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4.xml" ContentType="application/vnd.openxmlformats-officedocument.drawing+xml"/>
  <Override PartName="/xl/drawings/drawing5.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drawings/drawing7.xml" ContentType="application/vnd.openxmlformats-officedocument.drawing+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omments5.xml" ContentType="application/vnd.openxmlformats-officedocument.spreadsheetml.comments+xml"/>
  <Override PartName="/xl/threadedComments/threadedComment4.xml" ContentType="application/vnd.ms-excel.threadedcomments+xml"/>
  <Override PartName="/xl/comments6.xml" ContentType="application/vnd.openxmlformats-officedocument.spreadsheetml.comments+xml"/>
  <Override PartName="/xl/threadedComments/threadedComment5.xml" ContentType="application/vnd.ms-excel.threadedcomments+xml"/>
  <Override PartName="/xl/drawings/drawing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omments7.xml" ContentType="application/vnd.openxmlformats-officedocument.spreadsheetml.comments+xml"/>
  <Override PartName="/xl/threadedComments/threadedComment6.xml" ContentType="application/vnd.ms-excel.threaded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mc:AlternateContent xmlns:mc="http://schemas.openxmlformats.org/markup-compatibility/2006">
    <mc:Choice Requires="x15">
      <x15ac:absPath xmlns:x15ac="http://schemas.microsoft.com/office/spreadsheetml/2010/11/ac" url="https://aecom-my.sharepoint.com/personal/matthew_burton_aecom_com/Documents/Digital Works/EcoZero_TGW/ecozero/Database/"/>
    </mc:Choice>
  </mc:AlternateContent>
  <xr:revisionPtr revIDLastSave="14" documentId="13_ncr:1_{CA31F824-288F-4BB9-87B5-33A116794047}" xr6:coauthVersionLast="47" xr6:coauthVersionMax="47" xr10:uidLastSave="{C9B42F0A-619E-4003-B26B-1464D9AADF85}"/>
  <bookViews>
    <workbookView xWindow="-120" yWindow="-120" windowWidth="29040" windowHeight="15840" tabRatio="750" firstSheet="4" activeTab="12" xr2:uid="{60D8645E-26B8-4FA0-A825-1FCD27AE09E6}"/>
  </bookViews>
  <sheets>
    <sheet name="QA" sheetId="36" r:id="rId1"/>
    <sheet name="Summary" sheetId="3" r:id="rId2"/>
    <sheet name="Material Quantities &amp; Embodied " sheetId="26" r:id="rId3"/>
    <sheet name="Element Sizes and Quantities" sheetId="39" r:id="rId4"/>
    <sheet name="Cost" sheetId="33" r:id="rId5"/>
    <sheet name="ECData" sheetId="34" r:id="rId6"/>
    <sheet name="Intumescent" sheetId="38" r:id="rId7"/>
    <sheet name="Benchmark Data" sheetId="35" r:id="rId8"/>
    <sheet name="Basement" sheetId="20" r:id="rId9"/>
    <sheet name="Inputs" sheetId="15" r:id="rId10"/>
    <sheet name="Ground Model Results" sheetId="21" r:id="rId11"/>
    <sheet name="Ground Model Database" sheetId="22" r:id="rId12"/>
    <sheet name="Pile" sheetId="19" r:id="rId13"/>
    <sheet name="ECHarvest" sheetId="37" r:id="rId14"/>
    <sheet name="Database" sheetId="1" r:id="rId15"/>
    <sheet name="Carbon Factors" sheetId="2" r:id="rId16"/>
    <sheet name="Steel Column" sheetId="7" r:id="rId17"/>
    <sheet name="RC Column" sheetId="8" r:id="rId18"/>
    <sheet name="UC - Axial" sheetId="6" r:id="rId19"/>
    <sheet name="Results" sheetId="16" r:id="rId20"/>
    <sheet name="Loading Schedule" sheetId="4" r:id="rId21"/>
    <sheet name="Shear Walls" sheetId="25" r:id="rId22"/>
    <sheet name="Pile Data and Eurocode Factors" sheetId="23" r:id="rId23"/>
    <sheet name="References" sheetId="24" r:id="rId2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1" l="1"/>
  <c r="C34" i="8"/>
  <c r="ES422" i="19" l="1"/>
  <c r="ES421" i="19"/>
  <c r="ES420" i="19"/>
  <c r="ES416" i="19"/>
  <c r="ES415" i="19"/>
  <c r="ES414" i="19"/>
  <c r="ES410" i="19"/>
  <c r="ES409" i="19"/>
  <c r="ES408" i="19"/>
  <c r="ES404" i="19"/>
  <c r="ES403" i="19"/>
  <c r="ES402" i="19"/>
  <c r="ES391" i="19"/>
  <c r="ES390" i="19"/>
  <c r="ES389" i="19"/>
  <c r="ES385" i="19"/>
  <c r="ES384" i="19"/>
  <c r="ES383" i="19"/>
  <c r="ES379" i="19"/>
  <c r="ES378" i="19"/>
  <c r="ES377" i="19"/>
  <c r="ES373" i="19"/>
  <c r="ES372" i="19"/>
  <c r="ES371" i="19"/>
  <c r="ES359" i="19"/>
  <c r="ES358" i="19"/>
  <c r="ES357" i="19"/>
  <c r="ES353" i="19"/>
  <c r="ES352" i="19"/>
  <c r="ES351" i="19"/>
  <c r="ES347" i="19"/>
  <c r="ES346" i="19"/>
  <c r="ES345" i="19"/>
  <c r="ES341" i="19"/>
  <c r="ES340" i="19"/>
  <c r="ES339" i="19"/>
  <c r="K118" i="15"/>
  <c r="J118" i="15"/>
  <c r="I118" i="15"/>
  <c r="H118" i="15"/>
  <c r="K117" i="15"/>
  <c r="J117" i="15"/>
  <c r="I117" i="15"/>
  <c r="H117" i="15"/>
  <c r="K116" i="15"/>
  <c r="J116" i="15"/>
  <c r="I116" i="15"/>
  <c r="H116" i="15"/>
  <c r="C517" i="19"/>
  <c r="C518" i="19"/>
  <c r="C519" i="19"/>
  <c r="C520" i="19"/>
  <c r="C521" i="19"/>
  <c r="C522" i="19"/>
  <c r="C523" i="19"/>
  <c r="C524" i="19"/>
  <c r="C525" i="19"/>
  <c r="C526" i="19"/>
  <c r="C516" i="19"/>
  <c r="N445" i="19"/>
  <c r="M445" i="19"/>
  <c r="E8" i="1"/>
  <c r="E6" i="1"/>
  <c r="E3" i="1"/>
  <c r="E2" i="1"/>
  <c r="F4" i="38"/>
  <c r="J7" i="38"/>
  <c r="J6" i="38"/>
  <c r="J5" i="38"/>
  <c r="J4" i="38"/>
  <c r="F7" i="38"/>
  <c r="F6" i="38"/>
  <c r="F5" i="38"/>
  <c r="F118" i="38"/>
  <c r="G118" i="38" s="1"/>
  <c r="F117" i="38"/>
  <c r="G117" i="38" s="1"/>
  <c r="F116" i="38"/>
  <c r="G116" i="38" s="1"/>
  <c r="F115" i="38"/>
  <c r="G115" i="38" s="1"/>
  <c r="F114" i="38"/>
  <c r="G114" i="38" s="1"/>
  <c r="F113" i="38"/>
  <c r="G113" i="38" s="1"/>
  <c r="F112" i="38"/>
  <c r="G112" i="38" s="1"/>
  <c r="F111" i="38"/>
  <c r="G111" i="38" s="1"/>
  <c r="F110" i="38"/>
  <c r="G110" i="38" s="1"/>
  <c r="F109" i="38"/>
  <c r="G109" i="38" s="1"/>
  <c r="F108" i="38"/>
  <c r="G108" i="38" s="1"/>
  <c r="F107" i="38"/>
  <c r="G107" i="38" s="1"/>
  <c r="F106" i="38"/>
  <c r="G106" i="38" s="1"/>
  <c r="F105" i="38"/>
  <c r="G105" i="38" s="1"/>
  <c r="F104" i="38"/>
  <c r="G104" i="38" s="1"/>
  <c r="F103" i="38"/>
  <c r="G103" i="38" s="1"/>
  <c r="F102" i="38"/>
  <c r="G102" i="38" s="1"/>
  <c r="F101" i="38"/>
  <c r="G101" i="38" s="1"/>
  <c r="F100" i="38"/>
  <c r="G100" i="38" s="1"/>
  <c r="F99" i="38"/>
  <c r="G99" i="38" s="1"/>
  <c r="F98" i="38"/>
  <c r="G98" i="38" s="1"/>
  <c r="F97" i="38"/>
  <c r="G97" i="38" s="1"/>
  <c r="F96" i="38"/>
  <c r="G96" i="38" s="1"/>
  <c r="F95" i="38"/>
  <c r="G95" i="38" s="1"/>
  <c r="F94" i="38"/>
  <c r="G94" i="38" s="1"/>
  <c r="F93" i="38"/>
  <c r="G93" i="38" s="1"/>
  <c r="F92" i="38"/>
  <c r="G92" i="38" s="1"/>
  <c r="F91" i="38"/>
  <c r="G91" i="38" s="1"/>
  <c r="F90" i="38"/>
  <c r="G90" i="38" s="1"/>
  <c r="F89" i="38"/>
  <c r="G89" i="38" s="1"/>
  <c r="F88" i="38"/>
  <c r="G88" i="38" s="1"/>
  <c r="F87" i="38"/>
  <c r="G87" i="38" s="1"/>
  <c r="F86" i="38"/>
  <c r="G86" i="38" s="1"/>
  <c r="F85" i="38"/>
  <c r="G85" i="38" s="1"/>
  <c r="F84" i="38"/>
  <c r="G84" i="38" s="1"/>
  <c r="F83" i="38"/>
  <c r="G83" i="38" s="1"/>
  <c r="F82" i="38"/>
  <c r="G82" i="38" s="1"/>
  <c r="F81" i="38"/>
  <c r="G81" i="38" s="1"/>
  <c r="F80" i="38"/>
  <c r="G80" i="38" s="1"/>
  <c r="F79" i="38"/>
  <c r="G79" i="38" s="1"/>
  <c r="F78" i="38"/>
  <c r="G78" i="38" s="1"/>
  <c r="F77" i="38"/>
  <c r="G77" i="38" s="1"/>
  <c r="F76" i="38"/>
  <c r="G76" i="38" s="1"/>
  <c r="F75" i="38"/>
  <c r="G75" i="38" s="1"/>
  <c r="F74" i="38"/>
  <c r="G74" i="38" s="1"/>
  <c r="F73" i="38"/>
  <c r="G73" i="38" s="1"/>
  <c r="F72" i="38"/>
  <c r="G72" i="38" s="1"/>
  <c r="F71" i="38"/>
  <c r="G71" i="38" s="1"/>
  <c r="F70" i="38"/>
  <c r="G70" i="38" s="1"/>
  <c r="F69" i="38"/>
  <c r="G69" i="38" s="1"/>
  <c r="F68" i="38"/>
  <c r="G68" i="38" s="1"/>
  <c r="F67" i="38"/>
  <c r="G67" i="38" s="1"/>
  <c r="F66" i="38"/>
  <c r="G66" i="38" s="1"/>
  <c r="F65" i="38"/>
  <c r="G65" i="38" s="1"/>
  <c r="F64" i="38"/>
  <c r="G64" i="38" s="1"/>
  <c r="F63" i="38"/>
  <c r="G63" i="38" s="1"/>
  <c r="F62" i="38"/>
  <c r="G62" i="38" s="1"/>
  <c r="F61" i="38"/>
  <c r="G61" i="38" s="1"/>
  <c r="F60" i="38"/>
  <c r="G60" i="38" s="1"/>
  <c r="F59" i="38"/>
  <c r="G59" i="38" s="1"/>
  <c r="F58" i="38"/>
  <c r="G58" i="38" s="1"/>
  <c r="F57" i="38"/>
  <c r="G57" i="38" s="1"/>
  <c r="F56" i="38"/>
  <c r="G56" i="38" s="1"/>
  <c r="F55" i="38"/>
  <c r="G55" i="38" s="1"/>
  <c r="F54" i="38"/>
  <c r="G54" i="38" s="1"/>
  <c r="F53" i="38"/>
  <c r="G53" i="38" s="1"/>
  <c r="F52" i="38"/>
  <c r="G52" i="38" s="1"/>
  <c r="F51" i="38"/>
  <c r="G51" i="38" s="1"/>
  <c r="F50" i="38"/>
  <c r="G50" i="38" s="1"/>
  <c r="F49" i="38"/>
  <c r="G49" i="38" s="1"/>
  <c r="F48" i="38"/>
  <c r="G48" i="38" s="1"/>
  <c r="F47" i="38"/>
  <c r="G47" i="38" s="1"/>
  <c r="F46" i="38"/>
  <c r="G46" i="38" s="1"/>
  <c r="F45" i="38"/>
  <c r="G45" i="38" s="1"/>
  <c r="F44" i="38"/>
  <c r="G44" i="38" s="1"/>
  <c r="F43" i="38"/>
  <c r="G43" i="38" s="1"/>
  <c r="F42" i="38"/>
  <c r="G42" i="38" s="1"/>
  <c r="F41" i="38"/>
  <c r="G41" i="38" s="1"/>
  <c r="F40" i="38"/>
  <c r="G40" i="38" s="1"/>
  <c r="F39" i="38"/>
  <c r="G39" i="38" s="1"/>
  <c r="F38" i="38"/>
  <c r="G38" i="38" s="1"/>
  <c r="F37" i="38"/>
  <c r="G37" i="38" s="1"/>
  <c r="F36" i="38"/>
  <c r="G36" i="38" s="1"/>
  <c r="F35" i="38"/>
  <c r="G35" i="38" s="1"/>
  <c r="F34" i="38"/>
  <c r="G34" i="38" s="1"/>
  <c r="F33" i="38"/>
  <c r="G33" i="38" s="1"/>
  <c r="F32" i="38"/>
  <c r="G32" i="38" s="1"/>
  <c r="F31" i="38"/>
  <c r="G31" i="38" s="1"/>
  <c r="F30" i="38"/>
  <c r="G30" i="38" s="1"/>
  <c r="F29" i="38"/>
  <c r="G29" i="38" s="1"/>
  <c r="F28" i="38"/>
  <c r="G28" i="38" s="1"/>
  <c r="F27" i="38"/>
  <c r="G27" i="38" s="1"/>
  <c r="F26" i="38"/>
  <c r="G26" i="38" s="1"/>
  <c r="F25" i="38"/>
  <c r="G25" i="38" s="1"/>
  <c r="F24" i="38"/>
  <c r="G24" i="38" s="1"/>
  <c r="F23" i="38"/>
  <c r="G23" i="38" s="1"/>
  <c r="F22" i="38"/>
  <c r="G22" i="38" s="1"/>
  <c r="F21" i="38"/>
  <c r="G21" i="38" s="1"/>
  <c r="F20" i="38"/>
  <c r="G20" i="38" s="1"/>
  <c r="F19" i="38"/>
  <c r="G19" i="38" s="1"/>
  <c r="F18" i="38"/>
  <c r="G18" i="38" s="1"/>
  <c r="F17" i="38"/>
  <c r="G17" i="38" s="1"/>
  <c r="F16" i="38"/>
  <c r="G16" i="38" s="1"/>
  <c r="F15" i="38"/>
  <c r="G15" i="38" s="1"/>
  <c r="F14" i="38"/>
  <c r="G14" i="38" s="1"/>
  <c r="F13" i="38"/>
  <c r="G13" i="38" s="1"/>
  <c r="F12" i="38"/>
  <c r="G12" i="38" s="1"/>
  <c r="J485" i="33" l="1"/>
  <c r="K485" i="33" s="1"/>
  <c r="F513" i="33" l="1"/>
  <c r="F512" i="33"/>
  <c r="F511" i="33"/>
  <c r="F495" i="33"/>
  <c r="F510" i="33"/>
  <c r="F509" i="33"/>
  <c r="F508" i="33"/>
  <c r="F492" i="33"/>
  <c r="F497" i="33"/>
  <c r="F496" i="33"/>
  <c r="F334" i="26"/>
  <c r="F302" i="26"/>
  <c r="F300" i="26"/>
  <c r="F270" i="26"/>
  <c r="F268" i="26"/>
  <c r="F236" i="26"/>
  <c r="F234" i="26"/>
  <c r="F202" i="26"/>
  <c r="F201" i="26"/>
  <c r="I436" i="19" l="1"/>
  <c r="N159" i="20"/>
  <c r="N162" i="20"/>
  <c r="N161" i="20"/>
  <c r="N160" i="20"/>
  <c r="O155" i="20"/>
  <c r="M155" i="20"/>
  <c r="N150" i="20"/>
  <c r="N151" i="20"/>
  <c r="N152" i="20"/>
  <c r="N149" i="20"/>
  <c r="J139" i="20"/>
  <c r="C542" i="33"/>
  <c r="CY321" i="19" l="1"/>
  <c r="CK321" i="19"/>
  <c r="BW321" i="19"/>
  <c r="BI321" i="19"/>
  <c r="AU321" i="19"/>
  <c r="AG321" i="19"/>
  <c r="CY320" i="19"/>
  <c r="CK320" i="19"/>
  <c r="BW320" i="19"/>
  <c r="BI320" i="19"/>
  <c r="AU320" i="19"/>
  <c r="AG320" i="19"/>
  <c r="CY319" i="19"/>
  <c r="CK319" i="19"/>
  <c r="BW319" i="19"/>
  <c r="BI319" i="19"/>
  <c r="AU319" i="19"/>
  <c r="AG319" i="19"/>
  <c r="CY318" i="19"/>
  <c r="CK318" i="19"/>
  <c r="BW318" i="19"/>
  <c r="BI318" i="19"/>
  <c r="AU318" i="19"/>
  <c r="AG318" i="19"/>
  <c r="CY317" i="19"/>
  <c r="CK317" i="19"/>
  <c r="BW317" i="19"/>
  <c r="BI317" i="19"/>
  <c r="AU317" i="19"/>
  <c r="AG317" i="19"/>
  <c r="CY316" i="19"/>
  <c r="CK316" i="19"/>
  <c r="BW316" i="19"/>
  <c r="BI316" i="19"/>
  <c r="AU316" i="19"/>
  <c r="AG316" i="19"/>
  <c r="CY315" i="19"/>
  <c r="CK315" i="19"/>
  <c r="BW315" i="19"/>
  <c r="BI315" i="19"/>
  <c r="AU315" i="19"/>
  <c r="AG315" i="19"/>
  <c r="CY314" i="19"/>
  <c r="CK314" i="19"/>
  <c r="BW314" i="19"/>
  <c r="BI314" i="19"/>
  <c r="AU314" i="19"/>
  <c r="AG314" i="19"/>
  <c r="CY313" i="19"/>
  <c r="CK313" i="19"/>
  <c r="BW313" i="19"/>
  <c r="BI313" i="19"/>
  <c r="AU313" i="19"/>
  <c r="AG313" i="19"/>
  <c r="CY312" i="19"/>
  <c r="CK312" i="19"/>
  <c r="BW312" i="19"/>
  <c r="BI312" i="19"/>
  <c r="AU312" i="19"/>
  <c r="AG312" i="19"/>
  <c r="CY311" i="19"/>
  <c r="CK311" i="19"/>
  <c r="BW311" i="19"/>
  <c r="BI311" i="19"/>
  <c r="AU311" i="19"/>
  <c r="AG311" i="19"/>
  <c r="CY310" i="19"/>
  <c r="CK310" i="19"/>
  <c r="BW310" i="19"/>
  <c r="BI310" i="19"/>
  <c r="AU310" i="19"/>
  <c r="AG310" i="19"/>
  <c r="CY309" i="19"/>
  <c r="CK309" i="19"/>
  <c r="BW309" i="19"/>
  <c r="BI309" i="19"/>
  <c r="AU309" i="19"/>
  <c r="AG309" i="19"/>
  <c r="CY308" i="19"/>
  <c r="CK308" i="19"/>
  <c r="BW308" i="19"/>
  <c r="BI308" i="19"/>
  <c r="AU308" i="19"/>
  <c r="AG308" i="19"/>
  <c r="CY307" i="19"/>
  <c r="CK307" i="19"/>
  <c r="BW307" i="19"/>
  <c r="BI307" i="19"/>
  <c r="AU307" i="19"/>
  <c r="AG307" i="19"/>
  <c r="CY306" i="19"/>
  <c r="CK306" i="19"/>
  <c r="BW306" i="19"/>
  <c r="BI306" i="19"/>
  <c r="AU306" i="19"/>
  <c r="AG306" i="19"/>
  <c r="CY305" i="19"/>
  <c r="CK305" i="19"/>
  <c r="BW305" i="19"/>
  <c r="BI305" i="19"/>
  <c r="AU305" i="19"/>
  <c r="AG305" i="19"/>
  <c r="CY304" i="19"/>
  <c r="CK304" i="19"/>
  <c r="BW304" i="19"/>
  <c r="BI304" i="19"/>
  <c r="AU304" i="19"/>
  <c r="AG304" i="19"/>
  <c r="CY303" i="19"/>
  <c r="CK303" i="19"/>
  <c r="BW303" i="19"/>
  <c r="BI303" i="19"/>
  <c r="AU303" i="19"/>
  <c r="AG303" i="19"/>
  <c r="CY302" i="19"/>
  <c r="CK302" i="19"/>
  <c r="BW302" i="19"/>
  <c r="BI302" i="19"/>
  <c r="AU302" i="19"/>
  <c r="AG302" i="19"/>
  <c r="CY301" i="19"/>
  <c r="CK301" i="19"/>
  <c r="BW301" i="19"/>
  <c r="BI301" i="19"/>
  <c r="AU301" i="19"/>
  <c r="AG301" i="19"/>
  <c r="CY300" i="19"/>
  <c r="CK300" i="19"/>
  <c r="BW300" i="19"/>
  <c r="BI300" i="19"/>
  <c r="AU300" i="19"/>
  <c r="AG300" i="19"/>
  <c r="CY299" i="19"/>
  <c r="CK299" i="19"/>
  <c r="BW299" i="19"/>
  <c r="BI299" i="19"/>
  <c r="AU299" i="19"/>
  <c r="AG299" i="19"/>
  <c r="CY298" i="19"/>
  <c r="CK298" i="19"/>
  <c r="BW298" i="19"/>
  <c r="BI298" i="19"/>
  <c r="AU298" i="19"/>
  <c r="AG298" i="19"/>
  <c r="CY297" i="19"/>
  <c r="CK297" i="19"/>
  <c r="BW297" i="19"/>
  <c r="BI297" i="19"/>
  <c r="AU297" i="19"/>
  <c r="AG297" i="19"/>
  <c r="CY296" i="19"/>
  <c r="CK296" i="19"/>
  <c r="BW296" i="19"/>
  <c r="BI296" i="19"/>
  <c r="AU296" i="19"/>
  <c r="AG296" i="19"/>
  <c r="CY295" i="19"/>
  <c r="CK295" i="19"/>
  <c r="BW295" i="19"/>
  <c r="BI295" i="19"/>
  <c r="AU295" i="19"/>
  <c r="AG295" i="19"/>
  <c r="CY294" i="19"/>
  <c r="CK294" i="19"/>
  <c r="BW294" i="19"/>
  <c r="BI294" i="19"/>
  <c r="AU294" i="19"/>
  <c r="AG294" i="19"/>
  <c r="CY293" i="19"/>
  <c r="CK293" i="19"/>
  <c r="BW293" i="19"/>
  <c r="BI293" i="19"/>
  <c r="AU293" i="19"/>
  <c r="AG293" i="19"/>
  <c r="CY292" i="19"/>
  <c r="CK292" i="19"/>
  <c r="BW292" i="19"/>
  <c r="BI292" i="19"/>
  <c r="AU292" i="19"/>
  <c r="AG292" i="19"/>
  <c r="CY291" i="19"/>
  <c r="CK291" i="19"/>
  <c r="BW291" i="19"/>
  <c r="BI291" i="19"/>
  <c r="AU291" i="19"/>
  <c r="AG291" i="19"/>
  <c r="CY290" i="19"/>
  <c r="CK290" i="19"/>
  <c r="BW290" i="19"/>
  <c r="BI290" i="19"/>
  <c r="AU290" i="19"/>
  <c r="AG290" i="19"/>
  <c r="CY289" i="19"/>
  <c r="CK289" i="19"/>
  <c r="BW289" i="19"/>
  <c r="BI289" i="19"/>
  <c r="AU289" i="19"/>
  <c r="AG289" i="19"/>
  <c r="CY288" i="19"/>
  <c r="CK288" i="19"/>
  <c r="BW288" i="19"/>
  <c r="BI288" i="19"/>
  <c r="AU288" i="19"/>
  <c r="AG288" i="19"/>
  <c r="CY287" i="19"/>
  <c r="CK287" i="19"/>
  <c r="BW287" i="19"/>
  <c r="BI287" i="19"/>
  <c r="AU287" i="19"/>
  <c r="AG287" i="19"/>
  <c r="CY286" i="19"/>
  <c r="CK286" i="19"/>
  <c r="BW286" i="19"/>
  <c r="BI286" i="19"/>
  <c r="AU286" i="19"/>
  <c r="AG286" i="19"/>
  <c r="CY285" i="19"/>
  <c r="CK285" i="19"/>
  <c r="BW285" i="19"/>
  <c r="BI285" i="19"/>
  <c r="AU285" i="19"/>
  <c r="AG285" i="19"/>
  <c r="CY284" i="19"/>
  <c r="CK284" i="19"/>
  <c r="BW284" i="19"/>
  <c r="BI284" i="19"/>
  <c r="AU284" i="19"/>
  <c r="AG284" i="19"/>
  <c r="CY283" i="19"/>
  <c r="CK283" i="19"/>
  <c r="BW283" i="19"/>
  <c r="BI283" i="19"/>
  <c r="AU283" i="19"/>
  <c r="AG283" i="19"/>
  <c r="CY282" i="19"/>
  <c r="CK282" i="19"/>
  <c r="BW282" i="19"/>
  <c r="BI282" i="19"/>
  <c r="AU282" i="19"/>
  <c r="AG282" i="19"/>
  <c r="CY281" i="19"/>
  <c r="CK281" i="19"/>
  <c r="BW281" i="19"/>
  <c r="BI281" i="19"/>
  <c r="AU281" i="19"/>
  <c r="AG281" i="19"/>
  <c r="CY280" i="19"/>
  <c r="CK280" i="19"/>
  <c r="BW280" i="19"/>
  <c r="BI280" i="19"/>
  <c r="AU280" i="19"/>
  <c r="AG280" i="19"/>
  <c r="CY279" i="19"/>
  <c r="CK279" i="19"/>
  <c r="BW279" i="19"/>
  <c r="BI279" i="19"/>
  <c r="AU279" i="19"/>
  <c r="AG279" i="19"/>
  <c r="CY278" i="19"/>
  <c r="CK278" i="19"/>
  <c r="BW278" i="19"/>
  <c r="BI278" i="19"/>
  <c r="AU278" i="19"/>
  <c r="AG278" i="19"/>
  <c r="CY277" i="19"/>
  <c r="CK277" i="19"/>
  <c r="BW277" i="19"/>
  <c r="BI277" i="19"/>
  <c r="AU277" i="19"/>
  <c r="AG277" i="19"/>
  <c r="CY276" i="19"/>
  <c r="CK276" i="19"/>
  <c r="BW276" i="19"/>
  <c r="BI276" i="19"/>
  <c r="AU276" i="19"/>
  <c r="AG276" i="19"/>
  <c r="CY275" i="19"/>
  <c r="CK275" i="19"/>
  <c r="BW275" i="19"/>
  <c r="BI275" i="19"/>
  <c r="AU275" i="19"/>
  <c r="AG275" i="19"/>
  <c r="CY274" i="19"/>
  <c r="CK274" i="19"/>
  <c r="BW274" i="19"/>
  <c r="BI274" i="19"/>
  <c r="AU274" i="19"/>
  <c r="AG274" i="19"/>
  <c r="CY273" i="19"/>
  <c r="CK273" i="19"/>
  <c r="BW273" i="19"/>
  <c r="BI273" i="19"/>
  <c r="AU273" i="19"/>
  <c r="AG273" i="19"/>
  <c r="CY272" i="19"/>
  <c r="CK272" i="19"/>
  <c r="BW272" i="19"/>
  <c r="BI272" i="19"/>
  <c r="AU272" i="19"/>
  <c r="AG272" i="19"/>
  <c r="CY271" i="19"/>
  <c r="CK271" i="19"/>
  <c r="BW271" i="19"/>
  <c r="BI271" i="19"/>
  <c r="AU271" i="19"/>
  <c r="AG271" i="19"/>
  <c r="CY270" i="19"/>
  <c r="CK270" i="19"/>
  <c r="BW270" i="19"/>
  <c r="BI270" i="19"/>
  <c r="AU270" i="19"/>
  <c r="AG270" i="19"/>
  <c r="CY269" i="19"/>
  <c r="CK269" i="19"/>
  <c r="BW269" i="19"/>
  <c r="BI269" i="19"/>
  <c r="AU269" i="19"/>
  <c r="AG269" i="19"/>
  <c r="CY268" i="19"/>
  <c r="CK268" i="19"/>
  <c r="BW268" i="19"/>
  <c r="BI268" i="19"/>
  <c r="AU268" i="19"/>
  <c r="AG268" i="19"/>
  <c r="CY267" i="19"/>
  <c r="CK267" i="19"/>
  <c r="BW267" i="19"/>
  <c r="BI267" i="19"/>
  <c r="AU267" i="19"/>
  <c r="AG267" i="19"/>
  <c r="CY266" i="19"/>
  <c r="CK266" i="19"/>
  <c r="BW266" i="19"/>
  <c r="BI266" i="19"/>
  <c r="AU266" i="19"/>
  <c r="AG266" i="19"/>
  <c r="CY265" i="19"/>
  <c r="CK265" i="19"/>
  <c r="BW265" i="19"/>
  <c r="BI265" i="19"/>
  <c r="AU265" i="19"/>
  <c r="AG265" i="19"/>
  <c r="CY264" i="19"/>
  <c r="CK264" i="19"/>
  <c r="BW264" i="19"/>
  <c r="BI264" i="19"/>
  <c r="AU264" i="19"/>
  <c r="AG264" i="19"/>
  <c r="CY263" i="19"/>
  <c r="CK263" i="19"/>
  <c r="BW263" i="19"/>
  <c r="BI263" i="19"/>
  <c r="AU263" i="19"/>
  <c r="AG263" i="19"/>
  <c r="CY262" i="19"/>
  <c r="CK262" i="19"/>
  <c r="BW262" i="19"/>
  <c r="BI262" i="19"/>
  <c r="AU262" i="19"/>
  <c r="AG262" i="19"/>
  <c r="CY261" i="19"/>
  <c r="CK261" i="19"/>
  <c r="BW261" i="19"/>
  <c r="BI261" i="19"/>
  <c r="AU261" i="19"/>
  <c r="AG261" i="19"/>
  <c r="CY260" i="19"/>
  <c r="CK260" i="19"/>
  <c r="BW260" i="19"/>
  <c r="BI260" i="19"/>
  <c r="AU260" i="19"/>
  <c r="AG260" i="19"/>
  <c r="CY259" i="19"/>
  <c r="CK259" i="19"/>
  <c r="BW259" i="19"/>
  <c r="BI259" i="19"/>
  <c r="AU259" i="19"/>
  <c r="AG259" i="19"/>
  <c r="CY258" i="19"/>
  <c r="CK258" i="19"/>
  <c r="BW258" i="19"/>
  <c r="BI258" i="19"/>
  <c r="AU258" i="19"/>
  <c r="AG258" i="19"/>
  <c r="CY257" i="19"/>
  <c r="CK257" i="19"/>
  <c r="BW257" i="19"/>
  <c r="BI257" i="19"/>
  <c r="AU257" i="19"/>
  <c r="AG257" i="19"/>
  <c r="CY256" i="19"/>
  <c r="CK256" i="19"/>
  <c r="BW256" i="19"/>
  <c r="BI256" i="19"/>
  <c r="AU256" i="19"/>
  <c r="AG256" i="19"/>
  <c r="CY255" i="19"/>
  <c r="CK255" i="19"/>
  <c r="BW255" i="19"/>
  <c r="BI255" i="19"/>
  <c r="AU255" i="19"/>
  <c r="AG255" i="19"/>
  <c r="CY254" i="19"/>
  <c r="CK254" i="19"/>
  <c r="BW254" i="19"/>
  <c r="BI254" i="19"/>
  <c r="AU254" i="19"/>
  <c r="AG254" i="19"/>
  <c r="CY253" i="19"/>
  <c r="CK253" i="19"/>
  <c r="BW253" i="19"/>
  <c r="BI253" i="19"/>
  <c r="AU253" i="19"/>
  <c r="AG253" i="19"/>
  <c r="CY252" i="19"/>
  <c r="CK252" i="19"/>
  <c r="BW252" i="19"/>
  <c r="BI252" i="19"/>
  <c r="AU252" i="19"/>
  <c r="AG252" i="19"/>
  <c r="CY251" i="19"/>
  <c r="CK251" i="19"/>
  <c r="BW251" i="19"/>
  <c r="BI251" i="19"/>
  <c r="AU251" i="19"/>
  <c r="AG251" i="19"/>
  <c r="CY250" i="19"/>
  <c r="CK250" i="19"/>
  <c r="BW250" i="19"/>
  <c r="BI250" i="19"/>
  <c r="AU250" i="19"/>
  <c r="AG250" i="19"/>
  <c r="CY249" i="19"/>
  <c r="CK249" i="19"/>
  <c r="BW249" i="19"/>
  <c r="BI249" i="19"/>
  <c r="AU249" i="19"/>
  <c r="AG249" i="19"/>
  <c r="CY248" i="19"/>
  <c r="CK248" i="19"/>
  <c r="BW248" i="19"/>
  <c r="BI248" i="19"/>
  <c r="AU248" i="19"/>
  <c r="AG248" i="19"/>
  <c r="CY247" i="19"/>
  <c r="CK247" i="19"/>
  <c r="BW247" i="19"/>
  <c r="BI247" i="19"/>
  <c r="AU247" i="19"/>
  <c r="AG247" i="19"/>
  <c r="CY246" i="19"/>
  <c r="CK246" i="19"/>
  <c r="BW246" i="19"/>
  <c r="BI246" i="19"/>
  <c r="AU246" i="19"/>
  <c r="AG246" i="19"/>
  <c r="CY245" i="19"/>
  <c r="CK245" i="19"/>
  <c r="BW245" i="19"/>
  <c r="BI245" i="19"/>
  <c r="AU245" i="19"/>
  <c r="AG245" i="19"/>
  <c r="CY244" i="19"/>
  <c r="CK244" i="19"/>
  <c r="BW244" i="19"/>
  <c r="BI244" i="19"/>
  <c r="AU244" i="19"/>
  <c r="AG244" i="19"/>
  <c r="CY243" i="19"/>
  <c r="CK243" i="19"/>
  <c r="BW243" i="19"/>
  <c r="BI243" i="19"/>
  <c r="AU243" i="19"/>
  <c r="AG243" i="19"/>
  <c r="CY242" i="19"/>
  <c r="CK242" i="19"/>
  <c r="BW242" i="19"/>
  <c r="BI242" i="19"/>
  <c r="AU242" i="19"/>
  <c r="AG242" i="19"/>
  <c r="CY235" i="19"/>
  <c r="CK235" i="19"/>
  <c r="BW235" i="19"/>
  <c r="BI235" i="19"/>
  <c r="AU235" i="19"/>
  <c r="AG235" i="19"/>
  <c r="CY234" i="19"/>
  <c r="CK234" i="19"/>
  <c r="BW234" i="19"/>
  <c r="BI234" i="19"/>
  <c r="AU234" i="19"/>
  <c r="AG234" i="19"/>
  <c r="CY233" i="19"/>
  <c r="CK233" i="19"/>
  <c r="BW233" i="19"/>
  <c r="BI233" i="19"/>
  <c r="AU233" i="19"/>
  <c r="AG233" i="19"/>
  <c r="CY232" i="19"/>
  <c r="CK232" i="19"/>
  <c r="BW232" i="19"/>
  <c r="BI232" i="19"/>
  <c r="AU232" i="19"/>
  <c r="AG232" i="19"/>
  <c r="CY231" i="19"/>
  <c r="CK231" i="19"/>
  <c r="BW231" i="19"/>
  <c r="BI231" i="19"/>
  <c r="AU231" i="19"/>
  <c r="AG231" i="19"/>
  <c r="CY230" i="19"/>
  <c r="CK230" i="19"/>
  <c r="BW230" i="19"/>
  <c r="BI230" i="19"/>
  <c r="AU230" i="19"/>
  <c r="AG230" i="19"/>
  <c r="CY229" i="19"/>
  <c r="CK229" i="19"/>
  <c r="BW229" i="19"/>
  <c r="BI229" i="19"/>
  <c r="AU229" i="19"/>
  <c r="AG229" i="19"/>
  <c r="CY228" i="19"/>
  <c r="CK228" i="19"/>
  <c r="BW228" i="19"/>
  <c r="BI228" i="19"/>
  <c r="AU228" i="19"/>
  <c r="AG228" i="19"/>
  <c r="CY227" i="19"/>
  <c r="CK227" i="19"/>
  <c r="BW227" i="19"/>
  <c r="BI227" i="19"/>
  <c r="AU227" i="19"/>
  <c r="AG227" i="19"/>
  <c r="CY226" i="19"/>
  <c r="CK226" i="19"/>
  <c r="BW226" i="19"/>
  <c r="BI226" i="19"/>
  <c r="AU226" i="19"/>
  <c r="AG226" i="19"/>
  <c r="CY225" i="19"/>
  <c r="CK225" i="19"/>
  <c r="BW225" i="19"/>
  <c r="BI225" i="19"/>
  <c r="AU225" i="19"/>
  <c r="AG225" i="19"/>
  <c r="CY224" i="19"/>
  <c r="CK224" i="19"/>
  <c r="BW224" i="19"/>
  <c r="BI224" i="19"/>
  <c r="AU224" i="19"/>
  <c r="AG224" i="19"/>
  <c r="CY223" i="19"/>
  <c r="CK223" i="19"/>
  <c r="BW223" i="19"/>
  <c r="BI223" i="19"/>
  <c r="AU223" i="19"/>
  <c r="AG223" i="19"/>
  <c r="CY222" i="19"/>
  <c r="CK222" i="19"/>
  <c r="BW222" i="19"/>
  <c r="BI222" i="19"/>
  <c r="AU222" i="19"/>
  <c r="AG222" i="19"/>
  <c r="CY221" i="19"/>
  <c r="CK221" i="19"/>
  <c r="BW221" i="19"/>
  <c r="BI221" i="19"/>
  <c r="AU221" i="19"/>
  <c r="AG221" i="19"/>
  <c r="CY220" i="19"/>
  <c r="CK220" i="19"/>
  <c r="BW220" i="19"/>
  <c r="BI220" i="19"/>
  <c r="AU220" i="19"/>
  <c r="AG220" i="19"/>
  <c r="CY219" i="19"/>
  <c r="CK219" i="19"/>
  <c r="BW219" i="19"/>
  <c r="BI219" i="19"/>
  <c r="AU219" i="19"/>
  <c r="AG219" i="19"/>
  <c r="CY218" i="19"/>
  <c r="CK218" i="19"/>
  <c r="BW218" i="19"/>
  <c r="BI218" i="19"/>
  <c r="AU218" i="19"/>
  <c r="AG218" i="19"/>
  <c r="CY217" i="19"/>
  <c r="CK217" i="19"/>
  <c r="BW217" i="19"/>
  <c r="BI217" i="19"/>
  <c r="AU217" i="19"/>
  <c r="AG217" i="19"/>
  <c r="CY216" i="19"/>
  <c r="CK216" i="19"/>
  <c r="BW216" i="19"/>
  <c r="BI216" i="19"/>
  <c r="AU216" i="19"/>
  <c r="AG216" i="19"/>
  <c r="CY215" i="19"/>
  <c r="CK215" i="19"/>
  <c r="BW215" i="19"/>
  <c r="BI215" i="19"/>
  <c r="AU215" i="19"/>
  <c r="AG215" i="19"/>
  <c r="CY214" i="19"/>
  <c r="CK214" i="19"/>
  <c r="BW214" i="19"/>
  <c r="BI214" i="19"/>
  <c r="AU214" i="19"/>
  <c r="AG214" i="19"/>
  <c r="CY213" i="19"/>
  <c r="CK213" i="19"/>
  <c r="BW213" i="19"/>
  <c r="BI213" i="19"/>
  <c r="AU213" i="19"/>
  <c r="AG213" i="19"/>
  <c r="CY212" i="19"/>
  <c r="CK212" i="19"/>
  <c r="BW212" i="19"/>
  <c r="BI212" i="19"/>
  <c r="AU212" i="19"/>
  <c r="AG212" i="19"/>
  <c r="CY211" i="19"/>
  <c r="CK211" i="19"/>
  <c r="BW211" i="19"/>
  <c r="BI211" i="19"/>
  <c r="AU211" i="19"/>
  <c r="AG211" i="19"/>
  <c r="CY210" i="19"/>
  <c r="CK210" i="19"/>
  <c r="BW210" i="19"/>
  <c r="BI210" i="19"/>
  <c r="AU210" i="19"/>
  <c r="AG210" i="19"/>
  <c r="CY209" i="19"/>
  <c r="CK209" i="19"/>
  <c r="BW209" i="19"/>
  <c r="BI209" i="19"/>
  <c r="AU209" i="19"/>
  <c r="AG209" i="19"/>
  <c r="CY208" i="19"/>
  <c r="CK208" i="19"/>
  <c r="BW208" i="19"/>
  <c r="BI208" i="19"/>
  <c r="AU208" i="19"/>
  <c r="AG208" i="19"/>
  <c r="CY207" i="19"/>
  <c r="CK207" i="19"/>
  <c r="BW207" i="19"/>
  <c r="BI207" i="19"/>
  <c r="AU207" i="19"/>
  <c r="AG207" i="19"/>
  <c r="CY206" i="19"/>
  <c r="CK206" i="19"/>
  <c r="BW206" i="19"/>
  <c r="BI206" i="19"/>
  <c r="AU206" i="19"/>
  <c r="AG206" i="19"/>
  <c r="CY205" i="19"/>
  <c r="CK205" i="19"/>
  <c r="BW205" i="19"/>
  <c r="BI205" i="19"/>
  <c r="AU205" i="19"/>
  <c r="AG205" i="19"/>
  <c r="CY204" i="19"/>
  <c r="CK204" i="19"/>
  <c r="BW204" i="19"/>
  <c r="BI204" i="19"/>
  <c r="AU204" i="19"/>
  <c r="AG204" i="19"/>
  <c r="CY203" i="19"/>
  <c r="CK203" i="19"/>
  <c r="BW203" i="19"/>
  <c r="BI203" i="19"/>
  <c r="AU203" i="19"/>
  <c r="AG203" i="19"/>
  <c r="CY202" i="19"/>
  <c r="CK202" i="19"/>
  <c r="BW202" i="19"/>
  <c r="BI202" i="19"/>
  <c r="AU202" i="19"/>
  <c r="AG202" i="19"/>
  <c r="CY201" i="19"/>
  <c r="CK201" i="19"/>
  <c r="BW201" i="19"/>
  <c r="BI201" i="19"/>
  <c r="AU201" i="19"/>
  <c r="AG201" i="19"/>
  <c r="CY200" i="19"/>
  <c r="CK200" i="19"/>
  <c r="BW200" i="19"/>
  <c r="BI200" i="19"/>
  <c r="AU200" i="19"/>
  <c r="AG200" i="19"/>
  <c r="CY199" i="19"/>
  <c r="CK199" i="19"/>
  <c r="BW199" i="19"/>
  <c r="BI199" i="19"/>
  <c r="AU199" i="19"/>
  <c r="AG199" i="19"/>
  <c r="CY198" i="19"/>
  <c r="CK198" i="19"/>
  <c r="BW198" i="19"/>
  <c r="BI198" i="19"/>
  <c r="AU198" i="19"/>
  <c r="AG198" i="19"/>
  <c r="CY197" i="19"/>
  <c r="CK197" i="19"/>
  <c r="BW197" i="19"/>
  <c r="BI197" i="19"/>
  <c r="AU197" i="19"/>
  <c r="AG197" i="19"/>
  <c r="CY196" i="19"/>
  <c r="CK196" i="19"/>
  <c r="BW196" i="19"/>
  <c r="BI196" i="19"/>
  <c r="AU196" i="19"/>
  <c r="AG196" i="19"/>
  <c r="CY195" i="19"/>
  <c r="CK195" i="19"/>
  <c r="BW195" i="19"/>
  <c r="BI195" i="19"/>
  <c r="AU195" i="19"/>
  <c r="AG195" i="19"/>
  <c r="CY194" i="19"/>
  <c r="CK194" i="19"/>
  <c r="BW194" i="19"/>
  <c r="BI194" i="19"/>
  <c r="AU194" i="19"/>
  <c r="AG194" i="19"/>
  <c r="CY193" i="19"/>
  <c r="CK193" i="19"/>
  <c r="BW193" i="19"/>
  <c r="BI193" i="19"/>
  <c r="AU193" i="19"/>
  <c r="AG193" i="19"/>
  <c r="CY192" i="19"/>
  <c r="CK192" i="19"/>
  <c r="BW192" i="19"/>
  <c r="BI192" i="19"/>
  <c r="AU192" i="19"/>
  <c r="AG192" i="19"/>
  <c r="CY191" i="19"/>
  <c r="CK191" i="19"/>
  <c r="BW191" i="19"/>
  <c r="BI191" i="19"/>
  <c r="AU191" i="19"/>
  <c r="AG191" i="19"/>
  <c r="CY190" i="19"/>
  <c r="CK190" i="19"/>
  <c r="BW190" i="19"/>
  <c r="BI190" i="19"/>
  <c r="AU190" i="19"/>
  <c r="AG190" i="19"/>
  <c r="CY189" i="19"/>
  <c r="CK189" i="19"/>
  <c r="BW189" i="19"/>
  <c r="BI189" i="19"/>
  <c r="AU189" i="19"/>
  <c r="AG189" i="19"/>
  <c r="CY188" i="19"/>
  <c r="CK188" i="19"/>
  <c r="BW188" i="19"/>
  <c r="BI188" i="19"/>
  <c r="AU188" i="19"/>
  <c r="AG188" i="19"/>
  <c r="CY187" i="19"/>
  <c r="CK187" i="19"/>
  <c r="BW187" i="19"/>
  <c r="BI187" i="19"/>
  <c r="AU187" i="19"/>
  <c r="AG187" i="19"/>
  <c r="CY186" i="19"/>
  <c r="CK186" i="19"/>
  <c r="BW186" i="19"/>
  <c r="BI186" i="19"/>
  <c r="AU186" i="19"/>
  <c r="AG186" i="19"/>
  <c r="CY185" i="19"/>
  <c r="CK185" i="19"/>
  <c r="BW185" i="19"/>
  <c r="BI185" i="19"/>
  <c r="AU185" i="19"/>
  <c r="AG185" i="19"/>
  <c r="CY184" i="19"/>
  <c r="CK184" i="19"/>
  <c r="BW184" i="19"/>
  <c r="BI184" i="19"/>
  <c r="AU184" i="19"/>
  <c r="AG184" i="19"/>
  <c r="CY183" i="19"/>
  <c r="CK183" i="19"/>
  <c r="BW183" i="19"/>
  <c r="BI183" i="19"/>
  <c r="AU183" i="19"/>
  <c r="AG183" i="19"/>
  <c r="CY182" i="19"/>
  <c r="CK182" i="19"/>
  <c r="BW182" i="19"/>
  <c r="BI182" i="19"/>
  <c r="AU182" i="19"/>
  <c r="AG182" i="19"/>
  <c r="CY181" i="19"/>
  <c r="CK181" i="19"/>
  <c r="BW181" i="19"/>
  <c r="BI181" i="19"/>
  <c r="AU181" i="19"/>
  <c r="AG181" i="19"/>
  <c r="CY180" i="19"/>
  <c r="CK180" i="19"/>
  <c r="BW180" i="19"/>
  <c r="BI180" i="19"/>
  <c r="AU180" i="19"/>
  <c r="AG180" i="19"/>
  <c r="CY179" i="19"/>
  <c r="CK179" i="19"/>
  <c r="BW179" i="19"/>
  <c r="BI179" i="19"/>
  <c r="AU179" i="19"/>
  <c r="AG179" i="19"/>
  <c r="CY178" i="19"/>
  <c r="CK178" i="19"/>
  <c r="BW178" i="19"/>
  <c r="BI178" i="19"/>
  <c r="AU178" i="19"/>
  <c r="AG178" i="19"/>
  <c r="CY177" i="19"/>
  <c r="CK177" i="19"/>
  <c r="BW177" i="19"/>
  <c r="BI177" i="19"/>
  <c r="AU177" i="19"/>
  <c r="AG177" i="19"/>
  <c r="CY176" i="19"/>
  <c r="CK176" i="19"/>
  <c r="BW176" i="19"/>
  <c r="BI176" i="19"/>
  <c r="AU176" i="19"/>
  <c r="AG176" i="19"/>
  <c r="CY175" i="19"/>
  <c r="CK175" i="19"/>
  <c r="BW175" i="19"/>
  <c r="BI175" i="19"/>
  <c r="AU175" i="19"/>
  <c r="AG175" i="19"/>
  <c r="CY174" i="19"/>
  <c r="CK174" i="19"/>
  <c r="BW174" i="19"/>
  <c r="BI174" i="19"/>
  <c r="AU174" i="19"/>
  <c r="AG174" i="19"/>
  <c r="CY173" i="19"/>
  <c r="CK173" i="19"/>
  <c r="BW173" i="19"/>
  <c r="BI173" i="19"/>
  <c r="AU173" i="19"/>
  <c r="AG173" i="19"/>
  <c r="CY172" i="19"/>
  <c r="CK172" i="19"/>
  <c r="BW172" i="19"/>
  <c r="BI172" i="19"/>
  <c r="AU172" i="19"/>
  <c r="AG172" i="19"/>
  <c r="CY171" i="19"/>
  <c r="CK171" i="19"/>
  <c r="BW171" i="19"/>
  <c r="BI171" i="19"/>
  <c r="AU171" i="19"/>
  <c r="AG171" i="19"/>
  <c r="CY170" i="19"/>
  <c r="CK170" i="19"/>
  <c r="BW170" i="19"/>
  <c r="BI170" i="19"/>
  <c r="AU170" i="19"/>
  <c r="AG170" i="19"/>
  <c r="CY169" i="19"/>
  <c r="CK169" i="19"/>
  <c r="BW169" i="19"/>
  <c r="BI169" i="19"/>
  <c r="AU169" i="19"/>
  <c r="AG169" i="19"/>
  <c r="CY168" i="19"/>
  <c r="CK168" i="19"/>
  <c r="BW168" i="19"/>
  <c r="BI168" i="19"/>
  <c r="AU168" i="19"/>
  <c r="AG168" i="19"/>
  <c r="CY167" i="19"/>
  <c r="CK167" i="19"/>
  <c r="BW167" i="19"/>
  <c r="BI167" i="19"/>
  <c r="AU167" i="19"/>
  <c r="AG167" i="19"/>
  <c r="CY166" i="19"/>
  <c r="CK166" i="19"/>
  <c r="BW166" i="19"/>
  <c r="BI166" i="19"/>
  <c r="AU166" i="19"/>
  <c r="AG166" i="19"/>
  <c r="CY165" i="19"/>
  <c r="CK165" i="19"/>
  <c r="BW165" i="19"/>
  <c r="BI165" i="19"/>
  <c r="AU165" i="19"/>
  <c r="AG165" i="19"/>
  <c r="CY164" i="19"/>
  <c r="CK164" i="19"/>
  <c r="BW164" i="19"/>
  <c r="BI164" i="19"/>
  <c r="AU164" i="19"/>
  <c r="AG164" i="19"/>
  <c r="CY163" i="19"/>
  <c r="CK163" i="19"/>
  <c r="BW163" i="19"/>
  <c r="BI163" i="19"/>
  <c r="AU163" i="19"/>
  <c r="AG163" i="19"/>
  <c r="CY162" i="19"/>
  <c r="CK162" i="19"/>
  <c r="BW162" i="19"/>
  <c r="BI162" i="19"/>
  <c r="AU162" i="19"/>
  <c r="AG162" i="19"/>
  <c r="CY161" i="19"/>
  <c r="CK161" i="19"/>
  <c r="BW161" i="19"/>
  <c r="BI161" i="19"/>
  <c r="AU161" i="19"/>
  <c r="AG161" i="19"/>
  <c r="CY160" i="19"/>
  <c r="CK160" i="19"/>
  <c r="BW160" i="19"/>
  <c r="BI160" i="19"/>
  <c r="AU160" i="19"/>
  <c r="AG160" i="19"/>
  <c r="CY159" i="19"/>
  <c r="CK159" i="19"/>
  <c r="BW159" i="19"/>
  <c r="BI159" i="19"/>
  <c r="AU159" i="19"/>
  <c r="AG159" i="19"/>
  <c r="CY158" i="19"/>
  <c r="CK158" i="19"/>
  <c r="BW158" i="19"/>
  <c r="BI158" i="19"/>
  <c r="AU158" i="19"/>
  <c r="AG158" i="19"/>
  <c r="CY157" i="19"/>
  <c r="CK157" i="19"/>
  <c r="BW157" i="19"/>
  <c r="BI157" i="19"/>
  <c r="AU157" i="19"/>
  <c r="AG157" i="19"/>
  <c r="CY156" i="19"/>
  <c r="CK156" i="19"/>
  <c r="BW156" i="19"/>
  <c r="BI156" i="19"/>
  <c r="AU156" i="19"/>
  <c r="AG156" i="19"/>
  <c r="CY149" i="19"/>
  <c r="CK149" i="19"/>
  <c r="BW149" i="19"/>
  <c r="BI149" i="19"/>
  <c r="AU149" i="19"/>
  <c r="AG149" i="19"/>
  <c r="CY148" i="19"/>
  <c r="CK148" i="19"/>
  <c r="BW148" i="19"/>
  <c r="BI148" i="19"/>
  <c r="AU148" i="19"/>
  <c r="AG148" i="19"/>
  <c r="CY147" i="19"/>
  <c r="CK147" i="19"/>
  <c r="BW147" i="19"/>
  <c r="BI147" i="19"/>
  <c r="AU147" i="19"/>
  <c r="AG147" i="19"/>
  <c r="CY146" i="19"/>
  <c r="CK146" i="19"/>
  <c r="BW146" i="19"/>
  <c r="BI146" i="19"/>
  <c r="AU146" i="19"/>
  <c r="AG146" i="19"/>
  <c r="CY145" i="19"/>
  <c r="CK145" i="19"/>
  <c r="BW145" i="19"/>
  <c r="BI145" i="19"/>
  <c r="AU145" i="19"/>
  <c r="AG145" i="19"/>
  <c r="CY144" i="19"/>
  <c r="CK144" i="19"/>
  <c r="BW144" i="19"/>
  <c r="BI144" i="19"/>
  <c r="AU144" i="19"/>
  <c r="AG144" i="19"/>
  <c r="CY143" i="19"/>
  <c r="CK143" i="19"/>
  <c r="BW143" i="19"/>
  <c r="BI143" i="19"/>
  <c r="AU143" i="19"/>
  <c r="AG143" i="19"/>
  <c r="CY142" i="19"/>
  <c r="CK142" i="19"/>
  <c r="BW142" i="19"/>
  <c r="BI142" i="19"/>
  <c r="AU142" i="19"/>
  <c r="AG142" i="19"/>
  <c r="CY141" i="19"/>
  <c r="CK141" i="19"/>
  <c r="BW141" i="19"/>
  <c r="BI141" i="19"/>
  <c r="AU141" i="19"/>
  <c r="AG141" i="19"/>
  <c r="CY140" i="19"/>
  <c r="CK140" i="19"/>
  <c r="BW140" i="19"/>
  <c r="BI140" i="19"/>
  <c r="AU140" i="19"/>
  <c r="AG140" i="19"/>
  <c r="CY139" i="19"/>
  <c r="CK139" i="19"/>
  <c r="BW139" i="19"/>
  <c r="BI139" i="19"/>
  <c r="AU139" i="19"/>
  <c r="AG139" i="19"/>
  <c r="CY138" i="19"/>
  <c r="CK138" i="19"/>
  <c r="BW138" i="19"/>
  <c r="BI138" i="19"/>
  <c r="AU138" i="19"/>
  <c r="AG138" i="19"/>
  <c r="CY137" i="19"/>
  <c r="CK137" i="19"/>
  <c r="BW137" i="19"/>
  <c r="BI137" i="19"/>
  <c r="AU137" i="19"/>
  <c r="AG137" i="19"/>
  <c r="CY136" i="19"/>
  <c r="CK136" i="19"/>
  <c r="BW136" i="19"/>
  <c r="BI136" i="19"/>
  <c r="AU136" i="19"/>
  <c r="AG136" i="19"/>
  <c r="CY135" i="19"/>
  <c r="CK135" i="19"/>
  <c r="BW135" i="19"/>
  <c r="BI135" i="19"/>
  <c r="AU135" i="19"/>
  <c r="AG135" i="19"/>
  <c r="CY134" i="19"/>
  <c r="CK134" i="19"/>
  <c r="BW134" i="19"/>
  <c r="BI134" i="19"/>
  <c r="AU134" i="19"/>
  <c r="AG134" i="19"/>
  <c r="CY133" i="19"/>
  <c r="CK133" i="19"/>
  <c r="BW133" i="19"/>
  <c r="BI133" i="19"/>
  <c r="AU133" i="19"/>
  <c r="AG133" i="19"/>
  <c r="CY132" i="19"/>
  <c r="CK132" i="19"/>
  <c r="BW132" i="19"/>
  <c r="BI132" i="19"/>
  <c r="AU132" i="19"/>
  <c r="AG132" i="19"/>
  <c r="CY131" i="19"/>
  <c r="CK131" i="19"/>
  <c r="BW131" i="19"/>
  <c r="BI131" i="19"/>
  <c r="AU131" i="19"/>
  <c r="AG131" i="19"/>
  <c r="CY130" i="19"/>
  <c r="CK130" i="19"/>
  <c r="BW130" i="19"/>
  <c r="BI130" i="19"/>
  <c r="AU130" i="19"/>
  <c r="AG130" i="19"/>
  <c r="CY129" i="19"/>
  <c r="CK129" i="19"/>
  <c r="BW129" i="19"/>
  <c r="BI129" i="19"/>
  <c r="AU129" i="19"/>
  <c r="AG129" i="19"/>
  <c r="CY128" i="19"/>
  <c r="CK128" i="19"/>
  <c r="BW128" i="19"/>
  <c r="BI128" i="19"/>
  <c r="AU128" i="19"/>
  <c r="AG128" i="19"/>
  <c r="CY127" i="19"/>
  <c r="CK127" i="19"/>
  <c r="BW127" i="19"/>
  <c r="BI127" i="19"/>
  <c r="AU127" i="19"/>
  <c r="AG127" i="19"/>
  <c r="CY126" i="19"/>
  <c r="CK126" i="19"/>
  <c r="BW126" i="19"/>
  <c r="BI126" i="19"/>
  <c r="AU126" i="19"/>
  <c r="AG126" i="19"/>
  <c r="CY125" i="19"/>
  <c r="CK125" i="19"/>
  <c r="BW125" i="19"/>
  <c r="BI125" i="19"/>
  <c r="AU125" i="19"/>
  <c r="AG125" i="19"/>
  <c r="CY124" i="19"/>
  <c r="CK124" i="19"/>
  <c r="BW124" i="19"/>
  <c r="BI124" i="19"/>
  <c r="AU124" i="19"/>
  <c r="AG124" i="19"/>
  <c r="CY123" i="19"/>
  <c r="CK123" i="19"/>
  <c r="BW123" i="19"/>
  <c r="BI123" i="19"/>
  <c r="AU123" i="19"/>
  <c r="AG123" i="19"/>
  <c r="CY122" i="19"/>
  <c r="CK122" i="19"/>
  <c r="BW122" i="19"/>
  <c r="BI122" i="19"/>
  <c r="AU122" i="19"/>
  <c r="AG122" i="19"/>
  <c r="CY121" i="19"/>
  <c r="CK121" i="19"/>
  <c r="BW121" i="19"/>
  <c r="BI121" i="19"/>
  <c r="AU121" i="19"/>
  <c r="AG121" i="19"/>
  <c r="CY120" i="19"/>
  <c r="CK120" i="19"/>
  <c r="BW120" i="19"/>
  <c r="BI120" i="19"/>
  <c r="AU120" i="19"/>
  <c r="AG120" i="19"/>
  <c r="CY119" i="19"/>
  <c r="CK119" i="19"/>
  <c r="BW119" i="19"/>
  <c r="BI119" i="19"/>
  <c r="AU119" i="19"/>
  <c r="AG119" i="19"/>
  <c r="CY118" i="19"/>
  <c r="CK118" i="19"/>
  <c r="BW118" i="19"/>
  <c r="BI118" i="19"/>
  <c r="AU118" i="19"/>
  <c r="AG118" i="19"/>
  <c r="CY117" i="19"/>
  <c r="CK117" i="19"/>
  <c r="BW117" i="19"/>
  <c r="BI117" i="19"/>
  <c r="AU117" i="19"/>
  <c r="AG117" i="19"/>
  <c r="CY116" i="19"/>
  <c r="CK116" i="19"/>
  <c r="BW116" i="19"/>
  <c r="BI116" i="19"/>
  <c r="AU116" i="19"/>
  <c r="AG116" i="19"/>
  <c r="CY115" i="19"/>
  <c r="CK115" i="19"/>
  <c r="BW115" i="19"/>
  <c r="BI115" i="19"/>
  <c r="AU115" i="19"/>
  <c r="AG115" i="19"/>
  <c r="CY114" i="19"/>
  <c r="CK114" i="19"/>
  <c r="BW114" i="19"/>
  <c r="BI114" i="19"/>
  <c r="AU114" i="19"/>
  <c r="AG114" i="19"/>
  <c r="CY113" i="19"/>
  <c r="CK113" i="19"/>
  <c r="BW113" i="19"/>
  <c r="BI113" i="19"/>
  <c r="AU113" i="19"/>
  <c r="AG113" i="19"/>
  <c r="CY112" i="19"/>
  <c r="CK112" i="19"/>
  <c r="BW112" i="19"/>
  <c r="BI112" i="19"/>
  <c r="AU112" i="19"/>
  <c r="AG112" i="19"/>
  <c r="CY111" i="19"/>
  <c r="CK111" i="19"/>
  <c r="BW111" i="19"/>
  <c r="BI111" i="19"/>
  <c r="AU111" i="19"/>
  <c r="AG111" i="19"/>
  <c r="CY110" i="19"/>
  <c r="CK110" i="19"/>
  <c r="BW110" i="19"/>
  <c r="BI110" i="19"/>
  <c r="AU110" i="19"/>
  <c r="AG110" i="19"/>
  <c r="CY109" i="19"/>
  <c r="CK109" i="19"/>
  <c r="BW109" i="19"/>
  <c r="BI109" i="19"/>
  <c r="AU109" i="19"/>
  <c r="AG109" i="19"/>
  <c r="CY108" i="19"/>
  <c r="CK108" i="19"/>
  <c r="BW108" i="19"/>
  <c r="BI108" i="19"/>
  <c r="AU108" i="19"/>
  <c r="AG108" i="19"/>
  <c r="CY107" i="19"/>
  <c r="CK107" i="19"/>
  <c r="BW107" i="19"/>
  <c r="BI107" i="19"/>
  <c r="AU107" i="19"/>
  <c r="AG107" i="19"/>
  <c r="CY106" i="19"/>
  <c r="CK106" i="19"/>
  <c r="BW106" i="19"/>
  <c r="BI106" i="19"/>
  <c r="AU106" i="19"/>
  <c r="AG106" i="19"/>
  <c r="CY105" i="19"/>
  <c r="CK105" i="19"/>
  <c r="BW105" i="19"/>
  <c r="BI105" i="19"/>
  <c r="AU105" i="19"/>
  <c r="AG105" i="19"/>
  <c r="CY104" i="19"/>
  <c r="CK104" i="19"/>
  <c r="BW104" i="19"/>
  <c r="BI104" i="19"/>
  <c r="AU104" i="19"/>
  <c r="AG104" i="19"/>
  <c r="CY103" i="19"/>
  <c r="CK103" i="19"/>
  <c r="BW103" i="19"/>
  <c r="BI103" i="19"/>
  <c r="AU103" i="19"/>
  <c r="AG103" i="19"/>
  <c r="CY102" i="19"/>
  <c r="CK102" i="19"/>
  <c r="BW102" i="19"/>
  <c r="BI102" i="19"/>
  <c r="AU102" i="19"/>
  <c r="AG102" i="19"/>
  <c r="CY101" i="19"/>
  <c r="CK101" i="19"/>
  <c r="BW101" i="19"/>
  <c r="BI101" i="19"/>
  <c r="AU101" i="19"/>
  <c r="AG101" i="19"/>
  <c r="CY100" i="19"/>
  <c r="CK100" i="19"/>
  <c r="BW100" i="19"/>
  <c r="BI100" i="19"/>
  <c r="AU100" i="19"/>
  <c r="AG100" i="19"/>
  <c r="CY99" i="19"/>
  <c r="CK99" i="19"/>
  <c r="BW99" i="19"/>
  <c r="BI99" i="19"/>
  <c r="AU99" i="19"/>
  <c r="AG99" i="19"/>
  <c r="CY98" i="19"/>
  <c r="CK98" i="19"/>
  <c r="BW98" i="19"/>
  <c r="BI98" i="19"/>
  <c r="AU98" i="19"/>
  <c r="AG98" i="19"/>
  <c r="CY97" i="19"/>
  <c r="CK97" i="19"/>
  <c r="BW97" i="19"/>
  <c r="BI97" i="19"/>
  <c r="AU97" i="19"/>
  <c r="AG97" i="19"/>
  <c r="CY96" i="19"/>
  <c r="CK96" i="19"/>
  <c r="BW96" i="19"/>
  <c r="BI96" i="19"/>
  <c r="AU96" i="19"/>
  <c r="AG96" i="19"/>
  <c r="CY95" i="19"/>
  <c r="CK95" i="19"/>
  <c r="BW95" i="19"/>
  <c r="BI95" i="19"/>
  <c r="AU95" i="19"/>
  <c r="AG95" i="19"/>
  <c r="CY94" i="19"/>
  <c r="CK94" i="19"/>
  <c r="BW94" i="19"/>
  <c r="BI94" i="19"/>
  <c r="AU94" i="19"/>
  <c r="AG94" i="19"/>
  <c r="CY93" i="19"/>
  <c r="CK93" i="19"/>
  <c r="BW93" i="19"/>
  <c r="BI93" i="19"/>
  <c r="AU93" i="19"/>
  <c r="AG93" i="19"/>
  <c r="CY92" i="19"/>
  <c r="CK92" i="19"/>
  <c r="BW92" i="19"/>
  <c r="BI92" i="19"/>
  <c r="AU92" i="19"/>
  <c r="AG92" i="19"/>
  <c r="CY91" i="19"/>
  <c r="CK91" i="19"/>
  <c r="BW91" i="19"/>
  <c r="BI91" i="19"/>
  <c r="AU91" i="19"/>
  <c r="AG91" i="19"/>
  <c r="CY90" i="19"/>
  <c r="CK90" i="19"/>
  <c r="BW90" i="19"/>
  <c r="BI90" i="19"/>
  <c r="AU90" i="19"/>
  <c r="AG90" i="19"/>
  <c r="CY89" i="19"/>
  <c r="CK89" i="19"/>
  <c r="BW89" i="19"/>
  <c r="BI89" i="19"/>
  <c r="AU89" i="19"/>
  <c r="AG89" i="19"/>
  <c r="CY88" i="19"/>
  <c r="CK88" i="19"/>
  <c r="BW88" i="19"/>
  <c r="BI88" i="19"/>
  <c r="AU88" i="19"/>
  <c r="AG88" i="19"/>
  <c r="CY87" i="19"/>
  <c r="CK87" i="19"/>
  <c r="BW87" i="19"/>
  <c r="BI87" i="19"/>
  <c r="AU87" i="19"/>
  <c r="AG87" i="19"/>
  <c r="CY86" i="19"/>
  <c r="CK86" i="19"/>
  <c r="BW86" i="19"/>
  <c r="BI86" i="19"/>
  <c r="AU86" i="19"/>
  <c r="AG86" i="19"/>
  <c r="CY85" i="19"/>
  <c r="CK85" i="19"/>
  <c r="BW85" i="19"/>
  <c r="BI85" i="19"/>
  <c r="AU85" i="19"/>
  <c r="AG85" i="19"/>
  <c r="CY84" i="19"/>
  <c r="CK84" i="19"/>
  <c r="BW84" i="19"/>
  <c r="BI84" i="19"/>
  <c r="AU84" i="19"/>
  <c r="AG84" i="19"/>
  <c r="CY83" i="19"/>
  <c r="CK83" i="19"/>
  <c r="BW83" i="19"/>
  <c r="BI83" i="19"/>
  <c r="AU83" i="19"/>
  <c r="AG83" i="19"/>
  <c r="CY82" i="19"/>
  <c r="CK82" i="19"/>
  <c r="BW82" i="19"/>
  <c r="BI82" i="19"/>
  <c r="AU82" i="19"/>
  <c r="AG82" i="19"/>
  <c r="CY81" i="19"/>
  <c r="CK81" i="19"/>
  <c r="BW81" i="19"/>
  <c r="BI81" i="19"/>
  <c r="AU81" i="19"/>
  <c r="AG81" i="19"/>
  <c r="CY80" i="19"/>
  <c r="CK80" i="19"/>
  <c r="BW80" i="19"/>
  <c r="BI80" i="19"/>
  <c r="AU80" i="19"/>
  <c r="AG80" i="19"/>
  <c r="CY79" i="19"/>
  <c r="CK79" i="19"/>
  <c r="BW79" i="19"/>
  <c r="BI79" i="19"/>
  <c r="AU79" i="19"/>
  <c r="AG79" i="19"/>
  <c r="CY78" i="19"/>
  <c r="CK78" i="19"/>
  <c r="BW78" i="19"/>
  <c r="BI78" i="19"/>
  <c r="AU78" i="19"/>
  <c r="AG78" i="19"/>
  <c r="CY77" i="19"/>
  <c r="CK77" i="19"/>
  <c r="BW77" i="19"/>
  <c r="BI77" i="19"/>
  <c r="AU77" i="19"/>
  <c r="AG77" i="19"/>
  <c r="CY76" i="19"/>
  <c r="CK76" i="19"/>
  <c r="BW76" i="19"/>
  <c r="BI76" i="19"/>
  <c r="AU76" i="19"/>
  <c r="AG76" i="19"/>
  <c r="CY75" i="19"/>
  <c r="CK75" i="19"/>
  <c r="BW75" i="19"/>
  <c r="BI75" i="19"/>
  <c r="AU75" i="19"/>
  <c r="AG75" i="19"/>
  <c r="CY74" i="19"/>
  <c r="CK74" i="19"/>
  <c r="BW74" i="19"/>
  <c r="BI74" i="19"/>
  <c r="AU74" i="19"/>
  <c r="AG74" i="19"/>
  <c r="CY73" i="19"/>
  <c r="CK73" i="19"/>
  <c r="BW73" i="19"/>
  <c r="BI73" i="19"/>
  <c r="AU73" i="19"/>
  <c r="AG73" i="19"/>
  <c r="CY72" i="19"/>
  <c r="CK72" i="19"/>
  <c r="BW72" i="19"/>
  <c r="BI72" i="19"/>
  <c r="AU72" i="19"/>
  <c r="AG72" i="19"/>
  <c r="CY71" i="19"/>
  <c r="CK71" i="19"/>
  <c r="BW71" i="19"/>
  <c r="BI71" i="19"/>
  <c r="AU71" i="19"/>
  <c r="AG71" i="19"/>
  <c r="CY70" i="19"/>
  <c r="CK70" i="19"/>
  <c r="BW70" i="19"/>
  <c r="BI70" i="19"/>
  <c r="AU70" i="19"/>
  <c r="AG70" i="19"/>
  <c r="DC321" i="19"/>
  <c r="CO321" i="19"/>
  <c r="CA321" i="19"/>
  <c r="BM321" i="19"/>
  <c r="AY321" i="19"/>
  <c r="AK321" i="19"/>
  <c r="DC320" i="19"/>
  <c r="CO320" i="19"/>
  <c r="CA320" i="19"/>
  <c r="BM320" i="19"/>
  <c r="AY320" i="19"/>
  <c r="AK320" i="19"/>
  <c r="DC319" i="19"/>
  <c r="CO319" i="19"/>
  <c r="CA319" i="19"/>
  <c r="BM319" i="19"/>
  <c r="AY319" i="19"/>
  <c r="AK319" i="19"/>
  <c r="DC318" i="19"/>
  <c r="CO318" i="19"/>
  <c r="CA318" i="19"/>
  <c r="BM318" i="19"/>
  <c r="AY318" i="19"/>
  <c r="AK318" i="19"/>
  <c r="DC317" i="19"/>
  <c r="CO317" i="19"/>
  <c r="CA317" i="19"/>
  <c r="BM317" i="19"/>
  <c r="AY317" i="19"/>
  <c r="AK317" i="19"/>
  <c r="DC316" i="19"/>
  <c r="CO316" i="19"/>
  <c r="CA316" i="19"/>
  <c r="BM316" i="19"/>
  <c r="AY316" i="19"/>
  <c r="AK316" i="19"/>
  <c r="DC315" i="19"/>
  <c r="CO315" i="19"/>
  <c r="CA315" i="19"/>
  <c r="BM315" i="19"/>
  <c r="AY315" i="19"/>
  <c r="AK315" i="19"/>
  <c r="DC314" i="19"/>
  <c r="CO314" i="19"/>
  <c r="CA314" i="19"/>
  <c r="BM314" i="19"/>
  <c r="AY314" i="19"/>
  <c r="AK314" i="19"/>
  <c r="DC313" i="19"/>
  <c r="CO313" i="19"/>
  <c r="CA313" i="19"/>
  <c r="BM313" i="19"/>
  <c r="AY313" i="19"/>
  <c r="AK313" i="19"/>
  <c r="DC312" i="19"/>
  <c r="CO312" i="19"/>
  <c r="CA312" i="19"/>
  <c r="BM312" i="19"/>
  <c r="AY312" i="19"/>
  <c r="AK312" i="19"/>
  <c r="DC311" i="19"/>
  <c r="CO311" i="19"/>
  <c r="CA311" i="19"/>
  <c r="BM311" i="19"/>
  <c r="AY311" i="19"/>
  <c r="AK311" i="19"/>
  <c r="DC310" i="19"/>
  <c r="CO310" i="19"/>
  <c r="CA310" i="19"/>
  <c r="BM310" i="19"/>
  <c r="AY310" i="19"/>
  <c r="AK310" i="19"/>
  <c r="DC309" i="19"/>
  <c r="CO309" i="19"/>
  <c r="CA309" i="19"/>
  <c r="BM309" i="19"/>
  <c r="AY309" i="19"/>
  <c r="AK309" i="19"/>
  <c r="DC308" i="19"/>
  <c r="CO308" i="19"/>
  <c r="CA308" i="19"/>
  <c r="BM308" i="19"/>
  <c r="AY308" i="19"/>
  <c r="AK308" i="19"/>
  <c r="DC307" i="19"/>
  <c r="CO307" i="19"/>
  <c r="CA307" i="19"/>
  <c r="BM307" i="19"/>
  <c r="AY307" i="19"/>
  <c r="AK307" i="19"/>
  <c r="DC306" i="19"/>
  <c r="CO306" i="19"/>
  <c r="CA306" i="19"/>
  <c r="BM306" i="19"/>
  <c r="AY306" i="19"/>
  <c r="AK306" i="19"/>
  <c r="DC305" i="19"/>
  <c r="CO305" i="19"/>
  <c r="CA305" i="19"/>
  <c r="BM305" i="19"/>
  <c r="AY305" i="19"/>
  <c r="AK305" i="19"/>
  <c r="DC304" i="19"/>
  <c r="CO304" i="19"/>
  <c r="CA304" i="19"/>
  <c r="BM304" i="19"/>
  <c r="AY304" i="19"/>
  <c r="AK304" i="19"/>
  <c r="DC303" i="19"/>
  <c r="CO303" i="19"/>
  <c r="CA303" i="19"/>
  <c r="BM303" i="19"/>
  <c r="AY303" i="19"/>
  <c r="AK303" i="19"/>
  <c r="DC302" i="19"/>
  <c r="CO302" i="19"/>
  <c r="CA302" i="19"/>
  <c r="BM302" i="19"/>
  <c r="AY302" i="19"/>
  <c r="AK302" i="19"/>
  <c r="DC301" i="19"/>
  <c r="CO301" i="19"/>
  <c r="CA301" i="19"/>
  <c r="BM301" i="19"/>
  <c r="AY301" i="19"/>
  <c r="AK301" i="19"/>
  <c r="DC300" i="19"/>
  <c r="CO300" i="19"/>
  <c r="CA300" i="19"/>
  <c r="BM300" i="19"/>
  <c r="AY300" i="19"/>
  <c r="AK300" i="19"/>
  <c r="DC299" i="19"/>
  <c r="CO299" i="19"/>
  <c r="CA299" i="19"/>
  <c r="BM299" i="19"/>
  <c r="AY299" i="19"/>
  <c r="AK299" i="19"/>
  <c r="DC298" i="19"/>
  <c r="CO298" i="19"/>
  <c r="CA298" i="19"/>
  <c r="BM298" i="19"/>
  <c r="AY298" i="19"/>
  <c r="AK298" i="19"/>
  <c r="DC297" i="19"/>
  <c r="CO297" i="19"/>
  <c r="CA297" i="19"/>
  <c r="BM297" i="19"/>
  <c r="AY297" i="19"/>
  <c r="AK297" i="19"/>
  <c r="DC296" i="19"/>
  <c r="CO296" i="19"/>
  <c r="CA296" i="19"/>
  <c r="BM296" i="19"/>
  <c r="AY296" i="19"/>
  <c r="AK296" i="19"/>
  <c r="DC295" i="19"/>
  <c r="CO295" i="19"/>
  <c r="CA295" i="19"/>
  <c r="BM295" i="19"/>
  <c r="AY295" i="19"/>
  <c r="AK295" i="19"/>
  <c r="DC294" i="19"/>
  <c r="CO294" i="19"/>
  <c r="CA294" i="19"/>
  <c r="BM294" i="19"/>
  <c r="AY294" i="19"/>
  <c r="AK294" i="19"/>
  <c r="DC293" i="19"/>
  <c r="CO293" i="19"/>
  <c r="CA293" i="19"/>
  <c r="BM293" i="19"/>
  <c r="AY293" i="19"/>
  <c r="AK293" i="19"/>
  <c r="DC292" i="19"/>
  <c r="CO292" i="19"/>
  <c r="CA292" i="19"/>
  <c r="BM292" i="19"/>
  <c r="AY292" i="19"/>
  <c r="AK292" i="19"/>
  <c r="DC291" i="19"/>
  <c r="CO291" i="19"/>
  <c r="CA291" i="19"/>
  <c r="BM291" i="19"/>
  <c r="AY291" i="19"/>
  <c r="AK291" i="19"/>
  <c r="DC290" i="19"/>
  <c r="CO290" i="19"/>
  <c r="CA290" i="19"/>
  <c r="BM290" i="19"/>
  <c r="AY290" i="19"/>
  <c r="AK290" i="19"/>
  <c r="DC289" i="19"/>
  <c r="CO289" i="19"/>
  <c r="CA289" i="19"/>
  <c r="BM289" i="19"/>
  <c r="AY289" i="19"/>
  <c r="AK289" i="19"/>
  <c r="DC288" i="19"/>
  <c r="CO288" i="19"/>
  <c r="CA288" i="19"/>
  <c r="BM288" i="19"/>
  <c r="AY288" i="19"/>
  <c r="AK288" i="19"/>
  <c r="DC287" i="19"/>
  <c r="CO287" i="19"/>
  <c r="CA287" i="19"/>
  <c r="BM287" i="19"/>
  <c r="AY287" i="19"/>
  <c r="AK287" i="19"/>
  <c r="DC286" i="19"/>
  <c r="CO286" i="19"/>
  <c r="CA286" i="19"/>
  <c r="BM286" i="19"/>
  <c r="AY286" i="19"/>
  <c r="AK286" i="19"/>
  <c r="DC285" i="19"/>
  <c r="CO285" i="19"/>
  <c r="CA285" i="19"/>
  <c r="BM285" i="19"/>
  <c r="AY285" i="19"/>
  <c r="AK285" i="19"/>
  <c r="DC284" i="19"/>
  <c r="CO284" i="19"/>
  <c r="CA284" i="19"/>
  <c r="BM284" i="19"/>
  <c r="AY284" i="19"/>
  <c r="AK284" i="19"/>
  <c r="DC283" i="19"/>
  <c r="CO283" i="19"/>
  <c r="CA283" i="19"/>
  <c r="BM283" i="19"/>
  <c r="AY283" i="19"/>
  <c r="AK283" i="19"/>
  <c r="DC282" i="19"/>
  <c r="CO282" i="19"/>
  <c r="CA282" i="19"/>
  <c r="BM282" i="19"/>
  <c r="AY282" i="19"/>
  <c r="AK282" i="19"/>
  <c r="DC281" i="19"/>
  <c r="CO281" i="19"/>
  <c r="CA281" i="19"/>
  <c r="BM281" i="19"/>
  <c r="AY281" i="19"/>
  <c r="AK281" i="19"/>
  <c r="DC280" i="19"/>
  <c r="CO280" i="19"/>
  <c r="CA280" i="19"/>
  <c r="BM280" i="19"/>
  <c r="AY280" i="19"/>
  <c r="AK280" i="19"/>
  <c r="DC279" i="19"/>
  <c r="CO279" i="19"/>
  <c r="CA279" i="19"/>
  <c r="BM279" i="19"/>
  <c r="AY279" i="19"/>
  <c r="AK279" i="19"/>
  <c r="DC278" i="19"/>
  <c r="CO278" i="19"/>
  <c r="CA278" i="19"/>
  <c r="BM278" i="19"/>
  <c r="AY278" i="19"/>
  <c r="AK278" i="19"/>
  <c r="DC277" i="19"/>
  <c r="CO277" i="19"/>
  <c r="CA277" i="19"/>
  <c r="BM277" i="19"/>
  <c r="AY277" i="19"/>
  <c r="AK277" i="19"/>
  <c r="DC276" i="19"/>
  <c r="CO276" i="19"/>
  <c r="CA276" i="19"/>
  <c r="BM276" i="19"/>
  <c r="AY276" i="19"/>
  <c r="AK276" i="19"/>
  <c r="DC275" i="19"/>
  <c r="CO275" i="19"/>
  <c r="CA275" i="19"/>
  <c r="BM275" i="19"/>
  <c r="AY275" i="19"/>
  <c r="AK275" i="19"/>
  <c r="DC274" i="19"/>
  <c r="CO274" i="19"/>
  <c r="CA274" i="19"/>
  <c r="BM274" i="19"/>
  <c r="AY274" i="19"/>
  <c r="AK274" i="19"/>
  <c r="DC273" i="19"/>
  <c r="CO273" i="19"/>
  <c r="CA273" i="19"/>
  <c r="BM273" i="19"/>
  <c r="AY273" i="19"/>
  <c r="AK273" i="19"/>
  <c r="DC272" i="19"/>
  <c r="CO272" i="19"/>
  <c r="CA272" i="19"/>
  <c r="BM272" i="19"/>
  <c r="AY272" i="19"/>
  <c r="AK272" i="19"/>
  <c r="DC271" i="19"/>
  <c r="CO271" i="19"/>
  <c r="CA271" i="19"/>
  <c r="BM271" i="19"/>
  <c r="AY271" i="19"/>
  <c r="AK271" i="19"/>
  <c r="DC270" i="19"/>
  <c r="CO270" i="19"/>
  <c r="CA270" i="19"/>
  <c r="BM270" i="19"/>
  <c r="AY270" i="19"/>
  <c r="AK270" i="19"/>
  <c r="DC269" i="19"/>
  <c r="CO269" i="19"/>
  <c r="CA269" i="19"/>
  <c r="BM269" i="19"/>
  <c r="AY269" i="19"/>
  <c r="AK269" i="19"/>
  <c r="DC268" i="19"/>
  <c r="CO268" i="19"/>
  <c r="CA268" i="19"/>
  <c r="BM268" i="19"/>
  <c r="AY268" i="19"/>
  <c r="AK268" i="19"/>
  <c r="DC267" i="19"/>
  <c r="CO267" i="19"/>
  <c r="CA267" i="19"/>
  <c r="BM267" i="19"/>
  <c r="AY267" i="19"/>
  <c r="AK267" i="19"/>
  <c r="DC266" i="19"/>
  <c r="CO266" i="19"/>
  <c r="CA266" i="19"/>
  <c r="BM266" i="19"/>
  <c r="AY266" i="19"/>
  <c r="AK266" i="19"/>
  <c r="DC265" i="19"/>
  <c r="CO265" i="19"/>
  <c r="CA265" i="19"/>
  <c r="BM265" i="19"/>
  <c r="AY265" i="19"/>
  <c r="AK265" i="19"/>
  <c r="DC264" i="19"/>
  <c r="CO264" i="19"/>
  <c r="CA264" i="19"/>
  <c r="BM264" i="19"/>
  <c r="AY264" i="19"/>
  <c r="AK264" i="19"/>
  <c r="DC263" i="19"/>
  <c r="CO263" i="19"/>
  <c r="CA263" i="19"/>
  <c r="BM263" i="19"/>
  <c r="AY263" i="19"/>
  <c r="AK263" i="19"/>
  <c r="DC262" i="19"/>
  <c r="CO262" i="19"/>
  <c r="CA262" i="19"/>
  <c r="BM262" i="19"/>
  <c r="AY262" i="19"/>
  <c r="AK262" i="19"/>
  <c r="DC261" i="19"/>
  <c r="CO261" i="19"/>
  <c r="CA261" i="19"/>
  <c r="BM261" i="19"/>
  <c r="AY261" i="19"/>
  <c r="AK261" i="19"/>
  <c r="DC260" i="19"/>
  <c r="CO260" i="19"/>
  <c r="CA260" i="19"/>
  <c r="BM260" i="19"/>
  <c r="AY260" i="19"/>
  <c r="AK260" i="19"/>
  <c r="DC259" i="19"/>
  <c r="CO259" i="19"/>
  <c r="CA259" i="19"/>
  <c r="BM259" i="19"/>
  <c r="AY259" i="19"/>
  <c r="AK259" i="19"/>
  <c r="DC258" i="19"/>
  <c r="CO258" i="19"/>
  <c r="CA258" i="19"/>
  <c r="BM258" i="19"/>
  <c r="AY258" i="19"/>
  <c r="AK258" i="19"/>
  <c r="DC257" i="19"/>
  <c r="CO257" i="19"/>
  <c r="CA257" i="19"/>
  <c r="BM257" i="19"/>
  <c r="AY257" i="19"/>
  <c r="AK257" i="19"/>
  <c r="DC256" i="19"/>
  <c r="CO256" i="19"/>
  <c r="CA256" i="19"/>
  <c r="BM256" i="19"/>
  <c r="AY256" i="19"/>
  <c r="AK256" i="19"/>
  <c r="DC255" i="19"/>
  <c r="CO255" i="19"/>
  <c r="CA255" i="19"/>
  <c r="BM255" i="19"/>
  <c r="AY255" i="19"/>
  <c r="AK255" i="19"/>
  <c r="DC254" i="19"/>
  <c r="CO254" i="19"/>
  <c r="CA254" i="19"/>
  <c r="BM254" i="19"/>
  <c r="AY254" i="19"/>
  <c r="AK254" i="19"/>
  <c r="DC253" i="19"/>
  <c r="CO253" i="19"/>
  <c r="CA253" i="19"/>
  <c r="BM253" i="19"/>
  <c r="AY253" i="19"/>
  <c r="AK253" i="19"/>
  <c r="DC252" i="19"/>
  <c r="CO252" i="19"/>
  <c r="CA252" i="19"/>
  <c r="BM252" i="19"/>
  <c r="AY252" i="19"/>
  <c r="AK252" i="19"/>
  <c r="DC251" i="19"/>
  <c r="CO251" i="19"/>
  <c r="CA251" i="19"/>
  <c r="BM251" i="19"/>
  <c r="AY251" i="19"/>
  <c r="AK251" i="19"/>
  <c r="DC250" i="19"/>
  <c r="CO250" i="19"/>
  <c r="CA250" i="19"/>
  <c r="BM250" i="19"/>
  <c r="AY250" i="19"/>
  <c r="AK250" i="19"/>
  <c r="DC249" i="19"/>
  <c r="CO249" i="19"/>
  <c r="CA249" i="19"/>
  <c r="BM249" i="19"/>
  <c r="AY249" i="19"/>
  <c r="AK249" i="19"/>
  <c r="DC248" i="19"/>
  <c r="CO248" i="19"/>
  <c r="CA248" i="19"/>
  <c r="BM248" i="19"/>
  <c r="AY248" i="19"/>
  <c r="AK248" i="19"/>
  <c r="DC247" i="19"/>
  <c r="CO247" i="19"/>
  <c r="CA247" i="19"/>
  <c r="BM247" i="19"/>
  <c r="AY247" i="19"/>
  <c r="AK247" i="19"/>
  <c r="DC246" i="19"/>
  <c r="CO246" i="19"/>
  <c r="CA246" i="19"/>
  <c r="BM246" i="19"/>
  <c r="AY246" i="19"/>
  <c r="AK246" i="19"/>
  <c r="DC245" i="19"/>
  <c r="CO245" i="19"/>
  <c r="CA245" i="19"/>
  <c r="BM245" i="19"/>
  <c r="AY245" i="19"/>
  <c r="AK245" i="19"/>
  <c r="DC244" i="19"/>
  <c r="CO244" i="19"/>
  <c r="CA244" i="19"/>
  <c r="BM244" i="19"/>
  <c r="AY244" i="19"/>
  <c r="AK244" i="19"/>
  <c r="DC243" i="19"/>
  <c r="CO243" i="19"/>
  <c r="CA243" i="19"/>
  <c r="BM243" i="19"/>
  <c r="AY243" i="19"/>
  <c r="AK243" i="19"/>
  <c r="DC242" i="19"/>
  <c r="CO242" i="19"/>
  <c r="CA242" i="19"/>
  <c r="BM242" i="19"/>
  <c r="AY242" i="19"/>
  <c r="AK242" i="19"/>
  <c r="DC235" i="19"/>
  <c r="CO235" i="19"/>
  <c r="CA235" i="19"/>
  <c r="BM235" i="19"/>
  <c r="AY235" i="19"/>
  <c r="AK235" i="19"/>
  <c r="DC234" i="19"/>
  <c r="CO234" i="19"/>
  <c r="CA234" i="19"/>
  <c r="BM234" i="19"/>
  <c r="AY234" i="19"/>
  <c r="AK234" i="19"/>
  <c r="DC233" i="19"/>
  <c r="CO233" i="19"/>
  <c r="CA233" i="19"/>
  <c r="BM233" i="19"/>
  <c r="AY233" i="19"/>
  <c r="AK233" i="19"/>
  <c r="DC232" i="19"/>
  <c r="CO232" i="19"/>
  <c r="CA232" i="19"/>
  <c r="BM232" i="19"/>
  <c r="AY232" i="19"/>
  <c r="AK232" i="19"/>
  <c r="DC231" i="19"/>
  <c r="CO231" i="19"/>
  <c r="CA231" i="19"/>
  <c r="BM231" i="19"/>
  <c r="AY231" i="19"/>
  <c r="AK231" i="19"/>
  <c r="DC230" i="19"/>
  <c r="CO230" i="19"/>
  <c r="CA230" i="19"/>
  <c r="BM230" i="19"/>
  <c r="AY230" i="19"/>
  <c r="AK230" i="19"/>
  <c r="DC229" i="19"/>
  <c r="CO229" i="19"/>
  <c r="CA229" i="19"/>
  <c r="BM229" i="19"/>
  <c r="AY229" i="19"/>
  <c r="AK229" i="19"/>
  <c r="DC228" i="19"/>
  <c r="CO228" i="19"/>
  <c r="CA228" i="19"/>
  <c r="BM228" i="19"/>
  <c r="AY228" i="19"/>
  <c r="AK228" i="19"/>
  <c r="DC227" i="19"/>
  <c r="CO227" i="19"/>
  <c r="CA227" i="19"/>
  <c r="BM227" i="19"/>
  <c r="AY227" i="19"/>
  <c r="AK227" i="19"/>
  <c r="DC226" i="19"/>
  <c r="CO226" i="19"/>
  <c r="CA226" i="19"/>
  <c r="BM226" i="19"/>
  <c r="AY226" i="19"/>
  <c r="AK226" i="19"/>
  <c r="DC225" i="19"/>
  <c r="CO225" i="19"/>
  <c r="CA225" i="19"/>
  <c r="BM225" i="19"/>
  <c r="AY225" i="19"/>
  <c r="AK225" i="19"/>
  <c r="DC224" i="19"/>
  <c r="CO224" i="19"/>
  <c r="CA224" i="19"/>
  <c r="BM224" i="19"/>
  <c r="AY224" i="19"/>
  <c r="AK224" i="19"/>
  <c r="DC223" i="19"/>
  <c r="CO223" i="19"/>
  <c r="CA223" i="19"/>
  <c r="BM223" i="19"/>
  <c r="AY223" i="19"/>
  <c r="AK223" i="19"/>
  <c r="DC222" i="19"/>
  <c r="CO222" i="19"/>
  <c r="CA222" i="19"/>
  <c r="BM222" i="19"/>
  <c r="AY222" i="19"/>
  <c r="AK222" i="19"/>
  <c r="DC221" i="19"/>
  <c r="CO221" i="19"/>
  <c r="CA221" i="19"/>
  <c r="BM221" i="19"/>
  <c r="AY221" i="19"/>
  <c r="AK221" i="19"/>
  <c r="DC220" i="19"/>
  <c r="CO220" i="19"/>
  <c r="CA220" i="19"/>
  <c r="BM220" i="19"/>
  <c r="AY220" i="19"/>
  <c r="AK220" i="19"/>
  <c r="DC219" i="19"/>
  <c r="CO219" i="19"/>
  <c r="CA219" i="19"/>
  <c r="BM219" i="19"/>
  <c r="AY219" i="19"/>
  <c r="AK219" i="19"/>
  <c r="DC218" i="19"/>
  <c r="CO218" i="19"/>
  <c r="CA218" i="19"/>
  <c r="BM218" i="19"/>
  <c r="AY218" i="19"/>
  <c r="AK218" i="19"/>
  <c r="DC217" i="19"/>
  <c r="CO217" i="19"/>
  <c r="CA217" i="19"/>
  <c r="BM217" i="19"/>
  <c r="AY217" i="19"/>
  <c r="AK217" i="19"/>
  <c r="DC216" i="19"/>
  <c r="CO216" i="19"/>
  <c r="CA216" i="19"/>
  <c r="BM216" i="19"/>
  <c r="AY216" i="19"/>
  <c r="AK216" i="19"/>
  <c r="DC215" i="19"/>
  <c r="CO215" i="19"/>
  <c r="CA215" i="19"/>
  <c r="BM215" i="19"/>
  <c r="AY215" i="19"/>
  <c r="AK215" i="19"/>
  <c r="DC214" i="19"/>
  <c r="CO214" i="19"/>
  <c r="CA214" i="19"/>
  <c r="BM214" i="19"/>
  <c r="AY214" i="19"/>
  <c r="AK214" i="19"/>
  <c r="DC213" i="19"/>
  <c r="CO213" i="19"/>
  <c r="CA213" i="19"/>
  <c r="BM213" i="19"/>
  <c r="AY213" i="19"/>
  <c r="AK213" i="19"/>
  <c r="DC212" i="19"/>
  <c r="CO212" i="19"/>
  <c r="CA212" i="19"/>
  <c r="BM212" i="19"/>
  <c r="AY212" i="19"/>
  <c r="AK212" i="19"/>
  <c r="DC211" i="19"/>
  <c r="CO211" i="19"/>
  <c r="CA211" i="19"/>
  <c r="BM211" i="19"/>
  <c r="AY211" i="19"/>
  <c r="AK211" i="19"/>
  <c r="DC210" i="19"/>
  <c r="CO210" i="19"/>
  <c r="CA210" i="19"/>
  <c r="BM210" i="19"/>
  <c r="AY210" i="19"/>
  <c r="AK210" i="19"/>
  <c r="DC209" i="19"/>
  <c r="CO209" i="19"/>
  <c r="CA209" i="19"/>
  <c r="BM209" i="19"/>
  <c r="AY209" i="19"/>
  <c r="AK209" i="19"/>
  <c r="DC208" i="19"/>
  <c r="CO208" i="19"/>
  <c r="CA208" i="19"/>
  <c r="BM208" i="19"/>
  <c r="AY208" i="19"/>
  <c r="AK208" i="19"/>
  <c r="DC207" i="19"/>
  <c r="CO207" i="19"/>
  <c r="CA207" i="19"/>
  <c r="BM207" i="19"/>
  <c r="AY207" i="19"/>
  <c r="AK207" i="19"/>
  <c r="DC206" i="19"/>
  <c r="CO206" i="19"/>
  <c r="CA206" i="19"/>
  <c r="BM206" i="19"/>
  <c r="AY206" i="19"/>
  <c r="AK206" i="19"/>
  <c r="DC205" i="19"/>
  <c r="CO205" i="19"/>
  <c r="CA205" i="19"/>
  <c r="BM205" i="19"/>
  <c r="AY205" i="19"/>
  <c r="AK205" i="19"/>
  <c r="DC204" i="19"/>
  <c r="CO204" i="19"/>
  <c r="CA204" i="19"/>
  <c r="BM204" i="19"/>
  <c r="AY204" i="19"/>
  <c r="AK204" i="19"/>
  <c r="DC203" i="19"/>
  <c r="CO203" i="19"/>
  <c r="CA203" i="19"/>
  <c r="BM203" i="19"/>
  <c r="AY203" i="19"/>
  <c r="AK203" i="19"/>
  <c r="DC202" i="19"/>
  <c r="CO202" i="19"/>
  <c r="CA202" i="19"/>
  <c r="BM202" i="19"/>
  <c r="AY202" i="19"/>
  <c r="AK202" i="19"/>
  <c r="DC201" i="19"/>
  <c r="CO201" i="19"/>
  <c r="CA201" i="19"/>
  <c r="BM201" i="19"/>
  <c r="AY201" i="19"/>
  <c r="AK201" i="19"/>
  <c r="DC200" i="19"/>
  <c r="CO200" i="19"/>
  <c r="CA200" i="19"/>
  <c r="BM200" i="19"/>
  <c r="AY200" i="19"/>
  <c r="AK200" i="19"/>
  <c r="DC199" i="19"/>
  <c r="CO199" i="19"/>
  <c r="CA199" i="19"/>
  <c r="BM199" i="19"/>
  <c r="AY199" i="19"/>
  <c r="AK199" i="19"/>
  <c r="DC198" i="19"/>
  <c r="CO198" i="19"/>
  <c r="CA198" i="19"/>
  <c r="BM198" i="19"/>
  <c r="AY198" i="19"/>
  <c r="AK198" i="19"/>
  <c r="DC197" i="19"/>
  <c r="CO197" i="19"/>
  <c r="CA197" i="19"/>
  <c r="BM197" i="19"/>
  <c r="AY197" i="19"/>
  <c r="AK197" i="19"/>
  <c r="DC196" i="19"/>
  <c r="CO196" i="19"/>
  <c r="CA196" i="19"/>
  <c r="BM196" i="19"/>
  <c r="AY196" i="19"/>
  <c r="AK196" i="19"/>
  <c r="DC195" i="19"/>
  <c r="CO195" i="19"/>
  <c r="CA195" i="19"/>
  <c r="BM195" i="19"/>
  <c r="AY195" i="19"/>
  <c r="AK195" i="19"/>
  <c r="DC194" i="19"/>
  <c r="CO194" i="19"/>
  <c r="CA194" i="19"/>
  <c r="BM194" i="19"/>
  <c r="AY194" i="19"/>
  <c r="AK194" i="19"/>
  <c r="DC193" i="19"/>
  <c r="CO193" i="19"/>
  <c r="CA193" i="19"/>
  <c r="BM193" i="19"/>
  <c r="AY193" i="19"/>
  <c r="AK193" i="19"/>
  <c r="DC192" i="19"/>
  <c r="CO192" i="19"/>
  <c r="CA192" i="19"/>
  <c r="BM192" i="19"/>
  <c r="AY192" i="19"/>
  <c r="AK192" i="19"/>
  <c r="DC191" i="19"/>
  <c r="CO191" i="19"/>
  <c r="CA191" i="19"/>
  <c r="BM191" i="19"/>
  <c r="AY191" i="19"/>
  <c r="AK191" i="19"/>
  <c r="DC190" i="19"/>
  <c r="CO190" i="19"/>
  <c r="CA190" i="19"/>
  <c r="BM190" i="19"/>
  <c r="AY190" i="19"/>
  <c r="AK190" i="19"/>
  <c r="DC189" i="19"/>
  <c r="CO189" i="19"/>
  <c r="CA189" i="19"/>
  <c r="BM189" i="19"/>
  <c r="AY189" i="19"/>
  <c r="AK189" i="19"/>
  <c r="DC188" i="19"/>
  <c r="CO188" i="19"/>
  <c r="CA188" i="19"/>
  <c r="BM188" i="19"/>
  <c r="AY188" i="19"/>
  <c r="AK188" i="19"/>
  <c r="DC187" i="19"/>
  <c r="CO187" i="19"/>
  <c r="CA187" i="19"/>
  <c r="BM187" i="19"/>
  <c r="AY187" i="19"/>
  <c r="AK187" i="19"/>
  <c r="DC186" i="19"/>
  <c r="CO186" i="19"/>
  <c r="CA186" i="19"/>
  <c r="BM186" i="19"/>
  <c r="AY186" i="19"/>
  <c r="AK186" i="19"/>
  <c r="DC185" i="19"/>
  <c r="CO185" i="19"/>
  <c r="CA185" i="19"/>
  <c r="BM185" i="19"/>
  <c r="AY185" i="19"/>
  <c r="AK185" i="19"/>
  <c r="DC184" i="19"/>
  <c r="CO184" i="19"/>
  <c r="CA184" i="19"/>
  <c r="BM184" i="19"/>
  <c r="AY184" i="19"/>
  <c r="AK184" i="19"/>
  <c r="DC183" i="19"/>
  <c r="CO183" i="19"/>
  <c r="CA183" i="19"/>
  <c r="BM183" i="19"/>
  <c r="AY183" i="19"/>
  <c r="AK183" i="19"/>
  <c r="DC182" i="19"/>
  <c r="CO182" i="19"/>
  <c r="CA182" i="19"/>
  <c r="BM182" i="19"/>
  <c r="AY182" i="19"/>
  <c r="AK182" i="19"/>
  <c r="DC181" i="19"/>
  <c r="CO181" i="19"/>
  <c r="CA181" i="19"/>
  <c r="BM181" i="19"/>
  <c r="AY181" i="19"/>
  <c r="AK181" i="19"/>
  <c r="DC180" i="19"/>
  <c r="CO180" i="19"/>
  <c r="CA180" i="19"/>
  <c r="BM180" i="19"/>
  <c r="AY180" i="19"/>
  <c r="AK180" i="19"/>
  <c r="DC179" i="19"/>
  <c r="CO179" i="19"/>
  <c r="CA179" i="19"/>
  <c r="BM179" i="19"/>
  <c r="AY179" i="19"/>
  <c r="AK179" i="19"/>
  <c r="DC178" i="19"/>
  <c r="CO178" i="19"/>
  <c r="CA178" i="19"/>
  <c r="BM178" i="19"/>
  <c r="AY178" i="19"/>
  <c r="AK178" i="19"/>
  <c r="DC177" i="19"/>
  <c r="CO177" i="19"/>
  <c r="CA177" i="19"/>
  <c r="BM177" i="19"/>
  <c r="AY177" i="19"/>
  <c r="AK177" i="19"/>
  <c r="DC176" i="19"/>
  <c r="CO176" i="19"/>
  <c r="CA176" i="19"/>
  <c r="BM176" i="19"/>
  <c r="AY176" i="19"/>
  <c r="AK176" i="19"/>
  <c r="DC175" i="19"/>
  <c r="CO175" i="19"/>
  <c r="CA175" i="19"/>
  <c r="BM175" i="19"/>
  <c r="AY175" i="19"/>
  <c r="AK175" i="19"/>
  <c r="DC174" i="19"/>
  <c r="CO174" i="19"/>
  <c r="CA174" i="19"/>
  <c r="BM174" i="19"/>
  <c r="AY174" i="19"/>
  <c r="AK174" i="19"/>
  <c r="DC173" i="19"/>
  <c r="CO173" i="19"/>
  <c r="CA173" i="19"/>
  <c r="BM173" i="19"/>
  <c r="AY173" i="19"/>
  <c r="AK173" i="19"/>
  <c r="DC172" i="19"/>
  <c r="CO172" i="19"/>
  <c r="CA172" i="19"/>
  <c r="BM172" i="19"/>
  <c r="AY172" i="19"/>
  <c r="AK172" i="19"/>
  <c r="DC171" i="19"/>
  <c r="CO171" i="19"/>
  <c r="CA171" i="19"/>
  <c r="BM171" i="19"/>
  <c r="AY171" i="19"/>
  <c r="AK171" i="19"/>
  <c r="DC170" i="19"/>
  <c r="CO170" i="19"/>
  <c r="CA170" i="19"/>
  <c r="BM170" i="19"/>
  <c r="AY170" i="19"/>
  <c r="AK170" i="19"/>
  <c r="DC169" i="19"/>
  <c r="CO169" i="19"/>
  <c r="CA169" i="19"/>
  <c r="BM169" i="19"/>
  <c r="AY169" i="19"/>
  <c r="AK169" i="19"/>
  <c r="DC168" i="19"/>
  <c r="CO168" i="19"/>
  <c r="CA168" i="19"/>
  <c r="BM168" i="19"/>
  <c r="AY168" i="19"/>
  <c r="AK168" i="19"/>
  <c r="DC167" i="19"/>
  <c r="CO167" i="19"/>
  <c r="CA167" i="19"/>
  <c r="BM167" i="19"/>
  <c r="AY167" i="19"/>
  <c r="AK167" i="19"/>
  <c r="DC166" i="19"/>
  <c r="CO166" i="19"/>
  <c r="CA166" i="19"/>
  <c r="BM166" i="19"/>
  <c r="AY166" i="19"/>
  <c r="AK166" i="19"/>
  <c r="DC165" i="19"/>
  <c r="CO165" i="19"/>
  <c r="CA165" i="19"/>
  <c r="BM165" i="19"/>
  <c r="AY165" i="19"/>
  <c r="AK165" i="19"/>
  <c r="DC164" i="19"/>
  <c r="CO164" i="19"/>
  <c r="CA164" i="19"/>
  <c r="BM164" i="19"/>
  <c r="AY164" i="19"/>
  <c r="AK164" i="19"/>
  <c r="DC163" i="19"/>
  <c r="CO163" i="19"/>
  <c r="CA163" i="19"/>
  <c r="BM163" i="19"/>
  <c r="AY163" i="19"/>
  <c r="AK163" i="19"/>
  <c r="DC162" i="19"/>
  <c r="CO162" i="19"/>
  <c r="CA162" i="19"/>
  <c r="BM162" i="19"/>
  <c r="AY162" i="19"/>
  <c r="AK162" i="19"/>
  <c r="DC161" i="19"/>
  <c r="CO161" i="19"/>
  <c r="CA161" i="19"/>
  <c r="BM161" i="19"/>
  <c r="AY161" i="19"/>
  <c r="AK161" i="19"/>
  <c r="DC160" i="19"/>
  <c r="CO160" i="19"/>
  <c r="CA160" i="19"/>
  <c r="BM160" i="19"/>
  <c r="AY160" i="19"/>
  <c r="AK160" i="19"/>
  <c r="DC159" i="19"/>
  <c r="CO159" i="19"/>
  <c r="CA159" i="19"/>
  <c r="BM159" i="19"/>
  <c r="AY159" i="19"/>
  <c r="AK159" i="19"/>
  <c r="DC158" i="19"/>
  <c r="CO158" i="19"/>
  <c r="CA158" i="19"/>
  <c r="BM158" i="19"/>
  <c r="AY158" i="19"/>
  <c r="AK158" i="19"/>
  <c r="DC157" i="19"/>
  <c r="CO157" i="19"/>
  <c r="CA157" i="19"/>
  <c r="BM157" i="19"/>
  <c r="AY157" i="19"/>
  <c r="AK157" i="19"/>
  <c r="DC156" i="19"/>
  <c r="CO156" i="19"/>
  <c r="CA156" i="19"/>
  <c r="BM156" i="19"/>
  <c r="AY156" i="19"/>
  <c r="AK156" i="19"/>
  <c r="DC149" i="19"/>
  <c r="CO149" i="19"/>
  <c r="CA149" i="19"/>
  <c r="BM149" i="19"/>
  <c r="AY149" i="19"/>
  <c r="AK149" i="19"/>
  <c r="DC148" i="19"/>
  <c r="CO148" i="19"/>
  <c r="CA148" i="19"/>
  <c r="BM148" i="19"/>
  <c r="AY148" i="19"/>
  <c r="AK148" i="19"/>
  <c r="DC147" i="19"/>
  <c r="CO147" i="19"/>
  <c r="CA147" i="19"/>
  <c r="BM147" i="19"/>
  <c r="AY147" i="19"/>
  <c r="AK147" i="19"/>
  <c r="DC146" i="19"/>
  <c r="CO146" i="19"/>
  <c r="CA146" i="19"/>
  <c r="BM146" i="19"/>
  <c r="AY146" i="19"/>
  <c r="AK146" i="19"/>
  <c r="DC145" i="19"/>
  <c r="CO145" i="19"/>
  <c r="CA145" i="19"/>
  <c r="BM145" i="19"/>
  <c r="AY145" i="19"/>
  <c r="AK145" i="19"/>
  <c r="DC144" i="19"/>
  <c r="CO144" i="19"/>
  <c r="CA144" i="19"/>
  <c r="BM144" i="19"/>
  <c r="AY144" i="19"/>
  <c r="AK144" i="19"/>
  <c r="DC143" i="19"/>
  <c r="CO143" i="19"/>
  <c r="CA143" i="19"/>
  <c r="BM143" i="19"/>
  <c r="AY143" i="19"/>
  <c r="AK143" i="19"/>
  <c r="DC142" i="19"/>
  <c r="CO142" i="19"/>
  <c r="CA142" i="19"/>
  <c r="BM142" i="19"/>
  <c r="AY142" i="19"/>
  <c r="AK142" i="19"/>
  <c r="DC141" i="19"/>
  <c r="CO141" i="19"/>
  <c r="CA141" i="19"/>
  <c r="BM141" i="19"/>
  <c r="AY141" i="19"/>
  <c r="AK141" i="19"/>
  <c r="DC140" i="19"/>
  <c r="CO140" i="19"/>
  <c r="CA140" i="19"/>
  <c r="BM140" i="19"/>
  <c r="AY140" i="19"/>
  <c r="AK140" i="19"/>
  <c r="DC139" i="19"/>
  <c r="CO139" i="19"/>
  <c r="CA139" i="19"/>
  <c r="BM139" i="19"/>
  <c r="AY139" i="19"/>
  <c r="AK139" i="19"/>
  <c r="DC138" i="19"/>
  <c r="CO138" i="19"/>
  <c r="CA138" i="19"/>
  <c r="BM138" i="19"/>
  <c r="AY138" i="19"/>
  <c r="AK138" i="19"/>
  <c r="DC137" i="19"/>
  <c r="CO137" i="19"/>
  <c r="CA137" i="19"/>
  <c r="BM137" i="19"/>
  <c r="AY137" i="19"/>
  <c r="AK137" i="19"/>
  <c r="DC136" i="19"/>
  <c r="CO136" i="19"/>
  <c r="CA136" i="19"/>
  <c r="BM136" i="19"/>
  <c r="AY136" i="19"/>
  <c r="AK136" i="19"/>
  <c r="DC135" i="19"/>
  <c r="CO135" i="19"/>
  <c r="CA135" i="19"/>
  <c r="BM135" i="19"/>
  <c r="AY135" i="19"/>
  <c r="AK135" i="19"/>
  <c r="DC134" i="19"/>
  <c r="CO134" i="19"/>
  <c r="CA134" i="19"/>
  <c r="BM134" i="19"/>
  <c r="AY134" i="19"/>
  <c r="AK134" i="19"/>
  <c r="DC133" i="19"/>
  <c r="CO133" i="19"/>
  <c r="CA133" i="19"/>
  <c r="BM133" i="19"/>
  <c r="AY133" i="19"/>
  <c r="AK133" i="19"/>
  <c r="DC132" i="19"/>
  <c r="CO132" i="19"/>
  <c r="CA132" i="19"/>
  <c r="BM132" i="19"/>
  <c r="AY132" i="19"/>
  <c r="AK132" i="19"/>
  <c r="DC131" i="19"/>
  <c r="CO131" i="19"/>
  <c r="CA131" i="19"/>
  <c r="BM131" i="19"/>
  <c r="AY131" i="19"/>
  <c r="AK131" i="19"/>
  <c r="DC130" i="19"/>
  <c r="CO130" i="19"/>
  <c r="CA130" i="19"/>
  <c r="BM130" i="19"/>
  <c r="AY130" i="19"/>
  <c r="AK130" i="19"/>
  <c r="DC129" i="19"/>
  <c r="CO129" i="19"/>
  <c r="CA129" i="19"/>
  <c r="BM129" i="19"/>
  <c r="AY129" i="19"/>
  <c r="AK129" i="19"/>
  <c r="DC128" i="19"/>
  <c r="CO128" i="19"/>
  <c r="CA128" i="19"/>
  <c r="BM128" i="19"/>
  <c r="AY128" i="19"/>
  <c r="AK128" i="19"/>
  <c r="DC127" i="19"/>
  <c r="CO127" i="19"/>
  <c r="CA127" i="19"/>
  <c r="BM127" i="19"/>
  <c r="AY127" i="19"/>
  <c r="AK127" i="19"/>
  <c r="DC126" i="19"/>
  <c r="CO126" i="19"/>
  <c r="CA126" i="19"/>
  <c r="BM126" i="19"/>
  <c r="AY126" i="19"/>
  <c r="AK126" i="19"/>
  <c r="DC125" i="19"/>
  <c r="CO125" i="19"/>
  <c r="CA125" i="19"/>
  <c r="BM125" i="19"/>
  <c r="AY125" i="19"/>
  <c r="AK125" i="19"/>
  <c r="DC124" i="19"/>
  <c r="CO124" i="19"/>
  <c r="CA124" i="19"/>
  <c r="BM124" i="19"/>
  <c r="AY124" i="19"/>
  <c r="AK124" i="19"/>
  <c r="DC123" i="19"/>
  <c r="CO123" i="19"/>
  <c r="CA123" i="19"/>
  <c r="BM123" i="19"/>
  <c r="AY123" i="19"/>
  <c r="AK123" i="19"/>
  <c r="DC122" i="19"/>
  <c r="CO122" i="19"/>
  <c r="CA122" i="19"/>
  <c r="BM122" i="19"/>
  <c r="AY122" i="19"/>
  <c r="AK122" i="19"/>
  <c r="DC121" i="19"/>
  <c r="CO121" i="19"/>
  <c r="CA121" i="19"/>
  <c r="BM121" i="19"/>
  <c r="AY121" i="19"/>
  <c r="AK121" i="19"/>
  <c r="DC120" i="19"/>
  <c r="CO120" i="19"/>
  <c r="CA120" i="19"/>
  <c r="BM120" i="19"/>
  <c r="AY120" i="19"/>
  <c r="AK120" i="19"/>
  <c r="DC119" i="19"/>
  <c r="CO119" i="19"/>
  <c r="CA119" i="19"/>
  <c r="BM119" i="19"/>
  <c r="AY119" i="19"/>
  <c r="AK119" i="19"/>
  <c r="DC118" i="19"/>
  <c r="CO118" i="19"/>
  <c r="CA118" i="19"/>
  <c r="BM118" i="19"/>
  <c r="AY118" i="19"/>
  <c r="AK118" i="19"/>
  <c r="DC117" i="19"/>
  <c r="CO117" i="19"/>
  <c r="CA117" i="19"/>
  <c r="BM117" i="19"/>
  <c r="AY117" i="19"/>
  <c r="AK117" i="19"/>
  <c r="DC116" i="19"/>
  <c r="CO116" i="19"/>
  <c r="CA116" i="19"/>
  <c r="BM116" i="19"/>
  <c r="AY116" i="19"/>
  <c r="AK116" i="19"/>
  <c r="DC115" i="19"/>
  <c r="CO115" i="19"/>
  <c r="CA115" i="19"/>
  <c r="BM115" i="19"/>
  <c r="AY115" i="19"/>
  <c r="AK115" i="19"/>
  <c r="DC114" i="19"/>
  <c r="CO114" i="19"/>
  <c r="CA114" i="19"/>
  <c r="BM114" i="19"/>
  <c r="AY114" i="19"/>
  <c r="AK114" i="19"/>
  <c r="DC113" i="19"/>
  <c r="CO113" i="19"/>
  <c r="CA113" i="19"/>
  <c r="BM113" i="19"/>
  <c r="AY113" i="19"/>
  <c r="AK113" i="19"/>
  <c r="DC112" i="19"/>
  <c r="CO112" i="19"/>
  <c r="CA112" i="19"/>
  <c r="BM112" i="19"/>
  <c r="AY112" i="19"/>
  <c r="AK112" i="19"/>
  <c r="DC111" i="19"/>
  <c r="CO111" i="19"/>
  <c r="CA111" i="19"/>
  <c r="BM111" i="19"/>
  <c r="AY111" i="19"/>
  <c r="AK111" i="19"/>
  <c r="DC110" i="19"/>
  <c r="CO110" i="19"/>
  <c r="CA110" i="19"/>
  <c r="BM110" i="19"/>
  <c r="AY110" i="19"/>
  <c r="AK110" i="19"/>
  <c r="DC109" i="19"/>
  <c r="CO109" i="19"/>
  <c r="CA109" i="19"/>
  <c r="BM109" i="19"/>
  <c r="AY109" i="19"/>
  <c r="AK109" i="19"/>
  <c r="DC108" i="19"/>
  <c r="CO108" i="19"/>
  <c r="CA108" i="19"/>
  <c r="BM108" i="19"/>
  <c r="AY108" i="19"/>
  <c r="AK108" i="19"/>
  <c r="DC107" i="19"/>
  <c r="CO107" i="19"/>
  <c r="CA107" i="19"/>
  <c r="BM107" i="19"/>
  <c r="AY107" i="19"/>
  <c r="AK107" i="19"/>
  <c r="DC106" i="19"/>
  <c r="CO106" i="19"/>
  <c r="CA106" i="19"/>
  <c r="BM106" i="19"/>
  <c r="AY106" i="19"/>
  <c r="AK106" i="19"/>
  <c r="DC105" i="19"/>
  <c r="CO105" i="19"/>
  <c r="CA105" i="19"/>
  <c r="BM105" i="19"/>
  <c r="AY105" i="19"/>
  <c r="AK105" i="19"/>
  <c r="DC104" i="19"/>
  <c r="CO104" i="19"/>
  <c r="CA104" i="19"/>
  <c r="BM104" i="19"/>
  <c r="AY104" i="19"/>
  <c r="AK104" i="19"/>
  <c r="DC103" i="19"/>
  <c r="CO103" i="19"/>
  <c r="CA103" i="19"/>
  <c r="BM103" i="19"/>
  <c r="AY103" i="19"/>
  <c r="AK103" i="19"/>
  <c r="DC102" i="19"/>
  <c r="CO102" i="19"/>
  <c r="CA102" i="19"/>
  <c r="BM102" i="19"/>
  <c r="AY102" i="19"/>
  <c r="AK102" i="19"/>
  <c r="DC101" i="19"/>
  <c r="CO101" i="19"/>
  <c r="CA101" i="19"/>
  <c r="BM101" i="19"/>
  <c r="AY101" i="19"/>
  <c r="AK101" i="19"/>
  <c r="DC100" i="19"/>
  <c r="CO100" i="19"/>
  <c r="CA100" i="19"/>
  <c r="BM100" i="19"/>
  <c r="AY100" i="19"/>
  <c r="AK100" i="19"/>
  <c r="DC99" i="19"/>
  <c r="CO99" i="19"/>
  <c r="CA99" i="19"/>
  <c r="BM99" i="19"/>
  <c r="AY99" i="19"/>
  <c r="AK99" i="19"/>
  <c r="DC98" i="19"/>
  <c r="CO98" i="19"/>
  <c r="CA98" i="19"/>
  <c r="BM98" i="19"/>
  <c r="AY98" i="19"/>
  <c r="AK98" i="19"/>
  <c r="DC97" i="19"/>
  <c r="CO97" i="19"/>
  <c r="CA97" i="19"/>
  <c r="BM97" i="19"/>
  <c r="AY97" i="19"/>
  <c r="AK97" i="19"/>
  <c r="DC96" i="19"/>
  <c r="CO96" i="19"/>
  <c r="CA96" i="19"/>
  <c r="BM96" i="19"/>
  <c r="AY96" i="19"/>
  <c r="AK96" i="19"/>
  <c r="DC95" i="19"/>
  <c r="CO95" i="19"/>
  <c r="CA95" i="19"/>
  <c r="BM95" i="19"/>
  <c r="AY95" i="19"/>
  <c r="AK95" i="19"/>
  <c r="DC94" i="19"/>
  <c r="CO94" i="19"/>
  <c r="CA94" i="19"/>
  <c r="BM94" i="19"/>
  <c r="AY94" i="19"/>
  <c r="AK94" i="19"/>
  <c r="DC93" i="19"/>
  <c r="CO93" i="19"/>
  <c r="CA93" i="19"/>
  <c r="BM93" i="19"/>
  <c r="AY93" i="19"/>
  <c r="AK93" i="19"/>
  <c r="DC92" i="19"/>
  <c r="CO92" i="19"/>
  <c r="CA92" i="19"/>
  <c r="BM92" i="19"/>
  <c r="AY92" i="19"/>
  <c r="AK92" i="19"/>
  <c r="DC91" i="19"/>
  <c r="CO91" i="19"/>
  <c r="CA91" i="19"/>
  <c r="BM91" i="19"/>
  <c r="AY91" i="19"/>
  <c r="AK91" i="19"/>
  <c r="DC90" i="19"/>
  <c r="CO90" i="19"/>
  <c r="CA90" i="19"/>
  <c r="BM90" i="19"/>
  <c r="AY90" i="19"/>
  <c r="AK90" i="19"/>
  <c r="DC89" i="19"/>
  <c r="CO89" i="19"/>
  <c r="CA89" i="19"/>
  <c r="BM89" i="19"/>
  <c r="AY89" i="19"/>
  <c r="AK89" i="19"/>
  <c r="DC88" i="19"/>
  <c r="CO88" i="19"/>
  <c r="CA88" i="19"/>
  <c r="BM88" i="19"/>
  <c r="AY88" i="19"/>
  <c r="AK88" i="19"/>
  <c r="DC87" i="19"/>
  <c r="CO87" i="19"/>
  <c r="CA87" i="19"/>
  <c r="BM87" i="19"/>
  <c r="AY87" i="19"/>
  <c r="AK87" i="19"/>
  <c r="DC86" i="19"/>
  <c r="CO86" i="19"/>
  <c r="CA86" i="19"/>
  <c r="BM86" i="19"/>
  <c r="AY86" i="19"/>
  <c r="AK86" i="19"/>
  <c r="DC85" i="19"/>
  <c r="CO85" i="19"/>
  <c r="CA85" i="19"/>
  <c r="BM85" i="19"/>
  <c r="AY85" i="19"/>
  <c r="AK85" i="19"/>
  <c r="DC84" i="19"/>
  <c r="CO84" i="19"/>
  <c r="CA84" i="19"/>
  <c r="BM84" i="19"/>
  <c r="AY84" i="19"/>
  <c r="AK84" i="19"/>
  <c r="DC83" i="19"/>
  <c r="CO83" i="19"/>
  <c r="CA83" i="19"/>
  <c r="BM83" i="19"/>
  <c r="AY83" i="19"/>
  <c r="AK83" i="19"/>
  <c r="DC82" i="19"/>
  <c r="CO82" i="19"/>
  <c r="CA82" i="19"/>
  <c r="BM82" i="19"/>
  <c r="AY82" i="19"/>
  <c r="AK82" i="19"/>
  <c r="DC81" i="19"/>
  <c r="CO81" i="19"/>
  <c r="CA81" i="19"/>
  <c r="BM81" i="19"/>
  <c r="AY81" i="19"/>
  <c r="AK81" i="19"/>
  <c r="DC80" i="19"/>
  <c r="CO80" i="19"/>
  <c r="CA80" i="19"/>
  <c r="BM80" i="19"/>
  <c r="AY80" i="19"/>
  <c r="AK80" i="19"/>
  <c r="DC79" i="19"/>
  <c r="CO79" i="19"/>
  <c r="CA79" i="19"/>
  <c r="BM79" i="19"/>
  <c r="AY79" i="19"/>
  <c r="AK79" i="19"/>
  <c r="DC78" i="19"/>
  <c r="CO78" i="19"/>
  <c r="CA78" i="19"/>
  <c r="BM78" i="19"/>
  <c r="AY78" i="19"/>
  <c r="AK78" i="19"/>
  <c r="DC77" i="19"/>
  <c r="CO77" i="19"/>
  <c r="CA77" i="19"/>
  <c r="BM77" i="19"/>
  <c r="AY77" i="19"/>
  <c r="AK77" i="19"/>
  <c r="DC76" i="19"/>
  <c r="CO76" i="19"/>
  <c r="CA76" i="19"/>
  <c r="BM76" i="19"/>
  <c r="AY76" i="19"/>
  <c r="AK76" i="19"/>
  <c r="DC75" i="19"/>
  <c r="CO75" i="19"/>
  <c r="CA75" i="19"/>
  <c r="BM75" i="19"/>
  <c r="AY75" i="19"/>
  <c r="AK75" i="19"/>
  <c r="DC74" i="19"/>
  <c r="CO74" i="19"/>
  <c r="CA74" i="19"/>
  <c r="BM74" i="19"/>
  <c r="AY74" i="19"/>
  <c r="AK74" i="19"/>
  <c r="DC73" i="19"/>
  <c r="CO73" i="19"/>
  <c r="CA73" i="19"/>
  <c r="BM73" i="19"/>
  <c r="AY73" i="19"/>
  <c r="AK73" i="19"/>
  <c r="DC72" i="19"/>
  <c r="CO72" i="19"/>
  <c r="CA72" i="19"/>
  <c r="BM72" i="19"/>
  <c r="AY72" i="19"/>
  <c r="AK72" i="19"/>
  <c r="DC71" i="19"/>
  <c r="CO71" i="19"/>
  <c r="CA71" i="19"/>
  <c r="BM71" i="19"/>
  <c r="AY71" i="19"/>
  <c r="AK71" i="19"/>
  <c r="DC70" i="19"/>
  <c r="CO70" i="19"/>
  <c r="CA70" i="19"/>
  <c r="BM70" i="19"/>
  <c r="AY70" i="19"/>
  <c r="AK70" i="19"/>
  <c r="H40" i="19"/>
  <c r="CS321" i="19"/>
  <c r="CE321" i="19"/>
  <c r="BQ321" i="19"/>
  <c r="BC321" i="19"/>
  <c r="AO321" i="19"/>
  <c r="AA321" i="19"/>
  <c r="CS320" i="19"/>
  <c r="CE320" i="19"/>
  <c r="BQ320" i="19"/>
  <c r="BC320" i="19"/>
  <c r="AO320" i="19"/>
  <c r="AA320" i="19"/>
  <c r="CS319" i="19"/>
  <c r="CE319" i="19"/>
  <c r="BQ319" i="19"/>
  <c r="BC319" i="19"/>
  <c r="AO319" i="19"/>
  <c r="AA319" i="19"/>
  <c r="CS318" i="19"/>
  <c r="CE318" i="19"/>
  <c r="BQ318" i="19"/>
  <c r="BC318" i="19"/>
  <c r="AO318" i="19"/>
  <c r="AA318" i="19"/>
  <c r="CS317" i="19"/>
  <c r="CE317" i="19"/>
  <c r="BQ317" i="19"/>
  <c r="BC317" i="19"/>
  <c r="AO317" i="19"/>
  <c r="AA317" i="19"/>
  <c r="CS316" i="19"/>
  <c r="CE316" i="19"/>
  <c r="BQ316" i="19"/>
  <c r="BC316" i="19"/>
  <c r="AO316" i="19"/>
  <c r="AA316" i="19"/>
  <c r="CS315" i="19"/>
  <c r="CE315" i="19"/>
  <c r="BQ315" i="19"/>
  <c r="BC315" i="19"/>
  <c r="AO315" i="19"/>
  <c r="AA315" i="19"/>
  <c r="CS314" i="19"/>
  <c r="CE314" i="19"/>
  <c r="BQ314" i="19"/>
  <c r="BC314" i="19"/>
  <c r="AO314" i="19"/>
  <c r="AA314" i="19"/>
  <c r="CS313" i="19"/>
  <c r="CE313" i="19"/>
  <c r="BQ313" i="19"/>
  <c r="BC313" i="19"/>
  <c r="AO313" i="19"/>
  <c r="AA313" i="19"/>
  <c r="CS312" i="19"/>
  <c r="CE312" i="19"/>
  <c r="BQ312" i="19"/>
  <c r="BC312" i="19"/>
  <c r="AO312" i="19"/>
  <c r="AA312" i="19"/>
  <c r="CS311" i="19"/>
  <c r="CE311" i="19"/>
  <c r="BQ311" i="19"/>
  <c r="BC311" i="19"/>
  <c r="AO311" i="19"/>
  <c r="AA311" i="19"/>
  <c r="CS310" i="19"/>
  <c r="CE310" i="19"/>
  <c r="BQ310" i="19"/>
  <c r="BC310" i="19"/>
  <c r="AO310" i="19"/>
  <c r="AA310" i="19"/>
  <c r="CS309" i="19"/>
  <c r="CE309" i="19"/>
  <c r="BQ309" i="19"/>
  <c r="BC309" i="19"/>
  <c r="AO309" i="19"/>
  <c r="AA309" i="19"/>
  <c r="CS308" i="19"/>
  <c r="CE308" i="19"/>
  <c r="BQ308" i="19"/>
  <c r="BC308" i="19"/>
  <c r="AO308" i="19"/>
  <c r="AA308" i="19"/>
  <c r="CS307" i="19"/>
  <c r="CE307" i="19"/>
  <c r="BQ307" i="19"/>
  <c r="BC307" i="19"/>
  <c r="AO307" i="19"/>
  <c r="AA307" i="19"/>
  <c r="CS306" i="19"/>
  <c r="CE306" i="19"/>
  <c r="BQ306" i="19"/>
  <c r="BC306" i="19"/>
  <c r="AO306" i="19"/>
  <c r="AA306" i="19"/>
  <c r="CS305" i="19"/>
  <c r="CE305" i="19"/>
  <c r="BQ305" i="19"/>
  <c r="BC305" i="19"/>
  <c r="AO305" i="19"/>
  <c r="AA305" i="19"/>
  <c r="CS304" i="19"/>
  <c r="CE304" i="19"/>
  <c r="BQ304" i="19"/>
  <c r="BC304" i="19"/>
  <c r="AO304" i="19"/>
  <c r="AA304" i="19"/>
  <c r="CS303" i="19"/>
  <c r="CE303" i="19"/>
  <c r="BQ303" i="19"/>
  <c r="BC303" i="19"/>
  <c r="AO303" i="19"/>
  <c r="AA303" i="19"/>
  <c r="CS302" i="19"/>
  <c r="CE302" i="19"/>
  <c r="BQ302" i="19"/>
  <c r="BC302" i="19"/>
  <c r="AO302" i="19"/>
  <c r="AA302" i="19"/>
  <c r="CS301" i="19"/>
  <c r="CE301" i="19"/>
  <c r="BQ301" i="19"/>
  <c r="BC301" i="19"/>
  <c r="AO301" i="19"/>
  <c r="AA301" i="19"/>
  <c r="CS300" i="19"/>
  <c r="CE300" i="19"/>
  <c r="BQ300" i="19"/>
  <c r="BC300" i="19"/>
  <c r="AO300" i="19"/>
  <c r="AA300" i="19"/>
  <c r="CS299" i="19"/>
  <c r="CE299" i="19"/>
  <c r="BQ299" i="19"/>
  <c r="BC299" i="19"/>
  <c r="AO299" i="19"/>
  <c r="AA299" i="19"/>
  <c r="CS298" i="19"/>
  <c r="CE298" i="19"/>
  <c r="BQ298" i="19"/>
  <c r="BC298" i="19"/>
  <c r="AO298" i="19"/>
  <c r="AA298" i="19"/>
  <c r="CS297" i="19"/>
  <c r="CE297" i="19"/>
  <c r="BQ297" i="19"/>
  <c r="BC297" i="19"/>
  <c r="AO297" i="19"/>
  <c r="AA297" i="19"/>
  <c r="CS296" i="19"/>
  <c r="CE296" i="19"/>
  <c r="BQ296" i="19"/>
  <c r="BC296" i="19"/>
  <c r="AO296" i="19"/>
  <c r="AA296" i="19"/>
  <c r="CS295" i="19"/>
  <c r="CE295" i="19"/>
  <c r="BQ295" i="19"/>
  <c r="BC295" i="19"/>
  <c r="AO295" i="19"/>
  <c r="AA295" i="19"/>
  <c r="CS294" i="19"/>
  <c r="CE294" i="19"/>
  <c r="BQ294" i="19"/>
  <c r="BC294" i="19"/>
  <c r="AO294" i="19"/>
  <c r="AA294" i="19"/>
  <c r="CS293" i="19"/>
  <c r="CE293" i="19"/>
  <c r="BQ293" i="19"/>
  <c r="BC293" i="19"/>
  <c r="AO293" i="19"/>
  <c r="AA293" i="19"/>
  <c r="CS292" i="19"/>
  <c r="CE292" i="19"/>
  <c r="BQ292" i="19"/>
  <c r="BC292" i="19"/>
  <c r="AO292" i="19"/>
  <c r="AA292" i="19"/>
  <c r="CS291" i="19"/>
  <c r="CE291" i="19"/>
  <c r="BQ291" i="19"/>
  <c r="BC291" i="19"/>
  <c r="AO291" i="19"/>
  <c r="AA291" i="19"/>
  <c r="CS290" i="19"/>
  <c r="CE290" i="19"/>
  <c r="BQ290" i="19"/>
  <c r="BC290" i="19"/>
  <c r="AO290" i="19"/>
  <c r="AA290" i="19"/>
  <c r="CS289" i="19"/>
  <c r="CE289" i="19"/>
  <c r="BQ289" i="19"/>
  <c r="BC289" i="19"/>
  <c r="AO289" i="19"/>
  <c r="AA289" i="19"/>
  <c r="CS288" i="19"/>
  <c r="CE288" i="19"/>
  <c r="BQ288" i="19"/>
  <c r="BC288" i="19"/>
  <c r="AO288" i="19"/>
  <c r="AA288" i="19"/>
  <c r="CS287" i="19"/>
  <c r="CE287" i="19"/>
  <c r="BQ287" i="19"/>
  <c r="BC287" i="19"/>
  <c r="AO287" i="19"/>
  <c r="AA287" i="19"/>
  <c r="CS286" i="19"/>
  <c r="CE286" i="19"/>
  <c r="BQ286" i="19"/>
  <c r="BC286" i="19"/>
  <c r="AO286" i="19"/>
  <c r="AA286" i="19"/>
  <c r="CS285" i="19"/>
  <c r="CE285" i="19"/>
  <c r="BQ285" i="19"/>
  <c r="BC285" i="19"/>
  <c r="AO285" i="19"/>
  <c r="AA285" i="19"/>
  <c r="CS284" i="19"/>
  <c r="CE284" i="19"/>
  <c r="BQ284" i="19"/>
  <c r="BC284" i="19"/>
  <c r="AO284" i="19"/>
  <c r="AA284" i="19"/>
  <c r="CS283" i="19"/>
  <c r="CE283" i="19"/>
  <c r="BQ283" i="19"/>
  <c r="BC283" i="19"/>
  <c r="AO283" i="19"/>
  <c r="AA283" i="19"/>
  <c r="CS282" i="19"/>
  <c r="CE282" i="19"/>
  <c r="BQ282" i="19"/>
  <c r="BC282" i="19"/>
  <c r="AO282" i="19"/>
  <c r="AA282" i="19"/>
  <c r="CS281" i="19"/>
  <c r="CE281" i="19"/>
  <c r="BQ281" i="19"/>
  <c r="BC281" i="19"/>
  <c r="AO281" i="19"/>
  <c r="AA281" i="19"/>
  <c r="CS280" i="19"/>
  <c r="CE280" i="19"/>
  <c r="BQ280" i="19"/>
  <c r="BC280" i="19"/>
  <c r="AO280" i="19"/>
  <c r="AA280" i="19"/>
  <c r="CS279" i="19"/>
  <c r="CE279" i="19"/>
  <c r="BQ279" i="19"/>
  <c r="BC279" i="19"/>
  <c r="AO279" i="19"/>
  <c r="AA279" i="19"/>
  <c r="CS278" i="19"/>
  <c r="CE278" i="19"/>
  <c r="BQ278" i="19"/>
  <c r="BC278" i="19"/>
  <c r="AO278" i="19"/>
  <c r="AA278" i="19"/>
  <c r="CS277" i="19"/>
  <c r="CE277" i="19"/>
  <c r="BQ277" i="19"/>
  <c r="BC277" i="19"/>
  <c r="AO277" i="19"/>
  <c r="AA277" i="19"/>
  <c r="CS276" i="19"/>
  <c r="CE276" i="19"/>
  <c r="BQ276" i="19"/>
  <c r="BC276" i="19"/>
  <c r="AO276" i="19"/>
  <c r="AA276" i="19"/>
  <c r="CS275" i="19"/>
  <c r="CE275" i="19"/>
  <c r="BQ275" i="19"/>
  <c r="BC275" i="19"/>
  <c r="AO275" i="19"/>
  <c r="AA275" i="19"/>
  <c r="CS274" i="19"/>
  <c r="CE274" i="19"/>
  <c r="BQ274" i="19"/>
  <c r="BC274" i="19"/>
  <c r="AO274" i="19"/>
  <c r="AA274" i="19"/>
  <c r="CS273" i="19"/>
  <c r="CE273" i="19"/>
  <c r="BQ273" i="19"/>
  <c r="BC273" i="19"/>
  <c r="AO273" i="19"/>
  <c r="AA273" i="19"/>
  <c r="CS272" i="19"/>
  <c r="CE272" i="19"/>
  <c r="BQ272" i="19"/>
  <c r="BC272" i="19"/>
  <c r="AO272" i="19"/>
  <c r="AA272" i="19"/>
  <c r="CS271" i="19"/>
  <c r="CE271" i="19"/>
  <c r="BQ271" i="19"/>
  <c r="BC271" i="19"/>
  <c r="AO271" i="19"/>
  <c r="AA271" i="19"/>
  <c r="CS270" i="19"/>
  <c r="CE270" i="19"/>
  <c r="BQ270" i="19"/>
  <c r="BC270" i="19"/>
  <c r="AO270" i="19"/>
  <c r="AA270" i="19"/>
  <c r="CS269" i="19"/>
  <c r="CE269" i="19"/>
  <c r="BQ269" i="19"/>
  <c r="BC269" i="19"/>
  <c r="AO269" i="19"/>
  <c r="AA269" i="19"/>
  <c r="CS268" i="19"/>
  <c r="CE268" i="19"/>
  <c r="BQ268" i="19"/>
  <c r="BC268" i="19"/>
  <c r="AO268" i="19"/>
  <c r="AA268" i="19"/>
  <c r="CS267" i="19"/>
  <c r="CE267" i="19"/>
  <c r="BQ267" i="19"/>
  <c r="BC267" i="19"/>
  <c r="AO267" i="19"/>
  <c r="AA267" i="19"/>
  <c r="CS266" i="19"/>
  <c r="CE266" i="19"/>
  <c r="BQ266" i="19"/>
  <c r="BC266" i="19"/>
  <c r="AO266" i="19"/>
  <c r="AA266" i="19"/>
  <c r="CS265" i="19"/>
  <c r="CE265" i="19"/>
  <c r="BQ265" i="19"/>
  <c r="BC265" i="19"/>
  <c r="AO265" i="19"/>
  <c r="AA265" i="19"/>
  <c r="CS264" i="19"/>
  <c r="CE264" i="19"/>
  <c r="BQ264" i="19"/>
  <c r="BC264" i="19"/>
  <c r="AO264" i="19"/>
  <c r="AA264" i="19"/>
  <c r="CS263" i="19"/>
  <c r="CE263" i="19"/>
  <c r="BQ263" i="19"/>
  <c r="BC263" i="19"/>
  <c r="AO263" i="19"/>
  <c r="AA263" i="19"/>
  <c r="CS262" i="19"/>
  <c r="CE262" i="19"/>
  <c r="BQ262" i="19"/>
  <c r="BC262" i="19"/>
  <c r="AO262" i="19"/>
  <c r="AA262" i="19"/>
  <c r="CS261" i="19"/>
  <c r="CE261" i="19"/>
  <c r="BQ261" i="19"/>
  <c r="BC261" i="19"/>
  <c r="AO261" i="19"/>
  <c r="AA261" i="19"/>
  <c r="CS260" i="19"/>
  <c r="CE260" i="19"/>
  <c r="BQ260" i="19"/>
  <c r="BC260" i="19"/>
  <c r="AO260" i="19"/>
  <c r="AA260" i="19"/>
  <c r="CS259" i="19"/>
  <c r="CE259" i="19"/>
  <c r="BQ259" i="19"/>
  <c r="BC259" i="19"/>
  <c r="AO259" i="19"/>
  <c r="AA259" i="19"/>
  <c r="CS258" i="19"/>
  <c r="CE258" i="19"/>
  <c r="BQ258" i="19"/>
  <c r="BC258" i="19"/>
  <c r="AO258" i="19"/>
  <c r="AA258" i="19"/>
  <c r="CS257" i="19"/>
  <c r="CE257" i="19"/>
  <c r="BQ257" i="19"/>
  <c r="BC257" i="19"/>
  <c r="AO257" i="19"/>
  <c r="AA257" i="19"/>
  <c r="CS256" i="19"/>
  <c r="CE256" i="19"/>
  <c r="BQ256" i="19"/>
  <c r="BC256" i="19"/>
  <c r="AO256" i="19"/>
  <c r="AA256" i="19"/>
  <c r="CS255" i="19"/>
  <c r="CE255" i="19"/>
  <c r="BQ255" i="19"/>
  <c r="BC255" i="19"/>
  <c r="AO255" i="19"/>
  <c r="AA255" i="19"/>
  <c r="CS254" i="19"/>
  <c r="CE254" i="19"/>
  <c r="BQ254" i="19"/>
  <c r="BC254" i="19"/>
  <c r="AO254" i="19"/>
  <c r="AA254" i="19"/>
  <c r="CS253" i="19"/>
  <c r="CE253" i="19"/>
  <c r="BQ253" i="19"/>
  <c r="BC253" i="19"/>
  <c r="AO253" i="19"/>
  <c r="AA253" i="19"/>
  <c r="CS252" i="19"/>
  <c r="CE252" i="19"/>
  <c r="BQ252" i="19"/>
  <c r="BC252" i="19"/>
  <c r="AO252" i="19"/>
  <c r="AA252" i="19"/>
  <c r="CS251" i="19"/>
  <c r="CE251" i="19"/>
  <c r="BQ251" i="19"/>
  <c r="BC251" i="19"/>
  <c r="AO251" i="19"/>
  <c r="AA251" i="19"/>
  <c r="CS250" i="19"/>
  <c r="CE250" i="19"/>
  <c r="BQ250" i="19"/>
  <c r="BC250" i="19"/>
  <c r="AO250" i="19"/>
  <c r="AA250" i="19"/>
  <c r="CS249" i="19"/>
  <c r="CE249" i="19"/>
  <c r="BQ249" i="19"/>
  <c r="BC249" i="19"/>
  <c r="AO249" i="19"/>
  <c r="AA249" i="19"/>
  <c r="CS248" i="19"/>
  <c r="CE248" i="19"/>
  <c r="BQ248" i="19"/>
  <c r="BC248" i="19"/>
  <c r="AO248" i="19"/>
  <c r="AA248" i="19"/>
  <c r="CS247" i="19"/>
  <c r="CE247" i="19"/>
  <c r="BQ247" i="19"/>
  <c r="BC247" i="19"/>
  <c r="AO247" i="19"/>
  <c r="AA247" i="19"/>
  <c r="CS246" i="19"/>
  <c r="CE246" i="19"/>
  <c r="BQ246" i="19"/>
  <c r="BC246" i="19"/>
  <c r="AO246" i="19"/>
  <c r="AA246" i="19"/>
  <c r="CS245" i="19"/>
  <c r="CE245" i="19"/>
  <c r="BQ245" i="19"/>
  <c r="BC245" i="19"/>
  <c r="AO245" i="19"/>
  <c r="AA245" i="19"/>
  <c r="CS244" i="19"/>
  <c r="CE244" i="19"/>
  <c r="BQ244" i="19"/>
  <c r="BC244" i="19"/>
  <c r="AO244" i="19"/>
  <c r="AA244" i="19"/>
  <c r="CS243" i="19"/>
  <c r="CE243" i="19"/>
  <c r="BQ243" i="19"/>
  <c r="BC243" i="19"/>
  <c r="AO243" i="19"/>
  <c r="AA243" i="19"/>
  <c r="CS242" i="19"/>
  <c r="CE242" i="19"/>
  <c r="BQ242" i="19"/>
  <c r="BC242" i="19"/>
  <c r="AO242" i="19"/>
  <c r="AA242" i="19"/>
  <c r="CS235" i="19"/>
  <c r="CE235" i="19"/>
  <c r="BQ235" i="19"/>
  <c r="BC235" i="19"/>
  <c r="AO235" i="19"/>
  <c r="AA235" i="19"/>
  <c r="CS234" i="19"/>
  <c r="CE234" i="19"/>
  <c r="BQ234" i="19"/>
  <c r="BC234" i="19"/>
  <c r="AO234" i="19"/>
  <c r="AA234" i="19"/>
  <c r="CS233" i="19"/>
  <c r="CE233" i="19"/>
  <c r="BQ233" i="19"/>
  <c r="BC233" i="19"/>
  <c r="AO233" i="19"/>
  <c r="AA233" i="19"/>
  <c r="CS232" i="19"/>
  <c r="CE232" i="19"/>
  <c r="BQ232" i="19"/>
  <c r="BC232" i="19"/>
  <c r="AO232" i="19"/>
  <c r="AA232" i="19"/>
  <c r="CS231" i="19"/>
  <c r="CE231" i="19"/>
  <c r="BQ231" i="19"/>
  <c r="BC231" i="19"/>
  <c r="AO231" i="19"/>
  <c r="AA231" i="19"/>
  <c r="CS230" i="19"/>
  <c r="CE230" i="19"/>
  <c r="BQ230" i="19"/>
  <c r="BC230" i="19"/>
  <c r="AO230" i="19"/>
  <c r="AA230" i="19"/>
  <c r="CS229" i="19"/>
  <c r="CE229" i="19"/>
  <c r="BQ229" i="19"/>
  <c r="BC229" i="19"/>
  <c r="AO229" i="19"/>
  <c r="AA229" i="19"/>
  <c r="CS228" i="19"/>
  <c r="CE228" i="19"/>
  <c r="BQ228" i="19"/>
  <c r="BC228" i="19"/>
  <c r="AO228" i="19"/>
  <c r="AA228" i="19"/>
  <c r="CS227" i="19"/>
  <c r="CE227" i="19"/>
  <c r="BQ227" i="19"/>
  <c r="BC227" i="19"/>
  <c r="AO227" i="19"/>
  <c r="AA227" i="19"/>
  <c r="CS226" i="19"/>
  <c r="CE226" i="19"/>
  <c r="BQ226" i="19"/>
  <c r="BC226" i="19"/>
  <c r="AO226" i="19"/>
  <c r="AA226" i="19"/>
  <c r="CS225" i="19"/>
  <c r="CE225" i="19"/>
  <c r="BQ225" i="19"/>
  <c r="BC225" i="19"/>
  <c r="AO225" i="19"/>
  <c r="AA225" i="19"/>
  <c r="CS224" i="19"/>
  <c r="CE224" i="19"/>
  <c r="BQ224" i="19"/>
  <c r="BC224" i="19"/>
  <c r="AO224" i="19"/>
  <c r="AA224" i="19"/>
  <c r="CS223" i="19"/>
  <c r="CE223" i="19"/>
  <c r="BQ223" i="19"/>
  <c r="BC223" i="19"/>
  <c r="AO223" i="19"/>
  <c r="AA223" i="19"/>
  <c r="CS222" i="19"/>
  <c r="CE222" i="19"/>
  <c r="BQ222" i="19"/>
  <c r="BC222" i="19"/>
  <c r="AO222" i="19"/>
  <c r="AA222" i="19"/>
  <c r="CS221" i="19"/>
  <c r="CE221" i="19"/>
  <c r="BQ221" i="19"/>
  <c r="BC221" i="19"/>
  <c r="AO221" i="19"/>
  <c r="AA221" i="19"/>
  <c r="CS220" i="19"/>
  <c r="CE220" i="19"/>
  <c r="BQ220" i="19"/>
  <c r="BC220" i="19"/>
  <c r="AO220" i="19"/>
  <c r="AA220" i="19"/>
  <c r="CS219" i="19"/>
  <c r="CE219" i="19"/>
  <c r="BQ219" i="19"/>
  <c r="BC219" i="19"/>
  <c r="AO219" i="19"/>
  <c r="AA219" i="19"/>
  <c r="CS218" i="19"/>
  <c r="CE218" i="19"/>
  <c r="BQ218" i="19"/>
  <c r="BC218" i="19"/>
  <c r="AO218" i="19"/>
  <c r="AA218" i="19"/>
  <c r="CS217" i="19"/>
  <c r="CE217" i="19"/>
  <c r="BQ217" i="19"/>
  <c r="BC217" i="19"/>
  <c r="AO217" i="19"/>
  <c r="AA217" i="19"/>
  <c r="CS216" i="19"/>
  <c r="CE216" i="19"/>
  <c r="BQ216" i="19"/>
  <c r="BC216" i="19"/>
  <c r="AO216" i="19"/>
  <c r="AA216" i="19"/>
  <c r="CS215" i="19"/>
  <c r="CE215" i="19"/>
  <c r="BQ215" i="19"/>
  <c r="BC215" i="19"/>
  <c r="AO215" i="19"/>
  <c r="AA215" i="19"/>
  <c r="CS214" i="19"/>
  <c r="CE214" i="19"/>
  <c r="BQ214" i="19"/>
  <c r="BC214" i="19"/>
  <c r="AO214" i="19"/>
  <c r="AA214" i="19"/>
  <c r="CS213" i="19"/>
  <c r="CE213" i="19"/>
  <c r="BQ213" i="19"/>
  <c r="BC213" i="19"/>
  <c r="AO213" i="19"/>
  <c r="AA213" i="19"/>
  <c r="CS212" i="19"/>
  <c r="CE212" i="19"/>
  <c r="BQ212" i="19"/>
  <c r="BC212" i="19"/>
  <c r="AO212" i="19"/>
  <c r="AA212" i="19"/>
  <c r="CS211" i="19"/>
  <c r="CE211" i="19"/>
  <c r="BQ211" i="19"/>
  <c r="BC211" i="19"/>
  <c r="AO211" i="19"/>
  <c r="AA211" i="19"/>
  <c r="CS210" i="19"/>
  <c r="CE210" i="19"/>
  <c r="BQ210" i="19"/>
  <c r="BC210" i="19"/>
  <c r="AO210" i="19"/>
  <c r="AA210" i="19"/>
  <c r="CS209" i="19"/>
  <c r="CE209" i="19"/>
  <c r="BQ209" i="19"/>
  <c r="BC209" i="19"/>
  <c r="AO209" i="19"/>
  <c r="AA209" i="19"/>
  <c r="CS208" i="19"/>
  <c r="CE208" i="19"/>
  <c r="BQ208" i="19"/>
  <c r="BC208" i="19"/>
  <c r="AO208" i="19"/>
  <c r="AA208" i="19"/>
  <c r="CS207" i="19"/>
  <c r="CE207" i="19"/>
  <c r="BQ207" i="19"/>
  <c r="BC207" i="19"/>
  <c r="AO207" i="19"/>
  <c r="AA207" i="19"/>
  <c r="CS206" i="19"/>
  <c r="CE206" i="19"/>
  <c r="BQ206" i="19"/>
  <c r="BC206" i="19"/>
  <c r="AO206" i="19"/>
  <c r="AA206" i="19"/>
  <c r="CS205" i="19"/>
  <c r="CE205" i="19"/>
  <c r="BQ205" i="19"/>
  <c r="BC205" i="19"/>
  <c r="AO205" i="19"/>
  <c r="AA205" i="19"/>
  <c r="CS204" i="19"/>
  <c r="CE204" i="19"/>
  <c r="BQ204" i="19"/>
  <c r="BC204" i="19"/>
  <c r="AO204" i="19"/>
  <c r="AA204" i="19"/>
  <c r="CS203" i="19"/>
  <c r="CE203" i="19"/>
  <c r="BQ203" i="19"/>
  <c r="BC203" i="19"/>
  <c r="AO203" i="19"/>
  <c r="AA203" i="19"/>
  <c r="CS202" i="19"/>
  <c r="CE202" i="19"/>
  <c r="BQ202" i="19"/>
  <c r="BC202" i="19"/>
  <c r="AO202" i="19"/>
  <c r="AA202" i="19"/>
  <c r="CS201" i="19"/>
  <c r="CE201" i="19"/>
  <c r="BQ201" i="19"/>
  <c r="BC201" i="19"/>
  <c r="AO201" i="19"/>
  <c r="AA201" i="19"/>
  <c r="CS200" i="19"/>
  <c r="CE200" i="19"/>
  <c r="BQ200" i="19"/>
  <c r="BC200" i="19"/>
  <c r="AO200" i="19"/>
  <c r="AA200" i="19"/>
  <c r="CS199" i="19"/>
  <c r="CE199" i="19"/>
  <c r="BQ199" i="19"/>
  <c r="BC199" i="19"/>
  <c r="AO199" i="19"/>
  <c r="AA199" i="19"/>
  <c r="CS198" i="19"/>
  <c r="CE198" i="19"/>
  <c r="BQ198" i="19"/>
  <c r="BC198" i="19"/>
  <c r="AO198" i="19"/>
  <c r="AA198" i="19"/>
  <c r="CS197" i="19"/>
  <c r="CE197" i="19"/>
  <c r="BQ197" i="19"/>
  <c r="BC197" i="19"/>
  <c r="AO197" i="19"/>
  <c r="AA197" i="19"/>
  <c r="CS196" i="19"/>
  <c r="CE196" i="19"/>
  <c r="BQ196" i="19"/>
  <c r="BC196" i="19"/>
  <c r="AO196" i="19"/>
  <c r="AA196" i="19"/>
  <c r="CS195" i="19"/>
  <c r="CE195" i="19"/>
  <c r="BQ195" i="19"/>
  <c r="BC195" i="19"/>
  <c r="AO195" i="19"/>
  <c r="AA195" i="19"/>
  <c r="CS194" i="19"/>
  <c r="CE194" i="19"/>
  <c r="BQ194" i="19"/>
  <c r="BC194" i="19"/>
  <c r="AO194" i="19"/>
  <c r="AA194" i="19"/>
  <c r="CS193" i="19"/>
  <c r="CE193" i="19"/>
  <c r="BQ193" i="19"/>
  <c r="BC193" i="19"/>
  <c r="AO193" i="19"/>
  <c r="AA193" i="19"/>
  <c r="CS192" i="19"/>
  <c r="CE192" i="19"/>
  <c r="BQ192" i="19"/>
  <c r="BC192" i="19"/>
  <c r="AO192" i="19"/>
  <c r="AA192" i="19"/>
  <c r="CS191" i="19"/>
  <c r="CE191" i="19"/>
  <c r="BQ191" i="19"/>
  <c r="BC191" i="19"/>
  <c r="AO191" i="19"/>
  <c r="AA191" i="19"/>
  <c r="CS190" i="19"/>
  <c r="CE190" i="19"/>
  <c r="BQ190" i="19"/>
  <c r="BC190" i="19"/>
  <c r="AO190" i="19"/>
  <c r="AA190" i="19"/>
  <c r="CS189" i="19"/>
  <c r="CE189" i="19"/>
  <c r="BQ189" i="19"/>
  <c r="BC189" i="19"/>
  <c r="AO189" i="19"/>
  <c r="AA189" i="19"/>
  <c r="CS188" i="19"/>
  <c r="CE188" i="19"/>
  <c r="BQ188" i="19"/>
  <c r="BC188" i="19"/>
  <c r="AO188" i="19"/>
  <c r="AA188" i="19"/>
  <c r="CS187" i="19"/>
  <c r="CE187" i="19"/>
  <c r="BQ187" i="19"/>
  <c r="BC187" i="19"/>
  <c r="AO187" i="19"/>
  <c r="AA187" i="19"/>
  <c r="CS186" i="19"/>
  <c r="CE186" i="19"/>
  <c r="BQ186" i="19"/>
  <c r="BC186" i="19"/>
  <c r="AO186" i="19"/>
  <c r="AA186" i="19"/>
  <c r="CS185" i="19"/>
  <c r="CE185" i="19"/>
  <c r="BQ185" i="19"/>
  <c r="BC185" i="19"/>
  <c r="AO185" i="19"/>
  <c r="AA185" i="19"/>
  <c r="CS184" i="19"/>
  <c r="CE184" i="19"/>
  <c r="BQ184" i="19"/>
  <c r="BC184" i="19"/>
  <c r="AO184" i="19"/>
  <c r="AA184" i="19"/>
  <c r="CS183" i="19"/>
  <c r="CE183" i="19"/>
  <c r="BQ183" i="19"/>
  <c r="BC183" i="19"/>
  <c r="AO183" i="19"/>
  <c r="AA183" i="19"/>
  <c r="CS182" i="19"/>
  <c r="CE182" i="19"/>
  <c r="BQ182" i="19"/>
  <c r="BC182" i="19"/>
  <c r="AO182" i="19"/>
  <c r="AA182" i="19"/>
  <c r="CS181" i="19"/>
  <c r="CE181" i="19"/>
  <c r="BQ181" i="19"/>
  <c r="BC181" i="19"/>
  <c r="AO181" i="19"/>
  <c r="AA181" i="19"/>
  <c r="CS180" i="19"/>
  <c r="CE180" i="19"/>
  <c r="BQ180" i="19"/>
  <c r="BC180" i="19"/>
  <c r="AO180" i="19"/>
  <c r="AA180" i="19"/>
  <c r="CS179" i="19"/>
  <c r="CE179" i="19"/>
  <c r="BQ179" i="19"/>
  <c r="BC179" i="19"/>
  <c r="AO179" i="19"/>
  <c r="AA179" i="19"/>
  <c r="CS178" i="19"/>
  <c r="CE178" i="19"/>
  <c r="BQ178" i="19"/>
  <c r="BC178" i="19"/>
  <c r="AO178" i="19"/>
  <c r="AA178" i="19"/>
  <c r="CS177" i="19"/>
  <c r="CE177" i="19"/>
  <c r="BQ177" i="19"/>
  <c r="BC177" i="19"/>
  <c r="AO177" i="19"/>
  <c r="AA177" i="19"/>
  <c r="CS176" i="19"/>
  <c r="CE176" i="19"/>
  <c r="BQ176" i="19"/>
  <c r="BC176" i="19"/>
  <c r="AO176" i="19"/>
  <c r="AA176" i="19"/>
  <c r="CS175" i="19"/>
  <c r="CE175" i="19"/>
  <c r="BQ175" i="19"/>
  <c r="BC175" i="19"/>
  <c r="AO175" i="19"/>
  <c r="AA175" i="19"/>
  <c r="CS174" i="19"/>
  <c r="CE174" i="19"/>
  <c r="BQ174" i="19"/>
  <c r="BC174" i="19"/>
  <c r="AO174" i="19"/>
  <c r="AA174" i="19"/>
  <c r="CS173" i="19"/>
  <c r="CE173" i="19"/>
  <c r="BQ173" i="19"/>
  <c r="BC173" i="19"/>
  <c r="AO173" i="19"/>
  <c r="AA173" i="19"/>
  <c r="CS172" i="19"/>
  <c r="CE172" i="19"/>
  <c r="BQ172" i="19"/>
  <c r="BC172" i="19"/>
  <c r="AO172" i="19"/>
  <c r="AA172" i="19"/>
  <c r="CS171" i="19"/>
  <c r="CE171" i="19"/>
  <c r="BQ171" i="19"/>
  <c r="BC171" i="19"/>
  <c r="AO171" i="19"/>
  <c r="AA171" i="19"/>
  <c r="CS170" i="19"/>
  <c r="CE170" i="19"/>
  <c r="BQ170" i="19"/>
  <c r="BC170" i="19"/>
  <c r="AO170" i="19"/>
  <c r="AA170" i="19"/>
  <c r="CS169" i="19"/>
  <c r="CE169" i="19"/>
  <c r="BQ169" i="19"/>
  <c r="BC169" i="19"/>
  <c r="AO169" i="19"/>
  <c r="AA169" i="19"/>
  <c r="CS168" i="19"/>
  <c r="CE168" i="19"/>
  <c r="BQ168" i="19"/>
  <c r="BC168" i="19"/>
  <c r="AO168" i="19"/>
  <c r="AA168" i="19"/>
  <c r="CS167" i="19"/>
  <c r="CE167" i="19"/>
  <c r="BQ167" i="19"/>
  <c r="BC167" i="19"/>
  <c r="AO167" i="19"/>
  <c r="AA167" i="19"/>
  <c r="CS166" i="19"/>
  <c r="CE166" i="19"/>
  <c r="BQ166" i="19"/>
  <c r="BC166" i="19"/>
  <c r="AO166" i="19"/>
  <c r="AA166" i="19"/>
  <c r="CS165" i="19"/>
  <c r="CE165" i="19"/>
  <c r="BQ165" i="19"/>
  <c r="BC165" i="19"/>
  <c r="AO165" i="19"/>
  <c r="AA165" i="19"/>
  <c r="CS164" i="19"/>
  <c r="CE164" i="19"/>
  <c r="BQ164" i="19"/>
  <c r="BC164" i="19"/>
  <c r="AO164" i="19"/>
  <c r="AA164" i="19"/>
  <c r="CS163" i="19"/>
  <c r="CE163" i="19"/>
  <c r="BQ163" i="19"/>
  <c r="BC163" i="19"/>
  <c r="AO163" i="19"/>
  <c r="AA163" i="19"/>
  <c r="CS162" i="19"/>
  <c r="CE162" i="19"/>
  <c r="BQ162" i="19"/>
  <c r="BC162" i="19"/>
  <c r="AO162" i="19"/>
  <c r="AA162" i="19"/>
  <c r="CS161" i="19"/>
  <c r="CE161" i="19"/>
  <c r="BQ161" i="19"/>
  <c r="BC161" i="19"/>
  <c r="AO161" i="19"/>
  <c r="AA161" i="19"/>
  <c r="CS160" i="19"/>
  <c r="CE160" i="19"/>
  <c r="BQ160" i="19"/>
  <c r="BC160" i="19"/>
  <c r="AO160" i="19"/>
  <c r="AA160" i="19"/>
  <c r="CS159" i="19"/>
  <c r="CE159" i="19"/>
  <c r="BQ159" i="19"/>
  <c r="BC159" i="19"/>
  <c r="AO159" i="19"/>
  <c r="AA159" i="19"/>
  <c r="CS158" i="19"/>
  <c r="CE158" i="19"/>
  <c r="BQ158" i="19"/>
  <c r="BC158" i="19"/>
  <c r="AO158" i="19"/>
  <c r="AA158" i="19"/>
  <c r="CS157" i="19"/>
  <c r="CE157" i="19"/>
  <c r="BQ157" i="19"/>
  <c r="BC157" i="19"/>
  <c r="AO157" i="19"/>
  <c r="AA157" i="19"/>
  <c r="CS156" i="19"/>
  <c r="CE156" i="19"/>
  <c r="BQ156" i="19"/>
  <c r="BC156" i="19"/>
  <c r="AO156" i="19"/>
  <c r="AA156" i="19"/>
  <c r="CS149" i="19"/>
  <c r="CE149" i="19"/>
  <c r="BQ149" i="19"/>
  <c r="BC149" i="19"/>
  <c r="AO149" i="19"/>
  <c r="AA149" i="19"/>
  <c r="CS148" i="19"/>
  <c r="CE148" i="19"/>
  <c r="BQ148" i="19"/>
  <c r="BC148" i="19"/>
  <c r="AO148" i="19"/>
  <c r="AA148" i="19"/>
  <c r="CS147" i="19"/>
  <c r="CE147" i="19"/>
  <c r="BQ147" i="19"/>
  <c r="BC147" i="19"/>
  <c r="AO147" i="19"/>
  <c r="AA147" i="19"/>
  <c r="CS146" i="19"/>
  <c r="CE146" i="19"/>
  <c r="BQ146" i="19"/>
  <c r="BC146" i="19"/>
  <c r="AO146" i="19"/>
  <c r="AA146" i="19"/>
  <c r="CS145" i="19"/>
  <c r="CE145" i="19"/>
  <c r="BQ145" i="19"/>
  <c r="BC145" i="19"/>
  <c r="AO145" i="19"/>
  <c r="AA145" i="19"/>
  <c r="CS144" i="19"/>
  <c r="CE144" i="19"/>
  <c r="BQ144" i="19"/>
  <c r="BC144" i="19"/>
  <c r="AO144" i="19"/>
  <c r="AA144" i="19"/>
  <c r="CS143" i="19"/>
  <c r="CE143" i="19"/>
  <c r="BQ143" i="19"/>
  <c r="BC143" i="19"/>
  <c r="AO143" i="19"/>
  <c r="AA143" i="19"/>
  <c r="CS142" i="19"/>
  <c r="CE142" i="19"/>
  <c r="BQ142" i="19"/>
  <c r="BC142" i="19"/>
  <c r="AO142" i="19"/>
  <c r="AA142" i="19"/>
  <c r="CS141" i="19"/>
  <c r="CE141" i="19"/>
  <c r="BQ141" i="19"/>
  <c r="BC141" i="19"/>
  <c r="AO141" i="19"/>
  <c r="AA141" i="19"/>
  <c r="CS140" i="19"/>
  <c r="CE140" i="19"/>
  <c r="BQ140" i="19"/>
  <c r="BC140" i="19"/>
  <c r="AO140" i="19"/>
  <c r="AA140" i="19"/>
  <c r="CS139" i="19"/>
  <c r="CE139" i="19"/>
  <c r="BQ139" i="19"/>
  <c r="BC139" i="19"/>
  <c r="AO139" i="19"/>
  <c r="AA139" i="19"/>
  <c r="CS138" i="19"/>
  <c r="CE138" i="19"/>
  <c r="BQ138" i="19"/>
  <c r="BC138" i="19"/>
  <c r="AO138" i="19"/>
  <c r="AA138" i="19"/>
  <c r="CS137" i="19"/>
  <c r="CE137" i="19"/>
  <c r="BQ137" i="19"/>
  <c r="BC137" i="19"/>
  <c r="AO137" i="19"/>
  <c r="AA137" i="19"/>
  <c r="CS136" i="19"/>
  <c r="CE136" i="19"/>
  <c r="BQ136" i="19"/>
  <c r="BC136" i="19"/>
  <c r="AO136" i="19"/>
  <c r="AA136" i="19"/>
  <c r="CS135" i="19"/>
  <c r="CE135" i="19"/>
  <c r="BQ135" i="19"/>
  <c r="BC135" i="19"/>
  <c r="AO135" i="19"/>
  <c r="AA135" i="19"/>
  <c r="CS134" i="19"/>
  <c r="CE134" i="19"/>
  <c r="BQ134" i="19"/>
  <c r="BC134" i="19"/>
  <c r="AO134" i="19"/>
  <c r="AA134" i="19"/>
  <c r="CS133" i="19"/>
  <c r="CE133" i="19"/>
  <c r="BQ133" i="19"/>
  <c r="BC133" i="19"/>
  <c r="AO133" i="19"/>
  <c r="AA133" i="19"/>
  <c r="CS132" i="19"/>
  <c r="CE132" i="19"/>
  <c r="BQ132" i="19"/>
  <c r="BC132" i="19"/>
  <c r="AO132" i="19"/>
  <c r="AA132" i="19"/>
  <c r="CS131" i="19"/>
  <c r="CE131" i="19"/>
  <c r="BQ131" i="19"/>
  <c r="BC131" i="19"/>
  <c r="AO131" i="19"/>
  <c r="AA131" i="19"/>
  <c r="CS130" i="19"/>
  <c r="CE130" i="19"/>
  <c r="BQ130" i="19"/>
  <c r="BC130" i="19"/>
  <c r="AO130" i="19"/>
  <c r="AA130" i="19"/>
  <c r="CS129" i="19"/>
  <c r="CE129" i="19"/>
  <c r="BQ129" i="19"/>
  <c r="BC129" i="19"/>
  <c r="AO129" i="19"/>
  <c r="AA129" i="19"/>
  <c r="CS128" i="19"/>
  <c r="CE128" i="19"/>
  <c r="BQ128" i="19"/>
  <c r="BC128" i="19"/>
  <c r="AO128" i="19"/>
  <c r="AA128" i="19"/>
  <c r="CS127" i="19"/>
  <c r="CE127" i="19"/>
  <c r="BQ127" i="19"/>
  <c r="BC127" i="19"/>
  <c r="AO127" i="19"/>
  <c r="AA127" i="19"/>
  <c r="CS126" i="19"/>
  <c r="CE126" i="19"/>
  <c r="BQ126" i="19"/>
  <c r="BC126" i="19"/>
  <c r="AO126" i="19"/>
  <c r="AA126" i="19"/>
  <c r="CS125" i="19"/>
  <c r="CE125" i="19"/>
  <c r="BQ125" i="19"/>
  <c r="BC125" i="19"/>
  <c r="AO125" i="19"/>
  <c r="AA125" i="19"/>
  <c r="CS124" i="19"/>
  <c r="CE124" i="19"/>
  <c r="BQ124" i="19"/>
  <c r="BC124" i="19"/>
  <c r="AO124" i="19"/>
  <c r="AA124" i="19"/>
  <c r="CS123" i="19"/>
  <c r="CE123" i="19"/>
  <c r="BQ123" i="19"/>
  <c r="BC123" i="19"/>
  <c r="AO123" i="19"/>
  <c r="AA123" i="19"/>
  <c r="CS122" i="19"/>
  <c r="CE122" i="19"/>
  <c r="BQ122" i="19"/>
  <c r="BC122" i="19"/>
  <c r="AO122" i="19"/>
  <c r="AA122" i="19"/>
  <c r="CS121" i="19"/>
  <c r="CE121" i="19"/>
  <c r="BQ121" i="19"/>
  <c r="BC121" i="19"/>
  <c r="AO121" i="19"/>
  <c r="AA121" i="19"/>
  <c r="CS120" i="19"/>
  <c r="CE120" i="19"/>
  <c r="BQ120" i="19"/>
  <c r="BC120" i="19"/>
  <c r="AO120" i="19"/>
  <c r="AA120" i="19"/>
  <c r="CS119" i="19"/>
  <c r="CE119" i="19"/>
  <c r="BQ119" i="19"/>
  <c r="BC119" i="19"/>
  <c r="AO119" i="19"/>
  <c r="AA119" i="19"/>
  <c r="CS118" i="19"/>
  <c r="CE118" i="19"/>
  <c r="BQ118" i="19"/>
  <c r="BC118" i="19"/>
  <c r="AO118" i="19"/>
  <c r="AA118" i="19"/>
  <c r="CS117" i="19"/>
  <c r="CE117" i="19"/>
  <c r="BQ117" i="19"/>
  <c r="BC117" i="19"/>
  <c r="AO117" i="19"/>
  <c r="AA117" i="19"/>
  <c r="CS116" i="19"/>
  <c r="CE116" i="19"/>
  <c r="BQ116" i="19"/>
  <c r="BC116" i="19"/>
  <c r="AO116" i="19"/>
  <c r="AA116" i="19"/>
  <c r="CS115" i="19"/>
  <c r="CE115" i="19"/>
  <c r="BQ115" i="19"/>
  <c r="BC115" i="19"/>
  <c r="AO115" i="19"/>
  <c r="AA115" i="19"/>
  <c r="CS114" i="19"/>
  <c r="CE114" i="19"/>
  <c r="BQ114" i="19"/>
  <c r="BC114" i="19"/>
  <c r="AO114" i="19"/>
  <c r="AA114" i="19"/>
  <c r="CS113" i="19"/>
  <c r="CE113" i="19"/>
  <c r="BQ113" i="19"/>
  <c r="BC113" i="19"/>
  <c r="AO113" i="19"/>
  <c r="AA113" i="19"/>
  <c r="CS112" i="19"/>
  <c r="CE112" i="19"/>
  <c r="BQ112" i="19"/>
  <c r="BC112" i="19"/>
  <c r="AO112" i="19"/>
  <c r="AA112" i="19"/>
  <c r="CS111" i="19"/>
  <c r="CE111" i="19"/>
  <c r="BQ111" i="19"/>
  <c r="BC111" i="19"/>
  <c r="AO111" i="19"/>
  <c r="AA111" i="19"/>
  <c r="CS110" i="19"/>
  <c r="CE110" i="19"/>
  <c r="BQ110" i="19"/>
  <c r="BC110" i="19"/>
  <c r="AO110" i="19"/>
  <c r="AA110" i="19"/>
  <c r="CS109" i="19"/>
  <c r="CE109" i="19"/>
  <c r="BQ109" i="19"/>
  <c r="BC109" i="19"/>
  <c r="AO109" i="19"/>
  <c r="AA109" i="19"/>
  <c r="CS108" i="19"/>
  <c r="CE108" i="19"/>
  <c r="BQ108" i="19"/>
  <c r="BC108" i="19"/>
  <c r="AO108" i="19"/>
  <c r="AA108" i="19"/>
  <c r="CS107" i="19"/>
  <c r="CE107" i="19"/>
  <c r="BQ107" i="19"/>
  <c r="BC107" i="19"/>
  <c r="AO107" i="19"/>
  <c r="AA107" i="19"/>
  <c r="CS106" i="19"/>
  <c r="CE106" i="19"/>
  <c r="BQ106" i="19"/>
  <c r="BC106" i="19"/>
  <c r="AO106" i="19"/>
  <c r="AA106" i="19"/>
  <c r="CS105" i="19"/>
  <c r="CE105" i="19"/>
  <c r="BQ105" i="19"/>
  <c r="BC105" i="19"/>
  <c r="AO105" i="19"/>
  <c r="AA105" i="19"/>
  <c r="CS104" i="19"/>
  <c r="CE104" i="19"/>
  <c r="BQ104" i="19"/>
  <c r="BC104" i="19"/>
  <c r="AO104" i="19"/>
  <c r="AA104" i="19"/>
  <c r="CS103" i="19"/>
  <c r="CE103" i="19"/>
  <c r="BQ103" i="19"/>
  <c r="BC103" i="19"/>
  <c r="AO103" i="19"/>
  <c r="AA103" i="19"/>
  <c r="CS102" i="19"/>
  <c r="CE102" i="19"/>
  <c r="BQ102" i="19"/>
  <c r="BC102" i="19"/>
  <c r="AO102" i="19"/>
  <c r="AA102" i="19"/>
  <c r="CS101" i="19"/>
  <c r="CE101" i="19"/>
  <c r="BQ101" i="19"/>
  <c r="BC101" i="19"/>
  <c r="AO101" i="19"/>
  <c r="AA101" i="19"/>
  <c r="CS100" i="19"/>
  <c r="CE100" i="19"/>
  <c r="BQ100" i="19"/>
  <c r="BC100" i="19"/>
  <c r="AO100" i="19"/>
  <c r="AA100" i="19"/>
  <c r="CS99" i="19"/>
  <c r="CE99" i="19"/>
  <c r="BQ99" i="19"/>
  <c r="BC99" i="19"/>
  <c r="AO99" i="19"/>
  <c r="AA99" i="19"/>
  <c r="CS98" i="19"/>
  <c r="CE98" i="19"/>
  <c r="BQ98" i="19"/>
  <c r="BC98" i="19"/>
  <c r="AO98" i="19"/>
  <c r="AA98" i="19"/>
  <c r="CS97" i="19"/>
  <c r="CE97" i="19"/>
  <c r="BQ97" i="19"/>
  <c r="BC97" i="19"/>
  <c r="AO97" i="19"/>
  <c r="AA97" i="19"/>
  <c r="CS96" i="19"/>
  <c r="CE96" i="19"/>
  <c r="BQ96" i="19"/>
  <c r="BC96" i="19"/>
  <c r="AO96" i="19"/>
  <c r="AA96" i="19"/>
  <c r="CS95" i="19"/>
  <c r="CE95" i="19"/>
  <c r="BQ95" i="19"/>
  <c r="BC95" i="19"/>
  <c r="AO95" i="19"/>
  <c r="AA95" i="19"/>
  <c r="CS94" i="19"/>
  <c r="CE94" i="19"/>
  <c r="BQ94" i="19"/>
  <c r="BC94" i="19"/>
  <c r="AO94" i="19"/>
  <c r="AA94" i="19"/>
  <c r="CS93" i="19"/>
  <c r="CE93" i="19"/>
  <c r="BQ93" i="19"/>
  <c r="BC93" i="19"/>
  <c r="AO93" i="19"/>
  <c r="AA93" i="19"/>
  <c r="CS92" i="19"/>
  <c r="CE92" i="19"/>
  <c r="BQ92" i="19"/>
  <c r="BC92" i="19"/>
  <c r="AO92" i="19"/>
  <c r="AA92" i="19"/>
  <c r="CS91" i="19"/>
  <c r="CE91" i="19"/>
  <c r="BQ91" i="19"/>
  <c r="BC91" i="19"/>
  <c r="AO91" i="19"/>
  <c r="AA91" i="19"/>
  <c r="CS90" i="19"/>
  <c r="CE90" i="19"/>
  <c r="BQ90" i="19"/>
  <c r="BC90" i="19"/>
  <c r="AO90" i="19"/>
  <c r="AA90" i="19"/>
  <c r="CS89" i="19"/>
  <c r="CE89" i="19"/>
  <c r="BQ89" i="19"/>
  <c r="BC89" i="19"/>
  <c r="AO89" i="19"/>
  <c r="AA89" i="19"/>
  <c r="CS88" i="19"/>
  <c r="CE88" i="19"/>
  <c r="BQ88" i="19"/>
  <c r="BC88" i="19"/>
  <c r="AO88" i="19"/>
  <c r="AA88" i="19"/>
  <c r="CS87" i="19"/>
  <c r="CE87" i="19"/>
  <c r="BQ87" i="19"/>
  <c r="BC87" i="19"/>
  <c r="AO87" i="19"/>
  <c r="AA87" i="19"/>
  <c r="CS86" i="19"/>
  <c r="CE86" i="19"/>
  <c r="BQ86" i="19"/>
  <c r="BC86" i="19"/>
  <c r="AO86" i="19"/>
  <c r="AA86" i="19"/>
  <c r="CS85" i="19"/>
  <c r="CE85" i="19"/>
  <c r="BQ85" i="19"/>
  <c r="BC85" i="19"/>
  <c r="AO85" i="19"/>
  <c r="AA85" i="19"/>
  <c r="CS84" i="19"/>
  <c r="CE84" i="19"/>
  <c r="BQ84" i="19"/>
  <c r="BC84" i="19"/>
  <c r="AO84" i="19"/>
  <c r="AA84" i="19"/>
  <c r="CS83" i="19"/>
  <c r="CE83" i="19"/>
  <c r="BQ83" i="19"/>
  <c r="BC83" i="19"/>
  <c r="AO83" i="19"/>
  <c r="AA83" i="19"/>
  <c r="CS82" i="19"/>
  <c r="CE82" i="19"/>
  <c r="BQ82" i="19"/>
  <c r="BC82" i="19"/>
  <c r="AO82" i="19"/>
  <c r="AA82" i="19"/>
  <c r="CS81" i="19"/>
  <c r="CE81" i="19"/>
  <c r="BQ81" i="19"/>
  <c r="BC81" i="19"/>
  <c r="AO81" i="19"/>
  <c r="AA81" i="19"/>
  <c r="CS80" i="19"/>
  <c r="CE80" i="19"/>
  <c r="BQ80" i="19"/>
  <c r="BC80" i="19"/>
  <c r="AO80" i="19"/>
  <c r="AA80" i="19"/>
  <c r="CS79" i="19"/>
  <c r="CE79" i="19"/>
  <c r="BQ79" i="19"/>
  <c r="BC79" i="19"/>
  <c r="AO79" i="19"/>
  <c r="AA79" i="19"/>
  <c r="CS78" i="19"/>
  <c r="CE78" i="19"/>
  <c r="BQ78" i="19"/>
  <c r="BC78" i="19"/>
  <c r="AO78" i="19"/>
  <c r="AA78" i="19"/>
  <c r="CS77" i="19"/>
  <c r="CE77" i="19"/>
  <c r="BQ77" i="19"/>
  <c r="BC77" i="19"/>
  <c r="AO77" i="19"/>
  <c r="AA77" i="19"/>
  <c r="CS76" i="19"/>
  <c r="CE76" i="19"/>
  <c r="BQ76" i="19"/>
  <c r="BC76" i="19"/>
  <c r="AO76" i="19"/>
  <c r="AA76" i="19"/>
  <c r="CS75" i="19"/>
  <c r="CE75" i="19"/>
  <c r="BQ75" i="19"/>
  <c r="BC75" i="19"/>
  <c r="AO75" i="19"/>
  <c r="AA75" i="19"/>
  <c r="CS74" i="19"/>
  <c r="CE74" i="19"/>
  <c r="BQ74" i="19"/>
  <c r="BC74" i="19"/>
  <c r="AO74" i="19"/>
  <c r="AA74" i="19"/>
  <c r="CS73" i="19"/>
  <c r="CE73" i="19"/>
  <c r="BQ73" i="19"/>
  <c r="BC73" i="19"/>
  <c r="AO73" i="19"/>
  <c r="AA73" i="19"/>
  <c r="CS72" i="19"/>
  <c r="CE72" i="19"/>
  <c r="BQ72" i="19"/>
  <c r="BC72" i="19"/>
  <c r="AO72" i="19"/>
  <c r="AA72" i="19"/>
  <c r="CS71" i="19"/>
  <c r="CE71" i="19"/>
  <c r="BQ71" i="19"/>
  <c r="BC71" i="19"/>
  <c r="AO71" i="19"/>
  <c r="AA71" i="19"/>
  <c r="CS70" i="19"/>
  <c r="CE70" i="19"/>
  <c r="BQ70" i="19"/>
  <c r="BC70" i="19"/>
  <c r="AO70" i="19"/>
  <c r="AA70" i="19"/>
  <c r="I40" i="19"/>
  <c r="L14" i="3"/>
  <c r="C25" i="20" s="1"/>
  <c r="B32" i="15" l="1"/>
  <c r="A21" i="19" s="1"/>
  <c r="A47" i="19" l="1"/>
  <c r="A34" i="19"/>
  <c r="G3" i="3"/>
  <c r="G2" i="3"/>
  <c r="E33" i="15"/>
  <c r="B78" i="34" l="1"/>
  <c r="F78" i="34"/>
  <c r="J16" i="3" l="1"/>
  <c r="O62" i="20"/>
  <c r="O63" i="20"/>
  <c r="O60" i="20"/>
  <c r="O61" i="20"/>
  <c r="B65" i="34" l="1"/>
  <c r="B66" i="34"/>
  <c r="B69" i="34"/>
  <c r="N454" i="19" l="1"/>
  <c r="N458" i="19"/>
  <c r="E37" i="34" l="1"/>
  <c r="C2" i="35" l="1"/>
  <c r="B2" i="35"/>
  <c r="B28" i="3" l="1"/>
  <c r="B31" i="3"/>
  <c r="B29" i="3"/>
  <c r="I8" i="33" l="1"/>
  <c r="L42" i="34" l="1"/>
  <c r="N42" i="34" s="1"/>
  <c r="C33" i="34"/>
  <c r="D37" i="34"/>
  <c r="C54" i="34"/>
  <c r="C53" i="34"/>
  <c r="C52" i="34"/>
  <c r="O42" i="34" l="1"/>
  <c r="M42" i="34"/>
  <c r="C19" i="3" l="1"/>
  <c r="F33" i="34" s="1"/>
  <c r="E445" i="33"/>
  <c r="I445" i="33"/>
  <c r="I444" i="33"/>
  <c r="E403" i="33"/>
  <c r="I403" i="33"/>
  <c r="I402" i="33"/>
  <c r="E361" i="33"/>
  <c r="I361" i="33"/>
  <c r="I360" i="33"/>
  <c r="I317" i="33"/>
  <c r="I316" i="33"/>
  <c r="E317" i="33"/>
  <c r="I273" i="33"/>
  <c r="I272" i="33"/>
  <c r="E273" i="33"/>
  <c r="I230" i="33"/>
  <c r="I229" i="33"/>
  <c r="E230" i="33"/>
  <c r="I188" i="33"/>
  <c r="I187" i="33"/>
  <c r="E188" i="33"/>
  <c r="I144" i="33"/>
  <c r="I143" i="33"/>
  <c r="E144" i="33"/>
  <c r="I99" i="33"/>
  <c r="I98" i="33"/>
  <c r="E99" i="33"/>
  <c r="I56" i="33"/>
  <c r="I55" i="33"/>
  <c r="E56" i="33"/>
  <c r="I13" i="33"/>
  <c r="I12" i="33"/>
  <c r="I9" i="33"/>
  <c r="E13" i="33"/>
  <c r="F337" i="26"/>
  <c r="E444" i="33" s="1"/>
  <c r="F305" i="26"/>
  <c r="E402" i="33" s="1"/>
  <c r="F273" i="26"/>
  <c r="E360" i="33" s="1"/>
  <c r="F239" i="26"/>
  <c r="E316" i="33" s="1"/>
  <c r="F205" i="26"/>
  <c r="E272" i="33" s="1"/>
  <c r="F173" i="26"/>
  <c r="E229" i="33" s="1"/>
  <c r="F140" i="26"/>
  <c r="E187" i="33" s="1"/>
  <c r="F108" i="26"/>
  <c r="E143" i="33" s="1"/>
  <c r="F76" i="26"/>
  <c r="E98" i="33" s="1"/>
  <c r="F44" i="26"/>
  <c r="E55" i="33" s="1"/>
  <c r="F12" i="26"/>
  <c r="E12" i="33" s="1"/>
  <c r="F6" i="26"/>
  <c r="I468" i="33"/>
  <c r="I429" i="33"/>
  <c r="I426" i="33"/>
  <c r="I384" i="33"/>
  <c r="I340" i="33"/>
  <c r="I296" i="33"/>
  <c r="I253" i="33"/>
  <c r="I210" i="33"/>
  <c r="I166" i="33"/>
  <c r="I121" i="33"/>
  <c r="I78" i="33"/>
  <c r="I35" i="33"/>
  <c r="I19" i="33"/>
  <c r="I475" i="33"/>
  <c r="I474" i="33"/>
  <c r="I433" i="33"/>
  <c r="I432" i="33"/>
  <c r="I391" i="33"/>
  <c r="I390" i="33"/>
  <c r="I347" i="33"/>
  <c r="I346" i="33"/>
  <c r="I303" i="33"/>
  <c r="I302" i="33"/>
  <c r="I260" i="33"/>
  <c r="I259" i="33"/>
  <c r="I217" i="33"/>
  <c r="I216" i="33"/>
  <c r="I173" i="33"/>
  <c r="I172" i="33"/>
  <c r="I128" i="33"/>
  <c r="I127" i="33"/>
  <c r="I85" i="33"/>
  <c r="I84" i="33"/>
  <c r="I42" i="33"/>
  <c r="I41" i="33"/>
  <c r="I463" i="33" l="1"/>
  <c r="I421" i="33"/>
  <c r="I379" i="33"/>
  <c r="I335" i="33"/>
  <c r="I291" i="33"/>
  <c r="I248" i="33"/>
  <c r="I205" i="33"/>
  <c r="I161" i="33"/>
  <c r="I116" i="33"/>
  <c r="I73" i="33"/>
  <c r="I30" i="33"/>
  <c r="I407" i="33"/>
  <c r="I406" i="33"/>
  <c r="I400" i="33"/>
  <c r="I190" i="33"/>
  <c r="I189" i="33"/>
  <c r="I184" i="33"/>
  <c r="I183" i="33"/>
  <c r="I182" i="33"/>
  <c r="I191" i="33"/>
  <c r="I147" i="33"/>
  <c r="I146" i="33"/>
  <c r="I145" i="33"/>
  <c r="I141" i="33"/>
  <c r="I138" i="33"/>
  <c r="I94" i="33"/>
  <c r="I140" i="33"/>
  <c r="I139" i="33"/>
  <c r="I96" i="33"/>
  <c r="I53" i="33"/>
  <c r="I102" i="33"/>
  <c r="I101" i="33"/>
  <c r="I100" i="33"/>
  <c r="I59" i="33"/>
  <c r="I58" i="33"/>
  <c r="I57" i="33"/>
  <c r="I95" i="33"/>
  <c r="I449" i="33"/>
  <c r="I448" i="33"/>
  <c r="I233" i="33"/>
  <c r="I234" i="33"/>
  <c r="I227" i="33"/>
  <c r="I226" i="33"/>
  <c r="I228" i="33"/>
  <c r="D528" i="33"/>
  <c r="D530" i="33" s="1"/>
  <c r="I270" i="33"/>
  <c r="I269" i="33"/>
  <c r="I277" i="33"/>
  <c r="I356" i="33"/>
  <c r="I358" i="33"/>
  <c r="I357" i="33"/>
  <c r="I364" i="33"/>
  <c r="I365" i="33"/>
  <c r="I359" i="33"/>
  <c r="I321" i="33"/>
  <c r="I312" i="33"/>
  <c r="I313" i="33"/>
  <c r="I320" i="33"/>
  <c r="I314" i="33"/>
  <c r="I315" i="33"/>
  <c r="I276" i="33"/>
  <c r="I271" i="33"/>
  <c r="I471" i="33"/>
  <c r="I470" i="33"/>
  <c r="I469" i="33"/>
  <c r="I467" i="33"/>
  <c r="I466" i="33"/>
  <c r="I465" i="33"/>
  <c r="I464" i="33"/>
  <c r="I428" i="33"/>
  <c r="I427" i="33"/>
  <c r="I425" i="33"/>
  <c r="I424" i="33"/>
  <c r="I423" i="33"/>
  <c r="I422" i="33"/>
  <c r="I387" i="33"/>
  <c r="I386" i="33"/>
  <c r="I385" i="33"/>
  <c r="I383" i="33"/>
  <c r="I382" i="33"/>
  <c r="I381" i="33"/>
  <c r="I380" i="33"/>
  <c r="I343" i="33"/>
  <c r="I342" i="33"/>
  <c r="I341" i="33"/>
  <c r="I339" i="33"/>
  <c r="I338" i="33"/>
  <c r="I337" i="33"/>
  <c r="I336" i="33"/>
  <c r="I299" i="33"/>
  <c r="I298" i="33"/>
  <c r="I297" i="33"/>
  <c r="I295" i="33"/>
  <c r="I294" i="33"/>
  <c r="I293" i="33"/>
  <c r="I292" i="33"/>
  <c r="I256" i="33"/>
  <c r="I255" i="33"/>
  <c r="I254" i="33"/>
  <c r="I252" i="33"/>
  <c r="I251" i="33"/>
  <c r="I250" i="33"/>
  <c r="I249" i="33"/>
  <c r="I213" i="33"/>
  <c r="I212" i="33"/>
  <c r="I211" i="33"/>
  <c r="I209" i="33"/>
  <c r="I208" i="33"/>
  <c r="I207" i="33"/>
  <c r="I206" i="33"/>
  <c r="I169" i="33"/>
  <c r="I168" i="33"/>
  <c r="I167" i="33"/>
  <c r="I165" i="33"/>
  <c r="I164" i="33"/>
  <c r="I163" i="33"/>
  <c r="I162" i="33"/>
  <c r="I124" i="33"/>
  <c r="I123" i="33"/>
  <c r="I122" i="33"/>
  <c r="I120" i="33"/>
  <c r="I119" i="33"/>
  <c r="I118" i="33"/>
  <c r="I117" i="33"/>
  <c r="I81" i="33"/>
  <c r="I80" i="33"/>
  <c r="I79" i="33"/>
  <c r="I77" i="33"/>
  <c r="I76" i="33"/>
  <c r="I75" i="33"/>
  <c r="I74" i="33"/>
  <c r="I38" i="33"/>
  <c r="I37" i="33"/>
  <c r="I36" i="33"/>
  <c r="I34" i="33"/>
  <c r="I33" i="33"/>
  <c r="I32" i="33"/>
  <c r="I31" i="33"/>
  <c r="I462" i="33"/>
  <c r="H155" i="33"/>
  <c r="I454" i="33"/>
  <c r="I453" i="33"/>
  <c r="I412" i="33"/>
  <c r="I411" i="33"/>
  <c r="I370" i="33"/>
  <c r="I369" i="33"/>
  <c r="I326" i="33"/>
  <c r="I325" i="33"/>
  <c r="I282" i="33"/>
  <c r="I281" i="33"/>
  <c r="I239" i="33"/>
  <c r="I238" i="33"/>
  <c r="I196" i="33"/>
  <c r="I195" i="33"/>
  <c r="I152" i="33"/>
  <c r="I151" i="33"/>
  <c r="I107" i="33"/>
  <c r="I106" i="33"/>
  <c r="I64" i="33"/>
  <c r="I63" i="33"/>
  <c r="I21" i="33"/>
  <c r="I20" i="33"/>
  <c r="I104" i="33"/>
  <c r="I103" i="33"/>
  <c r="I149" i="33"/>
  <c r="I148" i="33"/>
  <c r="I193" i="33"/>
  <c r="I192" i="33"/>
  <c r="I236" i="33"/>
  <c r="I235" i="33"/>
  <c r="I279" i="33"/>
  <c r="I278" i="33"/>
  <c r="I323" i="33"/>
  <c r="I322" i="33"/>
  <c r="I367" i="33"/>
  <c r="I366" i="33"/>
  <c r="I409" i="33"/>
  <c r="I408" i="33"/>
  <c r="I450" i="33"/>
  <c r="I60" i="33"/>
  <c r="I451" i="33"/>
  <c r="I62" i="33"/>
  <c r="I61" i="33"/>
  <c r="I452" i="33"/>
  <c r="I410" i="33"/>
  <c r="I368" i="33"/>
  <c r="I324" i="33"/>
  <c r="I280" i="33"/>
  <c r="I237" i="33"/>
  <c r="I194" i="33"/>
  <c r="I150" i="33"/>
  <c r="I105" i="33"/>
  <c r="I51" i="33"/>
  <c r="I420" i="33"/>
  <c r="I378" i="33"/>
  <c r="I334" i="33"/>
  <c r="I290" i="33"/>
  <c r="I247" i="33"/>
  <c r="I204" i="33"/>
  <c r="I160" i="33"/>
  <c r="I115" i="33"/>
  <c r="I52" i="33"/>
  <c r="I72" i="33"/>
  <c r="I459" i="33" l="1"/>
  <c r="I417" i="33"/>
  <c r="I375" i="33"/>
  <c r="I331" i="33"/>
  <c r="I287" i="33"/>
  <c r="I244" i="33"/>
  <c r="I201" i="33"/>
  <c r="I157" i="33"/>
  <c r="I112" i="33"/>
  <c r="I69" i="33"/>
  <c r="I26" i="33"/>
  <c r="T489" i="19"/>
  <c r="S489" i="19"/>
  <c r="R489" i="19"/>
  <c r="E481" i="19"/>
  <c r="E482" i="19"/>
  <c r="E483" i="19"/>
  <c r="E484" i="19"/>
  <c r="E485" i="19"/>
  <c r="E480" i="19"/>
  <c r="F441" i="33"/>
  <c r="I14" i="33"/>
  <c r="I10" i="33"/>
  <c r="F399" i="33"/>
  <c r="F50" i="33"/>
  <c r="F93" i="33"/>
  <c r="F137" i="33"/>
  <c r="F181" i="33"/>
  <c r="F225" i="33"/>
  <c r="F268" i="33"/>
  <c r="F311" i="33"/>
  <c r="F355" i="33"/>
  <c r="E443" i="33"/>
  <c r="E448" i="33"/>
  <c r="E451" i="33"/>
  <c r="E454" i="33"/>
  <c r="E457" i="33"/>
  <c r="E458" i="33"/>
  <c r="E465" i="33"/>
  <c r="E467" i="33"/>
  <c r="E470" i="33"/>
  <c r="E473" i="33"/>
  <c r="E442" i="33"/>
  <c r="E401" i="33"/>
  <c r="E406" i="33"/>
  <c r="E409" i="33"/>
  <c r="E412" i="33"/>
  <c r="E415" i="33"/>
  <c r="E416" i="33"/>
  <c r="E423" i="33"/>
  <c r="E425" i="33"/>
  <c r="E428" i="33"/>
  <c r="E431" i="33"/>
  <c r="E400" i="33"/>
  <c r="E357" i="33"/>
  <c r="E358" i="33"/>
  <c r="E364" i="33"/>
  <c r="E367" i="33"/>
  <c r="E370" i="33"/>
  <c r="E373" i="33"/>
  <c r="E374" i="33"/>
  <c r="E381" i="33"/>
  <c r="E383" i="33"/>
  <c r="E386" i="33"/>
  <c r="E389" i="33"/>
  <c r="E313" i="33"/>
  <c r="E314" i="33"/>
  <c r="E320" i="33"/>
  <c r="E323" i="33"/>
  <c r="E326" i="33"/>
  <c r="E329" i="33"/>
  <c r="E330" i="33"/>
  <c r="E337" i="33"/>
  <c r="E339" i="33"/>
  <c r="E342" i="33"/>
  <c r="E345" i="33"/>
  <c r="E270" i="33"/>
  <c r="E271" i="33"/>
  <c r="E276" i="33"/>
  <c r="E279" i="33"/>
  <c r="E282" i="33"/>
  <c r="E285" i="33"/>
  <c r="E286" i="33"/>
  <c r="E293" i="33"/>
  <c r="E295" i="33"/>
  <c r="E298" i="33"/>
  <c r="E227" i="33"/>
  <c r="E228" i="33"/>
  <c r="E234" i="33"/>
  <c r="E236" i="33"/>
  <c r="E239" i="33"/>
  <c r="E242" i="33"/>
  <c r="E243" i="33"/>
  <c r="E250" i="33"/>
  <c r="E252" i="33"/>
  <c r="E255" i="33"/>
  <c r="E258" i="33"/>
  <c r="E215" i="33"/>
  <c r="E183" i="33"/>
  <c r="E190" i="33"/>
  <c r="E193" i="33"/>
  <c r="E196" i="33"/>
  <c r="E199" i="33"/>
  <c r="E200" i="33"/>
  <c r="E207" i="33"/>
  <c r="E209" i="33"/>
  <c r="E212" i="33"/>
  <c r="E139" i="33"/>
  <c r="E146" i="33"/>
  <c r="E149" i="33"/>
  <c r="E152" i="33"/>
  <c r="E155" i="33"/>
  <c r="E156" i="33"/>
  <c r="E163" i="33"/>
  <c r="E165" i="33"/>
  <c r="E168" i="33"/>
  <c r="E171" i="33"/>
  <c r="E52" i="33"/>
  <c r="E58" i="33"/>
  <c r="E61" i="33"/>
  <c r="E64" i="33"/>
  <c r="E67" i="33"/>
  <c r="E68" i="33"/>
  <c r="E75" i="33"/>
  <c r="E77" i="33"/>
  <c r="E80" i="33"/>
  <c r="E83" i="33"/>
  <c r="E95" i="33"/>
  <c r="E101" i="33"/>
  <c r="E104" i="33"/>
  <c r="E107" i="33"/>
  <c r="E110" i="33"/>
  <c r="E111" i="33"/>
  <c r="E118" i="33"/>
  <c r="E120" i="33"/>
  <c r="E123" i="33"/>
  <c r="E126" i="33"/>
  <c r="E9" i="33"/>
  <c r="E15" i="33"/>
  <c r="E18" i="33"/>
  <c r="E21" i="33"/>
  <c r="E24" i="33"/>
  <c r="E25" i="33"/>
  <c r="E32" i="33"/>
  <c r="E34" i="33"/>
  <c r="E37" i="33"/>
  <c r="E40" i="33"/>
  <c r="F223" i="26" l="1"/>
  <c r="E301" i="33" s="1"/>
  <c r="F8" i="26" l="1"/>
  <c r="E14" i="33" s="1"/>
  <c r="E8" i="33"/>
  <c r="F288" i="26"/>
  <c r="E385" i="33" s="1"/>
  <c r="F312" i="26"/>
  <c r="E418" i="33" s="1"/>
  <c r="F218" i="26"/>
  <c r="E294" i="33" s="1"/>
  <c r="F303" i="26"/>
  <c r="E408" i="33" s="1"/>
  <c r="F242" i="26"/>
  <c r="E325" i="33" s="1"/>
  <c r="F54" i="26"/>
  <c r="E74" i="33" s="1"/>
  <c r="F286" i="26"/>
  <c r="E382" i="33" s="1"/>
  <c r="F46" i="26"/>
  <c r="E63" i="33" s="1"/>
  <c r="F220" i="26"/>
  <c r="E297" i="33" s="1"/>
  <c r="F169" i="26"/>
  <c r="F171" i="26"/>
  <c r="E235" i="33" s="1"/>
  <c r="F116" i="26"/>
  <c r="E159" i="33" s="1"/>
  <c r="F179" i="26"/>
  <c r="E245" i="33" s="1"/>
  <c r="F314" i="26"/>
  <c r="E419" i="33" s="1"/>
  <c r="F248" i="26"/>
  <c r="E333" i="33" s="1"/>
  <c r="F250" i="26"/>
  <c r="E336" i="33" s="1"/>
  <c r="F185" i="26"/>
  <c r="E251" i="33" s="1"/>
  <c r="F187" i="26"/>
  <c r="E254" i="33" s="1"/>
  <c r="F335" i="26"/>
  <c r="E450" i="33" s="1"/>
  <c r="F22" i="26"/>
  <c r="E31" i="33" s="1"/>
  <c r="F82" i="26"/>
  <c r="E113" i="33" s="1"/>
  <c r="F138" i="26"/>
  <c r="E192" i="33" s="1"/>
  <c r="F199" i="26"/>
  <c r="E269" i="33" s="1"/>
  <c r="F266" i="26"/>
  <c r="E356" i="33" s="1"/>
  <c r="F340" i="26"/>
  <c r="E453" i="33" s="1"/>
  <c r="F50" i="26"/>
  <c r="E70" i="33" s="1"/>
  <c r="F232" i="26"/>
  <c r="E312" i="33" s="1"/>
  <c r="F237" i="26"/>
  <c r="E322" i="33" s="1"/>
  <c r="F175" i="26"/>
  <c r="E238" i="33" s="1"/>
  <c r="F70" i="26"/>
  <c r="E94" i="33" s="1"/>
  <c r="F316" i="26"/>
  <c r="E422" i="33" s="1"/>
  <c r="F122" i="26"/>
  <c r="E167" i="33" s="1"/>
  <c r="F252" i="26"/>
  <c r="E338" i="33" s="1"/>
  <c r="F136" i="26"/>
  <c r="F254" i="26"/>
  <c r="E341" i="33" s="1"/>
  <c r="F24" i="26"/>
  <c r="E33" i="33" s="1"/>
  <c r="F84" i="26"/>
  <c r="E114" i="33" s="1"/>
  <c r="F142" i="26"/>
  <c r="E195" i="33" s="1"/>
  <c r="F203" i="26"/>
  <c r="E278" i="33" s="1"/>
  <c r="F271" i="26"/>
  <c r="E366" i="33" s="1"/>
  <c r="F344" i="26"/>
  <c r="E460" i="33" s="1"/>
  <c r="F154" i="26"/>
  <c r="E211" i="33" s="1"/>
  <c r="F320" i="26"/>
  <c r="E427" i="33" s="1"/>
  <c r="F86" i="26"/>
  <c r="E117" i="33" s="1"/>
  <c r="F346" i="26"/>
  <c r="E461" i="33" s="1"/>
  <c r="F38" i="26"/>
  <c r="E51" i="33" s="1"/>
  <c r="F88" i="26"/>
  <c r="E119" i="33" s="1"/>
  <c r="F148" i="26"/>
  <c r="E203" i="33" s="1"/>
  <c r="F212" i="26"/>
  <c r="E288" i="33" s="1"/>
  <c r="F280" i="26"/>
  <c r="E376" i="33" s="1"/>
  <c r="F348" i="26"/>
  <c r="E464" i="33" s="1"/>
  <c r="F166" i="26"/>
  <c r="E226" i="33" s="1"/>
  <c r="F52" i="26"/>
  <c r="E71" i="33" s="1"/>
  <c r="F308" i="26"/>
  <c r="E411" i="33" s="1"/>
  <c r="F118" i="26"/>
  <c r="E162" i="33" s="1"/>
  <c r="F246" i="26"/>
  <c r="E332" i="33" s="1"/>
  <c r="F181" i="26"/>
  <c r="E246" i="33" s="1"/>
  <c r="F72" i="26"/>
  <c r="F183" i="26"/>
  <c r="E249" i="33" s="1"/>
  <c r="F134" i="26"/>
  <c r="E182" i="33" s="1"/>
  <c r="E28" i="33"/>
  <c r="F146" i="26"/>
  <c r="E202" i="33" s="1"/>
  <c r="F276" i="26"/>
  <c r="E369" i="33" s="1"/>
  <c r="F40" i="26"/>
  <c r="F90" i="26"/>
  <c r="E122" i="33" s="1"/>
  <c r="F150" i="26"/>
  <c r="E206" i="33" s="1"/>
  <c r="F214" i="26"/>
  <c r="E289" i="33" s="1"/>
  <c r="F282" i="26"/>
  <c r="E377" i="33" s="1"/>
  <c r="F350" i="26"/>
  <c r="E466" i="33" s="1"/>
  <c r="F104" i="26"/>
  <c r="F106" i="26"/>
  <c r="E148" i="33" s="1"/>
  <c r="F110" i="26"/>
  <c r="E151" i="33" s="1"/>
  <c r="F114" i="26"/>
  <c r="E158" i="33" s="1"/>
  <c r="F56" i="26"/>
  <c r="E76" i="33" s="1"/>
  <c r="F58" i="26"/>
  <c r="E79" i="33" s="1"/>
  <c r="F120" i="26"/>
  <c r="E164" i="33" s="1"/>
  <c r="F318" i="26"/>
  <c r="E424" i="33" s="1"/>
  <c r="F74" i="26"/>
  <c r="E103" i="33" s="1"/>
  <c r="F78" i="26"/>
  <c r="E106" i="33" s="1"/>
  <c r="F26" i="26"/>
  <c r="E36" i="33" s="1"/>
  <c r="F208" i="26"/>
  <c r="E281" i="33" s="1"/>
  <c r="F42" i="26"/>
  <c r="E60" i="33" s="1"/>
  <c r="F102" i="26"/>
  <c r="E138" i="33" s="1"/>
  <c r="F152" i="26"/>
  <c r="E208" i="33" s="1"/>
  <c r="F216" i="26"/>
  <c r="E292" i="33" s="1"/>
  <c r="F284" i="26"/>
  <c r="E380" i="33" s="1"/>
  <c r="F352" i="26"/>
  <c r="E469" i="33" s="1"/>
  <c r="F28" i="26" l="1"/>
  <c r="E39" i="33" s="1"/>
  <c r="F10" i="26"/>
  <c r="F189" i="26"/>
  <c r="E257" i="33" s="1"/>
  <c r="E233" i="33"/>
  <c r="F156" i="26"/>
  <c r="E214" i="33" s="1"/>
  <c r="E189" i="33"/>
  <c r="F92" i="26"/>
  <c r="E125" i="33" s="1"/>
  <c r="E100" i="33"/>
  <c r="F124" i="26"/>
  <c r="E170" i="33" s="1"/>
  <c r="E145" i="33"/>
  <c r="F60" i="26"/>
  <c r="E82" i="33" s="1"/>
  <c r="E57" i="33"/>
  <c r="W48" i="2"/>
  <c r="X48" i="2" s="1"/>
  <c r="U48" i="2"/>
  <c r="W47" i="2"/>
  <c r="X47" i="2" s="1"/>
  <c r="U47" i="2"/>
  <c r="W46" i="2"/>
  <c r="X46" i="2" s="1"/>
  <c r="U46" i="2"/>
  <c r="W45" i="2"/>
  <c r="X45" i="2" s="1"/>
  <c r="U45" i="2"/>
  <c r="J40" i="2"/>
  <c r="K40" i="2" s="1"/>
  <c r="H40" i="2"/>
  <c r="J39" i="2"/>
  <c r="K39" i="2" s="1"/>
  <c r="H39" i="2"/>
  <c r="J38" i="2"/>
  <c r="K38" i="2" s="1"/>
  <c r="H38" i="2"/>
  <c r="J37" i="2"/>
  <c r="K37" i="2" s="1"/>
  <c r="H37" i="2"/>
  <c r="J36" i="2"/>
  <c r="K36" i="2" s="1"/>
  <c r="H36" i="2"/>
  <c r="J35" i="2"/>
  <c r="K35" i="2" s="1"/>
  <c r="H35" i="2"/>
  <c r="J34" i="2"/>
  <c r="K34" i="2" s="1"/>
  <c r="H34" i="2"/>
  <c r="J33" i="2"/>
  <c r="K33" i="2" s="1"/>
  <c r="H33" i="2"/>
  <c r="J32" i="2"/>
  <c r="K32" i="2" s="1"/>
  <c r="H32" i="2"/>
  <c r="J31" i="2"/>
  <c r="K31" i="2" s="1"/>
  <c r="H31" i="2"/>
  <c r="J30" i="2"/>
  <c r="K30" i="2" s="1"/>
  <c r="H30" i="2"/>
  <c r="J29" i="2"/>
  <c r="K29" i="2" s="1"/>
  <c r="H29" i="2"/>
  <c r="J28" i="2"/>
  <c r="K28" i="2" s="1"/>
  <c r="H28" i="2"/>
  <c r="J27" i="2"/>
  <c r="K27" i="2" s="1"/>
  <c r="H27" i="2"/>
  <c r="J26" i="2"/>
  <c r="K26" i="2" s="1"/>
  <c r="H26" i="2"/>
  <c r="J25" i="2"/>
  <c r="K25" i="2" s="1"/>
  <c r="H25" i="2"/>
  <c r="J24" i="2"/>
  <c r="K24" i="2" s="1"/>
  <c r="H24" i="2"/>
  <c r="J23" i="2"/>
  <c r="K23" i="2" s="1"/>
  <c r="H23" i="2"/>
  <c r="J22" i="2"/>
  <c r="K22" i="2" s="1"/>
  <c r="H22" i="2"/>
  <c r="J21" i="2"/>
  <c r="K21" i="2" s="1"/>
  <c r="H21" i="2"/>
  <c r="J20" i="2"/>
  <c r="K20" i="2" s="1"/>
  <c r="H20" i="2"/>
  <c r="J19" i="2"/>
  <c r="K19" i="2" s="1"/>
  <c r="H19" i="2"/>
  <c r="J18" i="2"/>
  <c r="K18" i="2" s="1"/>
  <c r="H18" i="2"/>
  <c r="J17" i="2"/>
  <c r="K17" i="2" s="1"/>
  <c r="H17" i="2"/>
  <c r="J16" i="2"/>
  <c r="K16" i="2" s="1"/>
  <c r="H16" i="2"/>
  <c r="J15" i="2"/>
  <c r="K15" i="2" s="1"/>
  <c r="H15" i="2"/>
  <c r="J14" i="2"/>
  <c r="K14" i="2" s="1"/>
  <c r="H14" i="2"/>
  <c r="J13" i="2"/>
  <c r="K13" i="2" s="1"/>
  <c r="H13" i="2"/>
  <c r="J12" i="2"/>
  <c r="K12" i="2" s="1"/>
  <c r="H12" i="2"/>
  <c r="J11" i="2"/>
  <c r="K11" i="2" s="1"/>
  <c r="H11" i="2"/>
  <c r="J10" i="2"/>
  <c r="K10" i="2" s="1"/>
  <c r="H10" i="2"/>
  <c r="J9" i="2"/>
  <c r="K9" i="2" s="1"/>
  <c r="H9" i="2"/>
  <c r="J8" i="2"/>
  <c r="K8" i="2" s="1"/>
  <c r="H8" i="2"/>
  <c r="J7" i="2"/>
  <c r="K7" i="2" s="1"/>
  <c r="H7" i="2"/>
  <c r="J6" i="2"/>
  <c r="K6" i="2" s="1"/>
  <c r="H6" i="2"/>
  <c r="J5" i="2"/>
  <c r="K5" i="2" s="1"/>
  <c r="H5" i="2"/>
  <c r="E17" i="33" l="1"/>
  <c r="F290" i="26"/>
  <c r="E388" i="33" s="1"/>
  <c r="F322" i="26"/>
  <c r="E430" i="33" s="1"/>
  <c r="F354" i="26"/>
  <c r="E472" i="33" s="1"/>
  <c r="F222" i="26"/>
  <c r="E300" i="33" s="1"/>
  <c r="F256" i="26"/>
  <c r="E344" i="33" s="1"/>
  <c r="F18" i="26"/>
  <c r="E27" i="33" s="1"/>
  <c r="E20" i="33"/>
  <c r="BN117" i="25"/>
  <c r="BH117" i="25"/>
  <c r="BN116" i="25"/>
  <c r="BH116" i="25"/>
  <c r="BN83" i="25"/>
  <c r="BH83" i="25"/>
  <c r="BN82" i="25"/>
  <c r="BH82" i="25"/>
  <c r="BK34" i="25"/>
  <c r="BE34" i="25"/>
  <c r="BK33" i="25"/>
  <c r="BK36" i="25" s="1"/>
  <c r="BE33" i="25"/>
  <c r="BE36" i="25" s="1"/>
  <c r="BK27" i="25"/>
  <c r="BE27" i="25"/>
  <c r="BK24" i="25"/>
  <c r="BE24" i="25"/>
  <c r="BB117" i="25"/>
  <c r="BB116" i="25"/>
  <c r="BB83" i="25"/>
  <c r="BB82" i="25"/>
  <c r="AY34" i="25"/>
  <c r="AY33" i="25"/>
  <c r="AY36" i="25" s="1"/>
  <c r="AY27" i="25"/>
  <c r="AY24" i="25"/>
  <c r="AV117" i="25"/>
  <c r="AV116" i="25"/>
  <c r="AV83" i="25"/>
  <c r="AV82" i="25"/>
  <c r="AS34" i="25"/>
  <c r="AS33" i="25"/>
  <c r="AS36" i="25" s="1"/>
  <c r="AS27" i="25"/>
  <c r="AS24" i="25"/>
  <c r="AP117" i="25"/>
  <c r="AP116" i="25"/>
  <c r="AP83" i="25"/>
  <c r="AP82" i="25"/>
  <c r="AM34" i="25"/>
  <c r="AM33" i="25"/>
  <c r="AM36" i="25" s="1"/>
  <c r="AM27" i="25"/>
  <c r="AM24" i="25"/>
  <c r="AJ117" i="25"/>
  <c r="AJ116" i="25"/>
  <c r="AJ83" i="25"/>
  <c r="AJ82" i="25"/>
  <c r="AG34" i="25"/>
  <c r="AG33" i="25"/>
  <c r="AG36" i="25" s="1"/>
  <c r="AG27" i="25"/>
  <c r="AG24" i="25"/>
  <c r="AD117" i="25"/>
  <c r="AD116" i="25"/>
  <c r="AD83" i="25"/>
  <c r="AD82" i="25"/>
  <c r="AA34" i="25"/>
  <c r="AA33" i="25"/>
  <c r="AA36" i="25" s="1"/>
  <c r="AA27" i="25"/>
  <c r="AA24" i="25"/>
  <c r="U24" i="25"/>
  <c r="U27" i="25"/>
  <c r="U33" i="25"/>
  <c r="U36" i="25" s="1"/>
  <c r="U34" i="25"/>
  <c r="X82" i="25"/>
  <c r="X83" i="25"/>
  <c r="X116" i="25"/>
  <c r="X117" i="25"/>
  <c r="R117" i="25" l="1"/>
  <c r="R116" i="25"/>
  <c r="R83" i="25"/>
  <c r="R82" i="25"/>
  <c r="O34" i="25"/>
  <c r="O33" i="25"/>
  <c r="O36" i="25" s="1"/>
  <c r="O27" i="25"/>
  <c r="O24" i="25"/>
  <c r="L117" i="25"/>
  <c r="L116" i="25"/>
  <c r="F117" i="25"/>
  <c r="F116" i="25"/>
  <c r="L83" i="25"/>
  <c r="F83" i="25"/>
  <c r="L82" i="25"/>
  <c r="F82" i="25"/>
  <c r="I34" i="25"/>
  <c r="C34" i="25"/>
  <c r="I33" i="25"/>
  <c r="I36" i="25" s="1"/>
  <c r="C33" i="25"/>
  <c r="C36" i="25" s="1"/>
  <c r="I24" i="25"/>
  <c r="C24" i="25"/>
  <c r="I27" i="25"/>
  <c r="C4" i="25"/>
  <c r="D4" i="25" s="1"/>
  <c r="C11" i="25"/>
  <c r="C10" i="25"/>
  <c r="C8" i="25"/>
  <c r="C7" i="25"/>
  <c r="C6" i="25"/>
  <c r="O98" i="25" s="1"/>
  <c r="S104" i="25" s="1"/>
  <c r="R104" i="25" s="1"/>
  <c r="C5" i="25"/>
  <c r="I61" i="25" s="1"/>
  <c r="J9" i="25"/>
  <c r="J8" i="25"/>
  <c r="J7" i="25"/>
  <c r="J6" i="25"/>
  <c r="J5" i="25"/>
  <c r="L7" i="25"/>
  <c r="C27" i="25"/>
  <c r="C98" i="25" l="1"/>
  <c r="G103" i="25" s="1"/>
  <c r="F103" i="25" s="1"/>
  <c r="S101" i="25"/>
  <c r="R101" i="25" s="1"/>
  <c r="BK98" i="25"/>
  <c r="AS98" i="25"/>
  <c r="BK23" i="25"/>
  <c r="AM23" i="25"/>
  <c r="BE23" i="25"/>
  <c r="U98" i="25"/>
  <c r="BE98" i="25"/>
  <c r="AG98" i="25"/>
  <c r="AA23" i="25"/>
  <c r="U23" i="25"/>
  <c r="AM98" i="25"/>
  <c r="AY98" i="25"/>
  <c r="AG23" i="25"/>
  <c r="AA98" i="25"/>
  <c r="AS23" i="25"/>
  <c r="AY23" i="25"/>
  <c r="I98" i="25"/>
  <c r="O23" i="25"/>
  <c r="C23" i="25"/>
  <c r="I23" i="25"/>
  <c r="M63" i="25"/>
  <c r="L63" i="25" s="1"/>
  <c r="M69" i="25"/>
  <c r="L69" i="25" s="1"/>
  <c r="M68" i="25"/>
  <c r="L68" i="25" s="1"/>
  <c r="M67" i="25"/>
  <c r="L67" i="25" s="1"/>
  <c r="M66" i="25"/>
  <c r="L66" i="25" s="1"/>
  <c r="M64" i="25"/>
  <c r="L64" i="25" s="1"/>
  <c r="O22" i="25"/>
  <c r="C61" i="25"/>
  <c r="G69" i="25" s="1"/>
  <c r="F69" i="25" s="1"/>
  <c r="O61" i="25"/>
  <c r="AS61" i="25"/>
  <c r="BK61" i="25"/>
  <c r="BE61" i="25"/>
  <c r="U61" i="25"/>
  <c r="AY61" i="25"/>
  <c r="AA61" i="25"/>
  <c r="AM61" i="25"/>
  <c r="AG61" i="25"/>
  <c r="C22" i="25"/>
  <c r="I22" i="25"/>
  <c r="BK22" i="25"/>
  <c r="AS22" i="25"/>
  <c r="AM22" i="25"/>
  <c r="BE22" i="25"/>
  <c r="AY22" i="25"/>
  <c r="AA22" i="25"/>
  <c r="U22" i="25"/>
  <c r="AG22" i="25"/>
  <c r="S105" i="25"/>
  <c r="R105" i="25" s="1"/>
  <c r="O107" i="25"/>
  <c r="S100" i="25"/>
  <c r="R100" i="25" s="1"/>
  <c r="S103" i="25"/>
  <c r="R103" i="25" s="1"/>
  <c r="S102" i="25"/>
  <c r="R102" i="25" s="1"/>
  <c r="C9" i="25"/>
  <c r="G100" i="25" l="1"/>
  <c r="F100" i="25" s="1"/>
  <c r="G102" i="25"/>
  <c r="F102" i="25" s="1"/>
  <c r="G105" i="25"/>
  <c r="F105" i="25" s="1"/>
  <c r="C107" i="25"/>
  <c r="R106" i="25"/>
  <c r="O100" i="25" s="1"/>
  <c r="O101" i="25" s="1"/>
  <c r="L70" i="25"/>
  <c r="I63" i="25" s="1"/>
  <c r="I64" i="25" s="1"/>
  <c r="I73" i="25" s="1"/>
  <c r="G101" i="25"/>
  <c r="F101" i="25" s="1"/>
  <c r="G104" i="25"/>
  <c r="F104" i="25" s="1"/>
  <c r="G67" i="25"/>
  <c r="F67" i="25" s="1"/>
  <c r="G68" i="25"/>
  <c r="F68" i="25" s="1"/>
  <c r="G66" i="25"/>
  <c r="F66" i="25" s="1"/>
  <c r="G63" i="25"/>
  <c r="F63" i="25" s="1"/>
  <c r="G64" i="25"/>
  <c r="F64" i="25" s="1"/>
  <c r="BC103" i="25"/>
  <c r="BB103" i="25" s="1"/>
  <c r="BC104" i="25"/>
  <c r="BB104" i="25" s="1"/>
  <c r="BC100" i="25"/>
  <c r="BB100" i="25" s="1"/>
  <c r="BC102" i="25"/>
  <c r="BB102" i="25" s="1"/>
  <c r="BC105" i="25"/>
  <c r="BB105" i="25" s="1"/>
  <c r="AY107" i="25"/>
  <c r="BC101" i="25"/>
  <c r="BB101" i="25" s="1"/>
  <c r="AK104" i="25"/>
  <c r="AJ104" i="25" s="1"/>
  <c r="AK101" i="25"/>
  <c r="AJ101" i="25" s="1"/>
  <c r="AK102" i="25"/>
  <c r="AJ102" i="25" s="1"/>
  <c r="AK103" i="25"/>
  <c r="AJ103" i="25" s="1"/>
  <c r="AG107" i="25"/>
  <c r="AK105" i="25"/>
  <c r="AJ105" i="25" s="1"/>
  <c r="AK100" i="25"/>
  <c r="AJ100" i="25" s="1"/>
  <c r="AE104" i="25"/>
  <c r="AD104" i="25" s="1"/>
  <c r="AE100" i="25"/>
  <c r="AD100" i="25" s="1"/>
  <c r="AE105" i="25"/>
  <c r="AD105" i="25" s="1"/>
  <c r="AA107" i="25"/>
  <c r="AE101" i="25"/>
  <c r="AD101" i="25" s="1"/>
  <c r="AE103" i="25"/>
  <c r="AD103" i="25" s="1"/>
  <c r="AE102" i="25"/>
  <c r="AD102" i="25" s="1"/>
  <c r="BI104" i="25"/>
  <c r="BH104" i="25" s="1"/>
  <c r="BI102" i="25"/>
  <c r="BH102" i="25" s="1"/>
  <c r="BI105" i="25"/>
  <c r="BH105" i="25" s="1"/>
  <c r="BI100" i="25"/>
  <c r="BH100" i="25" s="1"/>
  <c r="BI103" i="25"/>
  <c r="BH103" i="25" s="1"/>
  <c r="BI101" i="25"/>
  <c r="BH101" i="25" s="1"/>
  <c r="BE107" i="25"/>
  <c r="Y104" i="25"/>
  <c r="X104" i="25" s="1"/>
  <c r="Y100" i="25"/>
  <c r="X100" i="25" s="1"/>
  <c r="Y102" i="25"/>
  <c r="X102" i="25" s="1"/>
  <c r="Y101" i="25"/>
  <c r="X101" i="25" s="1"/>
  <c r="Y103" i="25"/>
  <c r="X103" i="25" s="1"/>
  <c r="Y105" i="25"/>
  <c r="X105" i="25" s="1"/>
  <c r="U107" i="25"/>
  <c r="AW104" i="25"/>
  <c r="AV104" i="25" s="1"/>
  <c r="AW105" i="25"/>
  <c r="AV105" i="25" s="1"/>
  <c r="AW100" i="25"/>
  <c r="AV100" i="25" s="1"/>
  <c r="AS107" i="25"/>
  <c r="AW101" i="25"/>
  <c r="AV101" i="25" s="1"/>
  <c r="AW102" i="25"/>
  <c r="AV102" i="25" s="1"/>
  <c r="AW103" i="25"/>
  <c r="AV103" i="25" s="1"/>
  <c r="I107" i="25"/>
  <c r="M101" i="25"/>
  <c r="L101" i="25" s="1"/>
  <c r="M100" i="25"/>
  <c r="L100" i="25" s="1"/>
  <c r="M105" i="25"/>
  <c r="L105" i="25" s="1"/>
  <c r="M103" i="25"/>
  <c r="L103" i="25" s="1"/>
  <c r="M102" i="25"/>
  <c r="L102" i="25" s="1"/>
  <c r="M104" i="25"/>
  <c r="L104" i="25" s="1"/>
  <c r="BO104" i="25"/>
  <c r="BN104" i="25" s="1"/>
  <c r="BO102" i="25"/>
  <c r="BN102" i="25" s="1"/>
  <c r="BO100" i="25"/>
  <c r="BN100" i="25" s="1"/>
  <c r="BO105" i="25"/>
  <c r="BN105" i="25" s="1"/>
  <c r="BO103" i="25"/>
  <c r="BN103" i="25" s="1"/>
  <c r="BK107" i="25"/>
  <c r="BO101" i="25"/>
  <c r="BN101" i="25" s="1"/>
  <c r="AQ104" i="25"/>
  <c r="AP104" i="25" s="1"/>
  <c r="AQ105" i="25"/>
  <c r="AP105" i="25" s="1"/>
  <c r="AM107" i="25"/>
  <c r="AQ100" i="25"/>
  <c r="AP100" i="25" s="1"/>
  <c r="AQ101" i="25"/>
  <c r="AP101" i="25" s="1"/>
  <c r="AQ102" i="25"/>
  <c r="AP102" i="25" s="1"/>
  <c r="AQ103" i="25"/>
  <c r="AP103" i="25" s="1"/>
  <c r="BO63" i="25"/>
  <c r="BN63" i="25" s="1"/>
  <c r="BO64" i="25"/>
  <c r="BN64" i="25" s="1"/>
  <c r="BO69" i="25"/>
  <c r="BN69" i="25" s="1"/>
  <c r="BO67" i="25"/>
  <c r="BN67" i="25" s="1"/>
  <c r="BO66" i="25"/>
  <c r="BN66" i="25" s="1"/>
  <c r="BO68" i="25"/>
  <c r="BN68" i="25" s="1"/>
  <c r="BC68" i="25"/>
  <c r="BB68" i="25" s="1"/>
  <c r="BC69" i="25"/>
  <c r="BB69" i="25" s="1"/>
  <c r="BC63" i="25"/>
  <c r="BB63" i="25" s="1"/>
  <c r="BC66" i="25"/>
  <c r="BB66" i="25" s="1"/>
  <c r="BC67" i="25"/>
  <c r="BB67" i="25" s="1"/>
  <c r="BC64" i="25"/>
  <c r="BB64" i="25" s="1"/>
  <c r="AE63" i="25"/>
  <c r="AD63" i="25" s="1"/>
  <c r="AE69" i="25"/>
  <c r="AD69" i="25" s="1"/>
  <c r="AE64" i="25"/>
  <c r="AD64" i="25" s="1"/>
  <c r="AE68" i="25"/>
  <c r="AD68" i="25" s="1"/>
  <c r="AE67" i="25"/>
  <c r="AD67" i="25" s="1"/>
  <c r="AE66" i="25"/>
  <c r="AD66" i="25" s="1"/>
  <c r="S68" i="25"/>
  <c r="R68" i="25" s="1"/>
  <c r="S69" i="25"/>
  <c r="R69" i="25" s="1"/>
  <c r="S67" i="25"/>
  <c r="R67" i="25" s="1"/>
  <c r="S66" i="25"/>
  <c r="R66" i="25" s="1"/>
  <c r="S64" i="25"/>
  <c r="R64" i="25" s="1"/>
  <c r="S63" i="25"/>
  <c r="R63" i="25" s="1"/>
  <c r="Y63" i="25"/>
  <c r="X63" i="25" s="1"/>
  <c r="Y68" i="25"/>
  <c r="X68" i="25" s="1"/>
  <c r="Y67" i="25"/>
  <c r="X67" i="25" s="1"/>
  <c r="Y66" i="25"/>
  <c r="X66" i="25" s="1"/>
  <c r="Y64" i="25"/>
  <c r="X64" i="25" s="1"/>
  <c r="Y69" i="25"/>
  <c r="X69" i="25" s="1"/>
  <c r="AK68" i="25"/>
  <c r="AJ68" i="25" s="1"/>
  <c r="AK67" i="25"/>
  <c r="AJ67" i="25" s="1"/>
  <c r="AK69" i="25"/>
  <c r="AJ69" i="25" s="1"/>
  <c r="AK63" i="25"/>
  <c r="AJ63" i="25" s="1"/>
  <c r="AK66" i="25"/>
  <c r="AJ66" i="25" s="1"/>
  <c r="AK64" i="25"/>
  <c r="AJ64" i="25" s="1"/>
  <c r="BI69" i="25"/>
  <c r="BH69" i="25" s="1"/>
  <c r="BI64" i="25"/>
  <c r="BH64" i="25" s="1"/>
  <c r="BI63" i="25"/>
  <c r="BH63" i="25" s="1"/>
  <c r="BI67" i="25"/>
  <c r="BH67" i="25" s="1"/>
  <c r="BI66" i="25"/>
  <c r="BH66" i="25" s="1"/>
  <c r="BI68" i="25"/>
  <c r="BH68" i="25" s="1"/>
  <c r="AW68" i="25"/>
  <c r="AV68" i="25" s="1"/>
  <c r="AW69" i="25"/>
  <c r="AV69" i="25" s="1"/>
  <c r="AW67" i="25"/>
  <c r="AV67" i="25" s="1"/>
  <c r="AW66" i="25"/>
  <c r="AV66" i="25" s="1"/>
  <c r="AW64" i="25"/>
  <c r="AV64" i="25" s="1"/>
  <c r="AW63" i="25"/>
  <c r="AV63" i="25" s="1"/>
  <c r="AQ63" i="25"/>
  <c r="AP63" i="25" s="1"/>
  <c r="AQ69" i="25"/>
  <c r="AP69" i="25" s="1"/>
  <c r="AQ67" i="25"/>
  <c r="AP67" i="25" s="1"/>
  <c r="AQ66" i="25"/>
  <c r="AP66" i="25" s="1"/>
  <c r="AQ64" i="25"/>
  <c r="AP64" i="25" s="1"/>
  <c r="AQ68" i="25"/>
  <c r="AP68" i="25" s="1"/>
  <c r="F106" i="25" l="1"/>
  <c r="C100" i="25" s="1"/>
  <c r="C101" i="25" s="1"/>
  <c r="F70" i="25"/>
  <c r="C63" i="25" s="1"/>
  <c r="C64" i="25" s="1"/>
  <c r="AP70" i="25"/>
  <c r="AM63" i="25" s="1"/>
  <c r="AM64" i="25" s="1"/>
  <c r="AM73" i="25" s="1"/>
  <c r="BB106" i="25"/>
  <c r="AY100" i="25" s="1"/>
  <c r="AY101" i="25" s="1"/>
  <c r="BB70" i="25"/>
  <c r="AY63" i="25" s="1"/>
  <c r="AY64" i="25" s="1"/>
  <c r="AY73" i="25" s="1"/>
  <c r="AJ106" i="25"/>
  <c r="AG100" i="25" s="1"/>
  <c r="AG101" i="25" s="1"/>
  <c r="AP106" i="25"/>
  <c r="AM100" i="25" s="1"/>
  <c r="AM101" i="25" s="1"/>
  <c r="BH106" i="25"/>
  <c r="BE100" i="25" s="1"/>
  <c r="BE101" i="25" s="1"/>
  <c r="AD106" i="25"/>
  <c r="AA100" i="25" s="1"/>
  <c r="AA101" i="25" s="1"/>
  <c r="AV106" i="25"/>
  <c r="AS100" i="25" s="1"/>
  <c r="AS101" i="25" s="1"/>
  <c r="L106" i="25"/>
  <c r="I100" i="25" s="1"/>
  <c r="I101" i="25" s="1"/>
  <c r="BN106" i="25"/>
  <c r="BK100" i="25" s="1"/>
  <c r="BK101" i="25" s="1"/>
  <c r="X106" i="25"/>
  <c r="U100" i="25" s="1"/>
  <c r="U101" i="25" s="1"/>
  <c r="AJ70" i="25"/>
  <c r="AG63" i="25" s="1"/>
  <c r="AG64" i="25" s="1"/>
  <c r="AG73" i="25" s="1"/>
  <c r="R70" i="25"/>
  <c r="O63" i="25" s="1"/>
  <c r="O64" i="25" s="1"/>
  <c r="O73" i="25" s="1"/>
  <c r="AV70" i="25"/>
  <c r="AS63" i="25" s="1"/>
  <c r="AS64" i="25" s="1"/>
  <c r="AS73" i="25" s="1"/>
  <c r="BN70" i="25"/>
  <c r="BK63" i="25" s="1"/>
  <c r="BK64" i="25" s="1"/>
  <c r="BK73" i="25" s="1"/>
  <c r="AD70" i="25"/>
  <c r="AA63" i="25" s="1"/>
  <c r="AA64" i="25" s="1"/>
  <c r="AA73" i="25" s="1"/>
  <c r="BH70" i="25"/>
  <c r="BE63" i="25" s="1"/>
  <c r="BE64" i="25" s="1"/>
  <c r="BE73" i="25" s="1"/>
  <c r="X70" i="25"/>
  <c r="U63" i="25" s="1"/>
  <c r="U64" i="25" s="1"/>
  <c r="U73" i="25" s="1"/>
  <c r="C73" i="25" l="1"/>
  <c r="G50" i="4" l="1"/>
  <c r="C5" i="20" l="1"/>
  <c r="F123" i="20"/>
  <c r="F124" i="20" s="1"/>
  <c r="F125" i="20" s="1"/>
  <c r="F126" i="20" s="1"/>
  <c r="F127" i="20" s="1"/>
  <c r="F128" i="20" s="1"/>
  <c r="F129" i="20" s="1"/>
  <c r="F130" i="20" s="1"/>
  <c r="F131" i="20" s="1"/>
  <c r="F132" i="20" s="1"/>
  <c r="F133" i="20" s="1"/>
  <c r="F110" i="20"/>
  <c r="C93" i="20"/>
  <c r="C88" i="20"/>
  <c r="F97" i="20"/>
  <c r="F98" i="20" s="1"/>
  <c r="F99" i="20" s="1"/>
  <c r="F100" i="20" s="1"/>
  <c r="F101" i="20" s="1"/>
  <c r="F102" i="20" s="1"/>
  <c r="F103" i="20" s="1"/>
  <c r="F104" i="20" s="1"/>
  <c r="F105" i="20" s="1"/>
  <c r="F106" i="20" s="1"/>
  <c r="F107" i="20" s="1"/>
  <c r="C85" i="20"/>
  <c r="F111" i="20" l="1"/>
  <c r="F112" i="20" s="1"/>
  <c r="F113" i="20" s="1"/>
  <c r="F114" i="20" s="1"/>
  <c r="F115" i="20" s="1"/>
  <c r="F116" i="20" s="1"/>
  <c r="F117" i="20" s="1"/>
  <c r="F118" i="20" s="1"/>
  <c r="F119" i="20" s="1"/>
  <c r="F120" i="20" s="1"/>
  <c r="K63" i="20" l="1"/>
  <c r="D65" i="20" l="1"/>
  <c r="K61" i="20"/>
  <c r="C24" i="20"/>
  <c r="O56" i="20"/>
  <c r="O57" i="20"/>
  <c r="O58" i="20"/>
  <c r="O59" i="20"/>
  <c r="O54" i="20"/>
  <c r="C26" i="20" l="1"/>
  <c r="D54" i="20"/>
  <c r="D56" i="20" s="1"/>
  <c r="D55" i="20"/>
  <c r="C23" i="20"/>
  <c r="H36" i="20" s="1"/>
  <c r="H37" i="20" s="1"/>
  <c r="C22" i="20"/>
  <c r="H48" i="20" s="1"/>
  <c r="H49" i="20" s="1"/>
  <c r="D41" i="20"/>
  <c r="D42" i="20"/>
  <c r="D43" i="20"/>
  <c r="D40" i="20"/>
  <c r="C28" i="20" l="1"/>
  <c r="D62" i="20"/>
  <c r="D60" i="20"/>
  <c r="D58" i="20"/>
  <c r="H34" i="20"/>
  <c r="H35" i="20" s="1"/>
  <c r="H46" i="20"/>
  <c r="H47" i="20"/>
  <c r="K79" i="20" l="1"/>
  <c r="D64" i="20"/>
  <c r="D59" i="20"/>
  <c r="E50" i="4"/>
  <c r="D50" i="4"/>
  <c r="F50" i="4" s="1"/>
  <c r="AY18" i="25" s="1" a="1"/>
  <c r="AY18" i="25" s="1"/>
  <c r="G43" i="4"/>
  <c r="G44" i="4"/>
  <c r="G45" i="4"/>
  <c r="G46" i="4"/>
  <c r="G47" i="4"/>
  <c r="G48" i="4"/>
  <c r="G49" i="4"/>
  <c r="G51" i="4"/>
  <c r="G52" i="4"/>
  <c r="G42" i="4"/>
  <c r="F43" i="4"/>
  <c r="I18" i="25" s="1" a="1"/>
  <c r="I18" i="25" s="1"/>
  <c r="E43" i="4"/>
  <c r="E44" i="4"/>
  <c r="E45" i="4"/>
  <c r="E46" i="4"/>
  <c r="E47" i="4"/>
  <c r="E48" i="4"/>
  <c r="E49" i="4"/>
  <c r="E51" i="4"/>
  <c r="E52" i="4"/>
  <c r="E42" i="4"/>
  <c r="D43" i="4"/>
  <c r="D44" i="4"/>
  <c r="F44" i="4" s="1"/>
  <c r="O18" i="25" s="1" a="1"/>
  <c r="O18" i="25" s="1"/>
  <c r="D45" i="4"/>
  <c r="F45" i="4" s="1"/>
  <c r="U18" i="25" s="1" a="1"/>
  <c r="U18" i="25" s="1"/>
  <c r="D46" i="4"/>
  <c r="F46" i="4" s="1"/>
  <c r="AA18" i="25" s="1" a="1"/>
  <c r="AA18" i="25" s="1"/>
  <c r="D47" i="4"/>
  <c r="F47" i="4" s="1"/>
  <c r="AG18" i="25" s="1" a="1"/>
  <c r="AG18" i="25" s="1"/>
  <c r="D48" i="4"/>
  <c r="F48" i="4" s="1"/>
  <c r="AM18" i="25" s="1" a="1"/>
  <c r="AM18" i="25" s="1"/>
  <c r="D49" i="4"/>
  <c r="F49" i="4" s="1"/>
  <c r="AS18" i="25" s="1" a="1"/>
  <c r="AS18" i="25" s="1"/>
  <c r="D51" i="4"/>
  <c r="F51" i="4" s="1"/>
  <c r="BE18" i="25" s="1" a="1"/>
  <c r="BE18" i="25" s="1"/>
  <c r="D52" i="4"/>
  <c r="F52" i="4" s="1"/>
  <c r="BK18" i="25" s="1" a="1"/>
  <c r="BK18" i="25" s="1"/>
  <c r="D42" i="4"/>
  <c r="F42" i="4" s="1"/>
  <c r="C18" i="25" s="1" a="1"/>
  <c r="C18" i="25" s="1"/>
  <c r="D63" i="20" l="1"/>
  <c r="D75" i="20"/>
  <c r="B16" i="15" l="1"/>
  <c r="D16" i="15" s="1"/>
  <c r="D16" i="3" l="1"/>
  <c r="D15" i="3"/>
  <c r="B27" i="15" l="1"/>
  <c r="B28" i="15"/>
  <c r="CT463" i="19" l="1"/>
  <c r="CS463" i="19"/>
  <c r="CR463" i="19"/>
  <c r="CQ463" i="19"/>
  <c r="EZ479" i="19" l="1"/>
  <c r="EZ478" i="19"/>
  <c r="EZ477" i="19"/>
  <c r="F15" i="15" l="1"/>
  <c r="F16" i="15"/>
  <c r="F17" i="15"/>
  <c r="F14" i="15"/>
  <c r="E15" i="15"/>
  <c r="E16" i="15"/>
  <c r="E17" i="15"/>
  <c r="E14" i="15"/>
  <c r="C16" i="15"/>
  <c r="C17" i="15"/>
  <c r="B17" i="15"/>
  <c r="D17" i="15" s="1"/>
  <c r="B9" i="15" l="1"/>
  <c r="ET463" i="19" l="1"/>
  <c r="ES463" i="19"/>
  <c r="ER463" i="19"/>
  <c r="EQ463" i="19"/>
  <c r="EG463" i="19"/>
  <c r="EF463" i="19"/>
  <c r="EE463" i="19"/>
  <c r="ED463" i="19"/>
  <c r="DT463" i="19"/>
  <c r="DS463" i="19"/>
  <c r="DR463" i="19"/>
  <c r="DQ463" i="19"/>
  <c r="DG463" i="19"/>
  <c r="DF463" i="19"/>
  <c r="DE463" i="19"/>
  <c r="DD463" i="19"/>
  <c r="CG463" i="19"/>
  <c r="CF463" i="19"/>
  <c r="CE463" i="19"/>
  <c r="CD463" i="19"/>
  <c r="BT463" i="19"/>
  <c r="BS463" i="19"/>
  <c r="BR463" i="19"/>
  <c r="BQ463" i="19"/>
  <c r="BG463" i="19"/>
  <c r="BF463" i="19"/>
  <c r="BE463" i="19"/>
  <c r="BD463" i="19"/>
  <c r="AT463" i="19"/>
  <c r="AS463" i="19"/>
  <c r="AR463" i="19"/>
  <c r="AQ463" i="19"/>
  <c r="T463" i="19"/>
  <c r="S463" i="19"/>
  <c r="R463" i="19"/>
  <c r="Q463" i="19"/>
  <c r="AG463" i="19"/>
  <c r="AF463" i="19"/>
  <c r="AE463" i="19"/>
  <c r="AD463" i="19"/>
  <c r="F463" i="19"/>
  <c r="G463" i="19"/>
  <c r="D463" i="19"/>
  <c r="E463" i="19"/>
  <c r="EV447" i="19" l="1"/>
  <c r="EI447" i="19"/>
  <c r="DV447" i="19"/>
  <c r="DI447" i="19"/>
  <c r="CV447" i="19"/>
  <c r="CI447" i="19"/>
  <c r="BV447" i="19"/>
  <c r="BI447" i="19"/>
  <c r="AV447" i="19"/>
  <c r="AI447" i="19"/>
  <c r="V447" i="19"/>
  <c r="ER455" i="19"/>
  <c r="EQ455" i="19"/>
  <c r="ES455" i="19" s="1"/>
  <c r="ER454" i="19"/>
  <c r="EQ454" i="19"/>
  <c r="ES454" i="19" s="1"/>
  <c r="ER453" i="19"/>
  <c r="EQ453" i="19"/>
  <c r="ES453" i="19" s="1"/>
  <c r="ER452" i="19"/>
  <c r="EQ452" i="19"/>
  <c r="ES452" i="19" s="1"/>
  <c r="ER451" i="19"/>
  <c r="EQ451" i="19"/>
  <c r="ES451" i="19" s="1"/>
  <c r="ER450" i="19"/>
  <c r="EQ450" i="19"/>
  <c r="ES450" i="19" s="1"/>
  <c r="EE455" i="19"/>
  <c r="ED455" i="19"/>
  <c r="EF455" i="19" s="1"/>
  <c r="EE454" i="19"/>
  <c r="ED454" i="19"/>
  <c r="EF454" i="19" s="1"/>
  <c r="EE453" i="19"/>
  <c r="ED453" i="19"/>
  <c r="EF453" i="19" s="1"/>
  <c r="EE452" i="19"/>
  <c r="ED452" i="19"/>
  <c r="EF452" i="19" s="1"/>
  <c r="EE451" i="19"/>
  <c r="ED451" i="19"/>
  <c r="EF451" i="19" s="1"/>
  <c r="EE450" i="19"/>
  <c r="ED450" i="19"/>
  <c r="EF450" i="19" s="1"/>
  <c r="DR455" i="19"/>
  <c r="DQ455" i="19"/>
  <c r="DS455" i="19" s="1"/>
  <c r="DT455" i="19" s="1"/>
  <c r="DR454" i="19"/>
  <c r="DQ454" i="19"/>
  <c r="DS454" i="19" s="1"/>
  <c r="DR453" i="19"/>
  <c r="DQ453" i="19"/>
  <c r="DS453" i="19" s="1"/>
  <c r="DR452" i="19"/>
  <c r="DQ452" i="19"/>
  <c r="DS452" i="19" s="1"/>
  <c r="DR451" i="19"/>
  <c r="DQ451" i="19"/>
  <c r="DS451" i="19" s="1"/>
  <c r="DR450" i="19"/>
  <c r="DQ450" i="19"/>
  <c r="DS450" i="19" s="1"/>
  <c r="DE455" i="19"/>
  <c r="DD455" i="19"/>
  <c r="DF455" i="19" s="1"/>
  <c r="DE454" i="19"/>
  <c r="DD454" i="19"/>
  <c r="DF454" i="19" s="1"/>
  <c r="DG454" i="19" s="1"/>
  <c r="DE453" i="19"/>
  <c r="DD453" i="19"/>
  <c r="DF453" i="19" s="1"/>
  <c r="DE452" i="19"/>
  <c r="DD452" i="19"/>
  <c r="DF452" i="19" s="1"/>
  <c r="DE451" i="19"/>
  <c r="DD451" i="19"/>
  <c r="DF451" i="19" s="1"/>
  <c r="DE450" i="19"/>
  <c r="DD450" i="19"/>
  <c r="DF450" i="19" s="1"/>
  <c r="CR455" i="19"/>
  <c r="CQ455" i="19"/>
  <c r="CS455" i="19" s="1"/>
  <c r="CR454" i="19"/>
  <c r="CQ454" i="19"/>
  <c r="CS454" i="19" s="1"/>
  <c r="CR453" i="19"/>
  <c r="CQ453" i="19"/>
  <c r="CS453" i="19" s="1"/>
  <c r="CR452" i="19"/>
  <c r="CQ452" i="19"/>
  <c r="CS452" i="19" s="1"/>
  <c r="CR451" i="19"/>
  <c r="CQ451" i="19"/>
  <c r="CS451" i="19" s="1"/>
  <c r="CR450" i="19"/>
  <c r="CQ450" i="19"/>
  <c r="CS450" i="19" s="1"/>
  <c r="CE455" i="19"/>
  <c r="CD455" i="19"/>
  <c r="CF455" i="19" s="1"/>
  <c r="CE454" i="19"/>
  <c r="CD454" i="19"/>
  <c r="CF454" i="19" s="1"/>
  <c r="CE453" i="19"/>
  <c r="CD453" i="19"/>
  <c r="CF453" i="19" s="1"/>
  <c r="CE452" i="19"/>
  <c r="CD452" i="19"/>
  <c r="CF452" i="19" s="1"/>
  <c r="CE451" i="19"/>
  <c r="CD451" i="19"/>
  <c r="CF451" i="19" s="1"/>
  <c r="CE450" i="19"/>
  <c r="CD450" i="19"/>
  <c r="CF450" i="19" s="1"/>
  <c r="BR455" i="19"/>
  <c r="BQ455" i="19"/>
  <c r="BS455" i="19" s="1"/>
  <c r="BR454" i="19"/>
  <c r="BQ454" i="19"/>
  <c r="BS454" i="19" s="1"/>
  <c r="BT454" i="19" s="1"/>
  <c r="BR453" i="19"/>
  <c r="BQ453" i="19"/>
  <c r="BS453" i="19" s="1"/>
  <c r="BR452" i="19"/>
  <c r="BQ452" i="19"/>
  <c r="BS452" i="19" s="1"/>
  <c r="BR451" i="19"/>
  <c r="BQ451" i="19"/>
  <c r="BS451" i="19" s="1"/>
  <c r="BR450" i="19"/>
  <c r="BQ450" i="19"/>
  <c r="BS450" i="19" s="1"/>
  <c r="BE455" i="19"/>
  <c r="BD455" i="19"/>
  <c r="BF455" i="19" s="1"/>
  <c r="BE454" i="19"/>
  <c r="BD454" i="19"/>
  <c r="BF454" i="19" s="1"/>
  <c r="BE453" i="19"/>
  <c r="BD453" i="19"/>
  <c r="BF453" i="19" s="1"/>
  <c r="BE452" i="19"/>
  <c r="BD452" i="19"/>
  <c r="BF452" i="19" s="1"/>
  <c r="BE451" i="19"/>
  <c r="BD451" i="19"/>
  <c r="BF451" i="19" s="1"/>
  <c r="BE450" i="19"/>
  <c r="BD450" i="19"/>
  <c r="BF450" i="19" s="1"/>
  <c r="AR455" i="19"/>
  <c r="AQ455" i="19"/>
  <c r="AS455" i="19" s="1"/>
  <c r="AR454" i="19"/>
  <c r="AQ454" i="19"/>
  <c r="AS454" i="19" s="1"/>
  <c r="AR453" i="19"/>
  <c r="AQ453" i="19"/>
  <c r="AS453" i="19" s="1"/>
  <c r="AR452" i="19"/>
  <c r="AQ452" i="19"/>
  <c r="AS452" i="19" s="1"/>
  <c r="AR451" i="19"/>
  <c r="AQ451" i="19"/>
  <c r="AS451" i="19" s="1"/>
  <c r="AR450" i="19"/>
  <c r="AQ450" i="19"/>
  <c r="AS450" i="19" s="1"/>
  <c r="AE455" i="19"/>
  <c r="AD455" i="19"/>
  <c r="AF455" i="19" s="1"/>
  <c r="AE454" i="19"/>
  <c r="AD454" i="19"/>
  <c r="AF454" i="19" s="1"/>
  <c r="AE453" i="19"/>
  <c r="AD453" i="19"/>
  <c r="AF453" i="19" s="1"/>
  <c r="AE452" i="19"/>
  <c r="AD452" i="19"/>
  <c r="AF452" i="19" s="1"/>
  <c r="AE451" i="19"/>
  <c r="AD451" i="19"/>
  <c r="AF451" i="19" s="1"/>
  <c r="AE450" i="19"/>
  <c r="AD450" i="19"/>
  <c r="AF450" i="19" s="1"/>
  <c r="R455" i="19"/>
  <c r="Q455" i="19"/>
  <c r="S455" i="19" s="1"/>
  <c r="R454" i="19"/>
  <c r="Q454" i="19"/>
  <c r="S454" i="19" s="1"/>
  <c r="R453" i="19"/>
  <c r="Q453" i="19"/>
  <c r="S453" i="19" s="1"/>
  <c r="R452" i="19"/>
  <c r="Q452" i="19"/>
  <c r="S452" i="19" s="1"/>
  <c r="R451" i="19"/>
  <c r="Q451" i="19"/>
  <c r="S451" i="19" s="1"/>
  <c r="R450" i="19"/>
  <c r="Q450" i="19"/>
  <c r="S450" i="19" s="1"/>
  <c r="I447" i="19"/>
  <c r="D451" i="19"/>
  <c r="F451" i="19" s="1"/>
  <c r="D452" i="19"/>
  <c r="F452" i="19" s="1"/>
  <c r="D453" i="19"/>
  <c r="F453" i="19" s="1"/>
  <c r="D454" i="19"/>
  <c r="F454" i="19" s="1"/>
  <c r="D455" i="19"/>
  <c r="F455" i="19" s="1"/>
  <c r="D450" i="19"/>
  <c r="F450" i="19" s="1"/>
  <c r="E451" i="19"/>
  <c r="E452" i="19"/>
  <c r="E453" i="19"/>
  <c r="E454" i="19"/>
  <c r="E455" i="19"/>
  <c r="E450" i="19"/>
  <c r="U450" i="19" l="1"/>
  <c r="U454" i="19"/>
  <c r="U458" i="19"/>
  <c r="AH450" i="19"/>
  <c r="AH454" i="19"/>
  <c r="AH458" i="19"/>
  <c r="AU450" i="19"/>
  <c r="AU454" i="19"/>
  <c r="AU458" i="19"/>
  <c r="BH450" i="19"/>
  <c r="BH454" i="19"/>
  <c r="BH458" i="19"/>
  <c r="BU450" i="19"/>
  <c r="BU454" i="19"/>
  <c r="BU458" i="19"/>
  <c r="CH450" i="19"/>
  <c r="CH454" i="19"/>
  <c r="CH458" i="19"/>
  <c r="CU454" i="19"/>
  <c r="CU458" i="19"/>
  <c r="CU450" i="19"/>
  <c r="DH454" i="19"/>
  <c r="DH458" i="19"/>
  <c r="DH450" i="19"/>
  <c r="DU454" i="19"/>
  <c r="DU458" i="19"/>
  <c r="DU450" i="19"/>
  <c r="EH454" i="19"/>
  <c r="EH458" i="19"/>
  <c r="EH450" i="19"/>
  <c r="EU458" i="19"/>
  <c r="EU450" i="19"/>
  <c r="EU454" i="19"/>
  <c r="H450" i="19"/>
  <c r="H454" i="19"/>
  <c r="H458" i="19"/>
  <c r="CG452" i="19"/>
  <c r="EG452" i="19"/>
  <c r="CT453" i="19"/>
  <c r="G451" i="19"/>
  <c r="T452" i="19"/>
  <c r="T453" i="19"/>
  <c r="AG452" i="19"/>
  <c r="AG453" i="19"/>
  <c r="AG455" i="19"/>
  <c r="AT451" i="19"/>
  <c r="AT454" i="19"/>
  <c r="BG450" i="19"/>
  <c r="BG451" i="19"/>
  <c r="BG452" i="19"/>
  <c r="BG453" i="19"/>
  <c r="BG454" i="19"/>
  <c r="BT451" i="19"/>
  <c r="BT453" i="19"/>
  <c r="CG450" i="19"/>
  <c r="CG451" i="19"/>
  <c r="CG453" i="19"/>
  <c r="CG455" i="19"/>
  <c r="CT451" i="19"/>
  <c r="CT452" i="19"/>
  <c r="CT455" i="19"/>
  <c r="DG450" i="19"/>
  <c r="DG451" i="19"/>
  <c r="DG452" i="19"/>
  <c r="DG453" i="19"/>
  <c r="DT450" i="19"/>
  <c r="DT451" i="19"/>
  <c r="DT452" i="19"/>
  <c r="DT453" i="19"/>
  <c r="DT454" i="19"/>
  <c r="EG450" i="19"/>
  <c r="EG451" i="19"/>
  <c r="EG454" i="19"/>
  <c r="EG455" i="19"/>
  <c r="ET452" i="19"/>
  <c r="ET455" i="19"/>
  <c r="ET454" i="19"/>
  <c r="ET450" i="19"/>
  <c r="ET453" i="19"/>
  <c r="ET451" i="19"/>
  <c r="EG453" i="19"/>
  <c r="DG455" i="19"/>
  <c r="CT454" i="19"/>
  <c r="CT450" i="19"/>
  <c r="CG454" i="19"/>
  <c r="BT452" i="19"/>
  <c r="BT455" i="19"/>
  <c r="BT450" i="19"/>
  <c r="BG455" i="19"/>
  <c r="AT452" i="19"/>
  <c r="AT455" i="19"/>
  <c r="AT450" i="19"/>
  <c r="AT453" i="19"/>
  <c r="AG454" i="19"/>
  <c r="AG450" i="19"/>
  <c r="AG451" i="19"/>
  <c r="T455" i="19"/>
  <c r="T451" i="19"/>
  <c r="T454" i="19"/>
  <c r="T450" i="19"/>
  <c r="G452" i="19"/>
  <c r="G453" i="19"/>
  <c r="G455" i="19"/>
  <c r="G450" i="19"/>
  <c r="G454" i="19"/>
  <c r="E32" i="15" l="1"/>
  <c r="B34" i="15"/>
  <c r="B33" i="15"/>
  <c r="B31" i="15"/>
  <c r="C15" i="15"/>
  <c r="C14" i="15"/>
  <c r="B15" i="15"/>
  <c r="D15" i="15" s="1"/>
  <c r="G15" i="15" s="1"/>
  <c r="B14" i="15"/>
  <c r="D14" i="15" s="1"/>
  <c r="G14" i="15" s="1"/>
  <c r="B11" i="15"/>
  <c r="F118" i="15"/>
  <c r="E118" i="15"/>
  <c r="F117" i="15"/>
  <c r="E117" i="15"/>
  <c r="F116" i="15"/>
  <c r="E116" i="15"/>
  <c r="G118" i="15"/>
  <c r="G117" i="15"/>
  <c r="G116" i="15"/>
  <c r="G17" i="15"/>
  <c r="G16" i="15"/>
  <c r="A96" i="16" l="1"/>
  <c r="E13" i="15"/>
  <c r="F13" i="15"/>
  <c r="A112" i="16"/>
  <c r="O62" i="16"/>
  <c r="A45" i="16"/>
  <c r="H45" i="16"/>
  <c r="O45" i="16"/>
  <c r="A62" i="16"/>
  <c r="H62" i="16"/>
  <c r="A79" i="16"/>
  <c r="H79" i="16"/>
  <c r="H96" i="16"/>
  <c r="O79" i="16"/>
  <c r="O96" i="16"/>
  <c r="C12" i="15"/>
  <c r="G19" i="21" l="1" a="1"/>
  <c r="G19" i="21" s="1"/>
  <c r="G40" i="21" s="1"/>
  <c r="F19" i="21" a="1"/>
  <c r="F19" i="21" s="1"/>
  <c r="F40" i="21" s="1"/>
  <c r="E19" i="21" a="1"/>
  <c r="E19" i="21" s="1"/>
  <c r="G18" i="21"/>
  <c r="G39" i="21" s="1"/>
  <c r="F18" i="21"/>
  <c r="F39" i="21" s="1"/>
  <c r="E18" i="21"/>
  <c r="D18" i="21"/>
  <c r="G17" i="21"/>
  <c r="G38" i="21" s="1"/>
  <c r="F17" i="21"/>
  <c r="F38" i="21" s="1"/>
  <c r="E17" i="21"/>
  <c r="D17" i="21"/>
  <c r="F12" i="21"/>
  <c r="F33" i="21" s="1"/>
  <c r="E12" i="21"/>
  <c r="E33" i="21" s="1"/>
  <c r="D12" i="21"/>
  <c r="D33" i="21" s="1"/>
  <c r="F11" i="21"/>
  <c r="F32" i="21" s="1"/>
  <c r="E11" i="21"/>
  <c r="E32" i="21" s="1"/>
  <c r="D11" i="21"/>
  <c r="D32" i="21" s="1"/>
  <c r="E101" i="21"/>
  <c r="B100" i="21"/>
  <c r="B23" i="21"/>
  <c r="B44" i="21" s="1"/>
  <c r="G14" i="21"/>
  <c r="F14" i="21"/>
  <c r="E14" i="21"/>
  <c r="D14" i="21"/>
  <c r="G13" i="21"/>
  <c r="G34" i="21" s="1"/>
  <c r="F13" i="21"/>
  <c r="F34" i="21" s="1"/>
  <c r="E13" i="21"/>
  <c r="E34" i="21" s="1"/>
  <c r="D13" i="21"/>
  <c r="D34" i="21" s="1"/>
  <c r="G6" i="21"/>
  <c r="G10" i="21" s="1"/>
  <c r="C99" i="21" s="1"/>
  <c r="F6" i="21"/>
  <c r="F10" i="21" s="1"/>
  <c r="C98" i="21" s="1"/>
  <c r="E6" i="21"/>
  <c r="E10" i="21" s="1"/>
  <c r="C97" i="21" s="1"/>
  <c r="D6" i="21"/>
  <c r="D27" i="21" s="1"/>
  <c r="F27" i="21" l="1"/>
  <c r="E7" i="21"/>
  <c r="E15" i="21" s="1"/>
  <c r="F7" i="21"/>
  <c r="F15" i="21" s="1"/>
  <c r="G7" i="21"/>
  <c r="G16" i="21" s="1"/>
  <c r="D21" i="21"/>
  <c r="E21" i="21"/>
  <c r="D10" i="21"/>
  <c r="D31" i="21" s="1"/>
  <c r="F21" i="21"/>
  <c r="G21" i="21"/>
  <c r="D7" i="21"/>
  <c r="E27" i="21"/>
  <c r="A99" i="21"/>
  <c r="G27" i="21"/>
  <c r="A96" i="21"/>
  <c r="A97" i="21"/>
  <c r="A98" i="21"/>
  <c r="D15" i="21" l="1"/>
  <c r="D16" i="21"/>
  <c r="D28" i="21"/>
  <c r="D36" i="21" s="1"/>
  <c r="C96" i="21"/>
  <c r="G31" i="21"/>
  <c r="F31" i="21"/>
  <c r="F42" i="21" s="1"/>
  <c r="B101" i="21"/>
  <c r="F28" i="21"/>
  <c r="G28" i="21"/>
  <c r="F16" i="21"/>
  <c r="E31" i="21"/>
  <c r="E39" i="21" s="1"/>
  <c r="E28" i="21"/>
  <c r="E16" i="21"/>
  <c r="G15" i="21"/>
  <c r="D37" i="21"/>
  <c r="D19" i="21"/>
  <c r="D40" i="21" s="1"/>
  <c r="G20" i="21"/>
  <c r="G41" i="21" s="1"/>
  <c r="F20" i="21"/>
  <c r="F41" i="21" s="1"/>
  <c r="E20" i="21"/>
  <c r="D20" i="21"/>
  <c r="D41" i="21" s="1"/>
  <c r="D35" i="21"/>
  <c r="D42" i="21"/>
  <c r="D38" i="21"/>
  <c r="D39" i="21"/>
  <c r="A49" i="19" l="1"/>
  <c r="A23" i="19"/>
  <c r="A36" i="19"/>
  <c r="B149" i="20"/>
  <c r="B154" i="20" s="1"/>
  <c r="D158" i="20" s="1"/>
  <c r="N155" i="20" s="1"/>
  <c r="G36" i="21"/>
  <c r="G37" i="21"/>
  <c r="F35" i="21"/>
  <c r="G35" i="21"/>
  <c r="G42" i="21"/>
  <c r="E42" i="21"/>
  <c r="F36" i="21"/>
  <c r="E40" i="21"/>
  <c r="F37" i="21"/>
  <c r="E38" i="21"/>
  <c r="E36" i="21"/>
  <c r="E41" i="21"/>
  <c r="E35" i="21"/>
  <c r="D149" i="20"/>
  <c r="E37" i="21"/>
  <c r="F36" i="19" l="1"/>
  <c r="B36" i="19"/>
  <c r="D36" i="19"/>
  <c r="F23" i="19"/>
  <c r="A52" i="19"/>
  <c r="A38" i="19"/>
  <c r="A37" i="19"/>
  <c r="A25" i="19"/>
  <c r="A51" i="19"/>
  <c r="D23" i="19"/>
  <c r="A39" i="19"/>
  <c r="A24" i="19"/>
  <c r="A26" i="19"/>
  <c r="A50" i="19"/>
  <c r="B23" i="19"/>
  <c r="F49" i="19"/>
  <c r="B49" i="19"/>
  <c r="D49" i="19"/>
  <c r="A115" i="16"/>
  <c r="B161" i="20"/>
  <c r="D161" i="20"/>
  <c r="G161" i="20" s="1"/>
  <c r="B158" i="20"/>
  <c r="N147" i="20" s="1"/>
  <c r="J158" i="20"/>
  <c r="D154" i="20"/>
  <c r="B115" i="16" s="1"/>
  <c r="B5" i="16"/>
  <c r="B39" i="23"/>
  <c r="B38" i="23"/>
  <c r="B37" i="23"/>
  <c r="B36" i="23"/>
  <c r="B35" i="23"/>
  <c r="B34" i="23"/>
  <c r="D20" i="22"/>
  <c r="C20" i="22"/>
  <c r="D19" i="22"/>
  <c r="G12" i="21" s="1"/>
  <c r="G33" i="21" s="1"/>
  <c r="C19" i="22"/>
  <c r="G11" i="21" s="1"/>
  <c r="G32" i="21" s="1"/>
  <c r="D18" i="22"/>
  <c r="C18" i="22"/>
  <c r="P147" i="20" l="1"/>
  <c r="O150" i="20" s="1"/>
  <c r="P155" i="20"/>
  <c r="F50" i="19"/>
  <c r="D50" i="19"/>
  <c r="B50" i="19"/>
  <c r="F26" i="19"/>
  <c r="D26" i="19"/>
  <c r="B26" i="19"/>
  <c r="F24" i="19"/>
  <c r="D24" i="19"/>
  <c r="B24" i="19"/>
  <c r="F39" i="19"/>
  <c r="D39" i="19"/>
  <c r="B39" i="19"/>
  <c r="F51" i="19"/>
  <c r="B51" i="19"/>
  <c r="D51" i="19"/>
  <c r="F25" i="19"/>
  <c r="B25" i="19"/>
  <c r="D25" i="19"/>
  <c r="B37" i="19"/>
  <c r="D37" i="19"/>
  <c r="F37" i="19"/>
  <c r="F38" i="19"/>
  <c r="B38" i="19"/>
  <c r="D38" i="19"/>
  <c r="F52" i="19"/>
  <c r="B52" i="19"/>
  <c r="D52" i="19"/>
  <c r="H23" i="19"/>
  <c r="O23" i="19"/>
  <c r="G23" i="19"/>
  <c r="E243" i="19"/>
  <c r="E158" i="19"/>
  <c r="M23" i="19"/>
  <c r="E70" i="19"/>
  <c r="E156" i="19"/>
  <c r="E84" i="19"/>
  <c r="E244" i="19"/>
  <c r="E173" i="19"/>
  <c r="E81" i="19"/>
  <c r="T23" i="19"/>
  <c r="E250" i="19"/>
  <c r="E175" i="19"/>
  <c r="J23" i="19"/>
  <c r="E83" i="19"/>
  <c r="E157" i="19"/>
  <c r="E251" i="19"/>
  <c r="E171" i="19"/>
  <c r="E78" i="19"/>
  <c r="E80" i="19"/>
  <c r="E257" i="19"/>
  <c r="E167" i="19"/>
  <c r="E259" i="19"/>
  <c r="E256" i="19"/>
  <c r="E245" i="19"/>
  <c r="E169" i="19"/>
  <c r="E75" i="19"/>
  <c r="E77" i="19"/>
  <c r="E258" i="19"/>
  <c r="I23" i="19"/>
  <c r="E159" i="19"/>
  <c r="K23" i="19"/>
  <c r="E254" i="19"/>
  <c r="E247" i="19"/>
  <c r="E165" i="19"/>
  <c r="E88" i="19"/>
  <c r="E82" i="19"/>
  <c r="E261" i="19"/>
  <c r="E242" i="19"/>
  <c r="E163" i="19"/>
  <c r="E72" i="19"/>
  <c r="E174" i="19"/>
  <c r="E85" i="19"/>
  <c r="E248" i="19"/>
  <c r="E252" i="19"/>
  <c r="E161" i="19"/>
  <c r="E170" i="19"/>
  <c r="E168" i="19"/>
  <c r="E253" i="19"/>
  <c r="E166" i="19"/>
  <c r="E172" i="19"/>
  <c r="E76" i="19"/>
  <c r="E74" i="19"/>
  <c r="E246" i="19"/>
  <c r="E71" i="19"/>
  <c r="E249" i="19"/>
  <c r="E164" i="19"/>
  <c r="E89" i="19"/>
  <c r="E162" i="19"/>
  <c r="E73" i="19"/>
  <c r="E79" i="19"/>
  <c r="E260" i="19"/>
  <c r="E160" i="19"/>
  <c r="E87" i="19"/>
  <c r="E86" i="19"/>
  <c r="E255" i="19"/>
  <c r="V23" i="19"/>
  <c r="L49" i="19"/>
  <c r="S49" i="19"/>
  <c r="G49" i="19"/>
  <c r="M49" i="19"/>
  <c r="V49" i="19"/>
  <c r="I49" i="19"/>
  <c r="H49" i="19"/>
  <c r="O49" i="19"/>
  <c r="K49" i="19"/>
  <c r="T49" i="19"/>
  <c r="J49" i="19"/>
  <c r="L36" i="19"/>
  <c r="S36" i="19"/>
  <c r="I36" i="19"/>
  <c r="L23" i="19"/>
  <c r="D255" i="19"/>
  <c r="D175" i="19"/>
  <c r="D163" i="19"/>
  <c r="D79" i="19"/>
  <c r="D258" i="19"/>
  <c r="D172" i="19"/>
  <c r="D161" i="19"/>
  <c r="D174" i="19"/>
  <c r="D251" i="19"/>
  <c r="D170" i="19"/>
  <c r="D159" i="19"/>
  <c r="D89" i="19"/>
  <c r="D252" i="19"/>
  <c r="D168" i="19"/>
  <c r="D157" i="19"/>
  <c r="D73" i="19"/>
  <c r="D247" i="19"/>
  <c r="D242" i="19"/>
  <c r="D166" i="19"/>
  <c r="D77" i="19"/>
  <c r="D86" i="19"/>
  <c r="D249" i="19"/>
  <c r="D83" i="19"/>
  <c r="D75" i="19"/>
  <c r="D253" i="19"/>
  <c r="D164" i="19"/>
  <c r="D74" i="19"/>
  <c r="D70" i="19"/>
  <c r="D162" i="19"/>
  <c r="D87" i="19"/>
  <c r="D246" i="19"/>
  <c r="D160" i="19"/>
  <c r="D71" i="19"/>
  <c r="S23" i="19"/>
  <c r="D173" i="19"/>
  <c r="D261" i="19"/>
  <c r="D158" i="19"/>
  <c r="D84" i="19"/>
  <c r="D80" i="19"/>
  <c r="D256" i="19"/>
  <c r="D243" i="19"/>
  <c r="D156" i="19"/>
  <c r="D81" i="19"/>
  <c r="D78" i="19"/>
  <c r="D259" i="19"/>
  <c r="D250" i="19"/>
  <c r="D171" i="19"/>
  <c r="D88" i="19"/>
  <c r="D257" i="19"/>
  <c r="D167" i="19"/>
  <c r="D260" i="19"/>
  <c r="D245" i="19"/>
  <c r="D169" i="19"/>
  <c r="D72" i="19"/>
  <c r="D248" i="19"/>
  <c r="D85" i="19"/>
  <c r="D254" i="19"/>
  <c r="D244" i="19"/>
  <c r="D165" i="19"/>
  <c r="D82" i="19"/>
  <c r="D76" i="19"/>
  <c r="K36" i="19"/>
  <c r="O36" i="19"/>
  <c r="H36" i="19"/>
  <c r="G36" i="19"/>
  <c r="V36" i="19"/>
  <c r="T36" i="19"/>
  <c r="J36" i="19"/>
  <c r="M36" i="19"/>
  <c r="B162" i="20"/>
  <c r="G158" i="20"/>
  <c r="D101" i="21"/>
  <c r="G149" i="20"/>
  <c r="O152" i="20" l="1"/>
  <c r="O151" i="20"/>
  <c r="O149" i="20"/>
  <c r="P159" i="20"/>
  <c r="O160" i="20"/>
  <c r="P160" i="20"/>
  <c r="P161" i="20"/>
  <c r="P162" i="20"/>
  <c r="C544" i="33"/>
  <c r="G543" i="33" s="1"/>
  <c r="O159" i="20"/>
  <c r="O162" i="20"/>
  <c r="O161" i="20"/>
  <c r="R167" i="19"/>
  <c r="R166" i="19"/>
  <c r="R165" i="19"/>
  <c r="R164" i="19"/>
  <c r="R163" i="19"/>
  <c r="R162" i="19"/>
  <c r="R161" i="19"/>
  <c r="R160" i="19"/>
  <c r="R175" i="19"/>
  <c r="R159" i="19"/>
  <c r="R174" i="19"/>
  <c r="R158" i="19"/>
  <c r="R173" i="19"/>
  <c r="R157" i="19"/>
  <c r="R172" i="19"/>
  <c r="R171" i="19"/>
  <c r="R170" i="19"/>
  <c r="R168" i="19"/>
  <c r="R156" i="19"/>
  <c r="R169" i="19"/>
  <c r="Q171" i="19"/>
  <c r="P171" i="19"/>
  <c r="P246" i="19"/>
  <c r="Q246" i="19"/>
  <c r="Q157" i="19"/>
  <c r="P157" i="19"/>
  <c r="L173" i="19"/>
  <c r="L157" i="19"/>
  <c r="L172" i="19"/>
  <c r="L171" i="19"/>
  <c r="L170" i="19"/>
  <c r="L169" i="19"/>
  <c r="L168" i="19"/>
  <c r="L156" i="19"/>
  <c r="L167" i="19"/>
  <c r="L166" i="19"/>
  <c r="L165" i="19"/>
  <c r="L164" i="19"/>
  <c r="L163" i="19"/>
  <c r="L162" i="19"/>
  <c r="L161" i="19"/>
  <c r="L160" i="19"/>
  <c r="L159" i="19"/>
  <c r="L174" i="19"/>
  <c r="L158" i="19"/>
  <c r="L175" i="19"/>
  <c r="O86" i="19"/>
  <c r="N86" i="19"/>
  <c r="O253" i="19"/>
  <c r="N253" i="19"/>
  <c r="O254" i="19"/>
  <c r="N254" i="19"/>
  <c r="O251" i="19"/>
  <c r="N251" i="19"/>
  <c r="Q87" i="19"/>
  <c r="P87" i="19"/>
  <c r="Q168" i="19"/>
  <c r="P168" i="19"/>
  <c r="O87" i="19"/>
  <c r="N87" i="19"/>
  <c r="O168" i="19"/>
  <c r="N168" i="19"/>
  <c r="O157" i="19"/>
  <c r="N157" i="19"/>
  <c r="R89" i="19"/>
  <c r="R86" i="19"/>
  <c r="R73" i="19"/>
  <c r="R85" i="19"/>
  <c r="R88" i="19"/>
  <c r="R72" i="19"/>
  <c r="R70" i="19"/>
  <c r="R84" i="19"/>
  <c r="R83" i="19"/>
  <c r="R82" i="19"/>
  <c r="R71" i="19"/>
  <c r="R81" i="19"/>
  <c r="R80" i="19"/>
  <c r="R79" i="19"/>
  <c r="R78" i="19"/>
  <c r="R77" i="19"/>
  <c r="R76" i="19"/>
  <c r="R87" i="19"/>
  <c r="R75" i="19"/>
  <c r="R74" i="19"/>
  <c r="L37" i="19"/>
  <c r="I37" i="19"/>
  <c r="S37" i="19"/>
  <c r="M39" i="19"/>
  <c r="T39" i="19"/>
  <c r="V39" i="19"/>
  <c r="O39" i="19"/>
  <c r="K39" i="19"/>
  <c r="H39" i="19"/>
  <c r="G39" i="19"/>
  <c r="J39" i="19"/>
  <c r="Q76" i="19"/>
  <c r="P76" i="19"/>
  <c r="Q259" i="19"/>
  <c r="P259" i="19"/>
  <c r="Q162" i="19"/>
  <c r="P162" i="19"/>
  <c r="Q252" i="19"/>
  <c r="P252" i="19"/>
  <c r="O160" i="19"/>
  <c r="N160" i="19"/>
  <c r="O170" i="19"/>
  <c r="N170" i="19"/>
  <c r="O159" i="19"/>
  <c r="N159" i="19"/>
  <c r="O83" i="19"/>
  <c r="N83" i="19"/>
  <c r="Q82" i="19"/>
  <c r="P82" i="19"/>
  <c r="Q78" i="19"/>
  <c r="P78" i="19"/>
  <c r="P70" i="19"/>
  <c r="Q70" i="19"/>
  <c r="Q89" i="19"/>
  <c r="P89" i="19"/>
  <c r="M249" i="19"/>
  <c r="M248" i="19"/>
  <c r="M247" i="19"/>
  <c r="M246" i="19"/>
  <c r="M260" i="19"/>
  <c r="M244" i="19"/>
  <c r="M258" i="19"/>
  <c r="M242" i="19"/>
  <c r="M256" i="19"/>
  <c r="M255" i="19"/>
  <c r="M254" i="19"/>
  <c r="M253" i="19"/>
  <c r="M252" i="19"/>
  <c r="M251" i="19"/>
  <c r="M250" i="19"/>
  <c r="M261" i="19"/>
  <c r="M245" i="19"/>
  <c r="M259" i="19"/>
  <c r="M243" i="19"/>
  <c r="M257" i="19"/>
  <c r="O260" i="19"/>
  <c r="N260" i="19"/>
  <c r="O161" i="19"/>
  <c r="N161" i="19"/>
  <c r="L76" i="19"/>
  <c r="L75" i="19"/>
  <c r="L78" i="19"/>
  <c r="L74" i="19"/>
  <c r="L89" i="19"/>
  <c r="L73" i="19"/>
  <c r="L79" i="19"/>
  <c r="L88" i="19"/>
  <c r="L72" i="19"/>
  <c r="L70" i="19"/>
  <c r="L87" i="19"/>
  <c r="L86" i="19"/>
  <c r="L85" i="19"/>
  <c r="L84" i="19"/>
  <c r="L83" i="19"/>
  <c r="L77" i="19"/>
  <c r="L82" i="19"/>
  <c r="L71" i="19"/>
  <c r="L81" i="19"/>
  <c r="L80" i="19"/>
  <c r="M75" i="19"/>
  <c r="M77" i="19"/>
  <c r="M74" i="19"/>
  <c r="M76" i="19"/>
  <c r="M89" i="19"/>
  <c r="M73" i="19"/>
  <c r="M88" i="19"/>
  <c r="M72" i="19"/>
  <c r="M70" i="19"/>
  <c r="M87" i="19"/>
  <c r="M86" i="19"/>
  <c r="M78" i="19"/>
  <c r="M85" i="19"/>
  <c r="M84" i="19"/>
  <c r="M83" i="19"/>
  <c r="M82" i="19"/>
  <c r="M71" i="19"/>
  <c r="M81" i="19"/>
  <c r="M80" i="19"/>
  <c r="M79" i="19"/>
  <c r="L24" i="19"/>
  <c r="D277" i="19"/>
  <c r="D183" i="19"/>
  <c r="D96" i="19"/>
  <c r="D270" i="19"/>
  <c r="D109" i="19"/>
  <c r="D177" i="19"/>
  <c r="D181" i="19"/>
  <c r="D279" i="19"/>
  <c r="D276" i="19"/>
  <c r="D179" i="19"/>
  <c r="D93" i="19"/>
  <c r="D263" i="19"/>
  <c r="D195" i="19"/>
  <c r="D281" i="19"/>
  <c r="D278" i="19"/>
  <c r="D185" i="19"/>
  <c r="D90" i="19"/>
  <c r="D184" i="19"/>
  <c r="D176" i="19"/>
  <c r="D272" i="19"/>
  <c r="D275" i="19"/>
  <c r="D269" i="19"/>
  <c r="D186" i="19"/>
  <c r="D103" i="19"/>
  <c r="D100" i="19"/>
  <c r="D182" i="19"/>
  <c r="D267" i="19"/>
  <c r="D273" i="19"/>
  <c r="D268" i="19"/>
  <c r="D194" i="19"/>
  <c r="D97" i="19"/>
  <c r="D188" i="19"/>
  <c r="D265" i="19"/>
  <c r="D192" i="19"/>
  <c r="D180" i="19"/>
  <c r="D94" i="19"/>
  <c r="D280" i="19"/>
  <c r="D91" i="19"/>
  <c r="D262" i="19"/>
  <c r="D190" i="19"/>
  <c r="D178" i="19"/>
  <c r="D107" i="19"/>
  <c r="D108" i="19"/>
  <c r="D104" i="19"/>
  <c r="D271" i="19"/>
  <c r="D193" i="19"/>
  <c r="D92" i="19"/>
  <c r="D101" i="19"/>
  <c r="D191" i="19"/>
  <c r="D98" i="19"/>
  <c r="D189" i="19"/>
  <c r="D266" i="19"/>
  <c r="D106" i="19"/>
  <c r="D264" i="19"/>
  <c r="D105" i="19"/>
  <c r="D274" i="19"/>
  <c r="D95" i="19"/>
  <c r="S24" i="19"/>
  <c r="D102" i="19"/>
  <c r="D99" i="19"/>
  <c r="D187" i="19"/>
  <c r="Q250" i="19"/>
  <c r="P250" i="19"/>
  <c r="Q165" i="19"/>
  <c r="P165" i="19"/>
  <c r="Q81" i="19"/>
  <c r="P81" i="19"/>
  <c r="Q74" i="19"/>
  <c r="P74" i="19"/>
  <c r="Q159" i="19"/>
  <c r="P159" i="19"/>
  <c r="T259" i="19"/>
  <c r="T243" i="19"/>
  <c r="T258" i="19"/>
  <c r="T242" i="19"/>
  <c r="T257" i="19"/>
  <c r="T256" i="19"/>
  <c r="T254" i="19"/>
  <c r="T252" i="19"/>
  <c r="T250" i="19"/>
  <c r="T249" i="19"/>
  <c r="T248" i="19"/>
  <c r="T247" i="19"/>
  <c r="T246" i="19"/>
  <c r="T261" i="19"/>
  <c r="T245" i="19"/>
  <c r="T260" i="19"/>
  <c r="T244" i="19"/>
  <c r="T255" i="19"/>
  <c r="T253" i="19"/>
  <c r="T251" i="19"/>
  <c r="O79" i="19"/>
  <c r="N79" i="19"/>
  <c r="O252" i="19"/>
  <c r="N252" i="19"/>
  <c r="O258" i="19"/>
  <c r="N258" i="19"/>
  <c r="O175" i="19"/>
  <c r="N175" i="19"/>
  <c r="Q156" i="19"/>
  <c r="P156" i="19"/>
  <c r="O73" i="19"/>
  <c r="N73" i="19"/>
  <c r="N248" i="19"/>
  <c r="O248" i="19"/>
  <c r="N77" i="19"/>
  <c r="O77" i="19"/>
  <c r="O250" i="19"/>
  <c r="N250" i="19"/>
  <c r="L25" i="19"/>
  <c r="D294" i="19"/>
  <c r="D215" i="19"/>
  <c r="D209" i="19"/>
  <c r="D113" i="19"/>
  <c r="D293" i="19"/>
  <c r="D213" i="19"/>
  <c r="D119" i="19"/>
  <c r="D110" i="19"/>
  <c r="D285" i="19"/>
  <c r="D211" i="19"/>
  <c r="D129" i="19"/>
  <c r="D116" i="19"/>
  <c r="D284" i="19"/>
  <c r="D208" i="19"/>
  <c r="D126" i="19"/>
  <c r="D114" i="19"/>
  <c r="D128" i="19"/>
  <c r="D297" i="19"/>
  <c r="D206" i="19"/>
  <c r="D123" i="19"/>
  <c r="S25" i="19"/>
  <c r="D202" i="19"/>
  <c r="D282" i="19"/>
  <c r="D204" i="19"/>
  <c r="D120" i="19"/>
  <c r="D111" i="19"/>
  <c r="D283" i="19"/>
  <c r="D117" i="19"/>
  <c r="D299" i="19"/>
  <c r="D288" i="19"/>
  <c r="D200" i="19"/>
  <c r="D127" i="19"/>
  <c r="D286" i="19"/>
  <c r="D207" i="19"/>
  <c r="D124" i="19"/>
  <c r="D291" i="19"/>
  <c r="D118" i="19"/>
  <c r="D300" i="19"/>
  <c r="D298" i="19"/>
  <c r="D205" i="19"/>
  <c r="D121" i="19"/>
  <c r="D203" i="19"/>
  <c r="D295" i="19"/>
  <c r="D301" i="19"/>
  <c r="D296" i="19"/>
  <c r="D287" i="19"/>
  <c r="D199" i="19"/>
  <c r="D125" i="19"/>
  <c r="D289" i="19"/>
  <c r="D197" i="19"/>
  <c r="D292" i="19"/>
  <c r="D214" i="19"/>
  <c r="D196" i="19"/>
  <c r="D122" i="19"/>
  <c r="D212" i="19"/>
  <c r="D115" i="19"/>
  <c r="D290" i="19"/>
  <c r="D210" i="19"/>
  <c r="D198" i="19"/>
  <c r="D112" i="19"/>
  <c r="D201" i="19"/>
  <c r="Q244" i="19"/>
  <c r="P244" i="19"/>
  <c r="Q164" i="19"/>
  <c r="P164" i="19"/>
  <c r="Q254" i="19"/>
  <c r="P254" i="19"/>
  <c r="Q243" i="19"/>
  <c r="P243" i="19"/>
  <c r="P253" i="19"/>
  <c r="Q253" i="19"/>
  <c r="Q251" i="19"/>
  <c r="P251" i="19"/>
  <c r="R260" i="19"/>
  <c r="R244" i="19"/>
  <c r="R259" i="19"/>
  <c r="R243" i="19"/>
  <c r="R258" i="19"/>
  <c r="R242" i="19"/>
  <c r="R257" i="19"/>
  <c r="R255" i="19"/>
  <c r="R253" i="19"/>
  <c r="R251" i="19"/>
  <c r="R250" i="19"/>
  <c r="R249" i="19"/>
  <c r="R248" i="19"/>
  <c r="R247" i="19"/>
  <c r="R246" i="19"/>
  <c r="R261" i="19"/>
  <c r="R245" i="19"/>
  <c r="R254" i="19"/>
  <c r="R252" i="19"/>
  <c r="R256" i="19"/>
  <c r="O162" i="19"/>
  <c r="N162" i="19"/>
  <c r="O85" i="19"/>
  <c r="N85" i="19"/>
  <c r="O75" i="19"/>
  <c r="N75" i="19"/>
  <c r="T89" i="19"/>
  <c r="T85" i="19"/>
  <c r="T84" i="19"/>
  <c r="T83" i="19"/>
  <c r="T82" i="19"/>
  <c r="T71" i="19"/>
  <c r="T70" i="19"/>
  <c r="T81" i="19"/>
  <c r="T88" i="19"/>
  <c r="T80" i="19"/>
  <c r="T87" i="19"/>
  <c r="T79" i="19"/>
  <c r="T78" i="19"/>
  <c r="T72" i="19"/>
  <c r="T77" i="19"/>
  <c r="T76" i="19"/>
  <c r="T75" i="19"/>
  <c r="T74" i="19"/>
  <c r="T73" i="19"/>
  <c r="T86" i="19"/>
  <c r="L52" i="19"/>
  <c r="S52" i="19"/>
  <c r="O25" i="19"/>
  <c r="G25" i="19"/>
  <c r="E297" i="19"/>
  <c r="E285" i="19"/>
  <c r="E200" i="19"/>
  <c r="E121" i="19"/>
  <c r="E301" i="19"/>
  <c r="E284" i="19"/>
  <c r="E199" i="19"/>
  <c r="E293" i="19"/>
  <c r="E202" i="19"/>
  <c r="M25" i="19"/>
  <c r="E212" i="19"/>
  <c r="E118" i="19"/>
  <c r="H25" i="19"/>
  <c r="E298" i="19"/>
  <c r="E287" i="19"/>
  <c r="E196" i="19"/>
  <c r="E128" i="19"/>
  <c r="K25" i="19"/>
  <c r="E283" i="19"/>
  <c r="E125" i="19"/>
  <c r="E197" i="19"/>
  <c r="E294" i="19"/>
  <c r="E286" i="19"/>
  <c r="E214" i="19"/>
  <c r="E201" i="19"/>
  <c r="E122" i="19"/>
  <c r="E300" i="19"/>
  <c r="E119" i="19"/>
  <c r="J25" i="19"/>
  <c r="E299" i="19"/>
  <c r="E215" i="19"/>
  <c r="E198" i="19"/>
  <c r="E115" i="19"/>
  <c r="E291" i="19"/>
  <c r="E213" i="19"/>
  <c r="E206" i="19"/>
  <c r="E112" i="19"/>
  <c r="E289" i="19"/>
  <c r="E120" i="19"/>
  <c r="E290" i="19"/>
  <c r="E211" i="19"/>
  <c r="E116" i="19"/>
  <c r="E113" i="19"/>
  <c r="E110" i="19"/>
  <c r="E292" i="19"/>
  <c r="E123" i="19"/>
  <c r="E296" i="19"/>
  <c r="E208" i="19"/>
  <c r="E129" i="19"/>
  <c r="E111" i="19"/>
  <c r="E295" i="19"/>
  <c r="E210" i="19"/>
  <c r="E126" i="19"/>
  <c r="E114" i="19"/>
  <c r="E207" i="19"/>
  <c r="E205" i="19"/>
  <c r="E124" i="19"/>
  <c r="E282" i="19"/>
  <c r="E203" i="19"/>
  <c r="E117" i="19"/>
  <c r="I25" i="19"/>
  <c r="E204" i="19"/>
  <c r="E288" i="19"/>
  <c r="E209" i="19"/>
  <c r="E127" i="19"/>
  <c r="T25" i="19"/>
  <c r="V25" i="19"/>
  <c r="K24" i="19"/>
  <c r="E271" i="19"/>
  <c r="E179" i="19"/>
  <c r="E90" i="19"/>
  <c r="T24" i="19"/>
  <c r="E266" i="19"/>
  <c r="E177" i="19"/>
  <c r="E103" i="19"/>
  <c r="M24" i="19"/>
  <c r="E279" i="19"/>
  <c r="E277" i="19"/>
  <c r="E268" i="19"/>
  <c r="E185" i="19"/>
  <c r="E100" i="19"/>
  <c r="E275" i="19"/>
  <c r="E272" i="19"/>
  <c r="E267" i="19"/>
  <c r="E184" i="19"/>
  <c r="E94" i="19"/>
  <c r="E273" i="19"/>
  <c r="E280" i="19"/>
  <c r="E194" i="19"/>
  <c r="E182" i="19"/>
  <c r="E107" i="19"/>
  <c r="E108" i="19"/>
  <c r="E264" i="19"/>
  <c r="E192" i="19"/>
  <c r="E180" i="19"/>
  <c r="E91" i="19"/>
  <c r="E102" i="19"/>
  <c r="O24" i="19"/>
  <c r="E189" i="19"/>
  <c r="E274" i="19"/>
  <c r="E190" i="19"/>
  <c r="E178" i="19"/>
  <c r="E104" i="19"/>
  <c r="E265" i="19"/>
  <c r="E195" i="19"/>
  <c r="E176" i="19"/>
  <c r="E101" i="19"/>
  <c r="E98" i="19"/>
  <c r="E262" i="19"/>
  <c r="E99" i="19"/>
  <c r="E281" i="19"/>
  <c r="E193" i="19"/>
  <c r="E105" i="19"/>
  <c r="E95" i="19"/>
  <c r="E191" i="19"/>
  <c r="H24" i="19"/>
  <c r="E269" i="19"/>
  <c r="E187" i="19"/>
  <c r="E96" i="19"/>
  <c r="E92" i="19"/>
  <c r="G24" i="19"/>
  <c r="E278" i="19"/>
  <c r="E188" i="19"/>
  <c r="E109" i="19"/>
  <c r="J24" i="19"/>
  <c r="E186" i="19"/>
  <c r="E276" i="19"/>
  <c r="E183" i="19"/>
  <c r="E93" i="19"/>
  <c r="I24" i="19"/>
  <c r="E97" i="19"/>
  <c r="E270" i="19"/>
  <c r="E181" i="19"/>
  <c r="E106" i="19"/>
  <c r="V24" i="19"/>
  <c r="E263" i="19"/>
  <c r="Q170" i="19"/>
  <c r="P170" i="19"/>
  <c r="Q85" i="19"/>
  <c r="P85" i="19"/>
  <c r="Q256" i="19"/>
  <c r="P256" i="19"/>
  <c r="P75" i="19"/>
  <c r="Q75" i="19"/>
  <c r="Q174" i="19"/>
  <c r="P174" i="19"/>
  <c r="O89" i="19"/>
  <c r="N89" i="19"/>
  <c r="O174" i="19"/>
  <c r="N174" i="19"/>
  <c r="O169" i="19"/>
  <c r="N169" i="19"/>
  <c r="O81" i="19"/>
  <c r="N81" i="19"/>
  <c r="G52" i="19"/>
  <c r="O52" i="19"/>
  <c r="H52" i="19"/>
  <c r="I52" i="19"/>
  <c r="K52" i="19"/>
  <c r="V52" i="19"/>
  <c r="T52" i="19"/>
  <c r="M52" i="19"/>
  <c r="J52" i="19"/>
  <c r="L26" i="19"/>
  <c r="D312" i="19"/>
  <c r="D229" i="19"/>
  <c r="D217" i="19"/>
  <c r="D130" i="19"/>
  <c r="D227" i="19"/>
  <c r="D149" i="19"/>
  <c r="D137" i="19"/>
  <c r="D319" i="19"/>
  <c r="D317" i="19"/>
  <c r="D235" i="19"/>
  <c r="D146" i="19"/>
  <c r="D134" i="19"/>
  <c r="D131" i="19"/>
  <c r="D314" i="19"/>
  <c r="D230" i="19"/>
  <c r="D140" i="19"/>
  <c r="D138" i="19"/>
  <c r="D216" i="19"/>
  <c r="D308" i="19"/>
  <c r="D228" i="19"/>
  <c r="D147" i="19"/>
  <c r="S26" i="19"/>
  <c r="D307" i="19"/>
  <c r="D309" i="19"/>
  <c r="D223" i="19"/>
  <c r="D144" i="19"/>
  <c r="D304" i="19"/>
  <c r="D225" i="19"/>
  <c r="D148" i="19"/>
  <c r="D306" i="19"/>
  <c r="D226" i="19"/>
  <c r="D145" i="19"/>
  <c r="D302" i="19"/>
  <c r="D320" i="19"/>
  <c r="D313" i="19"/>
  <c r="D305" i="19"/>
  <c r="D220" i="19"/>
  <c r="D142" i="19"/>
  <c r="D135" i="19"/>
  <c r="D310" i="19"/>
  <c r="D218" i="19"/>
  <c r="D132" i="19"/>
  <c r="D311" i="19"/>
  <c r="D303" i="19"/>
  <c r="D222" i="19"/>
  <c r="D141" i="19"/>
  <c r="D316" i="19"/>
  <c r="D321" i="19"/>
  <c r="D234" i="19"/>
  <c r="D224" i="19"/>
  <c r="D139" i="19"/>
  <c r="D318" i="19"/>
  <c r="D233" i="19"/>
  <c r="D221" i="19"/>
  <c r="D136" i="19"/>
  <c r="D143" i="19"/>
  <c r="D315" i="19"/>
  <c r="D231" i="19"/>
  <c r="D219" i="19"/>
  <c r="D133" i="19"/>
  <c r="D232" i="19"/>
  <c r="Q161" i="19"/>
  <c r="P161" i="19"/>
  <c r="L250" i="19"/>
  <c r="L249" i="19"/>
  <c r="L248" i="19"/>
  <c r="L247" i="19"/>
  <c r="L261" i="19"/>
  <c r="L245" i="19"/>
  <c r="L259" i="19"/>
  <c r="L243" i="19"/>
  <c r="L257" i="19"/>
  <c r="L256" i="19"/>
  <c r="L255" i="19"/>
  <c r="L254" i="19"/>
  <c r="L253" i="19"/>
  <c r="L252" i="19"/>
  <c r="L251" i="19"/>
  <c r="L260" i="19"/>
  <c r="L246" i="19"/>
  <c r="L244" i="19"/>
  <c r="L258" i="19"/>
  <c r="L242" i="19"/>
  <c r="O164" i="19"/>
  <c r="N164" i="19"/>
  <c r="O72" i="19"/>
  <c r="N72" i="19"/>
  <c r="O245" i="19"/>
  <c r="N245" i="19"/>
  <c r="O173" i="19"/>
  <c r="N173" i="19"/>
  <c r="P72" i="19"/>
  <c r="Q72" i="19"/>
  <c r="Q84" i="19"/>
  <c r="P84" i="19"/>
  <c r="Q249" i="19"/>
  <c r="P249" i="19"/>
  <c r="Q172" i="19"/>
  <c r="P172" i="19"/>
  <c r="W258" i="19"/>
  <c r="W242" i="19"/>
  <c r="W257" i="19"/>
  <c r="W256" i="19"/>
  <c r="W255" i="19"/>
  <c r="W253" i="19"/>
  <c r="W251" i="19"/>
  <c r="W249" i="19"/>
  <c r="W248" i="19"/>
  <c r="W247" i="19"/>
  <c r="W246" i="19"/>
  <c r="W261" i="19"/>
  <c r="W245" i="19"/>
  <c r="W260" i="19"/>
  <c r="W244" i="19"/>
  <c r="W259" i="19"/>
  <c r="W243" i="19"/>
  <c r="W254" i="19"/>
  <c r="W250" i="19"/>
  <c r="W252" i="19"/>
  <c r="O249" i="19"/>
  <c r="N249" i="19"/>
  <c r="O163" i="19"/>
  <c r="N163" i="19"/>
  <c r="O256" i="19"/>
  <c r="N256" i="19"/>
  <c r="O244" i="19"/>
  <c r="N244" i="19"/>
  <c r="Q248" i="19"/>
  <c r="P248" i="19"/>
  <c r="P169" i="19"/>
  <c r="Q169" i="19"/>
  <c r="Q158" i="19"/>
  <c r="P158" i="19"/>
  <c r="Q86" i="19"/>
  <c r="P86" i="19"/>
  <c r="Q258" i="19"/>
  <c r="P258" i="19"/>
  <c r="O71" i="19"/>
  <c r="N71" i="19"/>
  <c r="O242" i="19"/>
  <c r="J242" i="19"/>
  <c r="K242" i="19" s="1"/>
  <c r="N242" i="19"/>
  <c r="N259" i="19"/>
  <c r="O259" i="19"/>
  <c r="O84" i="19"/>
  <c r="N84" i="19"/>
  <c r="L51" i="19"/>
  <c r="S51" i="19"/>
  <c r="K26" i="19"/>
  <c r="E317" i="19"/>
  <c r="E302" i="19"/>
  <c r="E218" i="19"/>
  <c r="E136" i="19"/>
  <c r="E308" i="19"/>
  <c r="E233" i="19"/>
  <c r="E216" i="19"/>
  <c r="E133" i="19"/>
  <c r="E318" i="19"/>
  <c r="E137" i="19"/>
  <c r="H26" i="19"/>
  <c r="G26" i="19"/>
  <c r="E321" i="19"/>
  <c r="E231" i="19"/>
  <c r="E221" i="19"/>
  <c r="E130" i="19"/>
  <c r="E229" i="19"/>
  <c r="E219" i="19"/>
  <c r="E315" i="19"/>
  <c r="E227" i="19"/>
  <c r="E217" i="19"/>
  <c r="E134" i="19"/>
  <c r="E228" i="19"/>
  <c r="E312" i="19"/>
  <c r="E225" i="19"/>
  <c r="E149" i="19"/>
  <c r="E144" i="19"/>
  <c r="E141" i="19"/>
  <c r="E226" i="19"/>
  <c r="E309" i="19"/>
  <c r="E223" i="19"/>
  <c r="E146" i="19"/>
  <c r="E131" i="19"/>
  <c r="E319" i="19"/>
  <c r="E235" i="19"/>
  <c r="E143" i="19"/>
  <c r="E138" i="19"/>
  <c r="M26" i="19"/>
  <c r="E311" i="19"/>
  <c r="E232" i="19"/>
  <c r="E140" i="19"/>
  <c r="E135" i="19"/>
  <c r="V26" i="19"/>
  <c r="E314" i="19"/>
  <c r="E316" i="19"/>
  <c r="E230" i="19"/>
  <c r="E147" i="19"/>
  <c r="T26" i="19"/>
  <c r="E148" i="19"/>
  <c r="E306" i="19"/>
  <c r="E305" i="19"/>
  <c r="E224" i="19"/>
  <c r="E145" i="19"/>
  <c r="J26" i="19"/>
  <c r="E310" i="19"/>
  <c r="E304" i="19"/>
  <c r="E222" i="19"/>
  <c r="E142" i="19"/>
  <c r="I26" i="19"/>
  <c r="O26" i="19"/>
  <c r="E307" i="19"/>
  <c r="E313" i="19"/>
  <c r="E234" i="19"/>
  <c r="E132" i="19"/>
  <c r="E320" i="19"/>
  <c r="E303" i="19"/>
  <c r="E220" i="19"/>
  <c r="E139" i="19"/>
  <c r="M172" i="19"/>
  <c r="M171" i="19"/>
  <c r="M170" i="19"/>
  <c r="M169" i="19"/>
  <c r="M168" i="19"/>
  <c r="M156" i="19"/>
  <c r="M167" i="19"/>
  <c r="M166" i="19"/>
  <c r="M165" i="19"/>
  <c r="M164" i="19"/>
  <c r="M163" i="19"/>
  <c r="M162" i="19"/>
  <c r="M161" i="19"/>
  <c r="M160" i="19"/>
  <c r="M175" i="19"/>
  <c r="M159" i="19"/>
  <c r="M157" i="19"/>
  <c r="M174" i="19"/>
  <c r="M158" i="19"/>
  <c r="M173" i="19"/>
  <c r="Q245" i="19"/>
  <c r="P245" i="19"/>
  <c r="Q261" i="19"/>
  <c r="P261" i="19"/>
  <c r="Q77" i="19"/>
  <c r="P77" i="19"/>
  <c r="Q79" i="19"/>
  <c r="P79" i="19"/>
  <c r="O246" i="19"/>
  <c r="N246" i="19"/>
  <c r="O261" i="19"/>
  <c r="N261" i="19"/>
  <c r="O167" i="19"/>
  <c r="N167" i="19"/>
  <c r="O156" i="19"/>
  <c r="N156" i="19"/>
  <c r="J156" i="19"/>
  <c r="J157" i="19" s="1"/>
  <c r="L38" i="19"/>
  <c r="S38" i="19"/>
  <c r="I38" i="19"/>
  <c r="G51" i="19"/>
  <c r="O51" i="19"/>
  <c r="H51" i="19"/>
  <c r="T51" i="19"/>
  <c r="M51" i="19"/>
  <c r="J51" i="19"/>
  <c r="I51" i="19"/>
  <c r="K51" i="19"/>
  <c r="V51" i="19"/>
  <c r="Q83" i="19"/>
  <c r="P83" i="19"/>
  <c r="T166" i="19"/>
  <c r="T165" i="19"/>
  <c r="T164" i="19"/>
  <c r="T163" i="19"/>
  <c r="T162" i="19"/>
  <c r="T161" i="19"/>
  <c r="T160" i="19"/>
  <c r="T175" i="19"/>
  <c r="T159" i="19"/>
  <c r="T174" i="19"/>
  <c r="T158" i="19"/>
  <c r="T173" i="19"/>
  <c r="T157" i="19"/>
  <c r="T172" i="19"/>
  <c r="T171" i="19"/>
  <c r="T170" i="19"/>
  <c r="T169" i="19"/>
  <c r="T168" i="19"/>
  <c r="T156" i="19"/>
  <c r="T167" i="19"/>
  <c r="Q260" i="19"/>
  <c r="P260" i="19"/>
  <c r="Q173" i="19"/>
  <c r="P173" i="19"/>
  <c r="Q166" i="19"/>
  <c r="P166" i="19"/>
  <c r="Q163" i="19"/>
  <c r="P163" i="19"/>
  <c r="N74" i="19"/>
  <c r="O74" i="19"/>
  <c r="O82" i="19"/>
  <c r="N82" i="19"/>
  <c r="N257" i="19"/>
  <c r="O257" i="19"/>
  <c r="O70" i="19"/>
  <c r="N70" i="19"/>
  <c r="J70" i="19"/>
  <c r="K70" i="19" s="1"/>
  <c r="G38" i="19"/>
  <c r="O38" i="19"/>
  <c r="H38" i="19"/>
  <c r="M38" i="19"/>
  <c r="K38" i="19"/>
  <c r="J38" i="19"/>
  <c r="V38" i="19"/>
  <c r="T38" i="19"/>
  <c r="L50" i="19"/>
  <c r="S50" i="19"/>
  <c r="Q80" i="19"/>
  <c r="P80" i="19"/>
  <c r="W165" i="19"/>
  <c r="W164" i="19"/>
  <c r="W163" i="19"/>
  <c r="W162" i="19"/>
  <c r="W161" i="19"/>
  <c r="W160" i="19"/>
  <c r="W175" i="19"/>
  <c r="W159" i="19"/>
  <c r="W174" i="19"/>
  <c r="W158" i="19"/>
  <c r="W173" i="19"/>
  <c r="W157" i="19"/>
  <c r="W172" i="19"/>
  <c r="W171" i="19"/>
  <c r="W170" i="19"/>
  <c r="W169" i="19"/>
  <c r="W168" i="19"/>
  <c r="W156" i="19"/>
  <c r="W166" i="19"/>
  <c r="W167" i="19"/>
  <c r="Q167" i="19"/>
  <c r="P167" i="19"/>
  <c r="Q242" i="19"/>
  <c r="P242" i="19"/>
  <c r="Q175" i="19"/>
  <c r="P175" i="19"/>
  <c r="N76" i="19"/>
  <c r="O76" i="19"/>
  <c r="O88" i="19"/>
  <c r="N88" i="19"/>
  <c r="O80" i="19"/>
  <c r="N80" i="19"/>
  <c r="P257" i="19"/>
  <c r="Q257" i="19"/>
  <c r="Q71" i="19"/>
  <c r="P71" i="19"/>
  <c r="Q247" i="19"/>
  <c r="P247" i="19"/>
  <c r="P255" i="19"/>
  <c r="Q255" i="19"/>
  <c r="W89" i="19"/>
  <c r="W84" i="19"/>
  <c r="W87" i="19"/>
  <c r="W83" i="19"/>
  <c r="W85" i="19"/>
  <c r="W82" i="19"/>
  <c r="W71" i="19"/>
  <c r="W81" i="19"/>
  <c r="W80" i="19"/>
  <c r="W79" i="19"/>
  <c r="W78" i="19"/>
  <c r="W77" i="19"/>
  <c r="W76" i="19"/>
  <c r="W75" i="19"/>
  <c r="W74" i="19"/>
  <c r="W86" i="19"/>
  <c r="W73" i="19"/>
  <c r="W88" i="19"/>
  <c r="W72" i="19"/>
  <c r="W70" i="19"/>
  <c r="O172" i="19"/>
  <c r="N172" i="19"/>
  <c r="O165" i="19"/>
  <c r="N165" i="19"/>
  <c r="O78" i="19"/>
  <c r="N78" i="19"/>
  <c r="O158" i="19"/>
  <c r="N158" i="19"/>
  <c r="O37" i="19"/>
  <c r="J37" i="19"/>
  <c r="K37" i="19"/>
  <c r="V37" i="19"/>
  <c r="H37" i="19"/>
  <c r="T37" i="19"/>
  <c r="G37" i="19"/>
  <c r="M37" i="19"/>
  <c r="P88" i="19"/>
  <c r="Q88" i="19"/>
  <c r="Q160" i="19"/>
  <c r="P160" i="19"/>
  <c r="P73" i="19"/>
  <c r="Q73" i="19"/>
  <c r="N255" i="19"/>
  <c r="O255" i="19"/>
  <c r="O166" i="19"/>
  <c r="N166" i="19"/>
  <c r="O247" i="19"/>
  <c r="N247" i="19"/>
  <c r="N171" i="19"/>
  <c r="O171" i="19"/>
  <c r="N243" i="19"/>
  <c r="O243" i="19"/>
  <c r="L39" i="19"/>
  <c r="S39" i="19"/>
  <c r="I39" i="19"/>
  <c r="O50" i="19"/>
  <c r="V50" i="19"/>
  <c r="K50" i="19"/>
  <c r="T50" i="19"/>
  <c r="H50" i="19"/>
  <c r="M50" i="19"/>
  <c r="I50" i="19"/>
  <c r="G50" i="19"/>
  <c r="J50" i="19"/>
  <c r="C115" i="16" a="1"/>
  <c r="C115" i="16" s="1"/>
  <c r="D162" i="20"/>
  <c r="D115" i="16" s="1"/>
  <c r="F543" i="33" l="1"/>
  <c r="H543" i="33" s="1"/>
  <c r="J243" i="19"/>
  <c r="J244" i="19" s="1"/>
  <c r="G544" i="33"/>
  <c r="G545" i="33"/>
  <c r="Q159" i="20"/>
  <c r="F545" i="33"/>
  <c r="F544" i="33"/>
  <c r="K156" i="19"/>
  <c r="K243" i="19"/>
  <c r="K244" i="19"/>
  <c r="J245" i="19"/>
  <c r="K157" i="19"/>
  <c r="J158" i="19"/>
  <c r="T296" i="19"/>
  <c r="T295" i="19"/>
  <c r="T294" i="19"/>
  <c r="T293" i="19"/>
  <c r="T291" i="19"/>
  <c r="T289" i="19"/>
  <c r="T288" i="19"/>
  <c r="T287" i="19"/>
  <c r="T286" i="19"/>
  <c r="T301" i="19"/>
  <c r="T285" i="19"/>
  <c r="T300" i="19"/>
  <c r="T284" i="19"/>
  <c r="T299" i="19"/>
  <c r="T283" i="19"/>
  <c r="T298" i="19"/>
  <c r="T282" i="19"/>
  <c r="T297" i="19"/>
  <c r="T292" i="19"/>
  <c r="T290" i="19"/>
  <c r="N310" i="19"/>
  <c r="O310" i="19"/>
  <c r="O311" i="19"/>
  <c r="N311" i="19"/>
  <c r="O228" i="19"/>
  <c r="N228" i="19"/>
  <c r="O216" i="19"/>
  <c r="N216" i="19"/>
  <c r="J216" i="19"/>
  <c r="K216" i="19" s="1"/>
  <c r="Q139" i="19"/>
  <c r="P139" i="19"/>
  <c r="Q313" i="19"/>
  <c r="P313" i="19"/>
  <c r="P308" i="19"/>
  <c r="Q308" i="19"/>
  <c r="Q217" i="19"/>
  <c r="P217" i="19"/>
  <c r="O276" i="19"/>
  <c r="N276" i="19"/>
  <c r="O281" i="19"/>
  <c r="N281" i="19"/>
  <c r="O180" i="19"/>
  <c r="N180" i="19"/>
  <c r="N268" i="19"/>
  <c r="O268" i="19"/>
  <c r="O288" i="19"/>
  <c r="N288" i="19"/>
  <c r="N296" i="19"/>
  <c r="O296" i="19"/>
  <c r="O215" i="19"/>
  <c r="N215" i="19"/>
  <c r="O287" i="19"/>
  <c r="N287" i="19"/>
  <c r="R119" i="19"/>
  <c r="R118" i="19"/>
  <c r="R117" i="19"/>
  <c r="R116" i="19"/>
  <c r="R114" i="19"/>
  <c r="R129" i="19"/>
  <c r="R113" i="19"/>
  <c r="R128" i="19"/>
  <c r="R112" i="19"/>
  <c r="R127" i="19"/>
  <c r="R111" i="19"/>
  <c r="R126" i="19"/>
  <c r="R110" i="19"/>
  <c r="R125" i="19"/>
  <c r="R124" i="19"/>
  <c r="R123" i="19"/>
  <c r="R122" i="19"/>
  <c r="R120" i="19"/>
  <c r="R121" i="19"/>
  <c r="R115" i="19"/>
  <c r="P125" i="19"/>
  <c r="P127" i="19"/>
  <c r="P114" i="19"/>
  <c r="P193" i="19"/>
  <c r="P194" i="19"/>
  <c r="P281" i="19"/>
  <c r="L275" i="19"/>
  <c r="L276" i="19"/>
  <c r="L277" i="19"/>
  <c r="L278" i="19"/>
  <c r="L280" i="19"/>
  <c r="L264" i="19"/>
  <c r="L266" i="19"/>
  <c r="L268" i="19"/>
  <c r="L269" i="19"/>
  <c r="L270" i="19"/>
  <c r="L271" i="19"/>
  <c r="L272" i="19"/>
  <c r="L273" i="19"/>
  <c r="L274" i="19"/>
  <c r="L263" i="19"/>
  <c r="L267" i="19"/>
  <c r="L265" i="19"/>
  <c r="L279" i="19"/>
  <c r="L281" i="19"/>
  <c r="L262" i="19"/>
  <c r="M140" i="19"/>
  <c r="M139" i="19"/>
  <c r="M138" i="19"/>
  <c r="M137" i="19"/>
  <c r="M135" i="19"/>
  <c r="M134" i="19"/>
  <c r="M149" i="19"/>
  <c r="M133" i="19"/>
  <c r="M148" i="19"/>
  <c r="M132" i="19"/>
  <c r="M147" i="19"/>
  <c r="M131" i="19"/>
  <c r="M146" i="19"/>
  <c r="M130" i="19"/>
  <c r="M145" i="19"/>
  <c r="M144" i="19"/>
  <c r="M143" i="19"/>
  <c r="M142" i="19"/>
  <c r="M136" i="19"/>
  <c r="M141" i="19"/>
  <c r="N134" i="19"/>
  <c r="O134" i="19"/>
  <c r="O233" i="19"/>
  <c r="N233" i="19"/>
  <c r="Q224" i="19"/>
  <c r="P224" i="19"/>
  <c r="Q320" i="19"/>
  <c r="P320" i="19"/>
  <c r="P216" i="19"/>
  <c r="Q216" i="19"/>
  <c r="Q229" i="19"/>
  <c r="P229" i="19"/>
  <c r="O186" i="19"/>
  <c r="N186" i="19"/>
  <c r="O99" i="19"/>
  <c r="N99" i="19"/>
  <c r="O192" i="19"/>
  <c r="N192" i="19"/>
  <c r="N277" i="19"/>
  <c r="O277" i="19"/>
  <c r="N204" i="19"/>
  <c r="O204" i="19"/>
  <c r="N123" i="19"/>
  <c r="O123" i="19"/>
  <c r="O299" i="19"/>
  <c r="N299" i="19"/>
  <c r="O298" i="19"/>
  <c r="N298" i="19"/>
  <c r="P199" i="19"/>
  <c r="P200" i="19"/>
  <c r="P126" i="19"/>
  <c r="P187" i="19"/>
  <c r="P271" i="19"/>
  <c r="P268" i="19"/>
  <c r="P195" i="19"/>
  <c r="R297" i="19"/>
  <c r="R296" i="19"/>
  <c r="R295" i="19"/>
  <c r="R294" i="19"/>
  <c r="R292" i="19"/>
  <c r="R290" i="19"/>
  <c r="R289" i="19"/>
  <c r="R288" i="19"/>
  <c r="R287" i="19"/>
  <c r="R286" i="19"/>
  <c r="R301" i="19"/>
  <c r="R285" i="19"/>
  <c r="R300" i="19"/>
  <c r="R284" i="19"/>
  <c r="R299" i="19"/>
  <c r="R283" i="19"/>
  <c r="R298" i="19"/>
  <c r="R282" i="19"/>
  <c r="R293" i="19"/>
  <c r="R291" i="19"/>
  <c r="O145" i="19"/>
  <c r="N145" i="19"/>
  <c r="O138" i="19"/>
  <c r="N138" i="19"/>
  <c r="O217" i="19"/>
  <c r="N217" i="19"/>
  <c r="O308" i="19"/>
  <c r="N308" i="19"/>
  <c r="P234" i="19"/>
  <c r="Q234" i="19"/>
  <c r="Q302" i="19"/>
  <c r="P302" i="19"/>
  <c r="Q138" i="19"/>
  <c r="P138" i="19"/>
  <c r="Q312" i="19"/>
  <c r="P312" i="19"/>
  <c r="M94" i="19"/>
  <c r="M95" i="19"/>
  <c r="M96" i="19"/>
  <c r="M97" i="19"/>
  <c r="M99" i="19"/>
  <c r="M100" i="19"/>
  <c r="M101" i="19"/>
  <c r="M102" i="19"/>
  <c r="M103" i="19"/>
  <c r="M104" i="19"/>
  <c r="M105" i="19"/>
  <c r="M106" i="19"/>
  <c r="M90" i="19"/>
  <c r="M107" i="19"/>
  <c r="M91" i="19"/>
  <c r="M108" i="19"/>
  <c r="M93" i="19"/>
  <c r="M109" i="19"/>
  <c r="M98" i="19"/>
  <c r="M92" i="19"/>
  <c r="O262" i="19"/>
  <c r="N262" i="19"/>
  <c r="J262" i="19"/>
  <c r="K262" i="19" s="1"/>
  <c r="O264" i="19"/>
  <c r="N264" i="19"/>
  <c r="O279" i="19"/>
  <c r="N279" i="19"/>
  <c r="L125" i="19"/>
  <c r="L124" i="19"/>
  <c r="L123" i="19"/>
  <c r="L122" i="19"/>
  <c r="L120" i="19"/>
  <c r="L119" i="19"/>
  <c r="L118" i="19"/>
  <c r="L117" i="19"/>
  <c r="L116" i="19"/>
  <c r="L115" i="19"/>
  <c r="L114" i="19"/>
  <c r="L129" i="19"/>
  <c r="L113" i="19"/>
  <c r="L128" i="19"/>
  <c r="L112" i="19"/>
  <c r="L126" i="19"/>
  <c r="L110" i="19"/>
  <c r="L127" i="19"/>
  <c r="L111" i="19"/>
  <c r="L121" i="19"/>
  <c r="O292" i="19"/>
  <c r="N292" i="19"/>
  <c r="M124" i="19"/>
  <c r="M123" i="19"/>
  <c r="M122" i="19"/>
  <c r="M121" i="19"/>
  <c r="M119" i="19"/>
  <c r="M118" i="19"/>
  <c r="M117" i="19"/>
  <c r="M116" i="19"/>
  <c r="M115" i="19"/>
  <c r="M114" i="19"/>
  <c r="M129" i="19"/>
  <c r="M113" i="19"/>
  <c r="M128" i="19"/>
  <c r="M112" i="19"/>
  <c r="M127" i="19"/>
  <c r="M111" i="19"/>
  <c r="M126" i="19"/>
  <c r="M110" i="19"/>
  <c r="M120" i="19"/>
  <c r="M125" i="19"/>
  <c r="P287" i="19"/>
  <c r="P288" i="19"/>
  <c r="P208" i="19"/>
  <c r="P99" i="19"/>
  <c r="P104" i="19"/>
  <c r="P273" i="19"/>
  <c r="P263" i="19"/>
  <c r="N139" i="19"/>
  <c r="O139" i="19"/>
  <c r="O224" i="19"/>
  <c r="N224" i="19"/>
  <c r="O143" i="19"/>
  <c r="N143" i="19"/>
  <c r="N227" i="19"/>
  <c r="O227" i="19"/>
  <c r="O136" i="19"/>
  <c r="N136" i="19"/>
  <c r="Q321" i="19"/>
  <c r="P321" i="19"/>
  <c r="Q145" i="19"/>
  <c r="P145" i="19"/>
  <c r="Q140" i="19"/>
  <c r="P140" i="19"/>
  <c r="O109" i="19"/>
  <c r="N109" i="19"/>
  <c r="O98" i="19"/>
  <c r="N98" i="19"/>
  <c r="O108" i="19"/>
  <c r="N108" i="19"/>
  <c r="O117" i="19"/>
  <c r="N117" i="19"/>
  <c r="J110" i="19"/>
  <c r="K110" i="19" s="1"/>
  <c r="O110" i="19"/>
  <c r="N110" i="19"/>
  <c r="O119" i="19"/>
  <c r="N119" i="19"/>
  <c r="N118" i="19"/>
  <c r="O118" i="19"/>
  <c r="P201" i="19"/>
  <c r="P296" i="19"/>
  <c r="P299" i="19"/>
  <c r="P284" i="19"/>
  <c r="P102" i="19"/>
  <c r="P108" i="19"/>
  <c r="P267" i="19"/>
  <c r="P93" i="19"/>
  <c r="M228" i="19"/>
  <c r="M227" i="19"/>
  <c r="M226" i="19"/>
  <c r="M225" i="19"/>
  <c r="M223" i="19"/>
  <c r="M221" i="19"/>
  <c r="M235" i="19"/>
  <c r="M219" i="19"/>
  <c r="M234" i="19"/>
  <c r="M218" i="19"/>
  <c r="M233" i="19"/>
  <c r="M217" i="19"/>
  <c r="M232" i="19"/>
  <c r="M216" i="19"/>
  <c r="M231" i="19"/>
  <c r="M230" i="19"/>
  <c r="M229" i="19"/>
  <c r="M220" i="19"/>
  <c r="M224" i="19"/>
  <c r="M222" i="19"/>
  <c r="T266" i="19"/>
  <c r="T267" i="19"/>
  <c r="T268" i="19"/>
  <c r="T269" i="19"/>
  <c r="T271" i="19"/>
  <c r="T273" i="19"/>
  <c r="T275" i="19"/>
  <c r="T276" i="19"/>
  <c r="T277" i="19"/>
  <c r="T278" i="19"/>
  <c r="T279" i="19"/>
  <c r="T263" i="19"/>
  <c r="T262" i="19"/>
  <c r="T280" i="19"/>
  <c r="T264" i="19"/>
  <c r="T281" i="19"/>
  <c r="T265" i="19"/>
  <c r="T272" i="19"/>
  <c r="T274" i="19"/>
  <c r="T270" i="19"/>
  <c r="L213" i="19"/>
  <c r="L197" i="19"/>
  <c r="L212" i="19"/>
  <c r="L196" i="19"/>
  <c r="L211" i="19"/>
  <c r="L210" i="19"/>
  <c r="L208" i="19"/>
  <c r="L206" i="19"/>
  <c r="L204" i="19"/>
  <c r="L203" i="19"/>
  <c r="L202" i="19"/>
  <c r="L201" i="19"/>
  <c r="L200" i="19"/>
  <c r="L215" i="19"/>
  <c r="L199" i="19"/>
  <c r="L214" i="19"/>
  <c r="L198" i="19"/>
  <c r="L209" i="19"/>
  <c r="L207" i="19"/>
  <c r="L205" i="19"/>
  <c r="N220" i="19"/>
  <c r="O220" i="19"/>
  <c r="O305" i="19"/>
  <c r="N305" i="19"/>
  <c r="O235" i="19"/>
  <c r="N235" i="19"/>
  <c r="O315" i="19"/>
  <c r="N315" i="19"/>
  <c r="N218" i="19"/>
  <c r="O218" i="19"/>
  <c r="Q316" i="19"/>
  <c r="P316" i="19"/>
  <c r="Q226" i="19"/>
  <c r="P226" i="19"/>
  <c r="Q230" i="19"/>
  <c r="P230" i="19"/>
  <c r="M318" i="19"/>
  <c r="M302" i="19"/>
  <c r="M317" i="19"/>
  <c r="M316" i="19"/>
  <c r="M315" i="19"/>
  <c r="M313" i="19"/>
  <c r="M311" i="19"/>
  <c r="M310" i="19"/>
  <c r="M309" i="19"/>
  <c r="M308" i="19"/>
  <c r="M307" i="19"/>
  <c r="M306" i="19"/>
  <c r="M321" i="19"/>
  <c r="M305" i="19"/>
  <c r="M320" i="19"/>
  <c r="M304" i="19"/>
  <c r="M319" i="19"/>
  <c r="M303" i="19"/>
  <c r="M314" i="19"/>
  <c r="M312" i="19"/>
  <c r="O188" i="19"/>
  <c r="N188" i="19"/>
  <c r="O101" i="19"/>
  <c r="N101" i="19"/>
  <c r="O107" i="19"/>
  <c r="N107" i="19"/>
  <c r="O103" i="19"/>
  <c r="N103" i="19"/>
  <c r="O203" i="19"/>
  <c r="N203" i="19"/>
  <c r="O113" i="19"/>
  <c r="N113" i="19"/>
  <c r="O300" i="19"/>
  <c r="N300" i="19"/>
  <c r="O212" i="19"/>
  <c r="N212" i="19"/>
  <c r="P112" i="19"/>
  <c r="P301" i="19"/>
  <c r="P117" i="19"/>
  <c r="P116" i="19"/>
  <c r="P107" i="19"/>
  <c r="P182" i="19"/>
  <c r="P179" i="19"/>
  <c r="T206" i="19"/>
  <c r="T205" i="19"/>
  <c r="T204" i="19"/>
  <c r="T203" i="19"/>
  <c r="T201" i="19"/>
  <c r="T215" i="19"/>
  <c r="T199" i="19"/>
  <c r="T213" i="19"/>
  <c r="T197" i="19"/>
  <c r="T212" i="19"/>
  <c r="T196" i="19"/>
  <c r="T211" i="19"/>
  <c r="T210" i="19"/>
  <c r="T209" i="19"/>
  <c r="T208" i="19"/>
  <c r="T207" i="19"/>
  <c r="T202" i="19"/>
  <c r="T214" i="19"/>
  <c r="T200" i="19"/>
  <c r="T198" i="19"/>
  <c r="O303" i="19"/>
  <c r="N303" i="19"/>
  <c r="O306" i="19"/>
  <c r="N306" i="19"/>
  <c r="O319" i="19"/>
  <c r="N319" i="19"/>
  <c r="O219" i="19"/>
  <c r="N219" i="19"/>
  <c r="J302" i="19"/>
  <c r="O302" i="19"/>
  <c r="N302" i="19"/>
  <c r="Q141" i="19"/>
  <c r="P141" i="19"/>
  <c r="Q306" i="19"/>
  <c r="P306" i="19"/>
  <c r="Q314" i="19"/>
  <c r="P314" i="19"/>
  <c r="O278" i="19"/>
  <c r="N278" i="19"/>
  <c r="O176" i="19"/>
  <c r="N176" i="19"/>
  <c r="J176" i="19"/>
  <c r="J177" i="19" s="1"/>
  <c r="J178" i="19" s="1"/>
  <c r="K178" i="19" s="1"/>
  <c r="O182" i="19"/>
  <c r="N182" i="19"/>
  <c r="O177" i="19"/>
  <c r="N177" i="19"/>
  <c r="O282" i="19"/>
  <c r="N282" i="19"/>
  <c r="J282" i="19"/>
  <c r="K282" i="19" s="1"/>
  <c r="O116" i="19"/>
  <c r="N116" i="19"/>
  <c r="O122" i="19"/>
  <c r="N122" i="19"/>
  <c r="P198" i="19"/>
  <c r="P295" i="19"/>
  <c r="P283" i="19"/>
  <c r="P129" i="19"/>
  <c r="P95" i="19"/>
  <c r="P178" i="19"/>
  <c r="P100" i="19"/>
  <c r="P276" i="19"/>
  <c r="W205" i="19"/>
  <c r="W204" i="19"/>
  <c r="W203" i="19"/>
  <c r="W202" i="19"/>
  <c r="W200" i="19"/>
  <c r="W214" i="19"/>
  <c r="W198" i="19"/>
  <c r="W212" i="19"/>
  <c r="W196" i="19"/>
  <c r="W211" i="19"/>
  <c r="W210" i="19"/>
  <c r="W209" i="19"/>
  <c r="W208" i="19"/>
  <c r="W207" i="19"/>
  <c r="W206" i="19"/>
  <c r="W213" i="19"/>
  <c r="W215" i="19"/>
  <c r="W201" i="19"/>
  <c r="W197" i="19"/>
  <c r="W199" i="19"/>
  <c r="O320" i="19"/>
  <c r="N320" i="19"/>
  <c r="O148" i="19"/>
  <c r="N148" i="19"/>
  <c r="O131" i="19"/>
  <c r="N131" i="19"/>
  <c r="O229" i="19"/>
  <c r="N229" i="19"/>
  <c r="N317" i="19"/>
  <c r="O317" i="19"/>
  <c r="J71" i="19"/>
  <c r="P232" i="19"/>
  <c r="Q232" i="19"/>
  <c r="Q222" i="19"/>
  <c r="P222" i="19"/>
  <c r="Q148" i="19"/>
  <c r="P148" i="19"/>
  <c r="Q131" i="19"/>
  <c r="P131" i="19"/>
  <c r="T312" i="19"/>
  <c r="T311" i="19"/>
  <c r="T310" i="19"/>
  <c r="T309" i="19"/>
  <c r="T307" i="19"/>
  <c r="T321" i="19"/>
  <c r="T305" i="19"/>
  <c r="T320" i="19"/>
  <c r="T304" i="19"/>
  <c r="T319" i="19"/>
  <c r="T303" i="19"/>
  <c r="T318" i="19"/>
  <c r="T302" i="19"/>
  <c r="T317" i="19"/>
  <c r="T316" i="19"/>
  <c r="T315" i="19"/>
  <c r="T314" i="19"/>
  <c r="T313" i="19"/>
  <c r="T308" i="19"/>
  <c r="T306" i="19"/>
  <c r="N195" i="19"/>
  <c r="O195" i="19"/>
  <c r="O194" i="19"/>
  <c r="N194" i="19"/>
  <c r="N266" i="19"/>
  <c r="O266" i="19"/>
  <c r="O124" i="19"/>
  <c r="N124" i="19"/>
  <c r="N211" i="19"/>
  <c r="O211" i="19"/>
  <c r="O201" i="19"/>
  <c r="N201" i="19"/>
  <c r="N202" i="19"/>
  <c r="O202" i="19"/>
  <c r="P210" i="19"/>
  <c r="P203" i="19"/>
  <c r="P111" i="19"/>
  <c r="P211" i="19"/>
  <c r="P274" i="19"/>
  <c r="P190" i="19"/>
  <c r="P103" i="19"/>
  <c r="P279" i="19"/>
  <c r="R281" i="19"/>
  <c r="R265" i="19"/>
  <c r="R266" i="19"/>
  <c r="R267" i="19"/>
  <c r="R268" i="19"/>
  <c r="R270" i="19"/>
  <c r="R272" i="19"/>
  <c r="R274" i="19"/>
  <c r="R275" i="19"/>
  <c r="R276" i="19"/>
  <c r="R277" i="19"/>
  <c r="R278" i="19"/>
  <c r="R279" i="19"/>
  <c r="R263" i="19"/>
  <c r="R262" i="19"/>
  <c r="R280" i="19"/>
  <c r="R264" i="19"/>
  <c r="R273" i="19"/>
  <c r="R271" i="19"/>
  <c r="R269" i="19"/>
  <c r="M212" i="19"/>
  <c r="M196" i="19"/>
  <c r="M211" i="19"/>
  <c r="M210" i="19"/>
  <c r="M209" i="19"/>
  <c r="M207" i="19"/>
  <c r="M205" i="19"/>
  <c r="M203" i="19"/>
  <c r="M202" i="19"/>
  <c r="M201" i="19"/>
  <c r="M200" i="19"/>
  <c r="M215" i="19"/>
  <c r="M199" i="19"/>
  <c r="M214" i="19"/>
  <c r="M198" i="19"/>
  <c r="M213" i="19"/>
  <c r="M197" i="19"/>
  <c r="M204" i="19"/>
  <c r="M208" i="19"/>
  <c r="M206" i="19"/>
  <c r="O132" i="19"/>
  <c r="N132" i="19"/>
  <c r="T134" i="19"/>
  <c r="T149" i="19"/>
  <c r="T133" i="19"/>
  <c r="T148" i="19"/>
  <c r="T132" i="19"/>
  <c r="T147" i="19"/>
  <c r="T131" i="19"/>
  <c r="T146" i="19"/>
  <c r="T145" i="19"/>
  <c r="T144" i="19"/>
  <c r="T143" i="19"/>
  <c r="T142" i="19"/>
  <c r="T141" i="19"/>
  <c r="T140" i="19"/>
  <c r="T139" i="19"/>
  <c r="T138" i="19"/>
  <c r="T137" i="19"/>
  <c r="T130" i="19"/>
  <c r="T136" i="19"/>
  <c r="T135" i="19"/>
  <c r="O146" i="19"/>
  <c r="N146" i="19"/>
  <c r="O130" i="19"/>
  <c r="N130" i="19"/>
  <c r="J130" i="19"/>
  <c r="Q133" i="19"/>
  <c r="P133" i="19"/>
  <c r="Q303" i="19"/>
  <c r="P303" i="19"/>
  <c r="P225" i="19"/>
  <c r="Q225" i="19"/>
  <c r="Q134" i="19"/>
  <c r="P134" i="19"/>
  <c r="W311" i="19"/>
  <c r="W310" i="19"/>
  <c r="W309" i="19"/>
  <c r="W308" i="19"/>
  <c r="W306" i="19"/>
  <c r="W320" i="19"/>
  <c r="W304" i="19"/>
  <c r="W319" i="19"/>
  <c r="W303" i="19"/>
  <c r="W318" i="19"/>
  <c r="W302" i="19"/>
  <c r="W317" i="19"/>
  <c r="W316" i="19"/>
  <c r="W315" i="19"/>
  <c r="W314" i="19"/>
  <c r="W313" i="19"/>
  <c r="W312" i="19"/>
  <c r="W321" i="19"/>
  <c r="W305" i="19"/>
  <c r="W307" i="19"/>
  <c r="O263" i="19"/>
  <c r="N263" i="19"/>
  <c r="O92" i="19"/>
  <c r="N92" i="19"/>
  <c r="O265" i="19"/>
  <c r="N265" i="19"/>
  <c r="O280" i="19"/>
  <c r="N280" i="19"/>
  <c r="T100" i="19"/>
  <c r="T101" i="19"/>
  <c r="T102" i="19"/>
  <c r="T103" i="19"/>
  <c r="T105" i="19"/>
  <c r="T106" i="19"/>
  <c r="T90" i="19"/>
  <c r="T107" i="19"/>
  <c r="T91" i="19"/>
  <c r="T108" i="19"/>
  <c r="T92" i="19"/>
  <c r="T109" i="19"/>
  <c r="T93" i="19"/>
  <c r="T94" i="19"/>
  <c r="T95" i="19"/>
  <c r="T96" i="19"/>
  <c r="T97" i="19"/>
  <c r="T99" i="19"/>
  <c r="T98" i="19"/>
  <c r="T104" i="19"/>
  <c r="O205" i="19"/>
  <c r="N205" i="19"/>
  <c r="O290" i="19"/>
  <c r="N290" i="19"/>
  <c r="O214" i="19"/>
  <c r="N214" i="19"/>
  <c r="O293" i="19"/>
  <c r="N293" i="19"/>
  <c r="P290" i="19"/>
  <c r="P121" i="19"/>
  <c r="P120" i="19"/>
  <c r="P285" i="19"/>
  <c r="P105" i="19"/>
  <c r="P262" i="19"/>
  <c r="P186" i="19"/>
  <c r="P181" i="19"/>
  <c r="R223" i="19"/>
  <c r="R222" i="19"/>
  <c r="R221" i="19"/>
  <c r="R220" i="19"/>
  <c r="R234" i="19"/>
  <c r="R218" i="19"/>
  <c r="R232" i="19"/>
  <c r="R216" i="19"/>
  <c r="R230" i="19"/>
  <c r="R229" i="19"/>
  <c r="R228" i="19"/>
  <c r="R227" i="19"/>
  <c r="R226" i="19"/>
  <c r="R225" i="19"/>
  <c r="R224" i="19"/>
  <c r="R235" i="19"/>
  <c r="R219" i="19"/>
  <c r="R233" i="19"/>
  <c r="R231" i="19"/>
  <c r="R217" i="19"/>
  <c r="W267" i="19"/>
  <c r="W268" i="19"/>
  <c r="W269" i="19"/>
  <c r="W270" i="19"/>
  <c r="W272" i="19"/>
  <c r="W274" i="19"/>
  <c r="W276" i="19"/>
  <c r="W277" i="19"/>
  <c r="W278" i="19"/>
  <c r="W279" i="19"/>
  <c r="W263" i="19"/>
  <c r="W262" i="19"/>
  <c r="W280" i="19"/>
  <c r="W264" i="19"/>
  <c r="W281" i="19"/>
  <c r="W265" i="19"/>
  <c r="W266" i="19"/>
  <c r="W275" i="19"/>
  <c r="W271" i="19"/>
  <c r="W273" i="19"/>
  <c r="L229" i="19"/>
  <c r="L228" i="19"/>
  <c r="L227" i="19"/>
  <c r="L226" i="19"/>
  <c r="L224" i="19"/>
  <c r="L222" i="19"/>
  <c r="L220" i="19"/>
  <c r="L235" i="19"/>
  <c r="L219" i="19"/>
  <c r="L234" i="19"/>
  <c r="L218" i="19"/>
  <c r="L233" i="19"/>
  <c r="L217" i="19"/>
  <c r="L232" i="19"/>
  <c r="L216" i="19"/>
  <c r="L231" i="19"/>
  <c r="L230" i="19"/>
  <c r="L225" i="19"/>
  <c r="L223" i="19"/>
  <c r="L221" i="19"/>
  <c r="N234" i="19"/>
  <c r="O234" i="19"/>
  <c r="O147" i="19"/>
  <c r="N147" i="19"/>
  <c r="O223" i="19"/>
  <c r="N223" i="19"/>
  <c r="O221" i="19"/>
  <c r="N221" i="19"/>
  <c r="Q219" i="19"/>
  <c r="P219" i="19"/>
  <c r="Q311" i="19"/>
  <c r="P311" i="19"/>
  <c r="Q304" i="19"/>
  <c r="P304" i="19"/>
  <c r="Q146" i="19"/>
  <c r="P146" i="19"/>
  <c r="W101" i="19"/>
  <c r="W102" i="19"/>
  <c r="W103" i="19"/>
  <c r="W104" i="19"/>
  <c r="W106" i="19"/>
  <c r="W90" i="19"/>
  <c r="W107" i="19"/>
  <c r="W91" i="19"/>
  <c r="W108" i="19"/>
  <c r="W92" i="19"/>
  <c r="W109" i="19"/>
  <c r="W93" i="19"/>
  <c r="W94" i="19"/>
  <c r="W95" i="19"/>
  <c r="W96" i="19"/>
  <c r="W97" i="19"/>
  <c r="W98" i="19"/>
  <c r="W99" i="19"/>
  <c r="W105" i="19"/>
  <c r="W100" i="19"/>
  <c r="O96" i="19"/>
  <c r="N96" i="19"/>
  <c r="O104" i="19"/>
  <c r="N104" i="19"/>
  <c r="O273" i="19"/>
  <c r="N273" i="19"/>
  <c r="O90" i="19"/>
  <c r="N90" i="19"/>
  <c r="J90" i="19"/>
  <c r="K90" i="19" s="1"/>
  <c r="O207" i="19"/>
  <c r="N207" i="19"/>
  <c r="O120" i="19"/>
  <c r="N120" i="19"/>
  <c r="O286" i="19"/>
  <c r="N286" i="19"/>
  <c r="O199" i="19"/>
  <c r="N199" i="19"/>
  <c r="P115" i="19"/>
  <c r="P205" i="19"/>
  <c r="P204" i="19"/>
  <c r="P110" i="19"/>
  <c r="P264" i="19"/>
  <c r="P91" i="19"/>
  <c r="P269" i="19"/>
  <c r="P177" i="19"/>
  <c r="W221" i="19"/>
  <c r="W220" i="19"/>
  <c r="W235" i="19"/>
  <c r="W219" i="19"/>
  <c r="W234" i="19"/>
  <c r="W218" i="19"/>
  <c r="W232" i="19"/>
  <c r="W216" i="19"/>
  <c r="W230" i="19"/>
  <c r="W228" i="19"/>
  <c r="W227" i="19"/>
  <c r="W226" i="19"/>
  <c r="W225" i="19"/>
  <c r="W224" i="19"/>
  <c r="W223" i="19"/>
  <c r="W222" i="19"/>
  <c r="W233" i="19"/>
  <c r="W229" i="19"/>
  <c r="W231" i="19"/>
  <c r="W217" i="19"/>
  <c r="T194" i="19"/>
  <c r="T195" i="19"/>
  <c r="T186" i="19"/>
  <c r="T187" i="19"/>
  <c r="T188" i="19"/>
  <c r="T189" i="19"/>
  <c r="T190" i="19"/>
  <c r="T191" i="19"/>
  <c r="T192" i="19"/>
  <c r="T193" i="19"/>
  <c r="T177" i="19"/>
  <c r="T176" i="19"/>
  <c r="T178" i="19"/>
  <c r="T179" i="19"/>
  <c r="T180" i="19"/>
  <c r="T181" i="19"/>
  <c r="T182" i="19"/>
  <c r="T183" i="19"/>
  <c r="T184" i="19"/>
  <c r="T185" i="19"/>
  <c r="O313" i="19"/>
  <c r="N313" i="19"/>
  <c r="O230" i="19"/>
  <c r="N230" i="19"/>
  <c r="O309" i="19"/>
  <c r="N309" i="19"/>
  <c r="O231" i="19"/>
  <c r="N231" i="19"/>
  <c r="Q231" i="19"/>
  <c r="P231" i="19"/>
  <c r="P132" i="19"/>
  <c r="Q132" i="19"/>
  <c r="Q144" i="19"/>
  <c r="P144" i="19"/>
  <c r="Q235" i="19"/>
  <c r="P235" i="19"/>
  <c r="L319" i="19"/>
  <c r="L303" i="19"/>
  <c r="L318" i="19"/>
  <c r="L302" i="19"/>
  <c r="L317" i="19"/>
  <c r="L316" i="19"/>
  <c r="L314" i="19"/>
  <c r="L312" i="19"/>
  <c r="L311" i="19"/>
  <c r="L310" i="19"/>
  <c r="L309" i="19"/>
  <c r="L308" i="19"/>
  <c r="L307" i="19"/>
  <c r="L306" i="19"/>
  <c r="L321" i="19"/>
  <c r="L305" i="19"/>
  <c r="L320" i="19"/>
  <c r="L304" i="19"/>
  <c r="L315" i="19"/>
  <c r="L313" i="19"/>
  <c r="O106" i="19"/>
  <c r="N106" i="19"/>
  <c r="O187" i="19"/>
  <c r="N187" i="19"/>
  <c r="O178" i="19"/>
  <c r="N178" i="19"/>
  <c r="N94" i="19"/>
  <c r="O94" i="19"/>
  <c r="O179" i="19"/>
  <c r="N179" i="19"/>
  <c r="O114" i="19"/>
  <c r="N114" i="19"/>
  <c r="O289" i="19"/>
  <c r="N289" i="19"/>
  <c r="N294" i="19"/>
  <c r="O294" i="19"/>
  <c r="O284" i="19"/>
  <c r="N284" i="19"/>
  <c r="P212" i="19"/>
  <c r="P298" i="19"/>
  <c r="P282" i="19"/>
  <c r="P119" i="19"/>
  <c r="P106" i="19"/>
  <c r="P280" i="19"/>
  <c r="P275" i="19"/>
  <c r="P109" i="19"/>
  <c r="T222" i="19"/>
  <c r="T221" i="19"/>
  <c r="T220" i="19"/>
  <c r="T235" i="19"/>
  <c r="T219" i="19"/>
  <c r="T233" i="19"/>
  <c r="T217" i="19"/>
  <c r="T231" i="19"/>
  <c r="T229" i="19"/>
  <c r="T228" i="19"/>
  <c r="T227" i="19"/>
  <c r="T226" i="19"/>
  <c r="T225" i="19"/>
  <c r="T224" i="19"/>
  <c r="T223" i="19"/>
  <c r="T218" i="19"/>
  <c r="T232" i="19"/>
  <c r="T230" i="19"/>
  <c r="T216" i="19"/>
  <c r="T234" i="19"/>
  <c r="O307" i="19"/>
  <c r="N307" i="19"/>
  <c r="O316" i="19"/>
  <c r="N316" i="19"/>
  <c r="O226" i="19"/>
  <c r="N226" i="19"/>
  <c r="O321" i="19"/>
  <c r="N321" i="19"/>
  <c r="P315" i="19"/>
  <c r="Q315" i="19"/>
  <c r="P218" i="19"/>
  <c r="Q218" i="19"/>
  <c r="Q223" i="19"/>
  <c r="P223" i="19"/>
  <c r="Q317" i="19"/>
  <c r="P317" i="19"/>
  <c r="N181" i="19"/>
  <c r="O181" i="19"/>
  <c r="O269" i="19"/>
  <c r="N269" i="19"/>
  <c r="O190" i="19"/>
  <c r="N190" i="19"/>
  <c r="O184" i="19"/>
  <c r="N184" i="19"/>
  <c r="O271" i="19"/>
  <c r="N271" i="19"/>
  <c r="O126" i="19"/>
  <c r="N126" i="19"/>
  <c r="O112" i="19"/>
  <c r="N112" i="19"/>
  <c r="O197" i="19"/>
  <c r="N197" i="19"/>
  <c r="N301" i="19"/>
  <c r="O301" i="19"/>
  <c r="P122" i="19"/>
  <c r="P300" i="19"/>
  <c r="P202" i="19"/>
  <c r="P213" i="19"/>
  <c r="P266" i="19"/>
  <c r="P94" i="19"/>
  <c r="P272" i="19"/>
  <c r="P270" i="19"/>
  <c r="W194" i="19"/>
  <c r="W195" i="19"/>
  <c r="W187" i="19"/>
  <c r="W188" i="19"/>
  <c r="W189" i="19"/>
  <c r="W190" i="19"/>
  <c r="W191" i="19"/>
  <c r="W192" i="19"/>
  <c r="W193" i="19"/>
  <c r="W177" i="19"/>
  <c r="W176" i="19"/>
  <c r="W178" i="19"/>
  <c r="W179" i="19"/>
  <c r="W180" i="19"/>
  <c r="W181" i="19"/>
  <c r="W182" i="19"/>
  <c r="W183" i="19"/>
  <c r="W184" i="19"/>
  <c r="W186" i="19"/>
  <c r="W185" i="19"/>
  <c r="R207" i="19"/>
  <c r="R206" i="19"/>
  <c r="R205" i="19"/>
  <c r="R204" i="19"/>
  <c r="R202" i="19"/>
  <c r="R200" i="19"/>
  <c r="R214" i="19"/>
  <c r="R198" i="19"/>
  <c r="R213" i="19"/>
  <c r="R197" i="19"/>
  <c r="R212" i="19"/>
  <c r="R196" i="19"/>
  <c r="R211" i="19"/>
  <c r="R210" i="19"/>
  <c r="R209" i="19"/>
  <c r="R208" i="19"/>
  <c r="R203" i="19"/>
  <c r="R215" i="19"/>
  <c r="R201" i="19"/>
  <c r="R199" i="19"/>
  <c r="W295" i="19"/>
  <c r="W294" i="19"/>
  <c r="W293" i="19"/>
  <c r="W292" i="19"/>
  <c r="W290" i="19"/>
  <c r="W288" i="19"/>
  <c r="W287" i="19"/>
  <c r="W286" i="19"/>
  <c r="W301" i="19"/>
  <c r="W285" i="19"/>
  <c r="W300" i="19"/>
  <c r="W284" i="19"/>
  <c r="W299" i="19"/>
  <c r="W283" i="19"/>
  <c r="W298" i="19"/>
  <c r="W282" i="19"/>
  <c r="W297" i="19"/>
  <c r="W296" i="19"/>
  <c r="W289" i="19"/>
  <c r="W291" i="19"/>
  <c r="R135" i="19"/>
  <c r="R134" i="19"/>
  <c r="R149" i="19"/>
  <c r="R133" i="19"/>
  <c r="R148" i="19"/>
  <c r="R132" i="19"/>
  <c r="R147" i="19"/>
  <c r="R146" i="19"/>
  <c r="R130" i="19"/>
  <c r="R145" i="19"/>
  <c r="R144" i="19"/>
  <c r="R143" i="19"/>
  <c r="R142" i="19"/>
  <c r="R141" i="19"/>
  <c r="R140" i="19"/>
  <c r="R139" i="19"/>
  <c r="R138" i="19"/>
  <c r="R136" i="19"/>
  <c r="R137" i="19"/>
  <c r="R131" i="19"/>
  <c r="O314" i="19"/>
  <c r="N314" i="19"/>
  <c r="O141" i="19"/>
  <c r="N141" i="19"/>
  <c r="Q143" i="19"/>
  <c r="P143" i="19"/>
  <c r="P310" i="19"/>
  <c r="Q310" i="19"/>
  <c r="Q309" i="19"/>
  <c r="P309" i="19"/>
  <c r="Q319" i="19"/>
  <c r="P319" i="19"/>
  <c r="R313" i="19"/>
  <c r="R312" i="19"/>
  <c r="R311" i="19"/>
  <c r="R310" i="19"/>
  <c r="R308" i="19"/>
  <c r="R306" i="19"/>
  <c r="R321" i="19"/>
  <c r="R305" i="19"/>
  <c r="R320" i="19"/>
  <c r="R304" i="19"/>
  <c r="R319" i="19"/>
  <c r="R303" i="19"/>
  <c r="R318" i="19"/>
  <c r="R302" i="19"/>
  <c r="R317" i="19"/>
  <c r="R316" i="19"/>
  <c r="R315" i="19"/>
  <c r="R314" i="19"/>
  <c r="R309" i="19"/>
  <c r="R307" i="19"/>
  <c r="N270" i="19"/>
  <c r="O270" i="19"/>
  <c r="O274" i="19"/>
  <c r="N274" i="19"/>
  <c r="O267" i="19"/>
  <c r="N267" i="19"/>
  <c r="O210" i="19"/>
  <c r="N210" i="19"/>
  <c r="N206" i="19"/>
  <c r="O206" i="19"/>
  <c r="O125" i="19"/>
  <c r="N125" i="19"/>
  <c r="O121" i="19"/>
  <c r="N121" i="19"/>
  <c r="P196" i="19"/>
  <c r="P118" i="19"/>
  <c r="P293" i="19"/>
  <c r="P189" i="19"/>
  <c r="P180" i="19"/>
  <c r="P176" i="19"/>
  <c r="P96" i="19"/>
  <c r="L141" i="19"/>
  <c r="L140" i="19"/>
  <c r="L139" i="19"/>
  <c r="L138" i="19"/>
  <c r="L136" i="19"/>
  <c r="L135" i="19"/>
  <c r="L134" i="19"/>
  <c r="L149" i="19"/>
  <c r="L133" i="19"/>
  <c r="L148" i="19"/>
  <c r="L132" i="19"/>
  <c r="L147" i="19"/>
  <c r="L131" i="19"/>
  <c r="L146" i="19"/>
  <c r="L130" i="19"/>
  <c r="L145" i="19"/>
  <c r="L144" i="19"/>
  <c r="L142" i="19"/>
  <c r="L143" i="19"/>
  <c r="L137" i="19"/>
  <c r="W149" i="19"/>
  <c r="W133" i="19"/>
  <c r="W148" i="19"/>
  <c r="W132" i="19"/>
  <c r="W147" i="19"/>
  <c r="W131" i="19"/>
  <c r="W146" i="19"/>
  <c r="W130" i="19"/>
  <c r="W145" i="19"/>
  <c r="W144" i="19"/>
  <c r="W143" i="19"/>
  <c r="W142" i="19"/>
  <c r="W141" i="19"/>
  <c r="W140" i="19"/>
  <c r="W139" i="19"/>
  <c r="W138" i="19"/>
  <c r="W137" i="19"/>
  <c r="W136" i="19"/>
  <c r="W134" i="19"/>
  <c r="W135" i="19"/>
  <c r="O144" i="19"/>
  <c r="N144" i="19"/>
  <c r="Q136" i="19"/>
  <c r="P136" i="19"/>
  <c r="Q135" i="19"/>
  <c r="P135" i="19"/>
  <c r="Q307" i="19"/>
  <c r="P307" i="19"/>
  <c r="P137" i="19"/>
  <c r="Q137" i="19"/>
  <c r="O97" i="19"/>
  <c r="N97" i="19"/>
  <c r="O191" i="19"/>
  <c r="N191" i="19"/>
  <c r="O189" i="19"/>
  <c r="N189" i="19"/>
  <c r="O272" i="19"/>
  <c r="N272" i="19"/>
  <c r="W117" i="19"/>
  <c r="W116" i="19"/>
  <c r="W115" i="19"/>
  <c r="W114" i="19"/>
  <c r="W128" i="19"/>
  <c r="W112" i="19"/>
  <c r="W127" i="19"/>
  <c r="W111" i="19"/>
  <c r="W126" i="19"/>
  <c r="W110" i="19"/>
  <c r="W125" i="19"/>
  <c r="W124" i="19"/>
  <c r="W123" i="19"/>
  <c r="W122" i="19"/>
  <c r="W121" i="19"/>
  <c r="W120" i="19"/>
  <c r="W118" i="19"/>
  <c r="W129" i="19"/>
  <c r="W113" i="19"/>
  <c r="W119" i="19"/>
  <c r="O295" i="19"/>
  <c r="N295" i="19"/>
  <c r="O213" i="19"/>
  <c r="N213" i="19"/>
  <c r="O283" i="19"/>
  <c r="N283" i="19"/>
  <c r="O200" i="19"/>
  <c r="N200" i="19"/>
  <c r="P214" i="19"/>
  <c r="P291" i="19"/>
  <c r="P123" i="19"/>
  <c r="P113" i="19"/>
  <c r="P98" i="19"/>
  <c r="P192" i="19"/>
  <c r="P184" i="19"/>
  <c r="P183" i="19"/>
  <c r="L194" i="19"/>
  <c r="L195" i="19"/>
  <c r="L179" i="19"/>
  <c r="L180" i="19"/>
  <c r="L181" i="19"/>
  <c r="L182" i="19"/>
  <c r="L183" i="19"/>
  <c r="L184" i="19"/>
  <c r="L185" i="19"/>
  <c r="L186" i="19"/>
  <c r="L187" i="19"/>
  <c r="L188" i="19"/>
  <c r="L189" i="19"/>
  <c r="L190" i="19"/>
  <c r="L191" i="19"/>
  <c r="L192" i="19"/>
  <c r="L176" i="19"/>
  <c r="L178" i="19"/>
  <c r="L193" i="19"/>
  <c r="L177" i="19"/>
  <c r="M195" i="19"/>
  <c r="M180" i="19"/>
  <c r="M181" i="19"/>
  <c r="M182" i="19"/>
  <c r="M183" i="19"/>
  <c r="M184" i="19"/>
  <c r="M185" i="19"/>
  <c r="M186" i="19"/>
  <c r="M187" i="19"/>
  <c r="M188" i="19"/>
  <c r="M189" i="19"/>
  <c r="M190" i="19"/>
  <c r="M191" i="19"/>
  <c r="M192" i="19"/>
  <c r="M193" i="19"/>
  <c r="M177" i="19"/>
  <c r="M176" i="19"/>
  <c r="M194" i="19"/>
  <c r="M178" i="19"/>
  <c r="M179" i="19"/>
  <c r="L287" i="19"/>
  <c r="L286" i="19"/>
  <c r="L301" i="19"/>
  <c r="L285" i="19"/>
  <c r="L300" i="19"/>
  <c r="L284" i="19"/>
  <c r="L298" i="19"/>
  <c r="L282" i="19"/>
  <c r="L296" i="19"/>
  <c r="L295" i="19"/>
  <c r="L294" i="19"/>
  <c r="L293" i="19"/>
  <c r="L292" i="19"/>
  <c r="L291" i="19"/>
  <c r="L290" i="19"/>
  <c r="L289" i="19"/>
  <c r="L288" i="19"/>
  <c r="L299" i="19"/>
  <c r="L297" i="19"/>
  <c r="L283" i="19"/>
  <c r="O142" i="19"/>
  <c r="N142" i="19"/>
  <c r="O135" i="19"/>
  <c r="N135" i="19"/>
  <c r="O149" i="19"/>
  <c r="N149" i="19"/>
  <c r="O137" i="19"/>
  <c r="N137" i="19"/>
  <c r="Q221" i="19"/>
  <c r="P221" i="19"/>
  <c r="Q142" i="19"/>
  <c r="P142" i="19"/>
  <c r="Q149" i="19"/>
  <c r="P149" i="19"/>
  <c r="L109" i="19"/>
  <c r="L93" i="19"/>
  <c r="L94" i="19"/>
  <c r="L95" i="19"/>
  <c r="L96" i="19"/>
  <c r="L98" i="19"/>
  <c r="L99" i="19"/>
  <c r="L100" i="19"/>
  <c r="L101" i="19"/>
  <c r="L102" i="19"/>
  <c r="L103" i="19"/>
  <c r="L104" i="19"/>
  <c r="L105" i="19"/>
  <c r="L106" i="19"/>
  <c r="L90" i="19"/>
  <c r="L108" i="19"/>
  <c r="L91" i="19"/>
  <c r="L97" i="19"/>
  <c r="L92" i="19"/>
  <c r="L107" i="19"/>
  <c r="N95" i="19"/>
  <c r="O95" i="19"/>
  <c r="R99" i="19"/>
  <c r="R100" i="19"/>
  <c r="R101" i="19"/>
  <c r="R102" i="19"/>
  <c r="R104" i="19"/>
  <c r="R105" i="19"/>
  <c r="R106" i="19"/>
  <c r="R90" i="19"/>
  <c r="R107" i="19"/>
  <c r="R91" i="19"/>
  <c r="R108" i="19"/>
  <c r="R92" i="19"/>
  <c r="R109" i="19"/>
  <c r="R93" i="19"/>
  <c r="R94" i="19"/>
  <c r="R95" i="19"/>
  <c r="R96" i="19"/>
  <c r="R97" i="19"/>
  <c r="R103" i="19"/>
  <c r="R98" i="19"/>
  <c r="O275" i="19"/>
  <c r="N275" i="19"/>
  <c r="T118" i="19"/>
  <c r="T117" i="19"/>
  <c r="T116" i="19"/>
  <c r="T115" i="19"/>
  <c r="T129" i="19"/>
  <c r="T113" i="19"/>
  <c r="T128" i="19"/>
  <c r="T112" i="19"/>
  <c r="T127" i="19"/>
  <c r="T111" i="19"/>
  <c r="T126" i="19"/>
  <c r="T110" i="19"/>
  <c r="T125" i="19"/>
  <c r="T124" i="19"/>
  <c r="T123" i="19"/>
  <c r="T122" i="19"/>
  <c r="T121" i="19"/>
  <c r="T114" i="19"/>
  <c r="T120" i="19"/>
  <c r="T119" i="19"/>
  <c r="O111" i="19"/>
  <c r="N111" i="19"/>
  <c r="O291" i="19"/>
  <c r="N291" i="19"/>
  <c r="N285" i="19"/>
  <c r="O285" i="19"/>
  <c r="P292" i="19"/>
  <c r="P124" i="19"/>
  <c r="P206" i="19"/>
  <c r="P209" i="19"/>
  <c r="P191" i="19"/>
  <c r="P265" i="19"/>
  <c r="P90" i="19"/>
  <c r="P277" i="19"/>
  <c r="R194" i="19"/>
  <c r="R195" i="19"/>
  <c r="R185" i="19"/>
  <c r="R186" i="19"/>
  <c r="R187" i="19"/>
  <c r="R188" i="19"/>
  <c r="R189" i="19"/>
  <c r="R190" i="19"/>
  <c r="R191" i="19"/>
  <c r="R192" i="19"/>
  <c r="R193" i="19"/>
  <c r="R177" i="19"/>
  <c r="R176" i="19"/>
  <c r="R178" i="19"/>
  <c r="R179" i="19"/>
  <c r="R180" i="19"/>
  <c r="R181" i="19"/>
  <c r="R182" i="19"/>
  <c r="R184" i="19"/>
  <c r="R183" i="19"/>
  <c r="M286" i="19"/>
  <c r="M301" i="19"/>
  <c r="M285" i="19"/>
  <c r="M300" i="19"/>
  <c r="M284" i="19"/>
  <c r="M299" i="19"/>
  <c r="M283" i="19"/>
  <c r="M297" i="19"/>
  <c r="M295" i="19"/>
  <c r="M294" i="19"/>
  <c r="M293" i="19"/>
  <c r="M292" i="19"/>
  <c r="M291" i="19"/>
  <c r="M290" i="19"/>
  <c r="M289" i="19"/>
  <c r="M288" i="19"/>
  <c r="M287" i="19"/>
  <c r="M282" i="19"/>
  <c r="M298" i="19"/>
  <c r="M296" i="19"/>
  <c r="N222" i="19"/>
  <c r="O222" i="19"/>
  <c r="N140" i="19"/>
  <c r="O140" i="19"/>
  <c r="O225" i="19"/>
  <c r="N225" i="19"/>
  <c r="O318" i="19"/>
  <c r="N318" i="19"/>
  <c r="Q233" i="19"/>
  <c r="P233" i="19"/>
  <c r="P220" i="19"/>
  <c r="Q220" i="19"/>
  <c r="Q147" i="19"/>
  <c r="P147" i="19"/>
  <c r="Q227" i="19"/>
  <c r="P227" i="19"/>
  <c r="O93" i="19"/>
  <c r="N93" i="19"/>
  <c r="O105" i="19"/>
  <c r="N105" i="19"/>
  <c r="O102" i="19"/>
  <c r="N102" i="19"/>
  <c r="N100" i="19"/>
  <c r="O100" i="19"/>
  <c r="O127" i="19"/>
  <c r="N127" i="19"/>
  <c r="O129" i="19"/>
  <c r="N129" i="19"/>
  <c r="O115" i="19"/>
  <c r="N115" i="19"/>
  <c r="O128" i="19"/>
  <c r="N128" i="19"/>
  <c r="O297" i="19"/>
  <c r="N297" i="19"/>
  <c r="P197" i="19"/>
  <c r="P207" i="19"/>
  <c r="P297" i="19"/>
  <c r="P215" i="19"/>
  <c r="P101" i="19"/>
  <c r="P188" i="19"/>
  <c r="P185" i="19"/>
  <c r="M276" i="19"/>
  <c r="M277" i="19"/>
  <c r="M278" i="19"/>
  <c r="M279" i="19"/>
  <c r="M263" i="19"/>
  <c r="M262" i="19"/>
  <c r="M281" i="19"/>
  <c r="M265" i="19"/>
  <c r="M267" i="19"/>
  <c r="M269" i="19"/>
  <c r="M270" i="19"/>
  <c r="M271" i="19"/>
  <c r="M272" i="19"/>
  <c r="M273" i="19"/>
  <c r="M274" i="19"/>
  <c r="M275" i="19"/>
  <c r="M280" i="19"/>
  <c r="M268" i="19"/>
  <c r="M264" i="19"/>
  <c r="M266" i="19"/>
  <c r="O304" i="19"/>
  <c r="N304" i="19"/>
  <c r="O232" i="19"/>
  <c r="N232" i="19"/>
  <c r="N312" i="19"/>
  <c r="O312" i="19"/>
  <c r="O133" i="19"/>
  <c r="N133" i="19"/>
  <c r="Q318" i="19"/>
  <c r="P318" i="19"/>
  <c r="Q305" i="19"/>
  <c r="P305" i="19"/>
  <c r="Q228" i="19"/>
  <c r="P228" i="19"/>
  <c r="Q130" i="19"/>
  <c r="P130" i="19"/>
  <c r="O183" i="19"/>
  <c r="N183" i="19"/>
  <c r="O193" i="19"/>
  <c r="N193" i="19"/>
  <c r="O91" i="19"/>
  <c r="N91" i="19"/>
  <c r="O185" i="19"/>
  <c r="N185" i="19"/>
  <c r="O209" i="19"/>
  <c r="N209" i="19"/>
  <c r="O208" i="19"/>
  <c r="N208" i="19"/>
  <c r="O198" i="19"/>
  <c r="N198" i="19"/>
  <c r="J196" i="19"/>
  <c r="O196" i="19"/>
  <c r="N196" i="19"/>
  <c r="P289" i="19"/>
  <c r="P286" i="19"/>
  <c r="P128" i="19"/>
  <c r="P294" i="19"/>
  <c r="P92" i="19"/>
  <c r="P97" i="19"/>
  <c r="P278" i="19"/>
  <c r="B35" i="16"/>
  <c r="G35" i="16" s="1"/>
  <c r="J179" i="19" l="1"/>
  <c r="K179" i="19" s="1"/>
  <c r="J217" i="19"/>
  <c r="J283" i="19"/>
  <c r="H545" i="33"/>
  <c r="J111" i="19"/>
  <c r="J112" i="19" s="1"/>
  <c r="H544" i="33"/>
  <c r="J131" i="19"/>
  <c r="K130" i="19"/>
  <c r="J303" i="19"/>
  <c r="K302" i="19"/>
  <c r="J197" i="19"/>
  <c r="K196" i="19"/>
  <c r="J113" i="19"/>
  <c r="K112" i="19"/>
  <c r="J284" i="19"/>
  <c r="K283" i="19"/>
  <c r="J263" i="19"/>
  <c r="J264" i="19" s="1"/>
  <c r="K264" i="19" s="1"/>
  <c r="J91" i="19"/>
  <c r="K91" i="19" s="1"/>
  <c r="K176" i="19"/>
  <c r="J180" i="19"/>
  <c r="K177" i="19"/>
  <c r="J159" i="19"/>
  <c r="K158" i="19"/>
  <c r="J72" i="19"/>
  <c r="K71" i="19"/>
  <c r="K245" i="19"/>
  <c r="J246" i="19"/>
  <c r="B18" i="16"/>
  <c r="K217" i="19" l="1"/>
  <c r="J218" i="19"/>
  <c r="H546" i="33"/>
  <c r="K111" i="19"/>
  <c r="J92" i="19"/>
  <c r="K92" i="19" s="1"/>
  <c r="J265" i="19"/>
  <c r="K265" i="19" s="1"/>
  <c r="K263" i="19"/>
  <c r="K303" i="19"/>
  <c r="J304" i="19"/>
  <c r="K131" i="19"/>
  <c r="J132" i="19"/>
  <c r="K284" i="19"/>
  <c r="J285" i="19"/>
  <c r="K113" i="19"/>
  <c r="J114" i="19"/>
  <c r="K197" i="19"/>
  <c r="J198" i="19"/>
  <c r="J181" i="19"/>
  <c r="K180" i="19"/>
  <c r="K159" i="19"/>
  <c r="J160" i="19"/>
  <c r="J73" i="19"/>
  <c r="K72" i="19"/>
  <c r="J247" i="19"/>
  <c r="K246" i="19"/>
  <c r="G32" i="4"/>
  <c r="D32" i="4"/>
  <c r="G26" i="4"/>
  <c r="D26" i="4"/>
  <c r="G20" i="4"/>
  <c r="D20" i="4"/>
  <c r="G14" i="4"/>
  <c r="D14" i="4"/>
  <c r="K218" i="19" l="1"/>
  <c r="J219" i="19"/>
  <c r="J266" i="19"/>
  <c r="K266" i="19" s="1"/>
  <c r="J93" i="19"/>
  <c r="J94" i="19" s="1"/>
  <c r="K132" i="19"/>
  <c r="J133" i="19"/>
  <c r="J305" i="19"/>
  <c r="K304" i="19"/>
  <c r="J199" i="19"/>
  <c r="K198" i="19"/>
  <c r="K114" i="19"/>
  <c r="J115" i="19"/>
  <c r="J286" i="19"/>
  <c r="K285" i="19"/>
  <c r="K181" i="19"/>
  <c r="J182" i="19"/>
  <c r="J248" i="19"/>
  <c r="K247" i="19"/>
  <c r="K73" i="19"/>
  <c r="J74" i="19"/>
  <c r="K160" i="19"/>
  <c r="J161" i="19"/>
  <c r="E13" i="1"/>
  <c r="E12" i="1"/>
  <c r="K219" i="19" l="1"/>
  <c r="J220" i="19"/>
  <c r="K93" i="19"/>
  <c r="J267" i="19"/>
  <c r="K305" i="19"/>
  <c r="J306" i="19"/>
  <c r="J134" i="19"/>
  <c r="K133" i="19"/>
  <c r="J287" i="19"/>
  <c r="K286" i="19"/>
  <c r="J116" i="19"/>
  <c r="K115" i="19"/>
  <c r="K199" i="19"/>
  <c r="J200" i="19"/>
  <c r="K267" i="19"/>
  <c r="J268" i="19"/>
  <c r="K94" i="19"/>
  <c r="J95" i="19"/>
  <c r="K182" i="19"/>
  <c r="J183" i="19"/>
  <c r="J162" i="19"/>
  <c r="K161" i="19"/>
  <c r="K74" i="19"/>
  <c r="J75" i="19"/>
  <c r="K248" i="19"/>
  <c r="J249" i="19"/>
  <c r="E4" i="1"/>
  <c r="J221" i="19" l="1"/>
  <c r="K220" i="19"/>
  <c r="K134" i="19"/>
  <c r="J135" i="19"/>
  <c r="K306" i="19"/>
  <c r="J307" i="19"/>
  <c r="J201" i="19"/>
  <c r="K200" i="19"/>
  <c r="J117" i="19"/>
  <c r="K116" i="19"/>
  <c r="J288" i="19"/>
  <c r="K287" i="19"/>
  <c r="K183" i="19"/>
  <c r="J184" i="19"/>
  <c r="K268" i="19"/>
  <c r="J269" i="19"/>
  <c r="K95" i="19"/>
  <c r="J96" i="19"/>
  <c r="J250" i="19"/>
  <c r="K249" i="19"/>
  <c r="K75" i="19"/>
  <c r="J76" i="19"/>
  <c r="J163" i="19"/>
  <c r="K162" i="19"/>
  <c r="J222" i="19" l="1"/>
  <c r="K221" i="19"/>
  <c r="J308" i="19"/>
  <c r="K307" i="19"/>
  <c r="J136" i="19"/>
  <c r="K135" i="19"/>
  <c r="K288" i="19"/>
  <c r="J289" i="19"/>
  <c r="K117" i="19"/>
  <c r="J118" i="19"/>
  <c r="K201" i="19"/>
  <c r="J202" i="19"/>
  <c r="K96" i="19"/>
  <c r="J97" i="19"/>
  <c r="J185" i="19"/>
  <c r="K184" i="19"/>
  <c r="J270" i="19"/>
  <c r="K269" i="19"/>
  <c r="K163" i="19"/>
  <c r="J164" i="19"/>
  <c r="J77" i="19"/>
  <c r="K76" i="19"/>
  <c r="J251" i="19"/>
  <c r="K250" i="19"/>
  <c r="C24" i="7"/>
  <c r="C23" i="7"/>
  <c r="C18" i="7"/>
  <c r="C29" i="8"/>
  <c r="C28" i="8"/>
  <c r="C19" i="7"/>
  <c r="D30" i="7" s="1"/>
  <c r="J1" i="6" s="1"/>
  <c r="C22" i="7"/>
  <c r="C21" i="7"/>
  <c r="J223" i="19" l="1"/>
  <c r="K222" i="19"/>
  <c r="R10" i="7"/>
  <c r="L176" i="20" s="1"/>
  <c r="O14" i="8"/>
  <c r="L174" i="20" s="1"/>
  <c r="O11" i="8"/>
  <c r="L171" i="20" s="1"/>
  <c r="R9" i="7"/>
  <c r="L175" i="20" s="1"/>
  <c r="O13" i="8"/>
  <c r="L173" i="20" s="1"/>
  <c r="R13" i="7"/>
  <c r="L179" i="20" s="1"/>
  <c r="O10" i="8"/>
  <c r="L170" i="20" s="1"/>
  <c r="R12" i="7"/>
  <c r="L178" i="20" s="1"/>
  <c r="O12" i="8"/>
  <c r="L172" i="20" s="1"/>
  <c r="R11" i="7"/>
  <c r="L177" i="20" s="1"/>
  <c r="O9" i="8"/>
  <c r="K136" i="19"/>
  <c r="J137" i="19"/>
  <c r="K308" i="19"/>
  <c r="J309" i="19"/>
  <c r="J203" i="19"/>
  <c r="K202" i="19"/>
  <c r="J119" i="19"/>
  <c r="K118" i="19"/>
  <c r="J290" i="19"/>
  <c r="K289" i="19"/>
  <c r="K185" i="19"/>
  <c r="J186" i="19"/>
  <c r="J271" i="19"/>
  <c r="K270" i="19"/>
  <c r="J98" i="19"/>
  <c r="K97" i="19"/>
  <c r="J252" i="19"/>
  <c r="K251" i="19"/>
  <c r="K77" i="19"/>
  <c r="J78" i="19"/>
  <c r="K164" i="19"/>
  <c r="J165" i="19"/>
  <c r="C25" i="7"/>
  <c r="D69" i="15"/>
  <c r="E10" i="1"/>
  <c r="C30" i="8"/>
  <c r="C90" i="20" s="1"/>
  <c r="C28" i="7"/>
  <c r="E9" i="1"/>
  <c r="K223" i="19" l="1"/>
  <c r="J224" i="19"/>
  <c r="L169" i="20"/>
  <c r="D41" i="15"/>
  <c r="D97" i="15"/>
  <c r="J310" i="19"/>
  <c r="K309" i="19"/>
  <c r="J138" i="19"/>
  <c r="K137" i="19"/>
  <c r="K290" i="19"/>
  <c r="J291" i="19"/>
  <c r="K119" i="19"/>
  <c r="J120" i="19"/>
  <c r="J204" i="19"/>
  <c r="K203" i="19"/>
  <c r="K271" i="19"/>
  <c r="J272" i="19"/>
  <c r="K98" i="19"/>
  <c r="J99" i="19"/>
  <c r="K186" i="19"/>
  <c r="J187" i="19"/>
  <c r="K165" i="19"/>
  <c r="J166" i="19"/>
  <c r="K78" i="19"/>
  <c r="J79" i="19"/>
  <c r="K252" i="19"/>
  <c r="J253" i="19"/>
  <c r="L12" i="8"/>
  <c r="O12" i="7"/>
  <c r="L11" i="8"/>
  <c r="I171" i="20" s="1"/>
  <c r="O11" i="7"/>
  <c r="L9" i="8"/>
  <c r="O9" i="7"/>
  <c r="O10" i="7"/>
  <c r="L10" i="8"/>
  <c r="I170" i="20" s="1"/>
  <c r="L13" i="8"/>
  <c r="L14" i="8"/>
  <c r="O13" i="7"/>
  <c r="C27" i="7"/>
  <c r="I13" i="8"/>
  <c r="L13" i="7"/>
  <c r="L10" i="7"/>
  <c r="I9" i="8"/>
  <c r="I14" i="8"/>
  <c r="I12" i="8"/>
  <c r="L12" i="7"/>
  <c r="F178" i="20" s="1"/>
  <c r="L9" i="7"/>
  <c r="I11" i="8"/>
  <c r="F171" i="20" s="1"/>
  <c r="L11" i="7"/>
  <c r="I10" i="8"/>
  <c r="F170" i="20" s="1"/>
  <c r="D48" i="15"/>
  <c r="D55" i="15" s="1"/>
  <c r="EQ422" i="19"/>
  <c r="BQ421" i="19"/>
  <c r="DQ419" i="19"/>
  <c r="AQ418" i="19"/>
  <c r="CQ416" i="19"/>
  <c r="EQ414" i="19"/>
  <c r="BQ413" i="19"/>
  <c r="DQ411" i="19"/>
  <c r="AQ410" i="19"/>
  <c r="CQ408" i="19"/>
  <c r="EQ406" i="19"/>
  <c r="BQ405" i="19"/>
  <c r="DQ403" i="19"/>
  <c r="AQ402" i="19"/>
  <c r="CQ400" i="19"/>
  <c r="ED422" i="19"/>
  <c r="BD421" i="19"/>
  <c r="DD419" i="19"/>
  <c r="AD418" i="19"/>
  <c r="CD416" i="19"/>
  <c r="ED414" i="19"/>
  <c r="BD413" i="19"/>
  <c r="DD411" i="19"/>
  <c r="AD410" i="19"/>
  <c r="CD408" i="19"/>
  <c r="ED406" i="19"/>
  <c r="BD405" i="19"/>
  <c r="DD403" i="19"/>
  <c r="AD402" i="19"/>
  <c r="CD400" i="19"/>
  <c r="DQ422" i="19"/>
  <c r="AQ421" i="19"/>
  <c r="CQ419" i="19"/>
  <c r="EQ417" i="19"/>
  <c r="BQ416" i="19"/>
  <c r="DQ414" i="19"/>
  <c r="AQ413" i="19"/>
  <c r="CQ411" i="19"/>
  <c r="EQ409" i="19"/>
  <c r="BQ408" i="19"/>
  <c r="DQ406" i="19"/>
  <c r="AQ405" i="19"/>
  <c r="CQ403" i="19"/>
  <c r="EQ401" i="19"/>
  <c r="BQ400" i="19"/>
  <c r="DD422" i="19"/>
  <c r="AD421" i="19"/>
  <c r="CD419" i="19"/>
  <c r="ED417" i="19"/>
  <c r="BD416" i="19"/>
  <c r="DD414" i="19"/>
  <c r="AD413" i="19"/>
  <c r="CD411" i="19"/>
  <c r="ED409" i="19"/>
  <c r="BD408" i="19"/>
  <c r="DD406" i="19"/>
  <c r="AD405" i="19"/>
  <c r="CD403" i="19"/>
  <c r="ED401" i="19"/>
  <c r="BD400" i="19"/>
  <c r="CQ422" i="19"/>
  <c r="EQ420" i="19"/>
  <c r="BQ419" i="19"/>
  <c r="DQ417" i="19"/>
  <c r="AQ416" i="19"/>
  <c r="CQ414" i="19"/>
  <c r="EQ412" i="19"/>
  <c r="BQ411" i="19"/>
  <c r="DQ409" i="19"/>
  <c r="AQ408" i="19"/>
  <c r="CQ406" i="19"/>
  <c r="EQ404" i="19"/>
  <c r="BQ403" i="19"/>
  <c r="DQ401" i="19"/>
  <c r="AQ400" i="19"/>
  <c r="CD422" i="19"/>
  <c r="ED420" i="19"/>
  <c r="BD419" i="19"/>
  <c r="DD417" i="19"/>
  <c r="AD416" i="19"/>
  <c r="CD414" i="19"/>
  <c r="ED412" i="19"/>
  <c r="BD411" i="19"/>
  <c r="DD409" i="19"/>
  <c r="AD408" i="19"/>
  <c r="CD406" i="19"/>
  <c r="ED404" i="19"/>
  <c r="BD403" i="19"/>
  <c r="DD401" i="19"/>
  <c r="AD400" i="19"/>
  <c r="BQ422" i="19"/>
  <c r="DQ420" i="19"/>
  <c r="AQ419" i="19"/>
  <c r="CQ417" i="19"/>
  <c r="EQ415" i="19"/>
  <c r="BQ414" i="19"/>
  <c r="DQ412" i="19"/>
  <c r="AQ411" i="19"/>
  <c r="CQ409" i="19"/>
  <c r="EQ407" i="19"/>
  <c r="BQ406" i="19"/>
  <c r="DQ404" i="19"/>
  <c r="AQ403" i="19"/>
  <c r="CQ401" i="19"/>
  <c r="EQ399" i="19"/>
  <c r="BD422" i="19"/>
  <c r="DD420" i="19"/>
  <c r="AD419" i="19"/>
  <c r="CD417" i="19"/>
  <c r="ED415" i="19"/>
  <c r="BD414" i="19"/>
  <c r="DD412" i="19"/>
  <c r="AD411" i="19"/>
  <c r="CD409" i="19"/>
  <c r="ED407" i="19"/>
  <c r="BD406" i="19"/>
  <c r="DD404" i="19"/>
  <c r="AD403" i="19"/>
  <c r="CD401" i="19"/>
  <c r="ED399" i="19"/>
  <c r="AQ422" i="19"/>
  <c r="CQ420" i="19"/>
  <c r="EQ418" i="19"/>
  <c r="BQ417" i="19"/>
  <c r="DQ415" i="19"/>
  <c r="AQ414" i="19"/>
  <c r="CQ412" i="19"/>
  <c r="EQ410" i="19"/>
  <c r="BQ409" i="19"/>
  <c r="DQ407" i="19"/>
  <c r="AQ406" i="19"/>
  <c r="CQ404" i="19"/>
  <c r="EQ402" i="19"/>
  <c r="BQ401" i="19"/>
  <c r="DQ399" i="19"/>
  <c r="AD422" i="19"/>
  <c r="CD420" i="19"/>
  <c r="ED418" i="19"/>
  <c r="BD417" i="19"/>
  <c r="DD415" i="19"/>
  <c r="AD414" i="19"/>
  <c r="CD412" i="19"/>
  <c r="ED410" i="19"/>
  <c r="BD409" i="19"/>
  <c r="DD407" i="19"/>
  <c r="AD406" i="19"/>
  <c r="CD404" i="19"/>
  <c r="ED402" i="19"/>
  <c r="BD401" i="19"/>
  <c r="DD399" i="19"/>
  <c r="EQ421" i="19"/>
  <c r="BQ420" i="19"/>
  <c r="DQ418" i="19"/>
  <c r="AQ417" i="19"/>
  <c r="CQ415" i="19"/>
  <c r="EQ413" i="19"/>
  <c r="BQ412" i="19"/>
  <c r="DQ410" i="19"/>
  <c r="AQ409" i="19"/>
  <c r="CQ407" i="19"/>
  <c r="EQ405" i="19"/>
  <c r="BQ404" i="19"/>
  <c r="DQ402" i="19"/>
  <c r="AQ401" i="19"/>
  <c r="CQ399" i="19"/>
  <c r="ED421" i="19"/>
  <c r="BD420" i="19"/>
  <c r="DD418" i="19"/>
  <c r="AD417" i="19"/>
  <c r="CD415" i="19"/>
  <c r="ED413" i="19"/>
  <c r="BD412" i="19"/>
  <c r="DD410" i="19"/>
  <c r="AD409" i="19"/>
  <c r="CD407" i="19"/>
  <c r="ED405" i="19"/>
  <c r="BD404" i="19"/>
  <c r="DD402" i="19"/>
  <c r="AD401" i="19"/>
  <c r="CD399" i="19"/>
  <c r="DQ421" i="19"/>
  <c r="AQ420" i="19"/>
  <c r="CQ418" i="19"/>
  <c r="EQ416" i="19"/>
  <c r="BQ415" i="19"/>
  <c r="DQ413" i="19"/>
  <c r="AQ412" i="19"/>
  <c r="CQ410" i="19"/>
  <c r="EQ408" i="19"/>
  <c r="BQ407" i="19"/>
  <c r="DQ405" i="19"/>
  <c r="AQ404" i="19"/>
  <c r="CQ402" i="19"/>
  <c r="EQ400" i="19"/>
  <c r="BQ399" i="19"/>
  <c r="DD421" i="19"/>
  <c r="AD420" i="19"/>
  <c r="CD418" i="19"/>
  <c r="ED416" i="19"/>
  <c r="BD415" i="19"/>
  <c r="DD413" i="19"/>
  <c r="AD412" i="19"/>
  <c r="CD410" i="19"/>
  <c r="ED408" i="19"/>
  <c r="BD407" i="19"/>
  <c r="DD405" i="19"/>
  <c r="AD404" i="19"/>
  <c r="CD402" i="19"/>
  <c r="ED400" i="19"/>
  <c r="BD399" i="19"/>
  <c r="CQ421" i="19"/>
  <c r="EQ419" i="19"/>
  <c r="BQ418" i="19"/>
  <c r="DQ416" i="19"/>
  <c r="AQ415" i="19"/>
  <c r="CQ413" i="19"/>
  <c r="EQ411" i="19"/>
  <c r="BQ410" i="19"/>
  <c r="DQ408" i="19"/>
  <c r="AQ407" i="19"/>
  <c r="CQ405" i="19"/>
  <c r="EQ403" i="19"/>
  <c r="BQ402" i="19"/>
  <c r="DQ400" i="19"/>
  <c r="AQ399" i="19"/>
  <c r="CD421" i="19"/>
  <c r="ED419" i="19"/>
  <c r="BD418" i="19"/>
  <c r="DD416" i="19"/>
  <c r="AD415" i="19"/>
  <c r="CD413" i="19"/>
  <c r="ED411" i="19"/>
  <c r="BD410" i="19"/>
  <c r="DD408" i="19"/>
  <c r="AD407" i="19"/>
  <c r="CD405" i="19"/>
  <c r="ED403" i="19"/>
  <c r="BD402" i="19"/>
  <c r="DD400" i="19"/>
  <c r="AD399" i="19"/>
  <c r="D90" i="15"/>
  <c r="D104" i="15"/>
  <c r="D83" i="15"/>
  <c r="D76" i="15"/>
  <c r="D111" i="15"/>
  <c r="D62" i="15"/>
  <c r="M479" i="19"/>
  <c r="Z479" i="19" s="1"/>
  <c r="AM479" i="19" s="1"/>
  <c r="AZ479" i="19" s="1"/>
  <c r="BM479" i="19" s="1"/>
  <c r="BZ479" i="19" s="1"/>
  <c r="CM479" i="19" s="1"/>
  <c r="CZ479" i="19" s="1"/>
  <c r="DM479" i="19" s="1"/>
  <c r="DZ479" i="19" s="1"/>
  <c r="EM479" i="19" s="1"/>
  <c r="Q422" i="19"/>
  <c r="D422" i="19"/>
  <c r="Q421" i="19"/>
  <c r="D421" i="19"/>
  <c r="Q420" i="19"/>
  <c r="D420" i="19"/>
  <c r="Q419" i="19"/>
  <c r="D419" i="19"/>
  <c r="Q418" i="19"/>
  <c r="D418" i="19"/>
  <c r="Q417" i="19"/>
  <c r="D417" i="19"/>
  <c r="Q416" i="19"/>
  <c r="D416" i="19"/>
  <c r="Q415" i="19"/>
  <c r="D415" i="19"/>
  <c r="Q414" i="19"/>
  <c r="D414" i="19"/>
  <c r="Q413" i="19"/>
  <c r="D413" i="19"/>
  <c r="Q412" i="19"/>
  <c r="D412" i="19"/>
  <c r="Q411" i="19"/>
  <c r="D411" i="19"/>
  <c r="Q410" i="19"/>
  <c r="D410" i="19"/>
  <c r="Q409" i="19"/>
  <c r="D409" i="19"/>
  <c r="Q408" i="19"/>
  <c r="D408" i="19"/>
  <c r="Q407" i="19"/>
  <c r="D407" i="19"/>
  <c r="Q406" i="19"/>
  <c r="D406" i="19"/>
  <c r="Q405" i="19"/>
  <c r="D405" i="19"/>
  <c r="Q404" i="19"/>
  <c r="D404" i="19"/>
  <c r="Q403" i="19"/>
  <c r="D403" i="19"/>
  <c r="Q402" i="19"/>
  <c r="D402" i="19"/>
  <c r="Q401" i="19"/>
  <c r="D401" i="19"/>
  <c r="Q400" i="19"/>
  <c r="D400" i="19"/>
  <c r="Q399" i="19"/>
  <c r="D399" i="19"/>
  <c r="C32" i="8"/>
  <c r="C92" i="20" s="1"/>
  <c r="C31" i="8"/>
  <c r="C91" i="20" s="1"/>
  <c r="C26" i="7"/>
  <c r="K224" i="19" l="1"/>
  <c r="J225" i="19"/>
  <c r="N417" i="19"/>
  <c r="N407" i="19"/>
  <c r="N408" i="19"/>
  <c r="N418" i="19"/>
  <c r="N401" i="19"/>
  <c r="N420" i="19"/>
  <c r="N413" i="19"/>
  <c r="N416" i="19"/>
  <c r="N410" i="19"/>
  <c r="N405" i="19"/>
  <c r="N406" i="19"/>
  <c r="N404" i="19"/>
  <c r="N400" i="19"/>
  <c r="N419" i="19"/>
  <c r="N422" i="19"/>
  <c r="N414" i="19"/>
  <c r="N412" i="19"/>
  <c r="N399" i="19"/>
  <c r="N402" i="19"/>
  <c r="N411" i="19"/>
  <c r="N409" i="19"/>
  <c r="N403" i="19"/>
  <c r="N421" i="19"/>
  <c r="N415" i="19"/>
  <c r="K138" i="19"/>
  <c r="J139" i="19"/>
  <c r="K310" i="19"/>
  <c r="J311" i="19"/>
  <c r="K204" i="19"/>
  <c r="J205" i="19"/>
  <c r="K120" i="19"/>
  <c r="J121" i="19"/>
  <c r="J292" i="19"/>
  <c r="K291" i="19"/>
  <c r="K187" i="19"/>
  <c r="J188" i="19"/>
  <c r="J100" i="19"/>
  <c r="K99" i="19"/>
  <c r="K272" i="19"/>
  <c r="J273" i="19"/>
  <c r="K253" i="19"/>
  <c r="J254" i="19"/>
  <c r="J80" i="19"/>
  <c r="K79" i="19"/>
  <c r="J167" i="19"/>
  <c r="K166" i="19"/>
  <c r="F176" i="20"/>
  <c r="F179" i="20"/>
  <c r="F173" i="20"/>
  <c r="I179" i="20"/>
  <c r="I174" i="20"/>
  <c r="I173" i="20"/>
  <c r="I176" i="20"/>
  <c r="F177" i="20"/>
  <c r="I175" i="20"/>
  <c r="F175" i="20"/>
  <c r="I177" i="20"/>
  <c r="F172" i="20"/>
  <c r="I178" i="20"/>
  <c r="F174" i="20"/>
  <c r="I172" i="20"/>
  <c r="D39" i="15"/>
  <c r="Q344" i="19" s="1"/>
  <c r="F169" i="20"/>
  <c r="D40" i="15"/>
  <c r="D47" i="15" s="1"/>
  <c r="D54" i="15" s="1"/>
  <c r="I169" i="20"/>
  <c r="D60" i="15"/>
  <c r="D110" i="15"/>
  <c r="D68" i="15"/>
  <c r="D103" i="15"/>
  <c r="D89" i="15"/>
  <c r="D61" i="15"/>
  <c r="D75" i="15"/>
  <c r="D96" i="15"/>
  <c r="D82" i="15"/>
  <c r="D109" i="15"/>
  <c r="D81" i="15"/>
  <c r="D74" i="15"/>
  <c r="D88" i="15"/>
  <c r="D67" i="15"/>
  <c r="D102" i="15"/>
  <c r="D95" i="15"/>
  <c r="C27" i="8"/>
  <c r="C26" i="8"/>
  <c r="C24" i="8"/>
  <c r="C23" i="8"/>
  <c r="F36" i="8"/>
  <c r="F37" i="8" s="1"/>
  <c r="F38" i="8" s="1"/>
  <c r="F39" i="8" s="1"/>
  <c r="F40" i="8" s="1"/>
  <c r="F41" i="8" s="1"/>
  <c r="F44" i="8"/>
  <c r="F45" i="8" s="1"/>
  <c r="F46" i="8" s="1"/>
  <c r="F47" i="8" s="1"/>
  <c r="F48" i="8" s="1"/>
  <c r="F49" i="8" s="1"/>
  <c r="F52" i="8"/>
  <c r="F53" i="8" s="1"/>
  <c r="F54" i="8" s="1"/>
  <c r="F55" i="8" s="1"/>
  <c r="F56" i="8" s="1"/>
  <c r="F57" i="8" s="1"/>
  <c r="E14" i="1"/>
  <c r="E15" i="1" s="1"/>
  <c r="F15" i="1" s="1"/>
  <c r="C20" i="8"/>
  <c r="J226" i="19" l="1"/>
  <c r="K225" i="19"/>
  <c r="AA411" i="19"/>
  <c r="AN411" i="19"/>
  <c r="BA411" i="19" s="1"/>
  <c r="BN411" i="19" s="1"/>
  <c r="CA411" i="19" s="1"/>
  <c r="CN411" i="19" s="1"/>
  <c r="DA411" i="19" s="1"/>
  <c r="DN411" i="19" s="1"/>
  <c r="EA411" i="19" s="1"/>
  <c r="EN411" i="19" s="1"/>
  <c r="AA418" i="19"/>
  <c r="AN418" i="19"/>
  <c r="BA418" i="19" s="1"/>
  <c r="BN418" i="19" s="1"/>
  <c r="CA418" i="19" s="1"/>
  <c r="CN418" i="19" s="1"/>
  <c r="DA418" i="19" s="1"/>
  <c r="DN418" i="19" s="1"/>
  <c r="EA418" i="19" s="1"/>
  <c r="EN418" i="19" s="1"/>
  <c r="AA408" i="19"/>
  <c r="AN408" i="19"/>
  <c r="AN407" i="19"/>
  <c r="BA407" i="19" s="1"/>
  <c r="BN407" i="19" s="1"/>
  <c r="CA407" i="19" s="1"/>
  <c r="CN407" i="19" s="1"/>
  <c r="DA407" i="19" s="1"/>
  <c r="DN407" i="19" s="1"/>
  <c r="EA407" i="19" s="1"/>
  <c r="EN407" i="19" s="1"/>
  <c r="AA407" i="19"/>
  <c r="AN417" i="19"/>
  <c r="BA417" i="19" s="1"/>
  <c r="BN417" i="19" s="1"/>
  <c r="CA417" i="19" s="1"/>
  <c r="CN417" i="19" s="1"/>
  <c r="DA417" i="19" s="1"/>
  <c r="DN417" i="19" s="1"/>
  <c r="EA417" i="19" s="1"/>
  <c r="EN417" i="19" s="1"/>
  <c r="AA417" i="19"/>
  <c r="AN414" i="19"/>
  <c r="AA414" i="19"/>
  <c r="AN422" i="19"/>
  <c r="AA422" i="19"/>
  <c r="AN419" i="19"/>
  <c r="BA419" i="19" s="1"/>
  <c r="BN419" i="19" s="1"/>
  <c r="CA419" i="19" s="1"/>
  <c r="CN419" i="19" s="1"/>
  <c r="DA419" i="19" s="1"/>
  <c r="DN419" i="19" s="1"/>
  <c r="EA419" i="19" s="1"/>
  <c r="EN419" i="19" s="1"/>
  <c r="AA419" i="19"/>
  <c r="AA400" i="19"/>
  <c r="AN400" i="19"/>
  <c r="BA400" i="19" s="1"/>
  <c r="BN400" i="19" s="1"/>
  <c r="CA400" i="19" s="1"/>
  <c r="CN400" i="19" s="1"/>
  <c r="DA400" i="19" s="1"/>
  <c r="DN400" i="19" s="1"/>
  <c r="EA400" i="19" s="1"/>
  <c r="EN400" i="19" s="1"/>
  <c r="AN404" i="19"/>
  <c r="AA404" i="19"/>
  <c r="AA402" i="19"/>
  <c r="AN402" i="19"/>
  <c r="AA406" i="19"/>
  <c r="AN406" i="19"/>
  <c r="BA406" i="19" s="1"/>
  <c r="BN406" i="19" s="1"/>
  <c r="CA406" i="19" s="1"/>
  <c r="CN406" i="19" s="1"/>
  <c r="DA406" i="19" s="1"/>
  <c r="DN406" i="19" s="1"/>
  <c r="EA406" i="19" s="1"/>
  <c r="EN406" i="19" s="1"/>
  <c r="AN405" i="19"/>
  <c r="BA405" i="19" s="1"/>
  <c r="BN405" i="19" s="1"/>
  <c r="CA405" i="19" s="1"/>
  <c r="CN405" i="19" s="1"/>
  <c r="DA405" i="19" s="1"/>
  <c r="DN405" i="19" s="1"/>
  <c r="EA405" i="19" s="1"/>
  <c r="EN405" i="19" s="1"/>
  <c r="AA405" i="19"/>
  <c r="AN410" i="19"/>
  <c r="AA410" i="19"/>
  <c r="AA399" i="19"/>
  <c r="AN399" i="19"/>
  <c r="BA399" i="19" s="1"/>
  <c r="BN399" i="19" s="1"/>
  <c r="CA399" i="19" s="1"/>
  <c r="CN399" i="19" s="1"/>
  <c r="DA399" i="19" s="1"/>
  <c r="DN399" i="19" s="1"/>
  <c r="EA399" i="19" s="1"/>
  <c r="EN399" i="19" s="1"/>
  <c r="AN415" i="19"/>
  <c r="AA415" i="19"/>
  <c r="AA416" i="19"/>
  <c r="AN416" i="19"/>
  <c r="AA421" i="19"/>
  <c r="AN421" i="19"/>
  <c r="AA413" i="19"/>
  <c r="AN413" i="19"/>
  <c r="BA413" i="19" s="1"/>
  <c r="BN413" i="19" s="1"/>
  <c r="CA413" i="19" s="1"/>
  <c r="CN413" i="19" s="1"/>
  <c r="DA413" i="19" s="1"/>
  <c r="DN413" i="19" s="1"/>
  <c r="EA413" i="19" s="1"/>
  <c r="EN413" i="19" s="1"/>
  <c r="AN403" i="19"/>
  <c r="AA403" i="19"/>
  <c r="AA420" i="19"/>
  <c r="AN420" i="19"/>
  <c r="AN412" i="19"/>
  <c r="BA412" i="19" s="1"/>
  <c r="BN412" i="19" s="1"/>
  <c r="CA412" i="19" s="1"/>
  <c r="CN412" i="19" s="1"/>
  <c r="DA412" i="19" s="1"/>
  <c r="DN412" i="19" s="1"/>
  <c r="EA412" i="19" s="1"/>
  <c r="EN412" i="19" s="1"/>
  <c r="AA412" i="19"/>
  <c r="AA409" i="19"/>
  <c r="AN409" i="19"/>
  <c r="AA401" i="19"/>
  <c r="AN401" i="19"/>
  <c r="BA401" i="19" s="1"/>
  <c r="BN401" i="19" s="1"/>
  <c r="CA401" i="19" s="1"/>
  <c r="CN401" i="19" s="1"/>
  <c r="DA401" i="19" s="1"/>
  <c r="DN401" i="19" s="1"/>
  <c r="EA401" i="19" s="1"/>
  <c r="EN401" i="19" s="1"/>
  <c r="K311" i="19"/>
  <c r="J312" i="19"/>
  <c r="K139" i="19"/>
  <c r="J140" i="19"/>
  <c r="K292" i="19"/>
  <c r="J293" i="19"/>
  <c r="J122" i="19"/>
  <c r="K121" i="19"/>
  <c r="K205" i="19"/>
  <c r="J206" i="19"/>
  <c r="J274" i="19"/>
  <c r="K273" i="19"/>
  <c r="J101" i="19"/>
  <c r="K100" i="19"/>
  <c r="J189" i="19"/>
  <c r="K188" i="19"/>
  <c r="K167" i="19"/>
  <c r="J168" i="19"/>
  <c r="J81" i="19"/>
  <c r="K80" i="19"/>
  <c r="J255" i="19"/>
  <c r="K254" i="19"/>
  <c r="D340" i="19"/>
  <c r="Q346" i="19"/>
  <c r="Q351" i="19"/>
  <c r="N376" i="19"/>
  <c r="AA376" i="19" s="1"/>
  <c r="AN376" i="19" s="1"/>
  <c r="BA376" i="19" s="1"/>
  <c r="BN376" i="19" s="1"/>
  <c r="CA376" i="19" s="1"/>
  <c r="CN376" i="19" s="1"/>
  <c r="DA376" i="19" s="1"/>
  <c r="DN376" i="19" s="1"/>
  <c r="EA376" i="19" s="1"/>
  <c r="EN376" i="19" s="1"/>
  <c r="N377" i="19"/>
  <c r="AA377" i="19" s="1"/>
  <c r="AN377" i="19" s="1"/>
  <c r="BA377" i="19" s="1"/>
  <c r="BN377" i="19" s="1"/>
  <c r="CA377" i="19" s="1"/>
  <c r="CN377" i="19" s="1"/>
  <c r="DA377" i="19" s="1"/>
  <c r="DN377" i="19" s="1"/>
  <c r="EA377" i="19" s="1"/>
  <c r="EN377" i="19" s="1"/>
  <c r="N379" i="19"/>
  <c r="AA379" i="19" s="1"/>
  <c r="AN379" i="19" s="1"/>
  <c r="BA379" i="19" s="1"/>
  <c r="BN379" i="19" s="1"/>
  <c r="CA379" i="19" s="1"/>
  <c r="CN379" i="19" s="1"/>
  <c r="DA379" i="19" s="1"/>
  <c r="DN379" i="19" s="1"/>
  <c r="EA379" i="19" s="1"/>
  <c r="EN379" i="19" s="1"/>
  <c r="N374" i="19"/>
  <c r="AA374" i="19" s="1"/>
  <c r="AN374" i="19" s="1"/>
  <c r="BA374" i="19" s="1"/>
  <c r="BN374" i="19" s="1"/>
  <c r="CA374" i="19" s="1"/>
  <c r="CN374" i="19" s="1"/>
  <c r="DA374" i="19" s="1"/>
  <c r="DN374" i="19" s="1"/>
  <c r="EA374" i="19" s="1"/>
  <c r="EN374" i="19" s="1"/>
  <c r="N369" i="19"/>
  <c r="AA369" i="19" s="1"/>
  <c r="AN369" i="19" s="1"/>
  <c r="BA369" i="19" s="1"/>
  <c r="BN369" i="19" s="1"/>
  <c r="CA369" i="19" s="1"/>
  <c r="CN369" i="19" s="1"/>
  <c r="DA369" i="19" s="1"/>
  <c r="DN369" i="19" s="1"/>
  <c r="EA369" i="19" s="1"/>
  <c r="EN369" i="19" s="1"/>
  <c r="N387" i="19"/>
  <c r="AA387" i="19" s="1"/>
  <c r="AN387" i="19" s="1"/>
  <c r="BA387" i="19" s="1"/>
  <c r="BN387" i="19" s="1"/>
  <c r="CA387" i="19" s="1"/>
  <c r="CN387" i="19" s="1"/>
  <c r="DA387" i="19" s="1"/>
  <c r="DN387" i="19" s="1"/>
  <c r="EA387" i="19" s="1"/>
  <c r="EN387" i="19" s="1"/>
  <c r="N370" i="19"/>
  <c r="AA370" i="19" s="1"/>
  <c r="AN370" i="19" s="1"/>
  <c r="BA370" i="19" s="1"/>
  <c r="BN370" i="19" s="1"/>
  <c r="CA370" i="19" s="1"/>
  <c r="CN370" i="19" s="1"/>
  <c r="DA370" i="19" s="1"/>
  <c r="DN370" i="19" s="1"/>
  <c r="EA370" i="19" s="1"/>
  <c r="EN370" i="19" s="1"/>
  <c r="N388" i="19"/>
  <c r="AA388" i="19" s="1"/>
  <c r="AN388" i="19" s="1"/>
  <c r="BA388" i="19" s="1"/>
  <c r="BN388" i="19" s="1"/>
  <c r="CA388" i="19" s="1"/>
  <c r="CN388" i="19" s="1"/>
  <c r="DA388" i="19" s="1"/>
  <c r="DN388" i="19" s="1"/>
  <c r="EA388" i="19" s="1"/>
  <c r="EN388" i="19" s="1"/>
  <c r="N371" i="19"/>
  <c r="AA371" i="19" s="1"/>
  <c r="AN371" i="19" s="1"/>
  <c r="BA371" i="19" s="1"/>
  <c r="BN371" i="19" s="1"/>
  <c r="CA371" i="19" s="1"/>
  <c r="CN371" i="19" s="1"/>
  <c r="DA371" i="19" s="1"/>
  <c r="DN371" i="19" s="1"/>
  <c r="EA371" i="19" s="1"/>
  <c r="EN371" i="19" s="1"/>
  <c r="N389" i="19"/>
  <c r="AA389" i="19" s="1"/>
  <c r="AN389" i="19" s="1"/>
  <c r="BA389" i="19" s="1"/>
  <c r="BN389" i="19" s="1"/>
  <c r="CA389" i="19" s="1"/>
  <c r="CN389" i="19" s="1"/>
  <c r="DA389" i="19" s="1"/>
  <c r="DN389" i="19" s="1"/>
  <c r="EA389" i="19" s="1"/>
  <c r="EN389" i="19" s="1"/>
  <c r="N373" i="19"/>
  <c r="AA373" i="19" s="1"/>
  <c r="AN373" i="19" s="1"/>
  <c r="BA373" i="19" s="1"/>
  <c r="BN373" i="19" s="1"/>
  <c r="CA373" i="19" s="1"/>
  <c r="CN373" i="19" s="1"/>
  <c r="DA373" i="19" s="1"/>
  <c r="DN373" i="19" s="1"/>
  <c r="EA373" i="19" s="1"/>
  <c r="EN373" i="19" s="1"/>
  <c r="N391" i="19"/>
  <c r="AA391" i="19" s="1"/>
  <c r="AN391" i="19" s="1"/>
  <c r="BA391" i="19" s="1"/>
  <c r="BN391" i="19" s="1"/>
  <c r="CA391" i="19" s="1"/>
  <c r="CN391" i="19" s="1"/>
  <c r="DA391" i="19" s="1"/>
  <c r="DN391" i="19" s="1"/>
  <c r="EA391" i="19" s="1"/>
  <c r="EN391" i="19" s="1"/>
  <c r="N368" i="19"/>
  <c r="AA368" i="19" s="1"/>
  <c r="AN368" i="19" s="1"/>
  <c r="BA368" i="19" s="1"/>
  <c r="BN368" i="19" s="1"/>
  <c r="CA368" i="19" s="1"/>
  <c r="CN368" i="19" s="1"/>
  <c r="DA368" i="19" s="1"/>
  <c r="DN368" i="19" s="1"/>
  <c r="EA368" i="19" s="1"/>
  <c r="EN368" i="19" s="1"/>
  <c r="N386" i="19"/>
  <c r="AA386" i="19" s="1"/>
  <c r="AN386" i="19" s="1"/>
  <c r="BA386" i="19" s="1"/>
  <c r="BN386" i="19" s="1"/>
  <c r="CA386" i="19" s="1"/>
  <c r="CN386" i="19" s="1"/>
  <c r="DA386" i="19" s="1"/>
  <c r="DN386" i="19" s="1"/>
  <c r="EA386" i="19" s="1"/>
  <c r="EN386" i="19" s="1"/>
  <c r="N381" i="19"/>
  <c r="AA381" i="19" s="1"/>
  <c r="AN381" i="19" s="1"/>
  <c r="BA381" i="19" s="1"/>
  <c r="BN381" i="19" s="1"/>
  <c r="CA381" i="19" s="1"/>
  <c r="CN381" i="19" s="1"/>
  <c r="DA381" i="19" s="1"/>
  <c r="DN381" i="19" s="1"/>
  <c r="EA381" i="19" s="1"/>
  <c r="EN381" i="19" s="1"/>
  <c r="N385" i="19"/>
  <c r="AA385" i="19" s="1"/>
  <c r="AN385" i="19" s="1"/>
  <c r="BA385" i="19" s="1"/>
  <c r="BN385" i="19" s="1"/>
  <c r="CA385" i="19" s="1"/>
  <c r="CN385" i="19" s="1"/>
  <c r="DA385" i="19" s="1"/>
  <c r="DN385" i="19" s="1"/>
  <c r="EA385" i="19" s="1"/>
  <c r="EN385" i="19" s="1"/>
  <c r="N382" i="19"/>
  <c r="AA382" i="19" s="1"/>
  <c r="AN382" i="19" s="1"/>
  <c r="BA382" i="19" s="1"/>
  <c r="BN382" i="19" s="1"/>
  <c r="CA382" i="19" s="1"/>
  <c r="CN382" i="19" s="1"/>
  <c r="DA382" i="19" s="1"/>
  <c r="DN382" i="19" s="1"/>
  <c r="EA382" i="19" s="1"/>
  <c r="EN382" i="19" s="1"/>
  <c r="N383" i="19"/>
  <c r="AA383" i="19" s="1"/>
  <c r="AN383" i="19" s="1"/>
  <c r="BA383" i="19" s="1"/>
  <c r="BN383" i="19" s="1"/>
  <c r="CA383" i="19" s="1"/>
  <c r="CN383" i="19" s="1"/>
  <c r="DA383" i="19" s="1"/>
  <c r="DN383" i="19" s="1"/>
  <c r="EA383" i="19" s="1"/>
  <c r="EN383" i="19" s="1"/>
  <c r="N380" i="19"/>
  <c r="AA380" i="19" s="1"/>
  <c r="AN380" i="19" s="1"/>
  <c r="BA380" i="19" s="1"/>
  <c r="BN380" i="19" s="1"/>
  <c r="CA380" i="19" s="1"/>
  <c r="CN380" i="19" s="1"/>
  <c r="DA380" i="19" s="1"/>
  <c r="DN380" i="19" s="1"/>
  <c r="EA380" i="19" s="1"/>
  <c r="EN380" i="19" s="1"/>
  <c r="N375" i="19"/>
  <c r="AA375" i="19" s="1"/>
  <c r="AN375" i="19" s="1"/>
  <c r="BA375" i="19" s="1"/>
  <c r="BN375" i="19" s="1"/>
  <c r="CA375" i="19" s="1"/>
  <c r="CN375" i="19" s="1"/>
  <c r="DA375" i="19" s="1"/>
  <c r="DN375" i="19" s="1"/>
  <c r="EA375" i="19" s="1"/>
  <c r="EN375" i="19" s="1"/>
  <c r="N378" i="19"/>
  <c r="AA378" i="19" s="1"/>
  <c r="AN378" i="19" s="1"/>
  <c r="BA378" i="19" s="1"/>
  <c r="BN378" i="19" s="1"/>
  <c r="CA378" i="19" s="1"/>
  <c r="CN378" i="19" s="1"/>
  <c r="DA378" i="19" s="1"/>
  <c r="DN378" i="19" s="1"/>
  <c r="EA378" i="19" s="1"/>
  <c r="EN378" i="19" s="1"/>
  <c r="N372" i="19"/>
  <c r="AA372" i="19" s="1"/>
  <c r="AN372" i="19" s="1"/>
  <c r="BA372" i="19" s="1"/>
  <c r="BN372" i="19" s="1"/>
  <c r="CA372" i="19" s="1"/>
  <c r="CN372" i="19" s="1"/>
  <c r="DA372" i="19" s="1"/>
  <c r="DN372" i="19" s="1"/>
  <c r="EA372" i="19" s="1"/>
  <c r="EN372" i="19" s="1"/>
  <c r="N390" i="19"/>
  <c r="AA390" i="19" s="1"/>
  <c r="AN390" i="19" s="1"/>
  <c r="BA390" i="19" s="1"/>
  <c r="BN390" i="19" s="1"/>
  <c r="CA390" i="19" s="1"/>
  <c r="CN390" i="19" s="1"/>
  <c r="DA390" i="19" s="1"/>
  <c r="DN390" i="19" s="1"/>
  <c r="EA390" i="19" s="1"/>
  <c r="EN390" i="19" s="1"/>
  <c r="N384" i="19"/>
  <c r="AA384" i="19" s="1"/>
  <c r="AN384" i="19" s="1"/>
  <c r="BA384" i="19" s="1"/>
  <c r="BN384" i="19" s="1"/>
  <c r="CA384" i="19" s="1"/>
  <c r="CN384" i="19" s="1"/>
  <c r="DA384" i="19" s="1"/>
  <c r="DN384" i="19" s="1"/>
  <c r="EA384" i="19" s="1"/>
  <c r="EN384" i="19" s="1"/>
  <c r="N357" i="19"/>
  <c r="N341" i="19"/>
  <c r="N359" i="19"/>
  <c r="N336" i="19"/>
  <c r="N354" i="19"/>
  <c r="N349" i="19"/>
  <c r="N350" i="19"/>
  <c r="N337" i="19"/>
  <c r="N351" i="19"/>
  <c r="N353" i="19"/>
  <c r="N348" i="19"/>
  <c r="N355" i="19"/>
  <c r="N343" i="19"/>
  <c r="N344" i="19"/>
  <c r="N338" i="19"/>
  <c r="N345" i="19"/>
  <c r="N347" i="19"/>
  <c r="N342" i="19"/>
  <c r="N356" i="19"/>
  <c r="N339" i="19"/>
  <c r="N346" i="19"/>
  <c r="N340" i="19"/>
  <c r="N358" i="19"/>
  <c r="N352" i="19"/>
  <c r="BQ371" i="19"/>
  <c r="D374" i="19"/>
  <c r="Q378" i="19"/>
  <c r="D377" i="19"/>
  <c r="Q369" i="19"/>
  <c r="Q373" i="19"/>
  <c r="D368" i="19"/>
  <c r="D379" i="19"/>
  <c r="D346" i="19"/>
  <c r="D383" i="19"/>
  <c r="Q379" i="19"/>
  <c r="Q391" i="19"/>
  <c r="Q350" i="19"/>
  <c r="D353" i="19"/>
  <c r="Q337" i="19"/>
  <c r="D390" i="19"/>
  <c r="Q370" i="19"/>
  <c r="D336" i="19"/>
  <c r="EQ391" i="19"/>
  <c r="D389" i="19"/>
  <c r="D356" i="19"/>
  <c r="D380" i="19"/>
  <c r="Q348" i="19"/>
  <c r="Q384" i="19"/>
  <c r="D355" i="19"/>
  <c r="D359" i="19"/>
  <c r="BQ358" i="19"/>
  <c r="D46" i="15"/>
  <c r="D53" i="15" s="1"/>
  <c r="D338" i="19"/>
  <c r="D342" i="19"/>
  <c r="BQ336" i="19"/>
  <c r="B10" i="16"/>
  <c r="Q386" i="19"/>
  <c r="ED345" i="19"/>
  <c r="D385" i="19"/>
  <c r="BQ344" i="19"/>
  <c r="EQ337" i="19"/>
  <c r="BQ352" i="19"/>
  <c r="Q381" i="19"/>
  <c r="AQ349" i="19"/>
  <c r="D376" i="19"/>
  <c r="AD346" i="19"/>
  <c r="D370" i="19"/>
  <c r="Q368" i="19"/>
  <c r="ED356" i="19"/>
  <c r="D378" i="19"/>
  <c r="D375" i="19"/>
  <c r="DQ339" i="19"/>
  <c r="D373" i="19"/>
  <c r="D391" i="19"/>
  <c r="ED358" i="19"/>
  <c r="D381" i="19"/>
  <c r="Q387" i="19"/>
  <c r="Q352" i="19"/>
  <c r="CQ342" i="19"/>
  <c r="DQ347" i="19"/>
  <c r="CQ341" i="19"/>
  <c r="BD346" i="19"/>
  <c r="ED336" i="19"/>
  <c r="ED337" i="19"/>
  <c r="AQ343" i="19"/>
  <c r="D386" i="19"/>
  <c r="D384" i="19"/>
  <c r="ED353" i="19"/>
  <c r="DQ341" i="19"/>
  <c r="Q376" i="19"/>
  <c r="DD349" i="19"/>
  <c r="D369" i="19"/>
  <c r="Q388" i="19"/>
  <c r="DD345" i="19"/>
  <c r="D371" i="19"/>
  <c r="DQ357" i="19"/>
  <c r="AQ337" i="19"/>
  <c r="Q377" i="19"/>
  <c r="Q375" i="19"/>
  <c r="AD345" i="19"/>
  <c r="D382" i="19"/>
  <c r="Q385" i="19"/>
  <c r="Q383" i="19"/>
  <c r="AQ344" i="19"/>
  <c r="BQ356" i="19"/>
  <c r="Q390" i="19"/>
  <c r="D388" i="19"/>
  <c r="BD349" i="19"/>
  <c r="DQ338" i="19"/>
  <c r="Q372" i="19"/>
  <c r="BD339" i="19"/>
  <c r="CD340" i="19"/>
  <c r="B14" i="16"/>
  <c r="Q374" i="19"/>
  <c r="Q389" i="19"/>
  <c r="D387" i="19"/>
  <c r="D341" i="19"/>
  <c r="CD339" i="19"/>
  <c r="CQ344" i="19"/>
  <c r="ED338" i="19"/>
  <c r="Q382" i="19"/>
  <c r="D372" i="19"/>
  <c r="Q371" i="19"/>
  <c r="D357" i="19"/>
  <c r="DD350" i="19"/>
  <c r="EQ358" i="19"/>
  <c r="CD337" i="19"/>
  <c r="EQ338" i="19"/>
  <c r="DD356" i="19"/>
  <c r="B17" i="16"/>
  <c r="AD339" i="19"/>
  <c r="Q380" i="19"/>
  <c r="M478" i="19"/>
  <c r="Z478" i="19" s="1"/>
  <c r="AM478" i="19" s="1"/>
  <c r="AZ478" i="19" s="1"/>
  <c r="BM478" i="19" s="1"/>
  <c r="BZ478" i="19" s="1"/>
  <c r="CM478" i="19" s="1"/>
  <c r="CZ478" i="19" s="1"/>
  <c r="DM478" i="19" s="1"/>
  <c r="DZ478" i="19" s="1"/>
  <c r="EM478" i="19" s="1"/>
  <c r="BQ354" i="19"/>
  <c r="DQ356" i="19"/>
  <c r="CQ353" i="19"/>
  <c r="BD341" i="19"/>
  <c r="BD351" i="19"/>
  <c r="AQ389" i="19"/>
  <c r="ED385" i="19"/>
  <c r="B13" i="16"/>
  <c r="CD368" i="19"/>
  <c r="B12" i="16"/>
  <c r="Q354" i="19"/>
  <c r="D344" i="19"/>
  <c r="Q339" i="19"/>
  <c r="AD341" i="19"/>
  <c r="CQ339" i="19"/>
  <c r="CD336" i="19"/>
  <c r="EQ340" i="19"/>
  <c r="DD336" i="19"/>
  <c r="DQ344" i="19"/>
  <c r="ED352" i="19"/>
  <c r="DQ345" i="19"/>
  <c r="BQ340" i="19"/>
  <c r="AD342" i="19"/>
  <c r="DD340" i="19"/>
  <c r="D348" i="19"/>
  <c r="AD338" i="19"/>
  <c r="BD338" i="19"/>
  <c r="BQ346" i="19"/>
  <c r="CD354" i="19"/>
  <c r="EQ341" i="19"/>
  <c r="BD345" i="19"/>
  <c r="BD342" i="19"/>
  <c r="Q358" i="19"/>
  <c r="Q343" i="19"/>
  <c r="DD342" i="19"/>
  <c r="AQ341" i="19"/>
  <c r="CQ336" i="19"/>
  <c r="EQ356" i="19"/>
  <c r="D337" i="19"/>
  <c r="D352" i="19"/>
  <c r="Q347" i="19"/>
  <c r="BD344" i="19"/>
  <c r="DQ342" i="19"/>
  <c r="DD339" i="19"/>
  <c r="AQ338" i="19"/>
  <c r="ED339" i="19"/>
  <c r="EQ347" i="19"/>
  <c r="AD356" i="19"/>
  <c r="AD337" i="19"/>
  <c r="CQ343" i="19"/>
  <c r="CD356" i="19"/>
  <c r="ED343" i="19"/>
  <c r="CQ349" i="19"/>
  <c r="AQ345" i="19"/>
  <c r="B16" i="16"/>
  <c r="Q336" i="19"/>
  <c r="Q355" i="19"/>
  <c r="CD347" i="19"/>
  <c r="EQ345" i="19"/>
  <c r="ED342" i="19"/>
  <c r="BQ341" i="19"/>
  <c r="AD343" i="19"/>
  <c r="AQ351" i="19"/>
  <c r="CQ338" i="19"/>
  <c r="BD340" i="19"/>
  <c r="BQ348" i="19"/>
  <c r="DD359" i="19"/>
  <c r="BD350" i="19"/>
  <c r="CD341" i="19"/>
  <c r="BD359" i="19"/>
  <c r="DD338" i="19"/>
  <c r="AD358" i="19"/>
  <c r="AD347" i="19"/>
  <c r="D345" i="19"/>
  <c r="D349" i="19"/>
  <c r="Q340" i="19"/>
  <c r="Q359" i="19"/>
  <c r="AD349" i="19"/>
  <c r="CQ347" i="19"/>
  <c r="CD344" i="19"/>
  <c r="EQ342" i="19"/>
  <c r="DD344" i="19"/>
  <c r="DQ352" i="19"/>
  <c r="AQ340" i="19"/>
  <c r="ED341" i="19"/>
  <c r="AQ353" i="19"/>
  <c r="BQ337" i="19"/>
  <c r="CD353" i="19"/>
  <c r="BD352" i="19"/>
  <c r="DQ350" i="19"/>
  <c r="DD347" i="19"/>
  <c r="AQ346" i="19"/>
  <c r="ED347" i="19"/>
  <c r="CQ357" i="19"/>
  <c r="BQ343" i="19"/>
  <c r="BD348" i="19"/>
  <c r="CQ359" i="19"/>
  <c r="CQ340" i="19"/>
  <c r="ED359" i="19"/>
  <c r="CD349" i="19"/>
  <c r="CQ346" i="19"/>
  <c r="ED349" i="19"/>
  <c r="ED340" i="19"/>
  <c r="AQ342" i="19"/>
  <c r="BQ339" i="19"/>
  <c r="D350" i="19"/>
  <c r="Q341" i="19"/>
  <c r="Q356" i="19"/>
  <c r="CD355" i="19"/>
  <c r="EQ353" i="19"/>
  <c r="ED350" i="19"/>
  <c r="BQ349" i="19"/>
  <c r="AD351" i="19"/>
  <c r="CD338" i="19"/>
  <c r="DQ349" i="19"/>
  <c r="CD351" i="19"/>
  <c r="AD352" i="19"/>
  <c r="DQ343" i="19"/>
  <c r="CQ350" i="19"/>
  <c r="D354" i="19"/>
  <c r="Q345" i="19"/>
  <c r="D339" i="19"/>
  <c r="AD336" i="19"/>
  <c r="AD357" i="19"/>
  <c r="CQ355" i="19"/>
  <c r="CD352" i="19"/>
  <c r="EQ350" i="19"/>
  <c r="DD352" i="19"/>
  <c r="DD341" i="19"/>
  <c r="BQ351" i="19"/>
  <c r="AD353" i="19"/>
  <c r="DQ337" i="19"/>
  <c r="BQ345" i="19"/>
  <c r="EQ343" i="19"/>
  <c r="Q349" i="19"/>
  <c r="DD358" i="19"/>
  <c r="CQ352" i="19"/>
  <c r="EQ352" i="19"/>
  <c r="EQ348" i="19"/>
  <c r="AQ347" i="19"/>
  <c r="D358" i="19"/>
  <c r="D343" i="19"/>
  <c r="ED348" i="19"/>
  <c r="AQ357" i="19"/>
  <c r="AD354" i="19"/>
  <c r="ED355" i="19"/>
  <c r="ED344" i="19"/>
  <c r="BD356" i="19"/>
  <c r="EQ346" i="19"/>
  <c r="Q338" i="19"/>
  <c r="Q353" i="19"/>
  <c r="D347" i="19"/>
  <c r="CD358" i="19"/>
  <c r="CD342" i="19"/>
  <c r="DQ358" i="19"/>
  <c r="DD355" i="19"/>
  <c r="AQ354" i="19"/>
  <c r="DQ336" i="19"/>
  <c r="CD346" i="19"/>
  <c r="CQ354" i="19"/>
  <c r="CD359" i="19"/>
  <c r="DQ353" i="19"/>
  <c r="CQ348" i="19"/>
  <c r="BQ350" i="19"/>
  <c r="Q342" i="19"/>
  <c r="Q357" i="19"/>
  <c r="D351" i="19"/>
  <c r="BD336" i="19"/>
  <c r="BQ355" i="19"/>
  <c r="BD347" i="19"/>
  <c r="BD357" i="19"/>
  <c r="DQ355" i="19"/>
  <c r="EQ339" i="19"/>
  <c r="AD348" i="19"/>
  <c r="AQ356" i="19"/>
  <c r="BD355" i="19"/>
  <c r="BD337" i="19"/>
  <c r="EQ354" i="19"/>
  <c r="EQ351" i="19"/>
  <c r="AD386" i="19"/>
  <c r="AQ336" i="19"/>
  <c r="BQ357" i="19"/>
  <c r="AD359" i="19"/>
  <c r="AD340" i="19"/>
  <c r="EQ344" i="19"/>
  <c r="CD343" i="19"/>
  <c r="DQ346" i="19"/>
  <c r="DD343" i="19"/>
  <c r="DQ351" i="19"/>
  <c r="BQ347" i="19"/>
  <c r="DD384" i="19"/>
  <c r="CQ373" i="19"/>
  <c r="AQ352" i="19"/>
  <c r="DD337" i="19"/>
  <c r="BQ338" i="19"/>
  <c r="BD343" i="19"/>
  <c r="AQ348" i="19"/>
  <c r="DD346" i="19"/>
  <c r="EQ349" i="19"/>
  <c r="ED346" i="19"/>
  <c r="AQ358" i="19"/>
  <c r="CQ337" i="19"/>
  <c r="CD386" i="19"/>
  <c r="CQ351" i="19"/>
  <c r="AD350" i="19"/>
  <c r="DQ359" i="19"/>
  <c r="DQ340" i="19"/>
  <c r="CQ386" i="19"/>
  <c r="BD353" i="19"/>
  <c r="CD350" i="19"/>
  <c r="BQ342" i="19"/>
  <c r="BQ375" i="19"/>
  <c r="BD354" i="19"/>
  <c r="EQ355" i="19"/>
  <c r="DD357" i="19"/>
  <c r="BQ359" i="19"/>
  <c r="DD354" i="19"/>
  <c r="DQ354" i="19"/>
  <c r="CD348" i="19"/>
  <c r="AQ350" i="19"/>
  <c r="AD355" i="19"/>
  <c r="AQ355" i="19"/>
  <c r="CD383" i="19"/>
  <c r="ED389" i="19"/>
  <c r="CD357" i="19"/>
  <c r="AQ359" i="19"/>
  <c r="EQ336" i="19"/>
  <c r="DD353" i="19"/>
  <c r="ED357" i="19"/>
  <c r="EQ357" i="19"/>
  <c r="DD351" i="19"/>
  <c r="BQ353" i="19"/>
  <c r="BD358" i="19"/>
  <c r="CD374" i="19"/>
  <c r="ED372" i="19"/>
  <c r="AQ368" i="19"/>
  <c r="BD385" i="19"/>
  <c r="ED354" i="19"/>
  <c r="CQ356" i="19"/>
  <c r="AD344" i="19"/>
  <c r="ED369" i="19"/>
  <c r="CD371" i="19"/>
  <c r="BD376" i="19"/>
  <c r="AQ377" i="19"/>
  <c r="AQ373" i="19"/>
  <c r="AQ376" i="19"/>
  <c r="DD348" i="19"/>
  <c r="CQ345" i="19"/>
  <c r="BD387" i="19"/>
  <c r="BQ385" i="19"/>
  <c r="BQ382" i="19"/>
  <c r="ED351" i="19"/>
  <c r="DQ348" i="19"/>
  <c r="DD371" i="19"/>
  <c r="CD376" i="19"/>
  <c r="ED378" i="19"/>
  <c r="EQ359" i="19"/>
  <c r="DQ371" i="19"/>
  <c r="BQ369" i="19"/>
  <c r="CQ358" i="19"/>
  <c r="DD385" i="19"/>
  <c r="BD378" i="19"/>
  <c r="CD377" i="19"/>
  <c r="CD345" i="19"/>
  <c r="AQ339" i="19"/>
  <c r="BD368" i="19"/>
  <c r="ED387" i="19"/>
  <c r="DD390" i="19"/>
  <c r="AD391" i="19"/>
  <c r="EQ378" i="19"/>
  <c r="EQ385" i="19"/>
  <c r="CD370" i="19"/>
  <c r="CQ388" i="19"/>
  <c r="AD376" i="19"/>
  <c r="AQ372" i="19"/>
  <c r="DD388" i="19"/>
  <c r="CQ374" i="19"/>
  <c r="EQ376" i="19"/>
  <c r="DD382" i="19"/>
  <c r="ED390" i="19"/>
  <c r="AQ380" i="19"/>
  <c r="AD371" i="19"/>
  <c r="CD387" i="19"/>
  <c r="BQ389" i="19"/>
  <c r="BD372" i="19"/>
  <c r="DD380" i="19"/>
  <c r="EQ369" i="19"/>
  <c r="ED371" i="19"/>
  <c r="DD386" i="19"/>
  <c r="EQ372" i="19"/>
  <c r="AQ381" i="19"/>
  <c r="AD383" i="19"/>
  <c r="CD391" i="19"/>
  <c r="AD389" i="19"/>
  <c r="ED382" i="19"/>
  <c r="BQ386" i="19"/>
  <c r="AQ369" i="19"/>
  <c r="CD385" i="19"/>
  <c r="BQ368" i="19"/>
  <c r="DD387" i="19"/>
  <c r="DD381" i="19"/>
  <c r="BQ388" i="19"/>
  <c r="ED391" i="19"/>
  <c r="CQ371" i="19"/>
  <c r="CD382" i="19"/>
  <c r="EQ368" i="19"/>
  <c r="CD390" i="19"/>
  <c r="CQ390" i="19"/>
  <c r="BD379" i="19"/>
  <c r="DQ374" i="19"/>
  <c r="CQ384" i="19"/>
  <c r="DQ373" i="19"/>
  <c r="ED370" i="19"/>
  <c r="EQ377" i="19"/>
  <c r="BD389" i="19"/>
  <c r="BQ370" i="19"/>
  <c r="BQ391" i="19"/>
  <c r="DD375" i="19"/>
  <c r="AD368" i="19"/>
  <c r="AD373" i="19"/>
  <c r="BQ384" i="19"/>
  <c r="DD369" i="19"/>
  <c r="DQ376" i="19"/>
  <c r="ED381" i="19"/>
  <c r="AD382" i="19"/>
  <c r="AQ384" i="19"/>
  <c r="CD379" i="19"/>
  <c r="CQ387" i="19"/>
  <c r="CQ368" i="19"/>
  <c r="AQ391" i="19"/>
  <c r="AD385" i="19"/>
  <c r="CD388" i="19"/>
  <c r="DQ372" i="19"/>
  <c r="BD384" i="19"/>
  <c r="DQ390" i="19"/>
  <c r="EQ374" i="19"/>
  <c r="BD375" i="19"/>
  <c r="BD388" i="19"/>
  <c r="CQ372" i="19"/>
  <c r="AD370" i="19"/>
  <c r="BQ381" i="19"/>
  <c r="AQ383" i="19"/>
  <c r="BQ383" i="19"/>
  <c r="AQ385" i="19"/>
  <c r="DQ375" i="19"/>
  <c r="BQ387" i="19"/>
  <c r="DD374" i="19"/>
  <c r="BQ376" i="19"/>
  <c r="BD373" i="19"/>
  <c r="DQ387" i="19"/>
  <c r="CQ389" i="19"/>
  <c r="AQ388" i="19"/>
  <c r="CQ391" i="19"/>
  <c r="AQ382" i="19"/>
  <c r="CQ369" i="19"/>
  <c r="ED377" i="19"/>
  <c r="CQ379" i="19"/>
  <c r="DD379" i="19"/>
  <c r="EQ390" i="19"/>
  <c r="ED368" i="19"/>
  <c r="ED388" i="19"/>
  <c r="ED380" i="19"/>
  <c r="EQ386" i="19"/>
  <c r="EQ375" i="19"/>
  <c r="AD381" i="19"/>
  <c r="DQ382" i="19"/>
  <c r="CD384" i="19"/>
  <c r="DD368" i="19"/>
  <c r="AD372" i="19"/>
  <c r="DD378" i="19"/>
  <c r="DQ369" i="19"/>
  <c r="AQ390" i="19"/>
  <c r="BD386" i="19"/>
  <c r="DD373" i="19"/>
  <c r="DQ389" i="19"/>
  <c r="BQ372" i="19"/>
  <c r="CD380" i="19"/>
  <c r="DQ391" i="19"/>
  <c r="AQ371" i="19"/>
  <c r="ED374" i="19"/>
  <c r="AQ378" i="19"/>
  <c r="CD389" i="19"/>
  <c r="CD378" i="19"/>
  <c r="BD371" i="19"/>
  <c r="CQ383" i="19"/>
  <c r="DD383" i="19"/>
  <c r="BD374" i="19"/>
  <c r="BQ374" i="19"/>
  <c r="AD378" i="19"/>
  <c r="EQ382" i="19"/>
  <c r="DQ368" i="19"/>
  <c r="ED384" i="19"/>
  <c r="AD369" i="19"/>
  <c r="DQ386" i="19"/>
  <c r="ED386" i="19"/>
  <c r="AD379" i="19"/>
  <c r="AQ379" i="19"/>
  <c r="BD381" i="19"/>
  <c r="AQ386" i="19"/>
  <c r="EQ371" i="19"/>
  <c r="DD389" i="19"/>
  <c r="CD375" i="19"/>
  <c r="EQ389" i="19"/>
  <c r="AD390" i="19"/>
  <c r="BD382" i="19"/>
  <c r="BQ379" i="19"/>
  <c r="BD370" i="19"/>
  <c r="EQ379" i="19"/>
  <c r="AD388" i="19"/>
  <c r="DD377" i="19"/>
  <c r="DQ370" i="19"/>
  <c r="EQ388" i="19"/>
  <c r="BQ377" i="19"/>
  <c r="ED383" i="19"/>
  <c r="CQ377" i="19"/>
  <c r="AQ370" i="19"/>
  <c r="AD375" i="19"/>
  <c r="DQ384" i="19"/>
  <c r="BD391" i="19"/>
  <c r="EQ380" i="19"/>
  <c r="EQ373" i="19"/>
  <c r="AD374" i="19"/>
  <c r="CQ380" i="19"/>
  <c r="AD387" i="19"/>
  <c r="DQ380" i="19"/>
  <c r="BQ373" i="19"/>
  <c r="CD381" i="19"/>
  <c r="EQ387" i="19"/>
  <c r="CQ370" i="19"/>
  <c r="DD370" i="19"/>
  <c r="BQ380" i="19"/>
  <c r="BD377" i="19"/>
  <c r="DQ383" i="19"/>
  <c r="BD390" i="19"/>
  <c r="CQ385" i="19"/>
  <c r="DQ388" i="19"/>
  <c r="CD373" i="19"/>
  <c r="AQ375" i="19"/>
  <c r="ED376" i="19"/>
  <c r="CQ378" i="19"/>
  <c r="ED373" i="19"/>
  <c r="CQ375" i="19"/>
  <c r="CQ382" i="19"/>
  <c r="DD391" i="19"/>
  <c r="CD369" i="19"/>
  <c r="AD384" i="19"/>
  <c r="EQ383" i="19"/>
  <c r="CQ376" i="19"/>
  <c r="DD376" i="19"/>
  <c r="BQ378" i="19"/>
  <c r="AD380" i="19"/>
  <c r="DQ381" i="19"/>
  <c r="AD377" i="19"/>
  <c r="DQ378" i="19"/>
  <c r="BD369" i="19"/>
  <c r="EQ370" i="19"/>
  <c r="DD372" i="19"/>
  <c r="DQ377" i="19"/>
  <c r="AQ387" i="19"/>
  <c r="DQ379" i="19"/>
  <c r="ED379" i="19"/>
  <c r="CQ381" i="19"/>
  <c r="BD383" i="19"/>
  <c r="EQ384" i="19"/>
  <c r="BD380" i="19"/>
  <c r="EQ381" i="19"/>
  <c r="CD372" i="19"/>
  <c r="AQ374" i="19"/>
  <c r="ED375" i="19"/>
  <c r="DQ385" i="19"/>
  <c r="BQ390" i="19"/>
  <c r="C33" i="8"/>
  <c r="J227" i="19" l="1"/>
  <c r="K226" i="19"/>
  <c r="BA415" i="19"/>
  <c r="BA403" i="19"/>
  <c r="BA422" i="19"/>
  <c r="BA410" i="19"/>
  <c r="BA414" i="19"/>
  <c r="BA409" i="19"/>
  <c r="BA421" i="19"/>
  <c r="BA402" i="19"/>
  <c r="BA408" i="19"/>
  <c r="BA416" i="19"/>
  <c r="BA404" i="19"/>
  <c r="BA420" i="19"/>
  <c r="J141" i="19"/>
  <c r="K140" i="19"/>
  <c r="J313" i="19"/>
  <c r="K312" i="19"/>
  <c r="J207" i="19"/>
  <c r="K206" i="19"/>
  <c r="J123" i="19"/>
  <c r="K122" i="19"/>
  <c r="K293" i="19"/>
  <c r="J294" i="19"/>
  <c r="K189" i="19"/>
  <c r="J190" i="19"/>
  <c r="K101" i="19"/>
  <c r="J102" i="19"/>
  <c r="K274" i="19"/>
  <c r="J275" i="19"/>
  <c r="K255" i="19"/>
  <c r="J256" i="19"/>
  <c r="K81" i="19"/>
  <c r="J82" i="19"/>
  <c r="K168" i="19"/>
  <c r="J169" i="19"/>
  <c r="AA336" i="19"/>
  <c r="BA336" i="19" s="1"/>
  <c r="BN336" i="19" s="1"/>
  <c r="CA336" i="19" s="1"/>
  <c r="CN336" i="19" s="1"/>
  <c r="DA336" i="19" s="1"/>
  <c r="DN336" i="19" s="1"/>
  <c r="EA336" i="19" s="1"/>
  <c r="EN336" i="19" s="1"/>
  <c r="AN336" i="19"/>
  <c r="AN356" i="19"/>
  <c r="AA356" i="19"/>
  <c r="BA356" i="19" s="1"/>
  <c r="BN356" i="19" s="1"/>
  <c r="CA356" i="19" s="1"/>
  <c r="CN356" i="19" s="1"/>
  <c r="DA356" i="19" s="1"/>
  <c r="DN356" i="19" s="1"/>
  <c r="EA356" i="19" s="1"/>
  <c r="EN356" i="19" s="1"/>
  <c r="AN359" i="19"/>
  <c r="AA359" i="19"/>
  <c r="BA359" i="19" s="1"/>
  <c r="BN359" i="19" s="1"/>
  <c r="CA359" i="19" s="1"/>
  <c r="CN359" i="19" s="1"/>
  <c r="DA359" i="19" s="1"/>
  <c r="DN359" i="19" s="1"/>
  <c r="EA359" i="19" s="1"/>
  <c r="EN359" i="19" s="1"/>
  <c r="AN342" i="19"/>
  <c r="AA342" i="19"/>
  <c r="BA342" i="19" s="1"/>
  <c r="BN342" i="19" s="1"/>
  <c r="CA342" i="19" s="1"/>
  <c r="CN342" i="19" s="1"/>
  <c r="DA342" i="19" s="1"/>
  <c r="DN342" i="19" s="1"/>
  <c r="EA342" i="19" s="1"/>
  <c r="EN342" i="19" s="1"/>
  <c r="AN341" i="19"/>
  <c r="AA341" i="19"/>
  <c r="BA341" i="19" s="1"/>
  <c r="BN341" i="19" s="1"/>
  <c r="CA341" i="19" s="1"/>
  <c r="CN341" i="19" s="1"/>
  <c r="DA341" i="19" s="1"/>
  <c r="DN341" i="19" s="1"/>
  <c r="EA341" i="19" s="1"/>
  <c r="EN341" i="19" s="1"/>
  <c r="AA347" i="19"/>
  <c r="BA347" i="19" s="1"/>
  <c r="BN347" i="19" s="1"/>
  <c r="CA347" i="19" s="1"/>
  <c r="CN347" i="19" s="1"/>
  <c r="DA347" i="19" s="1"/>
  <c r="DN347" i="19" s="1"/>
  <c r="EA347" i="19" s="1"/>
  <c r="EN347" i="19" s="1"/>
  <c r="AN347" i="19"/>
  <c r="AN357" i="19"/>
  <c r="AA357" i="19"/>
  <c r="BA357" i="19" s="1"/>
  <c r="BN357" i="19" s="1"/>
  <c r="CA357" i="19" s="1"/>
  <c r="CN357" i="19" s="1"/>
  <c r="DA357" i="19" s="1"/>
  <c r="DN357" i="19" s="1"/>
  <c r="EA357" i="19" s="1"/>
  <c r="EN357" i="19" s="1"/>
  <c r="AN345" i="19"/>
  <c r="AA345" i="19"/>
  <c r="BA345" i="19" s="1"/>
  <c r="BN345" i="19" s="1"/>
  <c r="CA345" i="19" s="1"/>
  <c r="CN345" i="19" s="1"/>
  <c r="DA345" i="19" s="1"/>
  <c r="DN345" i="19" s="1"/>
  <c r="EA345" i="19" s="1"/>
  <c r="EN345" i="19" s="1"/>
  <c r="AN338" i="19"/>
  <c r="AA338" i="19"/>
  <c r="BA338" i="19" s="1"/>
  <c r="BN338" i="19" s="1"/>
  <c r="CA338" i="19" s="1"/>
  <c r="CN338" i="19" s="1"/>
  <c r="DA338" i="19" s="1"/>
  <c r="DN338" i="19" s="1"/>
  <c r="EA338" i="19" s="1"/>
  <c r="EN338" i="19" s="1"/>
  <c r="AA339" i="19"/>
  <c r="BA339" i="19" s="1"/>
  <c r="BN339" i="19" s="1"/>
  <c r="CA339" i="19" s="1"/>
  <c r="CN339" i="19" s="1"/>
  <c r="DA339" i="19" s="1"/>
  <c r="DN339" i="19" s="1"/>
  <c r="EA339" i="19" s="1"/>
  <c r="EN339" i="19" s="1"/>
  <c r="AN339" i="19"/>
  <c r="AN344" i="19"/>
  <c r="AA344" i="19"/>
  <c r="BA344" i="19" s="1"/>
  <c r="BN344" i="19" s="1"/>
  <c r="CA344" i="19" s="1"/>
  <c r="CN344" i="19" s="1"/>
  <c r="DA344" i="19" s="1"/>
  <c r="DN344" i="19" s="1"/>
  <c r="EA344" i="19" s="1"/>
  <c r="EN344" i="19" s="1"/>
  <c r="AN343" i="19"/>
  <c r="AA343" i="19"/>
  <c r="BA343" i="19" s="1"/>
  <c r="BN343" i="19" s="1"/>
  <c r="CA343" i="19" s="1"/>
  <c r="CN343" i="19" s="1"/>
  <c r="DA343" i="19" s="1"/>
  <c r="DN343" i="19" s="1"/>
  <c r="EA343" i="19" s="1"/>
  <c r="EN343" i="19" s="1"/>
  <c r="AN355" i="19"/>
  <c r="AA355" i="19"/>
  <c r="BA355" i="19" s="1"/>
  <c r="BN355" i="19" s="1"/>
  <c r="CA355" i="19" s="1"/>
  <c r="CN355" i="19" s="1"/>
  <c r="DA355" i="19" s="1"/>
  <c r="DN355" i="19" s="1"/>
  <c r="EA355" i="19" s="1"/>
  <c r="EN355" i="19" s="1"/>
  <c r="AA348" i="19"/>
  <c r="BA348" i="19" s="1"/>
  <c r="BN348" i="19" s="1"/>
  <c r="CA348" i="19" s="1"/>
  <c r="CN348" i="19" s="1"/>
  <c r="DA348" i="19" s="1"/>
  <c r="DN348" i="19" s="1"/>
  <c r="EA348" i="19" s="1"/>
  <c r="EN348" i="19" s="1"/>
  <c r="AN348" i="19"/>
  <c r="AA353" i="19"/>
  <c r="BA353" i="19" s="1"/>
  <c r="BN353" i="19" s="1"/>
  <c r="CA353" i="19" s="1"/>
  <c r="CN353" i="19" s="1"/>
  <c r="DA353" i="19" s="1"/>
  <c r="DN353" i="19" s="1"/>
  <c r="EA353" i="19" s="1"/>
  <c r="EN353" i="19" s="1"/>
  <c r="AN353" i="19"/>
  <c r="AN351" i="19"/>
  <c r="AA351" i="19"/>
  <c r="AN354" i="19"/>
  <c r="AA354" i="19"/>
  <c r="BA354" i="19" s="1"/>
  <c r="BN354" i="19" s="1"/>
  <c r="CA354" i="19" s="1"/>
  <c r="CN354" i="19" s="1"/>
  <c r="DA354" i="19" s="1"/>
  <c r="DN354" i="19" s="1"/>
  <c r="EA354" i="19" s="1"/>
  <c r="EN354" i="19" s="1"/>
  <c r="AN352" i="19"/>
  <c r="AA352" i="19"/>
  <c r="BA352" i="19" s="1"/>
  <c r="BN352" i="19" s="1"/>
  <c r="CA352" i="19" s="1"/>
  <c r="CN352" i="19" s="1"/>
  <c r="DA352" i="19" s="1"/>
  <c r="DN352" i="19" s="1"/>
  <c r="EA352" i="19" s="1"/>
  <c r="EN352" i="19" s="1"/>
  <c r="AA337" i="19"/>
  <c r="BA337" i="19" s="1"/>
  <c r="BN337" i="19" s="1"/>
  <c r="CA337" i="19" s="1"/>
  <c r="CN337" i="19" s="1"/>
  <c r="DA337" i="19" s="1"/>
  <c r="DN337" i="19" s="1"/>
  <c r="EA337" i="19" s="1"/>
  <c r="EN337" i="19" s="1"/>
  <c r="AN337" i="19"/>
  <c r="AA346" i="19"/>
  <c r="AN346" i="19"/>
  <c r="AN358" i="19"/>
  <c r="AA358" i="19"/>
  <c r="BA358" i="19" s="1"/>
  <c r="BN358" i="19" s="1"/>
  <c r="CA358" i="19" s="1"/>
  <c r="CN358" i="19" s="1"/>
  <c r="DA358" i="19" s="1"/>
  <c r="DN358" i="19" s="1"/>
  <c r="EA358" i="19" s="1"/>
  <c r="EN358" i="19" s="1"/>
  <c r="AA350" i="19"/>
  <c r="BA350" i="19" s="1"/>
  <c r="BN350" i="19" s="1"/>
  <c r="CA350" i="19" s="1"/>
  <c r="CN350" i="19" s="1"/>
  <c r="DA350" i="19" s="1"/>
  <c r="DN350" i="19" s="1"/>
  <c r="EA350" i="19" s="1"/>
  <c r="EN350" i="19" s="1"/>
  <c r="AN350" i="19"/>
  <c r="AN340" i="19"/>
  <c r="AA340" i="19"/>
  <c r="BA340" i="19" s="1"/>
  <c r="BN340" i="19" s="1"/>
  <c r="CA340" i="19" s="1"/>
  <c r="CN340" i="19" s="1"/>
  <c r="DA340" i="19" s="1"/>
  <c r="DN340" i="19" s="1"/>
  <c r="EA340" i="19" s="1"/>
  <c r="EN340" i="19" s="1"/>
  <c r="AA349" i="19"/>
  <c r="BA349" i="19" s="1"/>
  <c r="BN349" i="19" s="1"/>
  <c r="CA349" i="19" s="1"/>
  <c r="CN349" i="19" s="1"/>
  <c r="DA349" i="19" s="1"/>
  <c r="DN349" i="19" s="1"/>
  <c r="EA349" i="19" s="1"/>
  <c r="EN349" i="19" s="1"/>
  <c r="AN349" i="19"/>
  <c r="B9" i="16"/>
  <c r="D27" i="1"/>
  <c r="O18" i="3" s="1"/>
  <c r="D26" i="1"/>
  <c r="O17" i="3" s="1"/>
  <c r="D25" i="1"/>
  <c r="D24" i="1"/>
  <c r="D23" i="1"/>
  <c r="D22" i="1"/>
  <c r="K227" i="19" l="1"/>
  <c r="J228" i="19"/>
  <c r="BN402" i="19"/>
  <c r="BN421" i="19"/>
  <c r="BN409" i="19"/>
  <c r="BN414" i="19"/>
  <c r="D103" i="20"/>
  <c r="D116" i="20" s="1"/>
  <c r="D129" i="20" s="1"/>
  <c r="O14" i="3"/>
  <c r="A78" i="15"/>
  <c r="I58" i="34"/>
  <c r="J64" i="34"/>
  <c r="J73" i="34"/>
  <c r="B44" i="34"/>
  <c r="P23" i="34" s="1"/>
  <c r="C175" i="20"/>
  <c r="C496" i="19"/>
  <c r="AL16" i="25"/>
  <c r="B491" i="33"/>
  <c r="B199" i="26"/>
  <c r="B269" i="33"/>
  <c r="E9" i="7"/>
  <c r="D104" i="20"/>
  <c r="D117" i="20" s="1"/>
  <c r="D130" i="20" s="1"/>
  <c r="O15" i="3"/>
  <c r="J58" i="34"/>
  <c r="A85" i="15"/>
  <c r="K73" i="34"/>
  <c r="K64" i="34"/>
  <c r="B45" i="34"/>
  <c r="P24" i="34" s="1"/>
  <c r="C176" i="20"/>
  <c r="C497" i="19"/>
  <c r="AR16" i="25"/>
  <c r="B492" i="33"/>
  <c r="B312" i="33"/>
  <c r="B232" i="26"/>
  <c r="E10" i="7"/>
  <c r="BN420" i="19"/>
  <c r="BN410" i="19"/>
  <c r="D105" i="20"/>
  <c r="D118" i="20" s="1"/>
  <c r="D131" i="20" s="1"/>
  <c r="O16" i="3"/>
  <c r="A92" i="15"/>
  <c r="K58" i="34"/>
  <c r="L64" i="34"/>
  <c r="L73" i="34"/>
  <c r="B46" i="34"/>
  <c r="P25" i="34" s="1"/>
  <c r="C177" i="20"/>
  <c r="C498" i="19"/>
  <c r="AX16" i="25"/>
  <c r="B493" i="33"/>
  <c r="B356" i="33"/>
  <c r="B266" i="26"/>
  <c r="E11" i="7"/>
  <c r="BN404" i="19"/>
  <c r="BN422" i="19"/>
  <c r="O13" i="3"/>
  <c r="H58" i="34"/>
  <c r="I73" i="34"/>
  <c r="I64" i="34"/>
  <c r="A71" i="15"/>
  <c r="BN416" i="19"/>
  <c r="BN403" i="19"/>
  <c r="BN408" i="19"/>
  <c r="BN415" i="19"/>
  <c r="K313" i="19"/>
  <c r="J314" i="19"/>
  <c r="K141" i="19"/>
  <c r="J142" i="19"/>
  <c r="K294" i="19"/>
  <c r="J295" i="19"/>
  <c r="K123" i="19"/>
  <c r="J124" i="19"/>
  <c r="K207" i="19"/>
  <c r="J208" i="19"/>
  <c r="J276" i="19"/>
  <c r="K275" i="19"/>
  <c r="K102" i="19"/>
  <c r="J103" i="19"/>
  <c r="J191" i="19"/>
  <c r="K190" i="19"/>
  <c r="J170" i="19"/>
  <c r="K169" i="19"/>
  <c r="J83" i="19"/>
  <c r="K82" i="19"/>
  <c r="K256" i="19"/>
  <c r="J257" i="19"/>
  <c r="D106" i="20"/>
  <c r="D119" i="20" s="1"/>
  <c r="D132" i="20" s="1"/>
  <c r="L53" i="34"/>
  <c r="L58" i="34"/>
  <c r="M64" i="34"/>
  <c r="M73" i="34"/>
  <c r="A99" i="15"/>
  <c r="B47" i="34"/>
  <c r="P26" i="34" s="1"/>
  <c r="C178" i="20"/>
  <c r="BD16" i="25"/>
  <c r="C499" i="19"/>
  <c r="B494" i="33"/>
  <c r="B532" i="33" s="1"/>
  <c r="B400" i="33"/>
  <c r="B300" i="26"/>
  <c r="E12" i="7"/>
  <c r="D107" i="20"/>
  <c r="D120" i="20" s="1"/>
  <c r="D133" i="20" s="1"/>
  <c r="M53" i="34"/>
  <c r="A106" i="15"/>
  <c r="N64" i="34"/>
  <c r="M58" i="34"/>
  <c r="N73" i="34"/>
  <c r="B48" i="34"/>
  <c r="P27" i="34" s="1"/>
  <c r="C179" i="20"/>
  <c r="C500" i="19"/>
  <c r="BJ16" i="25"/>
  <c r="B495" i="33"/>
  <c r="B442" i="33"/>
  <c r="B535" i="33" s="1"/>
  <c r="B332" i="26"/>
  <c r="E13" i="7"/>
  <c r="D102" i="20"/>
  <c r="D115" i="20" s="1"/>
  <c r="D128" i="20" s="1"/>
  <c r="B43" i="34"/>
  <c r="P22" i="34" s="1"/>
  <c r="C174" i="20"/>
  <c r="AF16" i="25"/>
  <c r="C495" i="19"/>
  <c r="B490" i="33"/>
  <c r="B166" i="26"/>
  <c r="B226" i="33"/>
  <c r="B14" i="8"/>
  <c r="BA346" i="19"/>
  <c r="BA351" i="19"/>
  <c r="F58" i="7"/>
  <c r="B4" i="38" s="1"/>
  <c r="E32" i="7"/>
  <c r="E41" i="7"/>
  <c r="E50" i="7"/>
  <c r="F60" i="7"/>
  <c r="B6" i="38" s="1"/>
  <c r="E43" i="7"/>
  <c r="E34" i="7"/>
  <c r="E52" i="7"/>
  <c r="BO427" i="19"/>
  <c r="D49" i="8"/>
  <c r="D41" i="8"/>
  <c r="D57" i="8"/>
  <c r="F59" i="7"/>
  <c r="B5" i="38" s="1"/>
  <c r="E33" i="7"/>
  <c r="E42" i="7"/>
  <c r="E51" i="7"/>
  <c r="F61" i="7"/>
  <c r="B7" i="38" s="1"/>
  <c r="E35" i="7"/>
  <c r="E44" i="7"/>
  <c r="E53" i="7"/>
  <c r="F62" i="7"/>
  <c r="B8" i="38" s="1"/>
  <c r="E45" i="7"/>
  <c r="E36" i="7"/>
  <c r="E54" i="7"/>
  <c r="K228" i="19" l="1"/>
  <c r="J229" i="19"/>
  <c r="CA416" i="19"/>
  <c r="CA422" i="19"/>
  <c r="CA404" i="19"/>
  <c r="CA410" i="19"/>
  <c r="CA414" i="19"/>
  <c r="CA415" i="19"/>
  <c r="CA420" i="19"/>
  <c r="CA409" i="19"/>
  <c r="CA408" i="19"/>
  <c r="C84" i="3"/>
  <c r="B81" i="34"/>
  <c r="C82" i="3"/>
  <c r="B83" i="34"/>
  <c r="CA421" i="19"/>
  <c r="CA403" i="19"/>
  <c r="C83" i="3"/>
  <c r="B82" i="34"/>
  <c r="CA402" i="19"/>
  <c r="C81" i="3"/>
  <c r="B84" i="34"/>
  <c r="B80" i="34"/>
  <c r="C85" i="3"/>
  <c r="B79" i="34"/>
  <c r="C86" i="3"/>
  <c r="J143" i="19"/>
  <c r="K142" i="19"/>
  <c r="J315" i="19"/>
  <c r="K314" i="19"/>
  <c r="J209" i="19"/>
  <c r="K208" i="19"/>
  <c r="K124" i="19"/>
  <c r="J125" i="19"/>
  <c r="J296" i="19"/>
  <c r="K295" i="19"/>
  <c r="J192" i="19"/>
  <c r="K191" i="19"/>
  <c r="J104" i="19"/>
  <c r="K103" i="19"/>
  <c r="J277" i="19"/>
  <c r="K276" i="19"/>
  <c r="J258" i="19"/>
  <c r="K257" i="19"/>
  <c r="K83" i="19"/>
  <c r="J84" i="19"/>
  <c r="K170" i="19"/>
  <c r="J171" i="19"/>
  <c r="BN346" i="19"/>
  <c r="BN351" i="19"/>
  <c r="D21" i="1"/>
  <c r="O12" i="3" s="1"/>
  <c r="D20" i="1"/>
  <c r="O11" i="3" s="1"/>
  <c r="D19" i="1"/>
  <c r="D18" i="1"/>
  <c r="O9" i="3" s="1"/>
  <c r="D17" i="1"/>
  <c r="J230" i="19" l="1"/>
  <c r="K229" i="19"/>
  <c r="CN420" i="19"/>
  <c r="CN414" i="19"/>
  <c r="CN421" i="19"/>
  <c r="CN410" i="19"/>
  <c r="CN402" i="19"/>
  <c r="CN415" i="19"/>
  <c r="CN404" i="19"/>
  <c r="CN403" i="19"/>
  <c r="CN409" i="19"/>
  <c r="O8" i="3"/>
  <c r="D64" i="34"/>
  <c r="C58" i="34"/>
  <c r="D73" i="34"/>
  <c r="A36" i="15"/>
  <c r="B38" i="34"/>
  <c r="P17" i="34" s="1"/>
  <c r="C169" i="20"/>
  <c r="C490" i="19"/>
  <c r="B16" i="25"/>
  <c r="B485" i="33"/>
  <c r="B8" i="33"/>
  <c r="B6" i="26"/>
  <c r="B9" i="8"/>
  <c r="CN422" i="19"/>
  <c r="D99" i="20"/>
  <c r="D112" i="20" s="1"/>
  <c r="D125" i="20" s="1"/>
  <c r="O10" i="3"/>
  <c r="E58" i="34"/>
  <c r="F73" i="34"/>
  <c r="F64" i="34"/>
  <c r="N16" i="25"/>
  <c r="A50" i="15"/>
  <c r="B40" i="34"/>
  <c r="P19" i="34" s="1"/>
  <c r="C171" i="20"/>
  <c r="C492" i="19"/>
  <c r="B487" i="33"/>
  <c r="B94" i="33"/>
  <c r="B70" i="26"/>
  <c r="B11" i="8"/>
  <c r="CN408" i="19"/>
  <c r="CN416" i="19"/>
  <c r="K315" i="19"/>
  <c r="J316" i="19"/>
  <c r="K143" i="19"/>
  <c r="J144" i="19"/>
  <c r="K296" i="19"/>
  <c r="J297" i="19"/>
  <c r="J126" i="19"/>
  <c r="K125" i="19"/>
  <c r="J210" i="19"/>
  <c r="K209" i="19"/>
  <c r="J105" i="19"/>
  <c r="K104" i="19"/>
  <c r="K277" i="19"/>
  <c r="J278" i="19"/>
  <c r="K192" i="19"/>
  <c r="J193" i="19"/>
  <c r="J172" i="19"/>
  <c r="K171" i="19"/>
  <c r="J85" i="19"/>
  <c r="K84" i="19"/>
  <c r="K258" i="19"/>
  <c r="J259" i="19"/>
  <c r="D98" i="20"/>
  <c r="D111" i="20" s="1"/>
  <c r="D124" i="20" s="1"/>
  <c r="H16" i="25"/>
  <c r="E64" i="34"/>
  <c r="D58" i="34"/>
  <c r="E73" i="34"/>
  <c r="A43" i="15"/>
  <c r="B39" i="34"/>
  <c r="P18" i="34" s="1"/>
  <c r="C170" i="20"/>
  <c r="C491" i="19"/>
  <c r="B486" i="33"/>
  <c r="B38" i="26"/>
  <c r="B51" i="33"/>
  <c r="B10" i="8"/>
  <c r="D100" i="20"/>
  <c r="D113" i="20" s="1"/>
  <c r="D126" i="20" s="1"/>
  <c r="T16" i="25"/>
  <c r="G73" i="34"/>
  <c r="F58" i="34"/>
  <c r="G64" i="34"/>
  <c r="A57" i="15"/>
  <c r="B41" i="34"/>
  <c r="P20" i="34" s="1"/>
  <c r="C172" i="20"/>
  <c r="C493" i="19"/>
  <c r="B488" i="33"/>
  <c r="B138" i="33"/>
  <c r="B102" i="26"/>
  <c r="B12" i="8"/>
  <c r="D101" i="20"/>
  <c r="D114" i="20" s="1"/>
  <c r="D127" i="20" s="1"/>
  <c r="G58" i="34"/>
  <c r="A64" i="15"/>
  <c r="H64" i="34"/>
  <c r="H73" i="34"/>
  <c r="B42" i="34"/>
  <c r="P21" i="34" s="1"/>
  <c r="C173" i="20"/>
  <c r="C494" i="19"/>
  <c r="Z16" i="25"/>
  <c r="B489" i="33"/>
  <c r="B134" i="26"/>
  <c r="B182" i="33"/>
  <c r="B13" i="8"/>
  <c r="CA351" i="19"/>
  <c r="CA346" i="19"/>
  <c r="D97" i="20"/>
  <c r="D110" i="20" s="1"/>
  <c r="D123" i="20" s="1"/>
  <c r="D38" i="8"/>
  <c r="D46" i="8"/>
  <c r="D54" i="8"/>
  <c r="D36" i="8"/>
  <c r="D44" i="8"/>
  <c r="D52" i="8"/>
  <c r="D40" i="8"/>
  <c r="D48" i="8"/>
  <c r="D56" i="8"/>
  <c r="D45" i="8"/>
  <c r="D37" i="8"/>
  <c r="D53" i="8"/>
  <c r="D47" i="8"/>
  <c r="D39" i="8"/>
  <c r="D55" i="8"/>
  <c r="E5"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237"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169"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01"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33" i="1"/>
  <c r="K230" i="19" l="1"/>
  <c r="J231" i="19"/>
  <c r="J26" i="1"/>
  <c r="J25" i="1"/>
  <c r="J24" i="1"/>
  <c r="J23" i="1"/>
  <c r="DA408" i="19"/>
  <c r="DA422" i="19"/>
  <c r="DA403" i="19"/>
  <c r="DA404" i="19"/>
  <c r="C78" i="3"/>
  <c r="B87" i="34"/>
  <c r="C76" i="3"/>
  <c r="B89" i="34"/>
  <c r="DA415" i="19"/>
  <c r="DA402" i="19"/>
  <c r="DA410" i="19"/>
  <c r="DA421" i="19"/>
  <c r="DA414" i="19"/>
  <c r="DA416" i="19"/>
  <c r="DA409" i="19"/>
  <c r="DA420" i="19"/>
  <c r="B86" i="34"/>
  <c r="C79" i="3"/>
  <c r="B85" i="34"/>
  <c r="C80" i="3"/>
  <c r="B88" i="34"/>
  <c r="C77" i="3"/>
  <c r="J145" i="19"/>
  <c r="K144" i="19"/>
  <c r="J317" i="19"/>
  <c r="K316" i="19"/>
  <c r="J211" i="19"/>
  <c r="K210" i="19"/>
  <c r="K126" i="19"/>
  <c r="J127" i="19"/>
  <c r="J298" i="19"/>
  <c r="K297" i="19"/>
  <c r="J194" i="19"/>
  <c r="K193" i="19"/>
  <c r="K278" i="19"/>
  <c r="J279" i="19"/>
  <c r="K105" i="19"/>
  <c r="J106" i="19"/>
  <c r="K259" i="19"/>
  <c r="J260" i="19"/>
  <c r="J86" i="19"/>
  <c r="K85" i="19"/>
  <c r="K172" i="19"/>
  <c r="J173" i="19"/>
  <c r="E24" i="1"/>
  <c r="E22" i="1"/>
  <c r="E21" i="1"/>
  <c r="E20" i="1"/>
  <c r="E19" i="1"/>
  <c r="E18" i="1"/>
  <c r="E27" i="1"/>
  <c r="E26" i="1"/>
  <c r="E23" i="1"/>
  <c r="E17" i="1"/>
  <c r="E25" i="1"/>
  <c r="N6" i="39" s="1"/>
  <c r="CN346" i="19"/>
  <c r="CN351" i="19"/>
  <c r="X17" i="1"/>
  <c r="X19" i="1"/>
  <c r="X21" i="1"/>
  <c r="X22" i="1"/>
  <c r="X20" i="1"/>
  <c r="X18" i="1"/>
  <c r="F25" i="1"/>
  <c r="F23" i="1"/>
  <c r="I22" i="1"/>
  <c r="U21" i="1"/>
  <c r="N13" i="8" s="1"/>
  <c r="K173" i="20" s="1"/>
  <c r="P20" i="1"/>
  <c r="N21" i="1"/>
  <c r="F21" i="1"/>
  <c r="U19" i="1"/>
  <c r="N11" i="8" s="1"/>
  <c r="K171" i="20" s="1"/>
  <c r="M19" i="1"/>
  <c r="Q18" i="1"/>
  <c r="I18" i="1"/>
  <c r="U17" i="1"/>
  <c r="N9" i="8" s="1"/>
  <c r="K169" i="20" s="1"/>
  <c r="M17" i="1"/>
  <c r="P22" i="1"/>
  <c r="H22" i="1"/>
  <c r="O20" i="1"/>
  <c r="M21" i="1"/>
  <c r="H20" i="1"/>
  <c r="L19" i="1"/>
  <c r="P18" i="1"/>
  <c r="H18" i="1"/>
  <c r="L17" i="1"/>
  <c r="K17" i="1"/>
  <c r="X26" i="1"/>
  <c r="Q26" i="1"/>
  <c r="L26" i="1"/>
  <c r="G26" i="1"/>
  <c r="Q21" i="1"/>
  <c r="J21" i="1"/>
  <c r="I19" i="1"/>
  <c r="U22" i="1"/>
  <c r="N14" i="8" s="1"/>
  <c r="K174" i="20" s="1"/>
  <c r="O22" i="1"/>
  <c r="G22" i="1"/>
  <c r="S21" i="1"/>
  <c r="N20" i="1"/>
  <c r="L21" i="1"/>
  <c r="G20" i="1"/>
  <c r="S19" i="1"/>
  <c r="K19" i="1"/>
  <c r="O18" i="1"/>
  <c r="G18" i="1"/>
  <c r="S17" i="1"/>
  <c r="W26" i="1"/>
  <c r="N12" i="7" s="1"/>
  <c r="H178" i="20" s="1"/>
  <c r="S26" i="1"/>
  <c r="P26" i="1"/>
  <c r="N26" i="1"/>
  <c r="I7" i="38" s="1"/>
  <c r="K7" i="38" s="1"/>
  <c r="L7" i="38" s="1"/>
  <c r="H26" i="1"/>
  <c r="S22" i="1"/>
  <c r="L20" i="1"/>
  <c r="Q19" i="1"/>
  <c r="M18" i="1"/>
  <c r="Y27" i="1"/>
  <c r="K13" i="7" s="1"/>
  <c r="E179" i="20" s="1"/>
  <c r="X27" i="1"/>
  <c r="W27" i="1"/>
  <c r="N13" i="7" s="1"/>
  <c r="H179" i="20" s="1"/>
  <c r="U27" i="1"/>
  <c r="Q13" i="7" s="1"/>
  <c r="K179" i="20" s="1"/>
  <c r="S27" i="1"/>
  <c r="R27" i="1"/>
  <c r="Q27" i="1"/>
  <c r="P27" i="1"/>
  <c r="O27" i="1"/>
  <c r="N27" i="1"/>
  <c r="M27" i="1"/>
  <c r="L27" i="1"/>
  <c r="K27" i="1"/>
  <c r="J27" i="1"/>
  <c r="I27" i="1"/>
  <c r="H27" i="1"/>
  <c r="G27" i="1"/>
  <c r="F27" i="1"/>
  <c r="N22" i="1"/>
  <c r="F22" i="1"/>
  <c r="R21" i="1"/>
  <c r="U20" i="1"/>
  <c r="N12" i="8" s="1"/>
  <c r="K172" i="20" s="1"/>
  <c r="M20" i="1"/>
  <c r="K21" i="1"/>
  <c r="F20" i="1"/>
  <c r="R19" i="1"/>
  <c r="J19" i="1"/>
  <c r="N18" i="1"/>
  <c r="F18" i="1"/>
  <c r="R17" i="1"/>
  <c r="J17" i="1"/>
  <c r="Y26" i="1"/>
  <c r="K12" i="7" s="1"/>
  <c r="E178" i="20" s="1"/>
  <c r="U26" i="1"/>
  <c r="Q12" i="7" s="1"/>
  <c r="K178" i="20" s="1"/>
  <c r="R26" i="1"/>
  <c r="O26" i="1"/>
  <c r="M26" i="1"/>
  <c r="E7" i="38" s="1"/>
  <c r="G7" i="38" s="1"/>
  <c r="K26" i="1"/>
  <c r="I26" i="1"/>
  <c r="F26" i="1"/>
  <c r="M22" i="1"/>
  <c r="U18" i="1"/>
  <c r="N10" i="8" s="1"/>
  <c r="K170" i="20" s="1"/>
  <c r="Y24" i="1"/>
  <c r="K10" i="7" s="1"/>
  <c r="E176" i="20" s="1"/>
  <c r="X24" i="1"/>
  <c r="W24" i="1"/>
  <c r="N10" i="7" s="1"/>
  <c r="H176" i="20" s="1"/>
  <c r="U24" i="1"/>
  <c r="Q10" i="7" s="1"/>
  <c r="K176" i="20" s="1"/>
  <c r="S24" i="1"/>
  <c r="R24" i="1"/>
  <c r="Q24" i="1"/>
  <c r="P24" i="1"/>
  <c r="O24" i="1"/>
  <c r="N24" i="1"/>
  <c r="I5" i="38" s="1"/>
  <c r="K5" i="38" s="1"/>
  <c r="L5" i="38" s="1"/>
  <c r="M24" i="1"/>
  <c r="E5" i="38" s="1"/>
  <c r="G5" i="38" s="1"/>
  <c r="L24" i="1"/>
  <c r="K24" i="1"/>
  <c r="Y23" i="1"/>
  <c r="K9" i="7" s="1"/>
  <c r="E175" i="20" s="1"/>
  <c r="X23" i="1"/>
  <c r="W23" i="1"/>
  <c r="N9" i="7" s="1"/>
  <c r="H175" i="20" s="1"/>
  <c r="U23" i="1"/>
  <c r="Q9" i="7" s="1"/>
  <c r="K175" i="20" s="1"/>
  <c r="S23" i="1"/>
  <c r="R23" i="1"/>
  <c r="Q23" i="1"/>
  <c r="P23" i="1"/>
  <c r="O23" i="1"/>
  <c r="N23" i="1"/>
  <c r="I4" i="38" s="1"/>
  <c r="K4" i="38" s="1"/>
  <c r="L4" i="38" s="1"/>
  <c r="M23" i="1"/>
  <c r="E4" i="38" s="1"/>
  <c r="G4" i="38" s="1"/>
  <c r="L23" i="1"/>
  <c r="K23" i="1"/>
  <c r="I23" i="1"/>
  <c r="H23" i="1"/>
  <c r="G23" i="1"/>
  <c r="F24" i="1"/>
  <c r="J22" i="1"/>
  <c r="Q20" i="1"/>
  <c r="I20" i="1"/>
  <c r="G21" i="1"/>
  <c r="Y25" i="1"/>
  <c r="K11" i="7" s="1"/>
  <c r="E177" i="20" s="1"/>
  <c r="Q25" i="1"/>
  <c r="I25" i="1"/>
  <c r="R22" i="1"/>
  <c r="S20" i="1"/>
  <c r="P19" i="1"/>
  <c r="R18" i="1"/>
  <c r="Q17" i="1"/>
  <c r="K20" i="1"/>
  <c r="K18" i="1"/>
  <c r="O17" i="1"/>
  <c r="N25" i="1"/>
  <c r="I6" i="38" s="1"/>
  <c r="K6" i="38" s="1"/>
  <c r="L6" i="38" s="1"/>
  <c r="H24" i="1"/>
  <c r="H19" i="1"/>
  <c r="N17" i="1"/>
  <c r="M25" i="1"/>
  <c r="E6" i="38" s="1"/>
  <c r="G6" i="38" s="1"/>
  <c r="L25" i="1"/>
  <c r="H21" i="1"/>
  <c r="H17" i="1"/>
  <c r="P21" i="1"/>
  <c r="O21" i="1"/>
  <c r="X25" i="1"/>
  <c r="P25" i="1"/>
  <c r="I24" i="1"/>
  <c r="Q22" i="1"/>
  <c r="R20" i="1"/>
  <c r="O19" i="1"/>
  <c r="L18" i="1"/>
  <c r="P17" i="1"/>
  <c r="H25" i="1"/>
  <c r="N19" i="1"/>
  <c r="K22" i="1"/>
  <c r="J18" i="1"/>
  <c r="U25" i="1"/>
  <c r="Q11" i="7" s="1"/>
  <c r="K177" i="20" s="1"/>
  <c r="I21" i="1"/>
  <c r="I17" i="1"/>
  <c r="K25" i="1"/>
  <c r="G17" i="1"/>
  <c r="R25" i="1"/>
  <c r="F17" i="1"/>
  <c r="W25" i="1"/>
  <c r="N11" i="7" s="1"/>
  <c r="H177" i="20" s="1"/>
  <c r="O25" i="1"/>
  <c r="L22" i="1"/>
  <c r="J20" i="1"/>
  <c r="G25" i="1"/>
  <c r="G19" i="1"/>
  <c r="G24" i="1"/>
  <c r="F19" i="1"/>
  <c r="S25" i="1"/>
  <c r="S18" i="1"/>
  <c r="K231" i="19" l="1"/>
  <c r="J232" i="19"/>
  <c r="H6" i="38"/>
  <c r="H7" i="38"/>
  <c r="H4" i="38"/>
  <c r="H5" i="38"/>
  <c r="I442" i="33"/>
  <c r="DN402" i="19"/>
  <c r="DN415" i="19"/>
  <c r="DN420" i="19"/>
  <c r="DN409" i="19"/>
  <c r="DN416" i="19"/>
  <c r="DN404" i="19"/>
  <c r="DN414" i="19"/>
  <c r="DN403" i="19"/>
  <c r="DN421" i="19"/>
  <c r="DN422" i="19"/>
  <c r="DN410" i="19"/>
  <c r="DN408" i="19"/>
  <c r="K317" i="19"/>
  <c r="J318" i="19"/>
  <c r="K145" i="19"/>
  <c r="J146" i="19"/>
  <c r="J299" i="19"/>
  <c r="K298" i="19"/>
  <c r="K127" i="19"/>
  <c r="J128" i="19"/>
  <c r="J212" i="19"/>
  <c r="K211" i="19"/>
  <c r="J107" i="19"/>
  <c r="K106" i="19"/>
  <c r="K279" i="19"/>
  <c r="J280" i="19"/>
  <c r="J195" i="19"/>
  <c r="K195" i="19" s="1"/>
  <c r="K194" i="19"/>
  <c r="J174" i="19"/>
  <c r="K173" i="19"/>
  <c r="K86" i="19"/>
  <c r="J87" i="19"/>
  <c r="K260" i="19"/>
  <c r="J261" i="19"/>
  <c r="C69" i="15"/>
  <c r="C82" i="15"/>
  <c r="C103" i="15"/>
  <c r="C48" i="15"/>
  <c r="C62" i="15"/>
  <c r="C76" i="15"/>
  <c r="C41" i="15"/>
  <c r="C111" i="15"/>
  <c r="C104" i="15"/>
  <c r="C110" i="15"/>
  <c r="C83" i="15"/>
  <c r="C55" i="15"/>
  <c r="C90" i="15"/>
  <c r="C97" i="15" s="1"/>
  <c r="C89" i="15"/>
  <c r="C96" i="15" s="1"/>
  <c r="DA351" i="19"/>
  <c r="DA346" i="19"/>
  <c r="D532" i="33"/>
  <c r="D533" i="33" s="1"/>
  <c r="D535" i="33"/>
  <c r="D536" i="33" s="1"/>
  <c r="C19" i="25"/>
  <c r="BE19" i="25"/>
  <c r="AG19" i="25"/>
  <c r="U19" i="25"/>
  <c r="AS19" i="25"/>
  <c r="I19" i="25"/>
  <c r="O19" i="25"/>
  <c r="AA19" i="25"/>
  <c r="AY19" i="25"/>
  <c r="BK19" i="25"/>
  <c r="AM19" i="25"/>
  <c r="T23" i="1"/>
  <c r="F9" i="7" s="1"/>
  <c r="T18" i="1"/>
  <c r="C10" i="8" s="1"/>
  <c r="E53" i="8" s="1"/>
  <c r="V18" i="1"/>
  <c r="T21" i="1"/>
  <c r="C13" i="8" s="1"/>
  <c r="E56" i="8" s="1"/>
  <c r="V21" i="1"/>
  <c r="T17" i="1"/>
  <c r="C9" i="8" s="1"/>
  <c r="E52" i="8" s="1"/>
  <c r="V17" i="1"/>
  <c r="T22" i="1"/>
  <c r="C14" i="8" s="1"/>
  <c r="E57" i="8" s="1"/>
  <c r="V22" i="1"/>
  <c r="V19" i="1"/>
  <c r="T19" i="1"/>
  <c r="C11" i="8" s="1"/>
  <c r="E54" i="8" s="1"/>
  <c r="V20" i="1"/>
  <c r="T20" i="1"/>
  <c r="C12" i="8" s="1"/>
  <c r="E55" i="8" s="1"/>
  <c r="H9" i="7"/>
  <c r="C10" i="20"/>
  <c r="C102" i="15"/>
  <c r="BE75" i="25"/>
  <c r="C109" i="15"/>
  <c r="BK75" i="25"/>
  <c r="AY75" i="25"/>
  <c r="C88" i="15"/>
  <c r="C95" i="15" s="1"/>
  <c r="AS75" i="25"/>
  <c r="C81" i="15"/>
  <c r="AM75" i="25"/>
  <c r="C11" i="20"/>
  <c r="H13" i="7"/>
  <c r="C9" i="20"/>
  <c r="C27" i="20" s="1"/>
  <c r="H12" i="7"/>
  <c r="H10" i="7"/>
  <c r="H11" i="7"/>
  <c r="Y20" i="1"/>
  <c r="H12" i="8" s="1"/>
  <c r="E172" i="20" s="1"/>
  <c r="Y17" i="1"/>
  <c r="H9" i="8" s="1"/>
  <c r="E169" i="20" s="1"/>
  <c r="Y22" i="1"/>
  <c r="H14" i="8" s="1"/>
  <c r="E174" i="20" s="1"/>
  <c r="Y21" i="1"/>
  <c r="H13" i="8" s="1"/>
  <c r="E173" i="20" s="1"/>
  <c r="Y19" i="1"/>
  <c r="H11" i="8" s="1"/>
  <c r="E171" i="20" s="1"/>
  <c r="Y18" i="1"/>
  <c r="H10" i="8" s="1"/>
  <c r="E170" i="20" s="1"/>
  <c r="V23" i="1"/>
  <c r="G9" i="7" s="1"/>
  <c r="T26" i="1"/>
  <c r="F12" i="7" s="1"/>
  <c r="V26" i="1"/>
  <c r="G12" i="7" s="1"/>
  <c r="T24" i="1"/>
  <c r="F10" i="7" s="1"/>
  <c r="V24" i="1"/>
  <c r="G10" i="7" s="1"/>
  <c r="T27" i="1"/>
  <c r="F13" i="7" s="1"/>
  <c r="V27" i="1"/>
  <c r="G13" i="7" s="1"/>
  <c r="V25" i="1"/>
  <c r="G11" i="7" s="1"/>
  <c r="T25" i="1"/>
  <c r="F11" i="7" s="1"/>
  <c r="W22" i="1"/>
  <c r="K14" i="8" s="1"/>
  <c r="H174" i="20" s="1"/>
  <c r="W18" i="1"/>
  <c r="K10" i="8" s="1"/>
  <c r="H170" i="20" s="1"/>
  <c r="W19" i="1"/>
  <c r="K11" i="8" s="1"/>
  <c r="H171" i="20" s="1"/>
  <c r="W20" i="1"/>
  <c r="K12" i="8" s="1"/>
  <c r="H172" i="20" s="1"/>
  <c r="W21" i="1"/>
  <c r="K13" i="8" s="1"/>
  <c r="H173" i="20" s="1"/>
  <c r="W17" i="1"/>
  <c r="K9" i="8" s="1"/>
  <c r="H169" i="20" s="1"/>
  <c r="K232" i="19" l="1"/>
  <c r="J233" i="19"/>
  <c r="EA403" i="19"/>
  <c r="EA414" i="19"/>
  <c r="EA404" i="19"/>
  <c r="EA416" i="19"/>
  <c r="EA408" i="19"/>
  <c r="EA409" i="19"/>
  <c r="EA410" i="19"/>
  <c r="EA420" i="19"/>
  <c r="EA422" i="19"/>
  <c r="EA415" i="19"/>
  <c r="EA421" i="19"/>
  <c r="EA402" i="19"/>
  <c r="K146" i="19"/>
  <c r="J147" i="19"/>
  <c r="J319" i="19"/>
  <c r="K318" i="19"/>
  <c r="K212" i="19"/>
  <c r="J213" i="19"/>
  <c r="J129" i="19"/>
  <c r="K129" i="19" s="1"/>
  <c r="K128" i="19"/>
  <c r="K299" i="19"/>
  <c r="J300" i="19"/>
  <c r="J281" i="19"/>
  <c r="K281" i="19" s="1"/>
  <c r="K280" i="19"/>
  <c r="J108" i="19"/>
  <c r="K107" i="19"/>
  <c r="K261" i="19"/>
  <c r="J88" i="19"/>
  <c r="K87" i="19"/>
  <c r="K174" i="19"/>
  <c r="J175" i="19"/>
  <c r="DN346" i="19"/>
  <c r="DN351" i="19"/>
  <c r="C40" i="15"/>
  <c r="C68" i="15"/>
  <c r="C61" i="15"/>
  <c r="C75" i="15"/>
  <c r="C54" i="15"/>
  <c r="C47" i="15"/>
  <c r="C67" i="15"/>
  <c r="D10" i="8"/>
  <c r="E45" i="8" s="1"/>
  <c r="AM109" i="25"/>
  <c r="AS109" i="25"/>
  <c r="C46" i="15"/>
  <c r="I75" i="25"/>
  <c r="C53" i="15"/>
  <c r="O75" i="25"/>
  <c r="AY109" i="25"/>
  <c r="C74" i="15"/>
  <c r="AG75" i="25"/>
  <c r="BK109" i="25"/>
  <c r="C60" i="15"/>
  <c r="U75" i="25"/>
  <c r="AA75" i="25"/>
  <c r="BE109" i="25"/>
  <c r="C39" i="15"/>
  <c r="C75" i="25"/>
  <c r="D9" i="8"/>
  <c r="E44" i="8" s="1"/>
  <c r="D13" i="8"/>
  <c r="E48" i="8" s="1"/>
  <c r="D11" i="8"/>
  <c r="E46" i="8" s="1"/>
  <c r="E9" i="8"/>
  <c r="E36" i="8" s="1"/>
  <c r="D12" i="8"/>
  <c r="E47" i="8" s="1"/>
  <c r="E11" i="8"/>
  <c r="E38" i="8" s="1"/>
  <c r="E13" i="8"/>
  <c r="E40" i="8" s="1"/>
  <c r="D14" i="8"/>
  <c r="E49" i="8" s="1"/>
  <c r="E14" i="8"/>
  <c r="E41" i="8" s="1"/>
  <c r="E12" i="8"/>
  <c r="E39" i="8" s="1"/>
  <c r="E10" i="8"/>
  <c r="E37" i="8" s="1"/>
  <c r="F33" i="7"/>
  <c r="F42" i="7"/>
  <c r="F43" i="7"/>
  <c r="F35" i="7"/>
  <c r="F52" i="7"/>
  <c r="F32" i="7"/>
  <c r="F54" i="7"/>
  <c r="F34" i="7"/>
  <c r="F45" i="7"/>
  <c r="F44" i="7"/>
  <c r="F50" i="7"/>
  <c r="F36" i="7"/>
  <c r="F53" i="7"/>
  <c r="F51" i="7"/>
  <c r="F41" i="7"/>
  <c r="K233" i="19" l="1"/>
  <c r="J234" i="19"/>
  <c r="EN420" i="19"/>
  <c r="EN410" i="19"/>
  <c r="EN409" i="19"/>
  <c r="EN408" i="19"/>
  <c r="EN402" i="19"/>
  <c r="EN416" i="19"/>
  <c r="EN421" i="19"/>
  <c r="EN404" i="19"/>
  <c r="EN415" i="19"/>
  <c r="EN414" i="19"/>
  <c r="EN422" i="19"/>
  <c r="EN403" i="19"/>
  <c r="K319" i="19"/>
  <c r="J320" i="19"/>
  <c r="J148" i="19"/>
  <c r="K147" i="19"/>
  <c r="K300" i="19"/>
  <c r="J301" i="19"/>
  <c r="K301" i="19" s="1"/>
  <c r="J214" i="19"/>
  <c r="K213" i="19"/>
  <c r="K108" i="19"/>
  <c r="J109" i="19"/>
  <c r="K109" i="19" s="1"/>
  <c r="K175" i="19"/>
  <c r="J89" i="19"/>
  <c r="K88" i="19"/>
  <c r="EA346" i="19"/>
  <c r="EA351" i="19"/>
  <c r="U109" i="25"/>
  <c r="AG109" i="25"/>
  <c r="O109" i="25"/>
  <c r="I109" i="25"/>
  <c r="AA109" i="25"/>
  <c r="C109" i="25"/>
  <c r="G55" i="8"/>
  <c r="H55" i="8" s="1"/>
  <c r="G45" i="8"/>
  <c r="H45" i="8" s="1"/>
  <c r="G44" i="8"/>
  <c r="H44" i="8" s="1"/>
  <c r="G40" i="8"/>
  <c r="H40" i="8" s="1"/>
  <c r="G48" i="8"/>
  <c r="H48" i="8" s="1"/>
  <c r="O48" i="8" s="1"/>
  <c r="G41" i="8"/>
  <c r="H41" i="8" s="1"/>
  <c r="G47" i="8"/>
  <c r="H47" i="8" s="1"/>
  <c r="G37" i="8"/>
  <c r="H37" i="8" s="1"/>
  <c r="G46" i="8"/>
  <c r="H46" i="8" s="1"/>
  <c r="G38" i="8"/>
  <c r="H38" i="8" s="1"/>
  <c r="G49" i="8"/>
  <c r="H49" i="8" s="1"/>
  <c r="G57" i="8"/>
  <c r="H57" i="8" s="1"/>
  <c r="O57" i="8" s="1"/>
  <c r="G54" i="8"/>
  <c r="H54" i="8" s="1"/>
  <c r="G39" i="8"/>
  <c r="H39" i="8" s="1"/>
  <c r="O39" i="8" s="1"/>
  <c r="G53" i="8"/>
  <c r="H53" i="8" s="1"/>
  <c r="G52" i="8"/>
  <c r="H52" i="8" s="1"/>
  <c r="K52" i="8" s="1"/>
  <c r="G56" i="8"/>
  <c r="H56" i="8" s="1"/>
  <c r="J235" i="19" l="1"/>
  <c r="K235" i="19" s="1"/>
  <c r="K234" i="19"/>
  <c r="K148" i="19"/>
  <c r="J149" i="19"/>
  <c r="K149" i="19" s="1"/>
  <c r="K320" i="19"/>
  <c r="J321" i="19"/>
  <c r="K321" i="19" s="1"/>
  <c r="J215" i="19"/>
  <c r="K215" i="19" s="1"/>
  <c r="K214" i="19"/>
  <c r="K89" i="19"/>
  <c r="EN346" i="19"/>
  <c r="EN351" i="19"/>
  <c r="O37" i="8"/>
  <c r="K37" i="8"/>
  <c r="J37" i="8"/>
  <c r="O56" i="8"/>
  <c r="K56" i="8"/>
  <c r="J56" i="8"/>
  <c r="O41" i="8"/>
  <c r="L41" i="8"/>
  <c r="G14" i="8" s="1"/>
  <c r="O54" i="8"/>
  <c r="AC19" i="1"/>
  <c r="J54" i="8"/>
  <c r="O40" i="8"/>
  <c r="J40" i="8"/>
  <c r="AE21" i="1"/>
  <c r="O46" i="8"/>
  <c r="K46" i="8"/>
  <c r="J46" i="8"/>
  <c r="O38" i="8"/>
  <c r="AE19" i="1"/>
  <c r="O45" i="8"/>
  <c r="AD18" i="1"/>
  <c r="J45" i="8"/>
  <c r="O52" i="8"/>
  <c r="I52" i="8"/>
  <c r="M52" i="8" s="1"/>
  <c r="N52" i="8" s="1"/>
  <c r="J52" i="8"/>
  <c r="O55" i="8"/>
  <c r="L55" i="8"/>
  <c r="M12" i="8" s="1"/>
  <c r="AC20" i="1"/>
  <c r="I55" i="8"/>
  <c r="M55" i="8" s="1"/>
  <c r="N55" i="8" s="1"/>
  <c r="K48" i="8"/>
  <c r="J48" i="8"/>
  <c r="AE20" i="1"/>
  <c r="O44" i="8"/>
  <c r="I44" i="8"/>
  <c r="M44" i="8" s="1"/>
  <c r="N44" i="8" s="1"/>
  <c r="J44" i="8"/>
  <c r="AD17" i="1"/>
  <c r="L44" i="8"/>
  <c r="J9" i="8" s="1"/>
  <c r="K44" i="8"/>
  <c r="O47" i="8"/>
  <c r="L47" i="8"/>
  <c r="J12" i="8" s="1"/>
  <c r="K47" i="8"/>
  <c r="J47" i="8"/>
  <c r="I47" i="8"/>
  <c r="M47" i="8" s="1"/>
  <c r="N47" i="8" s="1"/>
  <c r="AD20" i="1"/>
  <c r="O49" i="8"/>
  <c r="I49" i="8"/>
  <c r="M49" i="8" s="1"/>
  <c r="N49" i="8" s="1"/>
  <c r="L49" i="8"/>
  <c r="J14" i="8" s="1"/>
  <c r="K49" i="8"/>
  <c r="J49" i="8"/>
  <c r="AD22" i="1"/>
  <c r="J53" i="8"/>
  <c r="O53" i="8"/>
  <c r="I53" i="8"/>
  <c r="M53" i="8" s="1"/>
  <c r="L53" i="8"/>
  <c r="M10" i="8" s="1"/>
  <c r="K53" i="8"/>
  <c r="AC18" i="1"/>
  <c r="G36" i="8"/>
  <c r="H36" i="8" s="1"/>
  <c r="K55" i="8"/>
  <c r="I37" i="8"/>
  <c r="M37" i="8" s="1"/>
  <c r="N37" i="8" s="1"/>
  <c r="I56" i="8"/>
  <c r="M56" i="8" s="1"/>
  <c r="N56" i="8" s="1"/>
  <c r="AD21" i="1"/>
  <c r="AD19" i="1"/>
  <c r="L54" i="8"/>
  <c r="M11" i="8" s="1"/>
  <c r="AE18" i="1"/>
  <c r="L48" i="8"/>
  <c r="J13" i="8" s="1"/>
  <c r="J55" i="8"/>
  <c r="K57" i="8"/>
  <c r="I38" i="8"/>
  <c r="M38" i="8" s="1"/>
  <c r="N38" i="8" s="1"/>
  <c r="K38" i="8"/>
  <c r="I40" i="8"/>
  <c r="M40" i="8" s="1"/>
  <c r="N40" i="8" s="1"/>
  <c r="I48" i="8"/>
  <c r="M48" i="8" s="1"/>
  <c r="N48" i="8" s="1"/>
  <c r="L52" i="8"/>
  <c r="M9" i="8" s="1"/>
  <c r="I45" i="8"/>
  <c r="M45" i="8" s="1"/>
  <c r="N45" i="8" s="1"/>
  <c r="L40" i="8"/>
  <c r="G13" i="8" s="1"/>
  <c r="J38" i="8"/>
  <c r="I57" i="8"/>
  <c r="M57" i="8" s="1"/>
  <c r="N57" i="8" s="1"/>
  <c r="AE22" i="1"/>
  <c r="L39" i="8"/>
  <c r="G12" i="8" s="1"/>
  <c r="AC17" i="1"/>
  <c r="L37" i="8"/>
  <c r="G10" i="8" s="1"/>
  <c r="K41" i="8"/>
  <c r="J41" i="8"/>
  <c r="I39" i="8"/>
  <c r="M39" i="8" s="1"/>
  <c r="N39" i="8" s="1"/>
  <c r="L38" i="8"/>
  <c r="G11" i="8" s="1"/>
  <c r="I54" i="8"/>
  <c r="M54" i="8" s="1"/>
  <c r="N54" i="8" s="1"/>
  <c r="K40" i="8"/>
  <c r="K54" i="8"/>
  <c r="AC21" i="1"/>
  <c r="I46" i="8"/>
  <c r="M46" i="8" s="1"/>
  <c r="N46" i="8" s="1"/>
  <c r="I41" i="8"/>
  <c r="M41" i="8" s="1"/>
  <c r="N41" i="8" s="1"/>
  <c r="J57" i="8"/>
  <c r="AC22" i="1"/>
  <c r="L57" i="8"/>
  <c r="M14" i="8" s="1"/>
  <c r="K45" i="8"/>
  <c r="L45" i="8"/>
  <c r="J10" i="8" s="1"/>
  <c r="K39" i="8"/>
  <c r="L56" i="8"/>
  <c r="M13" i="8" s="1"/>
  <c r="L46" i="8"/>
  <c r="J11" i="8" s="1"/>
  <c r="J39" i="8"/>
  <c r="O64" i="8" l="1"/>
  <c r="E126" i="20"/>
  <c r="G126" i="20" s="1"/>
  <c r="H126" i="20" s="1"/>
  <c r="E128" i="20"/>
  <c r="G128" i="20" s="1"/>
  <c r="H128" i="20" s="1"/>
  <c r="E113" i="20"/>
  <c r="G113" i="20" s="1"/>
  <c r="H113" i="20" s="1"/>
  <c r="E102" i="20"/>
  <c r="G102" i="20" s="1"/>
  <c r="H102" i="20" s="1"/>
  <c r="E123" i="20"/>
  <c r="G123" i="20" s="1"/>
  <c r="H123" i="20" s="1"/>
  <c r="E111" i="20"/>
  <c r="G111" i="20" s="1"/>
  <c r="H111" i="20" s="1"/>
  <c r="E124" i="20"/>
  <c r="G124" i="20" s="1"/>
  <c r="H124" i="20" s="1"/>
  <c r="E99" i="20"/>
  <c r="G99" i="20" s="1"/>
  <c r="H99" i="20" s="1"/>
  <c r="E125" i="20"/>
  <c r="G125" i="20" s="1"/>
  <c r="H125" i="20" s="1"/>
  <c r="E110" i="20"/>
  <c r="G110" i="20" s="1"/>
  <c r="H110" i="20" s="1"/>
  <c r="E112" i="20"/>
  <c r="G112" i="20" s="1"/>
  <c r="H112" i="20" s="1"/>
  <c r="E127" i="20"/>
  <c r="G127" i="20" s="1"/>
  <c r="H127" i="20" s="1"/>
  <c r="E114" i="20"/>
  <c r="G114" i="20" s="1"/>
  <c r="H114" i="20" s="1"/>
  <c r="E115" i="20"/>
  <c r="G115" i="20" s="1"/>
  <c r="H115" i="20" s="1"/>
  <c r="E100" i="20"/>
  <c r="G100" i="20" s="1"/>
  <c r="H100" i="20" s="1"/>
  <c r="E101" i="20"/>
  <c r="G101" i="20" s="1"/>
  <c r="H101" i="20" s="1"/>
  <c r="E98" i="20"/>
  <c r="G98" i="20" s="1"/>
  <c r="H98" i="20" s="1"/>
  <c r="N62" i="8"/>
  <c r="K63" i="8"/>
  <c r="M62" i="8"/>
  <c r="J65" i="8"/>
  <c r="O61" i="8"/>
  <c r="M64" i="8"/>
  <c r="K61" i="8"/>
  <c r="K64" i="8"/>
  <c r="J61" i="8"/>
  <c r="N64" i="8"/>
  <c r="K62" i="8"/>
  <c r="O65" i="8"/>
  <c r="J64" i="8"/>
  <c r="N65" i="8"/>
  <c r="M65" i="8"/>
  <c r="M61" i="8"/>
  <c r="O62" i="8"/>
  <c r="O63" i="8"/>
  <c r="O36" i="8"/>
  <c r="O60" i="8" s="1"/>
  <c r="L36" i="8"/>
  <c r="G9" i="8" s="1"/>
  <c r="J36" i="8"/>
  <c r="AE17" i="1"/>
  <c r="I36" i="8"/>
  <c r="M36" i="8" s="1"/>
  <c r="K36" i="8"/>
  <c r="J62" i="8"/>
  <c r="K65" i="8"/>
  <c r="J63" i="8"/>
  <c r="N63" i="8"/>
  <c r="M63" i="8"/>
  <c r="N53" i="8"/>
  <c r="N61" i="8" s="1"/>
  <c r="N36" i="8" l="1"/>
  <c r="N60" i="8" s="1"/>
  <c r="J60" i="8"/>
  <c r="L125" i="20"/>
  <c r="K125" i="20"/>
  <c r="J125" i="20"/>
  <c r="O125" i="20"/>
  <c r="O124" i="20"/>
  <c r="J124" i="20"/>
  <c r="L124" i="20"/>
  <c r="K124" i="20"/>
  <c r="O101" i="20"/>
  <c r="L101" i="20"/>
  <c r="J101" i="20"/>
  <c r="K101" i="20"/>
  <c r="O99" i="20"/>
  <c r="L99" i="20"/>
  <c r="J99" i="20"/>
  <c r="K99" i="20"/>
  <c r="J111" i="20"/>
  <c r="K111" i="20"/>
  <c r="L111" i="20"/>
  <c r="O111" i="20"/>
  <c r="O123" i="20"/>
  <c r="L123" i="20"/>
  <c r="K123" i="20"/>
  <c r="J123" i="20"/>
  <c r="O115" i="20"/>
  <c r="L115" i="20"/>
  <c r="J115" i="20"/>
  <c r="K115" i="20"/>
  <c r="K110" i="20"/>
  <c r="L110" i="20"/>
  <c r="O110" i="20"/>
  <c r="J110" i="20"/>
  <c r="L102" i="20"/>
  <c r="J102" i="20"/>
  <c r="O102" i="20"/>
  <c r="K102" i="20"/>
  <c r="K114" i="20"/>
  <c r="L114" i="20"/>
  <c r="J114" i="20"/>
  <c r="O114" i="20"/>
  <c r="K98" i="20"/>
  <c r="O98" i="20"/>
  <c r="J98" i="20"/>
  <c r="L98" i="20"/>
  <c r="L113" i="20"/>
  <c r="J113" i="20"/>
  <c r="K113" i="20"/>
  <c r="O113" i="20"/>
  <c r="J127" i="20"/>
  <c r="O127" i="20"/>
  <c r="L127" i="20"/>
  <c r="K127" i="20"/>
  <c r="L128" i="20"/>
  <c r="O128" i="20"/>
  <c r="J128" i="20"/>
  <c r="K128" i="20"/>
  <c r="J100" i="20"/>
  <c r="O100" i="20"/>
  <c r="L100" i="20"/>
  <c r="K100" i="20"/>
  <c r="O112" i="20"/>
  <c r="K112" i="20"/>
  <c r="J112" i="20"/>
  <c r="L112" i="20"/>
  <c r="L126" i="20"/>
  <c r="O126" i="20"/>
  <c r="J126" i="20"/>
  <c r="K126" i="20"/>
  <c r="I124" i="20"/>
  <c r="M124" i="20" s="1"/>
  <c r="I111" i="20"/>
  <c r="M111" i="20" s="1"/>
  <c r="I100" i="20"/>
  <c r="M100" i="20" s="1"/>
  <c r="I123" i="20"/>
  <c r="M123" i="20" s="1"/>
  <c r="I114" i="20"/>
  <c r="M114" i="20" s="1"/>
  <c r="E97" i="20"/>
  <c r="G97" i="20" s="1"/>
  <c r="H97" i="20" s="1"/>
  <c r="I102" i="20"/>
  <c r="M102" i="20" s="1"/>
  <c r="I99" i="20"/>
  <c r="M99" i="20" s="1"/>
  <c r="I127" i="20"/>
  <c r="M127" i="20" s="1"/>
  <c r="I101" i="20"/>
  <c r="M101" i="20" s="1"/>
  <c r="I112" i="20"/>
  <c r="M112" i="20" s="1"/>
  <c r="I113" i="20"/>
  <c r="M113" i="20" s="1"/>
  <c r="I110" i="20"/>
  <c r="M110" i="20" s="1"/>
  <c r="I128" i="20"/>
  <c r="M128" i="20" s="1"/>
  <c r="I115" i="20"/>
  <c r="M115" i="20" s="1"/>
  <c r="I98" i="20"/>
  <c r="M98" i="20" s="1"/>
  <c r="I125" i="20"/>
  <c r="M125" i="20" s="1"/>
  <c r="I126" i="20"/>
  <c r="M126" i="20" s="1"/>
  <c r="M60" i="8"/>
  <c r="K60" i="8"/>
  <c r="N98" i="20" l="1"/>
  <c r="N124" i="20"/>
  <c r="N112" i="20"/>
  <c r="N101" i="20"/>
  <c r="N99" i="20"/>
  <c r="N110" i="20"/>
  <c r="N102" i="20"/>
  <c r="N115" i="20"/>
  <c r="O97" i="20"/>
  <c r="J97" i="20"/>
  <c r="L97" i="20"/>
  <c r="K97" i="20"/>
  <c r="N127" i="20"/>
  <c r="N114" i="20"/>
  <c r="N123" i="20"/>
  <c r="N113" i="20"/>
  <c r="N126" i="20"/>
  <c r="N100" i="20"/>
  <c r="N128" i="20"/>
  <c r="N125" i="20"/>
  <c r="N111" i="20"/>
  <c r="I97" i="20"/>
  <c r="M97" i="20" s="1"/>
  <c r="N97" i="20" l="1"/>
  <c r="B27" i="16"/>
  <c r="G27" i="16" s="1"/>
  <c r="B28" i="16"/>
  <c r="G28" i="16" s="1"/>
  <c r="B25" i="16"/>
  <c r="G25" i="16" s="1"/>
  <c r="B26" i="16"/>
  <c r="G26" i="16" s="1"/>
  <c r="B29" i="16"/>
  <c r="G29" i="16" s="1"/>
  <c r="B30" i="16" l="1"/>
  <c r="G30" i="16" s="1"/>
  <c r="B31" i="16"/>
  <c r="G31" i="16" s="1"/>
  <c r="B34" i="16"/>
  <c r="G34" i="16" s="1"/>
  <c r="B33" i="16"/>
  <c r="G33" i="16" s="1"/>
  <c r="B32" i="16"/>
  <c r="G32" i="16" s="1"/>
  <c r="B24" i="16"/>
  <c r="G24" i="16" s="1"/>
  <c r="B11" i="16" l="1"/>
  <c r="B8" i="16"/>
  <c r="B15" i="16" l="1"/>
  <c r="C44" i="21"/>
  <c r="C54" i="19" l="1"/>
  <c r="C41" i="19"/>
  <c r="C28" i="19"/>
  <c r="C23" i="21"/>
  <c r="D8" i="21"/>
  <c r="F8" i="21" l="1"/>
  <c r="G9" i="21"/>
  <c r="D9" i="21"/>
  <c r="G8" i="21"/>
  <c r="E8" i="21"/>
  <c r="F9" i="21"/>
  <c r="E9" i="21"/>
  <c r="D29" i="21"/>
  <c r="E30" i="21" l="1"/>
  <c r="F30" i="21"/>
  <c r="D30" i="21"/>
  <c r="G30" i="21"/>
  <c r="E29" i="21"/>
  <c r="F29" i="21" l="1"/>
  <c r="C23" i="19" l="1"/>
  <c r="E23" i="19" s="1"/>
  <c r="C36" i="19"/>
  <c r="N36" i="19" s="1"/>
  <c r="C49" i="19"/>
  <c r="C242" i="19" s="1"/>
  <c r="CD242" i="19" s="1"/>
  <c r="CG242" i="19" s="1"/>
  <c r="G29" i="21"/>
  <c r="N23" i="19" l="1"/>
  <c r="C70" i="19"/>
  <c r="Z70" i="19" s="1"/>
  <c r="AC70" i="19" s="1"/>
  <c r="E36" i="19"/>
  <c r="C156" i="19"/>
  <c r="CD156" i="19" s="1"/>
  <c r="CG156" i="19" s="1"/>
  <c r="E49" i="19"/>
  <c r="F242" i="19" s="1"/>
  <c r="N49" i="19"/>
  <c r="C50" i="19"/>
  <c r="N50" i="19" s="1"/>
  <c r="C24" i="19"/>
  <c r="N24" i="19" s="1"/>
  <c r="C37" i="19"/>
  <c r="E37" i="19" s="1"/>
  <c r="Z242" i="19"/>
  <c r="AC242" i="19" s="1"/>
  <c r="AN242" i="19"/>
  <c r="AQ242" i="19" s="1"/>
  <c r="BB242" i="19"/>
  <c r="BE242" i="19" s="1"/>
  <c r="CR242" i="19"/>
  <c r="CU242" i="19" s="1"/>
  <c r="BP242" i="19"/>
  <c r="BS242" i="19" s="1"/>
  <c r="DE242" i="19"/>
  <c r="C26" i="19"/>
  <c r="C39" i="19"/>
  <c r="C52" i="19"/>
  <c r="C38" i="19"/>
  <c r="C51" i="19"/>
  <c r="C25" i="19"/>
  <c r="G242" i="19"/>
  <c r="C243" i="19"/>
  <c r="BP156" i="19" l="1"/>
  <c r="BS156" i="19" s="1"/>
  <c r="Z156" i="19"/>
  <c r="AC156" i="19" s="1"/>
  <c r="BB156" i="19"/>
  <c r="BE156" i="19" s="1"/>
  <c r="G156" i="19"/>
  <c r="C157" i="19"/>
  <c r="AN157" i="19" s="1"/>
  <c r="AQ157" i="19" s="1"/>
  <c r="CR156" i="19"/>
  <c r="CU156" i="19" s="1"/>
  <c r="CD70" i="19"/>
  <c r="CG70" i="19" s="1"/>
  <c r="F70" i="19"/>
  <c r="DE156" i="19"/>
  <c r="AN156" i="19"/>
  <c r="AQ156" i="19" s="1"/>
  <c r="AN70" i="19"/>
  <c r="AQ70" i="19" s="1"/>
  <c r="CR70" i="19"/>
  <c r="CU70" i="19" s="1"/>
  <c r="BB70" i="19"/>
  <c r="BE70" i="19" s="1"/>
  <c r="BP70" i="19"/>
  <c r="BS70" i="19" s="1"/>
  <c r="G70" i="19"/>
  <c r="H70" i="19" s="1"/>
  <c r="C71" i="19"/>
  <c r="CR71" i="19" s="1"/>
  <c r="CU71" i="19" s="1"/>
  <c r="DE70" i="19"/>
  <c r="F156" i="19"/>
  <c r="E50" i="19"/>
  <c r="E24" i="19"/>
  <c r="N37" i="19"/>
  <c r="Q181" i="19" s="1"/>
  <c r="E52" i="19"/>
  <c r="N52" i="19"/>
  <c r="E39" i="19"/>
  <c r="N39" i="19"/>
  <c r="N26" i="19"/>
  <c r="E26" i="19"/>
  <c r="Q90" i="19"/>
  <c r="Q105" i="19"/>
  <c r="Q96" i="19"/>
  <c r="Q100" i="19"/>
  <c r="Q92" i="19"/>
  <c r="Q107" i="19"/>
  <c r="Q101" i="19"/>
  <c r="Q106" i="19"/>
  <c r="Q98" i="19"/>
  <c r="Q102" i="19"/>
  <c r="Q103" i="19"/>
  <c r="Q97" i="19"/>
  <c r="Q108" i="19"/>
  <c r="Q94" i="19"/>
  <c r="Q93" i="19"/>
  <c r="Q109" i="19"/>
  <c r="Q99" i="19"/>
  <c r="Q91" i="19"/>
  <c r="Q104" i="19"/>
  <c r="Q95" i="19"/>
  <c r="G157" i="19"/>
  <c r="G243" i="19"/>
  <c r="C244" i="19"/>
  <c r="Z243" i="19"/>
  <c r="AC243" i="19" s="1"/>
  <c r="DE243" i="19"/>
  <c r="AN243" i="19"/>
  <c r="AQ243" i="19" s="1"/>
  <c r="CR243" i="19"/>
  <c r="CU243" i="19" s="1"/>
  <c r="CD243" i="19"/>
  <c r="CG243" i="19" s="1"/>
  <c r="BP243" i="19"/>
  <c r="BS243" i="19" s="1"/>
  <c r="BB243" i="19"/>
  <c r="BE243" i="19" s="1"/>
  <c r="Q270" i="19"/>
  <c r="Q273" i="19"/>
  <c r="Q277" i="19"/>
  <c r="Q274" i="19"/>
  <c r="Q263" i="19"/>
  <c r="Q262" i="19"/>
  <c r="Q276" i="19"/>
  <c r="Q271" i="19"/>
  <c r="Q280" i="19"/>
  <c r="Q278" i="19"/>
  <c r="Q268" i="19"/>
  <c r="Q266" i="19"/>
  <c r="Q267" i="19"/>
  <c r="Q279" i="19"/>
  <c r="Q275" i="19"/>
  <c r="Q264" i="19"/>
  <c r="Q281" i="19"/>
  <c r="Q272" i="19"/>
  <c r="Q265" i="19"/>
  <c r="Q269" i="19"/>
  <c r="N25" i="19"/>
  <c r="E25" i="19"/>
  <c r="Q182" i="19"/>
  <c r="Q184" i="19"/>
  <c r="Q176" i="19"/>
  <c r="N51" i="19"/>
  <c r="E51" i="19"/>
  <c r="N38" i="19"/>
  <c r="E38" i="19"/>
  <c r="F243" i="19"/>
  <c r="H242" i="19"/>
  <c r="DE157" i="19" l="1"/>
  <c r="C158" i="19"/>
  <c r="G158" i="19" s="1"/>
  <c r="BP157" i="19"/>
  <c r="BS157" i="19" s="1"/>
  <c r="BB157" i="19"/>
  <c r="BE157" i="19" s="1"/>
  <c r="CD157" i="19"/>
  <c r="CG157" i="19" s="1"/>
  <c r="CR157" i="19"/>
  <c r="CU157" i="19" s="1"/>
  <c r="Z157" i="19"/>
  <c r="AC157" i="19" s="1"/>
  <c r="H156" i="19"/>
  <c r="I156" i="19" s="1"/>
  <c r="S156" i="19" s="1"/>
  <c r="U156" i="19" s="1"/>
  <c r="AB156" i="19" s="1"/>
  <c r="AD156" i="19" s="1"/>
  <c r="AE156" i="19" s="1"/>
  <c r="DE71" i="19"/>
  <c r="F157" i="19"/>
  <c r="F158" i="19" s="1"/>
  <c r="Q195" i="19"/>
  <c r="Q186" i="19"/>
  <c r="Q180" i="19"/>
  <c r="Q192" i="19"/>
  <c r="Q177" i="19"/>
  <c r="Q193" i="19"/>
  <c r="Q187" i="19"/>
  <c r="Q191" i="19"/>
  <c r="Q179" i="19"/>
  <c r="Q178" i="19"/>
  <c r="Q183" i="19"/>
  <c r="Q194" i="19"/>
  <c r="Q188" i="19"/>
  <c r="Q190" i="19"/>
  <c r="Q185" i="19"/>
  <c r="Q189" i="19"/>
  <c r="Z71" i="19"/>
  <c r="AC71" i="19" s="1"/>
  <c r="G71" i="19"/>
  <c r="BB71" i="19"/>
  <c r="BE71" i="19" s="1"/>
  <c r="C72" i="19"/>
  <c r="CR72" i="19" s="1"/>
  <c r="CU72" i="19" s="1"/>
  <c r="AN71" i="19"/>
  <c r="AQ71" i="19" s="1"/>
  <c r="BP71" i="19"/>
  <c r="BS71" i="19" s="1"/>
  <c r="F71" i="19"/>
  <c r="CD71" i="19"/>
  <c r="CG71" i="19" s="1"/>
  <c r="H243" i="19"/>
  <c r="I243" i="19" s="1"/>
  <c r="S243" i="19" s="1"/>
  <c r="U243" i="19" s="1"/>
  <c r="Q117" i="19"/>
  <c r="Q111" i="19"/>
  <c r="Q118" i="19"/>
  <c r="Q124" i="19"/>
  <c r="Q122" i="19"/>
  <c r="Q116" i="19"/>
  <c r="Q121" i="19"/>
  <c r="Q115" i="19"/>
  <c r="Q120" i="19"/>
  <c r="Q123" i="19"/>
  <c r="Q125" i="19"/>
  <c r="Q129" i="19"/>
  <c r="Q113" i="19"/>
  <c r="Q127" i="19"/>
  <c r="Q114" i="19"/>
  <c r="Q110" i="19"/>
  <c r="Q128" i="19"/>
  <c r="Q126" i="19"/>
  <c r="Q112" i="19"/>
  <c r="Q119" i="19"/>
  <c r="Q198" i="19"/>
  <c r="Q214" i="19"/>
  <c r="Q207" i="19"/>
  <c r="Q211" i="19"/>
  <c r="Q206" i="19"/>
  <c r="Q215" i="19"/>
  <c r="Q205" i="19"/>
  <c r="Q209" i="19"/>
  <c r="Q199" i="19"/>
  <c r="Q201" i="19"/>
  <c r="Q212" i="19"/>
  <c r="Q202" i="19"/>
  <c r="Q204" i="19"/>
  <c r="Q213" i="19"/>
  <c r="Q200" i="19"/>
  <c r="Q208" i="19"/>
  <c r="Q210" i="19"/>
  <c r="Q203" i="19"/>
  <c r="Q196" i="19"/>
  <c r="Q197" i="19"/>
  <c r="Q290" i="19"/>
  <c r="Q295" i="19"/>
  <c r="Q293" i="19"/>
  <c r="Q291" i="19"/>
  <c r="Q297" i="19"/>
  <c r="Q300" i="19"/>
  <c r="Q283" i="19"/>
  <c r="Q289" i="19"/>
  <c r="Q285" i="19"/>
  <c r="Q287" i="19"/>
  <c r="Q286" i="19"/>
  <c r="Q296" i="19"/>
  <c r="Q298" i="19"/>
  <c r="Q288" i="19"/>
  <c r="Q282" i="19"/>
  <c r="Q299" i="19"/>
  <c r="Q284" i="19"/>
  <c r="Q294" i="19"/>
  <c r="Q301" i="19"/>
  <c r="Q292" i="19"/>
  <c r="C73" i="19"/>
  <c r="BB158" i="19"/>
  <c r="BE158" i="19" s="1"/>
  <c r="CD158" i="19"/>
  <c r="CG158" i="19" s="1"/>
  <c r="DE158" i="19"/>
  <c r="AN158" i="19"/>
  <c r="AQ158" i="19" s="1"/>
  <c r="Z158" i="19"/>
  <c r="AC158" i="19" s="1"/>
  <c r="CR158" i="19"/>
  <c r="CU158" i="19" s="1"/>
  <c r="I242" i="19"/>
  <c r="S242" i="19" s="1"/>
  <c r="U242" i="19" s="1"/>
  <c r="V242" i="19"/>
  <c r="X242" i="19" s="1"/>
  <c r="G244" i="19"/>
  <c r="C245" i="19"/>
  <c r="CR244" i="19"/>
  <c r="CU244" i="19" s="1"/>
  <c r="CD244" i="19"/>
  <c r="CG244" i="19" s="1"/>
  <c r="BP244" i="19"/>
  <c r="BS244" i="19" s="1"/>
  <c r="BB244" i="19"/>
  <c r="BE244" i="19" s="1"/>
  <c r="AN244" i="19"/>
  <c r="AQ244" i="19" s="1"/>
  <c r="Z244" i="19"/>
  <c r="AC244" i="19" s="1"/>
  <c r="DE244" i="19"/>
  <c r="F244" i="19"/>
  <c r="I70" i="19"/>
  <c r="S70" i="19" s="1"/>
  <c r="U70" i="19" s="1"/>
  <c r="V70" i="19"/>
  <c r="X70" i="19" s="1"/>
  <c r="BP158" i="19" l="1"/>
  <c r="BS158" i="19" s="1"/>
  <c r="C159" i="19"/>
  <c r="F159" i="19" s="1"/>
  <c r="AN72" i="19"/>
  <c r="AQ72" i="19" s="1"/>
  <c r="H157" i="19"/>
  <c r="I157" i="19" s="1"/>
  <c r="S157" i="19" s="1"/>
  <c r="U157" i="19" s="1"/>
  <c r="BR157" i="19" s="1"/>
  <c r="BT157" i="19" s="1"/>
  <c r="BU157" i="19" s="1"/>
  <c r="BP72" i="19"/>
  <c r="BS72" i="19" s="1"/>
  <c r="BB72" i="19"/>
  <c r="BE72" i="19" s="1"/>
  <c r="G72" i="19"/>
  <c r="DE72" i="19"/>
  <c r="Z72" i="19"/>
  <c r="AC72" i="19" s="1"/>
  <c r="V156" i="19"/>
  <c r="X156" i="19" s="1"/>
  <c r="AT156" i="19" s="1"/>
  <c r="AV156" i="19" s="1"/>
  <c r="AW156" i="19" s="1"/>
  <c r="CT156" i="19"/>
  <c r="CV156" i="19" s="1"/>
  <c r="CW156" i="19" s="1"/>
  <c r="BR156" i="19"/>
  <c r="BT156" i="19" s="1"/>
  <c r="BU156" i="19" s="1"/>
  <c r="AP156" i="19"/>
  <c r="AR156" i="19" s="1"/>
  <c r="AS156" i="19" s="1"/>
  <c r="CF156" i="19"/>
  <c r="CH156" i="19" s="1"/>
  <c r="CI156" i="19" s="1"/>
  <c r="BD156" i="19"/>
  <c r="BF156" i="19" s="1"/>
  <c r="BG156" i="19" s="1"/>
  <c r="CD72" i="19"/>
  <c r="CG72" i="19" s="1"/>
  <c r="BV156" i="19"/>
  <c r="BX156" i="19" s="1"/>
  <c r="BY156" i="19" s="1"/>
  <c r="BH156" i="19"/>
  <c r="BJ156" i="19" s="1"/>
  <c r="BK156" i="19" s="1"/>
  <c r="V243" i="19"/>
  <c r="X243" i="19" s="1"/>
  <c r="AT243" i="19" s="1"/>
  <c r="AV243" i="19" s="1"/>
  <c r="AW243" i="19" s="1"/>
  <c r="F72" i="19"/>
  <c r="H71" i="19"/>
  <c r="V71" i="19" s="1"/>
  <c r="X71" i="19" s="1"/>
  <c r="BH71" i="19" s="1"/>
  <c r="BJ71" i="19" s="1"/>
  <c r="BK71" i="19" s="1"/>
  <c r="V157" i="19"/>
  <c r="X157" i="19" s="1"/>
  <c r="BV157" i="19" s="1"/>
  <c r="BX157" i="19" s="1"/>
  <c r="BY157" i="19" s="1"/>
  <c r="H158" i="19"/>
  <c r="I158" i="19" s="1"/>
  <c r="S158" i="19" s="1"/>
  <c r="U158" i="19" s="1"/>
  <c r="F245" i="19"/>
  <c r="H244" i="19"/>
  <c r="V244" i="19" s="1"/>
  <c r="X244" i="19" s="1"/>
  <c r="CF243" i="19"/>
  <c r="CH243" i="19" s="1"/>
  <c r="CI243" i="19" s="1"/>
  <c r="AB243" i="19"/>
  <c r="AD243" i="19" s="1"/>
  <c r="AE243" i="19" s="1"/>
  <c r="CT243" i="19"/>
  <c r="CV243" i="19" s="1"/>
  <c r="CW243" i="19" s="1"/>
  <c r="AP243" i="19"/>
  <c r="AR243" i="19" s="1"/>
  <c r="AS243" i="19" s="1"/>
  <c r="BD243" i="19"/>
  <c r="BF243" i="19" s="1"/>
  <c r="BG243" i="19" s="1"/>
  <c r="BR243" i="19"/>
  <c r="BT243" i="19" s="1"/>
  <c r="BU243" i="19" s="1"/>
  <c r="AF70" i="19"/>
  <c r="AH70" i="19" s="1"/>
  <c r="AI70" i="19" s="1"/>
  <c r="AT70" i="19"/>
  <c r="AV70" i="19" s="1"/>
  <c r="AW70" i="19" s="1"/>
  <c r="BH70" i="19"/>
  <c r="BJ70" i="19" s="1"/>
  <c r="BK70" i="19" s="1"/>
  <c r="CX70" i="19"/>
  <c r="CZ70" i="19" s="1"/>
  <c r="DA70" i="19" s="1"/>
  <c r="CJ70" i="19"/>
  <c r="CL70" i="19" s="1"/>
  <c r="CM70" i="19" s="1"/>
  <c r="BV70" i="19"/>
  <c r="BX70" i="19" s="1"/>
  <c r="BY70" i="19" s="1"/>
  <c r="BR70" i="19"/>
  <c r="BT70" i="19" s="1"/>
  <c r="BU70" i="19" s="1"/>
  <c r="CF70" i="19"/>
  <c r="CH70" i="19" s="1"/>
  <c r="CI70" i="19" s="1"/>
  <c r="CT70" i="19"/>
  <c r="CV70" i="19" s="1"/>
  <c r="CW70" i="19" s="1"/>
  <c r="AP70" i="19"/>
  <c r="AR70" i="19" s="1"/>
  <c r="AS70" i="19" s="1"/>
  <c r="AB70" i="19"/>
  <c r="AD70" i="19" s="1"/>
  <c r="AE70" i="19" s="1"/>
  <c r="BD70" i="19"/>
  <c r="BF70" i="19" s="1"/>
  <c r="BG70" i="19" s="1"/>
  <c r="CF157" i="19"/>
  <c r="CH157" i="19" s="1"/>
  <c r="CI157" i="19" s="1"/>
  <c r="CT157" i="19"/>
  <c r="CV157" i="19" s="1"/>
  <c r="CW157" i="19" s="1"/>
  <c r="AP157" i="19"/>
  <c r="AR157" i="19" s="1"/>
  <c r="AS157" i="19" s="1"/>
  <c r="AB157" i="19"/>
  <c r="AD157" i="19" s="1"/>
  <c r="AE157" i="19" s="1"/>
  <c r="BD157" i="19"/>
  <c r="BF157" i="19" s="1"/>
  <c r="BG157" i="19" s="1"/>
  <c r="G245" i="19"/>
  <c r="C246" i="19"/>
  <c r="Z245" i="19"/>
  <c r="AC245" i="19" s="1"/>
  <c r="BB245" i="19"/>
  <c r="BE245" i="19" s="1"/>
  <c r="CD245" i="19"/>
  <c r="CG245" i="19" s="1"/>
  <c r="CR245" i="19"/>
  <c r="CU245" i="19" s="1"/>
  <c r="AN245" i="19"/>
  <c r="AQ245" i="19" s="1"/>
  <c r="BP245" i="19"/>
  <c r="BS245" i="19" s="1"/>
  <c r="DE245" i="19"/>
  <c r="BV242" i="19"/>
  <c r="BX242" i="19" s="1"/>
  <c r="BY242" i="19" s="1"/>
  <c r="AT242" i="19"/>
  <c r="AV242" i="19" s="1"/>
  <c r="AW242" i="19" s="1"/>
  <c r="CX242" i="19"/>
  <c r="CZ242" i="19" s="1"/>
  <c r="DA242" i="19" s="1"/>
  <c r="CJ242" i="19"/>
  <c r="CL242" i="19" s="1"/>
  <c r="CM242" i="19" s="1"/>
  <c r="AF242" i="19"/>
  <c r="AH242" i="19" s="1"/>
  <c r="AI242" i="19" s="1"/>
  <c r="BH242" i="19"/>
  <c r="BJ242" i="19" s="1"/>
  <c r="BK242" i="19" s="1"/>
  <c r="G73" i="19"/>
  <c r="C74" i="19"/>
  <c r="Z73" i="19"/>
  <c r="AC73" i="19" s="1"/>
  <c r="CR73" i="19"/>
  <c r="CU73" i="19" s="1"/>
  <c r="CD73" i="19"/>
  <c r="CG73" i="19" s="1"/>
  <c r="BP73" i="19"/>
  <c r="BS73" i="19" s="1"/>
  <c r="BB73" i="19"/>
  <c r="BE73" i="19" s="1"/>
  <c r="AN73" i="19"/>
  <c r="AQ73" i="19" s="1"/>
  <c r="DE73" i="19"/>
  <c r="CT242" i="19"/>
  <c r="CV242" i="19" s="1"/>
  <c r="CW242" i="19" s="1"/>
  <c r="BR242" i="19"/>
  <c r="BT242" i="19" s="1"/>
  <c r="BU242" i="19" s="1"/>
  <c r="CF242" i="19"/>
  <c r="CH242" i="19" s="1"/>
  <c r="CI242" i="19" s="1"/>
  <c r="BD242" i="19"/>
  <c r="BF242" i="19" s="1"/>
  <c r="BG242" i="19" s="1"/>
  <c r="AB242" i="19"/>
  <c r="AD242" i="19" s="1"/>
  <c r="AE242" i="19" s="1"/>
  <c r="AP242" i="19"/>
  <c r="AR242" i="19" s="1"/>
  <c r="AS242" i="19" s="1"/>
  <c r="G159" i="19"/>
  <c r="C160" i="19"/>
  <c r="CR159" i="19"/>
  <c r="CU159" i="19" s="1"/>
  <c r="Z159" i="19"/>
  <c r="AC159" i="19" s="1"/>
  <c r="CD159" i="19"/>
  <c r="CG159" i="19" s="1"/>
  <c r="DE159" i="19"/>
  <c r="AN159" i="19"/>
  <c r="AQ159" i="19" s="1"/>
  <c r="BB159" i="19"/>
  <c r="BE159" i="19" s="1"/>
  <c r="BP159" i="19"/>
  <c r="BS159" i="19" s="1"/>
  <c r="CX156" i="19" l="1"/>
  <c r="CZ156" i="19" s="1"/>
  <c r="DA156" i="19" s="1"/>
  <c r="DB156" i="19" s="1"/>
  <c r="DD156" i="19" s="1"/>
  <c r="H72" i="19"/>
  <c r="I72" i="19" s="1"/>
  <c r="S72" i="19" s="1"/>
  <c r="U72" i="19" s="1"/>
  <c r="BL156" i="19"/>
  <c r="BN156" i="19" s="1"/>
  <c r="DI156" i="19" s="1"/>
  <c r="AF156" i="19"/>
  <c r="AH156" i="19" s="1"/>
  <c r="AI156" i="19" s="1"/>
  <c r="AJ156" i="19" s="1"/>
  <c r="AL156" i="19" s="1"/>
  <c r="DG156" i="19" s="1"/>
  <c r="F73" i="19"/>
  <c r="F74" i="19" s="1"/>
  <c r="CJ156" i="19"/>
  <c r="CL156" i="19" s="1"/>
  <c r="CM156" i="19" s="1"/>
  <c r="CN156" i="19" s="1"/>
  <c r="CP156" i="19" s="1"/>
  <c r="BZ156" i="19"/>
  <c r="CB156" i="19" s="1"/>
  <c r="AF243" i="19"/>
  <c r="AH243" i="19" s="1"/>
  <c r="AI243" i="19" s="1"/>
  <c r="AJ243" i="19" s="1"/>
  <c r="AL243" i="19" s="1"/>
  <c r="DG243" i="19" s="1"/>
  <c r="CJ243" i="19"/>
  <c r="CL243" i="19" s="1"/>
  <c r="CM243" i="19" s="1"/>
  <c r="CN243" i="19" s="1"/>
  <c r="CP243" i="19" s="1"/>
  <c r="DK243" i="19" s="1"/>
  <c r="AX156" i="19"/>
  <c r="AZ156" i="19" s="1"/>
  <c r="DH156" i="19" s="1"/>
  <c r="CJ71" i="19"/>
  <c r="CL71" i="19" s="1"/>
  <c r="CM71" i="19" s="1"/>
  <c r="AT71" i="19"/>
  <c r="AV71" i="19" s="1"/>
  <c r="AW71" i="19" s="1"/>
  <c r="CX71" i="19"/>
  <c r="CZ71" i="19" s="1"/>
  <c r="DA71" i="19" s="1"/>
  <c r="BV71" i="19"/>
  <c r="BX71" i="19" s="1"/>
  <c r="BY71" i="19" s="1"/>
  <c r="AF71" i="19"/>
  <c r="AH71" i="19" s="1"/>
  <c r="AI71" i="19" s="1"/>
  <c r="BH243" i="19"/>
  <c r="BJ243" i="19" s="1"/>
  <c r="BK243" i="19" s="1"/>
  <c r="BL243" i="19" s="1"/>
  <c r="BN243" i="19" s="1"/>
  <c r="DI243" i="19" s="1"/>
  <c r="BV243" i="19"/>
  <c r="BX243" i="19" s="1"/>
  <c r="BY243" i="19" s="1"/>
  <c r="BZ243" i="19" s="1"/>
  <c r="CB243" i="19" s="1"/>
  <c r="DJ243" i="19" s="1"/>
  <c r="CX243" i="19"/>
  <c r="CZ243" i="19" s="1"/>
  <c r="DA243" i="19" s="1"/>
  <c r="DB243" i="19" s="1"/>
  <c r="DD243" i="19" s="1"/>
  <c r="DL243" i="19" s="1"/>
  <c r="I71" i="19"/>
  <c r="S71" i="19" s="1"/>
  <c r="U71" i="19" s="1"/>
  <c r="F246" i="19"/>
  <c r="H245" i="19"/>
  <c r="V245" i="19" s="1"/>
  <c r="X245" i="19" s="1"/>
  <c r="BH157" i="19"/>
  <c r="BJ157" i="19" s="1"/>
  <c r="BK157" i="19" s="1"/>
  <c r="BL157" i="19" s="1"/>
  <c r="BN157" i="19" s="1"/>
  <c r="DI157" i="19" s="1"/>
  <c r="V72" i="19"/>
  <c r="X72" i="19" s="1"/>
  <c r="BV72" i="19" s="1"/>
  <c r="BX72" i="19" s="1"/>
  <c r="BY72" i="19" s="1"/>
  <c r="CJ157" i="19"/>
  <c r="CL157" i="19" s="1"/>
  <c r="CM157" i="19" s="1"/>
  <c r="CN157" i="19" s="1"/>
  <c r="CP157" i="19" s="1"/>
  <c r="CX157" i="19"/>
  <c r="CZ157" i="19" s="1"/>
  <c r="DA157" i="19" s="1"/>
  <c r="DB157" i="19" s="1"/>
  <c r="DD157" i="19" s="1"/>
  <c r="AT157" i="19"/>
  <c r="AV157" i="19" s="1"/>
  <c r="AW157" i="19" s="1"/>
  <c r="AX157" i="19" s="1"/>
  <c r="AZ157" i="19" s="1"/>
  <c r="DH157" i="19" s="1"/>
  <c r="V158" i="19"/>
  <c r="X158" i="19" s="1"/>
  <c r="BV158" i="19" s="1"/>
  <c r="BX158" i="19" s="1"/>
  <c r="BY158" i="19" s="1"/>
  <c r="AF157" i="19"/>
  <c r="AH157" i="19" s="1"/>
  <c r="AI157" i="19" s="1"/>
  <c r="AJ157" i="19" s="1"/>
  <c r="AL157" i="19" s="1"/>
  <c r="DG157" i="19" s="1"/>
  <c r="AX243" i="19"/>
  <c r="AZ243" i="19" s="1"/>
  <c r="DH243" i="19" s="1"/>
  <c r="I244" i="19"/>
  <c r="S244" i="19" s="1"/>
  <c r="U244" i="19" s="1"/>
  <c r="BR244" i="19" s="1"/>
  <c r="BT244" i="19" s="1"/>
  <c r="BU244" i="19" s="1"/>
  <c r="AX242" i="19"/>
  <c r="AZ242" i="19" s="1"/>
  <c r="DH242" i="19" s="1"/>
  <c r="BZ242" i="19"/>
  <c r="CB242" i="19" s="1"/>
  <c r="DJ242" i="19" s="1"/>
  <c r="AJ70" i="19"/>
  <c r="AL70" i="19" s="1"/>
  <c r="DG70" i="19" s="1"/>
  <c r="AX70" i="19"/>
  <c r="AZ70" i="19" s="1"/>
  <c r="DH70" i="19" s="1"/>
  <c r="BL242" i="19"/>
  <c r="BN242" i="19" s="1"/>
  <c r="DI242" i="19" s="1"/>
  <c r="AJ242" i="19"/>
  <c r="AL242" i="19" s="1"/>
  <c r="DG242" i="19" s="1"/>
  <c r="DB70" i="19"/>
  <c r="DD70" i="19" s="1"/>
  <c r="DL70" i="19" s="1"/>
  <c r="BL70" i="19"/>
  <c r="BN70" i="19" s="1"/>
  <c r="DI70" i="19" s="1"/>
  <c r="DB242" i="19"/>
  <c r="DD242" i="19" s="1"/>
  <c r="DL242" i="19" s="1"/>
  <c r="BV244" i="19"/>
  <c r="BX244" i="19" s="1"/>
  <c r="BY244" i="19" s="1"/>
  <c r="AF244" i="19"/>
  <c r="AH244" i="19" s="1"/>
  <c r="AI244" i="19" s="1"/>
  <c r="CX244" i="19"/>
  <c r="CZ244" i="19" s="1"/>
  <c r="DA244" i="19" s="1"/>
  <c r="AT244" i="19"/>
  <c r="AV244" i="19" s="1"/>
  <c r="AW244" i="19" s="1"/>
  <c r="CJ244" i="19"/>
  <c r="CL244" i="19" s="1"/>
  <c r="CM244" i="19" s="1"/>
  <c r="BH244" i="19"/>
  <c r="BJ244" i="19" s="1"/>
  <c r="BK244" i="19" s="1"/>
  <c r="F160" i="19"/>
  <c r="G160" i="19"/>
  <c r="C161" i="19"/>
  <c r="CR160" i="19"/>
  <c r="CU160" i="19" s="1"/>
  <c r="BP160" i="19"/>
  <c r="BS160" i="19" s="1"/>
  <c r="AN160" i="19"/>
  <c r="AQ160" i="19" s="1"/>
  <c r="Z160" i="19"/>
  <c r="AC160" i="19" s="1"/>
  <c r="BB160" i="19"/>
  <c r="BE160" i="19" s="1"/>
  <c r="DE160" i="19"/>
  <c r="CD160" i="19"/>
  <c r="CG160" i="19" s="1"/>
  <c r="AB72" i="19"/>
  <c r="AD72" i="19" s="1"/>
  <c r="AE72" i="19" s="1"/>
  <c r="CT72" i="19"/>
  <c r="CV72" i="19" s="1"/>
  <c r="CW72" i="19" s="1"/>
  <c r="AP72" i="19"/>
  <c r="AR72" i="19" s="1"/>
  <c r="AS72" i="19" s="1"/>
  <c r="BD72" i="19"/>
  <c r="BF72" i="19" s="1"/>
  <c r="BG72" i="19" s="1"/>
  <c r="BR72" i="19"/>
  <c r="BT72" i="19" s="1"/>
  <c r="BU72" i="19" s="1"/>
  <c r="CF72" i="19"/>
  <c r="CH72" i="19" s="1"/>
  <c r="CI72" i="19" s="1"/>
  <c r="BD158" i="19"/>
  <c r="BF158" i="19" s="1"/>
  <c r="BG158" i="19" s="1"/>
  <c r="CT158" i="19"/>
  <c r="CV158" i="19" s="1"/>
  <c r="CW158" i="19" s="1"/>
  <c r="AB158" i="19"/>
  <c r="AD158" i="19" s="1"/>
  <c r="AE158" i="19" s="1"/>
  <c r="BR158" i="19"/>
  <c r="BT158" i="19" s="1"/>
  <c r="BU158" i="19" s="1"/>
  <c r="AP158" i="19"/>
  <c r="AR158" i="19" s="1"/>
  <c r="AS158" i="19" s="1"/>
  <c r="CF158" i="19"/>
  <c r="CH158" i="19" s="1"/>
  <c r="CI158" i="19" s="1"/>
  <c r="CN242" i="19"/>
  <c r="CP242" i="19" s="1"/>
  <c r="DK242" i="19" s="1"/>
  <c r="BZ70" i="19"/>
  <c r="CB70" i="19" s="1"/>
  <c r="DJ70" i="19" s="1"/>
  <c r="CN70" i="19"/>
  <c r="CP70" i="19" s="1"/>
  <c r="DK70" i="19" s="1"/>
  <c r="G74" i="19"/>
  <c r="C75" i="19"/>
  <c r="Z74" i="19"/>
  <c r="AC74" i="19" s="1"/>
  <c r="CR74" i="19"/>
  <c r="CU74" i="19" s="1"/>
  <c r="CD74" i="19"/>
  <c r="CG74" i="19" s="1"/>
  <c r="BP74" i="19"/>
  <c r="BS74" i="19" s="1"/>
  <c r="DE74" i="19"/>
  <c r="BB74" i="19"/>
  <c r="BE74" i="19" s="1"/>
  <c r="AN74" i="19"/>
  <c r="AQ74" i="19" s="1"/>
  <c r="BZ157" i="19"/>
  <c r="CB157" i="19" s="1"/>
  <c r="H73" i="19"/>
  <c r="G246" i="19"/>
  <c r="C247" i="19"/>
  <c r="AN246" i="19"/>
  <c r="AQ246" i="19" s="1"/>
  <c r="Z246" i="19"/>
  <c r="AC246" i="19" s="1"/>
  <c r="CR246" i="19"/>
  <c r="CU246" i="19" s="1"/>
  <c r="DE246" i="19"/>
  <c r="BB246" i="19"/>
  <c r="BE246" i="19" s="1"/>
  <c r="CD246" i="19"/>
  <c r="CG246" i="19" s="1"/>
  <c r="BP246" i="19"/>
  <c r="BS246" i="19" s="1"/>
  <c r="H159" i="19"/>
  <c r="I245" i="19" l="1"/>
  <c r="S245" i="19" s="1"/>
  <c r="U245" i="19" s="1"/>
  <c r="AB245" i="19" s="1"/>
  <c r="AD245" i="19" s="1"/>
  <c r="AE245" i="19" s="1"/>
  <c r="BH72" i="19"/>
  <c r="BJ72" i="19" s="1"/>
  <c r="BK72" i="19" s="1"/>
  <c r="BL72" i="19" s="1"/>
  <c r="BN72" i="19" s="1"/>
  <c r="DI72" i="19" s="1"/>
  <c r="AF72" i="19"/>
  <c r="AH72" i="19" s="1"/>
  <c r="AI72" i="19" s="1"/>
  <c r="AB71" i="19"/>
  <c r="AD71" i="19" s="1"/>
  <c r="AE71" i="19" s="1"/>
  <c r="AJ71" i="19" s="1"/>
  <c r="AL71" i="19" s="1"/>
  <c r="DG71" i="19" s="1"/>
  <c r="CF71" i="19"/>
  <c r="CH71" i="19" s="1"/>
  <c r="CI71" i="19" s="1"/>
  <c r="CN71" i="19" s="1"/>
  <c r="CP71" i="19" s="1"/>
  <c r="DK71" i="19" s="1"/>
  <c r="CT71" i="19"/>
  <c r="CV71" i="19" s="1"/>
  <c r="CW71" i="19" s="1"/>
  <c r="DB71" i="19" s="1"/>
  <c r="DD71" i="19" s="1"/>
  <c r="DL71" i="19" s="1"/>
  <c r="AP71" i="19"/>
  <c r="AR71" i="19" s="1"/>
  <c r="AS71" i="19" s="1"/>
  <c r="AX71" i="19" s="1"/>
  <c r="AZ71" i="19" s="1"/>
  <c r="DH71" i="19" s="1"/>
  <c r="BD71" i="19"/>
  <c r="BF71" i="19" s="1"/>
  <c r="BG71" i="19" s="1"/>
  <c r="BL71" i="19" s="1"/>
  <c r="BN71" i="19" s="1"/>
  <c r="DI71" i="19" s="1"/>
  <c r="BR71" i="19"/>
  <c r="BT71" i="19" s="1"/>
  <c r="BU71" i="19" s="1"/>
  <c r="BZ71" i="19" s="1"/>
  <c r="CB71" i="19" s="1"/>
  <c r="DJ71" i="19" s="1"/>
  <c r="CX72" i="19"/>
  <c r="CZ72" i="19" s="1"/>
  <c r="DA72" i="19" s="1"/>
  <c r="DB72" i="19" s="1"/>
  <c r="DD72" i="19" s="1"/>
  <c r="DL72" i="19" s="1"/>
  <c r="CJ72" i="19"/>
  <c r="CL72" i="19" s="1"/>
  <c r="CM72" i="19" s="1"/>
  <c r="CN72" i="19" s="1"/>
  <c r="CP72" i="19" s="1"/>
  <c r="DK72" i="19" s="1"/>
  <c r="AT72" i="19"/>
  <c r="AV72" i="19" s="1"/>
  <c r="AW72" i="19" s="1"/>
  <c r="AX72" i="19" s="1"/>
  <c r="AZ72" i="19" s="1"/>
  <c r="DH72" i="19" s="1"/>
  <c r="F247" i="19"/>
  <c r="H246" i="19"/>
  <c r="I246" i="19" s="1"/>
  <c r="S246" i="19" s="1"/>
  <c r="U246" i="19" s="1"/>
  <c r="BH158" i="19"/>
  <c r="BJ158" i="19" s="1"/>
  <c r="BK158" i="19" s="1"/>
  <c r="BL158" i="19" s="1"/>
  <c r="BN158" i="19" s="1"/>
  <c r="DI158" i="19" s="1"/>
  <c r="AF158" i="19"/>
  <c r="AH158" i="19" s="1"/>
  <c r="AI158" i="19" s="1"/>
  <c r="AJ158" i="19" s="1"/>
  <c r="AL158" i="19" s="1"/>
  <c r="DG158" i="19" s="1"/>
  <c r="CX158" i="19"/>
  <c r="CZ158" i="19" s="1"/>
  <c r="DA158" i="19" s="1"/>
  <c r="DB158" i="19" s="1"/>
  <c r="DD158" i="19" s="1"/>
  <c r="AT158" i="19"/>
  <c r="AV158" i="19" s="1"/>
  <c r="AW158" i="19" s="1"/>
  <c r="AX158" i="19" s="1"/>
  <c r="AZ158" i="19" s="1"/>
  <c r="DH158" i="19" s="1"/>
  <c r="CJ158" i="19"/>
  <c r="CL158" i="19" s="1"/>
  <c r="CM158" i="19" s="1"/>
  <c r="CN158" i="19" s="1"/>
  <c r="CP158" i="19" s="1"/>
  <c r="AB244" i="19"/>
  <c r="AD244" i="19" s="1"/>
  <c r="AE244" i="19" s="1"/>
  <c r="AJ244" i="19" s="1"/>
  <c r="AL244" i="19" s="1"/>
  <c r="DG244" i="19" s="1"/>
  <c r="AP244" i="19"/>
  <c r="AR244" i="19" s="1"/>
  <c r="AS244" i="19" s="1"/>
  <c r="AX244" i="19" s="1"/>
  <c r="AZ244" i="19" s="1"/>
  <c r="DH244" i="19" s="1"/>
  <c r="CT244" i="19"/>
  <c r="CV244" i="19" s="1"/>
  <c r="CW244" i="19" s="1"/>
  <c r="DB244" i="19" s="1"/>
  <c r="DD244" i="19" s="1"/>
  <c r="DL244" i="19" s="1"/>
  <c r="CF244" i="19"/>
  <c r="CH244" i="19" s="1"/>
  <c r="CI244" i="19" s="1"/>
  <c r="CN244" i="19" s="1"/>
  <c r="CP244" i="19" s="1"/>
  <c r="DK244" i="19" s="1"/>
  <c r="BD244" i="19"/>
  <c r="BF244" i="19" s="1"/>
  <c r="BG244" i="19" s="1"/>
  <c r="BL244" i="19" s="1"/>
  <c r="BN244" i="19" s="1"/>
  <c r="DI244" i="19" s="1"/>
  <c r="H74" i="19"/>
  <c r="I74" i="19" s="1"/>
  <c r="S74" i="19" s="1"/>
  <c r="U74" i="19" s="1"/>
  <c r="F161" i="19"/>
  <c r="BZ158" i="19"/>
  <c r="CB158" i="19" s="1"/>
  <c r="AJ72" i="19"/>
  <c r="AL72" i="19" s="1"/>
  <c r="DG72" i="19" s="1"/>
  <c r="G75" i="19"/>
  <c r="C76" i="19"/>
  <c r="BP75" i="19"/>
  <c r="BS75" i="19" s="1"/>
  <c r="CR75" i="19"/>
  <c r="CU75" i="19" s="1"/>
  <c r="BB75" i="19"/>
  <c r="BE75" i="19" s="1"/>
  <c r="AN75" i="19"/>
  <c r="AQ75" i="19" s="1"/>
  <c r="DE75" i="19"/>
  <c r="Z75" i="19"/>
  <c r="AC75" i="19" s="1"/>
  <c r="CD75" i="19"/>
  <c r="CG75" i="19" s="1"/>
  <c r="G247" i="19"/>
  <c r="C248" i="19"/>
  <c r="Z247" i="19"/>
  <c r="AC247" i="19" s="1"/>
  <c r="CR247" i="19"/>
  <c r="CU247" i="19" s="1"/>
  <c r="CD247" i="19"/>
  <c r="CG247" i="19" s="1"/>
  <c r="BB247" i="19"/>
  <c r="BE247" i="19" s="1"/>
  <c r="DE247" i="19"/>
  <c r="BP247" i="19"/>
  <c r="BS247" i="19" s="1"/>
  <c r="AN247" i="19"/>
  <c r="AQ247" i="19" s="1"/>
  <c r="C162" i="19"/>
  <c r="G161" i="19"/>
  <c r="Z161" i="19"/>
  <c r="AC161" i="19" s="1"/>
  <c r="CR161" i="19"/>
  <c r="CU161" i="19" s="1"/>
  <c r="CD161" i="19"/>
  <c r="CG161" i="19" s="1"/>
  <c r="BP161" i="19"/>
  <c r="BS161" i="19" s="1"/>
  <c r="DE161" i="19"/>
  <c r="BB161" i="19"/>
  <c r="BE161" i="19" s="1"/>
  <c r="AN161" i="19"/>
  <c r="AQ161" i="19" s="1"/>
  <c r="I73" i="19"/>
  <c r="S73" i="19" s="1"/>
  <c r="U73" i="19" s="1"/>
  <c r="V73" i="19"/>
  <c r="X73" i="19" s="1"/>
  <c r="H160" i="19"/>
  <c r="I159" i="19"/>
  <c r="S159" i="19" s="1"/>
  <c r="U159" i="19" s="1"/>
  <c r="V159" i="19"/>
  <c r="X159" i="19" s="1"/>
  <c r="F75" i="19"/>
  <c r="CX245" i="19"/>
  <c r="CZ245" i="19" s="1"/>
  <c r="DA245" i="19" s="1"/>
  <c r="CJ245" i="19"/>
  <c r="CL245" i="19" s="1"/>
  <c r="CM245" i="19" s="1"/>
  <c r="BV245" i="19"/>
  <c r="BX245" i="19" s="1"/>
  <c r="BY245" i="19" s="1"/>
  <c r="AF245" i="19"/>
  <c r="AH245" i="19" s="1"/>
  <c r="AI245" i="19" s="1"/>
  <c r="BH245" i="19"/>
  <c r="BJ245" i="19" s="1"/>
  <c r="BK245" i="19" s="1"/>
  <c r="AT245" i="19"/>
  <c r="AV245" i="19" s="1"/>
  <c r="AW245" i="19" s="1"/>
  <c r="BZ72" i="19"/>
  <c r="CB72" i="19" s="1"/>
  <c r="DJ72" i="19" s="1"/>
  <c r="CF245" i="19"/>
  <c r="CH245" i="19" s="1"/>
  <c r="CI245" i="19" s="1"/>
  <c r="BZ244" i="19"/>
  <c r="CB244" i="19" s="1"/>
  <c r="DJ244" i="19" s="1"/>
  <c r="BR245" i="19" l="1"/>
  <c r="BT245" i="19" s="1"/>
  <c r="BU245" i="19" s="1"/>
  <c r="AP245" i="19"/>
  <c r="AR245" i="19" s="1"/>
  <c r="AS245" i="19" s="1"/>
  <c r="CT245" i="19"/>
  <c r="CV245" i="19" s="1"/>
  <c r="CW245" i="19" s="1"/>
  <c r="BD245" i="19"/>
  <c r="BF245" i="19" s="1"/>
  <c r="BG245" i="19" s="1"/>
  <c r="F248" i="19"/>
  <c r="H247" i="19"/>
  <c r="V246" i="19"/>
  <c r="X246" i="19" s="1"/>
  <c r="AT246" i="19" s="1"/>
  <c r="AV246" i="19" s="1"/>
  <c r="AW246" i="19" s="1"/>
  <c r="V74" i="19"/>
  <c r="X74" i="19" s="1"/>
  <c r="BH74" i="19" s="1"/>
  <c r="BJ74" i="19" s="1"/>
  <c r="BK74" i="19" s="1"/>
  <c r="H161" i="19"/>
  <c r="I161" i="19" s="1"/>
  <c r="S161" i="19" s="1"/>
  <c r="U161" i="19" s="1"/>
  <c r="F162" i="19"/>
  <c r="H75" i="19"/>
  <c r="V75" i="19" s="1"/>
  <c r="X75" i="19" s="1"/>
  <c r="AJ245" i="19"/>
  <c r="AL245" i="19" s="1"/>
  <c r="DG245" i="19" s="1"/>
  <c r="I247" i="19"/>
  <c r="S247" i="19" s="1"/>
  <c r="U247" i="19" s="1"/>
  <c r="V247" i="19"/>
  <c r="X247" i="19" s="1"/>
  <c r="BV159" i="19"/>
  <c r="BX159" i="19" s="1"/>
  <c r="BY159" i="19" s="1"/>
  <c r="CX159" i="19"/>
  <c r="CZ159" i="19" s="1"/>
  <c r="DA159" i="19" s="1"/>
  <c r="AT159" i="19"/>
  <c r="AV159" i="19" s="1"/>
  <c r="AW159" i="19" s="1"/>
  <c r="CJ159" i="19"/>
  <c r="CL159" i="19" s="1"/>
  <c r="CM159" i="19" s="1"/>
  <c r="AF159" i="19"/>
  <c r="AH159" i="19" s="1"/>
  <c r="AI159" i="19" s="1"/>
  <c r="BH159" i="19"/>
  <c r="BJ159" i="19" s="1"/>
  <c r="BK159" i="19" s="1"/>
  <c r="F76" i="19"/>
  <c r="BR159" i="19"/>
  <c r="BT159" i="19" s="1"/>
  <c r="BU159" i="19" s="1"/>
  <c r="CF159" i="19"/>
  <c r="CH159" i="19" s="1"/>
  <c r="CI159" i="19" s="1"/>
  <c r="AP159" i="19"/>
  <c r="AR159" i="19" s="1"/>
  <c r="AS159" i="19" s="1"/>
  <c r="CT159" i="19"/>
  <c r="CV159" i="19" s="1"/>
  <c r="CW159" i="19" s="1"/>
  <c r="AB159" i="19"/>
  <c r="AD159" i="19" s="1"/>
  <c r="AE159" i="19" s="1"/>
  <c r="BD159" i="19"/>
  <c r="BF159" i="19" s="1"/>
  <c r="BG159" i="19" s="1"/>
  <c r="BH73" i="19"/>
  <c r="BJ73" i="19" s="1"/>
  <c r="BK73" i="19" s="1"/>
  <c r="CJ73" i="19"/>
  <c r="CL73" i="19" s="1"/>
  <c r="CM73" i="19" s="1"/>
  <c r="AF73" i="19"/>
  <c r="AH73" i="19" s="1"/>
  <c r="AI73" i="19" s="1"/>
  <c r="AT73" i="19"/>
  <c r="AV73" i="19" s="1"/>
  <c r="AW73" i="19" s="1"/>
  <c r="CX73" i="19"/>
  <c r="CZ73" i="19" s="1"/>
  <c r="DA73" i="19" s="1"/>
  <c r="BV73" i="19"/>
  <c r="BX73" i="19" s="1"/>
  <c r="BY73" i="19" s="1"/>
  <c r="AX245" i="19"/>
  <c r="AZ245" i="19" s="1"/>
  <c r="DH245" i="19" s="1"/>
  <c r="I160" i="19"/>
  <c r="S160" i="19" s="1"/>
  <c r="U160" i="19" s="1"/>
  <c r="V160" i="19"/>
  <c r="X160" i="19" s="1"/>
  <c r="CF73" i="19"/>
  <c r="CH73" i="19" s="1"/>
  <c r="CI73" i="19" s="1"/>
  <c r="CT73" i="19"/>
  <c r="CV73" i="19" s="1"/>
  <c r="CW73" i="19" s="1"/>
  <c r="AB73" i="19"/>
  <c r="AD73" i="19" s="1"/>
  <c r="AE73" i="19" s="1"/>
  <c r="AP73" i="19"/>
  <c r="AR73" i="19" s="1"/>
  <c r="AS73" i="19" s="1"/>
  <c r="BD73" i="19"/>
  <c r="BF73" i="19" s="1"/>
  <c r="BG73" i="19" s="1"/>
  <c r="BR73" i="19"/>
  <c r="BT73" i="19" s="1"/>
  <c r="BU73" i="19" s="1"/>
  <c r="BZ245" i="19"/>
  <c r="CB245" i="19" s="1"/>
  <c r="DJ245" i="19" s="1"/>
  <c r="G248" i="19"/>
  <c r="C249" i="19"/>
  <c r="CR248" i="19"/>
  <c r="CU248" i="19" s="1"/>
  <c r="BP248" i="19"/>
  <c r="BS248" i="19" s="1"/>
  <c r="AN248" i="19"/>
  <c r="AQ248" i="19" s="1"/>
  <c r="BB248" i="19"/>
  <c r="BE248" i="19" s="1"/>
  <c r="CD248" i="19"/>
  <c r="CG248" i="19" s="1"/>
  <c r="Z248" i="19"/>
  <c r="AC248" i="19" s="1"/>
  <c r="DE248" i="19"/>
  <c r="CN245" i="19"/>
  <c r="CP245" i="19" s="1"/>
  <c r="DK245" i="19" s="1"/>
  <c r="G76" i="19"/>
  <c r="C77" i="19"/>
  <c r="BB76" i="19"/>
  <c r="BE76" i="19" s="1"/>
  <c r="Z76" i="19"/>
  <c r="AC76" i="19" s="1"/>
  <c r="CR76" i="19"/>
  <c r="CU76" i="19" s="1"/>
  <c r="CD76" i="19"/>
  <c r="CG76" i="19" s="1"/>
  <c r="BP76" i="19"/>
  <c r="BS76" i="19" s="1"/>
  <c r="DE76" i="19"/>
  <c r="AN76" i="19"/>
  <c r="AQ76" i="19" s="1"/>
  <c r="BH246" i="19"/>
  <c r="BJ246" i="19" s="1"/>
  <c r="BK246" i="19" s="1"/>
  <c r="BL245" i="19"/>
  <c r="BN245" i="19" s="1"/>
  <c r="DI245" i="19" s="1"/>
  <c r="DB245" i="19"/>
  <c r="DD245" i="19" s="1"/>
  <c r="DL245" i="19" s="1"/>
  <c r="AB246" i="19"/>
  <c r="AD246" i="19" s="1"/>
  <c r="AE246" i="19" s="1"/>
  <c r="AP246" i="19"/>
  <c r="AR246" i="19" s="1"/>
  <c r="AS246" i="19" s="1"/>
  <c r="BD246" i="19"/>
  <c r="BF246" i="19" s="1"/>
  <c r="BG246" i="19" s="1"/>
  <c r="BR246" i="19"/>
  <c r="BT246" i="19" s="1"/>
  <c r="BU246" i="19" s="1"/>
  <c r="CF246" i="19"/>
  <c r="CH246" i="19" s="1"/>
  <c r="CI246" i="19" s="1"/>
  <c r="CT246" i="19"/>
  <c r="CV246" i="19" s="1"/>
  <c r="CW246" i="19" s="1"/>
  <c r="C163" i="19"/>
  <c r="G162" i="19"/>
  <c r="CR162" i="19"/>
  <c r="CU162" i="19" s="1"/>
  <c r="BB162" i="19"/>
  <c r="BE162" i="19" s="1"/>
  <c r="BP162" i="19"/>
  <c r="BS162" i="19" s="1"/>
  <c r="CD162" i="19"/>
  <c r="CG162" i="19" s="1"/>
  <c r="DE162" i="19"/>
  <c r="Z162" i="19"/>
  <c r="AC162" i="19" s="1"/>
  <c r="AN162" i="19"/>
  <c r="AQ162" i="19" s="1"/>
  <c r="BD74" i="19"/>
  <c r="BF74" i="19" s="1"/>
  <c r="BG74" i="19" s="1"/>
  <c r="CT74" i="19"/>
  <c r="CV74" i="19" s="1"/>
  <c r="CW74" i="19" s="1"/>
  <c r="BR74" i="19"/>
  <c r="BT74" i="19" s="1"/>
  <c r="BU74" i="19" s="1"/>
  <c r="AP74" i="19"/>
  <c r="AR74" i="19" s="1"/>
  <c r="AS74" i="19" s="1"/>
  <c r="CF74" i="19"/>
  <c r="CH74" i="19" s="1"/>
  <c r="CI74" i="19" s="1"/>
  <c r="AB74" i="19"/>
  <c r="AD74" i="19" s="1"/>
  <c r="AE74" i="19" s="1"/>
  <c r="BV246" i="19" l="1"/>
  <c r="BX246" i="19" s="1"/>
  <c r="BY246" i="19" s="1"/>
  <c r="CX246" i="19"/>
  <c r="CZ246" i="19" s="1"/>
  <c r="DA246" i="19" s="1"/>
  <c r="AF246" i="19"/>
  <c r="AH246" i="19" s="1"/>
  <c r="AI246" i="19" s="1"/>
  <c r="AJ246" i="19" s="1"/>
  <c r="AL246" i="19" s="1"/>
  <c r="DG246" i="19" s="1"/>
  <c r="V161" i="19"/>
  <c r="X161" i="19" s="1"/>
  <c r="BH161" i="19" s="1"/>
  <c r="BJ161" i="19" s="1"/>
  <c r="BK161" i="19" s="1"/>
  <c r="F163" i="19"/>
  <c r="F249" i="19"/>
  <c r="H248" i="19"/>
  <c r="V248" i="19" s="1"/>
  <c r="X248" i="19" s="1"/>
  <c r="CJ246" i="19"/>
  <c r="CL246" i="19" s="1"/>
  <c r="CM246" i="19" s="1"/>
  <c r="H162" i="19"/>
  <c r="I162" i="19" s="1"/>
  <c r="S162" i="19" s="1"/>
  <c r="U162" i="19" s="1"/>
  <c r="I75" i="19"/>
  <c r="S75" i="19" s="1"/>
  <c r="U75" i="19" s="1"/>
  <c r="AB75" i="19" s="1"/>
  <c r="AD75" i="19" s="1"/>
  <c r="AE75" i="19" s="1"/>
  <c r="AT74" i="19"/>
  <c r="AV74" i="19" s="1"/>
  <c r="AW74" i="19" s="1"/>
  <c r="AX74" i="19" s="1"/>
  <c r="AZ74" i="19" s="1"/>
  <c r="DH74" i="19" s="1"/>
  <c r="CJ74" i="19"/>
  <c r="CL74" i="19" s="1"/>
  <c r="CM74" i="19" s="1"/>
  <c r="CN74" i="19" s="1"/>
  <c r="CP74" i="19" s="1"/>
  <c r="DK74" i="19" s="1"/>
  <c r="BV74" i="19"/>
  <c r="BX74" i="19" s="1"/>
  <c r="BY74" i="19" s="1"/>
  <c r="BZ74" i="19" s="1"/>
  <c r="CB74" i="19" s="1"/>
  <c r="DJ74" i="19" s="1"/>
  <c r="AF74" i="19"/>
  <c r="AH74" i="19" s="1"/>
  <c r="AI74" i="19" s="1"/>
  <c r="AJ74" i="19" s="1"/>
  <c r="AL74" i="19" s="1"/>
  <c r="DG74" i="19" s="1"/>
  <c r="CX74" i="19"/>
  <c r="CZ74" i="19" s="1"/>
  <c r="DA74" i="19" s="1"/>
  <c r="DB74" i="19" s="1"/>
  <c r="DD74" i="19" s="1"/>
  <c r="DL74" i="19" s="1"/>
  <c r="DB246" i="19"/>
  <c r="DD246" i="19" s="1"/>
  <c r="DL246" i="19" s="1"/>
  <c r="AJ159" i="19"/>
  <c r="AL159" i="19" s="1"/>
  <c r="DG159" i="19" s="1"/>
  <c r="AX159" i="19"/>
  <c r="AZ159" i="19" s="1"/>
  <c r="DH159" i="19" s="1"/>
  <c r="DB159" i="19"/>
  <c r="DD159" i="19" s="1"/>
  <c r="CN73" i="19"/>
  <c r="CP73" i="19" s="1"/>
  <c r="DK73" i="19" s="1"/>
  <c r="BL73" i="19"/>
  <c r="BN73" i="19" s="1"/>
  <c r="DI73" i="19" s="1"/>
  <c r="H76" i="19"/>
  <c r="BL159" i="19"/>
  <c r="BN159" i="19" s="1"/>
  <c r="DI159" i="19" s="1"/>
  <c r="AF75" i="19"/>
  <c r="AH75" i="19" s="1"/>
  <c r="AI75" i="19" s="1"/>
  <c r="BH75" i="19"/>
  <c r="BJ75" i="19" s="1"/>
  <c r="BK75" i="19" s="1"/>
  <c r="CJ75" i="19"/>
  <c r="CL75" i="19" s="1"/>
  <c r="CM75" i="19" s="1"/>
  <c r="BV75" i="19"/>
  <c r="BX75" i="19" s="1"/>
  <c r="BY75" i="19" s="1"/>
  <c r="AT75" i="19"/>
  <c r="AV75" i="19" s="1"/>
  <c r="AW75" i="19" s="1"/>
  <c r="CX75" i="19"/>
  <c r="CZ75" i="19" s="1"/>
  <c r="DA75" i="19" s="1"/>
  <c r="G77" i="19"/>
  <c r="C78" i="19"/>
  <c r="BB77" i="19"/>
  <c r="BE77" i="19" s="1"/>
  <c r="DE77" i="19"/>
  <c r="CD77" i="19"/>
  <c r="CG77" i="19" s="1"/>
  <c r="CR77" i="19"/>
  <c r="CU77" i="19" s="1"/>
  <c r="Z77" i="19"/>
  <c r="AC77" i="19" s="1"/>
  <c r="AN77" i="19"/>
  <c r="AQ77" i="19" s="1"/>
  <c r="BP77" i="19"/>
  <c r="BS77" i="19" s="1"/>
  <c r="CN159" i="19"/>
  <c r="CP159" i="19" s="1"/>
  <c r="AX246" i="19"/>
  <c r="AZ246" i="19" s="1"/>
  <c r="DH246" i="19" s="1"/>
  <c r="CN246" i="19"/>
  <c r="CP246" i="19" s="1"/>
  <c r="DK246" i="19" s="1"/>
  <c r="BZ159" i="19"/>
  <c r="CB159" i="19" s="1"/>
  <c r="BL246" i="19"/>
  <c r="BN246" i="19" s="1"/>
  <c r="DI246" i="19" s="1"/>
  <c r="BH160" i="19"/>
  <c r="BJ160" i="19" s="1"/>
  <c r="BK160" i="19" s="1"/>
  <c r="BV160" i="19"/>
  <c r="BX160" i="19" s="1"/>
  <c r="BY160" i="19" s="1"/>
  <c r="AT160" i="19"/>
  <c r="AV160" i="19" s="1"/>
  <c r="AW160" i="19" s="1"/>
  <c r="CX160" i="19"/>
  <c r="CZ160" i="19" s="1"/>
  <c r="DA160" i="19" s="1"/>
  <c r="AF160" i="19"/>
  <c r="AH160" i="19" s="1"/>
  <c r="AI160" i="19" s="1"/>
  <c r="CJ160" i="19"/>
  <c r="CL160" i="19" s="1"/>
  <c r="CM160" i="19" s="1"/>
  <c r="BR160" i="19"/>
  <c r="BT160" i="19" s="1"/>
  <c r="BU160" i="19" s="1"/>
  <c r="CF160" i="19"/>
  <c r="CH160" i="19" s="1"/>
  <c r="CI160" i="19" s="1"/>
  <c r="AB160" i="19"/>
  <c r="AD160" i="19" s="1"/>
  <c r="AE160" i="19" s="1"/>
  <c r="BD160" i="19"/>
  <c r="BF160" i="19" s="1"/>
  <c r="BG160" i="19" s="1"/>
  <c r="CT160" i="19"/>
  <c r="CV160" i="19" s="1"/>
  <c r="CW160" i="19" s="1"/>
  <c r="AP160" i="19"/>
  <c r="AR160" i="19" s="1"/>
  <c r="AS160" i="19" s="1"/>
  <c r="BL74" i="19"/>
  <c r="BN74" i="19" s="1"/>
  <c r="DI74" i="19" s="1"/>
  <c r="BZ246" i="19"/>
  <c r="CB246" i="19" s="1"/>
  <c r="DJ246" i="19" s="1"/>
  <c r="AF247" i="19"/>
  <c r="AH247" i="19" s="1"/>
  <c r="AI247" i="19" s="1"/>
  <c r="AT247" i="19"/>
  <c r="AV247" i="19" s="1"/>
  <c r="AW247" i="19" s="1"/>
  <c r="BH247" i="19"/>
  <c r="BJ247" i="19" s="1"/>
  <c r="BK247" i="19" s="1"/>
  <c r="CX247" i="19"/>
  <c r="CZ247" i="19" s="1"/>
  <c r="DA247" i="19" s="1"/>
  <c r="BV247" i="19"/>
  <c r="BX247" i="19" s="1"/>
  <c r="BY247" i="19" s="1"/>
  <c r="CJ247" i="19"/>
  <c r="CL247" i="19" s="1"/>
  <c r="CM247" i="19" s="1"/>
  <c r="F77" i="19"/>
  <c r="G249" i="19"/>
  <c r="H249" i="19" s="1"/>
  <c r="C250" i="19"/>
  <c r="F250" i="19" s="1"/>
  <c r="BP249" i="19"/>
  <c r="BS249" i="19" s="1"/>
  <c r="BB249" i="19"/>
  <c r="BE249" i="19" s="1"/>
  <c r="AN249" i="19"/>
  <c r="AQ249" i="19" s="1"/>
  <c r="CR249" i="19"/>
  <c r="CU249" i="19" s="1"/>
  <c r="Z249" i="19"/>
  <c r="AC249" i="19" s="1"/>
  <c r="DE249" i="19"/>
  <c r="CD249" i="19"/>
  <c r="CG249" i="19" s="1"/>
  <c r="AP247" i="19"/>
  <c r="AR247" i="19" s="1"/>
  <c r="AS247" i="19" s="1"/>
  <c r="BR247" i="19"/>
  <c r="BT247" i="19" s="1"/>
  <c r="BU247" i="19" s="1"/>
  <c r="CT247" i="19"/>
  <c r="CV247" i="19" s="1"/>
  <c r="CW247" i="19" s="1"/>
  <c r="AB247" i="19"/>
  <c r="AD247" i="19" s="1"/>
  <c r="AE247" i="19" s="1"/>
  <c r="BD247" i="19"/>
  <c r="BF247" i="19" s="1"/>
  <c r="BG247" i="19" s="1"/>
  <c r="CF247" i="19"/>
  <c r="CH247" i="19" s="1"/>
  <c r="CI247" i="19" s="1"/>
  <c r="BZ73" i="19"/>
  <c r="CB73" i="19" s="1"/>
  <c r="DJ73" i="19" s="1"/>
  <c r="DB73" i="19"/>
  <c r="DD73" i="19" s="1"/>
  <c r="DL73" i="19" s="1"/>
  <c r="AB161" i="19"/>
  <c r="AD161" i="19" s="1"/>
  <c r="AE161" i="19" s="1"/>
  <c r="BR161" i="19"/>
  <c r="BT161" i="19" s="1"/>
  <c r="BU161" i="19" s="1"/>
  <c r="CF161" i="19"/>
  <c r="CH161" i="19" s="1"/>
  <c r="CI161" i="19" s="1"/>
  <c r="CT161" i="19"/>
  <c r="CV161" i="19" s="1"/>
  <c r="CW161" i="19" s="1"/>
  <c r="AP161" i="19"/>
  <c r="AR161" i="19" s="1"/>
  <c r="AS161" i="19" s="1"/>
  <c r="BD161" i="19"/>
  <c r="BF161" i="19" s="1"/>
  <c r="BG161" i="19" s="1"/>
  <c r="C164" i="19"/>
  <c r="G163" i="19"/>
  <c r="H163" i="19" s="1"/>
  <c r="CR163" i="19"/>
  <c r="CU163" i="19" s="1"/>
  <c r="DE163" i="19"/>
  <c r="AN163" i="19"/>
  <c r="AQ163" i="19" s="1"/>
  <c r="Z163" i="19"/>
  <c r="AC163" i="19" s="1"/>
  <c r="CD163" i="19"/>
  <c r="CG163" i="19" s="1"/>
  <c r="BP163" i="19"/>
  <c r="BS163" i="19" s="1"/>
  <c r="BB163" i="19"/>
  <c r="BE163" i="19" s="1"/>
  <c r="AX73" i="19"/>
  <c r="AZ73" i="19" s="1"/>
  <c r="DH73" i="19" s="1"/>
  <c r="AJ73" i="19"/>
  <c r="AL73" i="19" s="1"/>
  <c r="DG73" i="19" s="1"/>
  <c r="CJ161" i="19" l="1"/>
  <c r="CL161" i="19" s="1"/>
  <c r="CM161" i="19" s="1"/>
  <c r="CN161" i="19" s="1"/>
  <c r="CP161" i="19" s="1"/>
  <c r="AF161" i="19"/>
  <c r="AH161" i="19" s="1"/>
  <c r="AI161" i="19" s="1"/>
  <c r="AJ161" i="19" s="1"/>
  <c r="AL161" i="19" s="1"/>
  <c r="DG161" i="19" s="1"/>
  <c r="BV161" i="19"/>
  <c r="BX161" i="19" s="1"/>
  <c r="BY161" i="19" s="1"/>
  <c r="AT161" i="19"/>
  <c r="AV161" i="19" s="1"/>
  <c r="AW161" i="19" s="1"/>
  <c r="CX161" i="19"/>
  <c r="CZ161" i="19" s="1"/>
  <c r="DA161" i="19" s="1"/>
  <c r="DB161" i="19" s="1"/>
  <c r="DD161" i="19" s="1"/>
  <c r="I248" i="19"/>
  <c r="S248" i="19" s="1"/>
  <c r="U248" i="19" s="1"/>
  <c r="BR248" i="19" s="1"/>
  <c r="BT248" i="19" s="1"/>
  <c r="BU248" i="19" s="1"/>
  <c r="CF75" i="19"/>
  <c r="CH75" i="19" s="1"/>
  <c r="CI75" i="19" s="1"/>
  <c r="CN75" i="19" s="1"/>
  <c r="CP75" i="19" s="1"/>
  <c r="DK75" i="19" s="1"/>
  <c r="V162" i="19"/>
  <c r="X162" i="19" s="1"/>
  <c r="BH162" i="19" s="1"/>
  <c r="BJ162" i="19" s="1"/>
  <c r="BK162" i="19" s="1"/>
  <c r="CT75" i="19"/>
  <c r="CV75" i="19" s="1"/>
  <c r="CW75" i="19" s="1"/>
  <c r="DB75" i="19" s="1"/>
  <c r="DD75" i="19" s="1"/>
  <c r="DL75" i="19" s="1"/>
  <c r="BR75" i="19"/>
  <c r="BT75" i="19" s="1"/>
  <c r="BU75" i="19" s="1"/>
  <c r="BZ75" i="19" s="1"/>
  <c r="CB75" i="19" s="1"/>
  <c r="DJ75" i="19" s="1"/>
  <c r="BD75" i="19"/>
  <c r="BF75" i="19" s="1"/>
  <c r="BG75" i="19" s="1"/>
  <c r="BL75" i="19" s="1"/>
  <c r="BN75" i="19" s="1"/>
  <c r="DI75" i="19" s="1"/>
  <c r="AP75" i="19"/>
  <c r="AR75" i="19" s="1"/>
  <c r="AS75" i="19" s="1"/>
  <c r="AX75" i="19" s="1"/>
  <c r="AZ75" i="19" s="1"/>
  <c r="DH75" i="19" s="1"/>
  <c r="H77" i="19"/>
  <c r="V77" i="19" s="1"/>
  <c r="X77" i="19" s="1"/>
  <c r="CN160" i="19"/>
  <c r="CP160" i="19" s="1"/>
  <c r="AJ160" i="19"/>
  <c r="AL160" i="19" s="1"/>
  <c r="DG160" i="19" s="1"/>
  <c r="DB160" i="19"/>
  <c r="DD160" i="19" s="1"/>
  <c r="AX160" i="19"/>
  <c r="AZ160" i="19" s="1"/>
  <c r="DH160" i="19" s="1"/>
  <c r="CN247" i="19"/>
  <c r="CP247" i="19" s="1"/>
  <c r="DK247" i="19" s="1"/>
  <c r="BL247" i="19"/>
  <c r="BN247" i="19" s="1"/>
  <c r="DI247" i="19" s="1"/>
  <c r="DB247" i="19"/>
  <c r="DD247" i="19" s="1"/>
  <c r="DL247" i="19" s="1"/>
  <c r="BL161" i="19"/>
  <c r="BN161" i="19" s="1"/>
  <c r="DI161" i="19" s="1"/>
  <c r="I249" i="19"/>
  <c r="S249" i="19" s="1"/>
  <c r="U249" i="19" s="1"/>
  <c r="V249" i="19"/>
  <c r="X249" i="19" s="1"/>
  <c r="G250" i="19"/>
  <c r="H250" i="19" s="1"/>
  <c r="C251" i="19"/>
  <c r="DE250" i="19"/>
  <c r="CR250" i="19"/>
  <c r="CU250" i="19" s="1"/>
  <c r="CD250" i="19"/>
  <c r="CG250" i="19" s="1"/>
  <c r="BP250" i="19"/>
  <c r="BS250" i="19" s="1"/>
  <c r="BB250" i="19"/>
  <c r="BE250" i="19" s="1"/>
  <c r="Z250" i="19"/>
  <c r="AC250" i="19" s="1"/>
  <c r="AN250" i="19"/>
  <c r="AQ250" i="19" s="1"/>
  <c r="AJ75" i="19"/>
  <c r="AL75" i="19" s="1"/>
  <c r="DG75" i="19" s="1"/>
  <c r="I163" i="19"/>
  <c r="S163" i="19" s="1"/>
  <c r="U163" i="19" s="1"/>
  <c r="V163" i="19"/>
  <c r="X163" i="19" s="1"/>
  <c r="G164" i="19"/>
  <c r="C165" i="19"/>
  <c r="AN164" i="19"/>
  <c r="AQ164" i="19" s="1"/>
  <c r="CD164" i="19"/>
  <c r="CG164" i="19" s="1"/>
  <c r="Z164" i="19"/>
  <c r="AC164" i="19" s="1"/>
  <c r="CR164" i="19"/>
  <c r="CU164" i="19" s="1"/>
  <c r="BP164" i="19"/>
  <c r="BS164" i="19" s="1"/>
  <c r="BB164" i="19"/>
  <c r="BE164" i="19" s="1"/>
  <c r="DE164" i="19"/>
  <c r="F78" i="19"/>
  <c r="BZ247" i="19"/>
  <c r="CB247" i="19" s="1"/>
  <c r="DJ247" i="19" s="1"/>
  <c r="I76" i="19"/>
  <c r="S76" i="19" s="1"/>
  <c r="U76" i="19" s="1"/>
  <c r="V76" i="19"/>
  <c r="X76" i="19" s="1"/>
  <c r="AX247" i="19"/>
  <c r="AZ247" i="19" s="1"/>
  <c r="DH247" i="19" s="1"/>
  <c r="F164" i="19"/>
  <c r="AJ247" i="19"/>
  <c r="AL247" i="19" s="1"/>
  <c r="DG247" i="19" s="1"/>
  <c r="BZ160" i="19"/>
  <c r="CB160" i="19" s="1"/>
  <c r="CX248" i="19"/>
  <c r="CZ248" i="19" s="1"/>
  <c r="DA248" i="19" s="1"/>
  <c r="BV248" i="19"/>
  <c r="BX248" i="19" s="1"/>
  <c r="BY248" i="19" s="1"/>
  <c r="AF248" i="19"/>
  <c r="AH248" i="19" s="1"/>
  <c r="AI248" i="19" s="1"/>
  <c r="AT248" i="19"/>
  <c r="AV248" i="19" s="1"/>
  <c r="AW248" i="19" s="1"/>
  <c r="CJ248" i="19"/>
  <c r="CL248" i="19" s="1"/>
  <c r="CM248" i="19" s="1"/>
  <c r="BH248" i="19"/>
  <c r="BJ248" i="19" s="1"/>
  <c r="BK248" i="19" s="1"/>
  <c r="BZ161" i="19"/>
  <c r="CB161" i="19" s="1"/>
  <c r="BL160" i="19"/>
  <c r="BN160" i="19" s="1"/>
  <c r="DI160" i="19" s="1"/>
  <c r="CT248" i="19"/>
  <c r="CV248" i="19" s="1"/>
  <c r="CW248" i="19" s="1"/>
  <c r="AP248" i="19"/>
  <c r="AR248" i="19" s="1"/>
  <c r="AS248" i="19" s="1"/>
  <c r="BD248" i="19"/>
  <c r="BF248" i="19" s="1"/>
  <c r="BG248" i="19" s="1"/>
  <c r="AB248" i="19"/>
  <c r="AD248" i="19" s="1"/>
  <c r="AE248" i="19" s="1"/>
  <c r="AX161" i="19"/>
  <c r="AZ161" i="19" s="1"/>
  <c r="DH161" i="19" s="1"/>
  <c r="C79" i="19"/>
  <c r="G78" i="19"/>
  <c r="BB78" i="19"/>
  <c r="BE78" i="19" s="1"/>
  <c r="AN78" i="19"/>
  <c r="AQ78" i="19" s="1"/>
  <c r="CD78" i="19"/>
  <c r="CG78" i="19" s="1"/>
  <c r="DE78" i="19"/>
  <c r="CR78" i="19"/>
  <c r="CU78" i="19" s="1"/>
  <c r="BP78" i="19"/>
  <c r="BS78" i="19" s="1"/>
  <c r="Z78" i="19"/>
  <c r="AC78" i="19" s="1"/>
  <c r="BD162" i="19"/>
  <c r="BF162" i="19" s="1"/>
  <c r="BG162" i="19" s="1"/>
  <c r="AP162" i="19"/>
  <c r="AR162" i="19" s="1"/>
  <c r="AS162" i="19" s="1"/>
  <c r="BR162" i="19"/>
  <c r="BT162" i="19" s="1"/>
  <c r="BU162" i="19" s="1"/>
  <c r="CF162" i="19"/>
  <c r="CH162" i="19" s="1"/>
  <c r="CI162" i="19" s="1"/>
  <c r="CT162" i="19"/>
  <c r="CV162" i="19" s="1"/>
  <c r="CW162" i="19" s="1"/>
  <c r="AB162" i="19"/>
  <c r="AD162" i="19" s="1"/>
  <c r="AE162" i="19" s="1"/>
  <c r="D68" i="20"/>
  <c r="D66" i="20"/>
  <c r="CF248" i="19" l="1"/>
  <c r="CH248" i="19" s="1"/>
  <c r="CI248" i="19" s="1"/>
  <c r="BV162" i="19"/>
  <c r="BX162" i="19" s="1"/>
  <c r="BY162" i="19" s="1"/>
  <c r="BZ162" i="19" s="1"/>
  <c r="CB162" i="19" s="1"/>
  <c r="CX162" i="19"/>
  <c r="CZ162" i="19" s="1"/>
  <c r="DA162" i="19" s="1"/>
  <c r="DB162" i="19" s="1"/>
  <c r="DD162" i="19" s="1"/>
  <c r="CJ162" i="19"/>
  <c r="CL162" i="19" s="1"/>
  <c r="CM162" i="19" s="1"/>
  <c r="CN162" i="19" s="1"/>
  <c r="CP162" i="19" s="1"/>
  <c r="AF162" i="19"/>
  <c r="AH162" i="19" s="1"/>
  <c r="AI162" i="19" s="1"/>
  <c r="AJ162" i="19" s="1"/>
  <c r="AL162" i="19" s="1"/>
  <c r="DG162" i="19" s="1"/>
  <c r="AT162" i="19"/>
  <c r="AV162" i="19" s="1"/>
  <c r="AW162" i="19" s="1"/>
  <c r="I77" i="19"/>
  <c r="S77" i="19" s="1"/>
  <c r="U77" i="19" s="1"/>
  <c r="BD77" i="19" s="1"/>
  <c r="BF77" i="19" s="1"/>
  <c r="BG77" i="19" s="1"/>
  <c r="CN248" i="19"/>
  <c r="CP248" i="19" s="1"/>
  <c r="DK248" i="19" s="1"/>
  <c r="AJ248" i="19"/>
  <c r="AL248" i="19" s="1"/>
  <c r="DG248" i="19" s="1"/>
  <c r="BZ248" i="19"/>
  <c r="CB248" i="19" s="1"/>
  <c r="DJ248" i="19" s="1"/>
  <c r="F165" i="19"/>
  <c r="AX248" i="19"/>
  <c r="AZ248" i="19" s="1"/>
  <c r="DH248" i="19" s="1"/>
  <c r="CF76" i="19"/>
  <c r="CH76" i="19" s="1"/>
  <c r="CI76" i="19" s="1"/>
  <c r="CT76" i="19"/>
  <c r="CV76" i="19" s="1"/>
  <c r="CW76" i="19" s="1"/>
  <c r="BD76" i="19"/>
  <c r="BF76" i="19" s="1"/>
  <c r="BG76" i="19" s="1"/>
  <c r="AB76" i="19"/>
  <c r="AD76" i="19" s="1"/>
  <c r="AE76" i="19" s="1"/>
  <c r="AP76" i="19"/>
  <c r="AR76" i="19" s="1"/>
  <c r="AS76" i="19" s="1"/>
  <c r="BR76" i="19"/>
  <c r="BT76" i="19" s="1"/>
  <c r="BU76" i="19" s="1"/>
  <c r="CT163" i="19"/>
  <c r="CV163" i="19" s="1"/>
  <c r="CW163" i="19" s="1"/>
  <c r="AB163" i="19"/>
  <c r="AD163" i="19" s="1"/>
  <c r="AE163" i="19" s="1"/>
  <c r="BD163" i="19"/>
  <c r="BF163" i="19" s="1"/>
  <c r="BG163" i="19" s="1"/>
  <c r="AP163" i="19"/>
  <c r="AR163" i="19" s="1"/>
  <c r="AS163" i="19" s="1"/>
  <c r="BR163" i="19"/>
  <c r="BT163" i="19" s="1"/>
  <c r="BU163" i="19" s="1"/>
  <c r="CF163" i="19"/>
  <c r="CH163" i="19" s="1"/>
  <c r="CI163" i="19" s="1"/>
  <c r="DB248" i="19"/>
  <c r="DD248" i="19" s="1"/>
  <c r="DL248" i="19" s="1"/>
  <c r="CX77" i="19"/>
  <c r="CZ77" i="19" s="1"/>
  <c r="DA77" i="19" s="1"/>
  <c r="CJ77" i="19"/>
  <c r="CL77" i="19" s="1"/>
  <c r="CM77" i="19" s="1"/>
  <c r="BV77" i="19"/>
  <c r="BX77" i="19" s="1"/>
  <c r="BY77" i="19" s="1"/>
  <c r="AF77" i="19"/>
  <c r="AH77" i="19" s="1"/>
  <c r="AI77" i="19" s="1"/>
  <c r="BH77" i="19"/>
  <c r="BJ77" i="19" s="1"/>
  <c r="BK77" i="19" s="1"/>
  <c r="AT77" i="19"/>
  <c r="AV77" i="19" s="1"/>
  <c r="AW77" i="19" s="1"/>
  <c r="H78" i="19"/>
  <c r="C252" i="19"/>
  <c r="G251" i="19"/>
  <c r="Z251" i="19"/>
  <c r="AC251" i="19" s="1"/>
  <c r="DE251" i="19"/>
  <c r="BB251" i="19"/>
  <c r="BE251" i="19" s="1"/>
  <c r="BP251" i="19"/>
  <c r="BS251" i="19" s="1"/>
  <c r="CR251" i="19"/>
  <c r="CU251" i="19" s="1"/>
  <c r="AN251" i="19"/>
  <c r="AQ251" i="19" s="1"/>
  <c r="CD251" i="19"/>
  <c r="CG251" i="19" s="1"/>
  <c r="G79" i="19"/>
  <c r="C80" i="19"/>
  <c r="CR79" i="19"/>
  <c r="CU79" i="19" s="1"/>
  <c r="CD79" i="19"/>
  <c r="CG79" i="19" s="1"/>
  <c r="BP79" i="19"/>
  <c r="BS79" i="19" s="1"/>
  <c r="BB79" i="19"/>
  <c r="BE79" i="19" s="1"/>
  <c r="AN79" i="19"/>
  <c r="AQ79" i="19" s="1"/>
  <c r="DE79" i="19"/>
  <c r="Z79" i="19"/>
  <c r="AC79" i="19" s="1"/>
  <c r="BL162" i="19"/>
  <c r="BN162" i="19" s="1"/>
  <c r="DI162" i="19" s="1"/>
  <c r="F79" i="19"/>
  <c r="I250" i="19"/>
  <c r="S250" i="19" s="1"/>
  <c r="U250" i="19" s="1"/>
  <c r="V250" i="19"/>
  <c r="X250" i="19" s="1"/>
  <c r="G165" i="19"/>
  <c r="C166" i="19"/>
  <c r="BB165" i="19"/>
  <c r="BE165" i="19" s="1"/>
  <c r="AN165" i="19"/>
  <c r="AQ165" i="19" s="1"/>
  <c r="DE165" i="19"/>
  <c r="CD165" i="19"/>
  <c r="CG165" i="19" s="1"/>
  <c r="CR165" i="19"/>
  <c r="CU165" i="19" s="1"/>
  <c r="BP165" i="19"/>
  <c r="BS165" i="19" s="1"/>
  <c r="Z165" i="19"/>
  <c r="AC165" i="19" s="1"/>
  <c r="F251" i="19"/>
  <c r="CJ249" i="19"/>
  <c r="CL249" i="19" s="1"/>
  <c r="CM249" i="19" s="1"/>
  <c r="AF249" i="19"/>
  <c r="AH249" i="19" s="1"/>
  <c r="AI249" i="19" s="1"/>
  <c r="AT249" i="19"/>
  <c r="AV249" i="19" s="1"/>
  <c r="AW249" i="19" s="1"/>
  <c r="BH249" i="19"/>
  <c r="BJ249" i="19" s="1"/>
  <c r="BK249" i="19" s="1"/>
  <c r="BV249" i="19"/>
  <c r="BX249" i="19" s="1"/>
  <c r="BY249" i="19" s="1"/>
  <c r="CX249" i="19"/>
  <c r="CZ249" i="19" s="1"/>
  <c r="DA249" i="19" s="1"/>
  <c r="AX162" i="19"/>
  <c r="AZ162" i="19" s="1"/>
  <c r="DH162" i="19" s="1"/>
  <c r="BL248" i="19"/>
  <c r="BN248" i="19" s="1"/>
  <c r="DI248" i="19" s="1"/>
  <c r="H164" i="19"/>
  <c r="BR249" i="19"/>
  <c r="BT249" i="19" s="1"/>
  <c r="BU249" i="19" s="1"/>
  <c r="CT249" i="19"/>
  <c r="CV249" i="19" s="1"/>
  <c r="CW249" i="19" s="1"/>
  <c r="AB249" i="19"/>
  <c r="AD249" i="19" s="1"/>
  <c r="AE249" i="19" s="1"/>
  <c r="BD249" i="19"/>
  <c r="BF249" i="19" s="1"/>
  <c r="BG249" i="19" s="1"/>
  <c r="CF249" i="19"/>
  <c r="CH249" i="19" s="1"/>
  <c r="CI249" i="19" s="1"/>
  <c r="AP249" i="19"/>
  <c r="AR249" i="19" s="1"/>
  <c r="AS249" i="19" s="1"/>
  <c r="BH76" i="19"/>
  <c r="BJ76" i="19" s="1"/>
  <c r="BK76" i="19" s="1"/>
  <c r="CJ76" i="19"/>
  <c r="CL76" i="19" s="1"/>
  <c r="CM76" i="19" s="1"/>
  <c r="BV76" i="19"/>
  <c r="BX76" i="19" s="1"/>
  <c r="BY76" i="19" s="1"/>
  <c r="CX76" i="19"/>
  <c r="CZ76" i="19" s="1"/>
  <c r="DA76" i="19" s="1"/>
  <c r="AT76" i="19"/>
  <c r="AV76" i="19" s="1"/>
  <c r="AW76" i="19" s="1"/>
  <c r="AF76" i="19"/>
  <c r="AH76" i="19" s="1"/>
  <c r="AI76" i="19" s="1"/>
  <c r="BV163" i="19"/>
  <c r="BX163" i="19" s="1"/>
  <c r="BY163" i="19" s="1"/>
  <c r="BH163" i="19"/>
  <c r="BJ163" i="19" s="1"/>
  <c r="BK163" i="19" s="1"/>
  <c r="AT163" i="19"/>
  <c r="AV163" i="19" s="1"/>
  <c r="AW163" i="19" s="1"/>
  <c r="CJ163" i="19"/>
  <c r="CL163" i="19" s="1"/>
  <c r="CM163" i="19" s="1"/>
  <c r="AF163" i="19"/>
  <c r="AH163" i="19" s="1"/>
  <c r="AI163" i="19" s="1"/>
  <c r="CX163" i="19"/>
  <c r="CZ163" i="19" s="1"/>
  <c r="DA163" i="19" s="1"/>
  <c r="D67" i="20"/>
  <c r="CN163" i="19" l="1"/>
  <c r="CP163" i="19" s="1"/>
  <c r="CF77" i="19"/>
  <c r="CH77" i="19" s="1"/>
  <c r="CI77" i="19" s="1"/>
  <c r="CN77" i="19" s="1"/>
  <c r="CP77" i="19" s="1"/>
  <c r="DK77" i="19" s="1"/>
  <c r="CT77" i="19"/>
  <c r="CV77" i="19" s="1"/>
  <c r="CW77" i="19" s="1"/>
  <c r="DB77" i="19" s="1"/>
  <c r="DD77" i="19" s="1"/>
  <c r="DL77" i="19" s="1"/>
  <c r="BR77" i="19"/>
  <c r="BT77" i="19" s="1"/>
  <c r="BU77" i="19" s="1"/>
  <c r="BZ77" i="19" s="1"/>
  <c r="CB77" i="19" s="1"/>
  <c r="DJ77" i="19" s="1"/>
  <c r="AP77" i="19"/>
  <c r="AR77" i="19" s="1"/>
  <c r="AS77" i="19" s="1"/>
  <c r="AX77" i="19" s="1"/>
  <c r="AZ77" i="19" s="1"/>
  <c r="DH77" i="19" s="1"/>
  <c r="AB77" i="19"/>
  <c r="AD77" i="19" s="1"/>
  <c r="AE77" i="19" s="1"/>
  <c r="AJ77" i="19" s="1"/>
  <c r="AL77" i="19" s="1"/>
  <c r="DG77" i="19" s="1"/>
  <c r="F166" i="19"/>
  <c r="H165" i="19"/>
  <c r="I165" i="19" s="1"/>
  <c r="S165" i="19" s="1"/>
  <c r="U165" i="19" s="1"/>
  <c r="H251" i="19"/>
  <c r="I251" i="19" s="1"/>
  <c r="S251" i="19" s="1"/>
  <c r="U251" i="19" s="1"/>
  <c r="DB163" i="19"/>
  <c r="DD163" i="19" s="1"/>
  <c r="CN76" i="19"/>
  <c r="CP76" i="19" s="1"/>
  <c r="DK76" i="19" s="1"/>
  <c r="DB76" i="19"/>
  <c r="DD76" i="19" s="1"/>
  <c r="DL76" i="19" s="1"/>
  <c r="AJ163" i="19"/>
  <c r="AL163" i="19" s="1"/>
  <c r="DG163" i="19" s="1"/>
  <c r="BL76" i="19"/>
  <c r="BN76" i="19" s="1"/>
  <c r="DI76" i="19" s="1"/>
  <c r="F80" i="19"/>
  <c r="AJ76" i="19"/>
  <c r="AL76" i="19" s="1"/>
  <c r="DG76" i="19" s="1"/>
  <c r="DB249" i="19"/>
  <c r="DD249" i="19" s="1"/>
  <c r="DL249" i="19" s="1"/>
  <c r="H79" i="19"/>
  <c r="V79" i="19" s="1"/>
  <c r="X79" i="19" s="1"/>
  <c r="AX163" i="19"/>
  <c r="AZ163" i="19" s="1"/>
  <c r="DH163" i="19" s="1"/>
  <c r="AX249" i="19"/>
  <c r="AZ249" i="19" s="1"/>
  <c r="DH249" i="19" s="1"/>
  <c r="BL163" i="19"/>
  <c r="BN163" i="19" s="1"/>
  <c r="DI163" i="19" s="1"/>
  <c r="AX76" i="19"/>
  <c r="AZ76" i="19" s="1"/>
  <c r="DH76" i="19" s="1"/>
  <c r="BZ76" i="19"/>
  <c r="CB76" i="19" s="1"/>
  <c r="DJ76" i="19" s="1"/>
  <c r="AJ249" i="19"/>
  <c r="AL249" i="19" s="1"/>
  <c r="DG249" i="19" s="1"/>
  <c r="BZ163" i="19"/>
  <c r="CB163" i="19" s="1"/>
  <c r="CN249" i="19"/>
  <c r="CP249" i="19" s="1"/>
  <c r="DK249" i="19" s="1"/>
  <c r="I78" i="19"/>
  <c r="S78" i="19" s="1"/>
  <c r="U78" i="19" s="1"/>
  <c r="V78" i="19"/>
  <c r="X78" i="19" s="1"/>
  <c r="BV250" i="19"/>
  <c r="BX250" i="19" s="1"/>
  <c r="BY250" i="19" s="1"/>
  <c r="CX250" i="19"/>
  <c r="CZ250" i="19" s="1"/>
  <c r="DA250" i="19" s="1"/>
  <c r="BH250" i="19"/>
  <c r="BJ250" i="19" s="1"/>
  <c r="BK250" i="19" s="1"/>
  <c r="AF250" i="19"/>
  <c r="AH250" i="19" s="1"/>
  <c r="AI250" i="19" s="1"/>
  <c r="CJ250" i="19"/>
  <c r="CL250" i="19" s="1"/>
  <c r="CM250" i="19" s="1"/>
  <c r="AT250" i="19"/>
  <c r="AV250" i="19" s="1"/>
  <c r="AW250" i="19" s="1"/>
  <c r="CT250" i="19"/>
  <c r="CV250" i="19" s="1"/>
  <c r="CW250" i="19" s="1"/>
  <c r="BD250" i="19"/>
  <c r="BF250" i="19" s="1"/>
  <c r="BG250" i="19" s="1"/>
  <c r="AB250" i="19"/>
  <c r="AD250" i="19" s="1"/>
  <c r="AE250" i="19" s="1"/>
  <c r="AP250" i="19"/>
  <c r="AR250" i="19" s="1"/>
  <c r="AS250" i="19" s="1"/>
  <c r="CF250" i="19"/>
  <c r="CH250" i="19" s="1"/>
  <c r="CI250" i="19" s="1"/>
  <c r="BR250" i="19"/>
  <c r="BT250" i="19" s="1"/>
  <c r="BU250" i="19" s="1"/>
  <c r="G252" i="19"/>
  <c r="C253" i="19"/>
  <c r="BB252" i="19"/>
  <c r="BE252" i="19" s="1"/>
  <c r="AN252" i="19"/>
  <c r="AQ252" i="19" s="1"/>
  <c r="Z252" i="19"/>
  <c r="AC252" i="19" s="1"/>
  <c r="CR252" i="19"/>
  <c r="CU252" i="19" s="1"/>
  <c r="CD252" i="19"/>
  <c r="CG252" i="19" s="1"/>
  <c r="BP252" i="19"/>
  <c r="BS252" i="19" s="1"/>
  <c r="DE252" i="19"/>
  <c r="G80" i="19"/>
  <c r="C81" i="19"/>
  <c r="DE80" i="19"/>
  <c r="Z80" i="19"/>
  <c r="AC80" i="19" s="1"/>
  <c r="CR80" i="19"/>
  <c r="CU80" i="19" s="1"/>
  <c r="CD80" i="19"/>
  <c r="CG80" i="19" s="1"/>
  <c r="BP80" i="19"/>
  <c r="BS80" i="19" s="1"/>
  <c r="BB80" i="19"/>
  <c r="BE80" i="19" s="1"/>
  <c r="AN80" i="19"/>
  <c r="AQ80" i="19" s="1"/>
  <c r="F252" i="19"/>
  <c r="C167" i="19"/>
  <c r="G166" i="19"/>
  <c r="BB166" i="19"/>
  <c r="BE166" i="19" s="1"/>
  <c r="CD166" i="19"/>
  <c r="CG166" i="19" s="1"/>
  <c r="BP166" i="19"/>
  <c r="BS166" i="19" s="1"/>
  <c r="AN166" i="19"/>
  <c r="AQ166" i="19" s="1"/>
  <c r="DE166" i="19"/>
  <c r="Z166" i="19"/>
  <c r="AC166" i="19" s="1"/>
  <c r="CR166" i="19"/>
  <c r="CU166" i="19" s="1"/>
  <c r="BL77" i="19"/>
  <c r="BN77" i="19" s="1"/>
  <c r="DI77" i="19" s="1"/>
  <c r="I164" i="19"/>
  <c r="S164" i="19" s="1"/>
  <c r="U164" i="19" s="1"/>
  <c r="V164" i="19"/>
  <c r="X164" i="19" s="1"/>
  <c r="BZ249" i="19"/>
  <c r="CB249" i="19" s="1"/>
  <c r="DJ249" i="19" s="1"/>
  <c r="BL249" i="19"/>
  <c r="BN249" i="19" s="1"/>
  <c r="DI249" i="19" s="1"/>
  <c r="D69" i="20"/>
  <c r="D70" i="20" s="1"/>
  <c r="D71" i="20" s="1"/>
  <c r="D79" i="20"/>
  <c r="H166" i="19" l="1"/>
  <c r="F167" i="19"/>
  <c r="V165" i="19"/>
  <c r="X165" i="19" s="1"/>
  <c r="BV165" i="19" s="1"/>
  <c r="BX165" i="19" s="1"/>
  <c r="BY165" i="19" s="1"/>
  <c r="V251" i="19"/>
  <c r="X251" i="19" s="1"/>
  <c r="BH251" i="19" s="1"/>
  <c r="BJ251" i="19" s="1"/>
  <c r="BK251" i="19" s="1"/>
  <c r="H252" i="19"/>
  <c r="I252" i="19" s="1"/>
  <c r="S252" i="19" s="1"/>
  <c r="U252" i="19" s="1"/>
  <c r="F81" i="19"/>
  <c r="H80" i="19"/>
  <c r="I80" i="19" s="1"/>
  <c r="S80" i="19" s="1"/>
  <c r="U80" i="19" s="1"/>
  <c r="I79" i="19"/>
  <c r="S79" i="19" s="1"/>
  <c r="U79" i="19" s="1"/>
  <c r="AP79" i="19" s="1"/>
  <c r="AR79" i="19" s="1"/>
  <c r="AS79" i="19" s="1"/>
  <c r="CN250" i="19"/>
  <c r="CP250" i="19" s="1"/>
  <c r="DK250" i="19" s="1"/>
  <c r="I166" i="19"/>
  <c r="S166" i="19" s="1"/>
  <c r="U166" i="19" s="1"/>
  <c r="V166" i="19"/>
  <c r="X166" i="19" s="1"/>
  <c r="BV78" i="19"/>
  <c r="BX78" i="19" s="1"/>
  <c r="BY78" i="19" s="1"/>
  <c r="AF78" i="19"/>
  <c r="AH78" i="19" s="1"/>
  <c r="AI78" i="19" s="1"/>
  <c r="CX78" i="19"/>
  <c r="CZ78" i="19" s="1"/>
  <c r="DA78" i="19" s="1"/>
  <c r="AT78" i="19"/>
  <c r="AV78" i="19" s="1"/>
  <c r="AW78" i="19" s="1"/>
  <c r="CJ78" i="19"/>
  <c r="CL78" i="19" s="1"/>
  <c r="CM78" i="19" s="1"/>
  <c r="BH78" i="19"/>
  <c r="BJ78" i="19" s="1"/>
  <c r="BK78" i="19" s="1"/>
  <c r="CT78" i="19"/>
  <c r="CV78" i="19" s="1"/>
  <c r="CW78" i="19" s="1"/>
  <c r="BD78" i="19"/>
  <c r="BF78" i="19" s="1"/>
  <c r="BG78" i="19" s="1"/>
  <c r="BR78" i="19"/>
  <c r="BT78" i="19" s="1"/>
  <c r="BU78" i="19" s="1"/>
  <c r="AB78" i="19"/>
  <c r="AD78" i="19" s="1"/>
  <c r="AE78" i="19" s="1"/>
  <c r="AP78" i="19"/>
  <c r="AR78" i="19" s="1"/>
  <c r="AS78" i="19" s="1"/>
  <c r="CF78" i="19"/>
  <c r="CH78" i="19" s="1"/>
  <c r="CI78" i="19" s="1"/>
  <c r="F253" i="19"/>
  <c r="AX250" i="19"/>
  <c r="AZ250" i="19" s="1"/>
  <c r="DH250" i="19" s="1"/>
  <c r="AJ250" i="19"/>
  <c r="AL250" i="19" s="1"/>
  <c r="DG250" i="19" s="1"/>
  <c r="G167" i="19"/>
  <c r="C168" i="19"/>
  <c r="AN167" i="19"/>
  <c r="AQ167" i="19" s="1"/>
  <c r="CR167" i="19"/>
  <c r="CU167" i="19" s="1"/>
  <c r="CD167" i="19"/>
  <c r="CG167" i="19" s="1"/>
  <c r="BP167" i="19"/>
  <c r="BS167" i="19" s="1"/>
  <c r="BB167" i="19"/>
  <c r="BE167" i="19" s="1"/>
  <c r="Z167" i="19"/>
  <c r="AC167" i="19" s="1"/>
  <c r="DE167" i="19"/>
  <c r="BL250" i="19"/>
  <c r="BN250" i="19" s="1"/>
  <c r="DI250" i="19" s="1"/>
  <c r="CX164" i="19"/>
  <c r="CZ164" i="19" s="1"/>
  <c r="DA164" i="19" s="1"/>
  <c r="AT164" i="19"/>
  <c r="AV164" i="19" s="1"/>
  <c r="AW164" i="19" s="1"/>
  <c r="BV164" i="19"/>
  <c r="BX164" i="19" s="1"/>
  <c r="BY164" i="19" s="1"/>
  <c r="BH164" i="19"/>
  <c r="BJ164" i="19" s="1"/>
  <c r="BK164" i="19" s="1"/>
  <c r="AF164" i="19"/>
  <c r="AH164" i="19" s="1"/>
  <c r="AI164" i="19" s="1"/>
  <c r="CJ164" i="19"/>
  <c r="CL164" i="19" s="1"/>
  <c r="CM164" i="19" s="1"/>
  <c r="DB250" i="19"/>
  <c r="DD250" i="19" s="1"/>
  <c r="DL250" i="19" s="1"/>
  <c r="AP165" i="19"/>
  <c r="AR165" i="19" s="1"/>
  <c r="AS165" i="19" s="1"/>
  <c r="BD165" i="19"/>
  <c r="BF165" i="19" s="1"/>
  <c r="BG165" i="19" s="1"/>
  <c r="BR165" i="19"/>
  <c r="BT165" i="19" s="1"/>
  <c r="BU165" i="19" s="1"/>
  <c r="CT165" i="19"/>
  <c r="CV165" i="19" s="1"/>
  <c r="CW165" i="19" s="1"/>
  <c r="CF165" i="19"/>
  <c r="CH165" i="19" s="1"/>
  <c r="CI165" i="19" s="1"/>
  <c r="AB165" i="19"/>
  <c r="AD165" i="19" s="1"/>
  <c r="AE165" i="19" s="1"/>
  <c r="BD164" i="19"/>
  <c r="BF164" i="19" s="1"/>
  <c r="BG164" i="19" s="1"/>
  <c r="CT164" i="19"/>
  <c r="CV164" i="19" s="1"/>
  <c r="CW164" i="19" s="1"/>
  <c r="AB164" i="19"/>
  <c r="AD164" i="19" s="1"/>
  <c r="AE164" i="19" s="1"/>
  <c r="AP164" i="19"/>
  <c r="AR164" i="19" s="1"/>
  <c r="AS164" i="19" s="1"/>
  <c r="BR164" i="19"/>
  <c r="BT164" i="19" s="1"/>
  <c r="BU164" i="19" s="1"/>
  <c r="CF164" i="19"/>
  <c r="CH164" i="19" s="1"/>
  <c r="CI164" i="19" s="1"/>
  <c r="BZ250" i="19"/>
  <c r="CB250" i="19" s="1"/>
  <c r="DJ250" i="19" s="1"/>
  <c r="C254" i="19"/>
  <c r="G253" i="19"/>
  <c r="DE253" i="19"/>
  <c r="BP253" i="19"/>
  <c r="BS253" i="19" s="1"/>
  <c r="AN253" i="19"/>
  <c r="AQ253" i="19" s="1"/>
  <c r="Z253" i="19"/>
  <c r="AC253" i="19" s="1"/>
  <c r="CR253" i="19"/>
  <c r="CU253" i="19" s="1"/>
  <c r="BB253" i="19"/>
  <c r="BE253" i="19" s="1"/>
  <c r="CD253" i="19"/>
  <c r="CG253" i="19" s="1"/>
  <c r="G81" i="19"/>
  <c r="C82" i="19"/>
  <c r="CR81" i="19"/>
  <c r="CU81" i="19" s="1"/>
  <c r="Z81" i="19"/>
  <c r="AC81" i="19" s="1"/>
  <c r="CD81" i="19"/>
  <c r="CG81" i="19" s="1"/>
  <c r="BP81" i="19"/>
  <c r="BS81" i="19" s="1"/>
  <c r="DE81" i="19"/>
  <c r="BB81" i="19"/>
  <c r="BE81" i="19" s="1"/>
  <c r="AN81" i="19"/>
  <c r="AQ81" i="19" s="1"/>
  <c r="CF251" i="19"/>
  <c r="CH251" i="19" s="1"/>
  <c r="CI251" i="19" s="1"/>
  <c r="AB251" i="19"/>
  <c r="AD251" i="19" s="1"/>
  <c r="AE251" i="19" s="1"/>
  <c r="AP251" i="19"/>
  <c r="AR251" i="19" s="1"/>
  <c r="AS251" i="19" s="1"/>
  <c r="BD251" i="19"/>
  <c r="BF251" i="19" s="1"/>
  <c r="BG251" i="19" s="1"/>
  <c r="CT251" i="19"/>
  <c r="CV251" i="19" s="1"/>
  <c r="CW251" i="19" s="1"/>
  <c r="BR251" i="19"/>
  <c r="BT251" i="19" s="1"/>
  <c r="BU251" i="19" s="1"/>
  <c r="CX79" i="19"/>
  <c r="CZ79" i="19" s="1"/>
  <c r="DA79" i="19" s="1"/>
  <c r="AT79" i="19"/>
  <c r="AV79" i="19" s="1"/>
  <c r="AW79" i="19" s="1"/>
  <c r="AF79" i="19"/>
  <c r="AH79" i="19" s="1"/>
  <c r="AI79" i="19" s="1"/>
  <c r="BV79" i="19"/>
  <c r="BX79" i="19" s="1"/>
  <c r="BY79" i="19" s="1"/>
  <c r="BH79" i="19"/>
  <c r="BJ79" i="19" s="1"/>
  <c r="BK79" i="19" s="1"/>
  <c r="CJ79" i="19"/>
  <c r="CL79" i="19" s="1"/>
  <c r="CM79" i="19" s="1"/>
  <c r="K62" i="20"/>
  <c r="K68" i="20" s="1"/>
  <c r="D76" i="20"/>
  <c r="BH165" i="19" l="1"/>
  <c r="BJ165" i="19" s="1"/>
  <c r="BK165" i="19" s="1"/>
  <c r="AT165" i="19"/>
  <c r="AV165" i="19" s="1"/>
  <c r="AW165" i="19" s="1"/>
  <c r="CX165" i="19"/>
  <c r="CZ165" i="19" s="1"/>
  <c r="DA165" i="19" s="1"/>
  <c r="AF165" i="19"/>
  <c r="AH165" i="19" s="1"/>
  <c r="AI165" i="19" s="1"/>
  <c r="AJ165" i="19" s="1"/>
  <c r="AL165" i="19" s="1"/>
  <c r="DG165" i="19" s="1"/>
  <c r="CJ165" i="19"/>
  <c r="CL165" i="19" s="1"/>
  <c r="CM165" i="19" s="1"/>
  <c r="H167" i="19"/>
  <c r="I167" i="19" s="1"/>
  <c r="S167" i="19" s="1"/>
  <c r="U167" i="19" s="1"/>
  <c r="F168" i="19"/>
  <c r="AF251" i="19"/>
  <c r="AH251" i="19" s="1"/>
  <c r="AI251" i="19" s="1"/>
  <c r="AJ251" i="19" s="1"/>
  <c r="AL251" i="19" s="1"/>
  <c r="DG251" i="19" s="1"/>
  <c r="CX251" i="19"/>
  <c r="CZ251" i="19" s="1"/>
  <c r="DA251" i="19" s="1"/>
  <c r="DB251" i="19" s="1"/>
  <c r="DD251" i="19" s="1"/>
  <c r="DL251" i="19" s="1"/>
  <c r="CJ251" i="19"/>
  <c r="CL251" i="19" s="1"/>
  <c r="CM251" i="19" s="1"/>
  <c r="CN251" i="19" s="1"/>
  <c r="CP251" i="19" s="1"/>
  <c r="DK251" i="19" s="1"/>
  <c r="AT251" i="19"/>
  <c r="AV251" i="19" s="1"/>
  <c r="AW251" i="19" s="1"/>
  <c r="AX251" i="19" s="1"/>
  <c r="AZ251" i="19" s="1"/>
  <c r="DH251" i="19" s="1"/>
  <c r="BV251" i="19"/>
  <c r="BX251" i="19" s="1"/>
  <c r="BY251" i="19" s="1"/>
  <c r="BZ251" i="19" s="1"/>
  <c r="CB251" i="19" s="1"/>
  <c r="DJ251" i="19" s="1"/>
  <c r="V252" i="19"/>
  <c r="X252" i="19" s="1"/>
  <c r="AT252" i="19" s="1"/>
  <c r="AV252" i="19" s="1"/>
  <c r="AW252" i="19" s="1"/>
  <c r="AB79" i="19"/>
  <c r="AD79" i="19" s="1"/>
  <c r="AE79" i="19" s="1"/>
  <c r="AJ79" i="19" s="1"/>
  <c r="AL79" i="19" s="1"/>
  <c r="DG79" i="19" s="1"/>
  <c r="CT79" i="19"/>
  <c r="CV79" i="19" s="1"/>
  <c r="CW79" i="19" s="1"/>
  <c r="DB79" i="19" s="1"/>
  <c r="DD79" i="19" s="1"/>
  <c r="DL79" i="19" s="1"/>
  <c r="CF79" i="19"/>
  <c r="CH79" i="19" s="1"/>
  <c r="CI79" i="19" s="1"/>
  <c r="CN79" i="19" s="1"/>
  <c r="CP79" i="19" s="1"/>
  <c r="DK79" i="19" s="1"/>
  <c r="BD79" i="19"/>
  <c r="BF79" i="19" s="1"/>
  <c r="BG79" i="19" s="1"/>
  <c r="BL79" i="19" s="1"/>
  <c r="BN79" i="19" s="1"/>
  <c r="DI79" i="19" s="1"/>
  <c r="V80" i="19"/>
  <c r="X80" i="19" s="1"/>
  <c r="CX80" i="19" s="1"/>
  <c r="CZ80" i="19" s="1"/>
  <c r="DA80" i="19" s="1"/>
  <c r="H81" i="19"/>
  <c r="I81" i="19" s="1"/>
  <c r="S81" i="19" s="1"/>
  <c r="U81" i="19" s="1"/>
  <c r="F82" i="19"/>
  <c r="F254" i="19"/>
  <c r="BR79" i="19"/>
  <c r="BT79" i="19" s="1"/>
  <c r="BU79" i="19" s="1"/>
  <c r="BZ79" i="19" s="1"/>
  <c r="CB79" i="19" s="1"/>
  <c r="DJ79" i="19" s="1"/>
  <c r="BL165" i="19"/>
  <c r="BN165" i="19" s="1"/>
  <c r="DI165" i="19" s="1"/>
  <c r="AX78" i="19"/>
  <c r="AZ78" i="19" s="1"/>
  <c r="DH78" i="19" s="1"/>
  <c r="DB78" i="19"/>
  <c r="DD78" i="19" s="1"/>
  <c r="DL78" i="19" s="1"/>
  <c r="AJ78" i="19"/>
  <c r="AL78" i="19" s="1"/>
  <c r="DG78" i="19" s="1"/>
  <c r="BZ78" i="19"/>
  <c r="CB78" i="19" s="1"/>
  <c r="DJ78" i="19" s="1"/>
  <c r="AX79" i="19"/>
  <c r="AZ79" i="19" s="1"/>
  <c r="DH79" i="19" s="1"/>
  <c r="H253" i="19"/>
  <c r="I253" i="19" s="1"/>
  <c r="S253" i="19" s="1"/>
  <c r="U253" i="19" s="1"/>
  <c r="V167" i="19"/>
  <c r="X167" i="19" s="1"/>
  <c r="CN165" i="19"/>
  <c r="CP165" i="19" s="1"/>
  <c r="BZ165" i="19"/>
  <c r="CB165" i="19" s="1"/>
  <c r="AX165" i="19"/>
  <c r="AZ165" i="19" s="1"/>
  <c r="DH165" i="19" s="1"/>
  <c r="CN164" i="19"/>
  <c r="CP164" i="19" s="1"/>
  <c r="AJ164" i="19"/>
  <c r="AL164" i="19" s="1"/>
  <c r="DG164" i="19" s="1"/>
  <c r="G254" i="19"/>
  <c r="C255" i="19"/>
  <c r="AN254" i="19"/>
  <c r="AQ254" i="19" s="1"/>
  <c r="Z254" i="19"/>
  <c r="AC254" i="19" s="1"/>
  <c r="CR254" i="19"/>
  <c r="CU254" i="19" s="1"/>
  <c r="DE254" i="19"/>
  <c r="BB254" i="19"/>
  <c r="BE254" i="19" s="1"/>
  <c r="BP254" i="19"/>
  <c r="BS254" i="19" s="1"/>
  <c r="CD254" i="19"/>
  <c r="CG254" i="19" s="1"/>
  <c r="BL164" i="19"/>
  <c r="BN164" i="19" s="1"/>
  <c r="DI164" i="19" s="1"/>
  <c r="BZ164" i="19"/>
  <c r="CB164" i="19" s="1"/>
  <c r="BH252" i="19"/>
  <c r="BJ252" i="19" s="1"/>
  <c r="BK252" i="19" s="1"/>
  <c r="BR80" i="19"/>
  <c r="BT80" i="19" s="1"/>
  <c r="BU80" i="19" s="1"/>
  <c r="CF80" i="19"/>
  <c r="CH80" i="19" s="1"/>
  <c r="CI80" i="19" s="1"/>
  <c r="AB80" i="19"/>
  <c r="AD80" i="19" s="1"/>
  <c r="AE80" i="19" s="1"/>
  <c r="CT80" i="19"/>
  <c r="CV80" i="19" s="1"/>
  <c r="CW80" i="19" s="1"/>
  <c r="AP80" i="19"/>
  <c r="AR80" i="19" s="1"/>
  <c r="AS80" i="19" s="1"/>
  <c r="BD80" i="19"/>
  <c r="BF80" i="19" s="1"/>
  <c r="BG80" i="19" s="1"/>
  <c r="AX164" i="19"/>
  <c r="AZ164" i="19" s="1"/>
  <c r="DH164" i="19" s="1"/>
  <c r="BD252" i="19"/>
  <c r="BF252" i="19" s="1"/>
  <c r="BG252" i="19" s="1"/>
  <c r="BR252" i="19"/>
  <c r="BT252" i="19" s="1"/>
  <c r="BU252" i="19" s="1"/>
  <c r="CF252" i="19"/>
  <c r="CH252" i="19" s="1"/>
  <c r="CI252" i="19" s="1"/>
  <c r="CT252" i="19"/>
  <c r="CV252" i="19" s="1"/>
  <c r="CW252" i="19" s="1"/>
  <c r="AB252" i="19"/>
  <c r="AD252" i="19" s="1"/>
  <c r="AE252" i="19" s="1"/>
  <c r="AP252" i="19"/>
  <c r="AR252" i="19" s="1"/>
  <c r="AS252" i="19" s="1"/>
  <c r="AF166" i="19"/>
  <c r="AH166" i="19" s="1"/>
  <c r="AI166" i="19" s="1"/>
  <c r="BV166" i="19"/>
  <c r="BX166" i="19" s="1"/>
  <c r="BY166" i="19" s="1"/>
  <c r="CJ166" i="19"/>
  <c r="CL166" i="19" s="1"/>
  <c r="CM166" i="19" s="1"/>
  <c r="CX166" i="19"/>
  <c r="CZ166" i="19" s="1"/>
  <c r="DA166" i="19" s="1"/>
  <c r="BH166" i="19"/>
  <c r="BJ166" i="19" s="1"/>
  <c r="BK166" i="19" s="1"/>
  <c r="AT166" i="19"/>
  <c r="AV166" i="19" s="1"/>
  <c r="AW166" i="19" s="1"/>
  <c r="DB164" i="19"/>
  <c r="DD164" i="19" s="1"/>
  <c r="BL78" i="19"/>
  <c r="BN78" i="19" s="1"/>
  <c r="DI78" i="19" s="1"/>
  <c r="CT166" i="19"/>
  <c r="CV166" i="19" s="1"/>
  <c r="CW166" i="19" s="1"/>
  <c r="CF166" i="19"/>
  <c r="CH166" i="19" s="1"/>
  <c r="CI166" i="19" s="1"/>
  <c r="AB166" i="19"/>
  <c r="AD166" i="19" s="1"/>
  <c r="AE166" i="19" s="1"/>
  <c r="AP166" i="19"/>
  <c r="AR166" i="19" s="1"/>
  <c r="AS166" i="19" s="1"/>
  <c r="BD166" i="19"/>
  <c r="BF166" i="19" s="1"/>
  <c r="BG166" i="19" s="1"/>
  <c r="BR166" i="19"/>
  <c r="BT166" i="19" s="1"/>
  <c r="BU166" i="19" s="1"/>
  <c r="C83" i="19"/>
  <c r="G82" i="19"/>
  <c r="AN82" i="19"/>
  <c r="AQ82" i="19" s="1"/>
  <c r="CR82" i="19"/>
  <c r="CU82" i="19" s="1"/>
  <c r="BB82" i="19"/>
  <c r="BE82" i="19" s="1"/>
  <c r="DE82" i="19"/>
  <c r="CD82" i="19"/>
  <c r="CG82" i="19" s="1"/>
  <c r="Z82" i="19"/>
  <c r="AC82" i="19" s="1"/>
  <c r="BP82" i="19"/>
  <c r="BS82" i="19" s="1"/>
  <c r="BL251" i="19"/>
  <c r="BN251" i="19" s="1"/>
  <c r="DI251" i="19" s="1"/>
  <c r="CN78" i="19"/>
  <c r="CP78" i="19" s="1"/>
  <c r="DK78" i="19" s="1"/>
  <c r="DB165" i="19"/>
  <c r="DD165" i="19" s="1"/>
  <c r="G168" i="19"/>
  <c r="C169" i="19"/>
  <c r="DE168" i="19"/>
  <c r="BP168" i="19"/>
  <c r="BS168" i="19" s="1"/>
  <c r="BB168" i="19"/>
  <c r="BE168" i="19" s="1"/>
  <c r="Z168" i="19"/>
  <c r="AC168" i="19" s="1"/>
  <c r="AN168" i="19"/>
  <c r="AQ168" i="19" s="1"/>
  <c r="CR168" i="19"/>
  <c r="CU168" i="19" s="1"/>
  <c r="CD168" i="19"/>
  <c r="CG168" i="19" s="1"/>
  <c r="K69" i="20"/>
  <c r="K70" i="20" s="1"/>
  <c r="K71" i="20" s="1"/>
  <c r="K72" i="20" s="1"/>
  <c r="CX252" i="19" l="1"/>
  <c r="CZ252" i="19" s="1"/>
  <c r="DA252" i="19" s="1"/>
  <c r="BV252" i="19"/>
  <c r="BX252" i="19" s="1"/>
  <c r="BY252" i="19" s="1"/>
  <c r="F169" i="19"/>
  <c r="H168" i="19"/>
  <c r="I168" i="19" s="1"/>
  <c r="S168" i="19" s="1"/>
  <c r="U168" i="19" s="1"/>
  <c r="H254" i="19"/>
  <c r="CJ252" i="19"/>
  <c r="CL252" i="19" s="1"/>
  <c r="CM252" i="19" s="1"/>
  <c r="CN252" i="19" s="1"/>
  <c r="CP252" i="19" s="1"/>
  <c r="DK252" i="19" s="1"/>
  <c r="AF252" i="19"/>
  <c r="AH252" i="19" s="1"/>
  <c r="AI252" i="19" s="1"/>
  <c r="CJ80" i="19"/>
  <c r="CL80" i="19" s="1"/>
  <c r="CM80" i="19" s="1"/>
  <c r="CN80" i="19" s="1"/>
  <c r="CP80" i="19" s="1"/>
  <c r="DK80" i="19" s="1"/>
  <c r="BH80" i="19"/>
  <c r="BJ80" i="19" s="1"/>
  <c r="BK80" i="19" s="1"/>
  <c r="BL80" i="19" s="1"/>
  <c r="BN80" i="19" s="1"/>
  <c r="DI80" i="19" s="1"/>
  <c r="AF80" i="19"/>
  <c r="AH80" i="19" s="1"/>
  <c r="AI80" i="19" s="1"/>
  <c r="AJ80" i="19" s="1"/>
  <c r="AL80" i="19" s="1"/>
  <c r="DG80" i="19" s="1"/>
  <c r="AT80" i="19"/>
  <c r="AV80" i="19" s="1"/>
  <c r="AW80" i="19" s="1"/>
  <c r="AX80" i="19" s="1"/>
  <c r="AZ80" i="19" s="1"/>
  <c r="DH80" i="19" s="1"/>
  <c r="BV80" i="19"/>
  <c r="BX80" i="19" s="1"/>
  <c r="BY80" i="19" s="1"/>
  <c r="BZ80" i="19" s="1"/>
  <c r="CB80" i="19" s="1"/>
  <c r="DJ80" i="19" s="1"/>
  <c r="H82" i="19"/>
  <c r="I82" i="19" s="1"/>
  <c r="S82" i="19" s="1"/>
  <c r="U82" i="19" s="1"/>
  <c r="F83" i="19"/>
  <c r="V81" i="19"/>
  <c r="X81" i="19" s="1"/>
  <c r="AF81" i="19" s="1"/>
  <c r="AH81" i="19" s="1"/>
  <c r="AI81" i="19" s="1"/>
  <c r="V253" i="19"/>
  <c r="X253" i="19" s="1"/>
  <c r="BH253" i="19" s="1"/>
  <c r="BJ253" i="19" s="1"/>
  <c r="BK253" i="19" s="1"/>
  <c r="BL252" i="19"/>
  <c r="BN252" i="19" s="1"/>
  <c r="DI252" i="19" s="1"/>
  <c r="AX166" i="19"/>
  <c r="AZ166" i="19" s="1"/>
  <c r="DH166" i="19" s="1"/>
  <c r="BL166" i="19"/>
  <c r="BN166" i="19" s="1"/>
  <c r="DI166" i="19" s="1"/>
  <c r="DB166" i="19"/>
  <c r="DD166" i="19" s="1"/>
  <c r="CN166" i="19"/>
  <c r="CP166" i="19" s="1"/>
  <c r="DB252" i="19"/>
  <c r="DD252" i="19" s="1"/>
  <c r="DL252" i="19" s="1"/>
  <c r="BZ166" i="19"/>
  <c r="CB166" i="19" s="1"/>
  <c r="BZ252" i="19"/>
  <c r="CB252" i="19" s="1"/>
  <c r="DJ252" i="19" s="1"/>
  <c r="AJ166" i="19"/>
  <c r="AL166" i="19" s="1"/>
  <c r="DG166" i="19" s="1"/>
  <c r="DB80" i="19"/>
  <c r="DD80" i="19" s="1"/>
  <c r="DL80" i="19" s="1"/>
  <c r="G255" i="19"/>
  <c r="C256" i="19"/>
  <c r="Z255" i="19"/>
  <c r="AC255" i="19" s="1"/>
  <c r="CR255" i="19"/>
  <c r="CU255" i="19" s="1"/>
  <c r="CD255" i="19"/>
  <c r="CG255" i="19" s="1"/>
  <c r="BP255" i="19"/>
  <c r="BS255" i="19" s="1"/>
  <c r="BB255" i="19"/>
  <c r="BE255" i="19" s="1"/>
  <c r="AN255" i="19"/>
  <c r="AQ255" i="19" s="1"/>
  <c r="DE255" i="19"/>
  <c r="I254" i="19"/>
  <c r="S254" i="19" s="1"/>
  <c r="U254" i="19" s="1"/>
  <c r="V254" i="19"/>
  <c r="X254" i="19" s="1"/>
  <c r="AX252" i="19"/>
  <c r="AZ252" i="19" s="1"/>
  <c r="DH252" i="19" s="1"/>
  <c r="C170" i="19"/>
  <c r="G169" i="19"/>
  <c r="CD169" i="19"/>
  <c r="CG169" i="19" s="1"/>
  <c r="BP169" i="19"/>
  <c r="BS169" i="19" s="1"/>
  <c r="BB169" i="19"/>
  <c r="BE169" i="19" s="1"/>
  <c r="CR169" i="19"/>
  <c r="CU169" i="19" s="1"/>
  <c r="Z169" i="19"/>
  <c r="AC169" i="19" s="1"/>
  <c r="DE169" i="19"/>
  <c r="AN169" i="19"/>
  <c r="AQ169" i="19" s="1"/>
  <c r="AJ252" i="19"/>
  <c r="AL252" i="19" s="1"/>
  <c r="DG252" i="19" s="1"/>
  <c r="AP253" i="19"/>
  <c r="AR253" i="19" s="1"/>
  <c r="AS253" i="19" s="1"/>
  <c r="BD253" i="19"/>
  <c r="BF253" i="19" s="1"/>
  <c r="BG253" i="19" s="1"/>
  <c r="CT253" i="19"/>
  <c r="CV253" i="19" s="1"/>
  <c r="CW253" i="19" s="1"/>
  <c r="CF253" i="19"/>
  <c r="CH253" i="19" s="1"/>
  <c r="CI253" i="19" s="1"/>
  <c r="BR253" i="19"/>
  <c r="BT253" i="19" s="1"/>
  <c r="BU253" i="19" s="1"/>
  <c r="AB253" i="19"/>
  <c r="AD253" i="19" s="1"/>
  <c r="AE253" i="19" s="1"/>
  <c r="G83" i="19"/>
  <c r="C84" i="19"/>
  <c r="AN83" i="19"/>
  <c r="AQ83" i="19" s="1"/>
  <c r="DE83" i="19"/>
  <c r="Z83" i="19"/>
  <c r="AC83" i="19" s="1"/>
  <c r="CR83" i="19"/>
  <c r="CU83" i="19" s="1"/>
  <c r="CD83" i="19"/>
  <c r="CG83" i="19" s="1"/>
  <c r="BB83" i="19"/>
  <c r="BE83" i="19" s="1"/>
  <c r="BP83" i="19"/>
  <c r="BS83" i="19" s="1"/>
  <c r="CF81" i="19"/>
  <c r="CH81" i="19" s="1"/>
  <c r="CI81" i="19" s="1"/>
  <c r="AP81" i="19"/>
  <c r="AR81" i="19" s="1"/>
  <c r="AS81" i="19" s="1"/>
  <c r="BD81" i="19"/>
  <c r="BF81" i="19" s="1"/>
  <c r="BG81" i="19" s="1"/>
  <c r="BR81" i="19"/>
  <c r="BT81" i="19" s="1"/>
  <c r="BU81" i="19" s="1"/>
  <c r="AB81" i="19"/>
  <c r="AD81" i="19" s="1"/>
  <c r="AE81" i="19" s="1"/>
  <c r="CT81" i="19"/>
  <c r="CV81" i="19" s="1"/>
  <c r="CW81" i="19" s="1"/>
  <c r="AF167" i="19"/>
  <c r="AH167" i="19" s="1"/>
  <c r="AI167" i="19" s="1"/>
  <c r="AT167" i="19"/>
  <c r="AV167" i="19" s="1"/>
  <c r="AW167" i="19" s="1"/>
  <c r="BH167" i="19"/>
  <c r="BJ167" i="19" s="1"/>
  <c r="BK167" i="19" s="1"/>
  <c r="BV167" i="19"/>
  <c r="BX167" i="19" s="1"/>
  <c r="BY167" i="19" s="1"/>
  <c r="CX167" i="19"/>
  <c r="CZ167" i="19" s="1"/>
  <c r="DA167" i="19" s="1"/>
  <c r="CJ167" i="19"/>
  <c r="CL167" i="19" s="1"/>
  <c r="CM167" i="19" s="1"/>
  <c r="V168" i="19"/>
  <c r="X168" i="19" s="1"/>
  <c r="F255" i="19"/>
  <c r="AP167" i="19"/>
  <c r="AR167" i="19" s="1"/>
  <c r="AS167" i="19" s="1"/>
  <c r="AB167" i="19"/>
  <c r="AD167" i="19" s="1"/>
  <c r="AE167" i="19" s="1"/>
  <c r="BR167" i="19"/>
  <c r="BT167" i="19" s="1"/>
  <c r="BU167" i="19" s="1"/>
  <c r="CT167" i="19"/>
  <c r="CV167" i="19" s="1"/>
  <c r="CW167" i="19" s="1"/>
  <c r="CF167" i="19"/>
  <c r="CH167" i="19" s="1"/>
  <c r="CI167" i="19" s="1"/>
  <c r="BD167" i="19"/>
  <c r="BF167" i="19" s="1"/>
  <c r="BG167" i="19" s="1"/>
  <c r="K76" i="20"/>
  <c r="K77" i="20" s="1"/>
  <c r="K73" i="20"/>
  <c r="K74" i="20" s="1"/>
  <c r="K75" i="20" s="1"/>
  <c r="H169" i="19" l="1"/>
  <c r="I169" i="19" s="1"/>
  <c r="S169" i="19" s="1"/>
  <c r="U169" i="19" s="1"/>
  <c r="F170" i="19"/>
  <c r="F84" i="19"/>
  <c r="AF253" i="19"/>
  <c r="AH253" i="19" s="1"/>
  <c r="AI253" i="19" s="1"/>
  <c r="H83" i="19"/>
  <c r="AT253" i="19"/>
  <c r="AV253" i="19" s="1"/>
  <c r="AW253" i="19" s="1"/>
  <c r="BV253" i="19"/>
  <c r="BX253" i="19" s="1"/>
  <c r="BY253" i="19" s="1"/>
  <c r="BZ253" i="19" s="1"/>
  <c r="CB253" i="19" s="1"/>
  <c r="DJ253" i="19" s="1"/>
  <c r="CX253" i="19"/>
  <c r="CZ253" i="19" s="1"/>
  <c r="DA253" i="19" s="1"/>
  <c r="DB253" i="19" s="1"/>
  <c r="DD253" i="19" s="1"/>
  <c r="DL253" i="19" s="1"/>
  <c r="CJ253" i="19"/>
  <c r="CL253" i="19" s="1"/>
  <c r="CM253" i="19" s="1"/>
  <c r="CN253" i="19" s="1"/>
  <c r="CP253" i="19" s="1"/>
  <c r="DK253" i="19" s="1"/>
  <c r="BV81" i="19"/>
  <c r="BX81" i="19" s="1"/>
  <c r="BY81" i="19" s="1"/>
  <c r="BZ81" i="19" s="1"/>
  <c r="CB81" i="19" s="1"/>
  <c r="DJ81" i="19" s="1"/>
  <c r="AT81" i="19"/>
  <c r="AV81" i="19" s="1"/>
  <c r="AW81" i="19" s="1"/>
  <c r="AX81" i="19" s="1"/>
  <c r="AZ81" i="19" s="1"/>
  <c r="DH81" i="19" s="1"/>
  <c r="CJ81" i="19"/>
  <c r="CL81" i="19" s="1"/>
  <c r="CM81" i="19" s="1"/>
  <c r="CN81" i="19" s="1"/>
  <c r="CP81" i="19" s="1"/>
  <c r="DK81" i="19" s="1"/>
  <c r="V82" i="19"/>
  <c r="X82" i="19" s="1"/>
  <c r="BH82" i="19" s="1"/>
  <c r="BJ82" i="19" s="1"/>
  <c r="BK82" i="19" s="1"/>
  <c r="CX81" i="19"/>
  <c r="CZ81" i="19" s="1"/>
  <c r="DA81" i="19" s="1"/>
  <c r="DB81" i="19" s="1"/>
  <c r="DD81" i="19" s="1"/>
  <c r="DL81" i="19" s="1"/>
  <c r="BH81" i="19"/>
  <c r="BJ81" i="19" s="1"/>
  <c r="BK81" i="19" s="1"/>
  <c r="BL81" i="19" s="1"/>
  <c r="BN81" i="19" s="1"/>
  <c r="DI81" i="19" s="1"/>
  <c r="DB167" i="19"/>
  <c r="DD167" i="19" s="1"/>
  <c r="BZ167" i="19"/>
  <c r="CB167" i="19" s="1"/>
  <c r="BL167" i="19"/>
  <c r="BN167" i="19" s="1"/>
  <c r="DI167" i="19" s="1"/>
  <c r="AX167" i="19"/>
  <c r="AZ167" i="19" s="1"/>
  <c r="DH167" i="19" s="1"/>
  <c r="AJ253" i="19"/>
  <c r="AL253" i="19" s="1"/>
  <c r="DG253" i="19" s="1"/>
  <c r="H255" i="19"/>
  <c r="I255" i="19" s="1"/>
  <c r="S255" i="19" s="1"/>
  <c r="U255" i="19" s="1"/>
  <c r="F256" i="19"/>
  <c r="BV168" i="19"/>
  <c r="BX168" i="19" s="1"/>
  <c r="BY168" i="19" s="1"/>
  <c r="AF168" i="19"/>
  <c r="AH168" i="19" s="1"/>
  <c r="AI168" i="19" s="1"/>
  <c r="BH168" i="19"/>
  <c r="BJ168" i="19" s="1"/>
  <c r="BK168" i="19" s="1"/>
  <c r="CJ168" i="19"/>
  <c r="CL168" i="19" s="1"/>
  <c r="CM168" i="19" s="1"/>
  <c r="CX168" i="19"/>
  <c r="CZ168" i="19" s="1"/>
  <c r="DA168" i="19" s="1"/>
  <c r="AT168" i="19"/>
  <c r="AV168" i="19" s="1"/>
  <c r="AW168" i="19" s="1"/>
  <c r="AJ81" i="19"/>
  <c r="AL81" i="19" s="1"/>
  <c r="DG81" i="19" s="1"/>
  <c r="AB168" i="19"/>
  <c r="AD168" i="19" s="1"/>
  <c r="AE168" i="19" s="1"/>
  <c r="AP168" i="19"/>
  <c r="AR168" i="19" s="1"/>
  <c r="AS168" i="19" s="1"/>
  <c r="BD168" i="19"/>
  <c r="BF168" i="19" s="1"/>
  <c r="BG168" i="19" s="1"/>
  <c r="BR168" i="19"/>
  <c r="BT168" i="19" s="1"/>
  <c r="BU168" i="19" s="1"/>
  <c r="CF168" i="19"/>
  <c r="CH168" i="19" s="1"/>
  <c r="CI168" i="19" s="1"/>
  <c r="CT168" i="19"/>
  <c r="CV168" i="19" s="1"/>
  <c r="CW168" i="19" s="1"/>
  <c r="CN167" i="19"/>
  <c r="CP167" i="19" s="1"/>
  <c r="G256" i="19"/>
  <c r="C257" i="19"/>
  <c r="DE256" i="19"/>
  <c r="CR256" i="19"/>
  <c r="CU256" i="19" s="1"/>
  <c r="CD256" i="19"/>
  <c r="CG256" i="19" s="1"/>
  <c r="BP256" i="19"/>
  <c r="BS256" i="19" s="1"/>
  <c r="BB256" i="19"/>
  <c r="BE256" i="19" s="1"/>
  <c r="AN256" i="19"/>
  <c r="AQ256" i="19" s="1"/>
  <c r="Z256" i="19"/>
  <c r="AC256" i="19" s="1"/>
  <c r="I83" i="19"/>
  <c r="S83" i="19" s="1"/>
  <c r="U83" i="19" s="1"/>
  <c r="V83" i="19"/>
  <c r="X83" i="19" s="1"/>
  <c r="AJ167" i="19"/>
  <c r="AL167" i="19" s="1"/>
  <c r="DG167" i="19" s="1"/>
  <c r="G170" i="19"/>
  <c r="C171" i="19"/>
  <c r="DE170" i="19"/>
  <c r="CD170" i="19"/>
  <c r="CG170" i="19" s="1"/>
  <c r="BP170" i="19"/>
  <c r="BS170" i="19" s="1"/>
  <c r="BB170" i="19"/>
  <c r="BE170" i="19" s="1"/>
  <c r="AN170" i="19"/>
  <c r="AQ170" i="19" s="1"/>
  <c r="Z170" i="19"/>
  <c r="AC170" i="19" s="1"/>
  <c r="CR170" i="19"/>
  <c r="CU170" i="19" s="1"/>
  <c r="BL253" i="19"/>
  <c r="BN253" i="19" s="1"/>
  <c r="DI253" i="19" s="1"/>
  <c r="G84" i="19"/>
  <c r="C85" i="19"/>
  <c r="DE84" i="19"/>
  <c r="Z84" i="19"/>
  <c r="AC84" i="19" s="1"/>
  <c r="CD84" i="19"/>
  <c r="CG84" i="19" s="1"/>
  <c r="CR84" i="19"/>
  <c r="CU84" i="19" s="1"/>
  <c r="BP84" i="19"/>
  <c r="BS84" i="19" s="1"/>
  <c r="BB84" i="19"/>
  <c r="BE84" i="19" s="1"/>
  <c r="AN84" i="19"/>
  <c r="AQ84" i="19" s="1"/>
  <c r="AX253" i="19"/>
  <c r="AZ253" i="19" s="1"/>
  <c r="DH253" i="19" s="1"/>
  <c r="CX254" i="19"/>
  <c r="CZ254" i="19" s="1"/>
  <c r="DA254" i="19" s="1"/>
  <c r="BH254" i="19"/>
  <c r="BJ254" i="19" s="1"/>
  <c r="BK254" i="19" s="1"/>
  <c r="AT254" i="19"/>
  <c r="AV254" i="19" s="1"/>
  <c r="AW254" i="19" s="1"/>
  <c r="CJ254" i="19"/>
  <c r="CL254" i="19" s="1"/>
  <c r="CM254" i="19" s="1"/>
  <c r="AF254" i="19"/>
  <c r="AH254" i="19" s="1"/>
  <c r="AI254" i="19" s="1"/>
  <c r="BV254" i="19"/>
  <c r="BX254" i="19" s="1"/>
  <c r="BY254" i="19" s="1"/>
  <c r="AB254" i="19"/>
  <c r="AD254" i="19" s="1"/>
  <c r="AE254" i="19" s="1"/>
  <c r="AP254" i="19"/>
  <c r="AR254" i="19" s="1"/>
  <c r="AS254" i="19" s="1"/>
  <c r="BD254" i="19"/>
  <c r="BF254" i="19" s="1"/>
  <c r="BG254" i="19" s="1"/>
  <c r="BR254" i="19"/>
  <c r="BT254" i="19" s="1"/>
  <c r="BU254" i="19" s="1"/>
  <c r="CF254" i="19"/>
  <c r="CH254" i="19" s="1"/>
  <c r="CI254" i="19" s="1"/>
  <c r="CT254" i="19"/>
  <c r="CV254" i="19" s="1"/>
  <c r="CW254" i="19" s="1"/>
  <c r="CF82" i="19"/>
  <c r="CH82" i="19" s="1"/>
  <c r="CI82" i="19" s="1"/>
  <c r="BD82" i="19"/>
  <c r="BF82" i="19" s="1"/>
  <c r="BG82" i="19" s="1"/>
  <c r="CT82" i="19"/>
  <c r="CV82" i="19" s="1"/>
  <c r="CW82" i="19" s="1"/>
  <c r="AB82" i="19"/>
  <c r="AD82" i="19" s="1"/>
  <c r="AE82" i="19" s="1"/>
  <c r="AP82" i="19"/>
  <c r="AR82" i="19" s="1"/>
  <c r="AS82" i="19" s="1"/>
  <c r="BR82" i="19"/>
  <c r="BT82" i="19" s="1"/>
  <c r="BU82" i="19" s="1"/>
  <c r="K78" i="20"/>
  <c r="CJ82" i="19" l="1"/>
  <c r="CL82" i="19" s="1"/>
  <c r="CM82" i="19" s="1"/>
  <c r="AF82" i="19"/>
  <c r="AH82" i="19" s="1"/>
  <c r="AI82" i="19" s="1"/>
  <c r="BV82" i="19"/>
  <c r="BX82" i="19" s="1"/>
  <c r="BY82" i="19" s="1"/>
  <c r="BZ82" i="19" s="1"/>
  <c r="CB82" i="19" s="1"/>
  <c r="DJ82" i="19" s="1"/>
  <c r="AT82" i="19"/>
  <c r="AV82" i="19" s="1"/>
  <c r="AW82" i="19" s="1"/>
  <c r="AX82" i="19" s="1"/>
  <c r="AZ82" i="19" s="1"/>
  <c r="DH82" i="19" s="1"/>
  <c r="V169" i="19"/>
  <c r="X169" i="19" s="1"/>
  <c r="AF169" i="19" s="1"/>
  <c r="AH169" i="19" s="1"/>
  <c r="AI169" i="19" s="1"/>
  <c r="H170" i="19"/>
  <c r="I170" i="19" s="1"/>
  <c r="S170" i="19" s="1"/>
  <c r="U170" i="19" s="1"/>
  <c r="H84" i="19"/>
  <c r="I84" i="19" s="1"/>
  <c r="S84" i="19" s="1"/>
  <c r="U84" i="19" s="1"/>
  <c r="F85" i="19"/>
  <c r="CX82" i="19"/>
  <c r="CZ82" i="19" s="1"/>
  <c r="DA82" i="19" s="1"/>
  <c r="DB82" i="19" s="1"/>
  <c r="DD82" i="19" s="1"/>
  <c r="DL82" i="19" s="1"/>
  <c r="V255" i="19"/>
  <c r="X255" i="19" s="1"/>
  <c r="BV255" i="19" s="1"/>
  <c r="BX255" i="19" s="1"/>
  <c r="BY255" i="19" s="1"/>
  <c r="BL82" i="19"/>
  <c r="BN82" i="19" s="1"/>
  <c r="DI82" i="19" s="1"/>
  <c r="AJ168" i="19"/>
  <c r="AL168" i="19" s="1"/>
  <c r="DG168" i="19" s="1"/>
  <c r="BZ168" i="19"/>
  <c r="CB168" i="19" s="1"/>
  <c r="CN254" i="19"/>
  <c r="CP254" i="19" s="1"/>
  <c r="DK254" i="19" s="1"/>
  <c r="BL168" i="19"/>
  <c r="BN168" i="19" s="1"/>
  <c r="DI168" i="19" s="1"/>
  <c r="CN82" i="19"/>
  <c r="CP82" i="19" s="1"/>
  <c r="DK82" i="19" s="1"/>
  <c r="AX168" i="19"/>
  <c r="AZ168" i="19" s="1"/>
  <c r="DH168" i="19" s="1"/>
  <c r="DB168" i="19"/>
  <c r="DD168" i="19" s="1"/>
  <c r="BZ254" i="19"/>
  <c r="CB254" i="19" s="1"/>
  <c r="DJ254" i="19" s="1"/>
  <c r="CN168" i="19"/>
  <c r="CP168" i="19" s="1"/>
  <c r="G171" i="19"/>
  <c r="C172" i="19"/>
  <c r="DE171" i="19"/>
  <c r="AN171" i="19"/>
  <c r="AQ171" i="19" s="1"/>
  <c r="Z171" i="19"/>
  <c r="AC171" i="19" s="1"/>
  <c r="CR171" i="19"/>
  <c r="CU171" i="19" s="1"/>
  <c r="CD171" i="19"/>
  <c r="CG171" i="19" s="1"/>
  <c r="BP171" i="19"/>
  <c r="BS171" i="19" s="1"/>
  <c r="BB171" i="19"/>
  <c r="BE171" i="19" s="1"/>
  <c r="G257" i="19"/>
  <c r="C258" i="19"/>
  <c r="CR257" i="19"/>
  <c r="CU257" i="19" s="1"/>
  <c r="Z257" i="19"/>
  <c r="AC257" i="19" s="1"/>
  <c r="CD257" i="19"/>
  <c r="CG257" i="19" s="1"/>
  <c r="BP257" i="19"/>
  <c r="BS257" i="19" s="1"/>
  <c r="BB257" i="19"/>
  <c r="BE257" i="19" s="1"/>
  <c r="AN257" i="19"/>
  <c r="AQ257" i="19" s="1"/>
  <c r="DE257" i="19"/>
  <c r="AJ82" i="19"/>
  <c r="AL82" i="19" s="1"/>
  <c r="DG82" i="19" s="1"/>
  <c r="CF255" i="19"/>
  <c r="CH255" i="19" s="1"/>
  <c r="CI255" i="19" s="1"/>
  <c r="AB255" i="19"/>
  <c r="AD255" i="19" s="1"/>
  <c r="AE255" i="19" s="1"/>
  <c r="AP255" i="19"/>
  <c r="AR255" i="19" s="1"/>
  <c r="AS255" i="19" s="1"/>
  <c r="BR255" i="19"/>
  <c r="BT255" i="19" s="1"/>
  <c r="BU255" i="19" s="1"/>
  <c r="CT255" i="19"/>
  <c r="CV255" i="19" s="1"/>
  <c r="CW255" i="19" s="1"/>
  <c r="BD255" i="19"/>
  <c r="BF255" i="19" s="1"/>
  <c r="BG255" i="19" s="1"/>
  <c r="G85" i="19"/>
  <c r="C86" i="19"/>
  <c r="DE85" i="19"/>
  <c r="Z85" i="19"/>
  <c r="AC85" i="19" s="1"/>
  <c r="CR85" i="19"/>
  <c r="CU85" i="19" s="1"/>
  <c r="CD85" i="19"/>
  <c r="CG85" i="19" s="1"/>
  <c r="BP85" i="19"/>
  <c r="BS85" i="19" s="1"/>
  <c r="AN85" i="19"/>
  <c r="AQ85" i="19" s="1"/>
  <c r="BB85" i="19"/>
  <c r="BE85" i="19" s="1"/>
  <c r="AT83" i="19"/>
  <c r="AV83" i="19" s="1"/>
  <c r="AW83" i="19" s="1"/>
  <c r="BH83" i="19"/>
  <c r="BJ83" i="19" s="1"/>
  <c r="BK83" i="19" s="1"/>
  <c r="CJ83" i="19"/>
  <c r="CL83" i="19" s="1"/>
  <c r="CM83" i="19" s="1"/>
  <c r="CX83" i="19"/>
  <c r="CZ83" i="19" s="1"/>
  <c r="DA83" i="19" s="1"/>
  <c r="AF83" i="19"/>
  <c r="AH83" i="19" s="1"/>
  <c r="AI83" i="19" s="1"/>
  <c r="BV83" i="19"/>
  <c r="BX83" i="19" s="1"/>
  <c r="BY83" i="19" s="1"/>
  <c r="BD83" i="19"/>
  <c r="BF83" i="19" s="1"/>
  <c r="BG83" i="19" s="1"/>
  <c r="BR83" i="19"/>
  <c r="BT83" i="19" s="1"/>
  <c r="BU83" i="19" s="1"/>
  <c r="CF83" i="19"/>
  <c r="CH83" i="19" s="1"/>
  <c r="CI83" i="19" s="1"/>
  <c r="CT83" i="19"/>
  <c r="CV83" i="19" s="1"/>
  <c r="CW83" i="19" s="1"/>
  <c r="AB83" i="19"/>
  <c r="AD83" i="19" s="1"/>
  <c r="AE83" i="19" s="1"/>
  <c r="AP83" i="19"/>
  <c r="AR83" i="19" s="1"/>
  <c r="AS83" i="19" s="1"/>
  <c r="H256" i="19"/>
  <c r="BL254" i="19"/>
  <c r="BN254" i="19" s="1"/>
  <c r="DI254" i="19" s="1"/>
  <c r="F171" i="19"/>
  <c r="F257" i="19"/>
  <c r="DB254" i="19"/>
  <c r="DD254" i="19" s="1"/>
  <c r="DL254" i="19" s="1"/>
  <c r="BV169" i="19"/>
  <c r="BX169" i="19" s="1"/>
  <c r="BY169" i="19" s="1"/>
  <c r="AJ254" i="19"/>
  <c r="AL254" i="19" s="1"/>
  <c r="DG254" i="19" s="1"/>
  <c r="AX254" i="19"/>
  <c r="AZ254" i="19" s="1"/>
  <c r="DH254" i="19" s="1"/>
  <c r="CT169" i="19"/>
  <c r="CV169" i="19" s="1"/>
  <c r="CW169" i="19" s="1"/>
  <c r="AB169" i="19"/>
  <c r="AD169" i="19" s="1"/>
  <c r="AE169" i="19" s="1"/>
  <c r="AP169" i="19"/>
  <c r="AR169" i="19" s="1"/>
  <c r="AS169" i="19" s="1"/>
  <c r="BD169" i="19"/>
  <c r="BF169" i="19" s="1"/>
  <c r="BG169" i="19" s="1"/>
  <c r="BR169" i="19"/>
  <c r="BT169" i="19" s="1"/>
  <c r="BU169" i="19" s="1"/>
  <c r="CF169" i="19"/>
  <c r="CH169" i="19" s="1"/>
  <c r="CI169" i="19" s="1"/>
  <c r="B7" i="16"/>
  <c r="J171" i="20"/>
  <c r="G173" i="20"/>
  <c r="J173" i="20"/>
  <c r="G172" i="20"/>
  <c r="J174" i="20"/>
  <c r="G170" i="20"/>
  <c r="C31" i="20"/>
  <c r="D36" i="20"/>
  <c r="J172" i="20"/>
  <c r="D37" i="20"/>
  <c r="D35" i="20"/>
  <c r="G174" i="20"/>
  <c r="G171" i="20"/>
  <c r="J169" i="20"/>
  <c r="D172" i="20"/>
  <c r="D173" i="20"/>
  <c r="D170" i="20"/>
  <c r="J170" i="20"/>
  <c r="D34" i="20"/>
  <c r="D174" i="20"/>
  <c r="C29" i="20"/>
  <c r="E34" i="20" s="1"/>
  <c r="F36" i="20" s="1"/>
  <c r="G169" i="20"/>
  <c r="D169" i="20"/>
  <c r="D171" i="20"/>
  <c r="BH169" i="19" l="1"/>
  <c r="BJ169" i="19" s="1"/>
  <c r="BK169" i="19" s="1"/>
  <c r="AT169" i="19"/>
  <c r="AV169" i="19" s="1"/>
  <c r="AW169" i="19" s="1"/>
  <c r="CJ169" i="19"/>
  <c r="CL169" i="19" s="1"/>
  <c r="CM169" i="19" s="1"/>
  <c r="CX169" i="19"/>
  <c r="CZ169" i="19" s="1"/>
  <c r="DA169" i="19" s="1"/>
  <c r="V84" i="19"/>
  <c r="X84" i="19" s="1"/>
  <c r="BH84" i="19" s="1"/>
  <c r="BJ84" i="19" s="1"/>
  <c r="BK84" i="19" s="1"/>
  <c r="F86" i="19"/>
  <c r="V170" i="19"/>
  <c r="X170" i="19" s="1"/>
  <c r="BH170" i="19" s="1"/>
  <c r="BJ170" i="19" s="1"/>
  <c r="BK170" i="19" s="1"/>
  <c r="H85" i="19"/>
  <c r="I85" i="19" s="1"/>
  <c r="S85" i="19" s="1"/>
  <c r="U85" i="19" s="1"/>
  <c r="BH255" i="19"/>
  <c r="BJ255" i="19" s="1"/>
  <c r="BK255" i="19" s="1"/>
  <c r="BL255" i="19" s="1"/>
  <c r="BN255" i="19" s="1"/>
  <c r="DI255" i="19" s="1"/>
  <c r="CX255" i="19"/>
  <c r="CZ255" i="19" s="1"/>
  <c r="DA255" i="19" s="1"/>
  <c r="DB255" i="19" s="1"/>
  <c r="DD255" i="19" s="1"/>
  <c r="DL255" i="19" s="1"/>
  <c r="CJ255" i="19"/>
  <c r="CL255" i="19" s="1"/>
  <c r="CM255" i="19" s="1"/>
  <c r="CN255" i="19" s="1"/>
  <c r="CP255" i="19" s="1"/>
  <c r="DK255" i="19" s="1"/>
  <c r="AF255" i="19"/>
  <c r="AH255" i="19" s="1"/>
  <c r="AI255" i="19" s="1"/>
  <c r="AJ255" i="19" s="1"/>
  <c r="AL255" i="19" s="1"/>
  <c r="DG255" i="19" s="1"/>
  <c r="AT255" i="19"/>
  <c r="AV255" i="19" s="1"/>
  <c r="AW255" i="19" s="1"/>
  <c r="AX255" i="19" s="1"/>
  <c r="AZ255" i="19" s="1"/>
  <c r="DH255" i="19" s="1"/>
  <c r="BZ255" i="19"/>
  <c r="CB255" i="19" s="1"/>
  <c r="DJ255" i="19" s="1"/>
  <c r="H171" i="19"/>
  <c r="I171" i="19" s="1"/>
  <c r="S171" i="19" s="1"/>
  <c r="U171" i="19" s="1"/>
  <c r="G258" i="19"/>
  <c r="C259" i="19"/>
  <c r="DE258" i="19"/>
  <c r="Z258" i="19"/>
  <c r="AC258" i="19" s="1"/>
  <c r="CR258" i="19"/>
  <c r="CU258" i="19" s="1"/>
  <c r="CD258" i="19"/>
  <c r="CG258" i="19" s="1"/>
  <c r="BP258" i="19"/>
  <c r="BS258" i="19" s="1"/>
  <c r="BB258" i="19"/>
  <c r="BE258" i="19" s="1"/>
  <c r="AN258" i="19"/>
  <c r="AQ258" i="19" s="1"/>
  <c r="I256" i="19"/>
  <c r="S256" i="19" s="1"/>
  <c r="U256" i="19" s="1"/>
  <c r="V256" i="19"/>
  <c r="X256" i="19" s="1"/>
  <c r="F172" i="19"/>
  <c r="BL169" i="19"/>
  <c r="BN169" i="19" s="1"/>
  <c r="DI169" i="19" s="1"/>
  <c r="G86" i="19"/>
  <c r="C87" i="19"/>
  <c r="F87" i="19" s="1"/>
  <c r="Z86" i="19"/>
  <c r="AC86" i="19" s="1"/>
  <c r="CR86" i="19"/>
  <c r="CU86" i="19" s="1"/>
  <c r="CD86" i="19"/>
  <c r="CG86" i="19" s="1"/>
  <c r="BP86" i="19"/>
  <c r="BS86" i="19" s="1"/>
  <c r="BB86" i="19"/>
  <c r="BE86" i="19" s="1"/>
  <c r="DE86" i="19"/>
  <c r="AN86" i="19"/>
  <c r="AQ86" i="19" s="1"/>
  <c r="F258" i="19"/>
  <c r="AX169" i="19"/>
  <c r="AZ169" i="19" s="1"/>
  <c r="DH169" i="19" s="1"/>
  <c r="BZ83" i="19"/>
  <c r="CB83" i="19" s="1"/>
  <c r="DJ83" i="19" s="1"/>
  <c r="CN169" i="19"/>
  <c r="CP169" i="19" s="1"/>
  <c r="AJ83" i="19"/>
  <c r="AL83" i="19" s="1"/>
  <c r="DG83" i="19" s="1"/>
  <c r="G172" i="19"/>
  <c r="C173" i="19"/>
  <c r="CD172" i="19"/>
  <c r="CG172" i="19" s="1"/>
  <c r="BP172" i="19"/>
  <c r="BS172" i="19" s="1"/>
  <c r="BB172" i="19"/>
  <c r="BE172" i="19" s="1"/>
  <c r="AN172" i="19"/>
  <c r="AQ172" i="19" s="1"/>
  <c r="Z172" i="19"/>
  <c r="AC172" i="19" s="1"/>
  <c r="CR172" i="19"/>
  <c r="CU172" i="19" s="1"/>
  <c r="DE172" i="19"/>
  <c r="DB169" i="19"/>
  <c r="DD169" i="19" s="1"/>
  <c r="DB83" i="19"/>
  <c r="DD83" i="19" s="1"/>
  <c r="DL83" i="19" s="1"/>
  <c r="AJ169" i="19"/>
  <c r="AL169" i="19" s="1"/>
  <c r="DG169" i="19" s="1"/>
  <c r="CN83" i="19"/>
  <c r="CP83" i="19" s="1"/>
  <c r="DK83" i="19" s="1"/>
  <c r="BV170" i="19"/>
  <c r="BX170" i="19" s="1"/>
  <c r="BY170" i="19" s="1"/>
  <c r="AF170" i="19"/>
  <c r="AH170" i="19" s="1"/>
  <c r="AI170" i="19" s="1"/>
  <c r="CJ170" i="19"/>
  <c r="CL170" i="19" s="1"/>
  <c r="CM170" i="19" s="1"/>
  <c r="BZ169" i="19"/>
  <c r="CB169" i="19" s="1"/>
  <c r="BL83" i="19"/>
  <c r="BN83" i="19" s="1"/>
  <c r="DI83" i="19" s="1"/>
  <c r="CT170" i="19"/>
  <c r="CV170" i="19" s="1"/>
  <c r="CW170" i="19" s="1"/>
  <c r="AB170" i="19"/>
  <c r="AD170" i="19" s="1"/>
  <c r="AE170" i="19" s="1"/>
  <c r="AP170" i="19"/>
  <c r="AR170" i="19" s="1"/>
  <c r="AS170" i="19" s="1"/>
  <c r="BD170" i="19"/>
  <c r="BF170" i="19" s="1"/>
  <c r="BG170" i="19" s="1"/>
  <c r="BR170" i="19"/>
  <c r="BT170" i="19" s="1"/>
  <c r="BU170" i="19" s="1"/>
  <c r="CF170" i="19"/>
  <c r="CH170" i="19" s="1"/>
  <c r="CI170" i="19" s="1"/>
  <c r="AX83" i="19"/>
  <c r="AZ83" i="19" s="1"/>
  <c r="DH83" i="19" s="1"/>
  <c r="BV84" i="19"/>
  <c r="BX84" i="19" s="1"/>
  <c r="BY84" i="19" s="1"/>
  <c r="CX84" i="19"/>
  <c r="CZ84" i="19" s="1"/>
  <c r="DA84" i="19" s="1"/>
  <c r="H257" i="19"/>
  <c r="BR84" i="19"/>
  <c r="BT84" i="19" s="1"/>
  <c r="BU84" i="19" s="1"/>
  <c r="CF84" i="19"/>
  <c r="CH84" i="19" s="1"/>
  <c r="CI84" i="19" s="1"/>
  <c r="CT84" i="19"/>
  <c r="CV84" i="19" s="1"/>
  <c r="CW84" i="19" s="1"/>
  <c r="AB84" i="19"/>
  <c r="AD84" i="19" s="1"/>
  <c r="AE84" i="19" s="1"/>
  <c r="BD84" i="19"/>
  <c r="BF84" i="19" s="1"/>
  <c r="BG84" i="19" s="1"/>
  <c r="AP84" i="19"/>
  <c r="AR84" i="19" s="1"/>
  <c r="AS84" i="19" s="1"/>
  <c r="B76" i="15"/>
  <c r="F76" i="15" s="1"/>
  <c r="B75" i="15"/>
  <c r="F75" i="15" s="1"/>
  <c r="B54" i="15"/>
  <c r="F54" i="15" s="1"/>
  <c r="B61" i="15"/>
  <c r="F61" i="15" s="1"/>
  <c r="B68" i="15"/>
  <c r="G68" i="15" s="1"/>
  <c r="B55" i="15"/>
  <c r="G55" i="15" s="1"/>
  <c r="B69" i="15"/>
  <c r="G69" i="15" s="1"/>
  <c r="B40" i="15"/>
  <c r="G40" i="15" s="1"/>
  <c r="B48" i="15"/>
  <c r="F48" i="15" s="1"/>
  <c r="B41" i="15"/>
  <c r="F41" i="15" s="1"/>
  <c r="B47" i="15"/>
  <c r="G47" i="15" s="1"/>
  <c r="B74" i="15"/>
  <c r="E74" i="15" s="1"/>
  <c r="E521" i="19" s="1"/>
  <c r="AG74" i="25"/>
  <c r="B60" i="15"/>
  <c r="F60" i="15" s="1"/>
  <c r="U74" i="25"/>
  <c r="B67" i="15"/>
  <c r="E67" i="15" s="1"/>
  <c r="E520" i="19" s="1"/>
  <c r="AA74" i="25"/>
  <c r="B53" i="15"/>
  <c r="E53" i="15" s="1"/>
  <c r="O74" i="25"/>
  <c r="B46" i="15"/>
  <c r="G46" i="15" s="1"/>
  <c r="I89" i="25" s="1"/>
  <c r="I123" i="25" s="1"/>
  <c r="I74" i="25"/>
  <c r="B39" i="15"/>
  <c r="E39" i="15" s="1"/>
  <c r="C74" i="25"/>
  <c r="B62" i="15"/>
  <c r="F62" i="15" s="1"/>
  <c r="E46" i="20"/>
  <c r="F46" i="20" s="1"/>
  <c r="F34" i="20"/>
  <c r="E35" i="20"/>
  <c r="E36" i="20"/>
  <c r="E48" i="20" s="1"/>
  <c r="F48" i="20" s="1"/>
  <c r="D46" i="20"/>
  <c r="G34" i="20"/>
  <c r="G36" i="20"/>
  <c r="E37" i="20"/>
  <c r="CX170" i="19" l="1"/>
  <c r="CZ170" i="19" s="1"/>
  <c r="DA170" i="19" s="1"/>
  <c r="AT170" i="19"/>
  <c r="AV170" i="19" s="1"/>
  <c r="AW170" i="19" s="1"/>
  <c r="AT84" i="19"/>
  <c r="AV84" i="19" s="1"/>
  <c r="AW84" i="19" s="1"/>
  <c r="AF84" i="19"/>
  <c r="AH84" i="19" s="1"/>
  <c r="AI84" i="19" s="1"/>
  <c r="CJ84" i="19"/>
  <c r="CL84" i="19" s="1"/>
  <c r="CM84" i="19" s="1"/>
  <c r="H86" i="19"/>
  <c r="J41" i="15"/>
  <c r="K41" i="15"/>
  <c r="H41" i="15"/>
  <c r="I41" i="15"/>
  <c r="K76" i="15"/>
  <c r="J76" i="15"/>
  <c r="H76" i="15"/>
  <c r="I76" i="15"/>
  <c r="H54" i="15"/>
  <c r="K54" i="15"/>
  <c r="J54" i="15"/>
  <c r="I54" i="15"/>
  <c r="E518" i="19"/>
  <c r="K60" i="15"/>
  <c r="J60" i="15"/>
  <c r="H60" i="15"/>
  <c r="I60" i="15"/>
  <c r="K75" i="15"/>
  <c r="J75" i="15"/>
  <c r="I75" i="15"/>
  <c r="H75" i="15"/>
  <c r="H62" i="15"/>
  <c r="J62" i="15"/>
  <c r="K62" i="15"/>
  <c r="I62" i="15"/>
  <c r="E516" i="19"/>
  <c r="K48" i="15"/>
  <c r="J48" i="15"/>
  <c r="H48" i="15"/>
  <c r="I48" i="15"/>
  <c r="K61" i="15"/>
  <c r="H61" i="15"/>
  <c r="J61" i="15"/>
  <c r="I61" i="15"/>
  <c r="V85" i="19"/>
  <c r="X85" i="19" s="1"/>
  <c r="AT85" i="19" s="1"/>
  <c r="AV85" i="19" s="1"/>
  <c r="AW85" i="19" s="1"/>
  <c r="V171" i="19"/>
  <c r="X171" i="19" s="1"/>
  <c r="AF171" i="19" s="1"/>
  <c r="AH171" i="19" s="1"/>
  <c r="AI171" i="19" s="1"/>
  <c r="F68" i="15"/>
  <c r="F173" i="19"/>
  <c r="F47" i="15"/>
  <c r="E68" i="15"/>
  <c r="E76" i="15"/>
  <c r="G76" i="15"/>
  <c r="G54" i="15"/>
  <c r="G41" i="15"/>
  <c r="E41" i="15"/>
  <c r="E54" i="15"/>
  <c r="G75" i="15"/>
  <c r="DB84" i="19"/>
  <c r="DD84" i="19" s="1"/>
  <c r="DL84" i="19" s="1"/>
  <c r="BL170" i="19"/>
  <c r="BN170" i="19" s="1"/>
  <c r="DI170" i="19" s="1"/>
  <c r="E75" i="15"/>
  <c r="BZ84" i="19"/>
  <c r="CB84" i="19" s="1"/>
  <c r="DJ84" i="19" s="1"/>
  <c r="I86" i="19"/>
  <c r="S86" i="19" s="1"/>
  <c r="U86" i="19" s="1"/>
  <c r="V86" i="19"/>
  <c r="X86" i="19" s="1"/>
  <c r="BV256" i="19"/>
  <c r="BX256" i="19" s="1"/>
  <c r="BY256" i="19" s="1"/>
  <c r="AT256" i="19"/>
  <c r="AV256" i="19" s="1"/>
  <c r="AW256" i="19" s="1"/>
  <c r="CJ256" i="19"/>
  <c r="CL256" i="19" s="1"/>
  <c r="CM256" i="19" s="1"/>
  <c r="BH256" i="19"/>
  <c r="BJ256" i="19" s="1"/>
  <c r="BK256" i="19" s="1"/>
  <c r="CX256" i="19"/>
  <c r="CZ256" i="19" s="1"/>
  <c r="DA256" i="19" s="1"/>
  <c r="AF256" i="19"/>
  <c r="AH256" i="19" s="1"/>
  <c r="AI256" i="19" s="1"/>
  <c r="CT256" i="19"/>
  <c r="CV256" i="19" s="1"/>
  <c r="CW256" i="19" s="1"/>
  <c r="BD256" i="19"/>
  <c r="BF256" i="19" s="1"/>
  <c r="BG256" i="19" s="1"/>
  <c r="CF256" i="19"/>
  <c r="CH256" i="19" s="1"/>
  <c r="CI256" i="19" s="1"/>
  <c r="BR256" i="19"/>
  <c r="BT256" i="19" s="1"/>
  <c r="BU256" i="19" s="1"/>
  <c r="AP256" i="19"/>
  <c r="AR256" i="19" s="1"/>
  <c r="AS256" i="19" s="1"/>
  <c r="AB256" i="19"/>
  <c r="AD256" i="19" s="1"/>
  <c r="AE256" i="19" s="1"/>
  <c r="F259" i="19"/>
  <c r="H258" i="19"/>
  <c r="G259" i="19"/>
  <c r="C260" i="19"/>
  <c r="BB259" i="19"/>
  <c r="BE259" i="19" s="1"/>
  <c r="BP259" i="19"/>
  <c r="BS259" i="19" s="1"/>
  <c r="AN259" i="19"/>
  <c r="AQ259" i="19" s="1"/>
  <c r="Z259" i="19"/>
  <c r="AC259" i="19" s="1"/>
  <c r="DE259" i="19"/>
  <c r="CR259" i="19"/>
  <c r="CU259" i="19" s="1"/>
  <c r="CD259" i="19"/>
  <c r="CG259" i="19" s="1"/>
  <c r="I257" i="19"/>
  <c r="S257" i="19" s="1"/>
  <c r="U257" i="19" s="1"/>
  <c r="V257" i="19"/>
  <c r="X257" i="19" s="1"/>
  <c r="CN170" i="19"/>
  <c r="CP170" i="19" s="1"/>
  <c r="AX84" i="19"/>
  <c r="AZ84" i="19" s="1"/>
  <c r="DH84" i="19" s="1"/>
  <c r="DB170" i="19"/>
  <c r="DD170" i="19" s="1"/>
  <c r="G87" i="19"/>
  <c r="H87" i="19" s="1"/>
  <c r="C88" i="19"/>
  <c r="F88" i="19" s="1"/>
  <c r="BB87" i="19"/>
  <c r="BE87" i="19" s="1"/>
  <c r="AN87" i="19"/>
  <c r="AQ87" i="19" s="1"/>
  <c r="DE87" i="19"/>
  <c r="Z87" i="19"/>
  <c r="AC87" i="19" s="1"/>
  <c r="CR87" i="19"/>
  <c r="CU87" i="19" s="1"/>
  <c r="CD87" i="19"/>
  <c r="CG87" i="19" s="1"/>
  <c r="BP87" i="19"/>
  <c r="BS87" i="19" s="1"/>
  <c r="AJ84" i="19"/>
  <c r="AL84" i="19" s="1"/>
  <c r="DG84" i="19" s="1"/>
  <c r="AX170" i="19"/>
  <c r="AZ170" i="19" s="1"/>
  <c r="DH170" i="19" s="1"/>
  <c r="G173" i="19"/>
  <c r="C174" i="19"/>
  <c r="BP173" i="19"/>
  <c r="BS173" i="19" s="1"/>
  <c r="BB173" i="19"/>
  <c r="BE173" i="19" s="1"/>
  <c r="CR173" i="19"/>
  <c r="CU173" i="19" s="1"/>
  <c r="AN173" i="19"/>
  <c r="AQ173" i="19" s="1"/>
  <c r="Z173" i="19"/>
  <c r="AC173" i="19" s="1"/>
  <c r="CD173" i="19"/>
  <c r="CG173" i="19" s="1"/>
  <c r="DE173" i="19"/>
  <c r="CT171" i="19"/>
  <c r="CV171" i="19" s="1"/>
  <c r="CW171" i="19" s="1"/>
  <c r="AP171" i="19"/>
  <c r="AR171" i="19" s="1"/>
  <c r="AS171" i="19" s="1"/>
  <c r="AB171" i="19"/>
  <c r="AD171" i="19" s="1"/>
  <c r="AE171" i="19" s="1"/>
  <c r="BD171" i="19"/>
  <c r="BF171" i="19" s="1"/>
  <c r="BG171" i="19" s="1"/>
  <c r="CF171" i="19"/>
  <c r="CH171" i="19" s="1"/>
  <c r="CI171" i="19" s="1"/>
  <c r="BR171" i="19"/>
  <c r="BT171" i="19" s="1"/>
  <c r="BU171" i="19" s="1"/>
  <c r="CN84" i="19"/>
  <c r="CP84" i="19" s="1"/>
  <c r="DK84" i="19" s="1"/>
  <c r="AJ170" i="19"/>
  <c r="AL170" i="19" s="1"/>
  <c r="DG170" i="19" s="1"/>
  <c r="BL84" i="19"/>
  <c r="BN84" i="19" s="1"/>
  <c r="DI84" i="19" s="1"/>
  <c r="BZ170" i="19"/>
  <c r="CB170" i="19" s="1"/>
  <c r="H172" i="19"/>
  <c r="AP85" i="19"/>
  <c r="AR85" i="19" s="1"/>
  <c r="AS85" i="19" s="1"/>
  <c r="CT85" i="19"/>
  <c r="CV85" i="19" s="1"/>
  <c r="CW85" i="19" s="1"/>
  <c r="AB85" i="19"/>
  <c r="AD85" i="19" s="1"/>
  <c r="AE85" i="19" s="1"/>
  <c r="BR85" i="19"/>
  <c r="BT85" i="19" s="1"/>
  <c r="BU85" i="19" s="1"/>
  <c r="BD85" i="19"/>
  <c r="BF85" i="19" s="1"/>
  <c r="BG85" i="19" s="1"/>
  <c r="CF85" i="19"/>
  <c r="CH85" i="19" s="1"/>
  <c r="CI85" i="19" s="1"/>
  <c r="E47" i="15"/>
  <c r="G61" i="15"/>
  <c r="E55" i="15"/>
  <c r="F69" i="15"/>
  <c r="E69" i="15"/>
  <c r="E61" i="15"/>
  <c r="E60" i="15"/>
  <c r="E519" i="19" s="1"/>
  <c r="G60" i="15"/>
  <c r="U89" i="25" s="1"/>
  <c r="U123" i="25" s="1"/>
  <c r="F55" i="15"/>
  <c r="E48" i="15"/>
  <c r="G48" i="15"/>
  <c r="F40" i="15"/>
  <c r="E40" i="15"/>
  <c r="G39" i="15"/>
  <c r="C123" i="25" s="1"/>
  <c r="G67" i="15"/>
  <c r="AA89" i="25" s="1"/>
  <c r="AA123" i="25" s="1"/>
  <c r="F67" i="15"/>
  <c r="G62" i="15"/>
  <c r="E62" i="15"/>
  <c r="F39" i="15"/>
  <c r="G74" i="15"/>
  <c r="AG89" i="25" s="1"/>
  <c r="AG123" i="25" s="1"/>
  <c r="F74" i="15"/>
  <c r="F53" i="15"/>
  <c r="G53" i="15"/>
  <c r="O89" i="25" s="1"/>
  <c r="O123" i="25" s="1"/>
  <c r="I108" i="25"/>
  <c r="O108" i="25"/>
  <c r="F46" i="15"/>
  <c r="E46" i="15"/>
  <c r="AA108" i="25"/>
  <c r="U108" i="25"/>
  <c r="AG108" i="25"/>
  <c r="C108" i="25"/>
  <c r="I34" i="20"/>
  <c r="J34" i="20" s="1"/>
  <c r="L34" i="20" s="1"/>
  <c r="F37" i="20"/>
  <c r="E49" i="20"/>
  <c r="F49" i="20" s="1"/>
  <c r="K36" i="20"/>
  <c r="N36" i="20"/>
  <c r="G37" i="20"/>
  <c r="K34" i="20"/>
  <c r="N34" i="20"/>
  <c r="G35" i="20"/>
  <c r="D47" i="20"/>
  <c r="G47" i="20" s="1"/>
  <c r="G46" i="20"/>
  <c r="I46" i="20" s="1"/>
  <c r="D48" i="20"/>
  <c r="E47" i="20"/>
  <c r="F47" i="20" s="1"/>
  <c r="F35" i="20"/>
  <c r="I36" i="20"/>
  <c r="J36" i="20" s="1"/>
  <c r="L36" i="20" s="1"/>
  <c r="AS340" i="19" l="1"/>
  <c r="AV340" i="19" s="1"/>
  <c r="AS341" i="19"/>
  <c r="AV341" i="19" s="1"/>
  <c r="AS339" i="19"/>
  <c r="AV339" i="19" s="1"/>
  <c r="AF385" i="19"/>
  <c r="AI385" i="19" s="1"/>
  <c r="AF384" i="19"/>
  <c r="AI384" i="19" s="1"/>
  <c r="AF383" i="19"/>
  <c r="AI383" i="19" s="1"/>
  <c r="AS351" i="19"/>
  <c r="AV351" i="19" s="1"/>
  <c r="AS353" i="19"/>
  <c r="AV353" i="19" s="1"/>
  <c r="AS352" i="19"/>
  <c r="AV352" i="19" s="1"/>
  <c r="AF391" i="19"/>
  <c r="AI391" i="19" s="1"/>
  <c r="AF390" i="19"/>
  <c r="AI390" i="19" s="1"/>
  <c r="AF389" i="19"/>
  <c r="AI389" i="19" s="1"/>
  <c r="H46" i="15"/>
  <c r="I46" i="15"/>
  <c r="K46" i="15"/>
  <c r="J46" i="15"/>
  <c r="K55" i="15"/>
  <c r="J55" i="15"/>
  <c r="I55" i="15"/>
  <c r="H55" i="15"/>
  <c r="AS359" i="19"/>
  <c r="AV359" i="19" s="1"/>
  <c r="AS358" i="19"/>
  <c r="AV358" i="19" s="1"/>
  <c r="AS357" i="19"/>
  <c r="AV357" i="19" s="1"/>
  <c r="AF372" i="19"/>
  <c r="AI372" i="19" s="1"/>
  <c r="AF373" i="19"/>
  <c r="AI373" i="19" s="1"/>
  <c r="AF371" i="19"/>
  <c r="AI371" i="19" s="1"/>
  <c r="AS410" i="19"/>
  <c r="AV410" i="19" s="1"/>
  <c r="AS409" i="19"/>
  <c r="AV409" i="19" s="1"/>
  <c r="AS408" i="19"/>
  <c r="AV408" i="19" s="1"/>
  <c r="BS410" i="19"/>
  <c r="BV410" i="19" s="1"/>
  <c r="BS409" i="19"/>
  <c r="BV409" i="19" s="1"/>
  <c r="BS408" i="19"/>
  <c r="BV408" i="19" s="1"/>
  <c r="AS422" i="19"/>
  <c r="AV422" i="19" s="1"/>
  <c r="AS421" i="19"/>
  <c r="AV421" i="19" s="1"/>
  <c r="AS420" i="19"/>
  <c r="AV420" i="19" s="1"/>
  <c r="BS404" i="19"/>
  <c r="BV404" i="19" s="1"/>
  <c r="BS403" i="19"/>
  <c r="BV403" i="19" s="1"/>
  <c r="BS402" i="19"/>
  <c r="BV402" i="19" s="1"/>
  <c r="I47" i="15"/>
  <c r="K47" i="15"/>
  <c r="J47" i="15"/>
  <c r="H47" i="15"/>
  <c r="AS415" i="19"/>
  <c r="AV415" i="19" s="1"/>
  <c r="AS414" i="19"/>
  <c r="AV414" i="19" s="1"/>
  <c r="AS416" i="19"/>
  <c r="AV416" i="19" s="1"/>
  <c r="BS415" i="19"/>
  <c r="BV415" i="19" s="1"/>
  <c r="BS414" i="19"/>
  <c r="BV414" i="19" s="1"/>
  <c r="BS416" i="19"/>
  <c r="BV416" i="19" s="1"/>
  <c r="AS404" i="19"/>
  <c r="AV404" i="19" s="1"/>
  <c r="AS403" i="19"/>
  <c r="AV403" i="19" s="1"/>
  <c r="AS402" i="19"/>
  <c r="AV402" i="19" s="1"/>
  <c r="BS422" i="19"/>
  <c r="BV422" i="19" s="1"/>
  <c r="BS421" i="19"/>
  <c r="BV421" i="19" s="1"/>
  <c r="BS420" i="19"/>
  <c r="BV420" i="19" s="1"/>
  <c r="K53" i="15"/>
  <c r="J53" i="15"/>
  <c r="I53" i="15"/>
  <c r="H53" i="15"/>
  <c r="S410" i="19"/>
  <c r="V410" i="19" s="1"/>
  <c r="S409" i="19"/>
  <c r="V409" i="19" s="1"/>
  <c r="S408" i="19"/>
  <c r="V408" i="19" s="1"/>
  <c r="BS373" i="19"/>
  <c r="BV373" i="19" s="1"/>
  <c r="BS372" i="19"/>
  <c r="BV372" i="19" s="1"/>
  <c r="BS371" i="19"/>
  <c r="BV371" i="19" s="1"/>
  <c r="J68" i="15"/>
  <c r="K68" i="15"/>
  <c r="H68" i="15"/>
  <c r="I68" i="15"/>
  <c r="S404" i="19"/>
  <c r="V404" i="19" s="1"/>
  <c r="S403" i="19"/>
  <c r="V403" i="19" s="1"/>
  <c r="S402" i="19"/>
  <c r="V402" i="19" s="1"/>
  <c r="BS377" i="19"/>
  <c r="BV377" i="19" s="1"/>
  <c r="BS379" i="19"/>
  <c r="BV379" i="19" s="1"/>
  <c r="BS378" i="19"/>
  <c r="BV378" i="19" s="1"/>
  <c r="AS347" i="19"/>
  <c r="AV347" i="19" s="1"/>
  <c r="AS346" i="19"/>
  <c r="AV346" i="19" s="1"/>
  <c r="AS345" i="19"/>
  <c r="AV345" i="19" s="1"/>
  <c r="S414" i="19"/>
  <c r="V414" i="19" s="1"/>
  <c r="S416" i="19"/>
  <c r="V416" i="19" s="1"/>
  <c r="S415" i="19"/>
  <c r="V415" i="19" s="1"/>
  <c r="BS385" i="19"/>
  <c r="BV385" i="19" s="1"/>
  <c r="BS384" i="19"/>
  <c r="BV384" i="19" s="1"/>
  <c r="BS383" i="19"/>
  <c r="BV383" i="19" s="1"/>
  <c r="H74" i="15"/>
  <c r="J74" i="15"/>
  <c r="I74" i="15"/>
  <c r="K74" i="15"/>
  <c r="H69" i="15"/>
  <c r="K69" i="15"/>
  <c r="J69" i="15"/>
  <c r="I69" i="15"/>
  <c r="S422" i="19"/>
  <c r="V422" i="19" s="1"/>
  <c r="S421" i="19"/>
  <c r="V421" i="19" s="1"/>
  <c r="S420" i="19"/>
  <c r="V420" i="19" s="1"/>
  <c r="BS390" i="19"/>
  <c r="BV390" i="19" s="1"/>
  <c r="BS391" i="19"/>
  <c r="BV391" i="19" s="1"/>
  <c r="BS389" i="19"/>
  <c r="BV389" i="19" s="1"/>
  <c r="K67" i="15"/>
  <c r="J67" i="15"/>
  <c r="I67" i="15"/>
  <c r="H67" i="15"/>
  <c r="AS377" i="19"/>
  <c r="AV377" i="19" s="1"/>
  <c r="AS379" i="19"/>
  <c r="AV379" i="19" s="1"/>
  <c r="AS378" i="19"/>
  <c r="AV378" i="19" s="1"/>
  <c r="F410" i="19"/>
  <c r="I410" i="19" s="1"/>
  <c r="F409" i="19"/>
  <c r="I409" i="19" s="1"/>
  <c r="F408" i="19"/>
  <c r="I408" i="19" s="1"/>
  <c r="I40" i="15"/>
  <c r="J40" i="15"/>
  <c r="K40" i="15"/>
  <c r="H40" i="15"/>
  <c r="I39" i="15"/>
  <c r="J39" i="15"/>
  <c r="K39" i="15"/>
  <c r="H39" i="15"/>
  <c r="AS385" i="19"/>
  <c r="AV385" i="19" s="1"/>
  <c r="AS384" i="19"/>
  <c r="AV384" i="19" s="1"/>
  <c r="AS383" i="19"/>
  <c r="AV383" i="19" s="1"/>
  <c r="F403" i="19"/>
  <c r="I403" i="19" s="1"/>
  <c r="F402" i="19"/>
  <c r="I402" i="19" s="1"/>
  <c r="F404" i="19"/>
  <c r="I404" i="19" s="1"/>
  <c r="AS372" i="19"/>
  <c r="AV372" i="19" s="1"/>
  <c r="AS371" i="19"/>
  <c r="AV371" i="19" s="1"/>
  <c r="AS373" i="19"/>
  <c r="AV373" i="19" s="1"/>
  <c r="F422" i="19"/>
  <c r="I422" i="19" s="1"/>
  <c r="F421" i="19"/>
  <c r="I421" i="19" s="1"/>
  <c r="F420" i="19"/>
  <c r="I420" i="19" s="1"/>
  <c r="AF379" i="19"/>
  <c r="AI379" i="19" s="1"/>
  <c r="AF378" i="19"/>
  <c r="AI378" i="19" s="1"/>
  <c r="AF377" i="19"/>
  <c r="AI377" i="19" s="1"/>
  <c r="E517" i="19"/>
  <c r="AS390" i="19"/>
  <c r="AV390" i="19" s="1"/>
  <c r="AS391" i="19"/>
  <c r="AV391" i="19" s="1"/>
  <c r="AS389" i="19"/>
  <c r="AV389" i="19" s="1"/>
  <c r="F416" i="19"/>
  <c r="I416" i="19" s="1"/>
  <c r="F415" i="19"/>
  <c r="I415" i="19" s="1"/>
  <c r="F414" i="19"/>
  <c r="I414" i="19" s="1"/>
  <c r="BV85" i="19"/>
  <c r="BX85" i="19" s="1"/>
  <c r="BY85" i="19" s="1"/>
  <c r="BZ85" i="19" s="1"/>
  <c r="CB85" i="19" s="1"/>
  <c r="DJ85" i="19" s="1"/>
  <c r="AF85" i="19"/>
  <c r="AH85" i="19" s="1"/>
  <c r="AI85" i="19" s="1"/>
  <c r="AJ85" i="19" s="1"/>
  <c r="AL85" i="19" s="1"/>
  <c r="DG85" i="19" s="1"/>
  <c r="BH85" i="19"/>
  <c r="BJ85" i="19" s="1"/>
  <c r="BK85" i="19" s="1"/>
  <c r="BL85" i="19" s="1"/>
  <c r="BN85" i="19" s="1"/>
  <c r="DI85" i="19" s="1"/>
  <c r="CJ85" i="19"/>
  <c r="CL85" i="19" s="1"/>
  <c r="CM85" i="19" s="1"/>
  <c r="CN85" i="19" s="1"/>
  <c r="CP85" i="19" s="1"/>
  <c r="DK85" i="19" s="1"/>
  <c r="CX85" i="19"/>
  <c r="CZ85" i="19" s="1"/>
  <c r="DA85" i="19" s="1"/>
  <c r="DB85" i="19" s="1"/>
  <c r="DD85" i="19" s="1"/>
  <c r="DL85" i="19" s="1"/>
  <c r="F174" i="19"/>
  <c r="BV171" i="19"/>
  <c r="BX171" i="19" s="1"/>
  <c r="BY171" i="19" s="1"/>
  <c r="BZ171" i="19" s="1"/>
  <c r="CB171" i="19" s="1"/>
  <c r="CX171" i="19"/>
  <c r="CZ171" i="19" s="1"/>
  <c r="DA171" i="19" s="1"/>
  <c r="DB171" i="19" s="1"/>
  <c r="DD171" i="19" s="1"/>
  <c r="AT171" i="19"/>
  <c r="AV171" i="19" s="1"/>
  <c r="AW171" i="19" s="1"/>
  <c r="AX171" i="19" s="1"/>
  <c r="AZ171" i="19" s="1"/>
  <c r="DH171" i="19" s="1"/>
  <c r="CJ171" i="19"/>
  <c r="CL171" i="19" s="1"/>
  <c r="CM171" i="19" s="1"/>
  <c r="CN171" i="19" s="1"/>
  <c r="CP171" i="19" s="1"/>
  <c r="BH171" i="19"/>
  <c r="BJ171" i="19" s="1"/>
  <c r="BK171" i="19" s="1"/>
  <c r="BL171" i="19" s="1"/>
  <c r="BN171" i="19" s="1"/>
  <c r="DI171" i="19" s="1"/>
  <c r="H173" i="19"/>
  <c r="V173" i="19" s="1"/>
  <c r="X173" i="19" s="1"/>
  <c r="H259" i="19"/>
  <c r="I259" i="19" s="1"/>
  <c r="S259" i="19" s="1"/>
  <c r="U259" i="19" s="1"/>
  <c r="F260" i="19"/>
  <c r="I87" i="19"/>
  <c r="S87" i="19" s="1"/>
  <c r="U87" i="19" s="1"/>
  <c r="V87" i="19"/>
  <c r="X87" i="19" s="1"/>
  <c r="G88" i="19"/>
  <c r="H88" i="19" s="1"/>
  <c r="C89" i="19"/>
  <c r="AN88" i="19"/>
  <c r="AQ88" i="19" s="1"/>
  <c r="BB88" i="19"/>
  <c r="BE88" i="19" s="1"/>
  <c r="CR88" i="19"/>
  <c r="CU88" i="19" s="1"/>
  <c r="BP88" i="19"/>
  <c r="BS88" i="19" s="1"/>
  <c r="CD88" i="19"/>
  <c r="CG88" i="19" s="1"/>
  <c r="DE88" i="19"/>
  <c r="Z88" i="19"/>
  <c r="AC88" i="19" s="1"/>
  <c r="G260" i="19"/>
  <c r="C261" i="19"/>
  <c r="BP260" i="19"/>
  <c r="BS260" i="19" s="1"/>
  <c r="BB260" i="19"/>
  <c r="BE260" i="19" s="1"/>
  <c r="Z260" i="19"/>
  <c r="AC260" i="19" s="1"/>
  <c r="DE260" i="19"/>
  <c r="AN260" i="19"/>
  <c r="AQ260" i="19" s="1"/>
  <c r="CD260" i="19"/>
  <c r="CG260" i="19" s="1"/>
  <c r="CR260" i="19"/>
  <c r="CU260" i="19" s="1"/>
  <c r="AJ256" i="19"/>
  <c r="AL256" i="19" s="1"/>
  <c r="DG256" i="19" s="1"/>
  <c r="DB256" i="19"/>
  <c r="DD256" i="19" s="1"/>
  <c r="DL256" i="19" s="1"/>
  <c r="I172" i="19"/>
  <c r="S172" i="19" s="1"/>
  <c r="U172" i="19" s="1"/>
  <c r="V172" i="19"/>
  <c r="X172" i="19" s="1"/>
  <c r="AJ171" i="19"/>
  <c r="AL171" i="19" s="1"/>
  <c r="DG171" i="19" s="1"/>
  <c r="BL256" i="19"/>
  <c r="BN256" i="19" s="1"/>
  <c r="DI256" i="19" s="1"/>
  <c r="BV257" i="19"/>
  <c r="BX257" i="19" s="1"/>
  <c r="BY257" i="19" s="1"/>
  <c r="CJ257" i="19"/>
  <c r="CL257" i="19" s="1"/>
  <c r="CM257" i="19" s="1"/>
  <c r="BH257" i="19"/>
  <c r="BJ257" i="19" s="1"/>
  <c r="BK257" i="19" s="1"/>
  <c r="CX257" i="19"/>
  <c r="CZ257" i="19" s="1"/>
  <c r="DA257" i="19" s="1"/>
  <c r="AF257" i="19"/>
  <c r="AH257" i="19" s="1"/>
  <c r="AI257" i="19" s="1"/>
  <c r="AT257" i="19"/>
  <c r="AV257" i="19" s="1"/>
  <c r="AW257" i="19" s="1"/>
  <c r="CN256" i="19"/>
  <c r="CP256" i="19" s="1"/>
  <c r="DK256" i="19" s="1"/>
  <c r="AB257" i="19"/>
  <c r="AD257" i="19" s="1"/>
  <c r="AE257" i="19" s="1"/>
  <c r="BD257" i="19"/>
  <c r="BF257" i="19" s="1"/>
  <c r="BG257" i="19" s="1"/>
  <c r="BR257" i="19"/>
  <c r="BT257" i="19" s="1"/>
  <c r="BU257" i="19" s="1"/>
  <c r="CF257" i="19"/>
  <c r="CH257" i="19" s="1"/>
  <c r="CI257" i="19" s="1"/>
  <c r="CT257" i="19"/>
  <c r="CV257" i="19" s="1"/>
  <c r="CW257" i="19" s="1"/>
  <c r="AP257" i="19"/>
  <c r="AR257" i="19" s="1"/>
  <c r="AS257" i="19" s="1"/>
  <c r="AX256" i="19"/>
  <c r="AZ256" i="19" s="1"/>
  <c r="DH256" i="19" s="1"/>
  <c r="I258" i="19"/>
  <c r="S258" i="19" s="1"/>
  <c r="U258" i="19" s="1"/>
  <c r="V258" i="19"/>
  <c r="X258" i="19" s="1"/>
  <c r="BZ256" i="19"/>
  <c r="CB256" i="19" s="1"/>
  <c r="DJ256" i="19" s="1"/>
  <c r="AX85" i="19"/>
  <c r="AZ85" i="19" s="1"/>
  <c r="DH85" i="19" s="1"/>
  <c r="CX86" i="19"/>
  <c r="CZ86" i="19" s="1"/>
  <c r="DA86" i="19" s="1"/>
  <c r="BH86" i="19"/>
  <c r="BJ86" i="19" s="1"/>
  <c r="BK86" i="19" s="1"/>
  <c r="AT86" i="19"/>
  <c r="AV86" i="19" s="1"/>
  <c r="AW86" i="19" s="1"/>
  <c r="CJ86" i="19"/>
  <c r="CL86" i="19" s="1"/>
  <c r="CM86" i="19" s="1"/>
  <c r="AF86" i="19"/>
  <c r="AH86" i="19" s="1"/>
  <c r="AI86" i="19" s="1"/>
  <c r="BV86" i="19"/>
  <c r="BX86" i="19" s="1"/>
  <c r="BY86" i="19" s="1"/>
  <c r="CF86" i="19"/>
  <c r="CH86" i="19" s="1"/>
  <c r="CI86" i="19" s="1"/>
  <c r="CT86" i="19"/>
  <c r="CV86" i="19" s="1"/>
  <c r="CW86" i="19" s="1"/>
  <c r="BD86" i="19"/>
  <c r="BF86" i="19" s="1"/>
  <c r="BG86" i="19" s="1"/>
  <c r="BR86" i="19"/>
  <c r="BT86" i="19" s="1"/>
  <c r="BU86" i="19" s="1"/>
  <c r="AB86" i="19"/>
  <c r="AD86" i="19" s="1"/>
  <c r="AE86" i="19" s="1"/>
  <c r="AP86" i="19"/>
  <c r="AR86" i="19" s="1"/>
  <c r="AS86" i="19" s="1"/>
  <c r="G174" i="19"/>
  <c r="C175" i="19"/>
  <c r="BP174" i="19"/>
  <c r="BS174" i="19" s="1"/>
  <c r="Z174" i="19"/>
  <c r="AC174" i="19" s="1"/>
  <c r="CR174" i="19"/>
  <c r="CU174" i="19" s="1"/>
  <c r="DE174" i="19"/>
  <c r="BB174" i="19"/>
  <c r="BE174" i="19" s="1"/>
  <c r="CD174" i="19"/>
  <c r="CG174" i="19" s="1"/>
  <c r="AN174" i="19"/>
  <c r="AQ174" i="19" s="1"/>
  <c r="C89" i="25"/>
  <c r="M36" i="20"/>
  <c r="E42" i="20"/>
  <c r="M34" i="20"/>
  <c r="E40" i="20"/>
  <c r="N35" i="20"/>
  <c r="K35" i="20"/>
  <c r="N37" i="20"/>
  <c r="K37" i="20"/>
  <c r="I37" i="20"/>
  <c r="J37" i="20" s="1"/>
  <c r="L37" i="20" s="1"/>
  <c r="I35" i="20"/>
  <c r="J35" i="20" s="1"/>
  <c r="L35" i="20" s="1"/>
  <c r="G48" i="20"/>
  <c r="D49" i="20"/>
  <c r="I47" i="20"/>
  <c r="J47" i="20" s="1"/>
  <c r="L47" i="20" s="1"/>
  <c r="M47" i="20" s="1"/>
  <c r="N47" i="20" s="1"/>
  <c r="O47" i="20" s="1"/>
  <c r="J46" i="20"/>
  <c r="L46" i="20" s="1"/>
  <c r="M46" i="20" s="1"/>
  <c r="N46" i="20" s="1"/>
  <c r="O46" i="20" s="1"/>
  <c r="K46" i="20"/>
  <c r="K47" i="20"/>
  <c r="H174" i="19" l="1"/>
  <c r="BF385" i="19"/>
  <c r="BI385" i="19" s="1"/>
  <c r="BF384" i="19"/>
  <c r="BI384" i="19" s="1"/>
  <c r="BF383" i="19"/>
  <c r="BI383" i="19" s="1"/>
  <c r="S390" i="19"/>
  <c r="V390" i="19" s="1"/>
  <c r="S389" i="19"/>
  <c r="V389" i="19" s="1"/>
  <c r="S391" i="19"/>
  <c r="V391" i="19" s="1"/>
  <c r="AF404" i="19"/>
  <c r="AI404" i="19" s="1"/>
  <c r="AF403" i="19"/>
  <c r="AI403" i="19" s="1"/>
  <c r="AF402" i="19"/>
  <c r="AI402" i="19" s="1"/>
  <c r="F378" i="19"/>
  <c r="I378" i="19" s="1"/>
  <c r="F379" i="19"/>
  <c r="I379" i="19" s="1"/>
  <c r="F377" i="19"/>
  <c r="I377" i="19" s="1"/>
  <c r="S377" i="19"/>
  <c r="V377" i="19" s="1"/>
  <c r="S379" i="19"/>
  <c r="V379" i="19" s="1"/>
  <c r="S378" i="19"/>
  <c r="V378" i="19" s="1"/>
  <c r="AF410" i="19"/>
  <c r="AI410" i="19" s="1"/>
  <c r="AF409" i="19"/>
  <c r="AI409" i="19" s="1"/>
  <c r="AF408" i="19"/>
  <c r="AI408" i="19" s="1"/>
  <c r="BF341" i="19"/>
  <c r="BI341" i="19" s="1"/>
  <c r="BF340" i="19"/>
  <c r="BI340" i="19" s="1"/>
  <c r="BF339" i="19"/>
  <c r="BI339" i="19" s="1"/>
  <c r="BF409" i="19"/>
  <c r="BI409" i="19" s="1"/>
  <c r="BF410" i="19"/>
  <c r="BI410" i="19" s="1"/>
  <c r="BF408" i="19"/>
  <c r="BI408" i="19" s="1"/>
  <c r="AF414" i="19"/>
  <c r="AI414" i="19" s="1"/>
  <c r="AF416" i="19"/>
  <c r="AI416" i="19" s="1"/>
  <c r="AF415" i="19"/>
  <c r="AI415" i="19" s="1"/>
  <c r="BF346" i="19"/>
  <c r="BI346" i="19" s="1"/>
  <c r="BF347" i="19"/>
  <c r="BI347" i="19" s="1"/>
  <c r="BF345" i="19"/>
  <c r="BI345" i="19" s="1"/>
  <c r="BF416" i="19"/>
  <c r="BI416" i="19" s="1"/>
  <c r="BF415" i="19"/>
  <c r="BI415" i="19" s="1"/>
  <c r="BF414" i="19"/>
  <c r="BI414" i="19" s="1"/>
  <c r="AF422" i="19"/>
  <c r="AI422" i="19" s="1"/>
  <c r="AF421" i="19"/>
  <c r="AI421" i="19" s="1"/>
  <c r="AF420" i="19"/>
  <c r="AI420" i="19" s="1"/>
  <c r="S385" i="19"/>
  <c r="V385" i="19" s="1"/>
  <c r="S384" i="19"/>
  <c r="V384" i="19" s="1"/>
  <c r="S383" i="19"/>
  <c r="V383" i="19" s="1"/>
  <c r="BF351" i="19"/>
  <c r="BI351" i="19" s="1"/>
  <c r="BF353" i="19"/>
  <c r="BI353" i="19" s="1"/>
  <c r="BF352" i="19"/>
  <c r="BI352" i="19" s="1"/>
  <c r="BF422" i="19"/>
  <c r="BI422" i="19" s="1"/>
  <c r="BF421" i="19"/>
  <c r="BI421" i="19" s="1"/>
  <c r="BF420" i="19"/>
  <c r="BI420" i="19" s="1"/>
  <c r="BF358" i="19"/>
  <c r="BI358" i="19" s="1"/>
  <c r="BF357" i="19"/>
  <c r="BI357" i="19" s="1"/>
  <c r="BF359" i="19"/>
  <c r="BI359" i="19" s="1"/>
  <c r="BF404" i="19"/>
  <c r="BI404" i="19" s="1"/>
  <c r="BF403" i="19"/>
  <c r="BI403" i="19" s="1"/>
  <c r="BF402" i="19"/>
  <c r="BI402" i="19" s="1"/>
  <c r="BS357" i="19"/>
  <c r="BV357" i="19" s="1"/>
  <c r="BS358" i="19"/>
  <c r="BV358" i="19" s="1"/>
  <c r="BS359" i="19"/>
  <c r="BV359" i="19" s="1"/>
  <c r="BS347" i="19"/>
  <c r="BV347" i="19" s="1"/>
  <c r="BS346" i="19"/>
  <c r="BV346" i="19" s="1"/>
  <c r="BS345" i="19"/>
  <c r="BV345" i="19" s="1"/>
  <c r="BF391" i="19"/>
  <c r="BI391" i="19" s="1"/>
  <c r="BF390" i="19"/>
  <c r="BI390" i="19" s="1"/>
  <c r="BF389" i="19"/>
  <c r="BI389" i="19" s="1"/>
  <c r="F341" i="19"/>
  <c r="I341" i="19" s="1"/>
  <c r="F340" i="19"/>
  <c r="I340" i="19" s="1"/>
  <c r="F339" i="19"/>
  <c r="I339" i="19" s="1"/>
  <c r="BS353" i="19"/>
  <c r="BV353" i="19" s="1"/>
  <c r="BS351" i="19"/>
  <c r="BV351" i="19" s="1"/>
  <c r="BS352" i="19"/>
  <c r="BV352" i="19" s="1"/>
  <c r="AF341" i="19"/>
  <c r="AI341" i="19" s="1"/>
  <c r="AL341" i="19" s="1"/>
  <c r="AF340" i="19"/>
  <c r="AI340" i="19" s="1"/>
  <c r="AL340" i="19" s="1"/>
  <c r="AF339" i="19"/>
  <c r="AI339" i="19" s="1"/>
  <c r="AL339" i="19" s="1"/>
  <c r="S353" i="19"/>
  <c r="V353" i="19" s="1"/>
  <c r="S351" i="19"/>
  <c r="V351" i="19" s="1"/>
  <c r="S352" i="19"/>
  <c r="V352" i="19" s="1"/>
  <c r="F358" i="19"/>
  <c r="I358" i="19" s="1"/>
  <c r="F357" i="19"/>
  <c r="I357" i="19" s="1"/>
  <c r="F359" i="19"/>
  <c r="I359" i="19" s="1"/>
  <c r="BS341" i="19"/>
  <c r="BV341" i="19" s="1"/>
  <c r="BS339" i="19"/>
  <c r="BV339" i="19" s="1"/>
  <c r="BS340" i="19"/>
  <c r="BV340" i="19" s="1"/>
  <c r="AF345" i="19"/>
  <c r="AI345" i="19" s="1"/>
  <c r="AL345" i="19" s="1"/>
  <c r="AF347" i="19"/>
  <c r="AI347" i="19" s="1"/>
  <c r="AL347" i="19" s="1"/>
  <c r="AF346" i="19"/>
  <c r="AI346" i="19" s="1"/>
  <c r="AL346" i="19" s="1"/>
  <c r="S358" i="19"/>
  <c r="V358" i="19" s="1"/>
  <c r="S359" i="19"/>
  <c r="V359" i="19" s="1"/>
  <c r="S357" i="19"/>
  <c r="V357" i="19" s="1"/>
  <c r="F351" i="19"/>
  <c r="I351" i="19" s="1"/>
  <c r="F353" i="19"/>
  <c r="I353" i="19" s="1"/>
  <c r="F352" i="19"/>
  <c r="I352" i="19" s="1"/>
  <c r="AF352" i="19"/>
  <c r="AI352" i="19" s="1"/>
  <c r="AL352" i="19" s="1"/>
  <c r="AF353" i="19"/>
  <c r="AI353" i="19" s="1"/>
  <c r="AL353" i="19" s="1"/>
  <c r="AF351" i="19"/>
  <c r="AI351" i="19" s="1"/>
  <c r="AL351" i="19" s="1"/>
  <c r="S347" i="19"/>
  <c r="V347" i="19" s="1"/>
  <c r="S346" i="19"/>
  <c r="V346" i="19" s="1"/>
  <c r="S345" i="19"/>
  <c r="V345" i="19" s="1"/>
  <c r="F347" i="19"/>
  <c r="I347" i="19" s="1"/>
  <c r="F346" i="19"/>
  <c r="I346" i="19" s="1"/>
  <c r="F345" i="19"/>
  <c r="I345" i="19" s="1"/>
  <c r="AF358" i="19"/>
  <c r="AI358" i="19" s="1"/>
  <c r="AL358" i="19" s="1"/>
  <c r="AF357" i="19"/>
  <c r="AI357" i="19" s="1"/>
  <c r="AL357" i="19" s="1"/>
  <c r="AF359" i="19"/>
  <c r="AI359" i="19" s="1"/>
  <c r="AL359" i="19" s="1"/>
  <c r="S339" i="19"/>
  <c r="V339" i="19" s="1"/>
  <c r="S341" i="19"/>
  <c r="V341" i="19" s="1"/>
  <c r="S340" i="19"/>
  <c r="V340" i="19" s="1"/>
  <c r="F373" i="19"/>
  <c r="I373" i="19" s="1"/>
  <c r="F372" i="19"/>
  <c r="I372" i="19" s="1"/>
  <c r="F371" i="19"/>
  <c r="I371" i="19" s="1"/>
  <c r="F390" i="19"/>
  <c r="I390" i="19" s="1"/>
  <c r="F389" i="19"/>
  <c r="I389" i="19" s="1"/>
  <c r="F391" i="19"/>
  <c r="I391" i="19" s="1"/>
  <c r="BF379" i="19"/>
  <c r="BI379" i="19" s="1"/>
  <c r="BF378" i="19"/>
  <c r="BI378" i="19" s="1"/>
  <c r="BF377" i="19"/>
  <c r="BI377" i="19" s="1"/>
  <c r="F383" i="19"/>
  <c r="I383" i="19" s="1"/>
  <c r="F385" i="19"/>
  <c r="I385" i="19" s="1"/>
  <c r="F384" i="19"/>
  <c r="I384" i="19" s="1"/>
  <c r="BF373" i="19"/>
  <c r="BI373" i="19" s="1"/>
  <c r="BF372" i="19"/>
  <c r="BI372" i="19" s="1"/>
  <c r="BF371" i="19"/>
  <c r="BI371" i="19" s="1"/>
  <c r="S373" i="19"/>
  <c r="V373" i="19" s="1"/>
  <c r="S372" i="19"/>
  <c r="V372" i="19" s="1"/>
  <c r="S371" i="19"/>
  <c r="V371" i="19" s="1"/>
  <c r="I173" i="19"/>
  <c r="S173" i="19" s="1"/>
  <c r="U173" i="19" s="1"/>
  <c r="CT173" i="19" s="1"/>
  <c r="CV173" i="19" s="1"/>
  <c r="CW173" i="19" s="1"/>
  <c r="V259" i="19"/>
  <c r="X259" i="19" s="1"/>
  <c r="BH259" i="19" s="1"/>
  <c r="BJ259" i="19" s="1"/>
  <c r="BK259" i="19" s="1"/>
  <c r="F261" i="19"/>
  <c r="H260" i="19"/>
  <c r="I260" i="19" s="1"/>
  <c r="S260" i="19" s="1"/>
  <c r="U260" i="19" s="1"/>
  <c r="BL86" i="19"/>
  <c r="BN86" i="19" s="1"/>
  <c r="DI86" i="19" s="1"/>
  <c r="DB257" i="19"/>
  <c r="DD257" i="19" s="1"/>
  <c r="DL257" i="19" s="1"/>
  <c r="BZ257" i="19"/>
  <c r="CB257" i="19" s="1"/>
  <c r="DJ257" i="19" s="1"/>
  <c r="BZ86" i="19"/>
  <c r="CB86" i="19" s="1"/>
  <c r="DJ86" i="19" s="1"/>
  <c r="I174" i="19"/>
  <c r="S174" i="19" s="1"/>
  <c r="U174" i="19" s="1"/>
  <c r="V174" i="19"/>
  <c r="X174" i="19" s="1"/>
  <c r="CX258" i="19"/>
  <c r="CZ258" i="19" s="1"/>
  <c r="DA258" i="19" s="1"/>
  <c r="BH258" i="19"/>
  <c r="BJ258" i="19" s="1"/>
  <c r="BK258" i="19" s="1"/>
  <c r="CJ258" i="19"/>
  <c r="CL258" i="19" s="1"/>
  <c r="CM258" i="19" s="1"/>
  <c r="BV258" i="19"/>
  <c r="BX258" i="19" s="1"/>
  <c r="BY258" i="19" s="1"/>
  <c r="AT258" i="19"/>
  <c r="AV258" i="19" s="1"/>
  <c r="AW258" i="19" s="1"/>
  <c r="AF258" i="19"/>
  <c r="AH258" i="19" s="1"/>
  <c r="AI258" i="19" s="1"/>
  <c r="CF258" i="19"/>
  <c r="CH258" i="19" s="1"/>
  <c r="CI258" i="19" s="1"/>
  <c r="CT258" i="19"/>
  <c r="CV258" i="19" s="1"/>
  <c r="CW258" i="19" s="1"/>
  <c r="AP258" i="19"/>
  <c r="AR258" i="19" s="1"/>
  <c r="AS258" i="19" s="1"/>
  <c r="BD258" i="19"/>
  <c r="BF258" i="19" s="1"/>
  <c r="BG258" i="19" s="1"/>
  <c r="AB258" i="19"/>
  <c r="AD258" i="19" s="1"/>
  <c r="AE258" i="19" s="1"/>
  <c r="BR258" i="19"/>
  <c r="BT258" i="19" s="1"/>
  <c r="BU258" i="19" s="1"/>
  <c r="AJ86" i="19"/>
  <c r="AL86" i="19" s="1"/>
  <c r="DG86" i="19" s="1"/>
  <c r="I88" i="19"/>
  <c r="S88" i="19" s="1"/>
  <c r="U88" i="19" s="1"/>
  <c r="V88" i="19"/>
  <c r="X88" i="19" s="1"/>
  <c r="AF172" i="19"/>
  <c r="AH172" i="19" s="1"/>
  <c r="AI172" i="19" s="1"/>
  <c r="BH172" i="19"/>
  <c r="BJ172" i="19" s="1"/>
  <c r="BK172" i="19" s="1"/>
  <c r="CJ172" i="19"/>
  <c r="CL172" i="19" s="1"/>
  <c r="CM172" i="19" s="1"/>
  <c r="AT172" i="19"/>
  <c r="AV172" i="19" s="1"/>
  <c r="AW172" i="19" s="1"/>
  <c r="BV172" i="19"/>
  <c r="BX172" i="19" s="1"/>
  <c r="BY172" i="19" s="1"/>
  <c r="CX172" i="19"/>
  <c r="CZ172" i="19" s="1"/>
  <c r="DA172" i="19" s="1"/>
  <c r="CN86" i="19"/>
  <c r="CP86" i="19" s="1"/>
  <c r="DK86" i="19" s="1"/>
  <c r="AB172" i="19"/>
  <c r="AD172" i="19" s="1"/>
  <c r="AE172" i="19" s="1"/>
  <c r="CT172" i="19"/>
  <c r="CV172" i="19" s="1"/>
  <c r="CW172" i="19" s="1"/>
  <c r="CF172" i="19"/>
  <c r="CH172" i="19" s="1"/>
  <c r="CI172" i="19" s="1"/>
  <c r="BR172" i="19"/>
  <c r="BT172" i="19" s="1"/>
  <c r="BU172" i="19" s="1"/>
  <c r="AP172" i="19"/>
  <c r="AR172" i="19" s="1"/>
  <c r="AS172" i="19" s="1"/>
  <c r="BD172" i="19"/>
  <c r="BF172" i="19" s="1"/>
  <c r="BG172" i="19" s="1"/>
  <c r="C90" i="19"/>
  <c r="G89" i="19"/>
  <c r="DE89" i="19"/>
  <c r="Z89" i="19"/>
  <c r="AC89" i="19" s="1"/>
  <c r="CR89" i="19"/>
  <c r="CU89" i="19" s="1"/>
  <c r="CD89" i="19"/>
  <c r="CG89" i="19" s="1"/>
  <c r="BB89" i="19"/>
  <c r="BE89" i="19" s="1"/>
  <c r="BP89" i="19"/>
  <c r="BS89" i="19" s="1"/>
  <c r="AN89" i="19"/>
  <c r="AQ89" i="19" s="1"/>
  <c r="G175" i="19"/>
  <c r="C176" i="19"/>
  <c r="BP175" i="19"/>
  <c r="BS175" i="19" s="1"/>
  <c r="BB175" i="19"/>
  <c r="BE175" i="19" s="1"/>
  <c r="AN175" i="19"/>
  <c r="AQ175" i="19" s="1"/>
  <c r="Z175" i="19"/>
  <c r="AC175" i="19" s="1"/>
  <c r="CR175" i="19"/>
  <c r="CU175" i="19" s="1"/>
  <c r="CD175" i="19"/>
  <c r="CG175" i="19" s="1"/>
  <c r="DE175" i="19"/>
  <c r="AX86" i="19"/>
  <c r="AZ86" i="19" s="1"/>
  <c r="DH86" i="19" s="1"/>
  <c r="DB86" i="19"/>
  <c r="DD86" i="19" s="1"/>
  <c r="DL86" i="19" s="1"/>
  <c r="CX173" i="19"/>
  <c r="CZ173" i="19" s="1"/>
  <c r="DA173" i="19" s="1"/>
  <c r="AF173" i="19"/>
  <c r="AH173" i="19" s="1"/>
  <c r="AI173" i="19" s="1"/>
  <c r="BH173" i="19"/>
  <c r="BJ173" i="19" s="1"/>
  <c r="BK173" i="19" s="1"/>
  <c r="BV173" i="19"/>
  <c r="BX173" i="19" s="1"/>
  <c r="BY173" i="19" s="1"/>
  <c r="CJ173" i="19"/>
  <c r="CL173" i="19" s="1"/>
  <c r="CM173" i="19" s="1"/>
  <c r="AT173" i="19"/>
  <c r="AV173" i="19" s="1"/>
  <c r="AW173" i="19" s="1"/>
  <c r="AX257" i="19"/>
  <c r="AZ257" i="19" s="1"/>
  <c r="DH257" i="19" s="1"/>
  <c r="AJ257" i="19"/>
  <c r="AL257" i="19" s="1"/>
  <c r="DG257" i="19" s="1"/>
  <c r="BL257" i="19"/>
  <c r="BN257" i="19" s="1"/>
  <c r="DI257" i="19" s="1"/>
  <c r="G261" i="19"/>
  <c r="C262" i="19"/>
  <c r="CD261" i="19"/>
  <c r="CG261" i="19" s="1"/>
  <c r="BP261" i="19"/>
  <c r="BS261" i="19" s="1"/>
  <c r="BB261" i="19"/>
  <c r="BE261" i="19" s="1"/>
  <c r="AN261" i="19"/>
  <c r="AQ261" i="19" s="1"/>
  <c r="Z261" i="19"/>
  <c r="AC261" i="19" s="1"/>
  <c r="CR261" i="19"/>
  <c r="CU261" i="19" s="1"/>
  <c r="DE261" i="19"/>
  <c r="F89" i="19"/>
  <c r="AT87" i="19"/>
  <c r="AV87" i="19" s="1"/>
  <c r="AW87" i="19" s="1"/>
  <c r="CJ87" i="19"/>
  <c r="CL87" i="19" s="1"/>
  <c r="CM87" i="19" s="1"/>
  <c r="BV87" i="19"/>
  <c r="BX87" i="19" s="1"/>
  <c r="BY87" i="19" s="1"/>
  <c r="AF87" i="19"/>
  <c r="AH87" i="19" s="1"/>
  <c r="AI87" i="19" s="1"/>
  <c r="CX87" i="19"/>
  <c r="CZ87" i="19" s="1"/>
  <c r="DA87" i="19" s="1"/>
  <c r="BH87" i="19"/>
  <c r="BJ87" i="19" s="1"/>
  <c r="BK87" i="19" s="1"/>
  <c r="F175" i="19"/>
  <c r="BD259" i="19"/>
  <c r="BF259" i="19" s="1"/>
  <c r="BG259" i="19" s="1"/>
  <c r="AP259" i="19"/>
  <c r="AR259" i="19" s="1"/>
  <c r="AS259" i="19" s="1"/>
  <c r="CF259" i="19"/>
  <c r="CH259" i="19" s="1"/>
  <c r="CI259" i="19" s="1"/>
  <c r="CT259" i="19"/>
  <c r="CV259" i="19" s="1"/>
  <c r="CW259" i="19" s="1"/>
  <c r="BR259" i="19"/>
  <c r="BT259" i="19" s="1"/>
  <c r="BU259" i="19" s="1"/>
  <c r="AB259" i="19"/>
  <c r="AD259" i="19" s="1"/>
  <c r="AE259" i="19" s="1"/>
  <c r="CN257" i="19"/>
  <c r="CP257" i="19" s="1"/>
  <c r="DK257" i="19" s="1"/>
  <c r="BD87" i="19"/>
  <c r="BF87" i="19" s="1"/>
  <c r="BG87" i="19" s="1"/>
  <c r="BR87" i="19"/>
  <c r="BT87" i="19" s="1"/>
  <c r="BU87" i="19" s="1"/>
  <c r="CF87" i="19"/>
  <c r="CH87" i="19" s="1"/>
  <c r="CI87" i="19" s="1"/>
  <c r="CT87" i="19"/>
  <c r="CV87" i="19" s="1"/>
  <c r="CW87" i="19" s="1"/>
  <c r="AB87" i="19"/>
  <c r="AD87" i="19" s="1"/>
  <c r="AE87" i="19" s="1"/>
  <c r="AP87" i="19"/>
  <c r="AR87" i="19" s="1"/>
  <c r="AS87" i="19" s="1"/>
  <c r="M37" i="20"/>
  <c r="E43" i="20"/>
  <c r="E41" i="20"/>
  <c r="M35" i="20"/>
  <c r="G40" i="20"/>
  <c r="F40" i="20"/>
  <c r="J40" i="20"/>
  <c r="P34" i="20" s="1"/>
  <c r="G42" i="20"/>
  <c r="F42" i="20"/>
  <c r="O36" i="20" s="1"/>
  <c r="G49" i="20"/>
  <c r="K48" i="20"/>
  <c r="I48" i="20"/>
  <c r="J48" i="20" s="1"/>
  <c r="L48" i="20" s="1"/>
  <c r="M48" i="20" s="1"/>
  <c r="N48" i="20" s="1"/>
  <c r="O48" i="20" s="1"/>
  <c r="J42" i="20"/>
  <c r="P36" i="20" s="1"/>
  <c r="V260" i="19" l="1"/>
  <c r="X260" i="19" s="1"/>
  <c r="CX260" i="19" s="1"/>
  <c r="CZ260" i="19" s="1"/>
  <c r="DA260" i="19" s="1"/>
  <c r="F262" i="19"/>
  <c r="H261" i="19"/>
  <c r="I261" i="19" s="1"/>
  <c r="S261" i="19" s="1"/>
  <c r="U261" i="19" s="1"/>
  <c r="AB173" i="19"/>
  <c r="AD173" i="19" s="1"/>
  <c r="AE173" i="19" s="1"/>
  <c r="AJ173" i="19" s="1"/>
  <c r="AL173" i="19" s="1"/>
  <c r="DG173" i="19" s="1"/>
  <c r="BR173" i="19"/>
  <c r="BT173" i="19" s="1"/>
  <c r="BU173" i="19" s="1"/>
  <c r="BZ173" i="19" s="1"/>
  <c r="CB173" i="19" s="1"/>
  <c r="AP173" i="19"/>
  <c r="AR173" i="19" s="1"/>
  <c r="AS173" i="19" s="1"/>
  <c r="AX173" i="19" s="1"/>
  <c r="AZ173" i="19" s="1"/>
  <c r="DH173" i="19" s="1"/>
  <c r="CF173" i="19"/>
  <c r="CH173" i="19" s="1"/>
  <c r="CI173" i="19" s="1"/>
  <c r="CN173" i="19" s="1"/>
  <c r="CP173" i="19" s="1"/>
  <c r="BD173" i="19"/>
  <c r="BF173" i="19" s="1"/>
  <c r="BG173" i="19" s="1"/>
  <c r="BL173" i="19" s="1"/>
  <c r="BN173" i="19" s="1"/>
  <c r="DI173" i="19" s="1"/>
  <c r="BV259" i="19"/>
  <c r="BX259" i="19" s="1"/>
  <c r="BY259" i="19" s="1"/>
  <c r="BZ259" i="19" s="1"/>
  <c r="CB259" i="19" s="1"/>
  <c r="DJ259" i="19" s="1"/>
  <c r="AF259" i="19"/>
  <c r="AH259" i="19" s="1"/>
  <c r="AI259" i="19" s="1"/>
  <c r="AJ259" i="19" s="1"/>
  <c r="AL259" i="19" s="1"/>
  <c r="DG259" i="19" s="1"/>
  <c r="AT259" i="19"/>
  <c r="AV259" i="19" s="1"/>
  <c r="AW259" i="19" s="1"/>
  <c r="AX259" i="19" s="1"/>
  <c r="AZ259" i="19" s="1"/>
  <c r="DH259" i="19" s="1"/>
  <c r="CX259" i="19"/>
  <c r="CZ259" i="19" s="1"/>
  <c r="DA259" i="19" s="1"/>
  <c r="DB259" i="19" s="1"/>
  <c r="DD259" i="19" s="1"/>
  <c r="DL259" i="19" s="1"/>
  <c r="CJ259" i="19"/>
  <c r="CL259" i="19" s="1"/>
  <c r="CM259" i="19" s="1"/>
  <c r="CN259" i="19" s="1"/>
  <c r="CP259" i="19" s="1"/>
  <c r="DK259" i="19" s="1"/>
  <c r="H89" i="19"/>
  <c r="I89" i="19" s="1"/>
  <c r="S89" i="19" s="1"/>
  <c r="U89" i="19" s="1"/>
  <c r="F176" i="19"/>
  <c r="BL87" i="19"/>
  <c r="BN87" i="19" s="1"/>
  <c r="DI87" i="19" s="1"/>
  <c r="DB87" i="19"/>
  <c r="DD87" i="19" s="1"/>
  <c r="DL87" i="19" s="1"/>
  <c r="AJ87" i="19"/>
  <c r="AL87" i="19" s="1"/>
  <c r="DG87" i="19" s="1"/>
  <c r="BL259" i="19"/>
  <c r="BN259" i="19" s="1"/>
  <c r="DI259" i="19" s="1"/>
  <c r="BZ87" i="19"/>
  <c r="CB87" i="19" s="1"/>
  <c r="DJ87" i="19" s="1"/>
  <c r="BZ172" i="19"/>
  <c r="CB172" i="19" s="1"/>
  <c r="H175" i="19"/>
  <c r="G262" i="19"/>
  <c r="H262" i="19" s="1"/>
  <c r="C263" i="19"/>
  <c r="DE262" i="19"/>
  <c r="Z262" i="19"/>
  <c r="AC262" i="19" s="1"/>
  <c r="CR262" i="19"/>
  <c r="CU262" i="19" s="1"/>
  <c r="AN262" i="19"/>
  <c r="AQ262" i="19" s="1"/>
  <c r="CD262" i="19"/>
  <c r="CG262" i="19" s="1"/>
  <c r="BP262" i="19"/>
  <c r="BS262" i="19" s="1"/>
  <c r="BB262" i="19"/>
  <c r="BE262" i="19" s="1"/>
  <c r="AX172" i="19"/>
  <c r="AZ172" i="19" s="1"/>
  <c r="DH172" i="19" s="1"/>
  <c r="BR260" i="19"/>
  <c r="BT260" i="19" s="1"/>
  <c r="BU260" i="19" s="1"/>
  <c r="AB260" i="19"/>
  <c r="AD260" i="19" s="1"/>
  <c r="AE260" i="19" s="1"/>
  <c r="CT260" i="19"/>
  <c r="CV260" i="19" s="1"/>
  <c r="CW260" i="19" s="1"/>
  <c r="AP260" i="19"/>
  <c r="AR260" i="19" s="1"/>
  <c r="AS260" i="19" s="1"/>
  <c r="CF260" i="19"/>
  <c r="CH260" i="19" s="1"/>
  <c r="CI260" i="19" s="1"/>
  <c r="BD260" i="19"/>
  <c r="BF260" i="19" s="1"/>
  <c r="BG260" i="19" s="1"/>
  <c r="CN87" i="19"/>
  <c r="CP87" i="19" s="1"/>
  <c r="DK87" i="19" s="1"/>
  <c r="CN172" i="19"/>
  <c r="CP172" i="19" s="1"/>
  <c r="AX87" i="19"/>
  <c r="AZ87" i="19" s="1"/>
  <c r="DH87" i="19" s="1"/>
  <c r="BL172" i="19"/>
  <c r="BN172" i="19" s="1"/>
  <c r="DI172" i="19" s="1"/>
  <c r="DB173" i="19"/>
  <c r="DD173" i="19" s="1"/>
  <c r="AJ172" i="19"/>
  <c r="AL172" i="19" s="1"/>
  <c r="DG172" i="19" s="1"/>
  <c r="AJ258" i="19"/>
  <c r="AL258" i="19" s="1"/>
  <c r="DG258" i="19" s="1"/>
  <c r="CX88" i="19"/>
  <c r="CZ88" i="19" s="1"/>
  <c r="DA88" i="19" s="1"/>
  <c r="AT88" i="19"/>
  <c r="AV88" i="19" s="1"/>
  <c r="AW88" i="19" s="1"/>
  <c r="AF88" i="19"/>
  <c r="AH88" i="19" s="1"/>
  <c r="AI88" i="19" s="1"/>
  <c r="CJ88" i="19"/>
  <c r="CL88" i="19" s="1"/>
  <c r="CM88" i="19" s="1"/>
  <c r="BV88" i="19"/>
  <c r="BX88" i="19" s="1"/>
  <c r="BY88" i="19" s="1"/>
  <c r="BH88" i="19"/>
  <c r="BJ88" i="19" s="1"/>
  <c r="BK88" i="19" s="1"/>
  <c r="AX258" i="19"/>
  <c r="AZ258" i="19" s="1"/>
  <c r="DH258" i="19" s="1"/>
  <c r="AP88" i="19"/>
  <c r="AR88" i="19" s="1"/>
  <c r="AS88" i="19" s="1"/>
  <c r="BD88" i="19"/>
  <c r="BF88" i="19" s="1"/>
  <c r="BG88" i="19" s="1"/>
  <c r="CT88" i="19"/>
  <c r="CV88" i="19" s="1"/>
  <c r="CW88" i="19" s="1"/>
  <c r="BR88" i="19"/>
  <c r="BT88" i="19" s="1"/>
  <c r="BU88" i="19" s="1"/>
  <c r="CF88" i="19"/>
  <c r="CH88" i="19" s="1"/>
  <c r="CI88" i="19" s="1"/>
  <c r="AB88" i="19"/>
  <c r="AD88" i="19" s="1"/>
  <c r="AE88" i="19" s="1"/>
  <c r="BZ258" i="19"/>
  <c r="CB258" i="19" s="1"/>
  <c r="DJ258" i="19" s="1"/>
  <c r="CN258" i="19"/>
  <c r="CP258" i="19" s="1"/>
  <c r="DK258" i="19" s="1"/>
  <c r="BL258" i="19"/>
  <c r="BN258" i="19" s="1"/>
  <c r="DI258" i="19" s="1"/>
  <c r="DB258" i="19"/>
  <c r="DD258" i="19" s="1"/>
  <c r="DL258" i="19" s="1"/>
  <c r="CJ174" i="19"/>
  <c r="CL174" i="19" s="1"/>
  <c r="CM174" i="19" s="1"/>
  <c r="BH174" i="19"/>
  <c r="BJ174" i="19" s="1"/>
  <c r="BK174" i="19" s="1"/>
  <c r="AT174" i="19"/>
  <c r="AV174" i="19" s="1"/>
  <c r="AW174" i="19" s="1"/>
  <c r="CX174" i="19"/>
  <c r="CZ174" i="19" s="1"/>
  <c r="DA174" i="19" s="1"/>
  <c r="AF174" i="19"/>
  <c r="AH174" i="19" s="1"/>
  <c r="AI174" i="19" s="1"/>
  <c r="BV174" i="19"/>
  <c r="BX174" i="19" s="1"/>
  <c r="BY174" i="19" s="1"/>
  <c r="F90" i="19"/>
  <c r="C91" i="19"/>
  <c r="G90" i="19"/>
  <c r="DE90" i="19"/>
  <c r="AN90" i="19"/>
  <c r="AQ90" i="19" s="1"/>
  <c r="Z90" i="19"/>
  <c r="AC90" i="19" s="1"/>
  <c r="CR90" i="19"/>
  <c r="CU90" i="19" s="1"/>
  <c r="CD90" i="19"/>
  <c r="CG90" i="19" s="1"/>
  <c r="BP90" i="19"/>
  <c r="BS90" i="19" s="1"/>
  <c r="BB90" i="19"/>
  <c r="BE90" i="19" s="1"/>
  <c r="CF174" i="19"/>
  <c r="CH174" i="19" s="1"/>
  <c r="CI174" i="19" s="1"/>
  <c r="CT174" i="19"/>
  <c r="CV174" i="19" s="1"/>
  <c r="CW174" i="19" s="1"/>
  <c r="AB174" i="19"/>
  <c r="AD174" i="19" s="1"/>
  <c r="AE174" i="19" s="1"/>
  <c r="BD174" i="19"/>
  <c r="BF174" i="19" s="1"/>
  <c r="BG174" i="19" s="1"/>
  <c r="AP174" i="19"/>
  <c r="AR174" i="19" s="1"/>
  <c r="AS174" i="19" s="1"/>
  <c r="BR174" i="19"/>
  <c r="BT174" i="19" s="1"/>
  <c r="BU174" i="19" s="1"/>
  <c r="G176" i="19"/>
  <c r="C177" i="19"/>
  <c r="DE176" i="19"/>
  <c r="BB176" i="19"/>
  <c r="BE176" i="19" s="1"/>
  <c r="AN176" i="19"/>
  <c r="AQ176" i="19" s="1"/>
  <c r="Z176" i="19"/>
  <c r="AC176" i="19" s="1"/>
  <c r="CR176" i="19"/>
  <c r="CU176" i="19" s="1"/>
  <c r="CD176" i="19"/>
  <c r="CG176" i="19" s="1"/>
  <c r="BP176" i="19"/>
  <c r="BS176" i="19" s="1"/>
  <c r="DB172" i="19"/>
  <c r="DD172" i="19" s="1"/>
  <c r="O34" i="20"/>
  <c r="Q34" i="20" s="1"/>
  <c r="R34" i="20" s="1"/>
  <c r="K40" i="20" s="1"/>
  <c r="P40" i="20" s="1"/>
  <c r="K49" i="20"/>
  <c r="I49" i="20"/>
  <c r="J49" i="20" s="1"/>
  <c r="L49" i="20" s="1"/>
  <c r="M49" i="20" s="1"/>
  <c r="N49" i="20" s="1"/>
  <c r="O49" i="20" s="1"/>
  <c r="Q36" i="20"/>
  <c r="R36" i="20" s="1"/>
  <c r="K42" i="20" s="1"/>
  <c r="J41" i="20"/>
  <c r="P35" i="20" s="1"/>
  <c r="G41" i="20"/>
  <c r="O35" i="20" s="1"/>
  <c r="F41" i="20"/>
  <c r="G43" i="20"/>
  <c r="O37" i="20" s="1"/>
  <c r="F43" i="20"/>
  <c r="J43" i="20"/>
  <c r="P37" i="20" s="1"/>
  <c r="BH260" i="19" l="1"/>
  <c r="BJ260" i="19" s="1"/>
  <c r="BK260" i="19" s="1"/>
  <c r="BV260" i="19"/>
  <c r="BX260" i="19" s="1"/>
  <c r="BY260" i="19" s="1"/>
  <c r="BZ260" i="19" s="1"/>
  <c r="CB260" i="19" s="1"/>
  <c r="DJ260" i="19" s="1"/>
  <c r="AT260" i="19"/>
  <c r="AV260" i="19" s="1"/>
  <c r="AW260" i="19" s="1"/>
  <c r="AX260" i="19" s="1"/>
  <c r="AZ260" i="19" s="1"/>
  <c r="DH260" i="19" s="1"/>
  <c r="CJ260" i="19"/>
  <c r="CL260" i="19" s="1"/>
  <c r="CM260" i="19" s="1"/>
  <c r="CN260" i="19" s="1"/>
  <c r="CP260" i="19" s="1"/>
  <c r="DK260" i="19" s="1"/>
  <c r="AF260" i="19"/>
  <c r="AH260" i="19" s="1"/>
  <c r="AI260" i="19" s="1"/>
  <c r="AJ260" i="19" s="1"/>
  <c r="AL260" i="19" s="1"/>
  <c r="DG260" i="19" s="1"/>
  <c r="V261" i="19"/>
  <c r="X261" i="19" s="1"/>
  <c r="BV261" i="19" s="1"/>
  <c r="BX261" i="19" s="1"/>
  <c r="BY261" i="19" s="1"/>
  <c r="F263" i="19"/>
  <c r="H176" i="19"/>
  <c r="V176" i="19" s="1"/>
  <c r="X176" i="19" s="1"/>
  <c r="BH176" i="19" s="1"/>
  <c r="BJ176" i="19" s="1"/>
  <c r="BK176" i="19" s="1"/>
  <c r="V89" i="19"/>
  <c r="X89" i="19" s="1"/>
  <c r="AT89" i="19" s="1"/>
  <c r="AV89" i="19" s="1"/>
  <c r="AW89" i="19" s="1"/>
  <c r="F177" i="19"/>
  <c r="BL260" i="19"/>
  <c r="BN260" i="19" s="1"/>
  <c r="DI260" i="19" s="1"/>
  <c r="AJ174" i="19"/>
  <c r="AL174" i="19" s="1"/>
  <c r="DG174" i="19" s="1"/>
  <c r="H90" i="19"/>
  <c r="I90" i="19" s="1"/>
  <c r="S90" i="19" s="1"/>
  <c r="U90" i="19" s="1"/>
  <c r="CN88" i="19"/>
  <c r="CP88" i="19" s="1"/>
  <c r="DK88" i="19" s="1"/>
  <c r="V262" i="19"/>
  <c r="X262" i="19" s="1"/>
  <c r="I262" i="19"/>
  <c r="S262" i="19" s="1"/>
  <c r="U262" i="19" s="1"/>
  <c r="C92" i="19"/>
  <c r="G91" i="19"/>
  <c r="DE91" i="19"/>
  <c r="BP91" i="19"/>
  <c r="BS91" i="19" s="1"/>
  <c r="AN91" i="19"/>
  <c r="AQ91" i="19" s="1"/>
  <c r="CR91" i="19"/>
  <c r="CU91" i="19" s="1"/>
  <c r="BB91" i="19"/>
  <c r="BE91" i="19" s="1"/>
  <c r="Z91" i="19"/>
  <c r="AC91" i="19" s="1"/>
  <c r="CD91" i="19"/>
  <c r="CG91" i="19" s="1"/>
  <c r="BZ174" i="19"/>
  <c r="CB174" i="19" s="1"/>
  <c r="DB174" i="19"/>
  <c r="DD174" i="19" s="1"/>
  <c r="AX174" i="19"/>
  <c r="AZ174" i="19" s="1"/>
  <c r="DH174" i="19" s="1"/>
  <c r="BL174" i="19"/>
  <c r="BN174" i="19" s="1"/>
  <c r="DI174" i="19" s="1"/>
  <c r="F91" i="19"/>
  <c r="CN174" i="19"/>
  <c r="CP174" i="19" s="1"/>
  <c r="G177" i="19"/>
  <c r="C178" i="19"/>
  <c r="DE177" i="19"/>
  <c r="AN177" i="19"/>
  <c r="AQ177" i="19" s="1"/>
  <c r="Z177" i="19"/>
  <c r="AC177" i="19" s="1"/>
  <c r="CR177" i="19"/>
  <c r="CU177" i="19" s="1"/>
  <c r="CD177" i="19"/>
  <c r="CG177" i="19" s="1"/>
  <c r="BP177" i="19"/>
  <c r="BS177" i="19" s="1"/>
  <c r="BB177" i="19"/>
  <c r="BE177" i="19" s="1"/>
  <c r="BR89" i="19"/>
  <c r="BT89" i="19" s="1"/>
  <c r="BU89" i="19" s="1"/>
  <c r="CF89" i="19"/>
  <c r="CH89" i="19" s="1"/>
  <c r="CI89" i="19" s="1"/>
  <c r="AB89" i="19"/>
  <c r="AD89" i="19" s="1"/>
  <c r="AE89" i="19" s="1"/>
  <c r="AP89" i="19"/>
  <c r="AR89" i="19" s="1"/>
  <c r="AS89" i="19" s="1"/>
  <c r="CT89" i="19"/>
  <c r="CV89" i="19" s="1"/>
  <c r="CW89" i="19" s="1"/>
  <c r="BD89" i="19"/>
  <c r="BF89" i="19" s="1"/>
  <c r="BG89" i="19" s="1"/>
  <c r="DB260" i="19"/>
  <c r="DD260" i="19" s="1"/>
  <c r="DL260" i="19" s="1"/>
  <c r="I175" i="19"/>
  <c r="S175" i="19" s="1"/>
  <c r="U175" i="19" s="1"/>
  <c r="V175" i="19"/>
  <c r="X175" i="19" s="1"/>
  <c r="BR261" i="19"/>
  <c r="BT261" i="19" s="1"/>
  <c r="BU261" i="19" s="1"/>
  <c r="BD261" i="19"/>
  <c r="BF261" i="19" s="1"/>
  <c r="BG261" i="19" s="1"/>
  <c r="AP261" i="19"/>
  <c r="AR261" i="19" s="1"/>
  <c r="AS261" i="19" s="1"/>
  <c r="CF261" i="19"/>
  <c r="CH261" i="19" s="1"/>
  <c r="CI261" i="19" s="1"/>
  <c r="AB261" i="19"/>
  <c r="AD261" i="19" s="1"/>
  <c r="AE261" i="19" s="1"/>
  <c r="CT261" i="19"/>
  <c r="CV261" i="19" s="1"/>
  <c r="CW261" i="19" s="1"/>
  <c r="BL88" i="19"/>
  <c r="BN88" i="19" s="1"/>
  <c r="DI88" i="19" s="1"/>
  <c r="BZ88" i="19"/>
  <c r="CB88" i="19" s="1"/>
  <c r="DJ88" i="19" s="1"/>
  <c r="AJ88" i="19"/>
  <c r="AL88" i="19" s="1"/>
  <c r="DG88" i="19" s="1"/>
  <c r="G263" i="19"/>
  <c r="H263" i="19" s="1"/>
  <c r="C264" i="19"/>
  <c r="DE263" i="19"/>
  <c r="CD263" i="19"/>
  <c r="CG263" i="19" s="1"/>
  <c r="BP263" i="19"/>
  <c r="BS263" i="19" s="1"/>
  <c r="BB263" i="19"/>
  <c r="BE263" i="19" s="1"/>
  <c r="AN263" i="19"/>
  <c r="AQ263" i="19" s="1"/>
  <c r="Z263" i="19"/>
  <c r="AC263" i="19" s="1"/>
  <c r="CR263" i="19"/>
  <c r="CU263" i="19" s="1"/>
  <c r="AX88" i="19"/>
  <c r="AZ88" i="19" s="1"/>
  <c r="DH88" i="19" s="1"/>
  <c r="DB88" i="19"/>
  <c r="DD88" i="19" s="1"/>
  <c r="DL88" i="19" s="1"/>
  <c r="Q35" i="20"/>
  <c r="R35" i="20" s="1"/>
  <c r="K41" i="20" s="1"/>
  <c r="O40" i="20"/>
  <c r="Q37" i="20"/>
  <c r="R37" i="20" s="1"/>
  <c r="K43" i="20" s="1"/>
  <c r="P42" i="20"/>
  <c r="O42" i="20"/>
  <c r="CX261" i="19" l="1"/>
  <c r="CZ261" i="19" s="1"/>
  <c r="DA261" i="19" s="1"/>
  <c r="BH261" i="19"/>
  <c r="BJ261" i="19" s="1"/>
  <c r="BK261" i="19" s="1"/>
  <c r="CJ261" i="19"/>
  <c r="CL261" i="19" s="1"/>
  <c r="CM261" i="19" s="1"/>
  <c r="AF261" i="19"/>
  <c r="AH261" i="19" s="1"/>
  <c r="AI261" i="19" s="1"/>
  <c r="AT261" i="19"/>
  <c r="AV261" i="19" s="1"/>
  <c r="AW261" i="19" s="1"/>
  <c r="CJ89" i="19"/>
  <c r="CL89" i="19" s="1"/>
  <c r="CM89" i="19" s="1"/>
  <c r="AF89" i="19"/>
  <c r="AH89" i="19" s="1"/>
  <c r="AI89" i="19" s="1"/>
  <c r="I176" i="19"/>
  <c r="S176" i="19" s="1"/>
  <c r="U176" i="19" s="1"/>
  <c r="CF176" i="19" s="1"/>
  <c r="CH176" i="19" s="1"/>
  <c r="F264" i="19"/>
  <c r="H177" i="19"/>
  <c r="V177" i="19" s="1"/>
  <c r="X177" i="19" s="1"/>
  <c r="AT177" i="19" s="1"/>
  <c r="AV177" i="19" s="1"/>
  <c r="AW177" i="19" s="1"/>
  <c r="BV176" i="19"/>
  <c r="BX176" i="19" s="1"/>
  <c r="BY176" i="19" s="1"/>
  <c r="AT176" i="19"/>
  <c r="AV176" i="19" s="1"/>
  <c r="AW176" i="19" s="1"/>
  <c r="CJ176" i="19"/>
  <c r="CL176" i="19" s="1"/>
  <c r="CM176" i="19" s="1"/>
  <c r="AF176" i="19"/>
  <c r="AH176" i="19" s="1"/>
  <c r="AI176" i="19" s="1"/>
  <c r="CX176" i="19"/>
  <c r="CZ176" i="19" s="1"/>
  <c r="DA176" i="19" s="1"/>
  <c r="BH89" i="19"/>
  <c r="BJ89" i="19" s="1"/>
  <c r="BK89" i="19" s="1"/>
  <c r="BL89" i="19" s="1"/>
  <c r="BN89" i="19" s="1"/>
  <c r="DI89" i="19" s="1"/>
  <c r="CX89" i="19"/>
  <c r="CZ89" i="19" s="1"/>
  <c r="DA89" i="19" s="1"/>
  <c r="DB89" i="19" s="1"/>
  <c r="DD89" i="19" s="1"/>
  <c r="DL89" i="19" s="1"/>
  <c r="BV89" i="19"/>
  <c r="BX89" i="19" s="1"/>
  <c r="BY89" i="19" s="1"/>
  <c r="BZ89" i="19" s="1"/>
  <c r="CB89" i="19" s="1"/>
  <c r="DJ89" i="19" s="1"/>
  <c r="V90" i="19"/>
  <c r="X90" i="19" s="1"/>
  <c r="AT90" i="19" s="1"/>
  <c r="AV90" i="19" s="1"/>
  <c r="AW90" i="19" s="1"/>
  <c r="F92" i="19"/>
  <c r="AJ89" i="19"/>
  <c r="AL89" i="19" s="1"/>
  <c r="DG89" i="19" s="1"/>
  <c r="CN89" i="19"/>
  <c r="CP89" i="19" s="1"/>
  <c r="DK89" i="19" s="1"/>
  <c r="H91" i="19"/>
  <c r="V91" i="19" s="1"/>
  <c r="X91" i="19" s="1"/>
  <c r="AX89" i="19"/>
  <c r="AZ89" i="19" s="1"/>
  <c r="DH89" i="19" s="1"/>
  <c r="C265" i="19"/>
  <c r="G264" i="19"/>
  <c r="DE264" i="19"/>
  <c r="AN264" i="19"/>
  <c r="AQ264" i="19" s="1"/>
  <c r="BP264" i="19"/>
  <c r="BS264" i="19" s="1"/>
  <c r="Z264" i="19"/>
  <c r="AC264" i="19" s="1"/>
  <c r="CR264" i="19"/>
  <c r="CU264" i="19" s="1"/>
  <c r="CD264" i="19"/>
  <c r="CG264" i="19" s="1"/>
  <c r="BB264" i="19"/>
  <c r="BE264" i="19" s="1"/>
  <c r="V263" i="19"/>
  <c r="X263" i="19" s="1"/>
  <c r="I263" i="19"/>
  <c r="S263" i="19" s="1"/>
  <c r="U263" i="19" s="1"/>
  <c r="CN261" i="19"/>
  <c r="CP261" i="19" s="1"/>
  <c r="DK261" i="19" s="1"/>
  <c r="AJ261" i="19"/>
  <c r="AL261" i="19" s="1"/>
  <c r="DG261" i="19" s="1"/>
  <c r="AX261" i="19"/>
  <c r="AZ261" i="19" s="1"/>
  <c r="DH261" i="19" s="1"/>
  <c r="BH175" i="19"/>
  <c r="BJ175" i="19" s="1"/>
  <c r="BK175" i="19" s="1"/>
  <c r="BV175" i="19"/>
  <c r="BX175" i="19" s="1"/>
  <c r="BY175" i="19" s="1"/>
  <c r="CJ175" i="19"/>
  <c r="CL175" i="19" s="1"/>
  <c r="CM175" i="19" s="1"/>
  <c r="AF175" i="19"/>
  <c r="AH175" i="19" s="1"/>
  <c r="AI175" i="19" s="1"/>
  <c r="AT175" i="19"/>
  <c r="AV175" i="19" s="1"/>
  <c r="AW175" i="19" s="1"/>
  <c r="CX175" i="19"/>
  <c r="CZ175" i="19" s="1"/>
  <c r="DA175" i="19" s="1"/>
  <c r="AB90" i="19"/>
  <c r="AD90" i="19" s="1"/>
  <c r="AE90" i="19" s="1"/>
  <c r="AP90" i="19"/>
  <c r="AR90" i="19" s="1"/>
  <c r="AS90" i="19" s="1"/>
  <c r="CT90" i="19"/>
  <c r="CV90" i="19" s="1"/>
  <c r="CW90" i="19" s="1"/>
  <c r="BD90" i="19"/>
  <c r="BF90" i="19" s="1"/>
  <c r="BG90" i="19" s="1"/>
  <c r="BR90" i="19"/>
  <c r="BT90" i="19" s="1"/>
  <c r="BU90" i="19" s="1"/>
  <c r="CF90" i="19"/>
  <c r="CH90" i="19" s="1"/>
  <c r="CI90" i="19" s="1"/>
  <c r="BZ261" i="19"/>
  <c r="CB261" i="19" s="1"/>
  <c r="DJ261" i="19" s="1"/>
  <c r="G178" i="19"/>
  <c r="C179" i="19"/>
  <c r="DE178" i="19"/>
  <c r="CD178" i="19"/>
  <c r="CG178" i="19" s="1"/>
  <c r="BP178" i="19"/>
  <c r="BS178" i="19" s="1"/>
  <c r="AN178" i="19"/>
  <c r="AQ178" i="19" s="1"/>
  <c r="Z178" i="19"/>
  <c r="AC178" i="19" s="1"/>
  <c r="BB178" i="19"/>
  <c r="BE178" i="19" s="1"/>
  <c r="CR178" i="19"/>
  <c r="CU178" i="19" s="1"/>
  <c r="AP176" i="19"/>
  <c r="AR176" i="19" s="1"/>
  <c r="BR176" i="19"/>
  <c r="BT176" i="19" s="1"/>
  <c r="BD176" i="19"/>
  <c r="BF176" i="19" s="1"/>
  <c r="BR175" i="19"/>
  <c r="BT175" i="19" s="1"/>
  <c r="BU175" i="19" s="1"/>
  <c r="CF175" i="19"/>
  <c r="CH175" i="19" s="1"/>
  <c r="CI175" i="19" s="1"/>
  <c r="CT175" i="19"/>
  <c r="CV175" i="19" s="1"/>
  <c r="CW175" i="19" s="1"/>
  <c r="AB175" i="19"/>
  <c r="AD175" i="19" s="1"/>
  <c r="AE175" i="19" s="1"/>
  <c r="BD175" i="19"/>
  <c r="BF175" i="19" s="1"/>
  <c r="BG175" i="19" s="1"/>
  <c r="AP175" i="19"/>
  <c r="AR175" i="19" s="1"/>
  <c r="AS175" i="19" s="1"/>
  <c r="F178" i="19"/>
  <c r="C93" i="19"/>
  <c r="G92" i="19"/>
  <c r="DE92" i="19"/>
  <c r="BB92" i="19"/>
  <c r="BE92" i="19" s="1"/>
  <c r="AN92" i="19"/>
  <c r="AQ92" i="19" s="1"/>
  <c r="BP92" i="19"/>
  <c r="BS92" i="19" s="1"/>
  <c r="CR92" i="19"/>
  <c r="CU92" i="19" s="1"/>
  <c r="CD92" i="19"/>
  <c r="CG92" i="19" s="1"/>
  <c r="Z92" i="19"/>
  <c r="AC92" i="19" s="1"/>
  <c r="DB261" i="19"/>
  <c r="DD261" i="19" s="1"/>
  <c r="DL261" i="19" s="1"/>
  <c r="BR262" i="19"/>
  <c r="BT262" i="19" s="1"/>
  <c r="BU262" i="19" s="1"/>
  <c r="AB262" i="19"/>
  <c r="AD262" i="19" s="1"/>
  <c r="AE262" i="19" s="1"/>
  <c r="AP262" i="19"/>
  <c r="AR262" i="19" s="1"/>
  <c r="AS262" i="19" s="1"/>
  <c r="BD262" i="19"/>
  <c r="BF262" i="19" s="1"/>
  <c r="BG262" i="19" s="1"/>
  <c r="CT262" i="19"/>
  <c r="CV262" i="19" s="1"/>
  <c r="CW262" i="19" s="1"/>
  <c r="CF262" i="19"/>
  <c r="CH262" i="19" s="1"/>
  <c r="CI262" i="19" s="1"/>
  <c r="BL261" i="19"/>
  <c r="BN261" i="19" s="1"/>
  <c r="DI261" i="19" s="1"/>
  <c r="AF262" i="19"/>
  <c r="AH262" i="19" s="1"/>
  <c r="AI262" i="19" s="1"/>
  <c r="AT262" i="19"/>
  <c r="AV262" i="19" s="1"/>
  <c r="AW262" i="19" s="1"/>
  <c r="BV262" i="19"/>
  <c r="BX262" i="19" s="1"/>
  <c r="BY262" i="19" s="1"/>
  <c r="CX262" i="19"/>
  <c r="CZ262" i="19" s="1"/>
  <c r="DA262" i="19" s="1"/>
  <c r="BH262" i="19"/>
  <c r="BJ262" i="19" s="1"/>
  <c r="BK262" i="19" s="1"/>
  <c r="CJ262" i="19"/>
  <c r="CL262" i="19" s="1"/>
  <c r="CM262" i="19" s="1"/>
  <c r="O43" i="20"/>
  <c r="P43" i="20"/>
  <c r="L42" i="20"/>
  <c r="M42" i="20"/>
  <c r="N42" i="20" s="1"/>
  <c r="L40" i="20"/>
  <c r="M40" i="20"/>
  <c r="N40" i="20" s="1"/>
  <c r="O41" i="20"/>
  <c r="P41" i="20"/>
  <c r="F265" i="19" l="1"/>
  <c r="AB176" i="19"/>
  <c r="AD176" i="19" s="1"/>
  <c r="AE176" i="19" s="1"/>
  <c r="AJ176" i="19" s="1"/>
  <c r="AL176" i="19" s="1"/>
  <c r="DG176" i="19" s="1"/>
  <c r="CT176" i="19"/>
  <c r="CV176" i="19" s="1"/>
  <c r="H264" i="19"/>
  <c r="V264" i="19" s="1"/>
  <c r="X264" i="19" s="1"/>
  <c r="I177" i="19"/>
  <c r="S177" i="19" s="1"/>
  <c r="U177" i="19" s="1"/>
  <c r="AP177" i="19" s="1"/>
  <c r="AR177" i="19" s="1"/>
  <c r="AS177" i="19" s="1"/>
  <c r="AX177" i="19" s="1"/>
  <c r="AZ177" i="19" s="1"/>
  <c r="DH177" i="19" s="1"/>
  <c r="BH90" i="19"/>
  <c r="BJ90" i="19" s="1"/>
  <c r="BK90" i="19" s="1"/>
  <c r="BL90" i="19" s="1"/>
  <c r="BN90" i="19" s="1"/>
  <c r="DI90" i="19" s="1"/>
  <c r="CX90" i="19"/>
  <c r="CZ90" i="19" s="1"/>
  <c r="DA90" i="19" s="1"/>
  <c r="DB90" i="19" s="1"/>
  <c r="DD90" i="19" s="1"/>
  <c r="DL90" i="19" s="1"/>
  <c r="BV90" i="19"/>
  <c r="BX90" i="19" s="1"/>
  <c r="BY90" i="19" s="1"/>
  <c r="BZ90" i="19" s="1"/>
  <c r="CB90" i="19" s="1"/>
  <c r="DJ90" i="19" s="1"/>
  <c r="AF90" i="19"/>
  <c r="AH90" i="19" s="1"/>
  <c r="AI90" i="19" s="1"/>
  <c r="AJ90" i="19" s="1"/>
  <c r="AL90" i="19" s="1"/>
  <c r="DG90" i="19" s="1"/>
  <c r="CJ90" i="19"/>
  <c r="CL90" i="19" s="1"/>
  <c r="CM90" i="19" s="1"/>
  <c r="CN90" i="19" s="1"/>
  <c r="CP90" i="19" s="1"/>
  <c r="DK90" i="19" s="1"/>
  <c r="I91" i="19"/>
  <c r="S91" i="19" s="1"/>
  <c r="U91" i="19" s="1"/>
  <c r="AB91" i="19" s="1"/>
  <c r="AD91" i="19" s="1"/>
  <c r="AE91" i="19" s="1"/>
  <c r="CJ177" i="19"/>
  <c r="CL177" i="19" s="1"/>
  <c r="CM177" i="19" s="1"/>
  <c r="H92" i="19"/>
  <c r="V92" i="19" s="1"/>
  <c r="X92" i="19" s="1"/>
  <c r="H178" i="19"/>
  <c r="V178" i="19" s="1"/>
  <c r="X178" i="19" s="1"/>
  <c r="BD177" i="19"/>
  <c r="BF177" i="19" s="1"/>
  <c r="BG177" i="19" s="1"/>
  <c r="AB177" i="19"/>
  <c r="AD177" i="19" s="1"/>
  <c r="AE177" i="19" s="1"/>
  <c r="BR177" i="19"/>
  <c r="BT177" i="19" s="1"/>
  <c r="BU177" i="19" s="1"/>
  <c r="BV177" i="19"/>
  <c r="BX177" i="19" s="1"/>
  <c r="BY177" i="19" s="1"/>
  <c r="BH177" i="19"/>
  <c r="BJ177" i="19" s="1"/>
  <c r="BK177" i="19" s="1"/>
  <c r="CX177" i="19"/>
  <c r="CZ177" i="19" s="1"/>
  <c r="DA177" i="19" s="1"/>
  <c r="AF177" i="19"/>
  <c r="AH177" i="19" s="1"/>
  <c r="AI177" i="19" s="1"/>
  <c r="AX90" i="19"/>
  <c r="AZ90" i="19" s="1"/>
  <c r="DH90" i="19" s="1"/>
  <c r="CN262" i="19"/>
  <c r="CP262" i="19" s="1"/>
  <c r="DK262" i="19" s="1"/>
  <c r="BL262" i="19"/>
  <c r="BN262" i="19" s="1"/>
  <c r="DI262" i="19" s="1"/>
  <c r="BG176" i="19"/>
  <c r="BL176" i="19" s="1"/>
  <c r="BN176" i="19" s="1"/>
  <c r="DI176" i="19" s="1"/>
  <c r="DB262" i="19"/>
  <c r="DD262" i="19" s="1"/>
  <c r="DL262" i="19" s="1"/>
  <c r="BU176" i="19"/>
  <c r="BZ176" i="19" s="1"/>
  <c r="CB176" i="19" s="1"/>
  <c r="BZ262" i="19"/>
  <c r="CB262" i="19" s="1"/>
  <c r="DJ262" i="19" s="1"/>
  <c r="AS176" i="19"/>
  <c r="AX176" i="19" s="1"/>
  <c r="AZ176" i="19" s="1"/>
  <c r="DH176" i="19" s="1"/>
  <c r="C94" i="19"/>
  <c r="G93" i="19"/>
  <c r="DE93" i="19"/>
  <c r="Z93" i="19"/>
  <c r="AC93" i="19" s="1"/>
  <c r="BP93" i="19"/>
  <c r="BS93" i="19" s="1"/>
  <c r="CR93" i="19"/>
  <c r="CU93" i="19" s="1"/>
  <c r="CD93" i="19"/>
  <c r="CG93" i="19" s="1"/>
  <c r="BB93" i="19"/>
  <c r="BE93" i="19" s="1"/>
  <c r="AN93" i="19"/>
  <c r="AQ93" i="19" s="1"/>
  <c r="F93" i="19"/>
  <c r="AJ262" i="19"/>
  <c r="AL262" i="19" s="1"/>
  <c r="DG262" i="19" s="1"/>
  <c r="G179" i="19"/>
  <c r="C180" i="19"/>
  <c r="DE179" i="19"/>
  <c r="BP179" i="19"/>
  <c r="BS179" i="19" s="1"/>
  <c r="CR179" i="19"/>
  <c r="CU179" i="19" s="1"/>
  <c r="BB179" i="19"/>
  <c r="BE179" i="19" s="1"/>
  <c r="CD179" i="19"/>
  <c r="CG179" i="19" s="1"/>
  <c r="AN179" i="19"/>
  <c r="AQ179" i="19" s="1"/>
  <c r="Z179" i="19"/>
  <c r="AC179" i="19" s="1"/>
  <c r="F179" i="19"/>
  <c r="AX262" i="19"/>
  <c r="AZ262" i="19" s="1"/>
  <c r="DH262" i="19" s="1"/>
  <c r="DB175" i="19"/>
  <c r="DD175" i="19" s="1"/>
  <c r="AX175" i="19"/>
  <c r="AZ175" i="19" s="1"/>
  <c r="DH175" i="19" s="1"/>
  <c r="AJ175" i="19"/>
  <c r="AL175" i="19" s="1"/>
  <c r="DG175" i="19" s="1"/>
  <c r="CN175" i="19"/>
  <c r="CP175" i="19" s="1"/>
  <c r="C266" i="19"/>
  <c r="F266" i="19" s="1"/>
  <c r="G265" i="19"/>
  <c r="H265" i="19" s="1"/>
  <c r="DE265" i="19"/>
  <c r="CD265" i="19"/>
  <c r="CG265" i="19" s="1"/>
  <c r="BP265" i="19"/>
  <c r="BS265" i="19" s="1"/>
  <c r="BB265" i="19"/>
  <c r="BE265" i="19" s="1"/>
  <c r="AN265" i="19"/>
  <c r="AQ265" i="19" s="1"/>
  <c r="CR265" i="19"/>
  <c r="CU265" i="19" s="1"/>
  <c r="Z265" i="19"/>
  <c r="AC265" i="19" s="1"/>
  <c r="BZ175" i="19"/>
  <c r="CB175" i="19" s="1"/>
  <c r="CW176" i="19"/>
  <c r="DB176" i="19" s="1"/>
  <c r="DD176" i="19" s="1"/>
  <c r="BL175" i="19"/>
  <c r="BN175" i="19" s="1"/>
  <c r="DI175" i="19" s="1"/>
  <c r="BV91" i="19"/>
  <c r="BX91" i="19" s="1"/>
  <c r="BY91" i="19" s="1"/>
  <c r="CX91" i="19"/>
  <c r="CZ91" i="19" s="1"/>
  <c r="DA91" i="19" s="1"/>
  <c r="AF91" i="19"/>
  <c r="AH91" i="19" s="1"/>
  <c r="AI91" i="19" s="1"/>
  <c r="BH91" i="19"/>
  <c r="BJ91" i="19" s="1"/>
  <c r="BK91" i="19" s="1"/>
  <c r="AT91" i="19"/>
  <c r="AV91" i="19" s="1"/>
  <c r="AW91" i="19" s="1"/>
  <c r="CJ91" i="19"/>
  <c r="CL91" i="19" s="1"/>
  <c r="CM91" i="19" s="1"/>
  <c r="CI176" i="19"/>
  <c r="CN176" i="19" s="1"/>
  <c r="CP176" i="19" s="1"/>
  <c r="AB263" i="19"/>
  <c r="AD263" i="19" s="1"/>
  <c r="AE263" i="19" s="1"/>
  <c r="AP263" i="19"/>
  <c r="AR263" i="19" s="1"/>
  <c r="AS263" i="19" s="1"/>
  <c r="BR263" i="19"/>
  <c r="BT263" i="19" s="1"/>
  <c r="BU263" i="19" s="1"/>
  <c r="BD263" i="19"/>
  <c r="BF263" i="19" s="1"/>
  <c r="BG263" i="19" s="1"/>
  <c r="CF263" i="19"/>
  <c r="CH263" i="19" s="1"/>
  <c r="CI263" i="19" s="1"/>
  <c r="CT263" i="19"/>
  <c r="CV263" i="19" s="1"/>
  <c r="CW263" i="19" s="1"/>
  <c r="BH263" i="19"/>
  <c r="BJ263" i="19" s="1"/>
  <c r="BK263" i="19" s="1"/>
  <c r="BV263" i="19"/>
  <c r="BX263" i="19" s="1"/>
  <c r="BY263" i="19" s="1"/>
  <c r="AT263" i="19"/>
  <c r="AV263" i="19" s="1"/>
  <c r="AW263" i="19" s="1"/>
  <c r="AF263" i="19"/>
  <c r="AH263" i="19" s="1"/>
  <c r="AI263" i="19" s="1"/>
  <c r="CX263" i="19"/>
  <c r="CZ263" i="19" s="1"/>
  <c r="DA263" i="19" s="1"/>
  <c r="CJ263" i="19"/>
  <c r="CL263" i="19" s="1"/>
  <c r="CM263" i="19" s="1"/>
  <c r="C30" i="20"/>
  <c r="L43" i="20"/>
  <c r="M43" i="20"/>
  <c r="N43" i="20" s="1"/>
  <c r="L41" i="20"/>
  <c r="M41" i="20"/>
  <c r="N41" i="20" s="1"/>
  <c r="CT177" i="19" l="1"/>
  <c r="CV177" i="19" s="1"/>
  <c r="CW177" i="19" s="1"/>
  <c r="DB177" i="19" s="1"/>
  <c r="DD177" i="19" s="1"/>
  <c r="CF177" i="19"/>
  <c r="CH177" i="19" s="1"/>
  <c r="CI177" i="19" s="1"/>
  <c r="CN177" i="19" s="1"/>
  <c r="CP177" i="19" s="1"/>
  <c r="I264" i="19"/>
  <c r="S264" i="19" s="1"/>
  <c r="U264" i="19" s="1"/>
  <c r="BD264" i="19" s="1"/>
  <c r="BF264" i="19" s="1"/>
  <c r="BG264" i="19" s="1"/>
  <c r="I178" i="19"/>
  <c r="S178" i="19" s="1"/>
  <c r="U178" i="19" s="1"/>
  <c r="CF178" i="19" s="1"/>
  <c r="CH178" i="19" s="1"/>
  <c r="CI178" i="19" s="1"/>
  <c r="CT91" i="19"/>
  <c r="CV91" i="19" s="1"/>
  <c r="CW91" i="19" s="1"/>
  <c r="DB91" i="19" s="1"/>
  <c r="DD91" i="19" s="1"/>
  <c r="DL91" i="19" s="1"/>
  <c r="I92" i="19"/>
  <c r="S92" i="19" s="1"/>
  <c r="U92" i="19" s="1"/>
  <c r="BR92" i="19" s="1"/>
  <c r="BT92" i="19" s="1"/>
  <c r="BU92" i="19" s="1"/>
  <c r="BD91" i="19"/>
  <c r="BF91" i="19" s="1"/>
  <c r="BG91" i="19" s="1"/>
  <c r="BL91" i="19" s="1"/>
  <c r="BN91" i="19" s="1"/>
  <c r="DI91" i="19" s="1"/>
  <c r="AP91" i="19"/>
  <c r="AR91" i="19" s="1"/>
  <c r="AS91" i="19" s="1"/>
  <c r="AX91" i="19" s="1"/>
  <c r="AZ91" i="19" s="1"/>
  <c r="DH91" i="19" s="1"/>
  <c r="BR91" i="19"/>
  <c r="BT91" i="19" s="1"/>
  <c r="BU91" i="19" s="1"/>
  <c r="BZ91" i="19" s="1"/>
  <c r="CB91" i="19" s="1"/>
  <c r="DJ91" i="19" s="1"/>
  <c r="CF91" i="19"/>
  <c r="CH91" i="19" s="1"/>
  <c r="CI91" i="19" s="1"/>
  <c r="CN91" i="19" s="1"/>
  <c r="CP91" i="19" s="1"/>
  <c r="DK91" i="19" s="1"/>
  <c r="BL177" i="19"/>
  <c r="BN177" i="19" s="1"/>
  <c r="DI177" i="19" s="1"/>
  <c r="BZ177" i="19"/>
  <c r="CB177" i="19" s="1"/>
  <c r="AJ177" i="19"/>
  <c r="AL177" i="19" s="1"/>
  <c r="DG177" i="19" s="1"/>
  <c r="H179" i="19"/>
  <c r="V179" i="19" s="1"/>
  <c r="X179" i="19" s="1"/>
  <c r="CN263" i="19"/>
  <c r="CP263" i="19" s="1"/>
  <c r="DK263" i="19" s="1"/>
  <c r="DB263" i="19"/>
  <c r="DD263" i="19" s="1"/>
  <c r="DL263" i="19" s="1"/>
  <c r="AJ263" i="19"/>
  <c r="AL263" i="19" s="1"/>
  <c r="DG263" i="19" s="1"/>
  <c r="AJ91" i="19"/>
  <c r="AL91" i="19" s="1"/>
  <c r="DG91" i="19" s="1"/>
  <c r="H93" i="19"/>
  <c r="I93" i="19" s="1"/>
  <c r="S93" i="19" s="1"/>
  <c r="U93" i="19" s="1"/>
  <c r="AX263" i="19"/>
  <c r="AZ263" i="19" s="1"/>
  <c r="DH263" i="19" s="1"/>
  <c r="BZ263" i="19"/>
  <c r="CB263" i="19" s="1"/>
  <c r="DJ263" i="19" s="1"/>
  <c r="BL263" i="19"/>
  <c r="BN263" i="19" s="1"/>
  <c r="DI263" i="19" s="1"/>
  <c r="BV264" i="19"/>
  <c r="BX264" i="19" s="1"/>
  <c r="BY264" i="19" s="1"/>
  <c r="CJ264" i="19"/>
  <c r="CL264" i="19" s="1"/>
  <c r="CM264" i="19" s="1"/>
  <c r="AF264" i="19"/>
  <c r="AH264" i="19" s="1"/>
  <c r="AI264" i="19" s="1"/>
  <c r="AT264" i="19"/>
  <c r="AV264" i="19" s="1"/>
  <c r="AW264" i="19" s="1"/>
  <c r="CX264" i="19"/>
  <c r="CZ264" i="19" s="1"/>
  <c r="DA264" i="19" s="1"/>
  <c r="BH264" i="19"/>
  <c r="BJ264" i="19" s="1"/>
  <c r="BK264" i="19" s="1"/>
  <c r="BH178" i="19"/>
  <c r="BJ178" i="19" s="1"/>
  <c r="BK178" i="19" s="1"/>
  <c r="AF178" i="19"/>
  <c r="AH178" i="19" s="1"/>
  <c r="AI178" i="19" s="1"/>
  <c r="CX178" i="19"/>
  <c r="CZ178" i="19" s="1"/>
  <c r="DA178" i="19" s="1"/>
  <c r="CJ178" i="19"/>
  <c r="CL178" i="19" s="1"/>
  <c r="CM178" i="19" s="1"/>
  <c r="AT178" i="19"/>
  <c r="AV178" i="19" s="1"/>
  <c r="AW178" i="19" s="1"/>
  <c r="BV178" i="19"/>
  <c r="BX178" i="19" s="1"/>
  <c r="BY178" i="19" s="1"/>
  <c r="V265" i="19"/>
  <c r="X265" i="19" s="1"/>
  <c r="I265" i="19"/>
  <c r="S265" i="19" s="1"/>
  <c r="U265" i="19" s="1"/>
  <c r="G266" i="19"/>
  <c r="H266" i="19" s="1"/>
  <c r="C267" i="19"/>
  <c r="F267" i="19" s="1"/>
  <c r="DE266" i="19"/>
  <c r="BP266" i="19"/>
  <c r="BS266" i="19" s="1"/>
  <c r="BB266" i="19"/>
  <c r="BE266" i="19" s="1"/>
  <c r="AN266" i="19"/>
  <c r="AQ266" i="19" s="1"/>
  <c r="CR266" i="19"/>
  <c r="CU266" i="19" s="1"/>
  <c r="CD266" i="19"/>
  <c r="CG266" i="19" s="1"/>
  <c r="Z266" i="19"/>
  <c r="AC266" i="19" s="1"/>
  <c r="F94" i="19"/>
  <c r="G180" i="19"/>
  <c r="C181" i="19"/>
  <c r="DE180" i="19"/>
  <c r="Z180" i="19"/>
  <c r="AC180" i="19" s="1"/>
  <c r="CR180" i="19"/>
  <c r="CU180" i="19" s="1"/>
  <c r="CD180" i="19"/>
  <c r="CG180" i="19" s="1"/>
  <c r="BP180" i="19"/>
  <c r="BS180" i="19" s="1"/>
  <c r="BB180" i="19"/>
  <c r="BE180" i="19" s="1"/>
  <c r="AN180" i="19"/>
  <c r="AQ180" i="19" s="1"/>
  <c r="AF92" i="19"/>
  <c r="AH92" i="19" s="1"/>
  <c r="AI92" i="19" s="1"/>
  <c r="CJ92" i="19"/>
  <c r="CL92" i="19" s="1"/>
  <c r="CM92" i="19" s="1"/>
  <c r="AT92" i="19"/>
  <c r="AV92" i="19" s="1"/>
  <c r="AW92" i="19" s="1"/>
  <c r="BV92" i="19"/>
  <c r="BX92" i="19" s="1"/>
  <c r="BY92" i="19" s="1"/>
  <c r="BH92" i="19"/>
  <c r="BJ92" i="19" s="1"/>
  <c r="BK92" i="19" s="1"/>
  <c r="CX92" i="19"/>
  <c r="CZ92" i="19" s="1"/>
  <c r="DA92" i="19" s="1"/>
  <c r="F180" i="19"/>
  <c r="G94" i="19"/>
  <c r="C95" i="19"/>
  <c r="DE94" i="19"/>
  <c r="CD94" i="19"/>
  <c r="CG94" i="19" s="1"/>
  <c r="BP94" i="19"/>
  <c r="BS94" i="19" s="1"/>
  <c r="BB94" i="19"/>
  <c r="BE94" i="19" s="1"/>
  <c r="AN94" i="19"/>
  <c r="AQ94" i="19" s="1"/>
  <c r="Z94" i="19"/>
  <c r="AC94" i="19" s="1"/>
  <c r="CR94" i="19"/>
  <c r="CU94" i="19" s="1"/>
  <c r="AP178" i="19" l="1"/>
  <c r="AR178" i="19" s="1"/>
  <c r="AS178" i="19" s="1"/>
  <c r="CT178" i="19"/>
  <c r="CV178" i="19" s="1"/>
  <c r="CW178" i="19" s="1"/>
  <c r="BR264" i="19"/>
  <c r="BT264" i="19" s="1"/>
  <c r="BU264" i="19" s="1"/>
  <c r="BZ264" i="19" s="1"/>
  <c r="CB264" i="19" s="1"/>
  <c r="DJ264" i="19" s="1"/>
  <c r="AB264" i="19"/>
  <c r="AD264" i="19" s="1"/>
  <c r="AE264" i="19" s="1"/>
  <c r="AJ264" i="19" s="1"/>
  <c r="AL264" i="19" s="1"/>
  <c r="DG264" i="19" s="1"/>
  <c r="CT264" i="19"/>
  <c r="CV264" i="19" s="1"/>
  <c r="CW264" i="19" s="1"/>
  <c r="AP264" i="19"/>
  <c r="AR264" i="19" s="1"/>
  <c r="AS264" i="19" s="1"/>
  <c r="CF264" i="19"/>
  <c r="CH264" i="19" s="1"/>
  <c r="CI264" i="19" s="1"/>
  <c r="CN264" i="19" s="1"/>
  <c r="CP264" i="19" s="1"/>
  <c r="DK264" i="19" s="1"/>
  <c r="AB92" i="19"/>
  <c r="AD92" i="19" s="1"/>
  <c r="AE92" i="19" s="1"/>
  <c r="AJ92" i="19" s="1"/>
  <c r="AL92" i="19" s="1"/>
  <c r="DG92" i="19" s="1"/>
  <c r="CF92" i="19"/>
  <c r="CH92" i="19" s="1"/>
  <c r="CI92" i="19" s="1"/>
  <c r="CN92" i="19" s="1"/>
  <c r="CP92" i="19" s="1"/>
  <c r="DK92" i="19" s="1"/>
  <c r="CT92" i="19"/>
  <c r="CV92" i="19" s="1"/>
  <c r="CW92" i="19" s="1"/>
  <c r="BD92" i="19"/>
  <c r="BF92" i="19" s="1"/>
  <c r="BG92" i="19" s="1"/>
  <c r="BL92" i="19" s="1"/>
  <c r="BN92" i="19" s="1"/>
  <c r="DI92" i="19" s="1"/>
  <c r="AP92" i="19"/>
  <c r="AR92" i="19" s="1"/>
  <c r="AS92" i="19" s="1"/>
  <c r="AX92" i="19" s="1"/>
  <c r="AZ92" i="19" s="1"/>
  <c r="DH92" i="19" s="1"/>
  <c r="BR178" i="19"/>
  <c r="BT178" i="19" s="1"/>
  <c r="BU178" i="19" s="1"/>
  <c r="BZ178" i="19" s="1"/>
  <c r="CB178" i="19" s="1"/>
  <c r="BD178" i="19"/>
  <c r="BF178" i="19" s="1"/>
  <c r="BG178" i="19" s="1"/>
  <c r="BL178" i="19" s="1"/>
  <c r="BN178" i="19" s="1"/>
  <c r="DI178" i="19" s="1"/>
  <c r="AB178" i="19"/>
  <c r="AD178" i="19" s="1"/>
  <c r="AE178" i="19" s="1"/>
  <c r="AJ178" i="19" s="1"/>
  <c r="AL178" i="19" s="1"/>
  <c r="DG178" i="19" s="1"/>
  <c r="I179" i="19"/>
  <c r="S179" i="19" s="1"/>
  <c r="U179" i="19" s="1"/>
  <c r="AP179" i="19" s="1"/>
  <c r="AR179" i="19" s="1"/>
  <c r="AS179" i="19" s="1"/>
  <c r="F95" i="19"/>
  <c r="DB92" i="19"/>
  <c r="DD92" i="19" s="1"/>
  <c r="DL92" i="19" s="1"/>
  <c r="V93" i="19"/>
  <c r="X93" i="19" s="1"/>
  <c r="BH93" i="19" s="1"/>
  <c r="BJ93" i="19" s="1"/>
  <c r="BK93" i="19" s="1"/>
  <c r="H180" i="19"/>
  <c r="V180" i="19" s="1"/>
  <c r="X180" i="19" s="1"/>
  <c r="DB264" i="19"/>
  <c r="DD264" i="19" s="1"/>
  <c r="DL264" i="19" s="1"/>
  <c r="BL264" i="19"/>
  <c r="BN264" i="19" s="1"/>
  <c r="DI264" i="19" s="1"/>
  <c r="AX264" i="19"/>
  <c r="AZ264" i="19" s="1"/>
  <c r="DH264" i="19" s="1"/>
  <c r="BZ92" i="19"/>
  <c r="CB92" i="19" s="1"/>
  <c r="DJ92" i="19" s="1"/>
  <c r="AX178" i="19"/>
  <c r="AZ178" i="19" s="1"/>
  <c r="DH178" i="19" s="1"/>
  <c r="CN178" i="19"/>
  <c r="CP178" i="19" s="1"/>
  <c r="G95" i="19"/>
  <c r="C96" i="19"/>
  <c r="DE95" i="19"/>
  <c r="CR95" i="19"/>
  <c r="CU95" i="19" s="1"/>
  <c r="CD95" i="19"/>
  <c r="CG95" i="19" s="1"/>
  <c r="BP95" i="19"/>
  <c r="BS95" i="19" s="1"/>
  <c r="BB95" i="19"/>
  <c r="BE95" i="19" s="1"/>
  <c r="Z95" i="19"/>
  <c r="AC95" i="19" s="1"/>
  <c r="AN95" i="19"/>
  <c r="AQ95" i="19" s="1"/>
  <c r="F181" i="19"/>
  <c r="BV179" i="19"/>
  <c r="BX179" i="19" s="1"/>
  <c r="BY179" i="19" s="1"/>
  <c r="CJ179" i="19"/>
  <c r="CL179" i="19" s="1"/>
  <c r="CM179" i="19" s="1"/>
  <c r="AT179" i="19"/>
  <c r="AV179" i="19" s="1"/>
  <c r="AW179" i="19" s="1"/>
  <c r="CX179" i="19"/>
  <c r="CZ179" i="19" s="1"/>
  <c r="DA179" i="19" s="1"/>
  <c r="BH179" i="19"/>
  <c r="BJ179" i="19" s="1"/>
  <c r="BK179" i="19" s="1"/>
  <c r="AF179" i="19"/>
  <c r="AH179" i="19" s="1"/>
  <c r="AI179" i="19" s="1"/>
  <c r="V266" i="19"/>
  <c r="X266" i="19" s="1"/>
  <c r="I266" i="19"/>
  <c r="S266" i="19" s="1"/>
  <c r="U266" i="19" s="1"/>
  <c r="G181" i="19"/>
  <c r="C182" i="19"/>
  <c r="DE181" i="19"/>
  <c r="CR181" i="19"/>
  <c r="CU181" i="19" s="1"/>
  <c r="CD181" i="19"/>
  <c r="CG181" i="19" s="1"/>
  <c r="BP181" i="19"/>
  <c r="BS181" i="19" s="1"/>
  <c r="BB181" i="19"/>
  <c r="BE181" i="19" s="1"/>
  <c r="Z181" i="19"/>
  <c r="AC181" i="19" s="1"/>
  <c r="AN181" i="19"/>
  <c r="AQ181" i="19" s="1"/>
  <c r="CT265" i="19"/>
  <c r="CV265" i="19" s="1"/>
  <c r="CW265" i="19" s="1"/>
  <c r="AB265" i="19"/>
  <c r="AD265" i="19" s="1"/>
  <c r="AE265" i="19" s="1"/>
  <c r="AP265" i="19"/>
  <c r="AR265" i="19" s="1"/>
  <c r="AS265" i="19" s="1"/>
  <c r="CF265" i="19"/>
  <c r="CH265" i="19" s="1"/>
  <c r="CI265" i="19" s="1"/>
  <c r="BR265" i="19"/>
  <c r="BT265" i="19" s="1"/>
  <c r="BU265" i="19" s="1"/>
  <c r="BD265" i="19"/>
  <c r="BF265" i="19" s="1"/>
  <c r="BG265" i="19" s="1"/>
  <c r="H94" i="19"/>
  <c r="CJ265" i="19"/>
  <c r="CL265" i="19" s="1"/>
  <c r="CM265" i="19" s="1"/>
  <c r="BH265" i="19"/>
  <c r="BJ265" i="19" s="1"/>
  <c r="BK265" i="19" s="1"/>
  <c r="CX265" i="19"/>
  <c r="CZ265" i="19" s="1"/>
  <c r="DA265" i="19" s="1"/>
  <c r="AT265" i="19"/>
  <c r="AV265" i="19" s="1"/>
  <c r="AW265" i="19" s="1"/>
  <c r="BV265" i="19"/>
  <c r="BX265" i="19" s="1"/>
  <c r="BY265" i="19" s="1"/>
  <c r="AF265" i="19"/>
  <c r="AH265" i="19" s="1"/>
  <c r="AI265" i="19" s="1"/>
  <c r="DB178" i="19"/>
  <c r="DD178" i="19" s="1"/>
  <c r="C268" i="19"/>
  <c r="F268" i="19" s="1"/>
  <c r="G267" i="19"/>
  <c r="H267" i="19" s="1"/>
  <c r="DE267" i="19"/>
  <c r="CD267" i="19"/>
  <c r="CG267" i="19" s="1"/>
  <c r="BP267" i="19"/>
  <c r="BS267" i="19" s="1"/>
  <c r="Z267" i="19"/>
  <c r="AC267" i="19" s="1"/>
  <c r="AN267" i="19"/>
  <c r="AQ267" i="19" s="1"/>
  <c r="CR267" i="19"/>
  <c r="CU267" i="19" s="1"/>
  <c r="BB267" i="19"/>
  <c r="BE267" i="19" s="1"/>
  <c r="BD93" i="19"/>
  <c r="BF93" i="19" s="1"/>
  <c r="BG93" i="19" s="1"/>
  <c r="CT93" i="19"/>
  <c r="CV93" i="19" s="1"/>
  <c r="CW93" i="19" s="1"/>
  <c r="AP93" i="19"/>
  <c r="AR93" i="19" s="1"/>
  <c r="AS93" i="19" s="1"/>
  <c r="CF93" i="19"/>
  <c r="CH93" i="19" s="1"/>
  <c r="CI93" i="19" s="1"/>
  <c r="BR93" i="19"/>
  <c r="BT93" i="19" s="1"/>
  <c r="BU93" i="19" s="1"/>
  <c r="AB93" i="19"/>
  <c r="AD93" i="19" s="1"/>
  <c r="AE93" i="19" s="1"/>
  <c r="I180" i="19" l="1"/>
  <c r="S180" i="19" s="1"/>
  <c r="U180" i="19" s="1"/>
  <c r="CT180" i="19" s="1"/>
  <c r="CV180" i="19" s="1"/>
  <c r="CW180" i="19" s="1"/>
  <c r="AB179" i="19"/>
  <c r="AD179" i="19" s="1"/>
  <c r="AE179" i="19" s="1"/>
  <c r="AJ179" i="19" s="1"/>
  <c r="AL179" i="19" s="1"/>
  <c r="DG179" i="19" s="1"/>
  <c r="CT179" i="19"/>
  <c r="CV179" i="19" s="1"/>
  <c r="CW179" i="19" s="1"/>
  <c r="CX93" i="19"/>
  <c r="CZ93" i="19" s="1"/>
  <c r="DA93" i="19" s="1"/>
  <c r="DB93" i="19" s="1"/>
  <c r="DD93" i="19" s="1"/>
  <c r="DL93" i="19" s="1"/>
  <c r="CJ93" i="19"/>
  <c r="CL93" i="19" s="1"/>
  <c r="CM93" i="19" s="1"/>
  <c r="CN93" i="19" s="1"/>
  <c r="CP93" i="19" s="1"/>
  <c r="DK93" i="19" s="1"/>
  <c r="CF179" i="19"/>
  <c r="CH179" i="19" s="1"/>
  <c r="CI179" i="19" s="1"/>
  <c r="CN179" i="19" s="1"/>
  <c r="CP179" i="19" s="1"/>
  <c r="BD179" i="19"/>
  <c r="BF179" i="19" s="1"/>
  <c r="BG179" i="19" s="1"/>
  <c r="BL179" i="19" s="1"/>
  <c r="BN179" i="19" s="1"/>
  <c r="DI179" i="19" s="1"/>
  <c r="BR179" i="19"/>
  <c r="BT179" i="19" s="1"/>
  <c r="BU179" i="19" s="1"/>
  <c r="BZ179" i="19" s="1"/>
  <c r="CB179" i="19" s="1"/>
  <c r="AT93" i="19"/>
  <c r="AV93" i="19" s="1"/>
  <c r="AW93" i="19" s="1"/>
  <c r="AX93" i="19" s="1"/>
  <c r="AZ93" i="19" s="1"/>
  <c r="DH93" i="19" s="1"/>
  <c r="F96" i="19"/>
  <c r="H95" i="19"/>
  <c r="V95" i="19" s="1"/>
  <c r="X95" i="19" s="1"/>
  <c r="BV93" i="19"/>
  <c r="BX93" i="19" s="1"/>
  <c r="BY93" i="19" s="1"/>
  <c r="BZ93" i="19" s="1"/>
  <c r="CB93" i="19" s="1"/>
  <c r="DJ93" i="19" s="1"/>
  <c r="AF93" i="19"/>
  <c r="AH93" i="19" s="1"/>
  <c r="AI93" i="19" s="1"/>
  <c r="AJ93" i="19" s="1"/>
  <c r="AL93" i="19" s="1"/>
  <c r="DG93" i="19" s="1"/>
  <c r="H181" i="19"/>
  <c r="G182" i="19"/>
  <c r="C183" i="19"/>
  <c r="DE182" i="19"/>
  <c r="Z182" i="19"/>
  <c r="AC182" i="19" s="1"/>
  <c r="CR182" i="19"/>
  <c r="CU182" i="19" s="1"/>
  <c r="CD182" i="19"/>
  <c r="CG182" i="19" s="1"/>
  <c r="BP182" i="19"/>
  <c r="BS182" i="19" s="1"/>
  <c r="BB182" i="19"/>
  <c r="BE182" i="19" s="1"/>
  <c r="AN182" i="19"/>
  <c r="AQ182" i="19" s="1"/>
  <c r="C97" i="19"/>
  <c r="G96" i="19"/>
  <c r="DE96" i="19"/>
  <c r="BP96" i="19"/>
  <c r="BS96" i="19" s="1"/>
  <c r="AN96" i="19"/>
  <c r="AQ96" i="19" s="1"/>
  <c r="BB96" i="19"/>
  <c r="BE96" i="19" s="1"/>
  <c r="CR96" i="19"/>
  <c r="CU96" i="19" s="1"/>
  <c r="Z96" i="19"/>
  <c r="AC96" i="19" s="1"/>
  <c r="CD96" i="19"/>
  <c r="CG96" i="19" s="1"/>
  <c r="AX265" i="19"/>
  <c r="AZ265" i="19" s="1"/>
  <c r="DH265" i="19" s="1"/>
  <c r="V267" i="19"/>
  <c r="X267" i="19" s="1"/>
  <c r="I267" i="19"/>
  <c r="S267" i="19" s="1"/>
  <c r="U267" i="19" s="1"/>
  <c r="DB265" i="19"/>
  <c r="DD265" i="19" s="1"/>
  <c r="DL265" i="19" s="1"/>
  <c r="BD266" i="19"/>
  <c r="BF266" i="19" s="1"/>
  <c r="BG266" i="19" s="1"/>
  <c r="AB266" i="19"/>
  <c r="AD266" i="19" s="1"/>
  <c r="AE266" i="19" s="1"/>
  <c r="CT266" i="19"/>
  <c r="CV266" i="19" s="1"/>
  <c r="CW266" i="19" s="1"/>
  <c r="BR266" i="19"/>
  <c r="BT266" i="19" s="1"/>
  <c r="BU266" i="19" s="1"/>
  <c r="CF266" i="19"/>
  <c r="CH266" i="19" s="1"/>
  <c r="CI266" i="19" s="1"/>
  <c r="AP266" i="19"/>
  <c r="AR266" i="19" s="1"/>
  <c r="AS266" i="19" s="1"/>
  <c r="AJ265" i="19"/>
  <c r="AL265" i="19" s="1"/>
  <c r="DG265" i="19" s="1"/>
  <c r="BL265" i="19"/>
  <c r="BN265" i="19" s="1"/>
  <c r="DI265" i="19" s="1"/>
  <c r="BL93" i="19"/>
  <c r="BN93" i="19" s="1"/>
  <c r="DI93" i="19" s="1"/>
  <c r="CJ266" i="19"/>
  <c r="CL266" i="19" s="1"/>
  <c r="CM266" i="19" s="1"/>
  <c r="BV266" i="19"/>
  <c r="BX266" i="19" s="1"/>
  <c r="BY266" i="19" s="1"/>
  <c r="AT266" i="19"/>
  <c r="AV266" i="19" s="1"/>
  <c r="AW266" i="19" s="1"/>
  <c r="AF266" i="19"/>
  <c r="AH266" i="19" s="1"/>
  <c r="AI266" i="19" s="1"/>
  <c r="BH266" i="19"/>
  <c r="BJ266" i="19" s="1"/>
  <c r="BK266" i="19" s="1"/>
  <c r="CX266" i="19"/>
  <c r="CZ266" i="19" s="1"/>
  <c r="DA266" i="19" s="1"/>
  <c r="DB179" i="19"/>
  <c r="DD179" i="19" s="1"/>
  <c r="BZ265" i="19"/>
  <c r="CB265" i="19" s="1"/>
  <c r="DJ265" i="19" s="1"/>
  <c r="C269" i="19"/>
  <c r="G268" i="19"/>
  <c r="H268" i="19" s="1"/>
  <c r="DE268" i="19"/>
  <c r="CD268" i="19"/>
  <c r="CG268" i="19" s="1"/>
  <c r="BB268" i="19"/>
  <c r="BE268" i="19" s="1"/>
  <c r="BP268" i="19"/>
  <c r="BS268" i="19" s="1"/>
  <c r="AN268" i="19"/>
  <c r="AQ268" i="19" s="1"/>
  <c r="CR268" i="19"/>
  <c r="CU268" i="19" s="1"/>
  <c r="Z268" i="19"/>
  <c r="AC268" i="19" s="1"/>
  <c r="CN265" i="19"/>
  <c r="CP265" i="19" s="1"/>
  <c r="DK265" i="19" s="1"/>
  <c r="AX179" i="19"/>
  <c r="AZ179" i="19" s="1"/>
  <c r="DH179" i="19" s="1"/>
  <c r="V94" i="19"/>
  <c r="X94" i="19" s="1"/>
  <c r="I94" i="19"/>
  <c r="S94" i="19" s="1"/>
  <c r="U94" i="19" s="1"/>
  <c r="F182" i="19"/>
  <c r="CJ180" i="19"/>
  <c r="CL180" i="19" s="1"/>
  <c r="CM180" i="19" s="1"/>
  <c r="CX180" i="19"/>
  <c r="CZ180" i="19" s="1"/>
  <c r="DA180" i="19" s="1"/>
  <c r="AF180" i="19"/>
  <c r="AH180" i="19" s="1"/>
  <c r="AI180" i="19" s="1"/>
  <c r="BV180" i="19"/>
  <c r="BX180" i="19" s="1"/>
  <c r="BY180" i="19" s="1"/>
  <c r="AT180" i="19"/>
  <c r="AV180" i="19" s="1"/>
  <c r="AW180" i="19" s="1"/>
  <c r="BH180" i="19"/>
  <c r="BJ180" i="19" s="1"/>
  <c r="BK180" i="19" s="1"/>
  <c r="BR180" i="19" l="1"/>
  <c r="BT180" i="19" s="1"/>
  <c r="BU180" i="19" s="1"/>
  <c r="BZ180" i="19" s="1"/>
  <c r="CB180" i="19" s="1"/>
  <c r="AP180" i="19"/>
  <c r="AR180" i="19" s="1"/>
  <c r="AS180" i="19" s="1"/>
  <c r="BD180" i="19"/>
  <c r="BF180" i="19" s="1"/>
  <c r="BG180" i="19" s="1"/>
  <c r="CF180" i="19"/>
  <c r="CH180" i="19" s="1"/>
  <c r="CI180" i="19" s="1"/>
  <c r="CN180" i="19" s="1"/>
  <c r="CP180" i="19" s="1"/>
  <c r="AB180" i="19"/>
  <c r="AD180" i="19" s="1"/>
  <c r="AE180" i="19" s="1"/>
  <c r="AJ180" i="19" s="1"/>
  <c r="AL180" i="19" s="1"/>
  <c r="DG180" i="19" s="1"/>
  <c r="F97" i="19"/>
  <c r="H96" i="19"/>
  <c r="V96" i="19" s="1"/>
  <c r="X96" i="19" s="1"/>
  <c r="I95" i="19"/>
  <c r="S95" i="19" s="1"/>
  <c r="U95" i="19" s="1"/>
  <c r="AB95" i="19" s="1"/>
  <c r="AD95" i="19" s="1"/>
  <c r="AE95" i="19" s="1"/>
  <c r="H182" i="19"/>
  <c r="I182" i="19" s="1"/>
  <c r="S182" i="19" s="1"/>
  <c r="U182" i="19" s="1"/>
  <c r="BL266" i="19"/>
  <c r="BN266" i="19" s="1"/>
  <c r="DI266" i="19" s="1"/>
  <c r="AJ266" i="19"/>
  <c r="AL266" i="19" s="1"/>
  <c r="DG266" i="19" s="1"/>
  <c r="BZ266" i="19"/>
  <c r="CB266" i="19" s="1"/>
  <c r="DJ266" i="19" s="1"/>
  <c r="AX180" i="19"/>
  <c r="AZ180" i="19" s="1"/>
  <c r="DH180" i="19" s="1"/>
  <c r="CN266" i="19"/>
  <c r="CP266" i="19" s="1"/>
  <c r="DK266" i="19" s="1"/>
  <c r="DB180" i="19"/>
  <c r="DD180" i="19" s="1"/>
  <c r="BL180" i="19"/>
  <c r="BN180" i="19" s="1"/>
  <c r="DI180" i="19" s="1"/>
  <c r="AX266" i="19"/>
  <c r="AZ266" i="19" s="1"/>
  <c r="DH266" i="19" s="1"/>
  <c r="V268" i="19"/>
  <c r="X268" i="19" s="1"/>
  <c r="I268" i="19"/>
  <c r="S268" i="19" s="1"/>
  <c r="U268" i="19" s="1"/>
  <c r="F269" i="19"/>
  <c r="C270" i="19"/>
  <c r="G269" i="19"/>
  <c r="DE269" i="19"/>
  <c r="BP269" i="19"/>
  <c r="BS269" i="19" s="1"/>
  <c r="BB269" i="19"/>
  <c r="BE269" i="19" s="1"/>
  <c r="AN269" i="19"/>
  <c r="AQ269" i="19" s="1"/>
  <c r="Z269" i="19"/>
  <c r="AC269" i="19" s="1"/>
  <c r="CR269" i="19"/>
  <c r="CU269" i="19" s="1"/>
  <c r="CD269" i="19"/>
  <c r="CG269" i="19" s="1"/>
  <c r="G183" i="19"/>
  <c r="C184" i="19"/>
  <c r="DE183" i="19"/>
  <c r="AN183" i="19"/>
  <c r="AQ183" i="19" s="1"/>
  <c r="BB183" i="19"/>
  <c r="BE183" i="19" s="1"/>
  <c r="BP183" i="19"/>
  <c r="BS183" i="19" s="1"/>
  <c r="CR183" i="19"/>
  <c r="CU183" i="19" s="1"/>
  <c r="CD183" i="19"/>
  <c r="CG183" i="19" s="1"/>
  <c r="Z183" i="19"/>
  <c r="AC183" i="19" s="1"/>
  <c r="AP94" i="19"/>
  <c r="AR94" i="19" s="1"/>
  <c r="AS94" i="19" s="1"/>
  <c r="BD94" i="19"/>
  <c r="BF94" i="19" s="1"/>
  <c r="BG94" i="19" s="1"/>
  <c r="AB94" i="19"/>
  <c r="AD94" i="19" s="1"/>
  <c r="AE94" i="19" s="1"/>
  <c r="BR94" i="19"/>
  <c r="BT94" i="19" s="1"/>
  <c r="BU94" i="19" s="1"/>
  <c r="CF94" i="19"/>
  <c r="CH94" i="19" s="1"/>
  <c r="CI94" i="19" s="1"/>
  <c r="CT94" i="19"/>
  <c r="CV94" i="19" s="1"/>
  <c r="CW94" i="19" s="1"/>
  <c r="DB266" i="19"/>
  <c r="DD266" i="19" s="1"/>
  <c r="DL266" i="19" s="1"/>
  <c r="C98" i="19"/>
  <c r="G97" i="19"/>
  <c r="H97" i="19" s="1"/>
  <c r="DE97" i="19"/>
  <c r="AN97" i="19"/>
  <c r="AQ97" i="19" s="1"/>
  <c r="BB97" i="19"/>
  <c r="BE97" i="19" s="1"/>
  <c r="Z97" i="19"/>
  <c r="AC97" i="19" s="1"/>
  <c r="BP97" i="19"/>
  <c r="BS97" i="19" s="1"/>
  <c r="CR97" i="19"/>
  <c r="CU97" i="19" s="1"/>
  <c r="CD97" i="19"/>
  <c r="CG97" i="19" s="1"/>
  <c r="CX94" i="19"/>
  <c r="CZ94" i="19" s="1"/>
  <c r="DA94" i="19" s="1"/>
  <c r="BH94" i="19"/>
  <c r="BJ94" i="19" s="1"/>
  <c r="BK94" i="19" s="1"/>
  <c r="AT94" i="19"/>
  <c r="AV94" i="19" s="1"/>
  <c r="AW94" i="19" s="1"/>
  <c r="BV94" i="19"/>
  <c r="BX94" i="19" s="1"/>
  <c r="BY94" i="19" s="1"/>
  <c r="AF94" i="19"/>
  <c r="AH94" i="19" s="1"/>
  <c r="AI94" i="19" s="1"/>
  <c r="CJ94" i="19"/>
  <c r="CL94" i="19" s="1"/>
  <c r="CM94" i="19" s="1"/>
  <c r="F183" i="19"/>
  <c r="BR95" i="19"/>
  <c r="BT95" i="19" s="1"/>
  <c r="BU95" i="19" s="1"/>
  <c r="CF95" i="19"/>
  <c r="CH95" i="19" s="1"/>
  <c r="CI95" i="19" s="1"/>
  <c r="AF95" i="19"/>
  <c r="AH95" i="19" s="1"/>
  <c r="AI95" i="19" s="1"/>
  <c r="BH95" i="19"/>
  <c r="BJ95" i="19" s="1"/>
  <c r="BK95" i="19" s="1"/>
  <c r="CJ95" i="19"/>
  <c r="CL95" i="19" s="1"/>
  <c r="CM95" i="19" s="1"/>
  <c r="AT95" i="19"/>
  <c r="AV95" i="19" s="1"/>
  <c r="AW95" i="19" s="1"/>
  <c r="BV95" i="19"/>
  <c r="BX95" i="19" s="1"/>
  <c r="BY95" i="19" s="1"/>
  <c r="CX95" i="19"/>
  <c r="CZ95" i="19" s="1"/>
  <c r="DA95" i="19" s="1"/>
  <c r="CF267" i="19"/>
  <c r="CH267" i="19" s="1"/>
  <c r="CI267" i="19" s="1"/>
  <c r="BR267" i="19"/>
  <c r="BT267" i="19" s="1"/>
  <c r="BU267" i="19" s="1"/>
  <c r="CT267" i="19"/>
  <c r="CV267" i="19" s="1"/>
  <c r="CW267" i="19" s="1"/>
  <c r="AB267" i="19"/>
  <c r="AD267" i="19" s="1"/>
  <c r="AE267" i="19" s="1"/>
  <c r="AP267" i="19"/>
  <c r="AR267" i="19" s="1"/>
  <c r="AS267" i="19" s="1"/>
  <c r="BD267" i="19"/>
  <c r="BF267" i="19" s="1"/>
  <c r="BG267" i="19" s="1"/>
  <c r="V181" i="19"/>
  <c r="X181" i="19" s="1"/>
  <c r="I181" i="19"/>
  <c r="S181" i="19" s="1"/>
  <c r="U181" i="19" s="1"/>
  <c r="AT267" i="19"/>
  <c r="AV267" i="19" s="1"/>
  <c r="AW267" i="19" s="1"/>
  <c r="CJ267" i="19"/>
  <c r="CL267" i="19" s="1"/>
  <c r="CM267" i="19" s="1"/>
  <c r="CX267" i="19"/>
  <c r="CZ267" i="19" s="1"/>
  <c r="DA267" i="19" s="1"/>
  <c r="BH267" i="19"/>
  <c r="BJ267" i="19" s="1"/>
  <c r="BK267" i="19" s="1"/>
  <c r="BV267" i="19"/>
  <c r="BX267" i="19" s="1"/>
  <c r="BY267" i="19" s="1"/>
  <c r="AF267" i="19"/>
  <c r="AH267" i="19" s="1"/>
  <c r="AI267" i="19" s="1"/>
  <c r="AM20" i="25"/>
  <c r="BE20" i="25"/>
  <c r="AA20" i="25"/>
  <c r="BK20" i="25"/>
  <c r="AS20" i="25"/>
  <c r="C20" i="25"/>
  <c r="AG20" i="25"/>
  <c r="O20" i="25"/>
  <c r="AY20" i="25"/>
  <c r="F98" i="19" l="1"/>
  <c r="CD1" i="6"/>
  <c r="AJ12" i="6"/>
  <c r="CF1" i="6"/>
  <c r="AT12" i="6"/>
  <c r="CB1" i="6"/>
  <c r="Z12" i="6"/>
  <c r="CC1" i="6"/>
  <c r="AE12" i="6"/>
  <c r="CE1" i="6"/>
  <c r="AO12" i="6"/>
  <c r="CT95" i="19"/>
  <c r="CV95" i="19" s="1"/>
  <c r="CW95" i="19" s="1"/>
  <c r="DB95" i="19" s="1"/>
  <c r="DD95" i="19" s="1"/>
  <c r="DL95" i="19" s="1"/>
  <c r="BD95" i="19"/>
  <c r="BF95" i="19" s="1"/>
  <c r="BG95" i="19" s="1"/>
  <c r="BL95" i="19" s="1"/>
  <c r="BN95" i="19" s="1"/>
  <c r="DI95" i="19" s="1"/>
  <c r="AP95" i="19"/>
  <c r="AR95" i="19" s="1"/>
  <c r="AS95" i="19" s="1"/>
  <c r="AX95" i="19" s="1"/>
  <c r="AZ95" i="19" s="1"/>
  <c r="DH95" i="19" s="1"/>
  <c r="V182" i="19"/>
  <c r="X182" i="19" s="1"/>
  <c r="AT182" i="19" s="1"/>
  <c r="AV182" i="19" s="1"/>
  <c r="AW182" i="19" s="1"/>
  <c r="I96" i="19"/>
  <c r="S96" i="19" s="1"/>
  <c r="U96" i="19" s="1"/>
  <c r="BR96" i="19" s="1"/>
  <c r="BT96" i="19" s="1"/>
  <c r="BU96" i="19" s="1"/>
  <c r="AX94" i="19"/>
  <c r="AZ94" i="19" s="1"/>
  <c r="DH94" i="19" s="1"/>
  <c r="BL94" i="19"/>
  <c r="BN94" i="19" s="1"/>
  <c r="DI94" i="19" s="1"/>
  <c r="AJ94" i="19"/>
  <c r="AL94" i="19" s="1"/>
  <c r="DG94" i="19" s="1"/>
  <c r="H183" i="19"/>
  <c r="I183" i="19" s="1"/>
  <c r="S183" i="19" s="1"/>
  <c r="U183" i="19" s="1"/>
  <c r="CN94" i="19"/>
  <c r="CP94" i="19" s="1"/>
  <c r="DK94" i="19" s="1"/>
  <c r="BZ94" i="19"/>
  <c r="CB94" i="19" s="1"/>
  <c r="DJ94" i="19" s="1"/>
  <c r="H269" i="19"/>
  <c r="I269" i="19" s="1"/>
  <c r="S269" i="19" s="1"/>
  <c r="U269" i="19" s="1"/>
  <c r="DB94" i="19"/>
  <c r="DD94" i="19" s="1"/>
  <c r="DL94" i="19" s="1"/>
  <c r="CN95" i="19"/>
  <c r="CP95" i="19" s="1"/>
  <c r="DK95" i="19" s="1"/>
  <c r="BZ95" i="19"/>
  <c r="CB95" i="19" s="1"/>
  <c r="DJ95" i="19" s="1"/>
  <c r="DB267" i="19"/>
  <c r="DD267" i="19" s="1"/>
  <c r="DL267" i="19" s="1"/>
  <c r="AJ95" i="19"/>
  <c r="AL95" i="19" s="1"/>
  <c r="DG95" i="19" s="1"/>
  <c r="BL267" i="19"/>
  <c r="BN267" i="19" s="1"/>
  <c r="DI267" i="19" s="1"/>
  <c r="CN267" i="19"/>
  <c r="CP267" i="19" s="1"/>
  <c r="DK267" i="19" s="1"/>
  <c r="F184" i="19"/>
  <c r="AJ267" i="19"/>
  <c r="AL267" i="19" s="1"/>
  <c r="DG267" i="19" s="1"/>
  <c r="BZ267" i="19"/>
  <c r="CB267" i="19" s="1"/>
  <c r="DJ267" i="19" s="1"/>
  <c r="BD181" i="19"/>
  <c r="BF181" i="19" s="1"/>
  <c r="BG181" i="19" s="1"/>
  <c r="BR181" i="19"/>
  <c r="BT181" i="19" s="1"/>
  <c r="BU181" i="19" s="1"/>
  <c r="CF181" i="19"/>
  <c r="CH181" i="19" s="1"/>
  <c r="CI181" i="19" s="1"/>
  <c r="CT181" i="19"/>
  <c r="CV181" i="19" s="1"/>
  <c r="CW181" i="19" s="1"/>
  <c r="AB181" i="19"/>
  <c r="AD181" i="19" s="1"/>
  <c r="AE181" i="19" s="1"/>
  <c r="AP181" i="19"/>
  <c r="AR181" i="19" s="1"/>
  <c r="AS181" i="19" s="1"/>
  <c r="V97" i="19"/>
  <c r="X97" i="19" s="1"/>
  <c r="I97" i="19"/>
  <c r="S97" i="19" s="1"/>
  <c r="U97" i="19" s="1"/>
  <c r="AX267" i="19"/>
  <c r="AZ267" i="19" s="1"/>
  <c r="DH267" i="19" s="1"/>
  <c r="BH181" i="19"/>
  <c r="BJ181" i="19" s="1"/>
  <c r="BK181" i="19" s="1"/>
  <c r="CX181" i="19"/>
  <c r="CZ181" i="19" s="1"/>
  <c r="DA181" i="19" s="1"/>
  <c r="AF181" i="19"/>
  <c r="AH181" i="19" s="1"/>
  <c r="AI181" i="19" s="1"/>
  <c r="CJ181" i="19"/>
  <c r="CL181" i="19" s="1"/>
  <c r="CM181" i="19" s="1"/>
  <c r="BV181" i="19"/>
  <c r="BX181" i="19" s="1"/>
  <c r="BY181" i="19" s="1"/>
  <c r="AT181" i="19"/>
  <c r="AV181" i="19" s="1"/>
  <c r="AW181" i="19" s="1"/>
  <c r="G98" i="19"/>
  <c r="H98" i="19" s="1"/>
  <c r="C99" i="19"/>
  <c r="DE98" i="19"/>
  <c r="CR98" i="19"/>
  <c r="CU98" i="19" s="1"/>
  <c r="Z98" i="19"/>
  <c r="AC98" i="19" s="1"/>
  <c r="BP98" i="19"/>
  <c r="BS98" i="19" s="1"/>
  <c r="AN98" i="19"/>
  <c r="AQ98" i="19" s="1"/>
  <c r="BB98" i="19"/>
  <c r="BE98" i="19" s="1"/>
  <c r="CD98" i="19"/>
  <c r="CG98" i="19" s="1"/>
  <c r="CF182" i="19"/>
  <c r="CH182" i="19" s="1"/>
  <c r="CI182" i="19" s="1"/>
  <c r="CT182" i="19"/>
  <c r="CV182" i="19" s="1"/>
  <c r="CW182" i="19" s="1"/>
  <c r="AB182" i="19"/>
  <c r="AD182" i="19" s="1"/>
  <c r="AE182" i="19" s="1"/>
  <c r="BR182" i="19"/>
  <c r="BT182" i="19" s="1"/>
  <c r="BU182" i="19" s="1"/>
  <c r="BD182" i="19"/>
  <c r="BF182" i="19" s="1"/>
  <c r="BG182" i="19" s="1"/>
  <c r="AP182" i="19"/>
  <c r="AR182" i="19" s="1"/>
  <c r="AS182" i="19" s="1"/>
  <c r="G270" i="19"/>
  <c r="C271" i="19"/>
  <c r="DE270" i="19"/>
  <c r="BP270" i="19"/>
  <c r="BS270" i="19" s="1"/>
  <c r="BB270" i="19"/>
  <c r="BE270" i="19" s="1"/>
  <c r="CD270" i="19"/>
  <c r="CG270" i="19" s="1"/>
  <c r="AN270" i="19"/>
  <c r="AQ270" i="19" s="1"/>
  <c r="Z270" i="19"/>
  <c r="AC270" i="19" s="1"/>
  <c r="CR270" i="19"/>
  <c r="CU270" i="19" s="1"/>
  <c r="C185" i="19"/>
  <c r="G184" i="19"/>
  <c r="DE184" i="19"/>
  <c r="AN184" i="19"/>
  <c r="AQ184" i="19" s="1"/>
  <c r="Z184" i="19"/>
  <c r="AC184" i="19" s="1"/>
  <c r="CR184" i="19"/>
  <c r="CU184" i="19" s="1"/>
  <c r="BB184" i="19"/>
  <c r="BE184" i="19" s="1"/>
  <c r="CD184" i="19"/>
  <c r="CG184" i="19" s="1"/>
  <c r="BP184" i="19"/>
  <c r="BS184" i="19" s="1"/>
  <c r="BV96" i="19"/>
  <c r="BX96" i="19" s="1"/>
  <c r="BY96" i="19" s="1"/>
  <c r="BH96" i="19"/>
  <c r="BJ96" i="19" s="1"/>
  <c r="BK96" i="19" s="1"/>
  <c r="CJ96" i="19"/>
  <c r="CL96" i="19" s="1"/>
  <c r="CM96" i="19" s="1"/>
  <c r="AT96" i="19"/>
  <c r="AV96" i="19" s="1"/>
  <c r="AW96" i="19" s="1"/>
  <c r="CX96" i="19"/>
  <c r="CZ96" i="19" s="1"/>
  <c r="DA96" i="19" s="1"/>
  <c r="AF96" i="19"/>
  <c r="AH96" i="19" s="1"/>
  <c r="AI96" i="19" s="1"/>
  <c r="F270" i="19"/>
  <c r="BR268" i="19"/>
  <c r="BT268" i="19" s="1"/>
  <c r="BU268" i="19" s="1"/>
  <c r="AB268" i="19"/>
  <c r="AD268" i="19" s="1"/>
  <c r="AE268" i="19" s="1"/>
  <c r="CF268" i="19"/>
  <c r="CH268" i="19" s="1"/>
  <c r="CI268" i="19" s="1"/>
  <c r="BD268" i="19"/>
  <c r="BF268" i="19" s="1"/>
  <c r="BG268" i="19" s="1"/>
  <c r="CT268" i="19"/>
  <c r="CV268" i="19" s="1"/>
  <c r="CW268" i="19" s="1"/>
  <c r="AP268" i="19"/>
  <c r="AR268" i="19" s="1"/>
  <c r="AS268" i="19" s="1"/>
  <c r="BV268" i="19"/>
  <c r="BX268" i="19" s="1"/>
  <c r="BY268" i="19" s="1"/>
  <c r="BH268" i="19"/>
  <c r="BJ268" i="19" s="1"/>
  <c r="BK268" i="19" s="1"/>
  <c r="CX268" i="19"/>
  <c r="CZ268" i="19" s="1"/>
  <c r="DA268" i="19" s="1"/>
  <c r="AF268" i="19"/>
  <c r="AH268" i="19" s="1"/>
  <c r="AI268" i="19" s="1"/>
  <c r="AT268" i="19"/>
  <c r="AV268" i="19" s="1"/>
  <c r="AW268" i="19" s="1"/>
  <c r="CJ268" i="19"/>
  <c r="CL268" i="19" s="1"/>
  <c r="CM268" i="19" s="1"/>
  <c r="I20" i="25"/>
  <c r="J155" i="33"/>
  <c r="U20" i="25"/>
  <c r="AA68" i="25"/>
  <c r="C68" i="25"/>
  <c r="AM68" i="25"/>
  <c r="AS68" i="25"/>
  <c r="BK68" i="25"/>
  <c r="AY68" i="25"/>
  <c r="BE68" i="25"/>
  <c r="AG68" i="25"/>
  <c r="O68" i="25"/>
  <c r="CX182" i="19" l="1"/>
  <c r="CZ182" i="19" s="1"/>
  <c r="DA182" i="19" s="1"/>
  <c r="CE11" i="6"/>
  <c r="CE28" i="6" s="1"/>
  <c r="CE15" i="6"/>
  <c r="CE32" i="6" s="1"/>
  <c r="CE18" i="6"/>
  <c r="CE35" i="6" s="1"/>
  <c r="CE7" i="6"/>
  <c r="CE24" i="6" s="1"/>
  <c r="CE10" i="6"/>
  <c r="CE27" i="6" s="1"/>
  <c r="CE16" i="6"/>
  <c r="CE33" i="6" s="1"/>
  <c r="CE4" i="6"/>
  <c r="CE21" i="6" s="1"/>
  <c r="CE17" i="6"/>
  <c r="CE34" i="6" s="1"/>
  <c r="CE5" i="6"/>
  <c r="CE22" i="6" s="1"/>
  <c r="CE14" i="6"/>
  <c r="CE31" i="6" s="1"/>
  <c r="CE8" i="6"/>
  <c r="CE25" i="6" s="1"/>
  <c r="CE9" i="6"/>
  <c r="CE26" i="6" s="1"/>
  <c r="CE13" i="6"/>
  <c r="CE30" i="6" s="1"/>
  <c r="CE3" i="6"/>
  <c r="CE20" i="6" s="1"/>
  <c r="CE12" i="6"/>
  <c r="CE29" i="6" s="1"/>
  <c r="CE2" i="6"/>
  <c r="CE19" i="6" s="1"/>
  <c r="CE6" i="6"/>
  <c r="CE23" i="6" s="1"/>
  <c r="AF12" i="6"/>
  <c r="AZ12" i="6"/>
  <c r="CC7" i="6"/>
  <c r="CC24" i="6" s="1"/>
  <c r="CC8" i="6"/>
  <c r="CC25" i="6" s="1"/>
  <c r="CC12" i="6"/>
  <c r="CC29" i="6" s="1"/>
  <c r="CC10" i="6"/>
  <c r="CC27" i="6" s="1"/>
  <c r="CC13" i="6"/>
  <c r="CC30" i="6" s="1"/>
  <c r="CC4" i="6"/>
  <c r="CC21" i="6" s="1"/>
  <c r="CC11" i="6"/>
  <c r="CC28" i="6" s="1"/>
  <c r="CC17" i="6"/>
  <c r="CC34" i="6" s="1"/>
  <c r="CC14" i="6"/>
  <c r="CC31" i="6" s="1"/>
  <c r="CC18" i="6"/>
  <c r="CC35" i="6" s="1"/>
  <c r="CC15" i="6"/>
  <c r="CC32" i="6" s="1"/>
  <c r="CC3" i="6"/>
  <c r="CC20" i="6" s="1"/>
  <c r="CC2" i="6"/>
  <c r="CC19" i="6" s="1"/>
  <c r="CC6" i="6"/>
  <c r="CC23" i="6" s="1"/>
  <c r="CC16" i="6"/>
  <c r="CC33" i="6" s="1"/>
  <c r="CC5" i="6"/>
  <c r="CC22" i="6" s="1"/>
  <c r="CC9" i="6"/>
  <c r="CC26" i="6" s="1"/>
  <c r="AA12" i="6"/>
  <c r="AW12" i="6"/>
  <c r="CB4" i="6"/>
  <c r="CB21" i="6" s="1"/>
  <c r="CB8" i="6"/>
  <c r="CB25" i="6" s="1"/>
  <c r="CB15" i="6"/>
  <c r="CB32" i="6" s="1"/>
  <c r="CB16" i="6"/>
  <c r="CB33" i="6" s="1"/>
  <c r="CB13" i="6"/>
  <c r="CB30" i="6" s="1"/>
  <c r="CB11" i="6"/>
  <c r="CB28" i="6" s="1"/>
  <c r="CB17" i="6"/>
  <c r="CB34" i="6" s="1"/>
  <c r="CB14" i="6"/>
  <c r="CB31" i="6" s="1"/>
  <c r="CB5" i="6"/>
  <c r="CB22" i="6" s="1"/>
  <c r="CB7" i="6"/>
  <c r="CB24" i="6" s="1"/>
  <c r="CB3" i="6"/>
  <c r="CB20" i="6" s="1"/>
  <c r="CB6" i="6"/>
  <c r="CB23" i="6" s="1"/>
  <c r="CB12" i="6"/>
  <c r="CB29" i="6" s="1"/>
  <c r="CB10" i="6"/>
  <c r="CB27" i="6" s="1"/>
  <c r="CB2" i="6"/>
  <c r="CB19" i="6" s="1"/>
  <c r="CB18" i="6"/>
  <c r="CB35" i="6" s="1"/>
  <c r="CB9" i="6"/>
  <c r="CB26" i="6" s="1"/>
  <c r="AU12" i="6"/>
  <c r="BI12" i="6"/>
  <c r="CF4" i="6"/>
  <c r="CF21" i="6" s="1"/>
  <c r="CF18" i="6"/>
  <c r="CF35" i="6" s="1"/>
  <c r="CF15" i="6"/>
  <c r="CF32" i="6" s="1"/>
  <c r="CF8" i="6"/>
  <c r="CF25" i="6" s="1"/>
  <c r="CF12" i="6"/>
  <c r="CF29" i="6" s="1"/>
  <c r="CF10" i="6"/>
  <c r="CF27" i="6" s="1"/>
  <c r="CF3" i="6"/>
  <c r="CF20" i="6" s="1"/>
  <c r="CF16" i="6"/>
  <c r="CF33" i="6" s="1"/>
  <c r="CF13" i="6"/>
  <c r="CF30" i="6" s="1"/>
  <c r="CF17" i="6"/>
  <c r="CF34" i="6" s="1"/>
  <c r="CF14" i="6"/>
  <c r="CF31" i="6" s="1"/>
  <c r="CF7" i="6"/>
  <c r="CF24" i="6" s="1"/>
  <c r="CF11" i="6"/>
  <c r="CF28" i="6" s="1"/>
  <c r="CF6" i="6"/>
  <c r="CF23" i="6" s="1"/>
  <c r="CF2" i="6"/>
  <c r="CF19" i="6" s="1"/>
  <c r="CF9" i="6"/>
  <c r="CF26" i="6" s="1"/>
  <c r="CF5" i="6"/>
  <c r="CF22" i="6" s="1"/>
  <c r="BC12" i="6"/>
  <c r="AK12" i="6"/>
  <c r="BF12" i="6"/>
  <c r="AP12" i="6"/>
  <c r="CD10" i="6"/>
  <c r="CD27" i="6" s="1"/>
  <c r="CD18" i="6"/>
  <c r="CD35" i="6" s="1"/>
  <c r="CD12" i="6"/>
  <c r="CD29" i="6" s="1"/>
  <c r="CD16" i="6"/>
  <c r="CD33" i="6" s="1"/>
  <c r="CD2" i="6"/>
  <c r="CD19" i="6" s="1"/>
  <c r="CD4" i="6"/>
  <c r="CD21" i="6" s="1"/>
  <c r="CD11" i="6"/>
  <c r="CD28" i="6" s="1"/>
  <c r="CD7" i="6"/>
  <c r="CD24" i="6" s="1"/>
  <c r="CD17" i="6"/>
  <c r="CD34" i="6" s="1"/>
  <c r="CD14" i="6"/>
  <c r="CD31" i="6" s="1"/>
  <c r="CD5" i="6"/>
  <c r="CD22" i="6" s="1"/>
  <c r="CD9" i="6"/>
  <c r="CD26" i="6" s="1"/>
  <c r="CD8" i="6"/>
  <c r="CD25" i="6" s="1"/>
  <c r="CD3" i="6"/>
  <c r="CD20" i="6" s="1"/>
  <c r="CD13" i="6"/>
  <c r="CD30" i="6" s="1"/>
  <c r="CD15" i="6"/>
  <c r="CD32" i="6" s="1"/>
  <c r="CD6" i="6"/>
  <c r="CD23" i="6" s="1"/>
  <c r="CF96" i="19"/>
  <c r="CH96" i="19" s="1"/>
  <c r="CI96" i="19" s="1"/>
  <c r="V183" i="19"/>
  <c r="X183" i="19" s="1"/>
  <c r="BD96" i="19"/>
  <c r="BF96" i="19" s="1"/>
  <c r="BG96" i="19" s="1"/>
  <c r="AP96" i="19"/>
  <c r="AR96" i="19" s="1"/>
  <c r="AS96" i="19" s="1"/>
  <c r="AB96" i="19"/>
  <c r="AD96" i="19" s="1"/>
  <c r="AE96" i="19" s="1"/>
  <c r="CT96" i="19"/>
  <c r="CV96" i="19" s="1"/>
  <c r="CW96" i="19" s="1"/>
  <c r="DB96" i="19" s="1"/>
  <c r="DD96" i="19" s="1"/>
  <c r="DL96" i="19" s="1"/>
  <c r="BH182" i="19"/>
  <c r="BJ182" i="19" s="1"/>
  <c r="BK182" i="19" s="1"/>
  <c r="BL182" i="19" s="1"/>
  <c r="BN182" i="19" s="1"/>
  <c r="DI182" i="19" s="1"/>
  <c r="CJ182" i="19"/>
  <c r="CL182" i="19" s="1"/>
  <c r="CM182" i="19" s="1"/>
  <c r="CN182" i="19" s="1"/>
  <c r="CP182" i="19" s="1"/>
  <c r="BV182" i="19"/>
  <c r="BX182" i="19" s="1"/>
  <c r="BY182" i="19" s="1"/>
  <c r="BZ182" i="19" s="1"/>
  <c r="CB182" i="19" s="1"/>
  <c r="AF182" i="19"/>
  <c r="AH182" i="19" s="1"/>
  <c r="AI182" i="19" s="1"/>
  <c r="AJ182" i="19" s="1"/>
  <c r="AL182" i="19" s="1"/>
  <c r="DG182" i="19" s="1"/>
  <c r="AX96" i="19"/>
  <c r="AZ96" i="19" s="1"/>
  <c r="DH96" i="19" s="1"/>
  <c r="V269" i="19"/>
  <c r="X269" i="19" s="1"/>
  <c r="CJ269" i="19" s="1"/>
  <c r="CL269" i="19" s="1"/>
  <c r="CM269" i="19" s="1"/>
  <c r="BL268" i="19"/>
  <c r="BN268" i="19" s="1"/>
  <c r="DI268" i="19" s="1"/>
  <c r="AX181" i="19"/>
  <c r="AZ181" i="19" s="1"/>
  <c r="DH181" i="19" s="1"/>
  <c r="AJ181" i="19"/>
  <c r="AL181" i="19" s="1"/>
  <c r="DG181" i="19" s="1"/>
  <c r="DB181" i="19"/>
  <c r="DD181" i="19" s="1"/>
  <c r="F185" i="19"/>
  <c r="DB268" i="19"/>
  <c r="DD268" i="19" s="1"/>
  <c r="DL268" i="19" s="1"/>
  <c r="CN96" i="19"/>
  <c r="CP96" i="19" s="1"/>
  <c r="DK96" i="19" s="1"/>
  <c r="AX268" i="19"/>
  <c r="AZ268" i="19" s="1"/>
  <c r="DH268" i="19" s="1"/>
  <c r="BL96" i="19"/>
  <c r="BN96" i="19" s="1"/>
  <c r="DI96" i="19" s="1"/>
  <c r="BZ181" i="19"/>
  <c r="CB181" i="19" s="1"/>
  <c r="BL181" i="19"/>
  <c r="BN181" i="19" s="1"/>
  <c r="DI181" i="19" s="1"/>
  <c r="AX182" i="19"/>
  <c r="AZ182" i="19" s="1"/>
  <c r="DH182" i="19" s="1"/>
  <c r="CN268" i="19"/>
  <c r="CP268" i="19" s="1"/>
  <c r="DK268" i="19" s="1"/>
  <c r="DB182" i="19"/>
  <c r="DD182" i="19" s="1"/>
  <c r="V98" i="19"/>
  <c r="X98" i="19" s="1"/>
  <c r="I98" i="19"/>
  <c r="S98" i="19" s="1"/>
  <c r="U98" i="19" s="1"/>
  <c r="H270" i="19"/>
  <c r="G185" i="19"/>
  <c r="C186" i="19"/>
  <c r="DE185" i="19"/>
  <c r="AN185" i="19"/>
  <c r="AQ185" i="19" s="1"/>
  <c r="Z185" i="19"/>
  <c r="AC185" i="19" s="1"/>
  <c r="BP185" i="19"/>
  <c r="BS185" i="19" s="1"/>
  <c r="CR185" i="19"/>
  <c r="CU185" i="19" s="1"/>
  <c r="CD185" i="19"/>
  <c r="CG185" i="19" s="1"/>
  <c r="BB185" i="19"/>
  <c r="BE185" i="19" s="1"/>
  <c r="AJ96" i="19"/>
  <c r="AL96" i="19" s="1"/>
  <c r="DG96" i="19" s="1"/>
  <c r="C272" i="19"/>
  <c r="G271" i="19"/>
  <c r="DE271" i="19"/>
  <c r="AN271" i="19"/>
  <c r="AQ271" i="19" s="1"/>
  <c r="BB271" i="19"/>
  <c r="BE271" i="19" s="1"/>
  <c r="Z271" i="19"/>
  <c r="AC271" i="19" s="1"/>
  <c r="CR271" i="19"/>
  <c r="CU271" i="19" s="1"/>
  <c r="CD271" i="19"/>
  <c r="CG271" i="19" s="1"/>
  <c r="BP271" i="19"/>
  <c r="BS271" i="19" s="1"/>
  <c r="CN181" i="19"/>
  <c r="CP181" i="19" s="1"/>
  <c r="AJ268" i="19"/>
  <c r="AL268" i="19" s="1"/>
  <c r="DG268" i="19" s="1"/>
  <c r="BZ96" i="19"/>
  <c r="CB96" i="19" s="1"/>
  <c r="DJ96" i="19" s="1"/>
  <c r="H184" i="19"/>
  <c r="CF269" i="19"/>
  <c r="CH269" i="19" s="1"/>
  <c r="CI269" i="19" s="1"/>
  <c r="AP269" i="19"/>
  <c r="AR269" i="19" s="1"/>
  <c r="AS269" i="19" s="1"/>
  <c r="BD269" i="19"/>
  <c r="BF269" i="19" s="1"/>
  <c r="BG269" i="19" s="1"/>
  <c r="AB269" i="19"/>
  <c r="AD269" i="19" s="1"/>
  <c r="AE269" i="19" s="1"/>
  <c r="BR269" i="19"/>
  <c r="BT269" i="19" s="1"/>
  <c r="BU269" i="19" s="1"/>
  <c r="CT269" i="19"/>
  <c r="CV269" i="19" s="1"/>
  <c r="CW269" i="19" s="1"/>
  <c r="BZ268" i="19"/>
  <c r="CB268" i="19" s="1"/>
  <c r="DJ268" i="19" s="1"/>
  <c r="F271" i="19"/>
  <c r="F99" i="19"/>
  <c r="C100" i="19"/>
  <c r="G99" i="19"/>
  <c r="DE99" i="19"/>
  <c r="BB99" i="19"/>
  <c r="BE99" i="19" s="1"/>
  <c r="Z99" i="19"/>
  <c r="AC99" i="19" s="1"/>
  <c r="CR99" i="19"/>
  <c r="CU99" i="19" s="1"/>
  <c r="CD99" i="19"/>
  <c r="CG99" i="19" s="1"/>
  <c r="AN99" i="19"/>
  <c r="AQ99" i="19" s="1"/>
  <c r="BP99" i="19"/>
  <c r="BS99" i="19" s="1"/>
  <c r="CT183" i="19"/>
  <c r="CV183" i="19" s="1"/>
  <c r="CW183" i="19" s="1"/>
  <c r="AB183" i="19"/>
  <c r="AD183" i="19" s="1"/>
  <c r="AE183" i="19" s="1"/>
  <c r="AP183" i="19"/>
  <c r="AR183" i="19" s="1"/>
  <c r="AS183" i="19" s="1"/>
  <c r="BD183" i="19"/>
  <c r="BF183" i="19" s="1"/>
  <c r="BG183" i="19" s="1"/>
  <c r="BR183" i="19"/>
  <c r="BT183" i="19" s="1"/>
  <c r="BU183" i="19" s="1"/>
  <c r="CF183" i="19"/>
  <c r="CH183" i="19" s="1"/>
  <c r="CI183" i="19" s="1"/>
  <c r="AB97" i="19"/>
  <c r="AD97" i="19" s="1"/>
  <c r="AE97" i="19" s="1"/>
  <c r="AP97" i="19"/>
  <c r="AR97" i="19" s="1"/>
  <c r="AS97" i="19" s="1"/>
  <c r="CF97" i="19"/>
  <c r="CH97" i="19" s="1"/>
  <c r="CI97" i="19" s="1"/>
  <c r="BD97" i="19"/>
  <c r="BF97" i="19" s="1"/>
  <c r="BG97" i="19" s="1"/>
  <c r="BR97" i="19"/>
  <c r="BT97" i="19" s="1"/>
  <c r="BU97" i="19" s="1"/>
  <c r="CT97" i="19"/>
  <c r="CV97" i="19" s="1"/>
  <c r="CW97" i="19" s="1"/>
  <c r="BV183" i="19"/>
  <c r="BX183" i="19" s="1"/>
  <c r="BY183" i="19" s="1"/>
  <c r="CJ183" i="19"/>
  <c r="CL183" i="19" s="1"/>
  <c r="CM183" i="19" s="1"/>
  <c r="BH183" i="19"/>
  <c r="BJ183" i="19" s="1"/>
  <c r="BK183" i="19" s="1"/>
  <c r="CX183" i="19"/>
  <c r="CZ183" i="19" s="1"/>
  <c r="DA183" i="19" s="1"/>
  <c r="AT183" i="19"/>
  <c r="AV183" i="19" s="1"/>
  <c r="AW183" i="19" s="1"/>
  <c r="AF183" i="19"/>
  <c r="AH183" i="19" s="1"/>
  <c r="AI183" i="19" s="1"/>
  <c r="BH97" i="19"/>
  <c r="BJ97" i="19" s="1"/>
  <c r="BK97" i="19" s="1"/>
  <c r="BV97" i="19"/>
  <c r="BX97" i="19" s="1"/>
  <c r="BY97" i="19" s="1"/>
  <c r="CX97" i="19"/>
  <c r="CZ97" i="19" s="1"/>
  <c r="DA97" i="19" s="1"/>
  <c r="CJ97" i="19"/>
  <c r="CL97" i="19" s="1"/>
  <c r="CM97" i="19" s="1"/>
  <c r="AF97" i="19"/>
  <c r="AH97" i="19" s="1"/>
  <c r="AI97" i="19" s="1"/>
  <c r="AT97" i="19"/>
  <c r="AV97" i="19" s="1"/>
  <c r="AW97" i="19" s="1"/>
  <c r="I68" i="25"/>
  <c r="U68" i="25"/>
  <c r="CC36" i="6" l="1"/>
  <c r="CE36" i="6"/>
  <c r="BR12" i="6"/>
  <c r="BS12" i="6" s="1"/>
  <c r="BD12" i="6"/>
  <c r="BX12" i="6"/>
  <c r="BY12" i="6" s="1"/>
  <c r="BJ12" i="6"/>
  <c r="AG16" i="6" a="1"/>
  <c r="AG16" i="6" s="1"/>
  <c r="AG20" i="6" a="1"/>
  <c r="AG20" i="6" s="1"/>
  <c r="AH32" i="6" a="1"/>
  <c r="AH32" i="6" s="1"/>
  <c r="AG43" i="6" a="1"/>
  <c r="AG43" i="6" s="1"/>
  <c r="AH56" i="6" a="1"/>
  <c r="AH56" i="6" s="1"/>
  <c r="AG49" i="6" a="1"/>
  <c r="AG49" i="6" s="1"/>
  <c r="AG51" i="6" a="1"/>
  <c r="AG51" i="6" s="1"/>
  <c r="AH46" i="6" a="1"/>
  <c r="AH46" i="6" s="1"/>
  <c r="AH38" i="6" a="1"/>
  <c r="AH38" i="6" s="1"/>
  <c r="AH16" i="6" a="1"/>
  <c r="AH16" i="6" s="1"/>
  <c r="AG21" i="6" a="1"/>
  <c r="AG21" i="6" s="1"/>
  <c r="AG39" i="6" a="1"/>
  <c r="AG39" i="6" s="1"/>
  <c r="AH41" i="6" a="1"/>
  <c r="AH41" i="6" s="1"/>
  <c r="AG58" i="6" a="1"/>
  <c r="AG58" i="6" s="1"/>
  <c r="AG55" i="6" a="1"/>
  <c r="AG55" i="6" s="1"/>
  <c r="AG14" i="6" a="1"/>
  <c r="AG14" i="6" s="1"/>
  <c r="AH24" i="6" a="1"/>
  <c r="AH24" i="6" s="1"/>
  <c r="AG44" i="6" a="1"/>
  <c r="AG44" i="6" s="1"/>
  <c r="AG53" i="6" a="1"/>
  <c r="AG53" i="6" s="1"/>
  <c r="AH31" i="6" a="1"/>
  <c r="AH31" i="6" s="1"/>
  <c r="AG19" i="6" a="1"/>
  <c r="AG19" i="6" s="1"/>
  <c r="AH21" i="6" a="1"/>
  <c r="AH21" i="6" s="1"/>
  <c r="AH49" i="6" a="1"/>
  <c r="AH49" i="6" s="1"/>
  <c r="AH42" i="6" a="1"/>
  <c r="AH42" i="6" s="1"/>
  <c r="AH50" i="6" a="1"/>
  <c r="AH50" i="6" s="1"/>
  <c r="AH48" i="6" a="1"/>
  <c r="AH48" i="6" s="1"/>
  <c r="AH52" i="6" a="1"/>
  <c r="AH52" i="6" s="1"/>
  <c r="AG18" i="6" a="1"/>
  <c r="AG18" i="6" s="1"/>
  <c r="AH19" i="6" a="1"/>
  <c r="AH19" i="6" s="1"/>
  <c r="AH20" i="6" a="1"/>
  <c r="AH20" i="6" s="1"/>
  <c r="AH28" i="6" a="1"/>
  <c r="AH28" i="6" s="1"/>
  <c r="AH36" i="6" a="1"/>
  <c r="AH36" i="6" s="1"/>
  <c r="AG48" i="6" a="1"/>
  <c r="AG48" i="6" s="1"/>
  <c r="AH53" i="6" a="1"/>
  <c r="AH53" i="6" s="1"/>
  <c r="AG29" i="6" a="1"/>
  <c r="AG29" i="6" s="1"/>
  <c r="AG45" i="6" a="1"/>
  <c r="AG45" i="6" s="1"/>
  <c r="AG35" i="6" a="1"/>
  <c r="AG35" i="6" s="1"/>
  <c r="AG22" i="6" a="1"/>
  <c r="AG22" i="6" s="1"/>
  <c r="AG23" i="6" a="1"/>
  <c r="AG23" i="6" s="1"/>
  <c r="AG37" i="6" a="1"/>
  <c r="AG37" i="6" s="1"/>
  <c r="AG40" i="6" a="1"/>
  <c r="AG40" i="6" s="1"/>
  <c r="AH35" i="6" a="1"/>
  <c r="AH35" i="6" s="1"/>
  <c r="AH57" i="6" a="1"/>
  <c r="AH57" i="6" s="1"/>
  <c r="AH27" i="6" a="1"/>
  <c r="AH27" i="6" s="1"/>
  <c r="AH39" i="6" a="1"/>
  <c r="AH39" i="6" s="1"/>
  <c r="AG46" i="6" a="1"/>
  <c r="AG46" i="6" s="1"/>
  <c r="AH58" i="6" a="1"/>
  <c r="AH58" i="6" s="1"/>
  <c r="AG24" i="6" a="1"/>
  <c r="AG24" i="6" s="1"/>
  <c r="AG30" i="6" a="1"/>
  <c r="AG30" i="6" s="1"/>
  <c r="AH33" i="6" a="1"/>
  <c r="AH33" i="6" s="1"/>
  <c r="AH37" i="6" a="1"/>
  <c r="AH37" i="6" s="1"/>
  <c r="AH54" i="6" a="1"/>
  <c r="AH54" i="6" s="1"/>
  <c r="AH51" i="6" a="1"/>
  <c r="AH51" i="6" s="1"/>
  <c r="AG31" i="6" a="1"/>
  <c r="AG31" i="6" s="1"/>
  <c r="AH22" i="6" a="1"/>
  <c r="AH22" i="6" s="1"/>
  <c r="AG36" i="6" a="1"/>
  <c r="AG36" i="6" s="1"/>
  <c r="AG33" i="6" a="1"/>
  <c r="AG33" i="6" s="1"/>
  <c r="AG56" i="6" a="1"/>
  <c r="AG56" i="6" s="1"/>
  <c r="AG59" i="6" a="1"/>
  <c r="AG59" i="6" s="1"/>
  <c r="AH25" i="6" a="1"/>
  <c r="AH25" i="6" s="1"/>
  <c r="AG32" i="6" a="1"/>
  <c r="AG32" i="6" s="1"/>
  <c r="AH29" i="6" a="1"/>
  <c r="AH29" i="6" s="1"/>
  <c r="AG34" i="6" a="1"/>
  <c r="AG34" i="6" s="1"/>
  <c r="AG52" i="6" a="1"/>
  <c r="AG52" i="6" s="1"/>
  <c r="AG54" i="6" a="1"/>
  <c r="AG54" i="6" s="1"/>
  <c r="AG15" i="6" a="1"/>
  <c r="AG15" i="6" s="1"/>
  <c r="AH14" i="6" a="1"/>
  <c r="AH14" i="6" s="1"/>
  <c r="AH18" i="6" a="1"/>
  <c r="AH18" i="6" s="1"/>
  <c r="AH23" i="6" a="1"/>
  <c r="AH23" i="6" s="1"/>
  <c r="AG38" i="6" a="1"/>
  <c r="AG38" i="6" s="1"/>
  <c r="AH55" i="6" a="1"/>
  <c r="AH55" i="6" s="1"/>
  <c r="AH59" i="6" a="1"/>
  <c r="AH59" i="6" s="1"/>
  <c r="AG26" i="6" a="1"/>
  <c r="AG26" i="6" s="1"/>
  <c r="AH47" i="6" a="1"/>
  <c r="AH47" i="6" s="1"/>
  <c r="AG50" i="6" a="1"/>
  <c r="AG50" i="6" s="1"/>
  <c r="AG17" i="6" a="1"/>
  <c r="AG17" i="6" s="1"/>
  <c r="AG25" i="6" a="1"/>
  <c r="AG25" i="6" s="1"/>
  <c r="AG28" i="6" a="1"/>
  <c r="AG28" i="6" s="1"/>
  <c r="AH34" i="6" a="1"/>
  <c r="AH34" i="6" s="1"/>
  <c r="AG57" i="6" a="1"/>
  <c r="AG57" i="6" s="1"/>
  <c r="AG47" i="6" a="1"/>
  <c r="AG47" i="6" s="1"/>
  <c r="AG42" i="6" a="1"/>
  <c r="AG42" i="6" s="1"/>
  <c r="AH44" i="6" a="1"/>
  <c r="AH44" i="6" s="1"/>
  <c r="AH15" i="6" a="1"/>
  <c r="AH15" i="6" s="1"/>
  <c r="AH45" i="6" a="1"/>
  <c r="AH45" i="6" s="1"/>
  <c r="AH17" i="6" a="1"/>
  <c r="AH17" i="6" s="1"/>
  <c r="AH26" i="6" a="1"/>
  <c r="AH26" i="6" s="1"/>
  <c r="AG27" i="6" a="1"/>
  <c r="AG27" i="6" s="1"/>
  <c r="AG41" i="6" a="1"/>
  <c r="AG41" i="6" s="1"/>
  <c r="AH40" i="6" a="1"/>
  <c r="AH40" i="6" s="1"/>
  <c r="AH43" i="6" a="1"/>
  <c r="AH43" i="6" s="1"/>
  <c r="AH30" i="6" a="1"/>
  <c r="AH30" i="6" s="1"/>
  <c r="AQ24" i="6" a="1"/>
  <c r="AQ24" i="6" s="1"/>
  <c r="AR26" i="6" a="1"/>
  <c r="AR26" i="6" s="1"/>
  <c r="AR39" i="6" a="1"/>
  <c r="AR39" i="6" s="1"/>
  <c r="AQ44" i="6" a="1"/>
  <c r="AQ44" i="6" s="1"/>
  <c r="AQ54" i="6" a="1"/>
  <c r="AQ54" i="6" s="1"/>
  <c r="AQ47" i="6" a="1"/>
  <c r="AQ47" i="6" s="1"/>
  <c r="AR56" i="6" a="1"/>
  <c r="AR56" i="6" s="1"/>
  <c r="AR24" i="6" a="1"/>
  <c r="AR24" i="6" s="1"/>
  <c r="AQ29" i="6" a="1"/>
  <c r="AQ29" i="6" s="1"/>
  <c r="AR54" i="6" a="1"/>
  <c r="AR54" i="6" s="1"/>
  <c r="AR47" i="6" a="1"/>
  <c r="AR47" i="6" s="1"/>
  <c r="AQ22" i="6" a="1"/>
  <c r="AQ22" i="6" s="1"/>
  <c r="AQ16" i="6" a="1"/>
  <c r="AQ16" i="6" s="1"/>
  <c r="AQ20" i="6" a="1"/>
  <c r="AQ20" i="6" s="1"/>
  <c r="AR29" i="6" a="1"/>
  <c r="AR29" i="6" s="1"/>
  <c r="AR44" i="6" a="1"/>
  <c r="AR44" i="6" s="1"/>
  <c r="AQ42" i="6" a="1"/>
  <c r="AQ42" i="6" s="1"/>
  <c r="AR20" i="6" a="1"/>
  <c r="AR20" i="6" s="1"/>
  <c r="AQ31" i="6" a="1"/>
  <c r="AQ31" i="6" s="1"/>
  <c r="AQ50" i="6" a="1"/>
  <c r="AQ50" i="6" s="1"/>
  <c r="AQ28" i="6" a="1"/>
  <c r="AQ28" i="6" s="1"/>
  <c r="AR31" i="6" a="1"/>
  <c r="AR31" i="6" s="1"/>
  <c r="AQ41" i="6" a="1"/>
  <c r="AQ41" i="6" s="1"/>
  <c r="AR28" i="6" a="1"/>
  <c r="AR28" i="6" s="1"/>
  <c r="AR50" i="6" a="1"/>
  <c r="AR50" i="6" s="1"/>
  <c r="AQ53" i="6" a="1"/>
  <c r="AQ53" i="6" s="1"/>
  <c r="AQ51" i="6" a="1"/>
  <c r="AQ51" i="6" s="1"/>
  <c r="AR37" i="6" a="1"/>
  <c r="AR37" i="6" s="1"/>
  <c r="AQ23" i="6" a="1"/>
  <c r="AQ23" i="6" s="1"/>
  <c r="AQ38" i="6" a="1"/>
  <c r="AQ38" i="6" s="1"/>
  <c r="AQ40" i="6" a="1"/>
  <c r="AQ40" i="6" s="1"/>
  <c r="AR41" i="6" a="1"/>
  <c r="AR41" i="6" s="1"/>
  <c r="AQ46" i="6" a="1"/>
  <c r="AQ46" i="6" s="1"/>
  <c r="AR53" i="6" a="1"/>
  <c r="AR53" i="6" s="1"/>
  <c r="AR45" i="6" a="1"/>
  <c r="AR45" i="6" s="1"/>
  <c r="AR32" i="6" a="1"/>
  <c r="AR32" i="6" s="1"/>
  <c r="AR21" i="6" a="1"/>
  <c r="AR21" i="6" s="1"/>
  <c r="AR23" i="6" a="1"/>
  <c r="AR23" i="6" s="1"/>
  <c r="AQ36" i="6" a="1"/>
  <c r="AQ36" i="6" s="1"/>
  <c r="AQ49" i="6" a="1"/>
  <c r="AQ49" i="6" s="1"/>
  <c r="AQ55" i="6" a="1"/>
  <c r="AQ55" i="6" s="1"/>
  <c r="AQ59" i="6" a="1"/>
  <c r="AQ59" i="6" s="1"/>
  <c r="AQ56" i="6" a="1"/>
  <c r="AQ56" i="6" s="1"/>
  <c r="AR25" i="6" a="1"/>
  <c r="AR25" i="6" s="1"/>
  <c r="AQ27" i="6" a="1"/>
  <c r="AQ27" i="6" s="1"/>
  <c r="AR36" i="6" a="1"/>
  <c r="AR36" i="6" s="1"/>
  <c r="AR38" i="6" a="1"/>
  <c r="AR38" i="6" s="1"/>
  <c r="AR40" i="6" a="1"/>
  <c r="AR40" i="6" s="1"/>
  <c r="AR46" i="6" a="1"/>
  <c r="AR46" i="6" s="1"/>
  <c r="AR59" i="6" a="1"/>
  <c r="AR59" i="6" s="1"/>
  <c r="AQ37" i="6" a="1"/>
  <c r="AQ37" i="6" s="1"/>
  <c r="AR42" i="6" a="1"/>
  <c r="AR42" i="6" s="1"/>
  <c r="AQ30" i="6" a="1"/>
  <c r="AQ30" i="6" s="1"/>
  <c r="AQ34" i="6" a="1"/>
  <c r="AQ34" i="6" s="1"/>
  <c r="AQ35" i="6" a="1"/>
  <c r="AQ35" i="6" s="1"/>
  <c r="AQ48" i="6" a="1"/>
  <c r="AQ48" i="6" s="1"/>
  <c r="AR49" i="6" a="1"/>
  <c r="AR49" i="6" s="1"/>
  <c r="AR55" i="6" a="1"/>
  <c r="AR55" i="6" s="1"/>
  <c r="AQ32" i="6" a="1"/>
  <c r="AQ32" i="6" s="1"/>
  <c r="AR51" i="6" a="1"/>
  <c r="AR51" i="6" s="1"/>
  <c r="AQ39" i="6" a="1"/>
  <c r="AQ39" i="6" s="1"/>
  <c r="AR27" i="6" a="1"/>
  <c r="AR27" i="6" s="1"/>
  <c r="AR34" i="6" a="1"/>
  <c r="AR34" i="6" s="1"/>
  <c r="AQ43" i="6" a="1"/>
  <c r="AQ43" i="6" s="1"/>
  <c r="AR48" i="6" a="1"/>
  <c r="AR48" i="6" s="1"/>
  <c r="AQ58" i="6" a="1"/>
  <c r="AQ58" i="6" s="1"/>
  <c r="AQ26" i="6" a="1"/>
  <c r="AQ26" i="6" s="1"/>
  <c r="AQ33" i="6" a="1"/>
  <c r="AQ33" i="6" s="1"/>
  <c r="AR35" i="6" a="1"/>
  <c r="AR35" i="6" s="1"/>
  <c r="AR43" i="6" a="1"/>
  <c r="AR43" i="6" s="1"/>
  <c r="AQ52" i="6" a="1"/>
  <c r="AQ52" i="6" s="1"/>
  <c r="AQ57" i="6" a="1"/>
  <c r="AQ57" i="6" s="1"/>
  <c r="AR33" i="6" a="1"/>
  <c r="AR33" i="6" s="1"/>
  <c r="AQ45" i="6" a="1"/>
  <c r="AQ45" i="6" s="1"/>
  <c r="AR52" i="6" a="1"/>
  <c r="AR52" i="6" s="1"/>
  <c r="AR57" i="6" a="1"/>
  <c r="AR57" i="6" s="1"/>
  <c r="AR58" i="6" a="1"/>
  <c r="AR58" i="6" s="1"/>
  <c r="AR19" i="6" a="1"/>
  <c r="AR19" i="6" s="1"/>
  <c r="AR22" i="6" a="1"/>
  <c r="AR22" i="6" s="1"/>
  <c r="AR14" i="6" a="1"/>
  <c r="AR14" i="6" s="1"/>
  <c r="AQ17" i="6" a="1"/>
  <c r="AQ17" i="6" s="1"/>
  <c r="AQ25" i="6" a="1"/>
  <c r="AQ25" i="6" s="1"/>
  <c r="AR30" i="6" a="1"/>
  <c r="AR30" i="6" s="1"/>
  <c r="AR17" i="6" a="1"/>
  <c r="AR17" i="6" s="1"/>
  <c r="AQ15" i="6" a="1"/>
  <c r="AQ15" i="6" s="1"/>
  <c r="AR16" i="6" a="1"/>
  <c r="AR16" i="6" s="1"/>
  <c r="AR15" i="6" a="1"/>
  <c r="AR15" i="6" s="1"/>
  <c r="AQ19" i="6" a="1"/>
  <c r="AQ19" i="6" s="1"/>
  <c r="AQ14" i="6" a="1"/>
  <c r="AQ14" i="6" s="1"/>
  <c r="AQ18" i="6" a="1"/>
  <c r="AQ18" i="6" s="1"/>
  <c r="AR18" i="6" a="1"/>
  <c r="AR18" i="6" s="1"/>
  <c r="AQ21" i="6" a="1"/>
  <c r="AQ21" i="6" s="1"/>
  <c r="BG12" i="6"/>
  <c r="BU12" i="6"/>
  <c r="BV12" i="6" s="1"/>
  <c r="CF36" i="6"/>
  <c r="AL54" i="6" a="1"/>
  <c r="AL54" i="6" s="1"/>
  <c r="AL50" i="6" a="1"/>
  <c r="AL50" i="6" s="1"/>
  <c r="AL41" i="6" a="1"/>
  <c r="AL41" i="6" s="1"/>
  <c r="AL53" i="6" a="1"/>
  <c r="AL53" i="6" s="1"/>
  <c r="AL59" i="6" a="1"/>
  <c r="AL59" i="6" s="1"/>
  <c r="AL49" i="6" a="1"/>
  <c r="AL49" i="6" s="1"/>
  <c r="AM55" i="6" a="1"/>
  <c r="AM55" i="6" s="1"/>
  <c r="AM59" i="6" a="1"/>
  <c r="AM59" i="6" s="1"/>
  <c r="AL48" i="6" a="1"/>
  <c r="AL48" i="6" s="1"/>
  <c r="AL57" i="6" a="1"/>
  <c r="AL57" i="6" s="1"/>
  <c r="AM58" i="6" a="1"/>
  <c r="AM58" i="6" s="1"/>
  <c r="AM48" i="6" a="1"/>
  <c r="AM48" i="6" s="1"/>
  <c r="AM57" i="6" a="1"/>
  <c r="AM57" i="6" s="1"/>
  <c r="AL52" i="6" a="1"/>
  <c r="AL52" i="6" s="1"/>
  <c r="AL51" i="6" a="1"/>
  <c r="AL51" i="6" s="1"/>
  <c r="AL18" i="6" a="1"/>
  <c r="AL18" i="6" s="1"/>
  <c r="AL25" i="6" a="1"/>
  <c r="AL25" i="6" s="1"/>
  <c r="AL44" i="6" a="1"/>
  <c r="AL44" i="6" s="1"/>
  <c r="AM56" i="6" a="1"/>
  <c r="AM56" i="6" s="1"/>
  <c r="AM47" i="6" a="1"/>
  <c r="AM47" i="6" s="1"/>
  <c r="AM23" i="6" a="1"/>
  <c r="AM23" i="6" s="1"/>
  <c r="AM36" i="6" a="1"/>
  <c r="AM36" i="6" s="1"/>
  <c r="AL55" i="6" a="1"/>
  <c r="AL55" i="6" s="1"/>
  <c r="AM29" i="6" a="1"/>
  <c r="AM29" i="6" s="1"/>
  <c r="AM32" i="6" a="1"/>
  <c r="AM32" i="6" s="1"/>
  <c r="AM43" i="6" a="1"/>
  <c r="AM43" i="6" s="1"/>
  <c r="AM52" i="6" a="1"/>
  <c r="AM52" i="6" s="1"/>
  <c r="AL16" i="6" a="1"/>
  <c r="AL16" i="6" s="1"/>
  <c r="AM31" i="6" a="1"/>
  <c r="AM31" i="6" s="1"/>
  <c r="AL34" i="6" a="1"/>
  <c r="AL34" i="6" s="1"/>
  <c r="AM33" i="6" a="1"/>
  <c r="AM33" i="6" s="1"/>
  <c r="AL35" i="6" a="1"/>
  <c r="AL35" i="6" s="1"/>
  <c r="AL45" i="6" a="1"/>
  <c r="AL45" i="6" s="1"/>
  <c r="AM50" i="6" a="1"/>
  <c r="AM50" i="6" s="1"/>
  <c r="AM20" i="6" a="1"/>
  <c r="AM20" i="6" s="1"/>
  <c r="AM16" i="6" a="1"/>
  <c r="AM16" i="6" s="1"/>
  <c r="AM28" i="6" a="1"/>
  <c r="AM28" i="6" s="1"/>
  <c r="AM21" i="6" a="1"/>
  <c r="AM21" i="6" s="1"/>
  <c r="AM40" i="6" a="1"/>
  <c r="AM40" i="6" s="1"/>
  <c r="AL56" i="6" a="1"/>
  <c r="AL56" i="6" s="1"/>
  <c r="AM53" i="6" a="1"/>
  <c r="AM53" i="6" s="1"/>
  <c r="AL14" i="6" a="1"/>
  <c r="AL14" i="6" s="1"/>
  <c r="AL47" i="6" a="1"/>
  <c r="AL47" i="6" s="1"/>
  <c r="AM15" i="6" a="1"/>
  <c r="AM15" i="6" s="1"/>
  <c r="AL19" i="6" a="1"/>
  <c r="AL19" i="6" s="1"/>
  <c r="AM18" i="6" a="1"/>
  <c r="AM18" i="6" s="1"/>
  <c r="AM24" i="6" a="1"/>
  <c r="AM24" i="6" s="1"/>
  <c r="AM45" i="6" a="1"/>
  <c r="AM45" i="6" s="1"/>
  <c r="AM54" i="6" a="1"/>
  <c r="AM54" i="6" s="1"/>
  <c r="AM46" i="6" a="1"/>
  <c r="AM46" i="6" s="1"/>
  <c r="AM19" i="6" a="1"/>
  <c r="AM19" i="6" s="1"/>
  <c r="AL29" i="6" a="1"/>
  <c r="AL29" i="6" s="1"/>
  <c r="AL42" i="6" a="1"/>
  <c r="AL42" i="6" s="1"/>
  <c r="AL32" i="6" a="1"/>
  <c r="AL32" i="6" s="1"/>
  <c r="AM14" i="6" a="1"/>
  <c r="AM14" i="6" s="1"/>
  <c r="AL22" i="6" a="1"/>
  <c r="AL22" i="6" s="1"/>
  <c r="AM30" i="6" a="1"/>
  <c r="AM30" i="6" s="1"/>
  <c r="AL21" i="6" a="1"/>
  <c r="AL21" i="6" s="1"/>
  <c r="AL17" i="6" a="1"/>
  <c r="AL17" i="6" s="1"/>
  <c r="AM27" i="6" a="1"/>
  <c r="AM27" i="6" s="1"/>
  <c r="AL33" i="6" a="1"/>
  <c r="AL33" i="6" s="1"/>
  <c r="AL39" i="6" a="1"/>
  <c r="AL39" i="6" s="1"/>
  <c r="AL24" i="6" a="1"/>
  <c r="AL24" i="6" s="1"/>
  <c r="AM37" i="6" a="1"/>
  <c r="AM37" i="6" s="1"/>
  <c r="AM17" i="6" a="1"/>
  <c r="AM17" i="6" s="1"/>
  <c r="AM34" i="6" a="1"/>
  <c r="AM34" i="6" s="1"/>
  <c r="AM35" i="6" a="1"/>
  <c r="AM35" i="6" s="1"/>
  <c r="AM49" i="6" a="1"/>
  <c r="AM49" i="6" s="1"/>
  <c r="AM44" i="6" a="1"/>
  <c r="AM44" i="6" s="1"/>
  <c r="AL36" i="6" a="1"/>
  <c r="AL36" i="6" s="1"/>
  <c r="AM42" i="6" a="1"/>
  <c r="AM42" i="6" s="1"/>
  <c r="AL20" i="6" a="1"/>
  <c r="AL20" i="6" s="1"/>
  <c r="AL37" i="6" a="1"/>
  <c r="AL37" i="6" s="1"/>
  <c r="AM38" i="6" a="1"/>
  <c r="AM38" i="6" s="1"/>
  <c r="AL27" i="6" a="1"/>
  <c r="AL27" i="6" s="1"/>
  <c r="AL43" i="6" a="1"/>
  <c r="AL43" i="6" s="1"/>
  <c r="AL15" i="6" a="1"/>
  <c r="AL15" i="6" s="1"/>
  <c r="AL40" i="6" a="1"/>
  <c r="AL40" i="6" s="1"/>
  <c r="AL58" i="6" a="1"/>
  <c r="AL58" i="6" s="1"/>
  <c r="AM25" i="6" a="1"/>
  <c r="AM25" i="6" s="1"/>
  <c r="AM22" i="6" a="1"/>
  <c r="AM22" i="6" s="1"/>
  <c r="AM41" i="6" a="1"/>
  <c r="AM41" i="6" s="1"/>
  <c r="AM39" i="6" a="1"/>
  <c r="AM39" i="6" s="1"/>
  <c r="AL38" i="6" a="1"/>
  <c r="AL38" i="6" s="1"/>
  <c r="AM26" i="6" a="1"/>
  <c r="AM26" i="6" s="1"/>
  <c r="AL46" i="6" a="1"/>
  <c r="AL46" i="6" s="1"/>
  <c r="AM51" i="6" a="1"/>
  <c r="AM51" i="6" s="1"/>
  <c r="AL28" i="6" a="1"/>
  <c r="AL28" i="6" s="1"/>
  <c r="AL26" i="6" a="1"/>
  <c r="AL26" i="6" s="1"/>
  <c r="AL30" i="6" a="1"/>
  <c r="AL30" i="6" s="1"/>
  <c r="AL23" i="6" a="1"/>
  <c r="AL23" i="6" s="1"/>
  <c r="AL31" i="6" a="1"/>
  <c r="AL31" i="6" s="1"/>
  <c r="AX12" i="6"/>
  <c r="BL12" i="6"/>
  <c r="BM12" i="6" s="1"/>
  <c r="W23" i="6" a="1"/>
  <c r="W23" i="6" s="1"/>
  <c r="X40" i="6" a="1"/>
  <c r="X40" i="6" s="1"/>
  <c r="W49" i="6" a="1"/>
  <c r="W49" i="6" s="1"/>
  <c r="X51" i="6" a="1"/>
  <c r="X51" i="6" s="1"/>
  <c r="X38" i="6" a="1"/>
  <c r="X38" i="6" s="1"/>
  <c r="W59" i="6" a="1"/>
  <c r="W59" i="6" s="1"/>
  <c r="X36" i="6" a="1"/>
  <c r="X36" i="6" s="1"/>
  <c r="X42" i="6" a="1"/>
  <c r="X42" i="6" s="1"/>
  <c r="X49" i="6" a="1"/>
  <c r="X49" i="6" s="1"/>
  <c r="X28" i="6" a="1"/>
  <c r="X28" i="6" s="1"/>
  <c r="X58" i="6" a="1"/>
  <c r="X58" i="6" s="1"/>
  <c r="X18" i="6" a="1"/>
  <c r="X18" i="6" s="1"/>
  <c r="W25" i="6" a="1"/>
  <c r="W25" i="6" s="1"/>
  <c r="X48" i="6" a="1"/>
  <c r="X48" i="6" s="1"/>
  <c r="W41" i="6" a="1"/>
  <c r="W41" i="6" s="1"/>
  <c r="W50" i="6" a="1"/>
  <c r="W50" i="6" s="1"/>
  <c r="X46" i="6" a="1"/>
  <c r="X46" i="6" s="1"/>
  <c r="W30" i="6" a="1"/>
  <c r="W30" i="6" s="1"/>
  <c r="X41" i="6" a="1"/>
  <c r="X41" i="6" s="1"/>
  <c r="X53" i="6" a="1"/>
  <c r="X53" i="6" s="1"/>
  <c r="X56" i="6" a="1"/>
  <c r="X56" i="6" s="1"/>
  <c r="W46" i="6" a="1"/>
  <c r="W46" i="6" s="1"/>
  <c r="W16" i="6" a="1"/>
  <c r="W16" i="6" s="1"/>
  <c r="X25" i="6" a="1"/>
  <c r="X25" i="6" s="1"/>
  <c r="X21" i="6" a="1"/>
  <c r="X21" i="6" s="1"/>
  <c r="W54" i="6" a="1"/>
  <c r="W54" i="6" s="1"/>
  <c r="X52" i="6" a="1"/>
  <c r="X52" i="6" s="1"/>
  <c r="X34" i="6" a="1"/>
  <c r="X34" i="6" s="1"/>
  <c r="X16" i="6" a="1"/>
  <c r="X16" i="6" s="1"/>
  <c r="X59" i="6" a="1"/>
  <c r="X59" i="6" s="1"/>
  <c r="W27" i="6" a="1"/>
  <c r="W27" i="6" s="1"/>
  <c r="W38" i="6" a="1"/>
  <c r="W38" i="6" s="1"/>
  <c r="W19" i="6" a="1"/>
  <c r="W19" i="6" s="1"/>
  <c r="X31" i="6" a="1"/>
  <c r="X31" i="6" s="1"/>
  <c r="X50" i="6" a="1"/>
  <c r="X50" i="6" s="1"/>
  <c r="W43" i="6" a="1"/>
  <c r="W43" i="6" s="1"/>
  <c r="W34" i="6" a="1"/>
  <c r="W34" i="6" s="1"/>
  <c r="W58" i="6" a="1"/>
  <c r="W58" i="6" s="1"/>
  <c r="W24" i="6" a="1"/>
  <c r="W24" i="6" s="1"/>
  <c r="X24" i="6" a="1"/>
  <c r="X24" i="6" s="1"/>
  <c r="W33" i="6" a="1"/>
  <c r="W33" i="6" s="1"/>
  <c r="X23" i="6" a="1"/>
  <c r="X23" i="6" s="1"/>
  <c r="W45" i="6" a="1"/>
  <c r="W45" i="6" s="1"/>
  <c r="W44" i="6" a="1"/>
  <c r="W44" i="6" s="1"/>
  <c r="W39" i="6" a="1"/>
  <c r="W39" i="6" s="1"/>
  <c r="X32" i="6" a="1"/>
  <c r="X32" i="6" s="1"/>
  <c r="W21" i="6" a="1"/>
  <c r="W21" i="6" s="1"/>
  <c r="W37" i="6" a="1"/>
  <c r="W37" i="6" s="1"/>
  <c r="W55" i="6" a="1"/>
  <c r="W55" i="6" s="1"/>
  <c r="X44" i="6" a="1"/>
  <c r="X44" i="6" s="1"/>
  <c r="W15" i="6" a="1"/>
  <c r="W15" i="6" s="1"/>
  <c r="X26" i="6" a="1"/>
  <c r="X26" i="6" s="1"/>
  <c r="W18" i="6" a="1"/>
  <c r="W18" i="6" s="1"/>
  <c r="X30" i="6" a="1"/>
  <c r="X30" i="6" s="1"/>
  <c r="X39" i="6" a="1"/>
  <c r="X39" i="6" s="1"/>
  <c r="W47" i="6" a="1"/>
  <c r="W47" i="6" s="1"/>
  <c r="W51" i="6" a="1"/>
  <c r="W51" i="6" s="1"/>
  <c r="W53" i="6" a="1"/>
  <c r="W53" i="6" s="1"/>
  <c r="X57" i="6" a="1"/>
  <c r="X57" i="6" s="1"/>
  <c r="W36" i="6" a="1"/>
  <c r="W36" i="6" s="1"/>
  <c r="X20" i="6" a="1"/>
  <c r="X20" i="6" s="1"/>
  <c r="W14" i="6" a="1"/>
  <c r="W14" i="6" s="1"/>
  <c r="W20" i="6" a="1"/>
  <c r="W20" i="6" s="1"/>
  <c r="X33" i="6" a="1"/>
  <c r="X33" i="6" s="1"/>
  <c r="W32" i="6" a="1"/>
  <c r="W32" i="6" s="1"/>
  <c r="X54" i="6" a="1"/>
  <c r="X54" i="6" s="1"/>
  <c r="X55" i="6" a="1"/>
  <c r="X55" i="6" s="1"/>
  <c r="X17" i="6" a="1"/>
  <c r="X17" i="6" s="1"/>
  <c r="W52" i="6" a="1"/>
  <c r="W52" i="6" s="1"/>
  <c r="X22" i="6" a="1"/>
  <c r="X22" i="6" s="1"/>
  <c r="X47" i="6" a="1"/>
  <c r="X47" i="6" s="1"/>
  <c r="X19" i="6" a="1"/>
  <c r="X19" i="6" s="1"/>
  <c r="X27" i="6" a="1"/>
  <c r="X27" i="6" s="1"/>
  <c r="X29" i="6" a="1"/>
  <c r="X29" i="6" s="1"/>
  <c r="X37" i="6" a="1"/>
  <c r="X37" i="6" s="1"/>
  <c r="W56" i="6" a="1"/>
  <c r="W56" i="6" s="1"/>
  <c r="W28" i="6" a="1"/>
  <c r="W28" i="6" s="1"/>
  <c r="X43" i="6" a="1"/>
  <c r="X43" i="6" s="1"/>
  <c r="W42" i="6" a="1"/>
  <c r="W42" i="6" s="1"/>
  <c r="X14" i="6" a="1"/>
  <c r="X14" i="6" s="1"/>
  <c r="W22" i="6" a="1"/>
  <c r="W22" i="6" s="1"/>
  <c r="W40" i="6" a="1"/>
  <c r="W40" i="6" s="1"/>
  <c r="W29" i="6" a="1"/>
  <c r="W29" i="6" s="1"/>
  <c r="X15" i="6" a="1"/>
  <c r="X15" i="6" s="1"/>
  <c r="W48" i="6" a="1"/>
  <c r="W48" i="6" s="1"/>
  <c r="W17" i="6" a="1"/>
  <c r="W17" i="6" s="1"/>
  <c r="W26" i="6" a="1"/>
  <c r="W26" i="6" s="1"/>
  <c r="W35" i="6" a="1"/>
  <c r="W35" i="6" s="1"/>
  <c r="W31" i="6" a="1"/>
  <c r="W31" i="6" s="1"/>
  <c r="X45" i="6" a="1"/>
  <c r="X45" i="6" s="1"/>
  <c r="W57" i="6" a="1"/>
  <c r="W57" i="6" s="1"/>
  <c r="X35" i="6" a="1"/>
  <c r="X35" i="6" s="1"/>
  <c r="CD36" i="6"/>
  <c r="BO12" i="6"/>
  <c r="BP12" i="6" s="1"/>
  <c r="BA12" i="6"/>
  <c r="AC29" i="6" a="1"/>
  <c r="AC29" i="6" s="1"/>
  <c r="AC31" i="6" a="1"/>
  <c r="AC31" i="6" s="1"/>
  <c r="AC41" i="6" a="1"/>
  <c r="AC41" i="6" s="1"/>
  <c r="AC50" i="6" a="1"/>
  <c r="AC50" i="6" s="1"/>
  <c r="AC32" i="6" a="1"/>
  <c r="AC32" i="6" s="1"/>
  <c r="AB19" i="6" a="1"/>
  <c r="AB19" i="6" s="1"/>
  <c r="AB53" i="6" a="1"/>
  <c r="AB53" i="6" s="1"/>
  <c r="AB28" i="6" a="1"/>
  <c r="AB28" i="6" s="1"/>
  <c r="AB38" i="6" a="1"/>
  <c r="AB38" i="6" s="1"/>
  <c r="AB49" i="6" a="1"/>
  <c r="AB49" i="6" s="1"/>
  <c r="AC53" i="6" a="1"/>
  <c r="AC53" i="6" s="1"/>
  <c r="AB59" i="6" a="1"/>
  <c r="AB59" i="6" s="1"/>
  <c r="AC44" i="6" a="1"/>
  <c r="AC44" i="6" s="1"/>
  <c r="AC28" i="6" a="1"/>
  <c r="AC28" i="6" s="1"/>
  <c r="AB40" i="6" a="1"/>
  <c r="AB40" i="6" s="1"/>
  <c r="AB48" i="6" a="1"/>
  <c r="AB48" i="6" s="1"/>
  <c r="AB57" i="6" a="1"/>
  <c r="AB57" i="6" s="1"/>
  <c r="AB23" i="6" a="1"/>
  <c r="AB23" i="6" s="1"/>
  <c r="AB27" i="6" a="1"/>
  <c r="AB27" i="6" s="1"/>
  <c r="AB34" i="6" a="1"/>
  <c r="AB34" i="6" s="1"/>
  <c r="AB35" i="6" a="1"/>
  <c r="AB35" i="6" s="1"/>
  <c r="AB36" i="6" a="1"/>
  <c r="AB36" i="6" s="1"/>
  <c r="AC38" i="6" a="1"/>
  <c r="AC38" i="6" s="1"/>
  <c r="AB46" i="6" a="1"/>
  <c r="AB46" i="6" s="1"/>
  <c r="AC48" i="6" a="1"/>
  <c r="AC48" i="6" s="1"/>
  <c r="AC49" i="6" a="1"/>
  <c r="AC49" i="6" s="1"/>
  <c r="AB55" i="6" a="1"/>
  <c r="AB55" i="6" s="1"/>
  <c r="AC57" i="6" a="1"/>
  <c r="AC57" i="6" s="1"/>
  <c r="AB58" i="6" a="1"/>
  <c r="AB58" i="6" s="1"/>
  <c r="AC59" i="6" a="1"/>
  <c r="AC59" i="6" s="1"/>
  <c r="AB21" i="6" a="1"/>
  <c r="AB21" i="6" s="1"/>
  <c r="AC23" i="6" a="1"/>
  <c r="AC23" i="6" s="1"/>
  <c r="AC27" i="6" a="1"/>
  <c r="AC27" i="6" s="1"/>
  <c r="AB33" i="6" a="1"/>
  <c r="AB33" i="6" s="1"/>
  <c r="AC36" i="6" a="1"/>
  <c r="AC36" i="6" s="1"/>
  <c r="AC40" i="6" a="1"/>
  <c r="AC40" i="6" s="1"/>
  <c r="AB43" i="6" a="1"/>
  <c r="AB43" i="6" s="1"/>
  <c r="AC46" i="6" a="1"/>
  <c r="AC46" i="6" s="1"/>
  <c r="AC55" i="6" a="1"/>
  <c r="AC55" i="6" s="1"/>
  <c r="AB41" i="6" a="1"/>
  <c r="AB41" i="6" s="1"/>
  <c r="AB31" i="6" a="1"/>
  <c r="AB31" i="6" s="1"/>
  <c r="AC21" i="6" a="1"/>
  <c r="AC21" i="6" s="1"/>
  <c r="AC34" i="6" a="1"/>
  <c r="AC34" i="6" s="1"/>
  <c r="AC35" i="6" a="1"/>
  <c r="AC35" i="6" s="1"/>
  <c r="AB51" i="6" a="1"/>
  <c r="AB51" i="6" s="1"/>
  <c r="AB52" i="6" a="1"/>
  <c r="AB52" i="6" s="1"/>
  <c r="AC58" i="6" a="1"/>
  <c r="AC58" i="6" s="1"/>
  <c r="AC39" i="6" a="1"/>
  <c r="AC39" i="6" s="1"/>
  <c r="AB50" i="6" a="1"/>
  <c r="AB50" i="6" s="1"/>
  <c r="AC25" i="6" a="1"/>
  <c r="AC25" i="6" s="1"/>
  <c r="AB30" i="6" a="1"/>
  <c r="AB30" i="6" s="1"/>
  <c r="AC33" i="6" a="1"/>
  <c r="AC33" i="6" s="1"/>
  <c r="AC43" i="6" a="1"/>
  <c r="AC43" i="6" s="1"/>
  <c r="AC52" i="6" a="1"/>
  <c r="AC52" i="6" s="1"/>
  <c r="AB29" i="6" a="1"/>
  <c r="AB29" i="6" s="1"/>
  <c r="AC51" i="6" a="1"/>
  <c r="AC51" i="6" s="1"/>
  <c r="AB42" i="6" a="1"/>
  <c r="AB42" i="6" s="1"/>
  <c r="AB45" i="6" a="1"/>
  <c r="AB45" i="6" s="1"/>
  <c r="AB47" i="6" a="1"/>
  <c r="AB47" i="6" s="1"/>
  <c r="AC15" i="6" a="1"/>
  <c r="AC15" i="6" s="1"/>
  <c r="AB24" i="6" a="1"/>
  <c r="AB24" i="6" s="1"/>
  <c r="AC47" i="6" a="1"/>
  <c r="AC47" i="6" s="1"/>
  <c r="AB54" i="6" a="1"/>
  <c r="AB54" i="6" s="1"/>
  <c r="AB56" i="6" a="1"/>
  <c r="AB56" i="6" s="1"/>
  <c r="AB32" i="6" a="1"/>
  <c r="AB32" i="6" s="1"/>
  <c r="AB37" i="6" a="1"/>
  <c r="AB37" i="6" s="1"/>
  <c r="AC42" i="6" a="1"/>
  <c r="AC42" i="6" s="1"/>
  <c r="AC45" i="6" a="1"/>
  <c r="AC45" i="6" s="1"/>
  <c r="AC26" i="6" a="1"/>
  <c r="AC26" i="6" s="1"/>
  <c r="AB18" i="6" a="1"/>
  <c r="AB18" i="6" s="1"/>
  <c r="AB22" i="6" a="1"/>
  <c r="AB22" i="6" s="1"/>
  <c r="AC24" i="6" a="1"/>
  <c r="AC24" i="6" s="1"/>
  <c r="AB26" i="6" a="1"/>
  <c r="AB26" i="6" s="1"/>
  <c r="AC37" i="6" a="1"/>
  <c r="AC37" i="6" s="1"/>
  <c r="AB39" i="6" a="1"/>
  <c r="AB39" i="6" s="1"/>
  <c r="AC54" i="6" a="1"/>
  <c r="AC54" i="6" s="1"/>
  <c r="AC56" i="6" a="1"/>
  <c r="AC56" i="6" s="1"/>
  <c r="AB44" i="6" a="1"/>
  <c r="AB44" i="6" s="1"/>
  <c r="AC19" i="6" a="1"/>
  <c r="AC19" i="6" s="1"/>
  <c r="AC14" i="6" a="1"/>
  <c r="AC14" i="6" s="1"/>
  <c r="AB17" i="6" a="1"/>
  <c r="AB17" i="6" s="1"/>
  <c r="AC22" i="6" a="1"/>
  <c r="AC22" i="6" s="1"/>
  <c r="AB25" i="6" a="1"/>
  <c r="AB25" i="6" s="1"/>
  <c r="AC30" i="6" a="1"/>
  <c r="AC30" i="6" s="1"/>
  <c r="AC17" i="6" a="1"/>
  <c r="AC17" i="6" s="1"/>
  <c r="AB20" i="6" a="1"/>
  <c r="AB20" i="6" s="1"/>
  <c r="AB15" i="6" a="1"/>
  <c r="AB15" i="6" s="1"/>
  <c r="AC16" i="6" a="1"/>
  <c r="AC16" i="6" s="1"/>
  <c r="AC20" i="6" a="1"/>
  <c r="AC20" i="6" s="1"/>
  <c r="AB14" i="6" a="1"/>
  <c r="AB14" i="6" s="1"/>
  <c r="AC18" i="6" a="1"/>
  <c r="AC18" i="6" s="1"/>
  <c r="AB16" i="6" a="1"/>
  <c r="AB16" i="6" s="1"/>
  <c r="CB36" i="6"/>
  <c r="H185" i="19"/>
  <c r="V185" i="19" s="1"/>
  <c r="X185" i="19" s="1"/>
  <c r="CX269" i="19"/>
  <c r="CZ269" i="19" s="1"/>
  <c r="DA269" i="19" s="1"/>
  <c r="DB269" i="19" s="1"/>
  <c r="DD269" i="19" s="1"/>
  <c r="DL269" i="19" s="1"/>
  <c r="BV269" i="19"/>
  <c r="BX269" i="19" s="1"/>
  <c r="BY269" i="19" s="1"/>
  <c r="BZ269" i="19" s="1"/>
  <c r="CB269" i="19" s="1"/>
  <c r="DJ269" i="19" s="1"/>
  <c r="BH269" i="19"/>
  <c r="BJ269" i="19" s="1"/>
  <c r="BK269" i="19" s="1"/>
  <c r="BL269" i="19" s="1"/>
  <c r="BN269" i="19" s="1"/>
  <c r="DI269" i="19" s="1"/>
  <c r="AT269" i="19"/>
  <c r="AV269" i="19" s="1"/>
  <c r="AW269" i="19" s="1"/>
  <c r="AX269" i="19" s="1"/>
  <c r="AZ269" i="19" s="1"/>
  <c r="DH269" i="19" s="1"/>
  <c r="AF269" i="19"/>
  <c r="AH269" i="19" s="1"/>
  <c r="AI269" i="19" s="1"/>
  <c r="AJ269" i="19" s="1"/>
  <c r="AL269" i="19" s="1"/>
  <c r="DG269" i="19" s="1"/>
  <c r="F186" i="19"/>
  <c r="BZ183" i="19"/>
  <c r="CB183" i="19" s="1"/>
  <c r="CN269" i="19"/>
  <c r="CP269" i="19" s="1"/>
  <c r="DK269" i="19" s="1"/>
  <c r="AX97" i="19"/>
  <c r="AZ97" i="19" s="1"/>
  <c r="DH97" i="19" s="1"/>
  <c r="CN97" i="19"/>
  <c r="CP97" i="19" s="1"/>
  <c r="DK97" i="19" s="1"/>
  <c r="BZ97" i="19"/>
  <c r="CB97" i="19" s="1"/>
  <c r="DJ97" i="19" s="1"/>
  <c r="BL97" i="19"/>
  <c r="BN97" i="19" s="1"/>
  <c r="DI97" i="19" s="1"/>
  <c r="DB183" i="19"/>
  <c r="DD183" i="19" s="1"/>
  <c r="AX183" i="19"/>
  <c r="AZ183" i="19" s="1"/>
  <c r="DH183" i="19" s="1"/>
  <c r="F100" i="19"/>
  <c r="H271" i="19"/>
  <c r="I271" i="19" s="1"/>
  <c r="S271" i="19" s="1"/>
  <c r="U271" i="19" s="1"/>
  <c r="DB97" i="19"/>
  <c r="DD97" i="19" s="1"/>
  <c r="DL97" i="19" s="1"/>
  <c r="AJ183" i="19"/>
  <c r="AL183" i="19" s="1"/>
  <c r="DG183" i="19" s="1"/>
  <c r="V184" i="19"/>
  <c r="X184" i="19" s="1"/>
  <c r="I184" i="19"/>
  <c r="S184" i="19" s="1"/>
  <c r="U184" i="19" s="1"/>
  <c r="BL183" i="19"/>
  <c r="BN183" i="19" s="1"/>
  <c r="DI183" i="19" s="1"/>
  <c r="F272" i="19"/>
  <c r="CN183" i="19"/>
  <c r="CP183" i="19" s="1"/>
  <c r="G186" i="19"/>
  <c r="C187" i="19"/>
  <c r="DE186" i="19"/>
  <c r="BP186" i="19"/>
  <c r="BS186" i="19" s="1"/>
  <c r="CD186" i="19"/>
  <c r="CG186" i="19" s="1"/>
  <c r="CR186" i="19"/>
  <c r="CU186" i="19" s="1"/>
  <c r="AN186" i="19"/>
  <c r="AQ186" i="19" s="1"/>
  <c r="Z186" i="19"/>
  <c r="AC186" i="19" s="1"/>
  <c r="BB186" i="19"/>
  <c r="BE186" i="19" s="1"/>
  <c r="V270" i="19"/>
  <c r="X270" i="19" s="1"/>
  <c r="I270" i="19"/>
  <c r="S270" i="19" s="1"/>
  <c r="U270" i="19" s="1"/>
  <c r="AJ97" i="19"/>
  <c r="AL97" i="19" s="1"/>
  <c r="DG97" i="19" s="1"/>
  <c r="G100" i="19"/>
  <c r="C101" i="19"/>
  <c r="DE100" i="19"/>
  <c r="AN100" i="19"/>
  <c r="AQ100" i="19" s="1"/>
  <c r="CD100" i="19"/>
  <c r="CG100" i="19" s="1"/>
  <c r="CR100" i="19"/>
  <c r="CU100" i="19" s="1"/>
  <c r="Z100" i="19"/>
  <c r="AC100" i="19" s="1"/>
  <c r="BP100" i="19"/>
  <c r="BS100" i="19" s="1"/>
  <c r="BB100" i="19"/>
  <c r="BE100" i="19" s="1"/>
  <c r="BR98" i="19"/>
  <c r="BT98" i="19" s="1"/>
  <c r="BU98" i="19" s="1"/>
  <c r="AP98" i="19"/>
  <c r="AR98" i="19" s="1"/>
  <c r="AS98" i="19" s="1"/>
  <c r="CF98" i="19"/>
  <c r="CH98" i="19" s="1"/>
  <c r="CI98" i="19" s="1"/>
  <c r="BD98" i="19"/>
  <c r="BF98" i="19" s="1"/>
  <c r="BG98" i="19" s="1"/>
  <c r="CT98" i="19"/>
  <c r="CV98" i="19" s="1"/>
  <c r="CW98" i="19" s="1"/>
  <c r="AB98" i="19"/>
  <c r="AD98" i="19" s="1"/>
  <c r="AE98" i="19" s="1"/>
  <c r="H99" i="19"/>
  <c r="C273" i="19"/>
  <c r="G272" i="19"/>
  <c r="DE272" i="19"/>
  <c r="BP272" i="19"/>
  <c r="BS272" i="19" s="1"/>
  <c r="CD272" i="19"/>
  <c r="CG272" i="19" s="1"/>
  <c r="AN272" i="19"/>
  <c r="AQ272" i="19" s="1"/>
  <c r="Z272" i="19"/>
  <c r="AC272" i="19" s="1"/>
  <c r="BB272" i="19"/>
  <c r="BE272" i="19" s="1"/>
  <c r="CR272" i="19"/>
  <c r="CU272" i="19" s="1"/>
  <c r="AT98" i="19"/>
  <c r="AV98" i="19" s="1"/>
  <c r="AW98" i="19" s="1"/>
  <c r="CJ98" i="19"/>
  <c r="CL98" i="19" s="1"/>
  <c r="CM98" i="19" s="1"/>
  <c r="BV98" i="19"/>
  <c r="BX98" i="19" s="1"/>
  <c r="BY98" i="19" s="1"/>
  <c r="BH98" i="19"/>
  <c r="BJ98" i="19" s="1"/>
  <c r="BK98" i="19" s="1"/>
  <c r="AF98" i="19"/>
  <c r="AH98" i="19" s="1"/>
  <c r="AI98" i="19" s="1"/>
  <c r="CX98" i="19"/>
  <c r="CZ98" i="19" s="1"/>
  <c r="DA98" i="19" s="1"/>
  <c r="I185" i="19" l="1"/>
  <c r="S185" i="19" s="1"/>
  <c r="U185" i="19" s="1"/>
  <c r="AD34" i="6"/>
  <c r="AY34" i="6"/>
  <c r="BN34" i="6"/>
  <c r="BI44" i="6"/>
  <c r="BX44" i="6"/>
  <c r="AT44" i="6"/>
  <c r="AE41" i="6"/>
  <c r="BO41" i="6"/>
  <c r="AZ41" i="6"/>
  <c r="BX34" i="6"/>
  <c r="AT34" i="6"/>
  <c r="BI34" i="6"/>
  <c r="AE25" i="6"/>
  <c r="AZ25" i="6"/>
  <c r="BO25" i="6"/>
  <c r="BN33" i="6"/>
  <c r="AD33" i="6"/>
  <c r="AY33" i="6"/>
  <c r="AD23" i="6"/>
  <c r="BN23" i="6"/>
  <c r="AY23" i="6"/>
  <c r="AZ31" i="6"/>
  <c r="BO31" i="6"/>
  <c r="AE31" i="6"/>
  <c r="Y22" i="6"/>
  <c r="BK22" i="6"/>
  <c r="AV22" i="6"/>
  <c r="Y32" i="6"/>
  <c r="AV32" i="6"/>
  <c r="BK32" i="6"/>
  <c r="BK55" i="6"/>
  <c r="Y55" i="6"/>
  <c r="AV55" i="6"/>
  <c r="AV19" i="6"/>
  <c r="Y19" i="6"/>
  <c r="BK19" i="6"/>
  <c r="BL46" i="6"/>
  <c r="Z46" i="6"/>
  <c r="AW46" i="6"/>
  <c r="AV23" i="6"/>
  <c r="BK23" i="6"/>
  <c r="Y23" i="6"/>
  <c r="AN58" i="6"/>
  <c r="BE58" i="6"/>
  <c r="BT58" i="6"/>
  <c r="BT24" i="6"/>
  <c r="AN24" i="6"/>
  <c r="BE24" i="6"/>
  <c r="BU24" i="6"/>
  <c r="AO24" i="6"/>
  <c r="BF24" i="6"/>
  <c r="AO33" i="6"/>
  <c r="BF33" i="6"/>
  <c r="BU33" i="6"/>
  <c r="BT51" i="6"/>
  <c r="BE51" i="6"/>
  <c r="AN51" i="6"/>
  <c r="BX19" i="6"/>
  <c r="AT19" i="6"/>
  <c r="BI19" i="6"/>
  <c r="BI27" i="6"/>
  <c r="BX27" i="6"/>
  <c r="AT27" i="6"/>
  <c r="BX36" i="6"/>
  <c r="BI36" i="6"/>
  <c r="AT36" i="6"/>
  <c r="BW38" i="6"/>
  <c r="BH38" i="6"/>
  <c r="AS38" i="6"/>
  <c r="BW20" i="6"/>
  <c r="AS20" i="6"/>
  <c r="BH20" i="6"/>
  <c r="AJ40" i="6"/>
  <c r="BR40" i="6"/>
  <c r="BC40" i="6"/>
  <c r="BR47" i="6"/>
  <c r="BC47" i="6"/>
  <c r="AJ47" i="6"/>
  <c r="BQ56" i="6"/>
  <c r="AI56" i="6"/>
  <c r="BB56" i="6"/>
  <c r="BR35" i="6"/>
  <c r="BC35" i="6"/>
  <c r="AJ35" i="6"/>
  <c r="AJ48" i="6"/>
  <c r="BR48" i="6"/>
  <c r="BC48" i="6"/>
  <c r="BR16" i="6"/>
  <c r="BC16" i="6"/>
  <c r="AJ16" i="6"/>
  <c r="AZ40" i="6"/>
  <c r="AE40" i="6"/>
  <c r="BO40" i="6"/>
  <c r="BX40" i="6"/>
  <c r="AT40" i="6"/>
  <c r="BI40" i="6"/>
  <c r="AY30" i="6"/>
  <c r="AD30" i="6"/>
  <c r="BN30" i="6"/>
  <c r="AZ22" i="6"/>
  <c r="AE22" i="6"/>
  <c r="BO22" i="6"/>
  <c r="AY17" i="6"/>
  <c r="AD17" i="6"/>
  <c r="BN17" i="6"/>
  <c r="AD32" i="6"/>
  <c r="AY32" i="6"/>
  <c r="BN32" i="6"/>
  <c r="AD50" i="6"/>
  <c r="BN50" i="6"/>
  <c r="AY50" i="6"/>
  <c r="BO27" i="6"/>
  <c r="AE27" i="6"/>
  <c r="AZ27" i="6"/>
  <c r="AY57" i="6"/>
  <c r="BN57" i="6"/>
  <c r="AD57" i="6"/>
  <c r="AE29" i="6"/>
  <c r="AZ29" i="6"/>
  <c r="BO29" i="6"/>
  <c r="BL14" i="6"/>
  <c r="Z14" i="6"/>
  <c r="AW14" i="6"/>
  <c r="AW33" i="6"/>
  <c r="Z33" i="6"/>
  <c r="BL33" i="6"/>
  <c r="AV37" i="6"/>
  <c r="Y37" i="6"/>
  <c r="BK37" i="6"/>
  <c r="Y38" i="6"/>
  <c r="AV38" i="6"/>
  <c r="BK38" i="6"/>
  <c r="AV50" i="6"/>
  <c r="BK50" i="6"/>
  <c r="Y50" i="6"/>
  <c r="AN40" i="6"/>
  <c r="BT40" i="6"/>
  <c r="BE40" i="6"/>
  <c r="BE39" i="6"/>
  <c r="AN39" i="6"/>
  <c r="BT39" i="6"/>
  <c r="BU18" i="6"/>
  <c r="AO18" i="6"/>
  <c r="BF18" i="6"/>
  <c r="BE34" i="6"/>
  <c r="AN34" i="6"/>
  <c r="BT34" i="6"/>
  <c r="BT52" i="6"/>
  <c r="BE52" i="6"/>
  <c r="AN52" i="6"/>
  <c r="BX58" i="6"/>
  <c r="AT58" i="6"/>
  <c r="BI58" i="6"/>
  <c r="BH39" i="6"/>
  <c r="AS39" i="6"/>
  <c r="BW39" i="6"/>
  <c r="AS27" i="6"/>
  <c r="BW27" i="6"/>
  <c r="BH27" i="6"/>
  <c r="BW23" i="6"/>
  <c r="AS23" i="6"/>
  <c r="BH23" i="6"/>
  <c r="AS16" i="6"/>
  <c r="BW16" i="6"/>
  <c r="BH16" i="6"/>
  <c r="BQ41" i="6"/>
  <c r="AI41" i="6"/>
  <c r="BB41" i="6"/>
  <c r="BQ26" i="6"/>
  <c r="BB26" i="6"/>
  <c r="AI26" i="6"/>
  <c r="AI33" i="6"/>
  <c r="BB33" i="6"/>
  <c r="BQ33" i="6"/>
  <c r="AI40" i="6"/>
  <c r="BQ40" i="6"/>
  <c r="BB40" i="6"/>
  <c r="BR50" i="6"/>
  <c r="AJ50" i="6"/>
  <c r="BC50" i="6"/>
  <c r="AJ38" i="6"/>
  <c r="BR38" i="6"/>
  <c r="BC38" i="6"/>
  <c r="AO17" i="6"/>
  <c r="BU17" i="6"/>
  <c r="BF17" i="6"/>
  <c r="BQ18" i="6"/>
  <c r="BB18" i="6"/>
  <c r="AI18" i="6"/>
  <c r="BF37" i="6"/>
  <c r="BU37" i="6"/>
  <c r="AO37" i="6"/>
  <c r="BX38" i="6"/>
  <c r="AT38" i="6"/>
  <c r="BI38" i="6"/>
  <c r="BN37" i="6"/>
  <c r="AD37" i="6"/>
  <c r="AY37" i="6"/>
  <c r="AE14" i="6"/>
  <c r="BO14" i="6"/>
  <c r="AZ14" i="6"/>
  <c r="BN56" i="6"/>
  <c r="AY56" i="6"/>
  <c r="AD56" i="6"/>
  <c r="BO39" i="6"/>
  <c r="AZ39" i="6"/>
  <c r="AE39" i="6"/>
  <c r="AE23" i="6"/>
  <c r="BO23" i="6"/>
  <c r="AZ23" i="6"/>
  <c r="BN48" i="6"/>
  <c r="AD48" i="6"/>
  <c r="AY48" i="6"/>
  <c r="BK42" i="6"/>
  <c r="Y42" i="6"/>
  <c r="AV42" i="6"/>
  <c r="BK20" i="6"/>
  <c r="AV20" i="6"/>
  <c r="Y20" i="6"/>
  <c r="AV21" i="6"/>
  <c r="Y21" i="6"/>
  <c r="BK21" i="6"/>
  <c r="AV27" i="6"/>
  <c r="BK27" i="6"/>
  <c r="Y27" i="6"/>
  <c r="Y41" i="6"/>
  <c r="AV41" i="6"/>
  <c r="BK41" i="6"/>
  <c r="AN15" i="6"/>
  <c r="BE15" i="6"/>
  <c r="BT15" i="6"/>
  <c r="AN33" i="6"/>
  <c r="AP33" i="6" s="1"/>
  <c r="BT33" i="6"/>
  <c r="BV33" i="6" s="1"/>
  <c r="BE33" i="6"/>
  <c r="BG33" i="6" s="1"/>
  <c r="BT19" i="6"/>
  <c r="BE19" i="6"/>
  <c r="AN19" i="6"/>
  <c r="BF31" i="6"/>
  <c r="BU31" i="6"/>
  <c r="AO31" i="6"/>
  <c r="BF57" i="6"/>
  <c r="AO57" i="6"/>
  <c r="BU57" i="6"/>
  <c r="BW21" i="6"/>
  <c r="AS21" i="6"/>
  <c r="BH21" i="6"/>
  <c r="BX57" i="6"/>
  <c r="AT57" i="6"/>
  <c r="BI57" i="6"/>
  <c r="AT51" i="6"/>
  <c r="BX51" i="6"/>
  <c r="BI51" i="6"/>
  <c r="BI25" i="6"/>
  <c r="AT25" i="6"/>
  <c r="BX25" i="6"/>
  <c r="AT37" i="6"/>
  <c r="BX37" i="6"/>
  <c r="BI37" i="6"/>
  <c r="AS22" i="6"/>
  <c r="BH22" i="6"/>
  <c r="BW22" i="6"/>
  <c r="BQ27" i="6"/>
  <c r="BB27" i="6"/>
  <c r="AI27" i="6"/>
  <c r="BR59" i="6"/>
  <c r="AJ59" i="6"/>
  <c r="BC59" i="6"/>
  <c r="BQ36" i="6"/>
  <c r="AI36" i="6"/>
  <c r="BB36" i="6"/>
  <c r="AI37" i="6"/>
  <c r="BQ37" i="6"/>
  <c r="BB37" i="6"/>
  <c r="BR42" i="6"/>
  <c r="AJ42" i="6"/>
  <c r="BC42" i="6"/>
  <c r="BR46" i="6"/>
  <c r="BC46" i="6"/>
  <c r="AJ46" i="6"/>
  <c r="AV29" i="6"/>
  <c r="Y29" i="6"/>
  <c r="BK29" i="6"/>
  <c r="BR25" i="6"/>
  <c r="BC25" i="6"/>
  <c r="AJ25" i="6"/>
  <c r="Z31" i="6"/>
  <c r="BL31" i="6"/>
  <c r="AW31" i="6"/>
  <c r="BX29" i="6"/>
  <c r="AT29" i="6"/>
  <c r="BI29" i="6"/>
  <c r="BO58" i="6"/>
  <c r="AZ58" i="6"/>
  <c r="AE58" i="6"/>
  <c r="BN21" i="6"/>
  <c r="AY21" i="6"/>
  <c r="AD21" i="6"/>
  <c r="AY40" i="6"/>
  <c r="AD40" i="6"/>
  <c r="BN40" i="6"/>
  <c r="BL43" i="6"/>
  <c r="Z43" i="6"/>
  <c r="AW43" i="6"/>
  <c r="Y14" i="6"/>
  <c r="BK14" i="6"/>
  <c r="AV14" i="6"/>
  <c r="Z32" i="6"/>
  <c r="AW32" i="6"/>
  <c r="BL32" i="6"/>
  <c r="BL59" i="6"/>
  <c r="AW59" i="6"/>
  <c r="Z59" i="6"/>
  <c r="Z48" i="6"/>
  <c r="AW48" i="6"/>
  <c r="BL48" i="6"/>
  <c r="BE31" i="6"/>
  <c r="AN31" i="6"/>
  <c r="BT31" i="6"/>
  <c r="AN43" i="6"/>
  <c r="BE43" i="6"/>
  <c r="BT43" i="6"/>
  <c r="BF27" i="6"/>
  <c r="AO27" i="6"/>
  <c r="BU27" i="6"/>
  <c r="BU15" i="6"/>
  <c r="BF15" i="6"/>
  <c r="AO15" i="6"/>
  <c r="BT16" i="6"/>
  <c r="AN16" i="6"/>
  <c r="BE16" i="6"/>
  <c r="AO48" i="6"/>
  <c r="BF48" i="6"/>
  <c r="BU48" i="6"/>
  <c r="AT18" i="6"/>
  <c r="BI18" i="6"/>
  <c r="BX18" i="6"/>
  <c r="AT52" i="6"/>
  <c r="BX52" i="6"/>
  <c r="BI52" i="6"/>
  <c r="BH32" i="6"/>
  <c r="BW32" i="6"/>
  <c r="AS32" i="6"/>
  <c r="BH56" i="6"/>
  <c r="BW56" i="6"/>
  <c r="AS56" i="6"/>
  <c r="AS51" i="6"/>
  <c r="AU51" i="6" s="1"/>
  <c r="BH51" i="6"/>
  <c r="BW51" i="6"/>
  <c r="BX47" i="6"/>
  <c r="BI47" i="6"/>
  <c r="AT47" i="6"/>
  <c r="BR26" i="6"/>
  <c r="BC26" i="6"/>
  <c r="AJ26" i="6"/>
  <c r="BC55" i="6"/>
  <c r="BR55" i="6"/>
  <c r="AJ55" i="6"/>
  <c r="BC22" i="6"/>
  <c r="BR22" i="6"/>
  <c r="AJ22" i="6"/>
  <c r="AI23" i="6"/>
  <c r="BQ23" i="6"/>
  <c r="BB23" i="6"/>
  <c r="AJ49" i="6"/>
  <c r="BC49" i="6"/>
  <c r="BR49" i="6"/>
  <c r="BB51" i="6"/>
  <c r="AI51" i="6"/>
  <c r="BQ51" i="6"/>
  <c r="BF54" i="6"/>
  <c r="AO54" i="6"/>
  <c r="BU54" i="6"/>
  <c r="AI39" i="6"/>
  <c r="BQ39" i="6"/>
  <c r="BB39" i="6"/>
  <c r="Y40" i="6"/>
  <c r="BK40" i="6"/>
  <c r="AV40" i="6"/>
  <c r="BT18" i="6"/>
  <c r="AN18" i="6"/>
  <c r="BE18" i="6"/>
  <c r="AD44" i="6"/>
  <c r="BN44" i="6"/>
  <c r="AY44" i="6"/>
  <c r="BO59" i="6"/>
  <c r="AE59" i="6"/>
  <c r="AZ59" i="6"/>
  <c r="AE28" i="6"/>
  <c r="BO28" i="6"/>
  <c r="AZ28" i="6"/>
  <c r="AV28" i="6"/>
  <c r="BK28" i="6"/>
  <c r="Y28" i="6"/>
  <c r="Z20" i="6"/>
  <c r="AW20" i="6"/>
  <c r="BL20" i="6"/>
  <c r="BK39" i="6"/>
  <c r="Y39" i="6"/>
  <c r="AV39" i="6"/>
  <c r="BL16" i="6"/>
  <c r="Z16" i="6"/>
  <c r="AW16" i="6"/>
  <c r="Y25" i="6"/>
  <c r="AV25" i="6"/>
  <c r="BK25" i="6"/>
  <c r="BE23" i="6"/>
  <c r="BT23" i="6"/>
  <c r="AN23" i="6"/>
  <c r="AN27" i="6"/>
  <c r="BE27" i="6"/>
  <c r="BT27" i="6"/>
  <c r="BE17" i="6"/>
  <c r="BT17" i="6"/>
  <c r="AN17" i="6"/>
  <c r="AN47" i="6"/>
  <c r="BE47" i="6"/>
  <c r="BT47" i="6"/>
  <c r="BF52" i="6"/>
  <c r="BG52" i="6" s="1"/>
  <c r="AO52" i="6"/>
  <c r="AP52" i="6" s="1"/>
  <c r="BU52" i="6"/>
  <c r="BV52" i="6" s="1"/>
  <c r="AO58" i="6"/>
  <c r="BU58" i="6"/>
  <c r="BF58" i="6"/>
  <c r="BH18" i="6"/>
  <c r="AS18" i="6"/>
  <c r="BW18" i="6"/>
  <c r="BW45" i="6"/>
  <c r="AS45" i="6"/>
  <c r="BH45" i="6"/>
  <c r="BX55" i="6"/>
  <c r="AT55" i="6"/>
  <c r="BI55" i="6"/>
  <c r="BH59" i="6"/>
  <c r="AS59" i="6"/>
  <c r="BW59" i="6"/>
  <c r="BH53" i="6"/>
  <c r="AS53" i="6"/>
  <c r="BW53" i="6"/>
  <c r="AT54" i="6"/>
  <c r="BI54" i="6"/>
  <c r="BX54" i="6"/>
  <c r="AJ17" i="6"/>
  <c r="BC17" i="6"/>
  <c r="BR17" i="6"/>
  <c r="AI38" i="6"/>
  <c r="BB38" i="6"/>
  <c r="BQ38" i="6"/>
  <c r="BS38" i="6" s="1"/>
  <c r="AI31" i="6"/>
  <c r="BQ31" i="6"/>
  <c r="BB31" i="6"/>
  <c r="BB22" i="6"/>
  <c r="AI22" i="6"/>
  <c r="BQ22" i="6"/>
  <c r="BC21" i="6"/>
  <c r="BR21" i="6"/>
  <c r="AJ21" i="6"/>
  <c r="AI49" i="6"/>
  <c r="BQ49" i="6"/>
  <c r="BB49" i="6"/>
  <c r="AZ50" i="6"/>
  <c r="BO50" i="6"/>
  <c r="AE50" i="6"/>
  <c r="BX14" i="6"/>
  <c r="AT14" i="6"/>
  <c r="BI14" i="6"/>
  <c r="AY27" i="6"/>
  <c r="BN27" i="6"/>
  <c r="AD27" i="6"/>
  <c r="AJ43" i="6"/>
  <c r="BC43" i="6"/>
  <c r="BR43" i="6"/>
  <c r="BN24" i="6"/>
  <c r="AD24" i="6"/>
  <c r="AY24" i="6"/>
  <c r="AY51" i="6"/>
  <c r="AD51" i="6"/>
  <c r="BN51" i="6"/>
  <c r="BN58" i="6"/>
  <c r="AY58" i="6"/>
  <c r="BA58" i="6" s="1"/>
  <c r="AD58" i="6"/>
  <c r="AF58" i="6" s="1"/>
  <c r="BO44" i="6"/>
  <c r="AE44" i="6"/>
  <c r="AZ44" i="6"/>
  <c r="BL35" i="6"/>
  <c r="Z35" i="6"/>
  <c r="AW35" i="6"/>
  <c r="AV56" i="6"/>
  <c r="BK56" i="6"/>
  <c r="Y56" i="6"/>
  <c r="BK36" i="6"/>
  <c r="Y36" i="6"/>
  <c r="AV36" i="6"/>
  <c r="Y44" i="6"/>
  <c r="AV44" i="6"/>
  <c r="BK44" i="6"/>
  <c r="Z34" i="6"/>
  <c r="AW34" i="6"/>
  <c r="BL34" i="6"/>
  <c r="Z18" i="6"/>
  <c r="AW18" i="6"/>
  <c r="BL18" i="6"/>
  <c r="BT30" i="6"/>
  <c r="AN30" i="6"/>
  <c r="BE30" i="6"/>
  <c r="BF38" i="6"/>
  <c r="AO38" i="6"/>
  <c r="BU38" i="6"/>
  <c r="BT21" i="6"/>
  <c r="AN21" i="6"/>
  <c r="BE21" i="6"/>
  <c r="AN14" i="6"/>
  <c r="BT14" i="6"/>
  <c r="BE14" i="6"/>
  <c r="BF43" i="6"/>
  <c r="BU43" i="6"/>
  <c r="AO43" i="6"/>
  <c r="BE57" i="6"/>
  <c r="BG57" i="6" s="1"/>
  <c r="BT57" i="6"/>
  <c r="AN57" i="6"/>
  <c r="BW14" i="6"/>
  <c r="AS14" i="6"/>
  <c r="BH14" i="6"/>
  <c r="BJ14" i="6" s="1"/>
  <c r="BX33" i="6"/>
  <c r="AT33" i="6"/>
  <c r="BI33" i="6"/>
  <c r="BI49" i="6"/>
  <c r="AT49" i="6"/>
  <c r="BX49" i="6"/>
  <c r="BW55" i="6"/>
  <c r="AS55" i="6"/>
  <c r="BH55" i="6"/>
  <c r="BI50" i="6"/>
  <c r="BX50" i="6"/>
  <c r="AT50" i="6"/>
  <c r="BW29" i="6"/>
  <c r="BY29" i="6" s="1"/>
  <c r="BH29" i="6"/>
  <c r="BJ29" i="6" s="1"/>
  <c r="AS29" i="6"/>
  <c r="BR45" i="6"/>
  <c r="AJ45" i="6"/>
  <c r="BC45" i="6"/>
  <c r="BC23" i="6"/>
  <c r="AJ23" i="6"/>
  <c r="BR23" i="6"/>
  <c r="BC51" i="6"/>
  <c r="AJ51" i="6"/>
  <c r="BR51" i="6"/>
  <c r="BQ35" i="6"/>
  <c r="BS35" i="6" s="1"/>
  <c r="AI35" i="6"/>
  <c r="AK35" i="6" s="1"/>
  <c r="BB35" i="6"/>
  <c r="BD35" i="6" s="1"/>
  <c r="AI19" i="6"/>
  <c r="BB19" i="6"/>
  <c r="BQ19" i="6"/>
  <c r="BR56" i="6"/>
  <c r="AJ56" i="6"/>
  <c r="BC56" i="6"/>
  <c r="AZ33" i="6"/>
  <c r="AE33" i="6"/>
  <c r="BO33" i="6"/>
  <c r="BC30" i="6"/>
  <c r="AJ30" i="6"/>
  <c r="BR30" i="6"/>
  <c r="AW54" i="6"/>
  <c r="BL54" i="6"/>
  <c r="Z54" i="6"/>
  <c r="BI22" i="6"/>
  <c r="BX22" i="6"/>
  <c r="AT22" i="6"/>
  <c r="AZ19" i="6"/>
  <c r="AE19" i="6"/>
  <c r="BO19" i="6"/>
  <c r="AY16" i="6"/>
  <c r="AD16" i="6"/>
  <c r="BN16" i="6"/>
  <c r="BO54" i="6"/>
  <c r="AZ54" i="6"/>
  <c r="AE54" i="6"/>
  <c r="BO15" i="6"/>
  <c r="AZ15" i="6"/>
  <c r="AE15" i="6"/>
  <c r="BO35" i="6"/>
  <c r="AZ35" i="6"/>
  <c r="AE35" i="6"/>
  <c r="BO57" i="6"/>
  <c r="AZ57" i="6"/>
  <c r="AE57" i="6"/>
  <c r="AD59" i="6"/>
  <c r="AY59" i="6"/>
  <c r="BA59" i="6" s="1"/>
  <c r="BN59" i="6"/>
  <c r="BP59" i="6" s="1"/>
  <c r="AV57" i="6"/>
  <c r="BK57" i="6"/>
  <c r="Y57" i="6"/>
  <c r="AW37" i="6"/>
  <c r="BL37" i="6"/>
  <c r="Z37" i="6"/>
  <c r="Z57" i="6"/>
  <c r="BL57" i="6"/>
  <c r="AW57" i="6"/>
  <c r="Y45" i="6"/>
  <c r="AV45" i="6"/>
  <c r="BK45" i="6"/>
  <c r="BL52" i="6"/>
  <c r="Z52" i="6"/>
  <c r="AW52" i="6"/>
  <c r="AW58" i="6"/>
  <c r="Z58" i="6"/>
  <c r="BL58" i="6"/>
  <c r="BE26" i="6"/>
  <c r="AN26" i="6"/>
  <c r="BT26" i="6"/>
  <c r="BE37" i="6"/>
  <c r="BT37" i="6"/>
  <c r="AN37" i="6"/>
  <c r="BU30" i="6"/>
  <c r="AO30" i="6"/>
  <c r="BF30" i="6"/>
  <c r="BF53" i="6"/>
  <c r="AO53" i="6"/>
  <c r="BU53" i="6"/>
  <c r="BU32" i="6"/>
  <c r="BF32" i="6"/>
  <c r="AO32" i="6"/>
  <c r="BT48" i="6"/>
  <c r="BE48" i="6"/>
  <c r="AN48" i="6"/>
  <c r="BH19" i="6"/>
  <c r="BW19" i="6"/>
  <c r="AS19" i="6"/>
  <c r="BH57" i="6"/>
  <c r="BW57" i="6"/>
  <c r="BY57" i="6" s="1"/>
  <c r="AS57" i="6"/>
  <c r="BW48" i="6"/>
  <c r="BH48" i="6"/>
  <c r="AS48" i="6"/>
  <c r="AS49" i="6"/>
  <c r="BH49" i="6"/>
  <c r="BW49" i="6"/>
  <c r="BX28" i="6"/>
  <c r="BI28" i="6"/>
  <c r="AT28" i="6"/>
  <c r="AT24" i="6"/>
  <c r="BI24" i="6"/>
  <c r="BX24" i="6"/>
  <c r="BC15" i="6"/>
  <c r="BR15" i="6"/>
  <c r="AJ15" i="6"/>
  <c r="BR18" i="6"/>
  <c r="BC18" i="6"/>
  <c r="AJ18" i="6"/>
  <c r="AJ54" i="6"/>
  <c r="BC54" i="6"/>
  <c r="BR54" i="6"/>
  <c r="BQ45" i="6"/>
  <c r="AI45" i="6"/>
  <c r="BB45" i="6"/>
  <c r="BC31" i="6"/>
  <c r="BR31" i="6"/>
  <c r="AJ31" i="6"/>
  <c r="BB43" i="6"/>
  <c r="AI43" i="6"/>
  <c r="BQ43" i="6"/>
  <c r="Z41" i="6"/>
  <c r="AW41" i="6"/>
  <c r="BL41" i="6"/>
  <c r="AN25" i="6"/>
  <c r="BE25" i="6"/>
  <c r="BT25" i="6"/>
  <c r="BN25" i="6"/>
  <c r="AY25" i="6"/>
  <c r="AD25" i="6"/>
  <c r="AF25" i="6" s="1"/>
  <c r="BF45" i="6"/>
  <c r="AO45" i="6"/>
  <c r="BU45" i="6"/>
  <c r="AN35" i="6"/>
  <c r="BE35" i="6"/>
  <c r="BT35" i="6"/>
  <c r="AY39" i="6"/>
  <c r="AD39" i="6"/>
  <c r="BN39" i="6"/>
  <c r="AY47" i="6"/>
  <c r="BN47" i="6"/>
  <c r="AD47" i="6"/>
  <c r="AZ34" i="6"/>
  <c r="AE34" i="6"/>
  <c r="BO34" i="6"/>
  <c r="AD55" i="6"/>
  <c r="BN55" i="6"/>
  <c r="AY55" i="6"/>
  <c r="AE53" i="6"/>
  <c r="BO53" i="6"/>
  <c r="AZ53" i="6"/>
  <c r="AW45" i="6"/>
  <c r="BL45" i="6"/>
  <c r="Z45" i="6"/>
  <c r="Z29" i="6"/>
  <c r="AW29" i="6"/>
  <c r="BL29" i="6"/>
  <c r="BK53" i="6"/>
  <c r="AV53" i="6"/>
  <c r="Y53" i="6"/>
  <c r="AW23" i="6"/>
  <c r="Z23" i="6"/>
  <c r="BL23" i="6"/>
  <c r="Y54" i="6"/>
  <c r="AV54" i="6"/>
  <c r="AX54" i="6" s="1"/>
  <c r="BK54" i="6"/>
  <c r="BL28" i="6"/>
  <c r="Z28" i="6"/>
  <c r="AW28" i="6"/>
  <c r="AN28" i="6"/>
  <c r="BE28" i="6"/>
  <c r="BT28" i="6"/>
  <c r="AN20" i="6"/>
  <c r="BE20" i="6"/>
  <c r="BT20" i="6"/>
  <c r="BT22" i="6"/>
  <c r="BE22" i="6"/>
  <c r="AN22" i="6"/>
  <c r="BT56" i="6"/>
  <c r="AN56" i="6"/>
  <c r="BE56" i="6"/>
  <c r="BU29" i="6"/>
  <c r="BF29" i="6"/>
  <c r="AO29" i="6"/>
  <c r="BF59" i="6"/>
  <c r="AO59" i="6"/>
  <c r="BU59" i="6"/>
  <c r="BI15" i="6"/>
  <c r="BX15" i="6"/>
  <c r="AT15" i="6"/>
  <c r="AS52" i="6"/>
  <c r="BH52" i="6"/>
  <c r="BJ52" i="6" s="1"/>
  <c r="BW52" i="6"/>
  <c r="BW35" i="6"/>
  <c r="AS35" i="6"/>
  <c r="BH35" i="6"/>
  <c r="AS36" i="6"/>
  <c r="BH36" i="6"/>
  <c r="BJ36" i="6" s="1"/>
  <c r="BW36" i="6"/>
  <c r="BH41" i="6"/>
  <c r="BW41" i="6"/>
  <c r="AS41" i="6"/>
  <c r="BI56" i="6"/>
  <c r="BX56" i="6"/>
  <c r="AT56" i="6"/>
  <c r="BR44" i="6"/>
  <c r="BC44" i="6"/>
  <c r="AJ44" i="6"/>
  <c r="AJ14" i="6"/>
  <c r="BR14" i="6"/>
  <c r="BC14" i="6"/>
  <c r="AJ37" i="6"/>
  <c r="BR37" i="6"/>
  <c r="BC37" i="6"/>
  <c r="BB29" i="6"/>
  <c r="BQ29" i="6"/>
  <c r="AI29" i="6"/>
  <c r="BQ53" i="6"/>
  <c r="AI53" i="6"/>
  <c r="BB53" i="6"/>
  <c r="BC32" i="6"/>
  <c r="AJ32" i="6"/>
  <c r="BR32" i="6"/>
  <c r="AO22" i="6"/>
  <c r="BF22" i="6"/>
  <c r="BU22" i="6"/>
  <c r="AI17" i="6"/>
  <c r="BQ17" i="6"/>
  <c r="BB17" i="6"/>
  <c r="AO25" i="6"/>
  <c r="BF25" i="6"/>
  <c r="BU25" i="6"/>
  <c r="BW40" i="6"/>
  <c r="BH40" i="6"/>
  <c r="AS40" i="6"/>
  <c r="BN54" i="6"/>
  <c r="AD54" i="6"/>
  <c r="AY54" i="6"/>
  <c r="BN14" i="6"/>
  <c r="BP14" i="6" s="1"/>
  <c r="AD14" i="6"/>
  <c r="AF14" i="6" s="1"/>
  <c r="AY14" i="6"/>
  <c r="BA14" i="6" s="1"/>
  <c r="AY45" i="6"/>
  <c r="AD45" i="6"/>
  <c r="BN45" i="6"/>
  <c r="AE21" i="6"/>
  <c r="AZ21" i="6"/>
  <c r="BO21" i="6"/>
  <c r="AZ49" i="6"/>
  <c r="AE49" i="6"/>
  <c r="BO49" i="6"/>
  <c r="AD49" i="6"/>
  <c r="AY49" i="6"/>
  <c r="BN49" i="6"/>
  <c r="AV31" i="6"/>
  <c r="BK31" i="6"/>
  <c r="Y31" i="6"/>
  <c r="AW27" i="6"/>
  <c r="BL27" i="6"/>
  <c r="Z27" i="6"/>
  <c r="BK51" i="6"/>
  <c r="Y51" i="6"/>
  <c r="AV51" i="6"/>
  <c r="Y33" i="6"/>
  <c r="AV33" i="6"/>
  <c r="BK33" i="6"/>
  <c r="BL21" i="6"/>
  <c r="Z21" i="6"/>
  <c r="AW21" i="6"/>
  <c r="AW49" i="6"/>
  <c r="BL49" i="6"/>
  <c r="Z49" i="6"/>
  <c r="AO51" i="6"/>
  <c r="BU51" i="6"/>
  <c r="BF51" i="6"/>
  <c r="BU42" i="6"/>
  <c r="AO42" i="6"/>
  <c r="BF42" i="6"/>
  <c r="AO14" i="6"/>
  <c r="BF14" i="6"/>
  <c r="BU14" i="6"/>
  <c r="AO40" i="6"/>
  <c r="BF40" i="6"/>
  <c r="BU40" i="6"/>
  <c r="BT55" i="6"/>
  <c r="AN55" i="6"/>
  <c r="BE55" i="6"/>
  <c r="BU55" i="6"/>
  <c r="BF55" i="6"/>
  <c r="AO55" i="6"/>
  <c r="AT16" i="6"/>
  <c r="BI16" i="6"/>
  <c r="BX16" i="6"/>
  <c r="BX43" i="6"/>
  <c r="AT43" i="6"/>
  <c r="BI43" i="6"/>
  <c r="BH34" i="6"/>
  <c r="BW34" i="6"/>
  <c r="AS34" i="6"/>
  <c r="AT23" i="6"/>
  <c r="BI23" i="6"/>
  <c r="BX23" i="6"/>
  <c r="BX31" i="6"/>
  <c r="AT31" i="6"/>
  <c r="BI31" i="6"/>
  <c r="BH47" i="6"/>
  <c r="BW47" i="6"/>
  <c r="AS47" i="6"/>
  <c r="AI42" i="6"/>
  <c r="BB42" i="6"/>
  <c r="BQ42" i="6"/>
  <c r="AI15" i="6"/>
  <c r="BQ15" i="6"/>
  <c r="BB15" i="6"/>
  <c r="BR33" i="6"/>
  <c r="BC33" i="6"/>
  <c r="AJ33" i="6"/>
  <c r="BC53" i="6"/>
  <c r="BR53" i="6"/>
  <c r="AJ53" i="6"/>
  <c r="AI44" i="6"/>
  <c r="AK44" i="6" s="1"/>
  <c r="BQ44" i="6"/>
  <c r="BS44" i="6" s="1"/>
  <c r="BB44" i="6"/>
  <c r="AI20" i="6"/>
  <c r="BQ20" i="6"/>
  <c r="BB20" i="6"/>
  <c r="AE45" i="6"/>
  <c r="AZ45" i="6"/>
  <c r="BO45" i="6"/>
  <c r="BE45" i="6"/>
  <c r="BT45" i="6"/>
  <c r="AN45" i="6"/>
  <c r="AZ42" i="6"/>
  <c r="AE42" i="6"/>
  <c r="BO42" i="6"/>
  <c r="BR57" i="6"/>
  <c r="BC57" i="6"/>
  <c r="AJ57" i="6"/>
  <c r="AY52" i="6"/>
  <c r="AD52" i="6"/>
  <c r="BN52" i="6"/>
  <c r="AE37" i="6"/>
  <c r="BO37" i="6"/>
  <c r="AZ37" i="6"/>
  <c r="AE20" i="6"/>
  <c r="BO20" i="6"/>
  <c r="AZ20" i="6"/>
  <c r="AY26" i="6"/>
  <c r="BN26" i="6"/>
  <c r="AD26" i="6"/>
  <c r="AY42" i="6"/>
  <c r="AD42" i="6"/>
  <c r="BN42" i="6"/>
  <c r="BN31" i="6"/>
  <c r="AD31" i="6"/>
  <c r="AY31" i="6"/>
  <c r="BO48" i="6"/>
  <c r="AZ48" i="6"/>
  <c r="AE48" i="6"/>
  <c r="BN38" i="6"/>
  <c r="AD38" i="6"/>
  <c r="AY38" i="6"/>
  <c r="Y35" i="6"/>
  <c r="AA35" i="6" s="1"/>
  <c r="BK35" i="6"/>
  <c r="BM35" i="6" s="1"/>
  <c r="AV35" i="6"/>
  <c r="AX35" i="6" s="1"/>
  <c r="Z19" i="6"/>
  <c r="AW19" i="6"/>
  <c r="BL19" i="6"/>
  <c r="Y47" i="6"/>
  <c r="BK47" i="6"/>
  <c r="AV47" i="6"/>
  <c r="AW24" i="6"/>
  <c r="BL24" i="6"/>
  <c r="Z24" i="6"/>
  <c r="Z25" i="6"/>
  <c r="AW25" i="6"/>
  <c r="BL25" i="6"/>
  <c r="Z42" i="6"/>
  <c r="BL42" i="6"/>
  <c r="AW42" i="6"/>
  <c r="BT46" i="6"/>
  <c r="AN46" i="6"/>
  <c r="BE46" i="6"/>
  <c r="BE36" i="6"/>
  <c r="AN36" i="6"/>
  <c r="BT36" i="6"/>
  <c r="BT32" i="6"/>
  <c r="AN32" i="6"/>
  <c r="BE32" i="6"/>
  <c r="BU21" i="6"/>
  <c r="AO21" i="6"/>
  <c r="BF21" i="6"/>
  <c r="BU36" i="6"/>
  <c r="AO36" i="6"/>
  <c r="BF36" i="6"/>
  <c r="BE49" i="6"/>
  <c r="BT49" i="6"/>
  <c r="AN49" i="6"/>
  <c r="BH15" i="6"/>
  <c r="AS15" i="6"/>
  <c r="BW15" i="6"/>
  <c r="AT35" i="6"/>
  <c r="BI35" i="6"/>
  <c r="BX35" i="6"/>
  <c r="BW30" i="6"/>
  <c r="AS30" i="6"/>
  <c r="BH30" i="6"/>
  <c r="BX21" i="6"/>
  <c r="AT21" i="6"/>
  <c r="BI21" i="6"/>
  <c r="BH28" i="6"/>
  <c r="AS28" i="6"/>
  <c r="BW28" i="6"/>
  <c r="BW54" i="6"/>
  <c r="BH54" i="6"/>
  <c r="AS54" i="6"/>
  <c r="AU54" i="6" s="1"/>
  <c r="BQ47" i="6"/>
  <c r="AI47" i="6"/>
  <c r="BB47" i="6"/>
  <c r="BD47" i="6" s="1"/>
  <c r="BB54" i="6"/>
  <c r="BQ54" i="6"/>
  <c r="BS54" i="6" s="1"/>
  <c r="AI54" i="6"/>
  <c r="AK54" i="6" s="1"/>
  <c r="AI30" i="6"/>
  <c r="BQ30" i="6"/>
  <c r="BS30" i="6" s="1"/>
  <c r="BB30" i="6"/>
  <c r="BQ48" i="6"/>
  <c r="AI48" i="6"/>
  <c r="BB48" i="6"/>
  <c r="BR24" i="6"/>
  <c r="BC24" i="6"/>
  <c r="AJ24" i="6"/>
  <c r="AI16" i="6"/>
  <c r="BQ16" i="6"/>
  <c r="BB16" i="6"/>
  <c r="BL50" i="6"/>
  <c r="AW50" i="6"/>
  <c r="Z50" i="6"/>
  <c r="AN54" i="6"/>
  <c r="BT54" i="6"/>
  <c r="BE54" i="6"/>
  <c r="AZ36" i="6"/>
  <c r="BO36" i="6"/>
  <c r="AE36" i="6"/>
  <c r="BB59" i="6"/>
  <c r="AI59" i="6"/>
  <c r="BQ59" i="6"/>
  <c r="AZ56" i="6"/>
  <c r="AE56" i="6"/>
  <c r="BO56" i="6"/>
  <c r="AZ16" i="6"/>
  <c r="BO16" i="6"/>
  <c r="AE16" i="6"/>
  <c r="BO24" i="6"/>
  <c r="AE24" i="6"/>
  <c r="AZ24" i="6"/>
  <c r="AE51" i="6"/>
  <c r="BO51" i="6"/>
  <c r="AZ51" i="6"/>
  <c r="BN41" i="6"/>
  <c r="BP41" i="6" s="1"/>
  <c r="AD41" i="6"/>
  <c r="AF41" i="6" s="1"/>
  <c r="AY41" i="6"/>
  <c r="BN46" i="6"/>
  <c r="AY46" i="6"/>
  <c r="AD46" i="6"/>
  <c r="AD28" i="6"/>
  <c r="AF28" i="6" s="1"/>
  <c r="BN28" i="6"/>
  <c r="BP28" i="6" s="1"/>
  <c r="AY28" i="6"/>
  <c r="BA28" i="6" s="1"/>
  <c r="Y26" i="6"/>
  <c r="BK26" i="6"/>
  <c r="AV26" i="6"/>
  <c r="Z47" i="6"/>
  <c r="AW47" i="6"/>
  <c r="BL47" i="6"/>
  <c r="BL39" i="6"/>
  <c r="Z39" i="6"/>
  <c r="AW39" i="6"/>
  <c r="BK24" i="6"/>
  <c r="Y24" i="6"/>
  <c r="AV24" i="6"/>
  <c r="Y16" i="6"/>
  <c r="BK16" i="6"/>
  <c r="AV16" i="6"/>
  <c r="BL36" i="6"/>
  <c r="AW36" i="6"/>
  <c r="Z36" i="6"/>
  <c r="AO26" i="6"/>
  <c r="BU26" i="6"/>
  <c r="BF26" i="6"/>
  <c r="BU44" i="6"/>
  <c r="BF44" i="6"/>
  <c r="AO44" i="6"/>
  <c r="BE42" i="6"/>
  <c r="AN42" i="6"/>
  <c r="BT42" i="6"/>
  <c r="BF28" i="6"/>
  <c r="AO28" i="6"/>
  <c r="BU28" i="6"/>
  <c r="BU23" i="6"/>
  <c r="AO23" i="6"/>
  <c r="BF23" i="6"/>
  <c r="BT59" i="6"/>
  <c r="BV59" i="6" s="1"/>
  <c r="BE59" i="6"/>
  <c r="BG59" i="6" s="1"/>
  <c r="AN59" i="6"/>
  <c r="BX17" i="6"/>
  <c r="AT17" i="6"/>
  <c r="BI17" i="6"/>
  <c r="BW33" i="6"/>
  <c r="AS33" i="6"/>
  <c r="BH33" i="6"/>
  <c r="BI42" i="6"/>
  <c r="BX42" i="6"/>
  <c r="AT42" i="6"/>
  <c r="BX32" i="6"/>
  <c r="AT32" i="6"/>
  <c r="BI32" i="6"/>
  <c r="AS50" i="6"/>
  <c r="AU50" i="6" s="1"/>
  <c r="BH50" i="6"/>
  <c r="BJ50" i="6" s="1"/>
  <c r="BW50" i="6"/>
  <c r="BY50" i="6" s="1"/>
  <c r="BW44" i="6"/>
  <c r="BY44" i="6" s="1"/>
  <c r="AS44" i="6"/>
  <c r="AU44" i="6" s="1"/>
  <c r="BH44" i="6"/>
  <c r="BJ44" i="6" s="1"/>
  <c r="BB57" i="6"/>
  <c r="BQ57" i="6"/>
  <c r="AI57" i="6"/>
  <c r="BQ52" i="6"/>
  <c r="AI52" i="6"/>
  <c r="BB52" i="6"/>
  <c r="BQ24" i="6"/>
  <c r="AI24" i="6"/>
  <c r="BB24" i="6"/>
  <c r="BR36" i="6"/>
  <c r="BC36" i="6"/>
  <c r="AJ36" i="6"/>
  <c r="BQ14" i="6"/>
  <c r="AI14" i="6"/>
  <c r="BB14" i="6"/>
  <c r="BO30" i="6"/>
  <c r="AZ30" i="6"/>
  <c r="BA30" i="6" s="1"/>
  <c r="AE30" i="6"/>
  <c r="AV49" i="6"/>
  <c r="Y49" i="6"/>
  <c r="BK49" i="6"/>
  <c r="AS43" i="6"/>
  <c r="BW43" i="6"/>
  <c r="BH43" i="6"/>
  <c r="AW44" i="6"/>
  <c r="BL44" i="6"/>
  <c r="Z44" i="6"/>
  <c r="BB50" i="6"/>
  <c r="BQ50" i="6"/>
  <c r="BS50" i="6" s="1"/>
  <c r="AI50" i="6"/>
  <c r="BO47" i="6"/>
  <c r="AE47" i="6"/>
  <c r="AZ47" i="6"/>
  <c r="AY15" i="6"/>
  <c r="BA15" i="6" s="1"/>
  <c r="AD15" i="6"/>
  <c r="AF15" i="6" s="1"/>
  <c r="BN15" i="6"/>
  <c r="BP15" i="6" s="1"/>
  <c r="AY22" i="6"/>
  <c r="BN22" i="6"/>
  <c r="AD22" i="6"/>
  <c r="AD29" i="6"/>
  <c r="BN29" i="6"/>
  <c r="AY29" i="6"/>
  <c r="BO55" i="6"/>
  <c r="AE55" i="6"/>
  <c r="AZ55" i="6"/>
  <c r="AE38" i="6"/>
  <c r="AZ38" i="6"/>
  <c r="BO38" i="6"/>
  <c r="AY53" i="6"/>
  <c r="BN53" i="6"/>
  <c r="AD53" i="6"/>
  <c r="Y17" i="6"/>
  <c r="AV17" i="6"/>
  <c r="BK17" i="6"/>
  <c r="BL22" i="6"/>
  <c r="Z22" i="6"/>
  <c r="AW22" i="6"/>
  <c r="BL30" i="6"/>
  <c r="Z30" i="6"/>
  <c r="AW30" i="6"/>
  <c r="Y58" i="6"/>
  <c r="BK58" i="6"/>
  <c r="AV58" i="6"/>
  <c r="AV46" i="6"/>
  <c r="BK46" i="6"/>
  <c r="Y46" i="6"/>
  <c r="AA46" i="6" s="1"/>
  <c r="Y59" i="6"/>
  <c r="AV59" i="6"/>
  <c r="AX59" i="6" s="1"/>
  <c r="BK59" i="6"/>
  <c r="BE38" i="6"/>
  <c r="BG38" i="6" s="1"/>
  <c r="BT38" i="6"/>
  <c r="AN38" i="6"/>
  <c r="AO49" i="6"/>
  <c r="BU49" i="6"/>
  <c r="BF49" i="6"/>
  <c r="BE29" i="6"/>
  <c r="BG29" i="6" s="1"/>
  <c r="BT29" i="6"/>
  <c r="BV29" i="6" s="1"/>
  <c r="AN29" i="6"/>
  <c r="AP29" i="6" s="1"/>
  <c r="BF16" i="6"/>
  <c r="BU16" i="6"/>
  <c r="AO16" i="6"/>
  <c r="AO47" i="6"/>
  <c r="BF47" i="6"/>
  <c r="BU47" i="6"/>
  <c r="AN53" i="6"/>
  <c r="BT53" i="6"/>
  <c r="BE53" i="6"/>
  <c r="BI30" i="6"/>
  <c r="BX30" i="6"/>
  <c r="AT30" i="6"/>
  <c r="AS26" i="6"/>
  <c r="BH26" i="6"/>
  <c r="BW26" i="6"/>
  <c r="BW37" i="6"/>
  <c r="AS37" i="6"/>
  <c r="BH37" i="6"/>
  <c r="AT45" i="6"/>
  <c r="BI45" i="6"/>
  <c r="BX45" i="6"/>
  <c r="BW31" i="6"/>
  <c r="BH31" i="6"/>
  <c r="AS31" i="6"/>
  <c r="BI39" i="6"/>
  <c r="AT39" i="6"/>
  <c r="BX39" i="6"/>
  <c r="BY39" i="6" s="1"/>
  <c r="BC34" i="6"/>
  <c r="AJ34" i="6"/>
  <c r="BR34" i="6"/>
  <c r="AI34" i="6"/>
  <c r="BB34" i="6"/>
  <c r="BQ34" i="6"/>
  <c r="BR58" i="6"/>
  <c r="AJ58" i="6"/>
  <c r="BC58" i="6"/>
  <c r="BC28" i="6"/>
  <c r="AJ28" i="6"/>
  <c r="BR28" i="6"/>
  <c r="BB55" i="6"/>
  <c r="BQ55" i="6"/>
  <c r="AI55" i="6"/>
  <c r="BK15" i="6"/>
  <c r="Y15" i="6"/>
  <c r="AV15" i="6"/>
  <c r="AJ27" i="6"/>
  <c r="BR27" i="6"/>
  <c r="BC27" i="6"/>
  <c r="BK30" i="6"/>
  <c r="Y30" i="6"/>
  <c r="AV30" i="6"/>
  <c r="BB21" i="6"/>
  <c r="BQ21" i="6"/>
  <c r="AI21" i="6"/>
  <c r="AE18" i="6"/>
  <c r="BO18" i="6"/>
  <c r="AZ18" i="6"/>
  <c r="BN20" i="6"/>
  <c r="AY20" i="6"/>
  <c r="AD20" i="6"/>
  <c r="AD18" i="6"/>
  <c r="BN18" i="6"/>
  <c r="AY18" i="6"/>
  <c r="AZ52" i="6"/>
  <c r="BO52" i="6"/>
  <c r="AE52" i="6"/>
  <c r="AZ46" i="6"/>
  <c r="BO46" i="6"/>
  <c r="AE46" i="6"/>
  <c r="AD36" i="6"/>
  <c r="AY36" i="6"/>
  <c r="BN36" i="6"/>
  <c r="BN19" i="6"/>
  <c r="AY19" i="6"/>
  <c r="AD19" i="6"/>
  <c r="AV48" i="6"/>
  <c r="BK48" i="6"/>
  <c r="Y48" i="6"/>
  <c r="BK52" i="6"/>
  <c r="BM52" i="6" s="1"/>
  <c r="AV52" i="6"/>
  <c r="Y52" i="6"/>
  <c r="AV18" i="6"/>
  <c r="BK18" i="6"/>
  <c r="Y18" i="6"/>
  <c r="AV34" i="6"/>
  <c r="Y34" i="6"/>
  <c r="BK34" i="6"/>
  <c r="BL56" i="6"/>
  <c r="Z56" i="6"/>
  <c r="AW56" i="6"/>
  <c r="Z38" i="6"/>
  <c r="AW38" i="6"/>
  <c r="BL38" i="6"/>
  <c r="AO39" i="6"/>
  <c r="BU39" i="6"/>
  <c r="BF39" i="6"/>
  <c r="AO35" i="6"/>
  <c r="BU35" i="6"/>
  <c r="BF35" i="6"/>
  <c r="BF19" i="6"/>
  <c r="AO19" i="6"/>
  <c r="BU19" i="6"/>
  <c r="AO20" i="6"/>
  <c r="BU20" i="6"/>
  <c r="BF20" i="6"/>
  <c r="BF56" i="6"/>
  <c r="AO56" i="6"/>
  <c r="BU56" i="6"/>
  <c r="AN41" i="6"/>
  <c r="BT41" i="6"/>
  <c r="BE41" i="6"/>
  <c r="AS25" i="6"/>
  <c r="BW25" i="6"/>
  <c r="BH25" i="6"/>
  <c r="BW58" i="6"/>
  <c r="BY58" i="6" s="1"/>
  <c r="BH58" i="6"/>
  <c r="AS58" i="6"/>
  <c r="BX59" i="6"/>
  <c r="BY59" i="6" s="1"/>
  <c r="AT59" i="6"/>
  <c r="AU59" i="6" s="1"/>
  <c r="BI59" i="6"/>
  <c r="AT53" i="6"/>
  <c r="BX53" i="6"/>
  <c r="BI53" i="6"/>
  <c r="AT20" i="6"/>
  <c r="BX20" i="6"/>
  <c r="BI20" i="6"/>
  <c r="AT26" i="6"/>
  <c r="BX26" i="6"/>
  <c r="BI26" i="6"/>
  <c r="BQ28" i="6"/>
  <c r="AI28" i="6"/>
  <c r="BB28" i="6"/>
  <c r="BR29" i="6"/>
  <c r="BC29" i="6"/>
  <c r="AJ29" i="6"/>
  <c r="AI46" i="6"/>
  <c r="BB46" i="6"/>
  <c r="BQ46" i="6"/>
  <c r="AJ20" i="6"/>
  <c r="BC20" i="6"/>
  <c r="BR20" i="6"/>
  <c r="AI58" i="6"/>
  <c r="BQ58" i="6"/>
  <c r="BB58" i="6"/>
  <c r="AW55" i="6"/>
  <c r="BL55" i="6"/>
  <c r="Z55" i="6"/>
  <c r="BX41" i="6"/>
  <c r="AT41" i="6"/>
  <c r="BI41" i="6"/>
  <c r="BL40" i="6"/>
  <c r="Z40" i="6"/>
  <c r="AW40" i="6"/>
  <c r="AJ52" i="6"/>
  <c r="BC52" i="6"/>
  <c r="BR52" i="6"/>
  <c r="AZ17" i="6"/>
  <c r="AE17" i="6"/>
  <c r="BO17" i="6"/>
  <c r="AE26" i="6"/>
  <c r="AZ26" i="6"/>
  <c r="BO26" i="6"/>
  <c r="BO43" i="6"/>
  <c r="AZ43" i="6"/>
  <c r="AE43" i="6"/>
  <c r="AY43" i="6"/>
  <c r="AD43" i="6"/>
  <c r="BN43" i="6"/>
  <c r="BN35" i="6"/>
  <c r="BP35" i="6" s="1"/>
  <c r="AD35" i="6"/>
  <c r="AF35" i="6" s="1"/>
  <c r="AY35" i="6"/>
  <c r="BA35" i="6" s="1"/>
  <c r="AZ32" i="6"/>
  <c r="BO32" i="6"/>
  <c r="AE32" i="6"/>
  <c r="AW15" i="6"/>
  <c r="BL15" i="6"/>
  <c r="Z15" i="6"/>
  <c r="BL17" i="6"/>
  <c r="Z17" i="6"/>
  <c r="AW17" i="6"/>
  <c r="AW26" i="6"/>
  <c r="Z26" i="6"/>
  <c r="BL26" i="6"/>
  <c r="Y43" i="6"/>
  <c r="AV43" i="6"/>
  <c r="BK43" i="6"/>
  <c r="AW53" i="6"/>
  <c r="BL53" i="6"/>
  <c r="Z53" i="6"/>
  <c r="BL51" i="6"/>
  <c r="AW51" i="6"/>
  <c r="Z51" i="6"/>
  <c r="BF41" i="6"/>
  <c r="AO41" i="6"/>
  <c r="BU41" i="6"/>
  <c r="BU34" i="6"/>
  <c r="BF34" i="6"/>
  <c r="AO34" i="6"/>
  <c r="BF46" i="6"/>
  <c r="AO46" i="6"/>
  <c r="BU46" i="6"/>
  <c r="BF50" i="6"/>
  <c r="BU50" i="6"/>
  <c r="AO50" i="6"/>
  <c r="AN44" i="6"/>
  <c r="AP44" i="6" s="1"/>
  <c r="BT44" i="6"/>
  <c r="BE44" i="6"/>
  <c r="BT50" i="6"/>
  <c r="BE50" i="6"/>
  <c r="AN50" i="6"/>
  <c r="BH17" i="6"/>
  <c r="BW17" i="6"/>
  <c r="AS17" i="6"/>
  <c r="AT48" i="6"/>
  <c r="BX48" i="6"/>
  <c r="BI48" i="6"/>
  <c r="BX46" i="6"/>
  <c r="AT46" i="6"/>
  <c r="BI46" i="6"/>
  <c r="BW46" i="6"/>
  <c r="BH46" i="6"/>
  <c r="AS46" i="6"/>
  <c r="AS42" i="6"/>
  <c r="BH42" i="6"/>
  <c r="BW42" i="6"/>
  <c r="BW24" i="6"/>
  <c r="BY24" i="6" s="1"/>
  <c r="AS24" i="6"/>
  <c r="BH24" i="6"/>
  <c r="BQ25" i="6"/>
  <c r="BB25" i="6"/>
  <c r="AI25" i="6"/>
  <c r="AI32" i="6"/>
  <c r="BB32" i="6"/>
  <c r="BQ32" i="6"/>
  <c r="BR39" i="6"/>
  <c r="BC39" i="6"/>
  <c r="AJ39" i="6"/>
  <c r="BC19" i="6"/>
  <c r="AJ19" i="6"/>
  <c r="BR19" i="6"/>
  <c r="BC41" i="6"/>
  <c r="BR41" i="6"/>
  <c r="AJ41" i="6"/>
  <c r="H186" i="19"/>
  <c r="V186" i="19" s="1"/>
  <c r="X186" i="19" s="1"/>
  <c r="V271" i="19"/>
  <c r="X271" i="19" s="1"/>
  <c r="AF271" i="19" s="1"/>
  <c r="AH271" i="19" s="1"/>
  <c r="AI271" i="19" s="1"/>
  <c r="DB98" i="19"/>
  <c r="DD98" i="19" s="1"/>
  <c r="DL98" i="19" s="1"/>
  <c r="H100" i="19"/>
  <c r="V100" i="19" s="1"/>
  <c r="X100" i="19" s="1"/>
  <c r="BL98" i="19"/>
  <c r="BN98" i="19" s="1"/>
  <c r="DI98" i="19" s="1"/>
  <c r="CN98" i="19"/>
  <c r="CP98" i="19" s="1"/>
  <c r="DK98" i="19" s="1"/>
  <c r="AJ98" i="19"/>
  <c r="AL98" i="19" s="1"/>
  <c r="DG98" i="19" s="1"/>
  <c r="AX98" i="19"/>
  <c r="AZ98" i="19" s="1"/>
  <c r="DH98" i="19" s="1"/>
  <c r="CT270" i="19"/>
  <c r="CV270" i="19" s="1"/>
  <c r="CW270" i="19" s="1"/>
  <c r="BD270" i="19"/>
  <c r="BF270" i="19" s="1"/>
  <c r="BG270" i="19" s="1"/>
  <c r="AB270" i="19"/>
  <c r="AD270" i="19" s="1"/>
  <c r="AE270" i="19" s="1"/>
  <c r="CF270" i="19"/>
  <c r="CH270" i="19" s="1"/>
  <c r="CI270" i="19" s="1"/>
  <c r="AP270" i="19"/>
  <c r="AR270" i="19" s="1"/>
  <c r="AS270" i="19" s="1"/>
  <c r="BR270" i="19"/>
  <c r="BT270" i="19" s="1"/>
  <c r="BU270" i="19" s="1"/>
  <c r="BH270" i="19"/>
  <c r="BJ270" i="19" s="1"/>
  <c r="BK270" i="19" s="1"/>
  <c r="AF270" i="19"/>
  <c r="AH270" i="19" s="1"/>
  <c r="AI270" i="19" s="1"/>
  <c r="CX270" i="19"/>
  <c r="CZ270" i="19" s="1"/>
  <c r="DA270" i="19" s="1"/>
  <c r="BV270" i="19"/>
  <c r="BX270" i="19" s="1"/>
  <c r="BY270" i="19" s="1"/>
  <c r="CJ270" i="19"/>
  <c r="CL270" i="19" s="1"/>
  <c r="CM270" i="19" s="1"/>
  <c r="AT270" i="19"/>
  <c r="AV270" i="19" s="1"/>
  <c r="AW270" i="19" s="1"/>
  <c r="G101" i="19"/>
  <c r="C102" i="19"/>
  <c r="DE101" i="19"/>
  <c r="BB101" i="19"/>
  <c r="BE101" i="19" s="1"/>
  <c r="AN101" i="19"/>
  <c r="AQ101" i="19" s="1"/>
  <c r="Z101" i="19"/>
  <c r="AC101" i="19" s="1"/>
  <c r="CR101" i="19"/>
  <c r="CU101" i="19" s="1"/>
  <c r="CD101" i="19"/>
  <c r="CG101" i="19" s="1"/>
  <c r="BP101" i="19"/>
  <c r="BS101" i="19" s="1"/>
  <c r="G187" i="19"/>
  <c r="C188" i="19"/>
  <c r="DE187" i="19"/>
  <c r="CD187" i="19"/>
  <c r="CG187" i="19" s="1"/>
  <c r="Z187" i="19"/>
  <c r="AC187" i="19" s="1"/>
  <c r="BP187" i="19"/>
  <c r="BS187" i="19" s="1"/>
  <c r="CR187" i="19"/>
  <c r="CU187" i="19" s="1"/>
  <c r="BB187" i="19"/>
  <c r="BE187" i="19" s="1"/>
  <c r="AN187" i="19"/>
  <c r="AQ187" i="19" s="1"/>
  <c r="G273" i="19"/>
  <c r="C274" i="19"/>
  <c r="DE273" i="19"/>
  <c r="CD273" i="19"/>
  <c r="CG273" i="19" s="1"/>
  <c r="BP273" i="19"/>
  <c r="BS273" i="19" s="1"/>
  <c r="BB273" i="19"/>
  <c r="BE273" i="19" s="1"/>
  <c r="AN273" i="19"/>
  <c r="AQ273" i="19" s="1"/>
  <c r="CR273" i="19"/>
  <c r="CU273" i="19" s="1"/>
  <c r="Z273" i="19"/>
  <c r="AC273" i="19" s="1"/>
  <c r="BR184" i="19"/>
  <c r="BT184" i="19" s="1"/>
  <c r="BU184" i="19" s="1"/>
  <c r="CF184" i="19"/>
  <c r="CH184" i="19" s="1"/>
  <c r="CI184" i="19" s="1"/>
  <c r="CT184" i="19"/>
  <c r="CV184" i="19" s="1"/>
  <c r="CW184" i="19" s="1"/>
  <c r="AP184" i="19"/>
  <c r="AR184" i="19" s="1"/>
  <c r="AS184" i="19" s="1"/>
  <c r="AB184" i="19"/>
  <c r="AD184" i="19" s="1"/>
  <c r="AE184" i="19" s="1"/>
  <c r="BD184" i="19"/>
  <c r="BF184" i="19" s="1"/>
  <c r="BG184" i="19" s="1"/>
  <c r="AF184" i="19"/>
  <c r="AH184" i="19" s="1"/>
  <c r="AI184" i="19" s="1"/>
  <c r="AT184" i="19"/>
  <c r="AV184" i="19" s="1"/>
  <c r="AW184" i="19" s="1"/>
  <c r="BH184" i="19"/>
  <c r="BJ184" i="19" s="1"/>
  <c r="BK184" i="19" s="1"/>
  <c r="CJ184" i="19"/>
  <c r="CL184" i="19" s="1"/>
  <c r="CM184" i="19" s="1"/>
  <c r="CX184" i="19"/>
  <c r="CZ184" i="19" s="1"/>
  <c r="DA184" i="19" s="1"/>
  <c r="BV184" i="19"/>
  <c r="BX184" i="19" s="1"/>
  <c r="BY184" i="19" s="1"/>
  <c r="BZ98" i="19"/>
  <c r="CB98" i="19" s="1"/>
  <c r="DJ98" i="19" s="1"/>
  <c r="F101" i="19"/>
  <c r="F187" i="19"/>
  <c r="H272" i="19"/>
  <c r="CF271" i="19"/>
  <c r="CH271" i="19" s="1"/>
  <c r="CI271" i="19" s="1"/>
  <c r="AP271" i="19"/>
  <c r="AR271" i="19" s="1"/>
  <c r="AS271" i="19" s="1"/>
  <c r="BD271" i="19"/>
  <c r="BF271" i="19" s="1"/>
  <c r="BG271" i="19" s="1"/>
  <c r="CT271" i="19"/>
  <c r="CV271" i="19" s="1"/>
  <c r="CW271" i="19" s="1"/>
  <c r="AB271" i="19"/>
  <c r="AD271" i="19" s="1"/>
  <c r="AE271" i="19" s="1"/>
  <c r="BR271" i="19"/>
  <c r="BT271" i="19" s="1"/>
  <c r="BU271" i="19" s="1"/>
  <c r="V99" i="19"/>
  <c r="X99" i="19" s="1"/>
  <c r="I99" i="19"/>
  <c r="S99" i="19" s="1"/>
  <c r="U99" i="19" s="1"/>
  <c r="CF185" i="19"/>
  <c r="CH185" i="19" s="1"/>
  <c r="CI185" i="19" s="1"/>
  <c r="AP185" i="19"/>
  <c r="AR185" i="19" s="1"/>
  <c r="AS185" i="19" s="1"/>
  <c r="BR185" i="19"/>
  <c r="BT185" i="19" s="1"/>
  <c r="BU185" i="19" s="1"/>
  <c r="AB185" i="19"/>
  <c r="AD185" i="19" s="1"/>
  <c r="AE185" i="19" s="1"/>
  <c r="BD185" i="19"/>
  <c r="BF185" i="19" s="1"/>
  <c r="BG185" i="19" s="1"/>
  <c r="CT185" i="19"/>
  <c r="CV185" i="19" s="1"/>
  <c r="CW185" i="19" s="1"/>
  <c r="BH271" i="19"/>
  <c r="BJ271" i="19" s="1"/>
  <c r="BK271" i="19" s="1"/>
  <c r="CJ271" i="19"/>
  <c r="CL271" i="19" s="1"/>
  <c r="CM271" i="19" s="1"/>
  <c r="F273" i="19"/>
  <c r="BV185" i="19"/>
  <c r="BX185" i="19" s="1"/>
  <c r="BY185" i="19" s="1"/>
  <c r="AT185" i="19"/>
  <c r="AV185" i="19" s="1"/>
  <c r="AW185" i="19" s="1"/>
  <c r="CX185" i="19"/>
  <c r="CZ185" i="19" s="1"/>
  <c r="DA185" i="19" s="1"/>
  <c r="BH185" i="19"/>
  <c r="BJ185" i="19" s="1"/>
  <c r="BK185" i="19" s="1"/>
  <c r="AF185" i="19"/>
  <c r="AH185" i="19" s="1"/>
  <c r="AI185" i="19" s="1"/>
  <c r="CJ185" i="19"/>
  <c r="CL185" i="19" s="1"/>
  <c r="CM185" i="19" s="1"/>
  <c r="BV44" i="6" l="1"/>
  <c r="AX34" i="6"/>
  <c r="AA18" i="6"/>
  <c r="AF20" i="6"/>
  <c r="BJ15" i="6"/>
  <c r="AU15" i="6"/>
  <c r="CX271" i="19"/>
  <c r="CZ271" i="19" s="1"/>
  <c r="DA271" i="19" s="1"/>
  <c r="AT271" i="19"/>
  <c r="AV271" i="19" s="1"/>
  <c r="AW271" i="19" s="1"/>
  <c r="BV271" i="19"/>
  <c r="BX271" i="19" s="1"/>
  <c r="BY271" i="19" s="1"/>
  <c r="AX49" i="6"/>
  <c r="BM46" i="6"/>
  <c r="AX46" i="6"/>
  <c r="BJ42" i="6"/>
  <c r="BJ54" i="6"/>
  <c r="AK50" i="6"/>
  <c r="BS42" i="6"/>
  <c r="BM54" i="6"/>
  <c r="BD50" i="6"/>
  <c r="AK42" i="6"/>
  <c r="AA54" i="6"/>
  <c r="AU17" i="6"/>
  <c r="AU58" i="6"/>
  <c r="AU57" i="6"/>
  <c r="BY17" i="6"/>
  <c r="BJ17" i="6"/>
  <c r="BY15" i="6"/>
  <c r="BV27" i="6"/>
  <c r="BD42" i="6"/>
  <c r="BG44" i="6"/>
  <c r="BM34" i="6"/>
  <c r="BM59" i="6"/>
  <c r="AK38" i="6"/>
  <c r="AK48" i="6"/>
  <c r="BY47" i="6"/>
  <c r="BS46" i="6"/>
  <c r="BP29" i="6"/>
  <c r="AK22" i="6"/>
  <c r="BD22" i="6"/>
  <c r="AU42" i="6"/>
  <c r="BJ16" i="6"/>
  <c r="BY22" i="6"/>
  <c r="BD21" i="6"/>
  <c r="AU16" i="6"/>
  <c r="BD28" i="6"/>
  <c r="BS28" i="6"/>
  <c r="BD38" i="6"/>
  <c r="AF19" i="6"/>
  <c r="BD24" i="6"/>
  <c r="AX16" i="6"/>
  <c r="BD16" i="6"/>
  <c r="BD15" i="6"/>
  <c r="BS43" i="6"/>
  <c r="AF27" i="6"/>
  <c r="BS16" i="6"/>
  <c r="BS15" i="6"/>
  <c r="AA16" i="6"/>
  <c r="AK16" i="6"/>
  <c r="BD43" i="6"/>
  <c r="BA27" i="6"/>
  <c r="BP36" i="6"/>
  <c r="BS58" i="6"/>
  <c r="BA36" i="6"/>
  <c r="AK58" i="6"/>
  <c r="BA20" i="6"/>
  <c r="BG49" i="6"/>
  <c r="BD48" i="6"/>
  <c r="BA31" i="6"/>
  <c r="AP17" i="6"/>
  <c r="BP53" i="6"/>
  <c r="AF31" i="6"/>
  <c r="AP49" i="6"/>
  <c r="BS48" i="6"/>
  <c r="BP31" i="6"/>
  <c r="BA33" i="6"/>
  <c r="BY16" i="6"/>
  <c r="BS21" i="6"/>
  <c r="BP26" i="6"/>
  <c r="BJ37" i="6"/>
  <c r="BJ43" i="6"/>
  <c r="AA59" i="6"/>
  <c r="BP20" i="6"/>
  <c r="AU36" i="6"/>
  <c r="BD32" i="6"/>
  <c r="BA26" i="6"/>
  <c r="BD46" i="6"/>
  <c r="BS55" i="6"/>
  <c r="AX18" i="6"/>
  <c r="AK21" i="6"/>
  <c r="AK32" i="6"/>
  <c r="AK46" i="6"/>
  <c r="BD55" i="6"/>
  <c r="BY37" i="6"/>
  <c r="AF38" i="6"/>
  <c r="AU43" i="6"/>
  <c r="AP27" i="6"/>
  <c r="AF42" i="6"/>
  <c r="BG24" i="6"/>
  <c r="BV24" i="6"/>
  <c r="AP32" i="6"/>
  <c r="BD45" i="6"/>
  <c r="BV48" i="6"/>
  <c r="AF50" i="6"/>
  <c r="AF59" i="6"/>
  <c r="BG27" i="6"/>
  <c r="BA42" i="6"/>
  <c r="AU29" i="6"/>
  <c r="BP38" i="6"/>
  <c r="BS24" i="6"/>
  <c r="BS22" i="6"/>
  <c r="AK28" i="6"/>
  <c r="BD17" i="6"/>
  <c r="AP48" i="6"/>
  <c r="BM48" i="6"/>
  <c r="BV32" i="6"/>
  <c r="AK45" i="6"/>
  <c r="BY51" i="6"/>
  <c r="BV38" i="6"/>
  <c r="BJ31" i="6"/>
  <c r="BS25" i="6"/>
  <c r="BY45" i="6"/>
  <c r="BD59" i="6"/>
  <c r="BY33" i="6"/>
  <c r="AU34" i="6"/>
  <c r="BD57" i="6"/>
  <c r="BA51" i="6"/>
  <c r="AU19" i="6"/>
  <c r="AX14" i="6"/>
  <c r="AX52" i="6"/>
  <c r="I186" i="19"/>
  <c r="S186" i="19" s="1"/>
  <c r="U186" i="19" s="1"/>
  <c r="BD186" i="19" s="1"/>
  <c r="BF186" i="19" s="1"/>
  <c r="BG186" i="19" s="1"/>
  <c r="BJ30" i="6"/>
  <c r="AA58" i="6"/>
  <c r="BS14" i="6"/>
  <c r="AF55" i="6"/>
  <c r="BP40" i="6"/>
  <c r="BM43" i="6"/>
  <c r="BD49" i="6"/>
  <c r="AK25" i="6"/>
  <c r="BJ33" i="6"/>
  <c r="BY28" i="6"/>
  <c r="BP39" i="6"/>
  <c r="BJ45" i="6"/>
  <c r="BJ25" i="6"/>
  <c r="BM30" i="6"/>
  <c r="BA45" i="6"/>
  <c r="AA33" i="6"/>
  <c r="AK34" i="6"/>
  <c r="AA14" i="6"/>
  <c r="BS40" i="6"/>
  <c r="AA48" i="6"/>
  <c r="BG32" i="6"/>
  <c r="BS17" i="6"/>
  <c r="BG48" i="6"/>
  <c r="AK40" i="6"/>
  <c r="AP24" i="6"/>
  <c r="BD54" i="6"/>
  <c r="AK17" i="6"/>
  <c r="AX48" i="6"/>
  <c r="BD44" i="6"/>
  <c r="BV17" i="6"/>
  <c r="BS45" i="6"/>
  <c r="BG17" i="6"/>
  <c r="BS32" i="6"/>
  <c r="AK55" i="6"/>
  <c r="AP38" i="6"/>
  <c r="AK24" i="6"/>
  <c r="BS47" i="6"/>
  <c r="AU31" i="6"/>
  <c r="BM49" i="6"/>
  <c r="BS59" i="6"/>
  <c r="BY54" i="6"/>
  <c r="BD25" i="6"/>
  <c r="AF36" i="6"/>
  <c r="BY31" i="6"/>
  <c r="AA49" i="6"/>
  <c r="BA41" i="6"/>
  <c r="AK59" i="6"/>
  <c r="AF43" i="6"/>
  <c r="AU33" i="6"/>
  <c r="BM18" i="6"/>
  <c r="BY34" i="6"/>
  <c r="BJ57" i="6"/>
  <c r="BS57" i="6"/>
  <c r="BJ34" i="6"/>
  <c r="AX33" i="6"/>
  <c r="AK43" i="6"/>
  <c r="BY42" i="6"/>
  <c r="AA52" i="6"/>
  <c r="AX58" i="6"/>
  <c r="AF51" i="6"/>
  <c r="AK15" i="6"/>
  <c r="BY19" i="6"/>
  <c r="BD58" i="6"/>
  <c r="AP59" i="6"/>
  <c r="BJ19" i="6"/>
  <c r="BM14" i="6"/>
  <c r="AU46" i="6"/>
  <c r="BP18" i="6"/>
  <c r="AA57" i="6"/>
  <c r="BG41" i="6"/>
  <c r="BY26" i="6"/>
  <c r="AX26" i="6"/>
  <c r="BD20" i="6"/>
  <c r="AA51" i="6"/>
  <c r="BG56" i="6"/>
  <c r="AF53" i="6"/>
  <c r="BV14" i="6"/>
  <c r="AK31" i="6"/>
  <c r="BG47" i="6"/>
  <c r="BA44" i="6"/>
  <c r="AK51" i="6"/>
  <c r="BG43" i="6"/>
  <c r="BM27" i="6"/>
  <c r="BY23" i="6"/>
  <c r="AA37" i="6"/>
  <c r="AK56" i="6"/>
  <c r="AA55" i="6"/>
  <c r="BP33" i="6"/>
  <c r="BJ26" i="6"/>
  <c r="BM26" i="6"/>
  <c r="BP52" i="6"/>
  <c r="BS20" i="6"/>
  <c r="BP45" i="6"/>
  <c r="AP56" i="6"/>
  <c r="BG26" i="6"/>
  <c r="AP14" i="6"/>
  <c r="BM44" i="6"/>
  <c r="AP47" i="6"/>
  <c r="AX39" i="6"/>
  <c r="BP44" i="6"/>
  <c r="AP43" i="6"/>
  <c r="AX27" i="6"/>
  <c r="BA50" i="6"/>
  <c r="BS56" i="6"/>
  <c r="AU27" i="6"/>
  <c r="BM55" i="6"/>
  <c r="BM57" i="6"/>
  <c r="BV36" i="6"/>
  <c r="AP50" i="6"/>
  <c r="AX57" i="6"/>
  <c r="AK47" i="6"/>
  <c r="BA25" i="6"/>
  <c r="BG31" i="6"/>
  <c r="BG50" i="6"/>
  <c r="AP36" i="6"/>
  <c r="AA31" i="6"/>
  <c r="BJ49" i="6"/>
  <c r="BV18" i="6"/>
  <c r="BJ51" i="6"/>
  <c r="AF40" i="6"/>
  <c r="BY46" i="6"/>
  <c r="BG36" i="6"/>
  <c r="BV25" i="6"/>
  <c r="BS49" i="6"/>
  <c r="BY27" i="6"/>
  <c r="AA43" i="6"/>
  <c r="AX24" i="6"/>
  <c r="BP42" i="6"/>
  <c r="AK49" i="6"/>
  <c r="AU18" i="6"/>
  <c r="BV42" i="6"/>
  <c r="BP54" i="6"/>
  <c r="AK57" i="6"/>
  <c r="BJ28" i="6"/>
  <c r="BG45" i="6"/>
  <c r="BM33" i="6"/>
  <c r="BY40" i="6"/>
  <c r="BA39" i="6"/>
  <c r="AA30" i="6"/>
  <c r="BD14" i="6"/>
  <c r="BG37" i="6"/>
  <c r="AU25" i="6"/>
  <c r="BM58" i="6"/>
  <c r="AK14" i="6"/>
  <c r="BY55" i="6"/>
  <c r="BJ46" i="6"/>
  <c r="AP41" i="6"/>
  <c r="AX15" i="6"/>
  <c r="AU26" i="6"/>
  <c r="AA26" i="6"/>
  <c r="AF52" i="6"/>
  <c r="AK20" i="6"/>
  <c r="AU47" i="6"/>
  <c r="AF45" i="6"/>
  <c r="AU35" i="6"/>
  <c r="BV56" i="6"/>
  <c r="BP55" i="6"/>
  <c r="BG21" i="6"/>
  <c r="AX44" i="6"/>
  <c r="AA39" i="6"/>
  <c r="AF44" i="6"/>
  <c r="BJ47" i="6"/>
  <c r="BV31" i="6"/>
  <c r="BD36" i="6"/>
  <c r="BM21" i="6"/>
  <c r="BS33" i="6"/>
  <c r="BP50" i="6"/>
  <c r="BM32" i="6"/>
  <c r="AA15" i="6"/>
  <c r="AU30" i="6"/>
  <c r="BJ35" i="6"/>
  <c r="AX47" i="6"/>
  <c r="BA52" i="6"/>
  <c r="BY35" i="6"/>
  <c r="AP22" i="6"/>
  <c r="BP16" i="6"/>
  <c r="AP21" i="6"/>
  <c r="AA44" i="6"/>
  <c r="BP51" i="6"/>
  <c r="BM39" i="6"/>
  <c r="BG18" i="6"/>
  <c r="AP31" i="6"/>
  <c r="AK36" i="6"/>
  <c r="AP19" i="6"/>
  <c r="AA21" i="6"/>
  <c r="AK18" i="6"/>
  <c r="BD33" i="6"/>
  <c r="BV39" i="6"/>
  <c r="BJ27" i="6"/>
  <c r="BV58" i="6"/>
  <c r="AX32" i="6"/>
  <c r="BV50" i="6"/>
  <c r="BM15" i="6"/>
  <c r="BY30" i="6"/>
  <c r="BM47" i="6"/>
  <c r="BG22" i="6"/>
  <c r="BY49" i="6"/>
  <c r="AF16" i="6"/>
  <c r="BV21" i="6"/>
  <c r="AX36" i="6"/>
  <c r="AU45" i="6"/>
  <c r="AP18" i="6"/>
  <c r="BS36" i="6"/>
  <c r="BG19" i="6"/>
  <c r="AX21" i="6"/>
  <c r="AF56" i="6"/>
  <c r="BD18" i="6"/>
  <c r="AK33" i="6"/>
  <c r="AP39" i="6"/>
  <c r="BP32" i="6"/>
  <c r="BG58" i="6"/>
  <c r="AA32" i="6"/>
  <c r="BM16" i="6"/>
  <c r="AA47" i="6"/>
  <c r="BV22" i="6"/>
  <c r="AA53" i="6"/>
  <c r="BP25" i="6"/>
  <c r="BA16" i="6"/>
  <c r="AA36" i="6"/>
  <c r="BD23" i="6"/>
  <c r="BV19" i="6"/>
  <c r="AA20" i="6"/>
  <c r="BA56" i="6"/>
  <c r="BS18" i="6"/>
  <c r="AK26" i="6"/>
  <c r="AU39" i="6"/>
  <c r="BG39" i="6"/>
  <c r="BA32" i="6"/>
  <c r="BA40" i="6"/>
  <c r="AP58" i="6"/>
  <c r="AX22" i="6"/>
  <c r="BS37" i="6"/>
  <c r="BA18" i="6"/>
  <c r="BY43" i="6"/>
  <c r="AF46" i="6"/>
  <c r="BM31" i="6"/>
  <c r="BV20" i="6"/>
  <c r="AX53" i="6"/>
  <c r="AU49" i="6"/>
  <c r="BV53" i="6"/>
  <c r="BP19" i="6"/>
  <c r="BM36" i="6"/>
  <c r="BA24" i="6"/>
  <c r="BY18" i="6"/>
  <c r="AX40" i="6"/>
  <c r="BS23" i="6"/>
  <c r="BG16" i="6"/>
  <c r="BM29" i="6"/>
  <c r="AX20" i="6"/>
  <c r="BP56" i="6"/>
  <c r="BD26" i="6"/>
  <c r="BJ39" i="6"/>
  <c r="BG40" i="6"/>
  <c r="AF32" i="6"/>
  <c r="AA23" i="6"/>
  <c r="BM22" i="6"/>
  <c r="AP26" i="6"/>
  <c r="AX37" i="6"/>
  <c r="BM17" i="6"/>
  <c r="BD52" i="6"/>
  <c r="BA46" i="6"/>
  <c r="BG46" i="6"/>
  <c r="BG55" i="6"/>
  <c r="AX31" i="6"/>
  <c r="BA54" i="6"/>
  <c r="BG20" i="6"/>
  <c r="BM53" i="6"/>
  <c r="AF47" i="6"/>
  <c r="BG25" i="6"/>
  <c r="AU48" i="6"/>
  <c r="AP53" i="6"/>
  <c r="AU14" i="6"/>
  <c r="AA56" i="6"/>
  <c r="AF24" i="6"/>
  <c r="AA28" i="6"/>
  <c r="BM40" i="6"/>
  <c r="AK23" i="6"/>
  <c r="AU56" i="6"/>
  <c r="AP16" i="6"/>
  <c r="AF21" i="6"/>
  <c r="AA29" i="6"/>
  <c r="BM20" i="6"/>
  <c r="BS26" i="6"/>
  <c r="BJ58" i="6"/>
  <c r="BV40" i="6"/>
  <c r="BP17" i="6"/>
  <c r="AP51" i="6"/>
  <c r="BM23" i="6"/>
  <c r="AA22" i="6"/>
  <c r="AF18" i="6"/>
  <c r="AX17" i="6"/>
  <c r="AK52" i="6"/>
  <c r="AA24" i="6"/>
  <c r="BP46" i="6"/>
  <c r="AP46" i="6"/>
  <c r="AF26" i="6"/>
  <c r="AP55" i="6"/>
  <c r="BP49" i="6"/>
  <c r="AF54" i="6"/>
  <c r="AP20" i="6"/>
  <c r="BP47" i="6"/>
  <c r="AP25" i="6"/>
  <c r="BJ48" i="6"/>
  <c r="BG53" i="6"/>
  <c r="BM45" i="6"/>
  <c r="BA19" i="6"/>
  <c r="BS19" i="6"/>
  <c r="BY14" i="6"/>
  <c r="BG30" i="6"/>
  <c r="BM56" i="6"/>
  <c r="BP24" i="6"/>
  <c r="BJ18" i="6"/>
  <c r="AP23" i="6"/>
  <c r="BM28" i="6"/>
  <c r="AA40" i="6"/>
  <c r="BY56" i="6"/>
  <c r="BV16" i="6"/>
  <c r="BA21" i="6"/>
  <c r="AX29" i="6"/>
  <c r="AK27" i="6"/>
  <c r="AX42" i="6"/>
  <c r="BD41" i="6"/>
  <c r="AP40" i="6"/>
  <c r="AF17" i="6"/>
  <c r="BJ20" i="6"/>
  <c r="BG51" i="6"/>
  <c r="AX23" i="6"/>
  <c r="AA34" i="6"/>
  <c r="AA17" i="6"/>
  <c r="BS52" i="6"/>
  <c r="AP42" i="6"/>
  <c r="BM24" i="6"/>
  <c r="BV49" i="6"/>
  <c r="BV46" i="6"/>
  <c r="BV55" i="6"/>
  <c r="BA49" i="6"/>
  <c r="BD53" i="6"/>
  <c r="BV28" i="6"/>
  <c r="BA47" i="6"/>
  <c r="BY48" i="6"/>
  <c r="AX45" i="6"/>
  <c r="BD19" i="6"/>
  <c r="AP30" i="6"/>
  <c r="AX56" i="6"/>
  <c r="BV23" i="6"/>
  <c r="AX28" i="6"/>
  <c r="BD39" i="6"/>
  <c r="BJ56" i="6"/>
  <c r="BP21" i="6"/>
  <c r="BD27" i="6"/>
  <c r="BV15" i="6"/>
  <c r="AA42" i="6"/>
  <c r="AK41" i="6"/>
  <c r="AA50" i="6"/>
  <c r="BA29" i="6"/>
  <c r="BA17" i="6"/>
  <c r="AU20" i="6"/>
  <c r="BV51" i="6"/>
  <c r="BG42" i="6"/>
  <c r="AU28" i="6"/>
  <c r="AP45" i="6"/>
  <c r="AU40" i="6"/>
  <c r="AK53" i="6"/>
  <c r="BG28" i="6"/>
  <c r="AA45" i="6"/>
  <c r="AK19" i="6"/>
  <c r="BV30" i="6"/>
  <c r="BY53" i="6"/>
  <c r="BG23" i="6"/>
  <c r="BS39" i="6"/>
  <c r="AU32" i="6"/>
  <c r="BS27" i="6"/>
  <c r="BJ21" i="6"/>
  <c r="BG15" i="6"/>
  <c r="BM42" i="6"/>
  <c r="BA37" i="6"/>
  <c r="BS41" i="6"/>
  <c r="BM50" i="6"/>
  <c r="AF29" i="6"/>
  <c r="BP22" i="6"/>
  <c r="BY20" i="6"/>
  <c r="BA43" i="6"/>
  <c r="BV45" i="6"/>
  <c r="BJ40" i="6"/>
  <c r="BS53" i="6"/>
  <c r="AU41" i="6"/>
  <c r="AP28" i="6"/>
  <c r="AF39" i="6"/>
  <c r="AU53" i="6"/>
  <c r="BM25" i="6"/>
  <c r="AK39" i="6"/>
  <c r="BY32" i="6"/>
  <c r="AU21" i="6"/>
  <c r="AP15" i="6"/>
  <c r="BA48" i="6"/>
  <c r="AF37" i="6"/>
  <c r="AX50" i="6"/>
  <c r="AF57" i="6"/>
  <c r="AF22" i="6"/>
  <c r="AU38" i="6"/>
  <c r="BA23" i="6"/>
  <c r="BM51" i="6"/>
  <c r="AX43" i="6"/>
  <c r="AU24" i="6"/>
  <c r="BV41" i="6"/>
  <c r="BP43" i="6"/>
  <c r="AX30" i="6"/>
  <c r="BA38" i="6"/>
  <c r="AF49" i="6"/>
  <c r="AK29" i="6"/>
  <c r="BY41" i="6"/>
  <c r="AP37" i="6"/>
  <c r="BJ53" i="6"/>
  <c r="AX25" i="6"/>
  <c r="BV54" i="6"/>
  <c r="BJ32" i="6"/>
  <c r="BP58" i="6"/>
  <c r="BJ22" i="6"/>
  <c r="BY21" i="6"/>
  <c r="BM41" i="6"/>
  <c r="AF48" i="6"/>
  <c r="BP37" i="6"/>
  <c r="BM38" i="6"/>
  <c r="BP57" i="6"/>
  <c r="BA22" i="6"/>
  <c r="BJ38" i="6"/>
  <c r="BM19" i="6"/>
  <c r="BP23" i="6"/>
  <c r="BA55" i="6"/>
  <c r="AK37" i="6"/>
  <c r="BD30" i="6"/>
  <c r="BS29" i="6"/>
  <c r="BJ41" i="6"/>
  <c r="BV35" i="6"/>
  <c r="BV37" i="6"/>
  <c r="BJ55" i="6"/>
  <c r="BP27" i="6"/>
  <c r="AA25" i="6"/>
  <c r="AP54" i="6"/>
  <c r="AU22" i="6"/>
  <c r="BV57" i="6"/>
  <c r="AX41" i="6"/>
  <c r="BP48" i="6"/>
  <c r="BV34" i="6"/>
  <c r="AX38" i="6"/>
  <c r="BA57" i="6"/>
  <c r="BP30" i="6"/>
  <c r="BY38" i="6"/>
  <c r="AA19" i="6"/>
  <c r="AF23" i="6"/>
  <c r="BP34" i="6"/>
  <c r="BY25" i="6"/>
  <c r="BS34" i="6"/>
  <c r="AU37" i="6"/>
  <c r="BD29" i="6"/>
  <c r="BY36" i="6"/>
  <c r="BA53" i="6"/>
  <c r="BG35" i="6"/>
  <c r="AU55" i="6"/>
  <c r="BD31" i="6"/>
  <c r="BG54" i="6"/>
  <c r="BY52" i="6"/>
  <c r="AP57" i="6"/>
  <c r="AA41" i="6"/>
  <c r="BJ23" i="6"/>
  <c r="AP34" i="6"/>
  <c r="AA38" i="6"/>
  <c r="AF30" i="6"/>
  <c r="AX19" i="6"/>
  <c r="BA34" i="6"/>
  <c r="BD51" i="6"/>
  <c r="BD34" i="6"/>
  <c r="AK30" i="6"/>
  <c r="AX51" i="6"/>
  <c r="AP35" i="6"/>
  <c r="BJ24" i="6"/>
  <c r="BV26" i="6"/>
  <c r="BG14" i="6"/>
  <c r="BS31" i="6"/>
  <c r="BJ59" i="6"/>
  <c r="BV47" i="6"/>
  <c r="BS51" i="6"/>
  <c r="AU52" i="6"/>
  <c r="BV43" i="6"/>
  <c r="BD37" i="6"/>
  <c r="AA27" i="6"/>
  <c r="BD40" i="6"/>
  <c r="AU23" i="6"/>
  <c r="BG34" i="6"/>
  <c r="BM37" i="6"/>
  <c r="BD56" i="6"/>
  <c r="AX55" i="6"/>
  <c r="AF33" i="6"/>
  <c r="AF34" i="6"/>
  <c r="I100" i="19"/>
  <c r="S100" i="19" s="1"/>
  <c r="U100" i="19" s="1"/>
  <c r="BR100" i="19" s="1"/>
  <c r="BT100" i="19" s="1"/>
  <c r="BU100" i="19" s="1"/>
  <c r="CN185" i="19"/>
  <c r="CP185" i="19" s="1"/>
  <c r="AJ271" i="19"/>
  <c r="AL271" i="19" s="1"/>
  <c r="DG271" i="19" s="1"/>
  <c r="H101" i="19"/>
  <c r="V101" i="19" s="1"/>
  <c r="X101" i="19" s="1"/>
  <c r="BL270" i="19"/>
  <c r="BN270" i="19" s="1"/>
  <c r="DI270" i="19" s="1"/>
  <c r="F274" i="19"/>
  <c r="BL271" i="19"/>
  <c r="BN271" i="19" s="1"/>
  <c r="DI271" i="19" s="1"/>
  <c r="DB271" i="19"/>
  <c r="DD271" i="19" s="1"/>
  <c r="DL271" i="19" s="1"/>
  <c r="AX271" i="19"/>
  <c r="AZ271" i="19" s="1"/>
  <c r="DH271" i="19" s="1"/>
  <c r="BZ271" i="19"/>
  <c r="CB271" i="19" s="1"/>
  <c r="DJ271" i="19" s="1"/>
  <c r="AJ270" i="19"/>
  <c r="AL270" i="19" s="1"/>
  <c r="DG270" i="19" s="1"/>
  <c r="H273" i="19"/>
  <c r="V273" i="19" s="1"/>
  <c r="X273" i="19" s="1"/>
  <c r="AJ184" i="19"/>
  <c r="AL184" i="19" s="1"/>
  <c r="DG184" i="19" s="1"/>
  <c r="DB270" i="19"/>
  <c r="DD270" i="19" s="1"/>
  <c r="DL270" i="19" s="1"/>
  <c r="BZ185" i="19"/>
  <c r="CB185" i="19" s="1"/>
  <c r="AJ185" i="19"/>
  <c r="AL185" i="19" s="1"/>
  <c r="DG185" i="19" s="1"/>
  <c r="AX185" i="19"/>
  <c r="AZ185" i="19" s="1"/>
  <c r="DH185" i="19" s="1"/>
  <c r="CN271" i="19"/>
  <c r="CP271" i="19" s="1"/>
  <c r="DK271" i="19" s="1"/>
  <c r="AX270" i="19"/>
  <c r="AZ270" i="19" s="1"/>
  <c r="DH270" i="19" s="1"/>
  <c r="CN270" i="19"/>
  <c r="CP270" i="19" s="1"/>
  <c r="DK270" i="19" s="1"/>
  <c r="BZ270" i="19"/>
  <c r="CB270" i="19" s="1"/>
  <c r="DJ270" i="19" s="1"/>
  <c r="DB185" i="19"/>
  <c r="DD185" i="19" s="1"/>
  <c r="CF99" i="19"/>
  <c r="CH99" i="19" s="1"/>
  <c r="CI99" i="19" s="1"/>
  <c r="CT99" i="19"/>
  <c r="CV99" i="19" s="1"/>
  <c r="CW99" i="19" s="1"/>
  <c r="BD99" i="19"/>
  <c r="BF99" i="19" s="1"/>
  <c r="BG99" i="19" s="1"/>
  <c r="BR99" i="19"/>
  <c r="BT99" i="19" s="1"/>
  <c r="BU99" i="19" s="1"/>
  <c r="AB99" i="19"/>
  <c r="AD99" i="19" s="1"/>
  <c r="AE99" i="19" s="1"/>
  <c r="AP99" i="19"/>
  <c r="AR99" i="19" s="1"/>
  <c r="AS99" i="19" s="1"/>
  <c r="AX184" i="19"/>
  <c r="AZ184" i="19" s="1"/>
  <c r="DH184" i="19" s="1"/>
  <c r="G274" i="19"/>
  <c r="C275" i="19"/>
  <c r="DE274" i="19"/>
  <c r="AN274" i="19"/>
  <c r="AQ274" i="19" s="1"/>
  <c r="Z274" i="19"/>
  <c r="AC274" i="19" s="1"/>
  <c r="CD274" i="19"/>
  <c r="CG274" i="19" s="1"/>
  <c r="BP274" i="19"/>
  <c r="BS274" i="19" s="1"/>
  <c r="BB274" i="19"/>
  <c r="BE274" i="19" s="1"/>
  <c r="CR274" i="19"/>
  <c r="CU274" i="19" s="1"/>
  <c r="CX99" i="19"/>
  <c r="CZ99" i="19" s="1"/>
  <c r="DA99" i="19" s="1"/>
  <c r="CJ99" i="19"/>
  <c r="CL99" i="19" s="1"/>
  <c r="CM99" i="19" s="1"/>
  <c r="BV99" i="19"/>
  <c r="BX99" i="19" s="1"/>
  <c r="BY99" i="19" s="1"/>
  <c r="BH99" i="19"/>
  <c r="BJ99" i="19" s="1"/>
  <c r="BK99" i="19" s="1"/>
  <c r="AF99" i="19"/>
  <c r="AH99" i="19" s="1"/>
  <c r="AI99" i="19" s="1"/>
  <c r="AT99" i="19"/>
  <c r="AV99" i="19" s="1"/>
  <c r="AW99" i="19" s="1"/>
  <c r="G188" i="19"/>
  <c r="C189" i="19"/>
  <c r="DE188" i="19"/>
  <c r="AN188" i="19"/>
  <c r="AQ188" i="19" s="1"/>
  <c r="BP188" i="19"/>
  <c r="BS188" i="19" s="1"/>
  <c r="Z188" i="19"/>
  <c r="AC188" i="19" s="1"/>
  <c r="CR188" i="19"/>
  <c r="CU188" i="19" s="1"/>
  <c r="CD188" i="19"/>
  <c r="CG188" i="19" s="1"/>
  <c r="BB188" i="19"/>
  <c r="BE188" i="19" s="1"/>
  <c r="H187" i="19"/>
  <c r="F102" i="19"/>
  <c r="V272" i="19"/>
  <c r="X272" i="19" s="1"/>
  <c r="I272" i="19"/>
  <c r="S272" i="19" s="1"/>
  <c r="U272" i="19" s="1"/>
  <c r="BZ184" i="19"/>
  <c r="CB184" i="19" s="1"/>
  <c r="F188" i="19"/>
  <c r="DB184" i="19"/>
  <c r="DD184" i="19" s="1"/>
  <c r="CX186" i="19"/>
  <c r="CZ186" i="19" s="1"/>
  <c r="DA186" i="19" s="1"/>
  <c r="AT186" i="19"/>
  <c r="AV186" i="19" s="1"/>
  <c r="AW186" i="19" s="1"/>
  <c r="AF186" i="19"/>
  <c r="AH186" i="19" s="1"/>
  <c r="AI186" i="19" s="1"/>
  <c r="BH186" i="19"/>
  <c r="BJ186" i="19" s="1"/>
  <c r="BK186" i="19" s="1"/>
  <c r="CJ186" i="19"/>
  <c r="CL186" i="19" s="1"/>
  <c r="CM186" i="19" s="1"/>
  <c r="BV186" i="19"/>
  <c r="BX186" i="19" s="1"/>
  <c r="BY186" i="19" s="1"/>
  <c r="CN184" i="19"/>
  <c r="CP184" i="19" s="1"/>
  <c r="G102" i="19"/>
  <c r="C103" i="19"/>
  <c r="DE102" i="19"/>
  <c r="BP102" i="19"/>
  <c r="BS102" i="19" s="1"/>
  <c r="Z102" i="19"/>
  <c r="AC102" i="19" s="1"/>
  <c r="AN102" i="19"/>
  <c r="AQ102" i="19" s="1"/>
  <c r="CR102" i="19"/>
  <c r="CU102" i="19" s="1"/>
  <c r="BB102" i="19"/>
  <c r="BE102" i="19" s="1"/>
  <c r="CD102" i="19"/>
  <c r="CG102" i="19" s="1"/>
  <c r="BL185" i="19"/>
  <c r="BN185" i="19" s="1"/>
  <c r="DI185" i="19" s="1"/>
  <c r="BL184" i="19"/>
  <c r="BN184" i="19" s="1"/>
  <c r="DI184" i="19" s="1"/>
  <c r="CJ100" i="19"/>
  <c r="CL100" i="19" s="1"/>
  <c r="CM100" i="19" s="1"/>
  <c r="AF100" i="19"/>
  <c r="AH100" i="19" s="1"/>
  <c r="AI100" i="19" s="1"/>
  <c r="BH100" i="19"/>
  <c r="BJ100" i="19" s="1"/>
  <c r="BK100" i="19" s="1"/>
  <c r="AT100" i="19"/>
  <c r="AV100" i="19" s="1"/>
  <c r="AW100" i="19" s="1"/>
  <c r="CX100" i="19"/>
  <c r="CZ100" i="19" s="1"/>
  <c r="DA100" i="19" s="1"/>
  <c r="BV100" i="19"/>
  <c r="BX100" i="19" s="1"/>
  <c r="BY100" i="19" s="1"/>
  <c r="CT186" i="19" l="1"/>
  <c r="CV186" i="19" s="1"/>
  <c r="CW186" i="19" s="1"/>
  <c r="CF186" i="19"/>
  <c r="CH186" i="19" s="1"/>
  <c r="CI186" i="19" s="1"/>
  <c r="BR186" i="19"/>
  <c r="BT186" i="19" s="1"/>
  <c r="BU186" i="19" s="1"/>
  <c r="AB186" i="19"/>
  <c r="AD186" i="19" s="1"/>
  <c r="AE186" i="19" s="1"/>
  <c r="AP186" i="19"/>
  <c r="AR186" i="19" s="1"/>
  <c r="AS186" i="19" s="1"/>
  <c r="H274" i="19"/>
  <c r="V274" i="19" s="1"/>
  <c r="X274" i="19" s="1"/>
  <c r="AP100" i="19"/>
  <c r="AR100" i="19" s="1"/>
  <c r="AS100" i="19" s="1"/>
  <c r="AX100" i="19" s="1"/>
  <c r="AZ100" i="19" s="1"/>
  <c r="DH100" i="19" s="1"/>
  <c r="CT100" i="19"/>
  <c r="CV100" i="19" s="1"/>
  <c r="CW100" i="19" s="1"/>
  <c r="DB100" i="19" s="1"/>
  <c r="DD100" i="19" s="1"/>
  <c r="DL100" i="19" s="1"/>
  <c r="CF100" i="19"/>
  <c r="CH100" i="19" s="1"/>
  <c r="CI100" i="19" s="1"/>
  <c r="CN100" i="19" s="1"/>
  <c r="CP100" i="19" s="1"/>
  <c r="DK100" i="19" s="1"/>
  <c r="AB100" i="19"/>
  <c r="AD100" i="19" s="1"/>
  <c r="AE100" i="19" s="1"/>
  <c r="AJ100" i="19" s="1"/>
  <c r="AL100" i="19" s="1"/>
  <c r="DG100" i="19" s="1"/>
  <c r="BD100" i="19"/>
  <c r="BF100" i="19" s="1"/>
  <c r="BG100" i="19" s="1"/>
  <c r="BL100" i="19" s="1"/>
  <c r="BN100" i="19" s="1"/>
  <c r="DI100" i="19" s="1"/>
  <c r="AP60" i="6"/>
  <c r="AO60" i="6" s="1"/>
  <c r="L35" i="7" s="1"/>
  <c r="O35" i="7" s="1" a="1"/>
  <c r="O35" i="7" s="1"/>
  <c r="H35" i="7" s="1"/>
  <c r="BS60" i="6"/>
  <c r="BR60" i="6" s="1"/>
  <c r="L52" i="7" s="1"/>
  <c r="AA60" i="6"/>
  <c r="Z60" i="6" s="1"/>
  <c r="L32" i="7" s="1"/>
  <c r="BJ60" i="6"/>
  <c r="BI60" i="6" s="1"/>
  <c r="L45" i="7" s="1"/>
  <c r="AX60" i="6"/>
  <c r="AW60" i="6" s="1"/>
  <c r="L41" i="7" s="1"/>
  <c r="AF60" i="6"/>
  <c r="AE60" i="6" s="1"/>
  <c r="L33" i="7" s="1"/>
  <c r="N33" i="7" s="1" a="1"/>
  <c r="N33" i="7" s="1"/>
  <c r="BY60" i="6"/>
  <c r="BX60" i="6" s="1"/>
  <c r="L54" i="7" s="1"/>
  <c r="BM60" i="6"/>
  <c r="BL60" i="6" s="1"/>
  <c r="L50" i="7" s="1"/>
  <c r="AK60" i="6"/>
  <c r="AJ60" i="6" s="1"/>
  <c r="L34" i="7" s="1"/>
  <c r="BD60" i="6"/>
  <c r="BC60" i="6" s="1"/>
  <c r="L43" i="7" s="1"/>
  <c r="N43" i="7" s="1" a="1"/>
  <c r="N43" i="7" s="1"/>
  <c r="BV60" i="6"/>
  <c r="BU60" i="6" s="1"/>
  <c r="L53" i="7" s="1"/>
  <c r="BA60" i="6"/>
  <c r="AZ60" i="6" s="1"/>
  <c r="L42" i="7" s="1"/>
  <c r="BG60" i="6"/>
  <c r="BF60" i="6" s="1"/>
  <c r="L44" i="7" s="1"/>
  <c r="O44" i="7" s="1" a="1"/>
  <c r="O44" i="7" s="1"/>
  <c r="H44" i="7" s="1"/>
  <c r="BP60" i="6"/>
  <c r="BO60" i="6" s="1"/>
  <c r="L51" i="7" s="1"/>
  <c r="O51" i="7" s="1" a="1"/>
  <c r="O51" i="7" s="1"/>
  <c r="H51" i="7" s="1"/>
  <c r="AU60" i="6"/>
  <c r="AT60" i="6" s="1"/>
  <c r="L36" i="7" s="1"/>
  <c r="N36" i="7" s="1" a="1"/>
  <c r="N36" i="7" s="1"/>
  <c r="I101" i="19"/>
  <c r="S101" i="19" s="1"/>
  <c r="U101" i="19" s="1"/>
  <c r="CT101" i="19" s="1"/>
  <c r="CV101" i="19" s="1"/>
  <c r="CW101" i="19" s="1"/>
  <c r="I273" i="19"/>
  <c r="S273" i="19" s="1"/>
  <c r="U273" i="19" s="1"/>
  <c r="BR273" i="19" s="1"/>
  <c r="BT273" i="19" s="1"/>
  <c r="BU273" i="19" s="1"/>
  <c r="BL99" i="19"/>
  <c r="BN99" i="19" s="1"/>
  <c r="DI99" i="19" s="1"/>
  <c r="CN99" i="19"/>
  <c r="CP99" i="19" s="1"/>
  <c r="DK99" i="19" s="1"/>
  <c r="DB186" i="19"/>
  <c r="DD186" i="19" s="1"/>
  <c r="H188" i="19"/>
  <c r="I188" i="19" s="1"/>
  <c r="S188" i="19" s="1"/>
  <c r="U188" i="19" s="1"/>
  <c r="DB99" i="19"/>
  <c r="DD99" i="19" s="1"/>
  <c r="DL99" i="19" s="1"/>
  <c r="AJ99" i="19"/>
  <c r="AL99" i="19" s="1"/>
  <c r="DG99" i="19" s="1"/>
  <c r="BZ99" i="19"/>
  <c r="CB99" i="19" s="1"/>
  <c r="DJ99" i="19" s="1"/>
  <c r="AX99" i="19"/>
  <c r="AZ99" i="19" s="1"/>
  <c r="DH99" i="19" s="1"/>
  <c r="BZ100" i="19"/>
  <c r="CB100" i="19" s="1"/>
  <c r="DJ100" i="19" s="1"/>
  <c r="C190" i="19"/>
  <c r="G189" i="19"/>
  <c r="DE189" i="19"/>
  <c r="CR189" i="19"/>
  <c r="CU189" i="19" s="1"/>
  <c r="BP189" i="19"/>
  <c r="BS189" i="19" s="1"/>
  <c r="BB189" i="19"/>
  <c r="BE189" i="19" s="1"/>
  <c r="Z189" i="19"/>
  <c r="AC189" i="19" s="1"/>
  <c r="AN189" i="19"/>
  <c r="AQ189" i="19" s="1"/>
  <c r="CD189" i="19"/>
  <c r="CG189" i="19" s="1"/>
  <c r="G103" i="19"/>
  <c r="C104" i="19"/>
  <c r="DE103" i="19"/>
  <c r="CR103" i="19"/>
  <c r="CU103" i="19" s="1"/>
  <c r="CD103" i="19"/>
  <c r="CG103" i="19" s="1"/>
  <c r="BP103" i="19"/>
  <c r="BS103" i="19" s="1"/>
  <c r="BB103" i="19"/>
  <c r="BE103" i="19" s="1"/>
  <c r="AN103" i="19"/>
  <c r="AQ103" i="19" s="1"/>
  <c r="Z103" i="19"/>
  <c r="AC103" i="19" s="1"/>
  <c r="CX101" i="19"/>
  <c r="CZ101" i="19" s="1"/>
  <c r="DA101" i="19" s="1"/>
  <c r="BH101" i="19"/>
  <c r="BJ101" i="19" s="1"/>
  <c r="BK101" i="19" s="1"/>
  <c r="AT101" i="19"/>
  <c r="AV101" i="19" s="1"/>
  <c r="AW101" i="19" s="1"/>
  <c r="CJ101" i="19"/>
  <c r="CL101" i="19" s="1"/>
  <c r="CM101" i="19" s="1"/>
  <c r="BV101" i="19"/>
  <c r="BX101" i="19" s="1"/>
  <c r="BY101" i="19" s="1"/>
  <c r="AF101" i="19"/>
  <c r="AH101" i="19" s="1"/>
  <c r="AI101" i="19" s="1"/>
  <c r="G275" i="19"/>
  <c r="C276" i="19"/>
  <c r="DE275" i="19"/>
  <c r="BB275" i="19"/>
  <c r="BE275" i="19" s="1"/>
  <c r="BP275" i="19"/>
  <c r="BS275" i="19" s="1"/>
  <c r="CD275" i="19"/>
  <c r="CG275" i="19" s="1"/>
  <c r="CR275" i="19"/>
  <c r="CU275" i="19" s="1"/>
  <c r="Z275" i="19"/>
  <c r="AC275" i="19" s="1"/>
  <c r="AN275" i="19"/>
  <c r="AQ275" i="19" s="1"/>
  <c r="CX273" i="19"/>
  <c r="CZ273" i="19" s="1"/>
  <c r="DA273" i="19" s="1"/>
  <c r="AT273" i="19"/>
  <c r="AV273" i="19" s="1"/>
  <c r="AW273" i="19" s="1"/>
  <c r="BV273" i="19"/>
  <c r="BX273" i="19" s="1"/>
  <c r="BY273" i="19" s="1"/>
  <c r="CJ273" i="19"/>
  <c r="CL273" i="19" s="1"/>
  <c r="CM273" i="19" s="1"/>
  <c r="BH273" i="19"/>
  <c r="BJ273" i="19" s="1"/>
  <c r="BK273" i="19" s="1"/>
  <c r="AF273" i="19"/>
  <c r="AH273" i="19" s="1"/>
  <c r="AI273" i="19" s="1"/>
  <c r="BZ186" i="19"/>
  <c r="CB186" i="19" s="1"/>
  <c r="CT272" i="19"/>
  <c r="CV272" i="19" s="1"/>
  <c r="CW272" i="19" s="1"/>
  <c r="AP272" i="19"/>
  <c r="AR272" i="19" s="1"/>
  <c r="AS272" i="19" s="1"/>
  <c r="BD272" i="19"/>
  <c r="BF272" i="19" s="1"/>
  <c r="BG272" i="19" s="1"/>
  <c r="CF272" i="19"/>
  <c r="CH272" i="19" s="1"/>
  <c r="CI272" i="19" s="1"/>
  <c r="BR272" i="19"/>
  <c r="BT272" i="19" s="1"/>
  <c r="BU272" i="19" s="1"/>
  <c r="AB272" i="19"/>
  <c r="AD272" i="19" s="1"/>
  <c r="AE272" i="19" s="1"/>
  <c r="CN186" i="19"/>
  <c r="CP186" i="19" s="1"/>
  <c r="AT272" i="19"/>
  <c r="AV272" i="19" s="1"/>
  <c r="AW272" i="19" s="1"/>
  <c r="BH272" i="19"/>
  <c r="BJ272" i="19" s="1"/>
  <c r="BK272" i="19" s="1"/>
  <c r="CX272" i="19"/>
  <c r="CZ272" i="19" s="1"/>
  <c r="DA272" i="19" s="1"/>
  <c r="BV272" i="19"/>
  <c r="BX272" i="19" s="1"/>
  <c r="BY272" i="19" s="1"/>
  <c r="AF272" i="19"/>
  <c r="AH272" i="19" s="1"/>
  <c r="AI272" i="19" s="1"/>
  <c r="CJ272" i="19"/>
  <c r="CL272" i="19" s="1"/>
  <c r="CM272" i="19" s="1"/>
  <c r="BL186" i="19"/>
  <c r="BN186" i="19" s="1"/>
  <c r="DI186" i="19" s="1"/>
  <c r="H102" i="19"/>
  <c r="AJ186" i="19"/>
  <c r="AL186" i="19" s="1"/>
  <c r="DG186" i="19" s="1"/>
  <c r="V187" i="19"/>
  <c r="X187" i="19" s="1"/>
  <c r="I187" i="19"/>
  <c r="S187" i="19" s="1"/>
  <c r="U187" i="19" s="1"/>
  <c r="AX186" i="19"/>
  <c r="AZ186" i="19" s="1"/>
  <c r="DH186" i="19" s="1"/>
  <c r="F189" i="19"/>
  <c r="F103" i="19"/>
  <c r="F275" i="19"/>
  <c r="I274" i="19" l="1"/>
  <c r="S274" i="19" s="1"/>
  <c r="U274" i="19" s="1"/>
  <c r="AP274" i="19" s="1"/>
  <c r="AR274" i="19" s="1"/>
  <c r="AS274" i="19" s="1"/>
  <c r="O43" i="7" a="1"/>
  <c r="O43" i="7" s="1"/>
  <c r="N51" i="7" a="1"/>
  <c r="N51" i="7" s="1"/>
  <c r="G51" i="7" s="1"/>
  <c r="AH24" i="1" s="1"/>
  <c r="O36" i="7" a="1"/>
  <c r="O36" i="7" s="1"/>
  <c r="O33" i="7" a="1"/>
  <c r="O33" i="7" s="1"/>
  <c r="H33" i="7" s="1"/>
  <c r="I33" i="7" s="1"/>
  <c r="N35" i="7" a="1"/>
  <c r="N35" i="7" s="1"/>
  <c r="G35" i="7" s="1"/>
  <c r="AJ26" i="1" s="1"/>
  <c r="N44" i="7" a="1"/>
  <c r="N44" i="7" s="1"/>
  <c r="G44" i="7" s="1"/>
  <c r="AI26" i="1" s="1"/>
  <c r="I44" i="7"/>
  <c r="K44" i="7"/>
  <c r="M44" i="7" s="1" a="1"/>
  <c r="M44" i="7" s="1"/>
  <c r="J44" i="7"/>
  <c r="O32" i="7" a="1"/>
  <c r="O32" i="7" s="1"/>
  <c r="H32" i="7" s="1"/>
  <c r="N32" i="7" a="1"/>
  <c r="N32" i="7" s="1"/>
  <c r="N53" i="7" a="1"/>
  <c r="N53" i="7" s="1"/>
  <c r="O53" i="7" a="1"/>
  <c r="O53" i="7" s="1"/>
  <c r="H53" i="7" s="1"/>
  <c r="O34" i="7" a="1"/>
  <c r="O34" i="7" s="1"/>
  <c r="H34" i="7" s="1"/>
  <c r="N34" i="7" a="1"/>
  <c r="N34" i="7" s="1"/>
  <c r="N45" i="7" a="1"/>
  <c r="N45" i="7" s="1"/>
  <c r="O45" i="7" a="1"/>
  <c r="O45" i="7" s="1"/>
  <c r="H45" i="7" s="1"/>
  <c r="N42" i="7" a="1"/>
  <c r="N42" i="7" s="1"/>
  <c r="O42" i="7" a="1"/>
  <c r="O42" i="7" s="1"/>
  <c r="H42" i="7" s="1"/>
  <c r="I51" i="7"/>
  <c r="J51" i="7"/>
  <c r="K51" i="7"/>
  <c r="O52" i="7" a="1"/>
  <c r="O52" i="7" s="1"/>
  <c r="H52" i="7" s="1"/>
  <c r="N52" i="7" a="1"/>
  <c r="N52" i="7" s="1"/>
  <c r="N50" i="7" a="1"/>
  <c r="N50" i="7" s="1"/>
  <c r="O50" i="7" a="1"/>
  <c r="O50" i="7" s="1"/>
  <c r="H50" i="7" s="1"/>
  <c r="N54" i="7" a="1"/>
  <c r="N54" i="7" s="1"/>
  <c r="O54" i="7" a="1"/>
  <c r="O54" i="7" s="1"/>
  <c r="H54" i="7" s="1"/>
  <c r="N41" i="7" a="1"/>
  <c r="N41" i="7" s="1"/>
  <c r="O41" i="7" a="1"/>
  <c r="O41" i="7" s="1"/>
  <c r="H41" i="7" s="1"/>
  <c r="K35" i="7"/>
  <c r="M35" i="7" s="1" a="1"/>
  <c r="M35" i="7" s="1"/>
  <c r="J35" i="7"/>
  <c r="I35" i="7"/>
  <c r="AB273" i="19"/>
  <c r="AD273" i="19" s="1"/>
  <c r="AE273" i="19" s="1"/>
  <c r="AJ273" i="19" s="1"/>
  <c r="AL273" i="19" s="1"/>
  <c r="DG273" i="19" s="1"/>
  <c r="CF273" i="19"/>
  <c r="CH273" i="19" s="1"/>
  <c r="CI273" i="19" s="1"/>
  <c r="AP273" i="19"/>
  <c r="AR273" i="19" s="1"/>
  <c r="AS273" i="19" s="1"/>
  <c r="AX273" i="19" s="1"/>
  <c r="AZ273" i="19" s="1"/>
  <c r="DH273" i="19" s="1"/>
  <c r="BD273" i="19"/>
  <c r="BF273" i="19" s="1"/>
  <c r="BG273" i="19" s="1"/>
  <c r="BR101" i="19"/>
  <c r="BT101" i="19" s="1"/>
  <c r="BU101" i="19" s="1"/>
  <c r="BZ101" i="19" s="1"/>
  <c r="CB101" i="19" s="1"/>
  <c r="DJ101" i="19" s="1"/>
  <c r="BD101" i="19"/>
  <c r="BF101" i="19" s="1"/>
  <c r="BG101" i="19" s="1"/>
  <c r="BL101" i="19" s="1"/>
  <c r="BN101" i="19" s="1"/>
  <c r="DI101" i="19" s="1"/>
  <c r="AP101" i="19"/>
  <c r="AR101" i="19" s="1"/>
  <c r="AS101" i="19" s="1"/>
  <c r="AX101" i="19" s="1"/>
  <c r="AZ101" i="19" s="1"/>
  <c r="DH101" i="19" s="1"/>
  <c r="CF101" i="19"/>
  <c r="CH101" i="19" s="1"/>
  <c r="CI101" i="19" s="1"/>
  <c r="CN101" i="19" s="1"/>
  <c r="CP101" i="19" s="1"/>
  <c r="DK101" i="19" s="1"/>
  <c r="AB101" i="19"/>
  <c r="AD101" i="19" s="1"/>
  <c r="AE101" i="19" s="1"/>
  <c r="AJ101" i="19" s="1"/>
  <c r="AL101" i="19" s="1"/>
  <c r="DG101" i="19" s="1"/>
  <c r="CT273" i="19"/>
  <c r="CV273" i="19" s="1"/>
  <c r="CW273" i="19" s="1"/>
  <c r="DB273" i="19" s="1"/>
  <c r="DD273" i="19" s="1"/>
  <c r="DL273" i="19" s="1"/>
  <c r="V188" i="19"/>
  <c r="X188" i="19" s="1"/>
  <c r="CX188" i="19" s="1"/>
  <c r="CZ188" i="19" s="1"/>
  <c r="DA188" i="19" s="1"/>
  <c r="BL273" i="19"/>
  <c r="BN273" i="19" s="1"/>
  <c r="DI273" i="19" s="1"/>
  <c r="CN273" i="19"/>
  <c r="CP273" i="19" s="1"/>
  <c r="DK273" i="19" s="1"/>
  <c r="DB101" i="19"/>
  <c r="DD101" i="19" s="1"/>
  <c r="DL101" i="19" s="1"/>
  <c r="H103" i="19"/>
  <c r="V103" i="19" s="1"/>
  <c r="X103" i="19" s="1"/>
  <c r="BZ273" i="19"/>
  <c r="CB273" i="19" s="1"/>
  <c r="DJ273" i="19" s="1"/>
  <c r="BR188" i="19"/>
  <c r="BT188" i="19" s="1"/>
  <c r="BU188" i="19" s="1"/>
  <c r="BD188" i="19"/>
  <c r="BF188" i="19" s="1"/>
  <c r="BG188" i="19" s="1"/>
  <c r="AB188" i="19"/>
  <c r="AD188" i="19" s="1"/>
  <c r="AE188" i="19" s="1"/>
  <c r="AP188" i="19"/>
  <c r="AR188" i="19" s="1"/>
  <c r="AS188" i="19" s="1"/>
  <c r="CT188" i="19"/>
  <c r="CV188" i="19" s="1"/>
  <c r="CW188" i="19" s="1"/>
  <c r="CF188" i="19"/>
  <c r="CH188" i="19" s="1"/>
  <c r="CI188" i="19" s="1"/>
  <c r="F190" i="19"/>
  <c r="H189" i="19"/>
  <c r="V102" i="19"/>
  <c r="X102" i="19" s="1"/>
  <c r="I102" i="19"/>
  <c r="S102" i="19" s="1"/>
  <c r="U102" i="19" s="1"/>
  <c r="G276" i="19"/>
  <c r="C277" i="19"/>
  <c r="DE276" i="19"/>
  <c r="BB276" i="19"/>
  <c r="BE276" i="19" s="1"/>
  <c r="AN276" i="19"/>
  <c r="AQ276" i="19" s="1"/>
  <c r="BP276" i="19"/>
  <c r="BS276" i="19" s="1"/>
  <c r="CR276" i="19"/>
  <c r="CU276" i="19" s="1"/>
  <c r="Z276" i="19"/>
  <c r="AC276" i="19" s="1"/>
  <c r="CD276" i="19"/>
  <c r="CG276" i="19" s="1"/>
  <c r="F104" i="19"/>
  <c r="CN272" i="19"/>
  <c r="CP272" i="19" s="1"/>
  <c r="DK272" i="19" s="1"/>
  <c r="AJ272" i="19"/>
  <c r="AL272" i="19" s="1"/>
  <c r="DG272" i="19" s="1"/>
  <c r="AF187" i="19"/>
  <c r="AH187" i="19" s="1"/>
  <c r="AI187" i="19" s="1"/>
  <c r="CJ187" i="19"/>
  <c r="CL187" i="19" s="1"/>
  <c r="CM187" i="19" s="1"/>
  <c r="AT187" i="19"/>
  <c r="AV187" i="19" s="1"/>
  <c r="AW187" i="19" s="1"/>
  <c r="BH187" i="19"/>
  <c r="BJ187" i="19" s="1"/>
  <c r="BK187" i="19" s="1"/>
  <c r="BV187" i="19"/>
  <c r="BX187" i="19" s="1"/>
  <c r="BY187" i="19" s="1"/>
  <c r="CX187" i="19"/>
  <c r="CZ187" i="19" s="1"/>
  <c r="DA187" i="19" s="1"/>
  <c r="BZ272" i="19"/>
  <c r="CB272" i="19" s="1"/>
  <c r="DJ272" i="19" s="1"/>
  <c r="DB272" i="19"/>
  <c r="DD272" i="19" s="1"/>
  <c r="DL272" i="19" s="1"/>
  <c r="BL272" i="19"/>
  <c r="BN272" i="19" s="1"/>
  <c r="DI272" i="19" s="1"/>
  <c r="AB274" i="19"/>
  <c r="AD274" i="19" s="1"/>
  <c r="AE274" i="19" s="1"/>
  <c r="BR187" i="19"/>
  <c r="BT187" i="19" s="1"/>
  <c r="BU187" i="19" s="1"/>
  <c r="CF187" i="19"/>
  <c r="CH187" i="19" s="1"/>
  <c r="CI187" i="19" s="1"/>
  <c r="CT187" i="19"/>
  <c r="CV187" i="19" s="1"/>
  <c r="CW187" i="19" s="1"/>
  <c r="AP187" i="19"/>
  <c r="AR187" i="19" s="1"/>
  <c r="AS187" i="19" s="1"/>
  <c r="BD187" i="19"/>
  <c r="BF187" i="19" s="1"/>
  <c r="BG187" i="19" s="1"/>
  <c r="AB187" i="19"/>
  <c r="AD187" i="19" s="1"/>
  <c r="AE187" i="19" s="1"/>
  <c r="AX272" i="19"/>
  <c r="AZ272" i="19" s="1"/>
  <c r="DH272" i="19" s="1"/>
  <c r="CJ274" i="19"/>
  <c r="CL274" i="19" s="1"/>
  <c r="CM274" i="19" s="1"/>
  <c r="BV274" i="19"/>
  <c r="BX274" i="19" s="1"/>
  <c r="BY274" i="19" s="1"/>
  <c r="AT274" i="19"/>
  <c r="AV274" i="19" s="1"/>
  <c r="AW274" i="19" s="1"/>
  <c r="BH274" i="19"/>
  <c r="BJ274" i="19" s="1"/>
  <c r="BK274" i="19" s="1"/>
  <c r="AF274" i="19"/>
  <c r="AH274" i="19" s="1"/>
  <c r="AI274" i="19" s="1"/>
  <c r="CX274" i="19"/>
  <c r="CZ274" i="19" s="1"/>
  <c r="DA274" i="19" s="1"/>
  <c r="H275" i="19"/>
  <c r="F276" i="19"/>
  <c r="G104" i="19"/>
  <c r="C105" i="19"/>
  <c r="DE104" i="19"/>
  <c r="AN104" i="19"/>
  <c r="AQ104" i="19" s="1"/>
  <c r="Z104" i="19"/>
  <c r="AC104" i="19" s="1"/>
  <c r="CR104" i="19"/>
  <c r="CU104" i="19" s="1"/>
  <c r="BB104" i="19"/>
  <c r="BE104" i="19" s="1"/>
  <c r="CD104" i="19"/>
  <c r="CG104" i="19" s="1"/>
  <c r="BP104" i="19"/>
  <c r="BS104" i="19" s="1"/>
  <c r="G190" i="19"/>
  <c r="C191" i="19"/>
  <c r="DE190" i="19"/>
  <c r="BP190" i="19"/>
  <c r="BS190" i="19" s="1"/>
  <c r="BB190" i="19"/>
  <c r="BE190" i="19" s="1"/>
  <c r="AN190" i="19"/>
  <c r="AQ190" i="19" s="1"/>
  <c r="Z190" i="19"/>
  <c r="AC190" i="19" s="1"/>
  <c r="CD190" i="19"/>
  <c r="CG190" i="19" s="1"/>
  <c r="CR190" i="19"/>
  <c r="CU190" i="19" s="1"/>
  <c r="CF274" i="19" l="1"/>
  <c r="CH274" i="19" s="1"/>
  <c r="CI274" i="19" s="1"/>
  <c r="CN274" i="19" s="1"/>
  <c r="CP274" i="19" s="1"/>
  <c r="DK274" i="19" s="1"/>
  <c r="CT274" i="19"/>
  <c r="CV274" i="19" s="1"/>
  <c r="CW274" i="19" s="1"/>
  <c r="BR274" i="19"/>
  <c r="BT274" i="19" s="1"/>
  <c r="BU274" i="19" s="1"/>
  <c r="BZ274" i="19" s="1"/>
  <c r="CB274" i="19" s="1"/>
  <c r="DJ274" i="19" s="1"/>
  <c r="BD274" i="19"/>
  <c r="BF274" i="19" s="1"/>
  <c r="BG274" i="19" s="1"/>
  <c r="BL274" i="19" s="1"/>
  <c r="BN274" i="19" s="1"/>
  <c r="DI274" i="19" s="1"/>
  <c r="G34" i="7"/>
  <c r="AJ25" i="1" s="1"/>
  <c r="G50" i="7"/>
  <c r="AH23" i="1" s="1"/>
  <c r="H36" i="7"/>
  <c r="G36" i="7"/>
  <c r="AJ27" i="1" s="1"/>
  <c r="H43" i="7"/>
  <c r="G43" i="7"/>
  <c r="AI25" i="1" s="1"/>
  <c r="K33" i="7"/>
  <c r="M33" i="7" s="1" a="1"/>
  <c r="M33" i="7" s="1"/>
  <c r="G32" i="7"/>
  <c r="AJ23" i="1" s="1"/>
  <c r="G41" i="7"/>
  <c r="AI23" i="1" s="1"/>
  <c r="J33" i="7"/>
  <c r="E104" i="20" s="1"/>
  <c r="G104" i="20" s="1"/>
  <c r="H104" i="20" s="1"/>
  <c r="G33" i="7"/>
  <c r="AJ24" i="1" s="1"/>
  <c r="K45" i="7"/>
  <c r="M45" i="7" s="1" a="1"/>
  <c r="M45" i="7" s="1"/>
  <c r="J45" i="7"/>
  <c r="I45" i="7"/>
  <c r="G52" i="7"/>
  <c r="AH25" i="1" s="1"/>
  <c r="G45" i="7"/>
  <c r="AI27" i="1" s="1"/>
  <c r="M51" i="7" a="1"/>
  <c r="M51" i="7" s="1"/>
  <c r="K34" i="7"/>
  <c r="M34" i="7" s="1" a="1"/>
  <c r="M34" i="7" s="1"/>
  <c r="I34" i="7"/>
  <c r="J34" i="7"/>
  <c r="K41" i="7"/>
  <c r="M41" i="7" s="1" a="1"/>
  <c r="M41" i="7" s="1"/>
  <c r="I41" i="7"/>
  <c r="J41" i="7"/>
  <c r="E130" i="20"/>
  <c r="G130" i="20" s="1"/>
  <c r="H130" i="20" s="1"/>
  <c r="P10" i="7"/>
  <c r="I53" i="7"/>
  <c r="J53" i="7"/>
  <c r="K53" i="7"/>
  <c r="G53" i="7"/>
  <c r="AH26" i="1" s="1"/>
  <c r="J12" i="7"/>
  <c r="E106" i="20"/>
  <c r="G106" i="20" s="1"/>
  <c r="H106" i="20" s="1"/>
  <c r="J54" i="7"/>
  <c r="I54" i="7"/>
  <c r="K54" i="7"/>
  <c r="J32" i="7"/>
  <c r="I32" i="7"/>
  <c r="K32" i="7"/>
  <c r="M32" i="7" s="1" a="1"/>
  <c r="M32" i="7" s="1"/>
  <c r="K52" i="7"/>
  <c r="I52" i="7"/>
  <c r="J52" i="7"/>
  <c r="G54" i="7"/>
  <c r="AH27" i="1" s="1"/>
  <c r="E119" i="20"/>
  <c r="G119" i="20" s="1"/>
  <c r="H119" i="20" s="1"/>
  <c r="M12" i="7"/>
  <c r="K42" i="7"/>
  <c r="M42" i="7" s="1" a="1"/>
  <c r="M42" i="7" s="1"/>
  <c r="I42" i="7"/>
  <c r="AK24" i="1" s="1"/>
  <c r="J42" i="7"/>
  <c r="J50" i="7"/>
  <c r="I50" i="7"/>
  <c r="K50" i="7"/>
  <c r="G42" i="7"/>
  <c r="AI24" i="1" s="1"/>
  <c r="CJ188" i="19"/>
  <c r="CL188" i="19" s="1"/>
  <c r="CM188" i="19" s="1"/>
  <c r="CN188" i="19" s="1"/>
  <c r="CP188" i="19" s="1"/>
  <c r="AF188" i="19"/>
  <c r="AH188" i="19" s="1"/>
  <c r="AI188" i="19" s="1"/>
  <c r="AJ188" i="19" s="1"/>
  <c r="AL188" i="19" s="1"/>
  <c r="DG188" i="19" s="1"/>
  <c r="BH188" i="19"/>
  <c r="BJ188" i="19" s="1"/>
  <c r="BK188" i="19" s="1"/>
  <c r="BL188" i="19" s="1"/>
  <c r="BN188" i="19" s="1"/>
  <c r="DI188" i="19" s="1"/>
  <c r="AT188" i="19"/>
  <c r="AV188" i="19" s="1"/>
  <c r="AW188" i="19" s="1"/>
  <c r="AX188" i="19" s="1"/>
  <c r="AZ188" i="19" s="1"/>
  <c r="DH188" i="19" s="1"/>
  <c r="BV188" i="19"/>
  <c r="BX188" i="19" s="1"/>
  <c r="BY188" i="19" s="1"/>
  <c r="BZ188" i="19" s="1"/>
  <c r="CB188" i="19" s="1"/>
  <c r="H190" i="19"/>
  <c r="I190" i="19" s="1"/>
  <c r="S190" i="19" s="1"/>
  <c r="U190" i="19" s="1"/>
  <c r="I103" i="19"/>
  <c r="S103" i="19" s="1"/>
  <c r="U103" i="19" s="1"/>
  <c r="AP103" i="19" s="1"/>
  <c r="AR103" i="19" s="1"/>
  <c r="AS103" i="19" s="1"/>
  <c r="BZ187" i="19"/>
  <c r="CB187" i="19" s="1"/>
  <c r="DB188" i="19"/>
  <c r="DD188" i="19" s="1"/>
  <c r="H104" i="19"/>
  <c r="V104" i="19" s="1"/>
  <c r="X104" i="19" s="1"/>
  <c r="H276" i="19"/>
  <c r="I276" i="19" s="1"/>
  <c r="S276" i="19" s="1"/>
  <c r="U276" i="19" s="1"/>
  <c r="F105" i="19"/>
  <c r="AJ274" i="19"/>
  <c r="AL274" i="19" s="1"/>
  <c r="DG274" i="19" s="1"/>
  <c r="V275" i="19"/>
  <c r="X275" i="19" s="1"/>
  <c r="I275" i="19"/>
  <c r="S275" i="19" s="1"/>
  <c r="U275" i="19" s="1"/>
  <c r="DB274" i="19"/>
  <c r="DD274" i="19" s="1"/>
  <c r="DL274" i="19" s="1"/>
  <c r="F277" i="19"/>
  <c r="AX274" i="19"/>
  <c r="AZ274" i="19" s="1"/>
  <c r="DH274" i="19" s="1"/>
  <c r="G191" i="19"/>
  <c r="C192" i="19"/>
  <c r="DE191" i="19"/>
  <c r="CD191" i="19"/>
  <c r="CG191" i="19" s="1"/>
  <c r="BB191" i="19"/>
  <c r="BE191" i="19" s="1"/>
  <c r="BP191" i="19"/>
  <c r="BS191" i="19" s="1"/>
  <c r="Z191" i="19"/>
  <c r="AC191" i="19" s="1"/>
  <c r="AN191" i="19"/>
  <c r="AQ191" i="19" s="1"/>
  <c r="CR191" i="19"/>
  <c r="CU191" i="19" s="1"/>
  <c r="DB187" i="19"/>
  <c r="DD187" i="19" s="1"/>
  <c r="G277" i="19"/>
  <c r="C278" i="19"/>
  <c r="DE277" i="19"/>
  <c r="CD277" i="19"/>
  <c r="CG277" i="19" s="1"/>
  <c r="CR277" i="19"/>
  <c r="CU277" i="19" s="1"/>
  <c r="BP277" i="19"/>
  <c r="BS277" i="19" s="1"/>
  <c r="AN277" i="19"/>
  <c r="AQ277" i="19" s="1"/>
  <c r="BB277" i="19"/>
  <c r="BE277" i="19" s="1"/>
  <c r="Z277" i="19"/>
  <c r="AC277" i="19" s="1"/>
  <c r="F191" i="19"/>
  <c r="BL187" i="19"/>
  <c r="BN187" i="19" s="1"/>
  <c r="DI187" i="19" s="1"/>
  <c r="AX187" i="19"/>
  <c r="AZ187" i="19" s="1"/>
  <c r="DH187" i="19" s="1"/>
  <c r="AB102" i="19"/>
  <c r="AD102" i="19" s="1"/>
  <c r="AE102" i="19" s="1"/>
  <c r="CT102" i="19"/>
  <c r="CV102" i="19" s="1"/>
  <c r="CW102" i="19" s="1"/>
  <c r="AP102" i="19"/>
  <c r="AR102" i="19" s="1"/>
  <c r="AS102" i="19" s="1"/>
  <c r="BR102" i="19"/>
  <c r="BT102" i="19" s="1"/>
  <c r="BU102" i="19" s="1"/>
  <c r="BD102" i="19"/>
  <c r="BF102" i="19" s="1"/>
  <c r="BG102" i="19" s="1"/>
  <c r="CF102" i="19"/>
  <c r="CH102" i="19" s="1"/>
  <c r="CI102" i="19" s="1"/>
  <c r="C106" i="19"/>
  <c r="G105" i="19"/>
  <c r="DE105" i="19"/>
  <c r="Z105" i="19"/>
  <c r="AC105" i="19" s="1"/>
  <c r="CR105" i="19"/>
  <c r="CU105" i="19" s="1"/>
  <c r="AN105" i="19"/>
  <c r="AQ105" i="19" s="1"/>
  <c r="CD105" i="19"/>
  <c r="CG105" i="19" s="1"/>
  <c r="BP105" i="19"/>
  <c r="BS105" i="19" s="1"/>
  <c r="BB105" i="19"/>
  <c r="BE105" i="19" s="1"/>
  <c r="CN187" i="19"/>
  <c r="CP187" i="19" s="1"/>
  <c r="AT102" i="19"/>
  <c r="AV102" i="19" s="1"/>
  <c r="AW102" i="19" s="1"/>
  <c r="AF102" i="19"/>
  <c r="AH102" i="19" s="1"/>
  <c r="AI102" i="19" s="1"/>
  <c r="BV102" i="19"/>
  <c r="BX102" i="19" s="1"/>
  <c r="BY102" i="19" s="1"/>
  <c r="BH102" i="19"/>
  <c r="BJ102" i="19" s="1"/>
  <c r="BK102" i="19" s="1"/>
  <c r="CX102" i="19"/>
  <c r="CZ102" i="19" s="1"/>
  <c r="DA102" i="19" s="1"/>
  <c r="CJ102" i="19"/>
  <c r="CL102" i="19" s="1"/>
  <c r="CM102" i="19" s="1"/>
  <c r="AT103" i="19"/>
  <c r="AV103" i="19" s="1"/>
  <c r="AW103" i="19" s="1"/>
  <c r="CX103" i="19"/>
  <c r="CZ103" i="19" s="1"/>
  <c r="DA103" i="19" s="1"/>
  <c r="BH103" i="19"/>
  <c r="BJ103" i="19" s="1"/>
  <c r="BK103" i="19" s="1"/>
  <c r="BV103" i="19"/>
  <c r="BX103" i="19" s="1"/>
  <c r="BY103" i="19" s="1"/>
  <c r="CJ103" i="19"/>
  <c r="CL103" i="19" s="1"/>
  <c r="CM103" i="19" s="1"/>
  <c r="AF103" i="19"/>
  <c r="AH103" i="19" s="1"/>
  <c r="AI103" i="19" s="1"/>
  <c r="AJ187" i="19"/>
  <c r="AL187" i="19" s="1"/>
  <c r="DG187" i="19" s="1"/>
  <c r="V189" i="19"/>
  <c r="X189" i="19" s="1"/>
  <c r="I189" i="19"/>
  <c r="S189" i="19" s="1"/>
  <c r="U189" i="19" s="1"/>
  <c r="J10" i="7" l="1"/>
  <c r="K43" i="7"/>
  <c r="M43" i="7" s="1" a="1"/>
  <c r="M43" i="7" s="1"/>
  <c r="J43" i="7"/>
  <c r="I43" i="7"/>
  <c r="J36" i="7"/>
  <c r="J62" i="7" s="1"/>
  <c r="I36" i="7"/>
  <c r="K36" i="7"/>
  <c r="M36" i="7" s="1" a="1"/>
  <c r="M36" i="7" s="1"/>
  <c r="P9" i="7"/>
  <c r="E129" i="20"/>
  <c r="G129" i="20" s="1"/>
  <c r="H129" i="20" s="1"/>
  <c r="J58" i="7"/>
  <c r="AK27" i="1"/>
  <c r="I62" i="7"/>
  <c r="J11" i="7"/>
  <c r="E105" i="20"/>
  <c r="G105" i="20" s="1"/>
  <c r="H105" i="20" s="1"/>
  <c r="M10" i="7"/>
  <c r="E117" i="20"/>
  <c r="G117" i="20" s="1"/>
  <c r="H117" i="20" s="1"/>
  <c r="E133" i="20"/>
  <c r="G133" i="20" s="1"/>
  <c r="H133" i="20" s="1"/>
  <c r="P13" i="7"/>
  <c r="O106" i="20"/>
  <c r="J106" i="20"/>
  <c r="L106" i="20"/>
  <c r="D178" i="20" s="1"/>
  <c r="K106" i="20"/>
  <c r="I106" i="20"/>
  <c r="M106" i="20" s="1"/>
  <c r="N106" i="20" s="1"/>
  <c r="I58" i="7"/>
  <c r="AK23" i="1"/>
  <c r="M59" i="7"/>
  <c r="C5" i="38" s="1"/>
  <c r="K59" i="7"/>
  <c r="K61" i="7"/>
  <c r="M53" i="7" a="1"/>
  <c r="M53" i="7" s="1"/>
  <c r="M61" i="7" s="1"/>
  <c r="C7" i="38" s="1"/>
  <c r="P12" i="7"/>
  <c r="J61" i="7"/>
  <c r="E132" i="20"/>
  <c r="G132" i="20" s="1"/>
  <c r="H132" i="20" s="1"/>
  <c r="I61" i="7"/>
  <c r="AK26" i="1"/>
  <c r="I59" i="7"/>
  <c r="M13" i="7"/>
  <c r="E120" i="20"/>
  <c r="G120" i="20" s="1"/>
  <c r="H120" i="20" s="1"/>
  <c r="J119" i="20"/>
  <c r="O119" i="20"/>
  <c r="L119" i="20"/>
  <c r="G178" i="20" s="1"/>
  <c r="B103" i="15" s="1"/>
  <c r="K119" i="20"/>
  <c r="I119" i="20"/>
  <c r="M119" i="20" s="1"/>
  <c r="N119" i="20" s="1"/>
  <c r="P11" i="7"/>
  <c r="E131" i="20"/>
  <c r="G131" i="20" s="1"/>
  <c r="H131" i="20" s="1"/>
  <c r="J60" i="7"/>
  <c r="I60" i="7"/>
  <c r="AK25" i="1"/>
  <c r="J59" i="7"/>
  <c r="M52" i="7" a="1"/>
  <c r="M52" i="7" s="1"/>
  <c r="M54" i="7" a="1"/>
  <c r="M54" i="7" s="1"/>
  <c r="K130" i="20"/>
  <c r="L130" i="20"/>
  <c r="J176" i="20" s="1"/>
  <c r="B90" i="15" s="1"/>
  <c r="I130" i="20"/>
  <c r="M130" i="20" s="1"/>
  <c r="N130" i="20" s="1"/>
  <c r="O130" i="20"/>
  <c r="J130" i="20"/>
  <c r="M9" i="7"/>
  <c r="E116" i="20"/>
  <c r="G116" i="20" s="1"/>
  <c r="H116" i="20" s="1"/>
  <c r="K58" i="7"/>
  <c r="M50" i="7" a="1"/>
  <c r="M50" i="7" s="1"/>
  <c r="M58" i="7" s="1"/>
  <c r="C4" i="38" s="1"/>
  <c r="E103" i="20"/>
  <c r="G103" i="20" s="1"/>
  <c r="H103" i="20" s="1"/>
  <c r="J9" i="7"/>
  <c r="J104" i="20"/>
  <c r="K104" i="20"/>
  <c r="I104" i="20"/>
  <c r="M104" i="20" s="1"/>
  <c r="N104" i="20" s="1"/>
  <c r="L104" i="20"/>
  <c r="D176" i="20" s="1"/>
  <c r="O104" i="20"/>
  <c r="V190" i="19"/>
  <c r="X190" i="19" s="1"/>
  <c r="CX190" i="19" s="1"/>
  <c r="CZ190" i="19" s="1"/>
  <c r="DA190" i="19" s="1"/>
  <c r="CT103" i="19"/>
  <c r="CV103" i="19" s="1"/>
  <c r="CW103" i="19" s="1"/>
  <c r="DB103" i="19" s="1"/>
  <c r="DD103" i="19" s="1"/>
  <c r="DL103" i="19" s="1"/>
  <c r="BR103" i="19"/>
  <c r="BT103" i="19" s="1"/>
  <c r="BU103" i="19" s="1"/>
  <c r="BZ103" i="19" s="1"/>
  <c r="CB103" i="19" s="1"/>
  <c r="DJ103" i="19" s="1"/>
  <c r="AB103" i="19"/>
  <c r="AD103" i="19" s="1"/>
  <c r="AE103" i="19" s="1"/>
  <c r="AJ103" i="19" s="1"/>
  <c r="AL103" i="19" s="1"/>
  <c r="DG103" i="19" s="1"/>
  <c r="CF103" i="19"/>
  <c r="CH103" i="19" s="1"/>
  <c r="CI103" i="19" s="1"/>
  <c r="CN103" i="19" s="1"/>
  <c r="CP103" i="19" s="1"/>
  <c r="DK103" i="19" s="1"/>
  <c r="BD103" i="19"/>
  <c r="BF103" i="19" s="1"/>
  <c r="BG103" i="19" s="1"/>
  <c r="BL103" i="19" s="1"/>
  <c r="BN103" i="19" s="1"/>
  <c r="DI103" i="19" s="1"/>
  <c r="H105" i="19"/>
  <c r="V105" i="19" s="1"/>
  <c r="X105" i="19" s="1"/>
  <c r="F106" i="19"/>
  <c r="I104" i="19"/>
  <c r="S104" i="19" s="1"/>
  <c r="U104" i="19" s="1"/>
  <c r="AP104" i="19" s="1"/>
  <c r="AR104" i="19" s="1"/>
  <c r="AS104" i="19" s="1"/>
  <c r="V276" i="19"/>
  <c r="X276" i="19" s="1"/>
  <c r="AT276" i="19" s="1"/>
  <c r="AV276" i="19" s="1"/>
  <c r="AW276" i="19" s="1"/>
  <c r="AJ102" i="19"/>
  <c r="AL102" i="19" s="1"/>
  <c r="DG102" i="19" s="1"/>
  <c r="H191" i="19"/>
  <c r="V191" i="19" s="1"/>
  <c r="X191" i="19" s="1"/>
  <c r="AX102" i="19"/>
  <c r="AZ102" i="19" s="1"/>
  <c r="DH102" i="19" s="1"/>
  <c r="BZ102" i="19"/>
  <c r="CB102" i="19" s="1"/>
  <c r="DJ102" i="19" s="1"/>
  <c r="G192" i="19"/>
  <c r="C193" i="19"/>
  <c r="DE192" i="19"/>
  <c r="CR192" i="19"/>
  <c r="CU192" i="19" s="1"/>
  <c r="CD192" i="19"/>
  <c r="CG192" i="19" s="1"/>
  <c r="BP192" i="19"/>
  <c r="BS192" i="19" s="1"/>
  <c r="BB192" i="19"/>
  <c r="BE192" i="19" s="1"/>
  <c r="Z192" i="19"/>
  <c r="AC192" i="19" s="1"/>
  <c r="AN192" i="19"/>
  <c r="AQ192" i="19" s="1"/>
  <c r="AB189" i="19"/>
  <c r="AD189" i="19" s="1"/>
  <c r="AE189" i="19" s="1"/>
  <c r="CF189" i="19"/>
  <c r="CH189" i="19" s="1"/>
  <c r="CI189" i="19" s="1"/>
  <c r="CT189" i="19"/>
  <c r="CV189" i="19" s="1"/>
  <c r="CW189" i="19" s="1"/>
  <c r="AP189" i="19"/>
  <c r="AR189" i="19" s="1"/>
  <c r="AS189" i="19" s="1"/>
  <c r="BD189" i="19"/>
  <c r="BF189" i="19" s="1"/>
  <c r="BG189" i="19" s="1"/>
  <c r="BR189" i="19"/>
  <c r="BT189" i="19" s="1"/>
  <c r="BU189" i="19" s="1"/>
  <c r="AT189" i="19"/>
  <c r="AV189" i="19" s="1"/>
  <c r="AW189" i="19" s="1"/>
  <c r="CX189" i="19"/>
  <c r="CZ189" i="19" s="1"/>
  <c r="DA189" i="19" s="1"/>
  <c r="BV189" i="19"/>
  <c r="BX189" i="19" s="1"/>
  <c r="BY189" i="19" s="1"/>
  <c r="CJ189" i="19"/>
  <c r="CL189" i="19" s="1"/>
  <c r="CM189" i="19" s="1"/>
  <c r="AF189" i="19"/>
  <c r="AH189" i="19" s="1"/>
  <c r="AI189" i="19" s="1"/>
  <c r="BH189" i="19"/>
  <c r="BJ189" i="19" s="1"/>
  <c r="BK189" i="19" s="1"/>
  <c r="G278" i="19"/>
  <c r="C279" i="19"/>
  <c r="DE278" i="19"/>
  <c r="Z278" i="19"/>
  <c r="AC278" i="19" s="1"/>
  <c r="AN278" i="19"/>
  <c r="AQ278" i="19" s="1"/>
  <c r="CD278" i="19"/>
  <c r="CG278" i="19" s="1"/>
  <c r="BP278" i="19"/>
  <c r="BS278" i="19" s="1"/>
  <c r="BB278" i="19"/>
  <c r="BE278" i="19" s="1"/>
  <c r="CR278" i="19"/>
  <c r="CU278" i="19" s="1"/>
  <c r="CT190" i="19"/>
  <c r="CV190" i="19" s="1"/>
  <c r="CW190" i="19" s="1"/>
  <c r="AB190" i="19"/>
  <c r="AD190" i="19" s="1"/>
  <c r="AE190" i="19" s="1"/>
  <c r="BD190" i="19"/>
  <c r="BF190" i="19" s="1"/>
  <c r="BG190" i="19" s="1"/>
  <c r="BR190" i="19"/>
  <c r="BT190" i="19" s="1"/>
  <c r="BU190" i="19" s="1"/>
  <c r="CF190" i="19"/>
  <c r="CH190" i="19" s="1"/>
  <c r="CI190" i="19" s="1"/>
  <c r="AP190" i="19"/>
  <c r="AR190" i="19" s="1"/>
  <c r="AS190" i="19" s="1"/>
  <c r="AF190" i="19"/>
  <c r="AH190" i="19" s="1"/>
  <c r="AI190" i="19" s="1"/>
  <c r="AB276" i="19"/>
  <c r="AD276" i="19" s="1"/>
  <c r="AE276" i="19" s="1"/>
  <c r="CT276" i="19"/>
  <c r="CV276" i="19" s="1"/>
  <c r="CW276" i="19" s="1"/>
  <c r="CF276" i="19"/>
  <c r="CH276" i="19" s="1"/>
  <c r="CI276" i="19" s="1"/>
  <c r="AP276" i="19"/>
  <c r="AR276" i="19" s="1"/>
  <c r="AS276" i="19" s="1"/>
  <c r="BD276" i="19"/>
  <c r="BF276" i="19" s="1"/>
  <c r="BG276" i="19" s="1"/>
  <c r="BR276" i="19"/>
  <c r="BT276" i="19" s="1"/>
  <c r="BU276" i="19" s="1"/>
  <c r="F192" i="19"/>
  <c r="H277" i="19"/>
  <c r="AX103" i="19"/>
  <c r="AZ103" i="19" s="1"/>
  <c r="DH103" i="19" s="1"/>
  <c r="CN102" i="19"/>
  <c r="CP102" i="19" s="1"/>
  <c r="DK102" i="19" s="1"/>
  <c r="C107" i="19"/>
  <c r="G106" i="19"/>
  <c r="DE106" i="19"/>
  <c r="AN106" i="19"/>
  <c r="AQ106" i="19" s="1"/>
  <c r="Z106" i="19"/>
  <c r="AC106" i="19" s="1"/>
  <c r="CR106" i="19"/>
  <c r="CU106" i="19" s="1"/>
  <c r="CD106" i="19"/>
  <c r="CG106" i="19" s="1"/>
  <c r="BP106" i="19"/>
  <c r="BS106" i="19" s="1"/>
  <c r="BB106" i="19"/>
  <c r="BE106" i="19" s="1"/>
  <c r="F278" i="19"/>
  <c r="BH104" i="19"/>
  <c r="BJ104" i="19" s="1"/>
  <c r="BK104" i="19" s="1"/>
  <c r="AF104" i="19"/>
  <c r="AH104" i="19" s="1"/>
  <c r="AI104" i="19" s="1"/>
  <c r="BV104" i="19"/>
  <c r="BX104" i="19" s="1"/>
  <c r="BY104" i="19" s="1"/>
  <c r="CJ104" i="19"/>
  <c r="CL104" i="19" s="1"/>
  <c r="CM104" i="19" s="1"/>
  <c r="CX104" i="19"/>
  <c r="CZ104" i="19" s="1"/>
  <c r="DA104" i="19" s="1"/>
  <c r="AT104" i="19"/>
  <c r="AV104" i="19" s="1"/>
  <c r="AW104" i="19" s="1"/>
  <c r="DB102" i="19"/>
  <c r="DD102" i="19" s="1"/>
  <c r="DL102" i="19" s="1"/>
  <c r="BD275" i="19"/>
  <c r="BF275" i="19" s="1"/>
  <c r="BG275" i="19" s="1"/>
  <c r="AB275" i="19"/>
  <c r="AD275" i="19" s="1"/>
  <c r="AE275" i="19" s="1"/>
  <c r="BR275" i="19"/>
  <c r="BT275" i="19" s="1"/>
  <c r="BU275" i="19" s="1"/>
  <c r="AP275" i="19"/>
  <c r="AR275" i="19" s="1"/>
  <c r="AS275" i="19" s="1"/>
  <c r="CT275" i="19"/>
  <c r="CV275" i="19" s="1"/>
  <c r="CW275" i="19" s="1"/>
  <c r="CF275" i="19"/>
  <c r="CH275" i="19" s="1"/>
  <c r="CI275" i="19" s="1"/>
  <c r="BL102" i="19"/>
  <c r="BN102" i="19" s="1"/>
  <c r="DI102" i="19" s="1"/>
  <c r="CX275" i="19"/>
  <c r="CZ275" i="19" s="1"/>
  <c r="DA275" i="19" s="1"/>
  <c r="AF275" i="19"/>
  <c r="AH275" i="19" s="1"/>
  <c r="AI275" i="19" s="1"/>
  <c r="BH275" i="19"/>
  <c r="BJ275" i="19" s="1"/>
  <c r="BK275" i="19" s="1"/>
  <c r="CJ275" i="19"/>
  <c r="CL275" i="19" s="1"/>
  <c r="CM275" i="19" s="1"/>
  <c r="BV275" i="19"/>
  <c r="BX275" i="19" s="1"/>
  <c r="BY275" i="19" s="1"/>
  <c r="AT275" i="19"/>
  <c r="AV275" i="19" s="1"/>
  <c r="AW275" i="19" s="1"/>
  <c r="M477" i="19"/>
  <c r="M60" i="7" l="1"/>
  <c r="C6" i="38" s="1"/>
  <c r="K60" i="7"/>
  <c r="K62" i="7"/>
  <c r="M62" i="7"/>
  <c r="C8" i="38" s="1"/>
  <c r="M8" i="38" s="1"/>
  <c r="H449" i="33" s="1"/>
  <c r="J13" i="7"/>
  <c r="E107" i="20"/>
  <c r="G107" i="20" s="1"/>
  <c r="H107" i="20" s="1"/>
  <c r="E118" i="20"/>
  <c r="G118" i="20" s="1"/>
  <c r="H118" i="20" s="1"/>
  <c r="M11" i="7"/>
  <c r="E90" i="15"/>
  <c r="G90" i="15"/>
  <c r="F90" i="15"/>
  <c r="G103" i="15"/>
  <c r="F103" i="15"/>
  <c r="E103" i="15"/>
  <c r="M6" i="38"/>
  <c r="H365" i="33" s="1"/>
  <c r="D6" i="38"/>
  <c r="N6" i="38" s="1"/>
  <c r="G275" i="26" s="1"/>
  <c r="J120" i="20"/>
  <c r="O120" i="20"/>
  <c r="K120" i="20"/>
  <c r="I120" i="20"/>
  <c r="M120" i="20" s="1"/>
  <c r="N120" i="20" s="1"/>
  <c r="L120" i="20"/>
  <c r="G179" i="20" s="1"/>
  <c r="B110" i="15" s="1"/>
  <c r="I132" i="20"/>
  <c r="M132" i="20" s="1"/>
  <c r="N132" i="20" s="1"/>
  <c r="L132" i="20"/>
  <c r="J178" i="20" s="1"/>
  <c r="B104" i="15" s="1"/>
  <c r="J132" i="20"/>
  <c r="K132" i="20"/>
  <c r="O132" i="20"/>
  <c r="J133" i="20"/>
  <c r="L133" i="20"/>
  <c r="J179" i="20" s="1"/>
  <c r="B111" i="15" s="1"/>
  <c r="O133" i="20"/>
  <c r="K133" i="20"/>
  <c r="I133" i="20"/>
  <c r="M133" i="20" s="1"/>
  <c r="N133" i="20" s="1"/>
  <c r="O117" i="20"/>
  <c r="I117" i="20"/>
  <c r="M117" i="20" s="1"/>
  <c r="N117" i="20" s="1"/>
  <c r="L117" i="20"/>
  <c r="G176" i="20" s="1"/>
  <c r="B89" i="15" s="1"/>
  <c r="J117" i="20"/>
  <c r="K117" i="20"/>
  <c r="D7" i="38"/>
  <c r="N7" i="38" s="1"/>
  <c r="G307" i="26" s="1"/>
  <c r="M7" i="38"/>
  <c r="H407" i="33" s="1"/>
  <c r="I105" i="20"/>
  <c r="M105" i="20" s="1"/>
  <c r="N105" i="20" s="1"/>
  <c r="O105" i="20"/>
  <c r="K105" i="20"/>
  <c r="J105" i="20"/>
  <c r="L105" i="20"/>
  <c r="D177" i="20" s="1"/>
  <c r="L103" i="20"/>
  <c r="D175" i="20" s="1"/>
  <c r="O103" i="20"/>
  <c r="I103" i="20"/>
  <c r="M103" i="20" s="1"/>
  <c r="N103" i="20" s="1"/>
  <c r="J103" i="20"/>
  <c r="K103" i="20"/>
  <c r="D4" i="38"/>
  <c r="N4" i="38" s="1"/>
  <c r="G207" i="26" s="1"/>
  <c r="M4" i="38"/>
  <c r="H277" i="33" s="1"/>
  <c r="M5" i="38"/>
  <c r="H321" i="33" s="1"/>
  <c r="D5" i="38"/>
  <c r="N5" i="38" s="1"/>
  <c r="G241" i="26" s="1"/>
  <c r="AS74" i="25"/>
  <c r="AS108" i="25" s="1"/>
  <c r="B88" i="15"/>
  <c r="J131" i="20"/>
  <c r="I131" i="20"/>
  <c r="M131" i="20" s="1"/>
  <c r="N131" i="20" s="1"/>
  <c r="L131" i="20"/>
  <c r="J177" i="20" s="1"/>
  <c r="B97" i="15" s="1"/>
  <c r="K131" i="20"/>
  <c r="O131" i="20"/>
  <c r="J129" i="20"/>
  <c r="L129" i="20"/>
  <c r="J175" i="20" s="1"/>
  <c r="B83" i="15" s="1"/>
  <c r="K129" i="20"/>
  <c r="O129" i="20"/>
  <c r="I129" i="20"/>
  <c r="M129" i="20" s="1"/>
  <c r="N129" i="20" s="1"/>
  <c r="B102" i="15"/>
  <c r="BE74" i="25"/>
  <c r="BE108" i="25" s="1"/>
  <c r="I116" i="20"/>
  <c r="M116" i="20" s="1"/>
  <c r="N116" i="20" s="1"/>
  <c r="L116" i="20"/>
  <c r="G175" i="20" s="1"/>
  <c r="B82" i="15" s="1"/>
  <c r="J116" i="20"/>
  <c r="K116" i="20"/>
  <c r="O116" i="20"/>
  <c r="AT190" i="19"/>
  <c r="AV190" i="19" s="1"/>
  <c r="AW190" i="19" s="1"/>
  <c r="AX190" i="19" s="1"/>
  <c r="AZ190" i="19" s="1"/>
  <c r="DH190" i="19" s="1"/>
  <c r="CJ190" i="19"/>
  <c r="CL190" i="19" s="1"/>
  <c r="CM190" i="19" s="1"/>
  <c r="CN190" i="19" s="1"/>
  <c r="CP190" i="19" s="1"/>
  <c r="BH190" i="19"/>
  <c r="BJ190" i="19" s="1"/>
  <c r="BK190" i="19" s="1"/>
  <c r="BV190" i="19"/>
  <c r="BX190" i="19" s="1"/>
  <c r="BY190" i="19" s="1"/>
  <c r="BZ190" i="19" s="1"/>
  <c r="CB190" i="19" s="1"/>
  <c r="H106" i="19"/>
  <c r="V106" i="19" s="1"/>
  <c r="X106" i="19" s="1"/>
  <c r="BD104" i="19"/>
  <c r="BF104" i="19" s="1"/>
  <c r="BG104" i="19" s="1"/>
  <c r="BL104" i="19" s="1"/>
  <c r="BN104" i="19" s="1"/>
  <c r="DI104" i="19" s="1"/>
  <c r="I105" i="19"/>
  <c r="S105" i="19" s="1"/>
  <c r="U105" i="19" s="1"/>
  <c r="BR105" i="19" s="1"/>
  <c r="BT105" i="19" s="1"/>
  <c r="BU105" i="19" s="1"/>
  <c r="AB104" i="19"/>
  <c r="AD104" i="19" s="1"/>
  <c r="AE104" i="19" s="1"/>
  <c r="AJ104" i="19" s="1"/>
  <c r="AL104" i="19" s="1"/>
  <c r="DG104" i="19" s="1"/>
  <c r="CT104" i="19"/>
  <c r="CV104" i="19" s="1"/>
  <c r="CW104" i="19" s="1"/>
  <c r="DB104" i="19" s="1"/>
  <c r="DD104" i="19" s="1"/>
  <c r="DL104" i="19" s="1"/>
  <c r="CF104" i="19"/>
  <c r="CH104" i="19" s="1"/>
  <c r="CI104" i="19" s="1"/>
  <c r="CN104" i="19" s="1"/>
  <c r="CP104" i="19" s="1"/>
  <c r="DK104" i="19" s="1"/>
  <c r="BR104" i="19"/>
  <c r="BT104" i="19" s="1"/>
  <c r="BU104" i="19" s="1"/>
  <c r="BZ104" i="19" s="1"/>
  <c r="CB104" i="19" s="1"/>
  <c r="DJ104" i="19" s="1"/>
  <c r="I191" i="19"/>
  <c r="S191" i="19" s="1"/>
  <c r="U191" i="19" s="1"/>
  <c r="CT191" i="19" s="1"/>
  <c r="CV191" i="19" s="1"/>
  <c r="CW191" i="19" s="1"/>
  <c r="BH276" i="19"/>
  <c r="BJ276" i="19" s="1"/>
  <c r="BK276" i="19" s="1"/>
  <c r="BL276" i="19" s="1"/>
  <c r="BN276" i="19" s="1"/>
  <c r="DI276" i="19" s="1"/>
  <c r="CJ276" i="19"/>
  <c r="CL276" i="19" s="1"/>
  <c r="CM276" i="19" s="1"/>
  <c r="CN276" i="19" s="1"/>
  <c r="CP276" i="19" s="1"/>
  <c r="DK276" i="19" s="1"/>
  <c r="BV276" i="19"/>
  <c r="BX276" i="19" s="1"/>
  <c r="BY276" i="19" s="1"/>
  <c r="BZ276" i="19" s="1"/>
  <c r="CB276" i="19" s="1"/>
  <c r="DJ276" i="19" s="1"/>
  <c r="CX276" i="19"/>
  <c r="CZ276" i="19" s="1"/>
  <c r="DA276" i="19" s="1"/>
  <c r="DB276" i="19" s="1"/>
  <c r="DD276" i="19" s="1"/>
  <c r="DL276" i="19" s="1"/>
  <c r="AF276" i="19"/>
  <c r="AH276" i="19" s="1"/>
  <c r="AI276" i="19" s="1"/>
  <c r="AJ276" i="19" s="1"/>
  <c r="AL276" i="19" s="1"/>
  <c r="DG276" i="19" s="1"/>
  <c r="AX104" i="19"/>
  <c r="AZ104" i="19" s="1"/>
  <c r="DH104" i="19" s="1"/>
  <c r="AX276" i="19"/>
  <c r="AZ276" i="19" s="1"/>
  <c r="DH276" i="19" s="1"/>
  <c r="BL189" i="19"/>
  <c r="BN189" i="19" s="1"/>
  <c r="DI189" i="19" s="1"/>
  <c r="DB189" i="19"/>
  <c r="DD189" i="19" s="1"/>
  <c r="BZ189" i="19"/>
  <c r="CB189" i="19" s="1"/>
  <c r="AX189" i="19"/>
  <c r="AZ189" i="19" s="1"/>
  <c r="DH189" i="19" s="1"/>
  <c r="BL190" i="19"/>
  <c r="BN190" i="19" s="1"/>
  <c r="DI190" i="19" s="1"/>
  <c r="F193" i="19"/>
  <c r="CN275" i="19"/>
  <c r="CP275" i="19" s="1"/>
  <c r="DK275" i="19" s="1"/>
  <c r="H278" i="19"/>
  <c r="V278" i="19" s="1"/>
  <c r="X278" i="19" s="1"/>
  <c r="G279" i="19"/>
  <c r="C280" i="19"/>
  <c r="DE279" i="19"/>
  <c r="CD279" i="19"/>
  <c r="CG279" i="19" s="1"/>
  <c r="Z279" i="19"/>
  <c r="AC279" i="19" s="1"/>
  <c r="BP279" i="19"/>
  <c r="BS279" i="19" s="1"/>
  <c r="CR279" i="19"/>
  <c r="CU279" i="19" s="1"/>
  <c r="BB279" i="19"/>
  <c r="BE279" i="19" s="1"/>
  <c r="AN279" i="19"/>
  <c r="AQ279" i="19" s="1"/>
  <c r="AT191" i="19"/>
  <c r="AV191" i="19" s="1"/>
  <c r="AW191" i="19" s="1"/>
  <c r="BH191" i="19"/>
  <c r="BJ191" i="19" s="1"/>
  <c r="BK191" i="19" s="1"/>
  <c r="CX191" i="19"/>
  <c r="CZ191" i="19" s="1"/>
  <c r="DA191" i="19" s="1"/>
  <c r="BV191" i="19"/>
  <c r="BX191" i="19" s="1"/>
  <c r="BY191" i="19" s="1"/>
  <c r="CJ191" i="19"/>
  <c r="CL191" i="19" s="1"/>
  <c r="CM191" i="19" s="1"/>
  <c r="AF191" i="19"/>
  <c r="AH191" i="19" s="1"/>
  <c r="AI191" i="19" s="1"/>
  <c r="G107" i="19"/>
  <c r="C108" i="19"/>
  <c r="DE107" i="19"/>
  <c r="BP107" i="19"/>
  <c r="BS107" i="19" s="1"/>
  <c r="Z107" i="19"/>
  <c r="AC107" i="19" s="1"/>
  <c r="CD107" i="19"/>
  <c r="CG107" i="19" s="1"/>
  <c r="CR107" i="19"/>
  <c r="CU107" i="19" s="1"/>
  <c r="BB107" i="19"/>
  <c r="BE107" i="19" s="1"/>
  <c r="AN107" i="19"/>
  <c r="AQ107" i="19" s="1"/>
  <c r="AJ189" i="19"/>
  <c r="AL189" i="19" s="1"/>
  <c r="DG189" i="19" s="1"/>
  <c r="CN189" i="19"/>
  <c r="CP189" i="19" s="1"/>
  <c r="AX275" i="19"/>
  <c r="AZ275" i="19" s="1"/>
  <c r="DH275" i="19" s="1"/>
  <c r="BL275" i="19"/>
  <c r="BN275" i="19" s="1"/>
  <c r="DI275" i="19" s="1"/>
  <c r="F279" i="19"/>
  <c r="AJ275" i="19"/>
  <c r="AL275" i="19" s="1"/>
  <c r="DG275" i="19" s="1"/>
  <c r="C194" i="19"/>
  <c r="G193" i="19"/>
  <c r="DE193" i="19"/>
  <c r="BP193" i="19"/>
  <c r="BS193" i="19" s="1"/>
  <c r="BB193" i="19"/>
  <c r="BE193" i="19" s="1"/>
  <c r="Z193" i="19"/>
  <c r="AC193" i="19" s="1"/>
  <c r="AN193" i="19"/>
  <c r="AQ193" i="19" s="1"/>
  <c r="CR193" i="19"/>
  <c r="CU193" i="19" s="1"/>
  <c r="CD193" i="19"/>
  <c r="CG193" i="19" s="1"/>
  <c r="DB275" i="19"/>
  <c r="DD275" i="19" s="1"/>
  <c r="DL275" i="19" s="1"/>
  <c r="F107" i="19"/>
  <c r="H192" i="19"/>
  <c r="BZ275" i="19"/>
  <c r="CB275" i="19" s="1"/>
  <c r="DJ275" i="19" s="1"/>
  <c r="DB190" i="19"/>
  <c r="DD190" i="19" s="1"/>
  <c r="V277" i="19"/>
  <c r="X277" i="19" s="1"/>
  <c r="I277" i="19"/>
  <c r="S277" i="19" s="1"/>
  <c r="U277" i="19" s="1"/>
  <c r="AJ190" i="19"/>
  <c r="AL190" i="19" s="1"/>
  <c r="DG190" i="19" s="1"/>
  <c r="CX105" i="19"/>
  <c r="CZ105" i="19" s="1"/>
  <c r="DA105" i="19" s="1"/>
  <c r="CJ105" i="19"/>
  <c r="CL105" i="19" s="1"/>
  <c r="CM105" i="19" s="1"/>
  <c r="AF105" i="19"/>
  <c r="AH105" i="19" s="1"/>
  <c r="AI105" i="19" s="1"/>
  <c r="BH105" i="19"/>
  <c r="BJ105" i="19" s="1"/>
  <c r="BK105" i="19" s="1"/>
  <c r="AT105" i="19"/>
  <c r="AV105" i="19" s="1"/>
  <c r="AW105" i="19" s="1"/>
  <c r="BV105" i="19"/>
  <c r="BX105" i="19" s="1"/>
  <c r="BY105" i="19" s="1"/>
  <c r="Z477" i="19"/>
  <c r="I106" i="19" l="1"/>
  <c r="S106" i="19" s="1"/>
  <c r="U106" i="19" s="1"/>
  <c r="D8" i="38"/>
  <c r="N8" i="38" s="1"/>
  <c r="G339" i="26" s="1"/>
  <c r="O339" i="26" s="1"/>
  <c r="K118" i="20"/>
  <c r="I118" i="20"/>
  <c r="M118" i="20" s="1"/>
  <c r="N118" i="20" s="1"/>
  <c r="J118" i="20"/>
  <c r="L118" i="20"/>
  <c r="G177" i="20" s="1"/>
  <c r="B96" i="15" s="1"/>
  <c r="O118" i="20"/>
  <c r="I107" i="20"/>
  <c r="M107" i="20" s="1"/>
  <c r="N107" i="20" s="1"/>
  <c r="L107" i="20"/>
  <c r="D179" i="20" s="1"/>
  <c r="J107" i="20"/>
  <c r="K107" i="20"/>
  <c r="O107" i="20"/>
  <c r="G110" i="15"/>
  <c r="F110" i="15"/>
  <c r="E110" i="15"/>
  <c r="E89" i="15"/>
  <c r="G89" i="15"/>
  <c r="F89" i="15"/>
  <c r="F111" i="15"/>
  <c r="E111" i="15"/>
  <c r="G111" i="15"/>
  <c r="F82" i="15"/>
  <c r="E82" i="15"/>
  <c r="G82" i="15"/>
  <c r="E97" i="15"/>
  <c r="G97" i="15"/>
  <c r="F97" i="15"/>
  <c r="F104" i="15"/>
  <c r="E104" i="15"/>
  <c r="G104" i="15"/>
  <c r="B81" i="15"/>
  <c r="AM74" i="25"/>
  <c r="AM108" i="25" s="1"/>
  <c r="H339" i="26"/>
  <c r="L339" i="26"/>
  <c r="P339" i="26"/>
  <c r="I339" i="26"/>
  <c r="B95" i="15"/>
  <c r="AY74" i="25"/>
  <c r="AY108" i="25" s="1"/>
  <c r="L241" i="26"/>
  <c r="N241" i="26"/>
  <c r="M241" i="26"/>
  <c r="O241" i="26"/>
  <c r="I241" i="26"/>
  <c r="H241" i="26"/>
  <c r="K241" i="26"/>
  <c r="J241" i="26"/>
  <c r="P241" i="26"/>
  <c r="K275" i="26"/>
  <c r="I275" i="26"/>
  <c r="P275" i="26"/>
  <c r="J275" i="26"/>
  <c r="M275" i="26"/>
  <c r="L275" i="26"/>
  <c r="H275" i="26"/>
  <c r="N275" i="26"/>
  <c r="O275" i="26"/>
  <c r="F83" i="15"/>
  <c r="E83" i="15"/>
  <c r="G83" i="15"/>
  <c r="E102" i="15"/>
  <c r="E525" i="19" s="1"/>
  <c r="F102" i="15"/>
  <c r="G102" i="15"/>
  <c r="BE89" i="25" s="1"/>
  <c r="BE123" i="25" s="1"/>
  <c r="I103" i="15"/>
  <c r="K103" i="15"/>
  <c r="J103" i="15"/>
  <c r="H103" i="15"/>
  <c r="J307" i="26"/>
  <c r="I307" i="26"/>
  <c r="H307" i="26"/>
  <c r="N307" i="26"/>
  <c r="M307" i="26"/>
  <c r="P307" i="26"/>
  <c r="O307" i="26"/>
  <c r="L307" i="26"/>
  <c r="K307" i="26"/>
  <c r="H90" i="15"/>
  <c r="K90" i="15"/>
  <c r="I90" i="15"/>
  <c r="J90" i="15"/>
  <c r="P207" i="26"/>
  <c r="N207" i="26"/>
  <c r="K207" i="26"/>
  <c r="O207" i="26"/>
  <c r="J207" i="26"/>
  <c r="L207" i="26"/>
  <c r="M207" i="26"/>
  <c r="I207" i="26"/>
  <c r="H207" i="26"/>
  <c r="E88" i="15"/>
  <c r="E523" i="19" s="1"/>
  <c r="F88" i="15"/>
  <c r="G88" i="15"/>
  <c r="AS89" i="25" s="1"/>
  <c r="AS123" i="25" s="1"/>
  <c r="AP105" i="19"/>
  <c r="AR105" i="19" s="1"/>
  <c r="AS105" i="19" s="1"/>
  <c r="AX105" i="19" s="1"/>
  <c r="AZ105" i="19" s="1"/>
  <c r="DH105" i="19" s="1"/>
  <c r="BD105" i="19"/>
  <c r="BF105" i="19" s="1"/>
  <c r="BG105" i="19" s="1"/>
  <c r="BL105" i="19" s="1"/>
  <c r="BN105" i="19" s="1"/>
  <c r="DI105" i="19" s="1"/>
  <c r="CF105" i="19"/>
  <c r="CH105" i="19" s="1"/>
  <c r="CI105" i="19" s="1"/>
  <c r="CN105" i="19" s="1"/>
  <c r="CP105" i="19" s="1"/>
  <c r="DK105" i="19" s="1"/>
  <c r="AP191" i="19"/>
  <c r="AR191" i="19" s="1"/>
  <c r="AS191" i="19" s="1"/>
  <c r="AX191" i="19" s="1"/>
  <c r="AZ191" i="19" s="1"/>
  <c r="DH191" i="19" s="1"/>
  <c r="AB191" i="19"/>
  <c r="AD191" i="19" s="1"/>
  <c r="AE191" i="19" s="1"/>
  <c r="AJ191" i="19" s="1"/>
  <c r="AL191" i="19" s="1"/>
  <c r="DG191" i="19" s="1"/>
  <c r="AB105" i="19"/>
  <c r="AD105" i="19" s="1"/>
  <c r="AE105" i="19" s="1"/>
  <c r="AJ105" i="19" s="1"/>
  <c r="AL105" i="19" s="1"/>
  <c r="DG105" i="19" s="1"/>
  <c r="CT105" i="19"/>
  <c r="CV105" i="19" s="1"/>
  <c r="CW105" i="19" s="1"/>
  <c r="DB105" i="19" s="1"/>
  <c r="DD105" i="19" s="1"/>
  <c r="DL105" i="19" s="1"/>
  <c r="BD191" i="19"/>
  <c r="BF191" i="19" s="1"/>
  <c r="BG191" i="19" s="1"/>
  <c r="BL191" i="19" s="1"/>
  <c r="BN191" i="19" s="1"/>
  <c r="DI191" i="19" s="1"/>
  <c r="CF191" i="19"/>
  <c r="CH191" i="19" s="1"/>
  <c r="CI191" i="19" s="1"/>
  <c r="CN191" i="19" s="1"/>
  <c r="CP191" i="19" s="1"/>
  <c r="BR191" i="19"/>
  <c r="BT191" i="19" s="1"/>
  <c r="BU191" i="19" s="1"/>
  <c r="BZ191" i="19" s="1"/>
  <c r="CB191" i="19" s="1"/>
  <c r="H193" i="19"/>
  <c r="V193" i="19" s="1"/>
  <c r="X193" i="19" s="1"/>
  <c r="F194" i="19"/>
  <c r="I278" i="19"/>
  <c r="S278" i="19" s="1"/>
  <c r="U278" i="19" s="1"/>
  <c r="CT278" i="19" s="1"/>
  <c r="CV278" i="19" s="1"/>
  <c r="CW278" i="19" s="1"/>
  <c r="H279" i="19"/>
  <c r="I279" i="19" s="1"/>
  <c r="S279" i="19" s="1"/>
  <c r="U279" i="19" s="1"/>
  <c r="DB191" i="19"/>
  <c r="DD191" i="19" s="1"/>
  <c r="H107" i="19"/>
  <c r="I107" i="19" s="1"/>
  <c r="S107" i="19" s="1"/>
  <c r="U107" i="19" s="1"/>
  <c r="BH278" i="19"/>
  <c r="BJ278" i="19" s="1"/>
  <c r="BK278" i="19" s="1"/>
  <c r="AF278" i="19"/>
  <c r="AH278" i="19" s="1"/>
  <c r="AI278" i="19" s="1"/>
  <c r="AT278" i="19"/>
  <c r="AV278" i="19" s="1"/>
  <c r="AW278" i="19" s="1"/>
  <c r="CX278" i="19"/>
  <c r="CZ278" i="19" s="1"/>
  <c r="DA278" i="19" s="1"/>
  <c r="CJ278" i="19"/>
  <c r="CL278" i="19" s="1"/>
  <c r="CM278" i="19" s="1"/>
  <c r="BV278" i="19"/>
  <c r="BX278" i="19" s="1"/>
  <c r="BY278" i="19" s="1"/>
  <c r="BZ105" i="19"/>
  <c r="CB105" i="19" s="1"/>
  <c r="DJ105" i="19" s="1"/>
  <c r="G108" i="19"/>
  <c r="C109" i="19"/>
  <c r="DE108" i="19"/>
  <c r="AN108" i="19"/>
  <c r="AQ108" i="19" s="1"/>
  <c r="CD108" i="19"/>
  <c r="CG108" i="19" s="1"/>
  <c r="BP108" i="19"/>
  <c r="BS108" i="19" s="1"/>
  <c r="Z108" i="19"/>
  <c r="AC108" i="19" s="1"/>
  <c r="CR108" i="19"/>
  <c r="CU108" i="19" s="1"/>
  <c r="BB108" i="19"/>
  <c r="BE108" i="19" s="1"/>
  <c r="V192" i="19"/>
  <c r="X192" i="19" s="1"/>
  <c r="I192" i="19"/>
  <c r="S192" i="19" s="1"/>
  <c r="U192" i="19" s="1"/>
  <c r="C281" i="19"/>
  <c r="G280" i="19"/>
  <c r="DE280" i="19"/>
  <c r="Z280" i="19"/>
  <c r="AC280" i="19" s="1"/>
  <c r="BB280" i="19"/>
  <c r="BE280" i="19" s="1"/>
  <c r="AN280" i="19"/>
  <c r="AQ280" i="19" s="1"/>
  <c r="BP280" i="19"/>
  <c r="BS280" i="19" s="1"/>
  <c r="CR280" i="19"/>
  <c r="CU280" i="19" s="1"/>
  <c r="CD280" i="19"/>
  <c r="CG280" i="19" s="1"/>
  <c r="AB277" i="19"/>
  <c r="AD277" i="19" s="1"/>
  <c r="AE277" i="19" s="1"/>
  <c r="BR277" i="19"/>
  <c r="BT277" i="19" s="1"/>
  <c r="BU277" i="19" s="1"/>
  <c r="AP277" i="19"/>
  <c r="AR277" i="19" s="1"/>
  <c r="AS277" i="19" s="1"/>
  <c r="CF277" i="19"/>
  <c r="CH277" i="19" s="1"/>
  <c r="CI277" i="19" s="1"/>
  <c r="BD277" i="19"/>
  <c r="BF277" i="19" s="1"/>
  <c r="BG277" i="19" s="1"/>
  <c r="CT277" i="19"/>
  <c r="CV277" i="19" s="1"/>
  <c r="CW277" i="19" s="1"/>
  <c r="CJ277" i="19"/>
  <c r="CL277" i="19" s="1"/>
  <c r="CM277" i="19" s="1"/>
  <c r="AF277" i="19"/>
  <c r="AH277" i="19" s="1"/>
  <c r="AI277" i="19" s="1"/>
  <c r="BH277" i="19"/>
  <c r="BJ277" i="19" s="1"/>
  <c r="BK277" i="19" s="1"/>
  <c r="CX277" i="19"/>
  <c r="CZ277" i="19" s="1"/>
  <c r="DA277" i="19" s="1"/>
  <c r="BV277" i="19"/>
  <c r="BX277" i="19" s="1"/>
  <c r="BY277" i="19" s="1"/>
  <c r="AT277" i="19"/>
  <c r="AV277" i="19" s="1"/>
  <c r="AW277" i="19" s="1"/>
  <c r="F108" i="19"/>
  <c r="G194" i="19"/>
  <c r="C195" i="19"/>
  <c r="DE194" i="19"/>
  <c r="BP194" i="19"/>
  <c r="BS194" i="19" s="1"/>
  <c r="BB194" i="19"/>
  <c r="BE194" i="19" s="1"/>
  <c r="CR194" i="19"/>
  <c r="CU194" i="19" s="1"/>
  <c r="AN194" i="19"/>
  <c r="AQ194" i="19" s="1"/>
  <c r="CD194" i="19"/>
  <c r="CG194" i="19" s="1"/>
  <c r="Z194" i="19"/>
  <c r="AC194" i="19" s="1"/>
  <c r="F280" i="19"/>
  <c r="AP106" i="19"/>
  <c r="AR106" i="19" s="1"/>
  <c r="AS106" i="19" s="1"/>
  <c r="CT106" i="19"/>
  <c r="CV106" i="19" s="1"/>
  <c r="CW106" i="19" s="1"/>
  <c r="BD106" i="19"/>
  <c r="BF106" i="19" s="1"/>
  <c r="BG106" i="19" s="1"/>
  <c r="BR106" i="19"/>
  <c r="BT106" i="19" s="1"/>
  <c r="BU106" i="19" s="1"/>
  <c r="CF106" i="19"/>
  <c r="CH106" i="19" s="1"/>
  <c r="CI106" i="19" s="1"/>
  <c r="AB106" i="19"/>
  <c r="AD106" i="19" s="1"/>
  <c r="AE106" i="19" s="1"/>
  <c r="AT106" i="19"/>
  <c r="AV106" i="19" s="1"/>
  <c r="AW106" i="19" s="1"/>
  <c r="CJ106" i="19"/>
  <c r="CL106" i="19" s="1"/>
  <c r="CM106" i="19" s="1"/>
  <c r="BH106" i="19"/>
  <c r="BJ106" i="19" s="1"/>
  <c r="BK106" i="19" s="1"/>
  <c r="AF106" i="19"/>
  <c r="AH106" i="19" s="1"/>
  <c r="AI106" i="19" s="1"/>
  <c r="BV106" i="19"/>
  <c r="BX106" i="19" s="1"/>
  <c r="BY106" i="19" s="1"/>
  <c r="CX106" i="19"/>
  <c r="CZ106" i="19" s="1"/>
  <c r="DA106" i="19" s="1"/>
  <c r="AM477" i="19"/>
  <c r="K339" i="26" l="1"/>
  <c r="J339" i="26"/>
  <c r="N339" i="26"/>
  <c r="M339" i="26"/>
  <c r="BK74" i="25"/>
  <c r="BK108" i="25" s="1"/>
  <c r="B109" i="15"/>
  <c r="F96" i="15"/>
  <c r="E96" i="15"/>
  <c r="G96" i="15"/>
  <c r="CS415" i="19"/>
  <c r="CV415" i="19" s="1"/>
  <c r="CS414" i="19"/>
  <c r="CV414" i="19" s="1"/>
  <c r="CS416" i="19"/>
  <c r="CV416" i="19" s="1"/>
  <c r="K97" i="15"/>
  <c r="J97" i="15"/>
  <c r="H97" i="15"/>
  <c r="I97" i="15"/>
  <c r="J104" i="15"/>
  <c r="K104" i="15"/>
  <c r="H104" i="15"/>
  <c r="I104" i="15"/>
  <c r="CS410" i="19"/>
  <c r="CV410" i="19" s="1"/>
  <c r="CS409" i="19"/>
  <c r="CV409" i="19" s="1"/>
  <c r="CS408" i="19"/>
  <c r="CV408" i="19" s="1"/>
  <c r="E95" i="15"/>
  <c r="E524" i="19" s="1"/>
  <c r="G95" i="15"/>
  <c r="AY89" i="25" s="1"/>
  <c r="AY123" i="25" s="1"/>
  <c r="F95" i="15"/>
  <c r="CS422" i="19"/>
  <c r="CV422" i="19" s="1"/>
  <c r="CS421" i="19"/>
  <c r="CV421" i="19" s="1"/>
  <c r="CS420" i="19"/>
  <c r="CV420" i="19" s="1"/>
  <c r="CS404" i="19"/>
  <c r="CV404" i="19" s="1"/>
  <c r="CS403" i="19"/>
  <c r="CV403" i="19" s="1"/>
  <c r="CS402" i="19"/>
  <c r="CV402" i="19" s="1"/>
  <c r="DS373" i="19"/>
  <c r="DV373" i="19" s="1"/>
  <c r="DS372" i="19"/>
  <c r="DV372" i="19" s="1"/>
  <c r="DS371" i="19"/>
  <c r="DV371" i="19" s="1"/>
  <c r="DS385" i="19"/>
  <c r="DV385" i="19" s="1"/>
  <c r="DS384" i="19"/>
  <c r="DV384" i="19" s="1"/>
  <c r="DS383" i="19"/>
  <c r="DV383" i="19" s="1"/>
  <c r="H82" i="15"/>
  <c r="K82" i="15"/>
  <c r="J82" i="15"/>
  <c r="I82" i="15"/>
  <c r="DS390" i="19"/>
  <c r="DV390" i="19" s="1"/>
  <c r="DS391" i="19"/>
  <c r="DV391" i="19" s="1"/>
  <c r="DS389" i="19"/>
  <c r="DV389" i="19" s="1"/>
  <c r="DS378" i="19"/>
  <c r="DV378" i="19" s="1"/>
  <c r="DS377" i="19"/>
  <c r="DV377" i="19" s="1"/>
  <c r="DS379" i="19"/>
  <c r="DV379" i="19" s="1"/>
  <c r="H111" i="15"/>
  <c r="J111" i="15"/>
  <c r="K111" i="15"/>
  <c r="I111" i="15"/>
  <c r="H102" i="15"/>
  <c r="K102" i="15"/>
  <c r="J102" i="15"/>
  <c r="I102" i="15"/>
  <c r="H89" i="15"/>
  <c r="K89" i="15"/>
  <c r="J89" i="15"/>
  <c r="I89" i="15"/>
  <c r="F81" i="15"/>
  <c r="G81" i="15"/>
  <c r="AM89" i="25" s="1"/>
  <c r="AM123" i="25" s="1"/>
  <c r="E81" i="15"/>
  <c r="E522" i="19" s="1"/>
  <c r="I83" i="15"/>
  <c r="K83" i="15"/>
  <c r="J83" i="15"/>
  <c r="H83" i="15"/>
  <c r="H110" i="15"/>
  <c r="K110" i="15"/>
  <c r="J110" i="15"/>
  <c r="I110" i="15"/>
  <c r="K88" i="15"/>
  <c r="J88" i="15"/>
  <c r="H88" i="15"/>
  <c r="I88" i="15"/>
  <c r="AB278" i="19"/>
  <c r="AD278" i="19" s="1"/>
  <c r="AE278" i="19" s="1"/>
  <c r="AJ278" i="19" s="1"/>
  <c r="AL278" i="19" s="1"/>
  <c r="DG278" i="19" s="1"/>
  <c r="AP278" i="19"/>
  <c r="AR278" i="19" s="1"/>
  <c r="AS278" i="19" s="1"/>
  <c r="AX278" i="19" s="1"/>
  <c r="AZ278" i="19" s="1"/>
  <c r="DH278" i="19" s="1"/>
  <c r="BR278" i="19"/>
  <c r="BT278" i="19" s="1"/>
  <c r="BU278" i="19" s="1"/>
  <c r="BZ278" i="19" s="1"/>
  <c r="CB278" i="19" s="1"/>
  <c r="DJ278" i="19" s="1"/>
  <c r="BD278" i="19"/>
  <c r="BF278" i="19" s="1"/>
  <c r="BG278" i="19" s="1"/>
  <c r="BL278" i="19" s="1"/>
  <c r="BN278" i="19" s="1"/>
  <c r="DI278" i="19" s="1"/>
  <c r="CF278" i="19"/>
  <c r="CH278" i="19" s="1"/>
  <c r="CI278" i="19" s="1"/>
  <c r="CN278" i="19" s="1"/>
  <c r="CP278" i="19" s="1"/>
  <c r="DK278" i="19" s="1"/>
  <c r="H194" i="19"/>
  <c r="V194" i="19" s="1"/>
  <c r="X194" i="19" s="1"/>
  <c r="I193" i="19"/>
  <c r="S193" i="19" s="1"/>
  <c r="U193" i="19" s="1"/>
  <c r="AP193" i="19" s="1"/>
  <c r="AR193" i="19" s="1"/>
  <c r="AS193" i="19" s="1"/>
  <c r="V279" i="19"/>
  <c r="X279" i="19" s="1"/>
  <c r="BV279" i="19" s="1"/>
  <c r="BX279" i="19" s="1"/>
  <c r="BY279" i="19" s="1"/>
  <c r="V107" i="19"/>
  <c r="X107" i="19" s="1"/>
  <c r="BV107" i="19" s="1"/>
  <c r="BX107" i="19" s="1"/>
  <c r="BY107" i="19" s="1"/>
  <c r="DB277" i="19"/>
  <c r="DD277" i="19" s="1"/>
  <c r="DL277" i="19" s="1"/>
  <c r="AX106" i="19"/>
  <c r="AZ106" i="19" s="1"/>
  <c r="DH106" i="19" s="1"/>
  <c r="H108" i="19"/>
  <c r="I108" i="19" s="1"/>
  <c r="S108" i="19" s="1"/>
  <c r="U108" i="19" s="1"/>
  <c r="CN106" i="19"/>
  <c r="CP106" i="19" s="1"/>
  <c r="DK106" i="19" s="1"/>
  <c r="BL106" i="19"/>
  <c r="BN106" i="19" s="1"/>
  <c r="DI106" i="19" s="1"/>
  <c r="AJ106" i="19"/>
  <c r="AL106" i="19" s="1"/>
  <c r="DG106" i="19" s="1"/>
  <c r="C196" i="19"/>
  <c r="G195" i="19"/>
  <c r="DE195" i="19"/>
  <c r="AN195" i="19"/>
  <c r="AQ195" i="19" s="1"/>
  <c r="BB195" i="19"/>
  <c r="BE195" i="19" s="1"/>
  <c r="CR195" i="19"/>
  <c r="CU195" i="19" s="1"/>
  <c r="CD195" i="19"/>
  <c r="CG195" i="19" s="1"/>
  <c r="Z195" i="19"/>
  <c r="AC195" i="19" s="1"/>
  <c r="BP195" i="19"/>
  <c r="BS195" i="19" s="1"/>
  <c r="C110" i="19"/>
  <c r="G109" i="19"/>
  <c r="DE109" i="19"/>
  <c r="AN109" i="19"/>
  <c r="AQ109" i="19" s="1"/>
  <c r="BB109" i="19"/>
  <c r="BE109" i="19" s="1"/>
  <c r="Z109" i="19"/>
  <c r="AC109" i="19" s="1"/>
  <c r="CR109" i="19"/>
  <c r="CU109" i="19" s="1"/>
  <c r="CD109" i="19"/>
  <c r="CG109" i="19" s="1"/>
  <c r="BP109" i="19"/>
  <c r="BS109" i="19" s="1"/>
  <c r="CT107" i="19"/>
  <c r="CV107" i="19" s="1"/>
  <c r="CW107" i="19" s="1"/>
  <c r="AP107" i="19"/>
  <c r="AR107" i="19" s="1"/>
  <c r="AS107" i="19" s="1"/>
  <c r="BD107" i="19"/>
  <c r="BF107" i="19" s="1"/>
  <c r="BG107" i="19" s="1"/>
  <c r="CF107" i="19"/>
  <c r="CH107" i="19" s="1"/>
  <c r="CI107" i="19" s="1"/>
  <c r="AB107" i="19"/>
  <c r="AD107" i="19" s="1"/>
  <c r="AE107" i="19" s="1"/>
  <c r="BR107" i="19"/>
  <c r="BT107" i="19" s="1"/>
  <c r="BU107" i="19" s="1"/>
  <c r="H280" i="19"/>
  <c r="AX277" i="19"/>
  <c r="AZ277" i="19" s="1"/>
  <c r="DH277" i="19" s="1"/>
  <c r="G281" i="19"/>
  <c r="C282" i="19"/>
  <c r="DE281" i="19"/>
  <c r="CD281" i="19"/>
  <c r="CG281" i="19" s="1"/>
  <c r="CR281" i="19"/>
  <c r="CU281" i="19" s="1"/>
  <c r="AN281" i="19"/>
  <c r="AQ281" i="19" s="1"/>
  <c r="Z281" i="19"/>
  <c r="AC281" i="19" s="1"/>
  <c r="BB281" i="19"/>
  <c r="BE281" i="19" s="1"/>
  <c r="BP281" i="19"/>
  <c r="BS281" i="19" s="1"/>
  <c r="BD279" i="19"/>
  <c r="BF279" i="19" s="1"/>
  <c r="BG279" i="19" s="1"/>
  <c r="CT279" i="19"/>
  <c r="CV279" i="19" s="1"/>
  <c r="CW279" i="19" s="1"/>
  <c r="AB279" i="19"/>
  <c r="AD279" i="19" s="1"/>
  <c r="AE279" i="19" s="1"/>
  <c r="BR279" i="19"/>
  <c r="BT279" i="19" s="1"/>
  <c r="BU279" i="19" s="1"/>
  <c r="AP279" i="19"/>
  <c r="AR279" i="19" s="1"/>
  <c r="AS279" i="19" s="1"/>
  <c r="CF279" i="19"/>
  <c r="CH279" i="19" s="1"/>
  <c r="CI279" i="19" s="1"/>
  <c r="BL277" i="19"/>
  <c r="BN277" i="19" s="1"/>
  <c r="DI277" i="19" s="1"/>
  <c r="BR192" i="19"/>
  <c r="BT192" i="19" s="1"/>
  <c r="BU192" i="19" s="1"/>
  <c r="CF192" i="19"/>
  <c r="CH192" i="19" s="1"/>
  <c r="CI192" i="19" s="1"/>
  <c r="CT192" i="19"/>
  <c r="CV192" i="19" s="1"/>
  <c r="CW192" i="19" s="1"/>
  <c r="AB192" i="19"/>
  <c r="AD192" i="19" s="1"/>
  <c r="AE192" i="19" s="1"/>
  <c r="AP192" i="19"/>
  <c r="AR192" i="19" s="1"/>
  <c r="AS192" i="19" s="1"/>
  <c r="BD192" i="19"/>
  <c r="BF192" i="19" s="1"/>
  <c r="BG192" i="19" s="1"/>
  <c r="DB278" i="19"/>
  <c r="DD278" i="19" s="1"/>
  <c r="DL278" i="19" s="1"/>
  <c r="AJ277" i="19"/>
  <c r="AL277" i="19" s="1"/>
  <c r="DG277" i="19" s="1"/>
  <c r="CX192" i="19"/>
  <c r="CZ192" i="19" s="1"/>
  <c r="DA192" i="19" s="1"/>
  <c r="AF192" i="19"/>
  <c r="AH192" i="19" s="1"/>
  <c r="AI192" i="19" s="1"/>
  <c r="AT192" i="19"/>
  <c r="AV192" i="19" s="1"/>
  <c r="AW192" i="19" s="1"/>
  <c r="BH192" i="19"/>
  <c r="BJ192" i="19" s="1"/>
  <c r="BK192" i="19" s="1"/>
  <c r="CJ192" i="19"/>
  <c r="CL192" i="19" s="1"/>
  <c r="CM192" i="19" s="1"/>
  <c r="BV192" i="19"/>
  <c r="BX192" i="19" s="1"/>
  <c r="BY192" i="19" s="1"/>
  <c r="CJ193" i="19"/>
  <c r="CL193" i="19" s="1"/>
  <c r="CM193" i="19" s="1"/>
  <c r="AT193" i="19"/>
  <c r="AV193" i="19" s="1"/>
  <c r="AW193" i="19" s="1"/>
  <c r="CX193" i="19"/>
  <c r="CZ193" i="19" s="1"/>
  <c r="DA193" i="19" s="1"/>
  <c r="BV193" i="19"/>
  <c r="BX193" i="19" s="1"/>
  <c r="BY193" i="19" s="1"/>
  <c r="BH193" i="19"/>
  <c r="BJ193" i="19" s="1"/>
  <c r="BK193" i="19" s="1"/>
  <c r="AF193" i="19"/>
  <c r="AH193" i="19" s="1"/>
  <c r="AI193" i="19" s="1"/>
  <c r="F195" i="19"/>
  <c r="CN277" i="19"/>
  <c r="CP277" i="19" s="1"/>
  <c r="DK277" i="19" s="1"/>
  <c r="DB106" i="19"/>
  <c r="DD106" i="19" s="1"/>
  <c r="DL106" i="19" s="1"/>
  <c r="F109" i="19"/>
  <c r="BZ277" i="19"/>
  <c r="CB277" i="19" s="1"/>
  <c r="DJ277" i="19" s="1"/>
  <c r="BZ106" i="19"/>
  <c r="CB106" i="19" s="1"/>
  <c r="DJ106" i="19" s="1"/>
  <c r="F281" i="19"/>
  <c r="AZ477" i="19"/>
  <c r="J96" i="15" l="1"/>
  <c r="K96" i="15"/>
  <c r="H96" i="15"/>
  <c r="I96" i="15"/>
  <c r="F109" i="15"/>
  <c r="E109" i="15"/>
  <c r="E526" i="19" s="1"/>
  <c r="G109" i="15"/>
  <c r="BK89" i="25" s="1"/>
  <c r="BK123" i="25" s="1"/>
  <c r="CF385" i="19"/>
  <c r="CI385" i="19" s="1"/>
  <c r="CF384" i="19"/>
  <c r="CI384" i="19" s="1"/>
  <c r="CF383" i="19"/>
  <c r="CI383" i="19" s="1"/>
  <c r="EF384" i="19"/>
  <c r="EI384" i="19" s="1"/>
  <c r="EF385" i="19"/>
  <c r="EI385" i="19" s="1"/>
  <c r="EF383" i="19"/>
  <c r="EI383" i="19" s="1"/>
  <c r="DS353" i="19"/>
  <c r="DV353" i="19" s="1"/>
  <c r="DS351" i="19"/>
  <c r="DV351" i="19" s="1"/>
  <c r="DS352" i="19"/>
  <c r="DV352" i="19" s="1"/>
  <c r="CF391" i="19"/>
  <c r="CI391" i="19" s="1"/>
  <c r="CF390" i="19"/>
  <c r="CI390" i="19" s="1"/>
  <c r="CF389" i="19"/>
  <c r="CI389" i="19" s="1"/>
  <c r="EF391" i="19"/>
  <c r="EI391" i="19" s="1"/>
  <c r="EF390" i="19"/>
  <c r="EI390" i="19" s="1"/>
  <c r="EF389" i="19"/>
  <c r="EI389" i="19" s="1"/>
  <c r="DS358" i="19"/>
  <c r="DV358" i="19" s="1"/>
  <c r="DS359" i="19"/>
  <c r="DV359" i="19" s="1"/>
  <c r="DS357" i="19"/>
  <c r="DV357" i="19" s="1"/>
  <c r="CF373" i="19"/>
  <c r="CI373" i="19" s="1"/>
  <c r="CF371" i="19"/>
  <c r="CI371" i="19" s="1"/>
  <c r="CF372" i="19"/>
  <c r="CI372" i="19" s="1"/>
  <c r="DS410" i="19"/>
  <c r="DV410" i="19" s="1"/>
  <c r="DS409" i="19"/>
  <c r="DV409" i="19" s="1"/>
  <c r="DS408" i="19"/>
  <c r="DV408" i="19" s="1"/>
  <c r="EF372" i="19"/>
  <c r="EI372" i="19" s="1"/>
  <c r="EF373" i="19"/>
  <c r="EI373" i="19" s="1"/>
  <c r="EF371" i="19"/>
  <c r="EI371" i="19" s="1"/>
  <c r="DS341" i="19"/>
  <c r="DV341" i="19" s="1"/>
  <c r="DS340" i="19"/>
  <c r="DV340" i="19" s="1"/>
  <c r="DS339" i="19"/>
  <c r="DV339" i="19" s="1"/>
  <c r="DS404" i="19"/>
  <c r="DV404" i="19" s="1"/>
  <c r="DS403" i="19"/>
  <c r="DV403" i="19" s="1"/>
  <c r="DS402" i="19"/>
  <c r="DV402" i="19" s="1"/>
  <c r="EF377" i="19"/>
  <c r="EI377" i="19" s="1"/>
  <c r="EF379" i="19"/>
  <c r="EI379" i="19" s="1"/>
  <c r="EF378" i="19"/>
  <c r="EI378" i="19" s="1"/>
  <c r="CF404" i="19"/>
  <c r="CI404" i="19" s="1"/>
  <c r="CF403" i="19"/>
  <c r="CI403" i="19" s="1"/>
  <c r="CF402" i="19"/>
  <c r="CI402" i="19" s="1"/>
  <c r="EF408" i="19"/>
  <c r="EI408" i="19" s="1"/>
  <c r="EF410" i="19"/>
  <c r="EI410" i="19" s="1"/>
  <c r="EF409" i="19"/>
  <c r="EI409" i="19" s="1"/>
  <c r="DS422" i="19"/>
  <c r="DV422" i="19" s="1"/>
  <c r="DS421" i="19"/>
  <c r="DV421" i="19" s="1"/>
  <c r="DS420" i="19"/>
  <c r="DV420" i="19" s="1"/>
  <c r="DS347" i="19"/>
  <c r="DV347" i="19" s="1"/>
  <c r="DS346" i="19"/>
  <c r="DV346" i="19" s="1"/>
  <c r="DS345" i="19"/>
  <c r="DV345" i="19" s="1"/>
  <c r="CF414" i="19"/>
  <c r="CI414" i="19" s="1"/>
  <c r="CF416" i="19"/>
  <c r="CI416" i="19" s="1"/>
  <c r="CF415" i="19"/>
  <c r="CI415" i="19" s="1"/>
  <c r="EF420" i="19"/>
  <c r="EI420" i="19" s="1"/>
  <c r="EF422" i="19"/>
  <c r="EI422" i="19" s="1"/>
  <c r="EF421" i="19"/>
  <c r="EI421" i="19" s="1"/>
  <c r="DS414" i="19"/>
  <c r="DV414" i="19" s="1"/>
  <c r="DS415" i="19"/>
  <c r="DV415" i="19" s="1"/>
  <c r="DS416" i="19"/>
  <c r="DV416" i="19" s="1"/>
  <c r="DF408" i="19"/>
  <c r="DI408" i="19" s="1"/>
  <c r="DF409" i="19"/>
  <c r="DI409" i="19" s="1"/>
  <c r="DF410" i="19"/>
  <c r="DI410" i="19" s="1"/>
  <c r="CF422" i="19"/>
  <c r="CI422" i="19" s="1"/>
  <c r="CF421" i="19"/>
  <c r="CI421" i="19" s="1"/>
  <c r="CF420" i="19"/>
  <c r="CI420" i="19" s="1"/>
  <c r="EF416" i="19"/>
  <c r="EI416" i="19" s="1"/>
  <c r="EF415" i="19"/>
  <c r="EI415" i="19" s="1"/>
  <c r="EF414" i="19"/>
  <c r="EI414" i="19" s="1"/>
  <c r="CF409" i="19"/>
  <c r="CI409" i="19" s="1"/>
  <c r="CF410" i="19"/>
  <c r="CI410" i="19" s="1"/>
  <c r="CF408" i="19"/>
  <c r="CI408" i="19" s="1"/>
  <c r="EF404" i="19"/>
  <c r="EI404" i="19" s="1"/>
  <c r="EF403" i="19"/>
  <c r="EI403" i="19" s="1"/>
  <c r="EF402" i="19"/>
  <c r="EI402" i="19" s="1"/>
  <c r="DF402" i="19"/>
  <c r="DI402" i="19" s="1"/>
  <c r="DF403" i="19"/>
  <c r="DI403" i="19" s="1"/>
  <c r="DF404" i="19"/>
  <c r="DI404" i="19" s="1"/>
  <c r="B517" i="19"/>
  <c r="B520" i="19"/>
  <c r="B522" i="19"/>
  <c r="B518" i="19"/>
  <c r="B521" i="19"/>
  <c r="B519" i="19"/>
  <c r="B516" i="19"/>
  <c r="DF415" i="19"/>
  <c r="DI415" i="19" s="1"/>
  <c r="DF416" i="19"/>
  <c r="DI416" i="19" s="1"/>
  <c r="DF414" i="19"/>
  <c r="DI414" i="19" s="1"/>
  <c r="K95" i="15"/>
  <c r="J95" i="15"/>
  <c r="I95" i="15"/>
  <c r="H95" i="15"/>
  <c r="DF421" i="19"/>
  <c r="DI421" i="19" s="1"/>
  <c r="DF420" i="19"/>
  <c r="DI420" i="19" s="1"/>
  <c r="DF422" i="19"/>
  <c r="DI422" i="19" s="1"/>
  <c r="K81" i="15"/>
  <c r="H81" i="15"/>
  <c r="J81" i="15"/>
  <c r="I81" i="15"/>
  <c r="B526" i="19"/>
  <c r="B525" i="19"/>
  <c r="B524" i="19"/>
  <c r="CS377" i="19"/>
  <c r="CV377" i="19" s="1"/>
  <c r="CS379" i="19"/>
  <c r="CV379" i="19" s="1"/>
  <c r="CS378" i="19"/>
  <c r="CV378" i="19" s="1"/>
  <c r="CS341" i="19"/>
  <c r="CV341" i="19" s="1"/>
  <c r="CS340" i="19"/>
  <c r="CV340" i="19" s="1"/>
  <c r="CS339" i="19"/>
  <c r="CV339" i="19" s="1"/>
  <c r="CS347" i="19"/>
  <c r="CV347" i="19" s="1"/>
  <c r="CS346" i="19"/>
  <c r="CV346" i="19" s="1"/>
  <c r="CS345" i="19"/>
  <c r="CV345" i="19" s="1"/>
  <c r="CS391" i="19"/>
  <c r="CV391" i="19" s="1"/>
  <c r="CS390" i="19"/>
  <c r="CV390" i="19" s="1"/>
  <c r="CS389" i="19"/>
  <c r="CV389" i="19" s="1"/>
  <c r="B523" i="19"/>
  <c r="CS383" i="19"/>
  <c r="CV383" i="19" s="1"/>
  <c r="CS384" i="19"/>
  <c r="CV384" i="19" s="1"/>
  <c r="CS385" i="19"/>
  <c r="CV385" i="19" s="1"/>
  <c r="CS351" i="19"/>
  <c r="CV351" i="19" s="1"/>
  <c r="CS353" i="19"/>
  <c r="CV353" i="19" s="1"/>
  <c r="CS352" i="19"/>
  <c r="CV352" i="19" s="1"/>
  <c r="CS359" i="19"/>
  <c r="CV359" i="19" s="1"/>
  <c r="CS358" i="19"/>
  <c r="CV358" i="19" s="1"/>
  <c r="CS357" i="19"/>
  <c r="CV357" i="19" s="1"/>
  <c r="CS372" i="19"/>
  <c r="CV372" i="19" s="1"/>
  <c r="CS371" i="19"/>
  <c r="CV371" i="19" s="1"/>
  <c r="CS373" i="19"/>
  <c r="CV373" i="19" s="1"/>
  <c r="CF379" i="19"/>
  <c r="CI379" i="19" s="1"/>
  <c r="CF378" i="19"/>
  <c r="CI378" i="19" s="1"/>
  <c r="CF377" i="19"/>
  <c r="CI377" i="19" s="1"/>
  <c r="AF107" i="19"/>
  <c r="AH107" i="19" s="1"/>
  <c r="AI107" i="19" s="1"/>
  <c r="AJ107" i="19" s="1"/>
  <c r="AL107" i="19" s="1"/>
  <c r="DG107" i="19" s="1"/>
  <c r="BH107" i="19"/>
  <c r="BJ107" i="19" s="1"/>
  <c r="BK107" i="19" s="1"/>
  <c r="BL107" i="19" s="1"/>
  <c r="BN107" i="19" s="1"/>
  <c r="DI107" i="19" s="1"/>
  <c r="CX107" i="19"/>
  <c r="CZ107" i="19" s="1"/>
  <c r="DA107" i="19" s="1"/>
  <c r="DB107" i="19" s="1"/>
  <c r="DD107" i="19" s="1"/>
  <c r="DL107" i="19" s="1"/>
  <c r="CT193" i="19"/>
  <c r="CV193" i="19" s="1"/>
  <c r="CW193" i="19" s="1"/>
  <c r="DB193" i="19" s="1"/>
  <c r="DD193" i="19" s="1"/>
  <c r="AB193" i="19"/>
  <c r="AD193" i="19" s="1"/>
  <c r="AE193" i="19" s="1"/>
  <c r="AJ193" i="19" s="1"/>
  <c r="AL193" i="19" s="1"/>
  <c r="DG193" i="19" s="1"/>
  <c r="AT107" i="19"/>
  <c r="AV107" i="19" s="1"/>
  <c r="AW107" i="19" s="1"/>
  <c r="AX107" i="19" s="1"/>
  <c r="AZ107" i="19" s="1"/>
  <c r="DH107" i="19" s="1"/>
  <c r="CF193" i="19"/>
  <c r="CH193" i="19" s="1"/>
  <c r="CI193" i="19" s="1"/>
  <c r="CN193" i="19" s="1"/>
  <c r="CP193" i="19" s="1"/>
  <c r="BD193" i="19"/>
  <c r="BF193" i="19" s="1"/>
  <c r="BG193" i="19" s="1"/>
  <c r="BL193" i="19" s="1"/>
  <c r="BN193" i="19" s="1"/>
  <c r="DI193" i="19" s="1"/>
  <c r="BR193" i="19"/>
  <c r="BT193" i="19" s="1"/>
  <c r="BU193" i="19" s="1"/>
  <c r="BZ193" i="19" s="1"/>
  <c r="CB193" i="19" s="1"/>
  <c r="AF279" i="19"/>
  <c r="AH279" i="19" s="1"/>
  <c r="AI279" i="19" s="1"/>
  <c r="AJ279" i="19" s="1"/>
  <c r="AL279" i="19" s="1"/>
  <c r="DG279" i="19" s="1"/>
  <c r="CJ107" i="19"/>
  <c r="CL107" i="19" s="1"/>
  <c r="CM107" i="19" s="1"/>
  <c r="CN107" i="19" s="1"/>
  <c r="CP107" i="19" s="1"/>
  <c r="DK107" i="19" s="1"/>
  <c r="I194" i="19"/>
  <c r="S194" i="19" s="1"/>
  <c r="U194" i="19" s="1"/>
  <c r="AP194" i="19" s="1"/>
  <c r="AR194" i="19" s="1"/>
  <c r="AS194" i="19" s="1"/>
  <c r="CX279" i="19"/>
  <c r="CZ279" i="19" s="1"/>
  <c r="DA279" i="19" s="1"/>
  <c r="DB279" i="19" s="1"/>
  <c r="DD279" i="19" s="1"/>
  <c r="DL279" i="19" s="1"/>
  <c r="AT279" i="19"/>
  <c r="AV279" i="19" s="1"/>
  <c r="AW279" i="19" s="1"/>
  <c r="AX279" i="19" s="1"/>
  <c r="AZ279" i="19" s="1"/>
  <c r="DH279" i="19" s="1"/>
  <c r="V108" i="19"/>
  <c r="X108" i="19" s="1"/>
  <c r="BV108" i="19" s="1"/>
  <c r="BX108" i="19" s="1"/>
  <c r="BY108" i="19" s="1"/>
  <c r="BH279" i="19"/>
  <c r="BJ279" i="19" s="1"/>
  <c r="BK279" i="19" s="1"/>
  <c r="BL279" i="19" s="1"/>
  <c r="BN279" i="19" s="1"/>
  <c r="DI279" i="19" s="1"/>
  <c r="CJ279" i="19"/>
  <c r="CL279" i="19" s="1"/>
  <c r="CM279" i="19" s="1"/>
  <c r="CN279" i="19" s="1"/>
  <c r="CP279" i="19" s="1"/>
  <c r="DK279" i="19" s="1"/>
  <c r="H195" i="19"/>
  <c r="V195" i="19" s="1"/>
  <c r="X195" i="19" s="1"/>
  <c r="H109" i="19"/>
  <c r="V109" i="19" s="1"/>
  <c r="X109" i="19" s="1"/>
  <c r="BZ279" i="19"/>
  <c r="CB279" i="19" s="1"/>
  <c r="DJ279" i="19" s="1"/>
  <c r="AJ192" i="19"/>
  <c r="AL192" i="19" s="1"/>
  <c r="DG192" i="19" s="1"/>
  <c r="F282" i="19"/>
  <c r="H281" i="19"/>
  <c r="V281" i="19" s="1"/>
  <c r="X281" i="19" s="1"/>
  <c r="BL192" i="19"/>
  <c r="BN192" i="19" s="1"/>
  <c r="DI192" i="19" s="1"/>
  <c r="AX192" i="19"/>
  <c r="AZ192" i="19" s="1"/>
  <c r="DH192" i="19" s="1"/>
  <c r="AX193" i="19"/>
  <c r="AZ193" i="19" s="1"/>
  <c r="DH193" i="19" s="1"/>
  <c r="DB192" i="19"/>
  <c r="DD192" i="19" s="1"/>
  <c r="V280" i="19"/>
  <c r="X280" i="19" s="1"/>
  <c r="I280" i="19"/>
  <c r="S280" i="19" s="1"/>
  <c r="U280" i="19" s="1"/>
  <c r="G110" i="19"/>
  <c r="C111" i="19"/>
  <c r="DE110" i="19"/>
  <c r="BP110" i="19"/>
  <c r="BS110" i="19" s="1"/>
  <c r="AN110" i="19"/>
  <c r="AQ110" i="19" s="1"/>
  <c r="CR110" i="19"/>
  <c r="CU110" i="19" s="1"/>
  <c r="CD110" i="19"/>
  <c r="CG110" i="19" s="1"/>
  <c r="Z110" i="19"/>
  <c r="AC110" i="19" s="1"/>
  <c r="BB110" i="19"/>
  <c r="BE110" i="19" s="1"/>
  <c r="F196" i="19"/>
  <c r="C283" i="19"/>
  <c r="G282" i="19"/>
  <c r="DE282" i="19"/>
  <c r="Z282" i="19"/>
  <c r="AC282" i="19" s="1"/>
  <c r="CR282" i="19"/>
  <c r="CU282" i="19" s="1"/>
  <c r="CD282" i="19"/>
  <c r="CG282" i="19" s="1"/>
  <c r="BP282" i="19"/>
  <c r="BS282" i="19" s="1"/>
  <c r="BB282" i="19"/>
  <c r="BE282" i="19" s="1"/>
  <c r="AN282" i="19"/>
  <c r="AQ282" i="19" s="1"/>
  <c r="CT108" i="19"/>
  <c r="CV108" i="19" s="1"/>
  <c r="CW108" i="19" s="1"/>
  <c r="BR108" i="19"/>
  <c r="BT108" i="19" s="1"/>
  <c r="BU108" i="19" s="1"/>
  <c r="CF108" i="19"/>
  <c r="CH108" i="19" s="1"/>
  <c r="CI108" i="19" s="1"/>
  <c r="AB108" i="19"/>
  <c r="AD108" i="19" s="1"/>
  <c r="AE108" i="19" s="1"/>
  <c r="BD108" i="19"/>
  <c r="BF108" i="19" s="1"/>
  <c r="BG108" i="19" s="1"/>
  <c r="AP108" i="19"/>
  <c r="AR108" i="19" s="1"/>
  <c r="AS108" i="19" s="1"/>
  <c r="F110" i="19"/>
  <c r="BZ107" i="19"/>
  <c r="CB107" i="19" s="1"/>
  <c r="DJ107" i="19" s="1"/>
  <c r="G196" i="19"/>
  <c r="C197" i="19"/>
  <c r="DE196" i="19"/>
  <c r="Z196" i="19"/>
  <c r="AC196" i="19" s="1"/>
  <c r="CR196" i="19"/>
  <c r="CU196" i="19" s="1"/>
  <c r="CD196" i="19"/>
  <c r="CG196" i="19" s="1"/>
  <c r="BP196" i="19"/>
  <c r="BS196" i="19" s="1"/>
  <c r="BB196" i="19"/>
  <c r="BE196" i="19" s="1"/>
  <c r="AN196" i="19"/>
  <c r="AQ196" i="19" s="1"/>
  <c r="BZ192" i="19"/>
  <c r="CB192" i="19" s="1"/>
  <c r="CN192" i="19"/>
  <c r="CP192" i="19" s="1"/>
  <c r="BV194" i="19"/>
  <c r="BX194" i="19" s="1"/>
  <c r="BY194" i="19" s="1"/>
  <c r="AT194" i="19"/>
  <c r="AV194" i="19" s="1"/>
  <c r="AW194" i="19" s="1"/>
  <c r="CJ194" i="19"/>
  <c r="CL194" i="19" s="1"/>
  <c r="CM194" i="19" s="1"/>
  <c r="BH194" i="19"/>
  <c r="BJ194" i="19" s="1"/>
  <c r="BK194" i="19" s="1"/>
  <c r="AF194" i="19"/>
  <c r="AH194" i="19" s="1"/>
  <c r="AI194" i="19" s="1"/>
  <c r="CX194" i="19"/>
  <c r="CZ194" i="19" s="1"/>
  <c r="DA194" i="19" s="1"/>
  <c r="BM477" i="19"/>
  <c r="K109" i="15" l="1"/>
  <c r="J109" i="15"/>
  <c r="I109" i="15"/>
  <c r="H109" i="15"/>
  <c r="DF379" i="19"/>
  <c r="DI379" i="19" s="1"/>
  <c r="DF377" i="19"/>
  <c r="DI377" i="19" s="1"/>
  <c r="DF378" i="19"/>
  <c r="DI378" i="19" s="1"/>
  <c r="DF373" i="19"/>
  <c r="DI373" i="19" s="1"/>
  <c r="DF372" i="19"/>
  <c r="DI372" i="19" s="1"/>
  <c r="DF371" i="19"/>
  <c r="DI371" i="19" s="1"/>
  <c r="DF389" i="19"/>
  <c r="DI389" i="19" s="1"/>
  <c r="DF391" i="19"/>
  <c r="DI391" i="19" s="1"/>
  <c r="DF390" i="19"/>
  <c r="DI390" i="19" s="1"/>
  <c r="DF384" i="19"/>
  <c r="DI384" i="19" s="1"/>
  <c r="DF383" i="19"/>
  <c r="DI383" i="19" s="1"/>
  <c r="DF385" i="19"/>
  <c r="DI385" i="19" s="1"/>
  <c r="DF358" i="19"/>
  <c r="DI358" i="19" s="1"/>
  <c r="DF357" i="19"/>
  <c r="DI357" i="19" s="1"/>
  <c r="DF359" i="19"/>
  <c r="DI359" i="19" s="1"/>
  <c r="CF346" i="19"/>
  <c r="CI346" i="19" s="1"/>
  <c r="CF345" i="19"/>
  <c r="CI345" i="19" s="1"/>
  <c r="CF347" i="19"/>
  <c r="CI347" i="19" s="1"/>
  <c r="DF353" i="19"/>
  <c r="DI353" i="19" s="1"/>
  <c r="DF352" i="19"/>
  <c r="DI352" i="19" s="1"/>
  <c r="DF351" i="19"/>
  <c r="DI351" i="19" s="1"/>
  <c r="CF351" i="19"/>
  <c r="CI351" i="19" s="1"/>
  <c r="CF353" i="19"/>
  <c r="CI353" i="19" s="1"/>
  <c r="CF352" i="19"/>
  <c r="CI352" i="19" s="1"/>
  <c r="CF341" i="19"/>
  <c r="CI341" i="19" s="1"/>
  <c r="CF340" i="19"/>
  <c r="CI340" i="19" s="1"/>
  <c r="CF339" i="19"/>
  <c r="CI339" i="19" s="1"/>
  <c r="CF357" i="19"/>
  <c r="CI357" i="19" s="1"/>
  <c r="CF359" i="19"/>
  <c r="CI359" i="19" s="1"/>
  <c r="CF358" i="19"/>
  <c r="CI358" i="19" s="1"/>
  <c r="DF341" i="19"/>
  <c r="DI341" i="19" s="1"/>
  <c r="DF340" i="19"/>
  <c r="DI340" i="19" s="1"/>
  <c r="DF339" i="19"/>
  <c r="DI339" i="19" s="1"/>
  <c r="DF346" i="19"/>
  <c r="DI346" i="19" s="1"/>
  <c r="DF347" i="19"/>
  <c r="DI347" i="19" s="1"/>
  <c r="DF345" i="19"/>
  <c r="DI345" i="19" s="1"/>
  <c r="CF194" i="19"/>
  <c r="CH194" i="19" s="1"/>
  <c r="CI194" i="19" s="1"/>
  <c r="CN194" i="19" s="1"/>
  <c r="CP194" i="19" s="1"/>
  <c r="CT194" i="19"/>
  <c r="CV194" i="19" s="1"/>
  <c r="CW194" i="19" s="1"/>
  <c r="DB194" i="19" s="1"/>
  <c r="DD194" i="19" s="1"/>
  <c r="BD194" i="19"/>
  <c r="BF194" i="19" s="1"/>
  <c r="BG194" i="19" s="1"/>
  <c r="BL194" i="19" s="1"/>
  <c r="BN194" i="19" s="1"/>
  <c r="DI194" i="19" s="1"/>
  <c r="AB194" i="19"/>
  <c r="AD194" i="19" s="1"/>
  <c r="AE194" i="19" s="1"/>
  <c r="AJ194" i="19" s="1"/>
  <c r="AL194" i="19" s="1"/>
  <c r="DG194" i="19" s="1"/>
  <c r="BR194" i="19"/>
  <c r="BT194" i="19" s="1"/>
  <c r="BU194" i="19" s="1"/>
  <c r="BZ194" i="19" s="1"/>
  <c r="CB194" i="19" s="1"/>
  <c r="BH108" i="19"/>
  <c r="BJ108" i="19" s="1"/>
  <c r="BK108" i="19" s="1"/>
  <c r="BL108" i="19" s="1"/>
  <c r="BN108" i="19" s="1"/>
  <c r="DI108" i="19" s="1"/>
  <c r="AF108" i="19"/>
  <c r="AH108" i="19" s="1"/>
  <c r="AI108" i="19" s="1"/>
  <c r="AJ108" i="19" s="1"/>
  <c r="AL108" i="19" s="1"/>
  <c r="DG108" i="19" s="1"/>
  <c r="AT108" i="19"/>
  <c r="AV108" i="19" s="1"/>
  <c r="AW108" i="19" s="1"/>
  <c r="AX108" i="19" s="1"/>
  <c r="AZ108" i="19" s="1"/>
  <c r="DH108" i="19" s="1"/>
  <c r="CJ108" i="19"/>
  <c r="CL108" i="19" s="1"/>
  <c r="CM108" i="19" s="1"/>
  <c r="CN108" i="19" s="1"/>
  <c r="CP108" i="19" s="1"/>
  <c r="DK108" i="19" s="1"/>
  <c r="CX108" i="19"/>
  <c r="CZ108" i="19" s="1"/>
  <c r="DA108" i="19" s="1"/>
  <c r="DB108" i="19" s="1"/>
  <c r="DD108" i="19" s="1"/>
  <c r="DL108" i="19" s="1"/>
  <c r="H282" i="19"/>
  <c r="V282" i="19" s="1"/>
  <c r="X282" i="19" s="1"/>
  <c r="AT282" i="19" s="1"/>
  <c r="AV282" i="19" s="1"/>
  <c r="AW282" i="19" s="1"/>
  <c r="I195" i="19"/>
  <c r="S195" i="19" s="1"/>
  <c r="U195" i="19" s="1"/>
  <c r="AB195" i="19" s="1"/>
  <c r="AD195" i="19" s="1"/>
  <c r="AE195" i="19" s="1"/>
  <c r="I281" i="19"/>
  <c r="S281" i="19" s="1"/>
  <c r="U281" i="19" s="1"/>
  <c r="BD281" i="19" s="1"/>
  <c r="BF281" i="19" s="1"/>
  <c r="BG281" i="19" s="1"/>
  <c r="I109" i="19"/>
  <c r="S109" i="19" s="1"/>
  <c r="U109" i="19" s="1"/>
  <c r="AP109" i="19" s="1"/>
  <c r="AR109" i="19" s="1"/>
  <c r="AS109" i="19" s="1"/>
  <c r="F283" i="19"/>
  <c r="H110" i="19"/>
  <c r="V110" i="19" s="1"/>
  <c r="X110" i="19" s="1"/>
  <c r="CX110" i="19" s="1"/>
  <c r="CZ110" i="19" s="1"/>
  <c r="DA110" i="19" s="1"/>
  <c r="F197" i="19"/>
  <c r="AX194" i="19"/>
  <c r="AZ194" i="19" s="1"/>
  <c r="DH194" i="19" s="1"/>
  <c r="BV281" i="19"/>
  <c r="BX281" i="19" s="1"/>
  <c r="BY281" i="19" s="1"/>
  <c r="CJ281" i="19"/>
  <c r="CL281" i="19" s="1"/>
  <c r="CM281" i="19" s="1"/>
  <c r="AT281" i="19"/>
  <c r="AV281" i="19" s="1"/>
  <c r="AW281" i="19" s="1"/>
  <c r="AF281" i="19"/>
  <c r="AH281" i="19" s="1"/>
  <c r="AI281" i="19" s="1"/>
  <c r="BH281" i="19"/>
  <c r="BJ281" i="19" s="1"/>
  <c r="BK281" i="19" s="1"/>
  <c r="CX281" i="19"/>
  <c r="CZ281" i="19" s="1"/>
  <c r="DA281" i="19" s="1"/>
  <c r="H196" i="19"/>
  <c r="CJ195" i="19"/>
  <c r="CL195" i="19" s="1"/>
  <c r="CM195" i="19" s="1"/>
  <c r="AF195" i="19"/>
  <c r="AH195" i="19" s="1"/>
  <c r="AI195" i="19" s="1"/>
  <c r="AT195" i="19"/>
  <c r="AV195" i="19" s="1"/>
  <c r="AW195" i="19" s="1"/>
  <c r="BH195" i="19"/>
  <c r="BJ195" i="19" s="1"/>
  <c r="BK195" i="19" s="1"/>
  <c r="CX195" i="19"/>
  <c r="CZ195" i="19" s="1"/>
  <c r="DA195" i="19" s="1"/>
  <c r="BV195" i="19"/>
  <c r="BX195" i="19" s="1"/>
  <c r="BY195" i="19" s="1"/>
  <c r="CX109" i="19"/>
  <c r="CZ109" i="19" s="1"/>
  <c r="DA109" i="19" s="1"/>
  <c r="CJ109" i="19"/>
  <c r="CL109" i="19" s="1"/>
  <c r="CM109" i="19" s="1"/>
  <c r="AT109" i="19"/>
  <c r="AV109" i="19" s="1"/>
  <c r="AW109" i="19" s="1"/>
  <c r="BV109" i="19"/>
  <c r="BX109" i="19" s="1"/>
  <c r="BY109" i="19" s="1"/>
  <c r="AF109" i="19"/>
  <c r="AH109" i="19" s="1"/>
  <c r="AI109" i="19" s="1"/>
  <c r="BH109" i="19"/>
  <c r="BJ109" i="19" s="1"/>
  <c r="BK109" i="19" s="1"/>
  <c r="G197" i="19"/>
  <c r="C198" i="19"/>
  <c r="DE197" i="19"/>
  <c r="CD197" i="19"/>
  <c r="CG197" i="19" s="1"/>
  <c r="BP197" i="19"/>
  <c r="BS197" i="19" s="1"/>
  <c r="BB197" i="19"/>
  <c r="BE197" i="19" s="1"/>
  <c r="AN197" i="19"/>
  <c r="AQ197" i="19" s="1"/>
  <c r="Z197" i="19"/>
  <c r="AC197" i="19" s="1"/>
  <c r="CR197" i="19"/>
  <c r="CU197" i="19" s="1"/>
  <c r="F111" i="19"/>
  <c r="G111" i="19"/>
  <c r="C112" i="19"/>
  <c r="DE111" i="19"/>
  <c r="Z111" i="19"/>
  <c r="AC111" i="19" s="1"/>
  <c r="AN111" i="19"/>
  <c r="AQ111" i="19" s="1"/>
  <c r="BP111" i="19"/>
  <c r="BS111" i="19" s="1"/>
  <c r="BB111" i="19"/>
  <c r="BE111" i="19" s="1"/>
  <c r="CD111" i="19"/>
  <c r="CG111" i="19" s="1"/>
  <c r="CR111" i="19"/>
  <c r="CU111" i="19" s="1"/>
  <c r="BZ108" i="19"/>
  <c r="CB108" i="19" s="1"/>
  <c r="DJ108" i="19" s="1"/>
  <c r="BR280" i="19"/>
  <c r="BT280" i="19" s="1"/>
  <c r="BU280" i="19" s="1"/>
  <c r="CT280" i="19"/>
  <c r="CV280" i="19" s="1"/>
  <c r="CW280" i="19" s="1"/>
  <c r="AB280" i="19"/>
  <c r="AD280" i="19" s="1"/>
  <c r="AE280" i="19" s="1"/>
  <c r="AP280" i="19"/>
  <c r="AR280" i="19" s="1"/>
  <c r="AS280" i="19" s="1"/>
  <c r="BD280" i="19"/>
  <c r="BF280" i="19" s="1"/>
  <c r="BG280" i="19" s="1"/>
  <c r="CF280" i="19"/>
  <c r="CH280" i="19" s="1"/>
  <c r="CI280" i="19" s="1"/>
  <c r="G283" i="19"/>
  <c r="C284" i="19"/>
  <c r="DE283" i="19"/>
  <c r="CD283" i="19"/>
  <c r="CG283" i="19" s="1"/>
  <c r="CR283" i="19"/>
  <c r="CU283" i="19" s="1"/>
  <c r="BP283" i="19"/>
  <c r="BS283" i="19" s="1"/>
  <c r="BB283" i="19"/>
  <c r="BE283" i="19" s="1"/>
  <c r="AN283" i="19"/>
  <c r="AQ283" i="19" s="1"/>
  <c r="Z283" i="19"/>
  <c r="AC283" i="19" s="1"/>
  <c r="BV280" i="19"/>
  <c r="BX280" i="19" s="1"/>
  <c r="BY280" i="19" s="1"/>
  <c r="CX280" i="19"/>
  <c r="CZ280" i="19" s="1"/>
  <c r="DA280" i="19" s="1"/>
  <c r="AF280" i="19"/>
  <c r="AH280" i="19" s="1"/>
  <c r="AI280" i="19" s="1"/>
  <c r="AT280" i="19"/>
  <c r="AV280" i="19" s="1"/>
  <c r="AW280" i="19" s="1"/>
  <c r="CJ280" i="19"/>
  <c r="CL280" i="19" s="1"/>
  <c r="CM280" i="19" s="1"/>
  <c r="BH280" i="19"/>
  <c r="BJ280" i="19" s="1"/>
  <c r="BK280" i="19" s="1"/>
  <c r="BZ477" i="19"/>
  <c r="EF340" i="19" l="1"/>
  <c r="EI340" i="19" s="1"/>
  <c r="EF339" i="19"/>
  <c r="EI339" i="19" s="1"/>
  <c r="EF341" i="19"/>
  <c r="EI341" i="19" s="1"/>
  <c r="EF346" i="19"/>
  <c r="EI346" i="19" s="1"/>
  <c r="EF347" i="19"/>
  <c r="EI347" i="19" s="1"/>
  <c r="EF345" i="19"/>
  <c r="EI345" i="19" s="1"/>
  <c r="EF352" i="19"/>
  <c r="EI352" i="19" s="1"/>
  <c r="EF351" i="19"/>
  <c r="EI351" i="19" s="1"/>
  <c r="EF353" i="19"/>
  <c r="EI353" i="19" s="1"/>
  <c r="EF358" i="19"/>
  <c r="EI358" i="19" s="1"/>
  <c r="EF357" i="19"/>
  <c r="EI357" i="19" s="1"/>
  <c r="EF359" i="19"/>
  <c r="EI359" i="19" s="1"/>
  <c r="I282" i="19"/>
  <c r="S282" i="19" s="1"/>
  <c r="U282" i="19" s="1"/>
  <c r="AP282" i="19" s="1"/>
  <c r="AR282" i="19" s="1"/>
  <c r="BH282" i="19"/>
  <c r="BJ282" i="19" s="1"/>
  <c r="BK282" i="19" s="1"/>
  <c r="CF281" i="19"/>
  <c r="CH281" i="19" s="1"/>
  <c r="CI281" i="19" s="1"/>
  <c r="CN281" i="19" s="1"/>
  <c r="CP281" i="19" s="1"/>
  <c r="DK281" i="19" s="1"/>
  <c r="BR281" i="19"/>
  <c r="BT281" i="19" s="1"/>
  <c r="BU281" i="19" s="1"/>
  <c r="BZ281" i="19" s="1"/>
  <c r="CB281" i="19" s="1"/>
  <c r="DJ281" i="19" s="1"/>
  <c r="AP281" i="19"/>
  <c r="AR281" i="19" s="1"/>
  <c r="AS281" i="19" s="1"/>
  <c r="AX281" i="19" s="1"/>
  <c r="AZ281" i="19" s="1"/>
  <c r="DH281" i="19" s="1"/>
  <c r="AF282" i="19"/>
  <c r="AH282" i="19" s="1"/>
  <c r="AI282" i="19" s="1"/>
  <c r="BV282" i="19"/>
  <c r="BX282" i="19" s="1"/>
  <c r="BY282" i="19" s="1"/>
  <c r="CJ282" i="19"/>
  <c r="CL282" i="19" s="1"/>
  <c r="CM282" i="19" s="1"/>
  <c r="CX282" i="19"/>
  <c r="CZ282" i="19" s="1"/>
  <c r="DA282" i="19" s="1"/>
  <c r="CT281" i="19"/>
  <c r="CV281" i="19" s="1"/>
  <c r="CW281" i="19" s="1"/>
  <c r="DB281" i="19" s="1"/>
  <c r="DD281" i="19" s="1"/>
  <c r="DL281" i="19" s="1"/>
  <c r="AB281" i="19"/>
  <c r="AD281" i="19" s="1"/>
  <c r="AE281" i="19" s="1"/>
  <c r="AJ281" i="19" s="1"/>
  <c r="AL281" i="19" s="1"/>
  <c r="DG281" i="19" s="1"/>
  <c r="CF195" i="19"/>
  <c r="CH195" i="19" s="1"/>
  <c r="CI195" i="19" s="1"/>
  <c r="CN195" i="19" s="1"/>
  <c r="CP195" i="19" s="1"/>
  <c r="CT195" i="19"/>
  <c r="CV195" i="19" s="1"/>
  <c r="CW195" i="19" s="1"/>
  <c r="DB195" i="19" s="1"/>
  <c r="DD195" i="19" s="1"/>
  <c r="BR195" i="19"/>
  <c r="BT195" i="19" s="1"/>
  <c r="BU195" i="19" s="1"/>
  <c r="BZ195" i="19" s="1"/>
  <c r="CB195" i="19" s="1"/>
  <c r="BD195" i="19"/>
  <c r="BF195" i="19" s="1"/>
  <c r="BG195" i="19" s="1"/>
  <c r="BL195" i="19" s="1"/>
  <c r="BN195" i="19" s="1"/>
  <c r="DI195" i="19" s="1"/>
  <c r="AP195" i="19"/>
  <c r="AR195" i="19" s="1"/>
  <c r="AS195" i="19" s="1"/>
  <c r="AX195" i="19" s="1"/>
  <c r="AZ195" i="19" s="1"/>
  <c r="DH195" i="19" s="1"/>
  <c r="F284" i="19"/>
  <c r="H283" i="19"/>
  <c r="I283" i="19" s="1"/>
  <c r="S283" i="19" s="1"/>
  <c r="U283" i="19" s="1"/>
  <c r="H197" i="19"/>
  <c r="V197" i="19" s="1"/>
  <c r="X197" i="19" s="1"/>
  <c r="AB109" i="19"/>
  <c r="AD109" i="19" s="1"/>
  <c r="AE109" i="19" s="1"/>
  <c r="AJ109" i="19" s="1"/>
  <c r="AL109" i="19" s="1"/>
  <c r="DG109" i="19" s="1"/>
  <c r="CT109" i="19"/>
  <c r="CV109" i="19" s="1"/>
  <c r="CW109" i="19" s="1"/>
  <c r="DB109" i="19" s="1"/>
  <c r="DD109" i="19" s="1"/>
  <c r="DL109" i="19" s="1"/>
  <c r="BR109" i="19"/>
  <c r="BT109" i="19" s="1"/>
  <c r="BU109" i="19" s="1"/>
  <c r="BZ109" i="19" s="1"/>
  <c r="CB109" i="19" s="1"/>
  <c r="DJ109" i="19" s="1"/>
  <c r="CF109" i="19"/>
  <c r="CH109" i="19" s="1"/>
  <c r="CI109" i="19" s="1"/>
  <c r="CN109" i="19" s="1"/>
  <c r="CP109" i="19" s="1"/>
  <c r="DK109" i="19" s="1"/>
  <c r="BD109" i="19"/>
  <c r="BF109" i="19" s="1"/>
  <c r="BG109" i="19" s="1"/>
  <c r="BL109" i="19" s="1"/>
  <c r="BN109" i="19" s="1"/>
  <c r="DI109" i="19" s="1"/>
  <c r="I110" i="19"/>
  <c r="S110" i="19" s="1"/>
  <c r="U110" i="19" s="1"/>
  <c r="AB110" i="19" s="1"/>
  <c r="AD110" i="19" s="1"/>
  <c r="BH110" i="19"/>
  <c r="BJ110" i="19" s="1"/>
  <c r="BK110" i="19" s="1"/>
  <c r="AF110" i="19"/>
  <c r="AH110" i="19" s="1"/>
  <c r="AI110" i="19" s="1"/>
  <c r="CJ110" i="19"/>
  <c r="CL110" i="19" s="1"/>
  <c r="CM110" i="19" s="1"/>
  <c r="BV110" i="19"/>
  <c r="BX110" i="19" s="1"/>
  <c r="BY110" i="19" s="1"/>
  <c r="BL280" i="19"/>
  <c r="BN280" i="19" s="1"/>
  <c r="DI280" i="19" s="1"/>
  <c r="AT110" i="19"/>
  <c r="AV110" i="19" s="1"/>
  <c r="AW110" i="19" s="1"/>
  <c r="AJ280" i="19"/>
  <c r="AL280" i="19" s="1"/>
  <c r="DG280" i="19" s="1"/>
  <c r="DB280" i="19"/>
  <c r="DD280" i="19" s="1"/>
  <c r="DL280" i="19" s="1"/>
  <c r="AX280" i="19"/>
  <c r="AZ280" i="19" s="1"/>
  <c r="DH280" i="19" s="1"/>
  <c r="BZ280" i="19"/>
  <c r="CB280" i="19" s="1"/>
  <c r="DJ280" i="19" s="1"/>
  <c r="CN280" i="19"/>
  <c r="CP280" i="19" s="1"/>
  <c r="DK280" i="19" s="1"/>
  <c r="F112" i="19"/>
  <c r="AX109" i="19"/>
  <c r="AZ109" i="19" s="1"/>
  <c r="DH109" i="19" s="1"/>
  <c r="G198" i="19"/>
  <c r="C199" i="19"/>
  <c r="DE198" i="19"/>
  <c r="BB198" i="19"/>
  <c r="BE198" i="19" s="1"/>
  <c r="AN198" i="19"/>
  <c r="AQ198" i="19" s="1"/>
  <c r="Z198" i="19"/>
  <c r="AC198" i="19" s="1"/>
  <c r="CR198" i="19"/>
  <c r="CU198" i="19" s="1"/>
  <c r="BP198" i="19"/>
  <c r="BS198" i="19" s="1"/>
  <c r="CD198" i="19"/>
  <c r="CG198" i="19" s="1"/>
  <c r="V196" i="19"/>
  <c r="X196" i="19" s="1"/>
  <c r="I196" i="19"/>
  <c r="S196" i="19" s="1"/>
  <c r="U196" i="19" s="1"/>
  <c r="F198" i="19"/>
  <c r="G112" i="19"/>
  <c r="C113" i="19"/>
  <c r="DE112" i="19"/>
  <c r="Z112" i="19"/>
  <c r="AC112" i="19" s="1"/>
  <c r="CR112" i="19"/>
  <c r="CU112" i="19" s="1"/>
  <c r="CD112" i="19"/>
  <c r="CG112" i="19" s="1"/>
  <c r="BP112" i="19"/>
  <c r="BS112" i="19" s="1"/>
  <c r="BB112" i="19"/>
  <c r="BE112" i="19" s="1"/>
  <c r="AN112" i="19"/>
  <c r="AQ112" i="19" s="1"/>
  <c r="H111" i="19"/>
  <c r="AJ195" i="19"/>
  <c r="AL195" i="19" s="1"/>
  <c r="DG195" i="19" s="1"/>
  <c r="G284" i="19"/>
  <c r="C285" i="19"/>
  <c r="DE284" i="19"/>
  <c r="AN284" i="19"/>
  <c r="AQ284" i="19" s="1"/>
  <c r="CD284" i="19"/>
  <c r="CG284" i="19" s="1"/>
  <c r="CR284" i="19"/>
  <c r="CU284" i="19" s="1"/>
  <c r="BP284" i="19"/>
  <c r="BS284" i="19" s="1"/>
  <c r="BB284" i="19"/>
  <c r="BE284" i="19" s="1"/>
  <c r="Z284" i="19"/>
  <c r="AC284" i="19" s="1"/>
  <c r="BL281" i="19"/>
  <c r="BN281" i="19" s="1"/>
  <c r="DI281" i="19" s="1"/>
  <c r="CM477" i="19"/>
  <c r="AS282" i="19" l="1"/>
  <c r="AX282" i="19" s="1"/>
  <c r="AZ282" i="19" s="1"/>
  <c r="DH282" i="19" s="1"/>
  <c r="CF282" i="19"/>
  <c r="CH282" i="19" s="1"/>
  <c r="CI282" i="19" s="1"/>
  <c r="CN282" i="19" s="1"/>
  <c r="CP282" i="19" s="1"/>
  <c r="DK282" i="19" s="1"/>
  <c r="CT282" i="19"/>
  <c r="CV282" i="19" s="1"/>
  <c r="CW282" i="19" s="1"/>
  <c r="DB282" i="19" s="1"/>
  <c r="DD282" i="19" s="1"/>
  <c r="DL282" i="19" s="1"/>
  <c r="BD282" i="19"/>
  <c r="BF282" i="19" s="1"/>
  <c r="BG282" i="19" s="1"/>
  <c r="BL282" i="19" s="1"/>
  <c r="BN282" i="19" s="1"/>
  <c r="DI282" i="19" s="1"/>
  <c r="AB282" i="19"/>
  <c r="AD282" i="19" s="1"/>
  <c r="AE282" i="19" s="1"/>
  <c r="AJ282" i="19" s="1"/>
  <c r="AL282" i="19" s="1"/>
  <c r="DG282" i="19" s="1"/>
  <c r="BR282" i="19"/>
  <c r="BT282" i="19" s="1"/>
  <c r="BU282" i="19" s="1"/>
  <c r="BZ282" i="19" s="1"/>
  <c r="CB282" i="19" s="1"/>
  <c r="DJ282" i="19" s="1"/>
  <c r="AE110" i="19"/>
  <c r="AJ110" i="19" s="1"/>
  <c r="AL110" i="19" s="1"/>
  <c r="DG110" i="19" s="1"/>
  <c r="H284" i="19"/>
  <c r="I284" i="19" s="1"/>
  <c r="S284" i="19" s="1"/>
  <c r="U284" i="19" s="1"/>
  <c r="I197" i="19"/>
  <c r="S197" i="19" s="1"/>
  <c r="U197" i="19" s="1"/>
  <c r="BD197" i="19" s="1"/>
  <c r="BF197" i="19" s="1"/>
  <c r="BG197" i="19" s="1"/>
  <c r="V283" i="19"/>
  <c r="X283" i="19" s="1"/>
  <c r="AF283" i="19" s="1"/>
  <c r="AH283" i="19" s="1"/>
  <c r="AI283" i="19" s="1"/>
  <c r="BD110" i="19"/>
  <c r="BF110" i="19" s="1"/>
  <c r="BG110" i="19" s="1"/>
  <c r="BL110" i="19" s="1"/>
  <c r="BN110" i="19" s="1"/>
  <c r="DI110" i="19" s="1"/>
  <c r="AP110" i="19"/>
  <c r="AR110" i="19" s="1"/>
  <c r="AS110" i="19" s="1"/>
  <c r="AX110" i="19" s="1"/>
  <c r="AZ110" i="19" s="1"/>
  <c r="DH110" i="19" s="1"/>
  <c r="CF110" i="19"/>
  <c r="CH110" i="19" s="1"/>
  <c r="CI110" i="19" s="1"/>
  <c r="CN110" i="19" s="1"/>
  <c r="CP110" i="19" s="1"/>
  <c r="DK110" i="19" s="1"/>
  <c r="BR110" i="19"/>
  <c r="BT110" i="19" s="1"/>
  <c r="BU110" i="19" s="1"/>
  <c r="BZ110" i="19" s="1"/>
  <c r="CB110" i="19" s="1"/>
  <c r="DJ110" i="19" s="1"/>
  <c r="CT110" i="19"/>
  <c r="CV110" i="19" s="1"/>
  <c r="CW110" i="19" s="1"/>
  <c r="DB110" i="19" s="1"/>
  <c r="DD110" i="19" s="1"/>
  <c r="DL110" i="19" s="1"/>
  <c r="F113" i="19"/>
  <c r="F199" i="19"/>
  <c r="H112" i="19"/>
  <c r="I112" i="19" s="1"/>
  <c r="S112" i="19" s="1"/>
  <c r="U112" i="19" s="1"/>
  <c r="H198" i="19"/>
  <c r="I198" i="19" s="1"/>
  <c r="S198" i="19" s="1"/>
  <c r="U198" i="19" s="1"/>
  <c r="CF196" i="19"/>
  <c r="CH196" i="19" s="1"/>
  <c r="CI196" i="19" s="1"/>
  <c r="BR196" i="19"/>
  <c r="BT196" i="19" s="1"/>
  <c r="BU196" i="19" s="1"/>
  <c r="CT196" i="19"/>
  <c r="CV196" i="19" s="1"/>
  <c r="CW196" i="19" s="1"/>
  <c r="BD196" i="19"/>
  <c r="BF196" i="19" s="1"/>
  <c r="BG196" i="19" s="1"/>
  <c r="AB196" i="19"/>
  <c r="AD196" i="19" s="1"/>
  <c r="AE196" i="19" s="1"/>
  <c r="AP196" i="19"/>
  <c r="AR196" i="19" s="1"/>
  <c r="AS196" i="19" s="1"/>
  <c r="AF196" i="19"/>
  <c r="AH196" i="19" s="1"/>
  <c r="AI196" i="19" s="1"/>
  <c r="BH196" i="19"/>
  <c r="BJ196" i="19" s="1"/>
  <c r="BK196" i="19" s="1"/>
  <c r="CX196" i="19"/>
  <c r="CZ196" i="19" s="1"/>
  <c r="DA196" i="19" s="1"/>
  <c r="AT196" i="19"/>
  <c r="AV196" i="19" s="1"/>
  <c r="AW196" i="19" s="1"/>
  <c r="BV196" i="19"/>
  <c r="BX196" i="19" s="1"/>
  <c r="BY196" i="19" s="1"/>
  <c r="CJ196" i="19"/>
  <c r="CL196" i="19" s="1"/>
  <c r="CM196" i="19" s="1"/>
  <c r="G285" i="19"/>
  <c r="C286" i="19"/>
  <c r="DE285" i="19"/>
  <c r="BB285" i="19"/>
  <c r="BE285" i="19" s="1"/>
  <c r="AN285" i="19"/>
  <c r="AQ285" i="19" s="1"/>
  <c r="Z285" i="19"/>
  <c r="AC285" i="19" s="1"/>
  <c r="CR285" i="19"/>
  <c r="CU285" i="19" s="1"/>
  <c r="CD285" i="19"/>
  <c r="CG285" i="19" s="1"/>
  <c r="BP285" i="19"/>
  <c r="BS285" i="19" s="1"/>
  <c r="G113" i="19"/>
  <c r="C114" i="19"/>
  <c r="DE113" i="19"/>
  <c r="BB113" i="19"/>
  <c r="BE113" i="19" s="1"/>
  <c r="Z113" i="19"/>
  <c r="AC113" i="19" s="1"/>
  <c r="CR113" i="19"/>
  <c r="CU113" i="19" s="1"/>
  <c r="CD113" i="19"/>
  <c r="CG113" i="19" s="1"/>
  <c r="AN113" i="19"/>
  <c r="AQ113" i="19" s="1"/>
  <c r="BP113" i="19"/>
  <c r="BS113" i="19" s="1"/>
  <c r="G199" i="19"/>
  <c r="C200" i="19"/>
  <c r="DE199" i="19"/>
  <c r="CD199" i="19"/>
  <c r="CG199" i="19" s="1"/>
  <c r="AN199" i="19"/>
  <c r="AQ199" i="19" s="1"/>
  <c r="BP199" i="19"/>
  <c r="BS199" i="19" s="1"/>
  <c r="Z199" i="19"/>
  <c r="AC199" i="19" s="1"/>
  <c r="BB199" i="19"/>
  <c r="BE199" i="19" s="1"/>
  <c r="CR199" i="19"/>
  <c r="CU199" i="19" s="1"/>
  <c r="CT283" i="19"/>
  <c r="CV283" i="19" s="1"/>
  <c r="CW283" i="19" s="1"/>
  <c r="AB283" i="19"/>
  <c r="AD283" i="19" s="1"/>
  <c r="AE283" i="19" s="1"/>
  <c r="AP283" i="19"/>
  <c r="AR283" i="19" s="1"/>
  <c r="AS283" i="19" s="1"/>
  <c r="BR283" i="19"/>
  <c r="BT283" i="19" s="1"/>
  <c r="BU283" i="19" s="1"/>
  <c r="CF283" i="19"/>
  <c r="CH283" i="19" s="1"/>
  <c r="CI283" i="19" s="1"/>
  <c r="BD283" i="19"/>
  <c r="BF283" i="19" s="1"/>
  <c r="BG283" i="19" s="1"/>
  <c r="F285" i="19"/>
  <c r="V111" i="19"/>
  <c r="X111" i="19" s="1"/>
  <c r="I111" i="19"/>
  <c r="S111" i="19" s="1"/>
  <c r="U111" i="19" s="1"/>
  <c r="BV197" i="19"/>
  <c r="BX197" i="19" s="1"/>
  <c r="BY197" i="19" s="1"/>
  <c r="BH197" i="19"/>
  <c r="BJ197" i="19" s="1"/>
  <c r="BK197" i="19" s="1"/>
  <c r="AF197" i="19"/>
  <c r="AH197" i="19" s="1"/>
  <c r="AI197" i="19" s="1"/>
  <c r="AT197" i="19"/>
  <c r="AV197" i="19" s="1"/>
  <c r="AW197" i="19" s="1"/>
  <c r="CX197" i="19"/>
  <c r="CZ197" i="19" s="1"/>
  <c r="DA197" i="19" s="1"/>
  <c r="CJ197" i="19"/>
  <c r="CL197" i="19" s="1"/>
  <c r="CM197" i="19" s="1"/>
  <c r="CZ477" i="19"/>
  <c r="AP197" i="19" l="1"/>
  <c r="AR197" i="19" s="1"/>
  <c r="AS197" i="19" s="1"/>
  <c r="CT197" i="19"/>
  <c r="CV197" i="19" s="1"/>
  <c r="CW197" i="19" s="1"/>
  <c r="AB197" i="19"/>
  <c r="AD197" i="19" s="1"/>
  <c r="AE197" i="19" s="1"/>
  <c r="CF197" i="19"/>
  <c r="CH197" i="19" s="1"/>
  <c r="CI197" i="19" s="1"/>
  <c r="BR197" i="19"/>
  <c r="BT197" i="19" s="1"/>
  <c r="BU197" i="19" s="1"/>
  <c r="H199" i="19"/>
  <c r="I199" i="19" s="1"/>
  <c r="S199" i="19" s="1"/>
  <c r="U199" i="19" s="1"/>
  <c r="V284" i="19"/>
  <c r="X284" i="19" s="1"/>
  <c r="BH284" i="19" s="1"/>
  <c r="BJ284" i="19" s="1"/>
  <c r="BK284" i="19" s="1"/>
  <c r="V112" i="19"/>
  <c r="X112" i="19" s="1"/>
  <c r="AF112" i="19" s="1"/>
  <c r="AH112" i="19" s="1"/>
  <c r="AI112" i="19" s="1"/>
  <c r="F200" i="19"/>
  <c r="V198" i="19"/>
  <c r="X198" i="19" s="1"/>
  <c r="CJ198" i="19" s="1"/>
  <c r="CL198" i="19" s="1"/>
  <c r="CM198" i="19" s="1"/>
  <c r="CJ283" i="19"/>
  <c r="CL283" i="19" s="1"/>
  <c r="CM283" i="19" s="1"/>
  <c r="CN283" i="19" s="1"/>
  <c r="CP283" i="19" s="1"/>
  <c r="DK283" i="19" s="1"/>
  <c r="BH283" i="19"/>
  <c r="BJ283" i="19" s="1"/>
  <c r="BK283" i="19" s="1"/>
  <c r="BL283" i="19" s="1"/>
  <c r="BN283" i="19" s="1"/>
  <c r="DI283" i="19" s="1"/>
  <c r="BV283" i="19"/>
  <c r="BX283" i="19" s="1"/>
  <c r="BY283" i="19" s="1"/>
  <c r="BZ283" i="19" s="1"/>
  <c r="CB283" i="19" s="1"/>
  <c r="DJ283" i="19" s="1"/>
  <c r="AT283" i="19"/>
  <c r="AV283" i="19" s="1"/>
  <c r="AW283" i="19" s="1"/>
  <c r="AX283" i="19" s="1"/>
  <c r="AZ283" i="19" s="1"/>
  <c r="DH283" i="19" s="1"/>
  <c r="CX283" i="19"/>
  <c r="CZ283" i="19" s="1"/>
  <c r="DA283" i="19" s="1"/>
  <c r="DB283" i="19" s="1"/>
  <c r="DD283" i="19" s="1"/>
  <c r="DL283" i="19" s="1"/>
  <c r="AJ283" i="19"/>
  <c r="AL283" i="19" s="1"/>
  <c r="DG283" i="19" s="1"/>
  <c r="H113" i="19"/>
  <c r="I113" i="19" s="1"/>
  <c r="S113" i="19" s="1"/>
  <c r="U113" i="19" s="1"/>
  <c r="BZ196" i="19"/>
  <c r="CB196" i="19" s="1"/>
  <c r="AX196" i="19"/>
  <c r="AZ196" i="19" s="1"/>
  <c r="DH196" i="19" s="1"/>
  <c r="DB196" i="19"/>
  <c r="DD196" i="19" s="1"/>
  <c r="BL196" i="19"/>
  <c r="BN196" i="19" s="1"/>
  <c r="DI196" i="19" s="1"/>
  <c r="CN196" i="19"/>
  <c r="CP196" i="19" s="1"/>
  <c r="BZ197" i="19"/>
  <c r="CB197" i="19" s="1"/>
  <c r="H285" i="19"/>
  <c r="I285" i="19" s="1"/>
  <c r="S285" i="19" s="1"/>
  <c r="U285" i="19" s="1"/>
  <c r="F286" i="19"/>
  <c r="AJ196" i="19"/>
  <c r="AL196" i="19" s="1"/>
  <c r="DG196" i="19" s="1"/>
  <c r="G114" i="19"/>
  <c r="C115" i="19"/>
  <c r="DE114" i="19"/>
  <c r="BP114" i="19"/>
  <c r="BS114" i="19" s="1"/>
  <c r="BB114" i="19"/>
  <c r="BE114" i="19" s="1"/>
  <c r="Z114" i="19"/>
  <c r="AC114" i="19" s="1"/>
  <c r="CD114" i="19"/>
  <c r="CG114" i="19" s="1"/>
  <c r="CR114" i="19"/>
  <c r="CU114" i="19" s="1"/>
  <c r="AN114" i="19"/>
  <c r="AQ114" i="19" s="1"/>
  <c r="CT111" i="19"/>
  <c r="CV111" i="19" s="1"/>
  <c r="CW111" i="19" s="1"/>
  <c r="AB111" i="19"/>
  <c r="AD111" i="19" s="1"/>
  <c r="AE111" i="19" s="1"/>
  <c r="AP111" i="19"/>
  <c r="AR111" i="19" s="1"/>
  <c r="AS111" i="19" s="1"/>
  <c r="BD111" i="19"/>
  <c r="BF111" i="19" s="1"/>
  <c r="BG111" i="19" s="1"/>
  <c r="CF111" i="19"/>
  <c r="CH111" i="19" s="1"/>
  <c r="CI111" i="19" s="1"/>
  <c r="BR111" i="19"/>
  <c r="BT111" i="19" s="1"/>
  <c r="BU111" i="19" s="1"/>
  <c r="BH111" i="19"/>
  <c r="BJ111" i="19" s="1"/>
  <c r="BK111" i="19" s="1"/>
  <c r="CX111" i="19"/>
  <c r="CZ111" i="19" s="1"/>
  <c r="DA111" i="19" s="1"/>
  <c r="CJ111" i="19"/>
  <c r="CL111" i="19" s="1"/>
  <c r="CM111" i="19" s="1"/>
  <c r="BV111" i="19"/>
  <c r="BX111" i="19" s="1"/>
  <c r="BY111" i="19" s="1"/>
  <c r="AF111" i="19"/>
  <c r="AH111" i="19" s="1"/>
  <c r="AI111" i="19" s="1"/>
  <c r="AT111" i="19"/>
  <c r="AV111" i="19" s="1"/>
  <c r="AW111" i="19" s="1"/>
  <c r="G200" i="19"/>
  <c r="C201" i="19"/>
  <c r="DE200" i="19"/>
  <c r="AN200" i="19"/>
  <c r="AQ200" i="19" s="1"/>
  <c r="Z200" i="19"/>
  <c r="AC200" i="19" s="1"/>
  <c r="CR200" i="19"/>
  <c r="CU200" i="19" s="1"/>
  <c r="CD200" i="19"/>
  <c r="CG200" i="19" s="1"/>
  <c r="BP200" i="19"/>
  <c r="BS200" i="19" s="1"/>
  <c r="BB200" i="19"/>
  <c r="BE200" i="19" s="1"/>
  <c r="AP198" i="19"/>
  <c r="AR198" i="19" s="1"/>
  <c r="AS198" i="19" s="1"/>
  <c r="CF198" i="19"/>
  <c r="CH198" i="19" s="1"/>
  <c r="CI198" i="19" s="1"/>
  <c r="AB198" i="19"/>
  <c r="AD198" i="19" s="1"/>
  <c r="AE198" i="19" s="1"/>
  <c r="BD198" i="19"/>
  <c r="BF198" i="19" s="1"/>
  <c r="BG198" i="19" s="1"/>
  <c r="BR198" i="19"/>
  <c r="BT198" i="19" s="1"/>
  <c r="BU198" i="19" s="1"/>
  <c r="CT198" i="19"/>
  <c r="CV198" i="19" s="1"/>
  <c r="CW198" i="19" s="1"/>
  <c r="F114" i="19"/>
  <c r="CN197" i="19"/>
  <c r="CP197" i="19" s="1"/>
  <c r="DB197" i="19"/>
  <c r="DD197" i="19" s="1"/>
  <c r="G286" i="19"/>
  <c r="C287" i="19"/>
  <c r="DE286" i="19"/>
  <c r="CR286" i="19"/>
  <c r="CU286" i="19" s="1"/>
  <c r="CD286" i="19"/>
  <c r="CG286" i="19" s="1"/>
  <c r="BP286" i="19"/>
  <c r="BS286" i="19" s="1"/>
  <c r="BB286" i="19"/>
  <c r="BE286" i="19" s="1"/>
  <c r="AN286" i="19"/>
  <c r="AQ286" i="19" s="1"/>
  <c r="Z286" i="19"/>
  <c r="AC286" i="19" s="1"/>
  <c r="AX197" i="19"/>
  <c r="AZ197" i="19" s="1"/>
  <c r="DH197" i="19" s="1"/>
  <c r="AJ197" i="19"/>
  <c r="AL197" i="19" s="1"/>
  <c r="DG197" i="19" s="1"/>
  <c r="CF112" i="19"/>
  <c r="CH112" i="19" s="1"/>
  <c r="CI112" i="19" s="1"/>
  <c r="CT112" i="19"/>
  <c r="CV112" i="19" s="1"/>
  <c r="CW112" i="19" s="1"/>
  <c r="AB112" i="19"/>
  <c r="AD112" i="19" s="1"/>
  <c r="AE112" i="19" s="1"/>
  <c r="BR112" i="19"/>
  <c r="BT112" i="19" s="1"/>
  <c r="BU112" i="19" s="1"/>
  <c r="BD112" i="19"/>
  <c r="BF112" i="19" s="1"/>
  <c r="BG112" i="19" s="1"/>
  <c r="AP112" i="19"/>
  <c r="AR112" i="19" s="1"/>
  <c r="AS112" i="19" s="1"/>
  <c r="CT284" i="19"/>
  <c r="CV284" i="19" s="1"/>
  <c r="CW284" i="19" s="1"/>
  <c r="AP284" i="19"/>
  <c r="AR284" i="19" s="1"/>
  <c r="AS284" i="19" s="1"/>
  <c r="BD284" i="19"/>
  <c r="BF284" i="19" s="1"/>
  <c r="BG284" i="19" s="1"/>
  <c r="BR284" i="19"/>
  <c r="BT284" i="19" s="1"/>
  <c r="BU284" i="19" s="1"/>
  <c r="CF284" i="19"/>
  <c r="CH284" i="19" s="1"/>
  <c r="CI284" i="19" s="1"/>
  <c r="AB284" i="19"/>
  <c r="AD284" i="19" s="1"/>
  <c r="AE284" i="19" s="1"/>
  <c r="BL197" i="19"/>
  <c r="BN197" i="19" s="1"/>
  <c r="DI197" i="19" s="1"/>
  <c r="CX284" i="19"/>
  <c r="CZ284" i="19" s="1"/>
  <c r="DA284" i="19" s="1"/>
  <c r="DM477" i="19"/>
  <c r="CJ284" i="19" l="1"/>
  <c r="CL284" i="19" s="1"/>
  <c r="CM284" i="19" s="1"/>
  <c r="AT284" i="19"/>
  <c r="AV284" i="19" s="1"/>
  <c r="AW284" i="19" s="1"/>
  <c r="BV284" i="19"/>
  <c r="BX284" i="19" s="1"/>
  <c r="BY284" i="19" s="1"/>
  <c r="AF284" i="19"/>
  <c r="AH284" i="19" s="1"/>
  <c r="AI284" i="19" s="1"/>
  <c r="AJ284" i="19" s="1"/>
  <c r="AL284" i="19" s="1"/>
  <c r="DG284" i="19" s="1"/>
  <c r="AF198" i="19"/>
  <c r="AH198" i="19" s="1"/>
  <c r="AI198" i="19" s="1"/>
  <c r="AJ198" i="19" s="1"/>
  <c r="AL198" i="19" s="1"/>
  <c r="DG198" i="19" s="1"/>
  <c r="V199" i="19"/>
  <c r="X199" i="19" s="1"/>
  <c r="CJ199" i="19" s="1"/>
  <c r="CL199" i="19" s="1"/>
  <c r="CM199" i="19" s="1"/>
  <c r="H200" i="19"/>
  <c r="I200" i="19" s="1"/>
  <c r="S200" i="19" s="1"/>
  <c r="U200" i="19" s="1"/>
  <c r="BH198" i="19"/>
  <c r="BJ198" i="19" s="1"/>
  <c r="BK198" i="19" s="1"/>
  <c r="BL198" i="19" s="1"/>
  <c r="BN198" i="19" s="1"/>
  <c r="DI198" i="19" s="1"/>
  <c r="AT198" i="19"/>
  <c r="AV198" i="19" s="1"/>
  <c r="AW198" i="19" s="1"/>
  <c r="AX198" i="19" s="1"/>
  <c r="AZ198" i="19" s="1"/>
  <c r="DH198" i="19" s="1"/>
  <c r="BV198" i="19"/>
  <c r="BX198" i="19" s="1"/>
  <c r="BY198" i="19" s="1"/>
  <c r="BZ198" i="19" s="1"/>
  <c r="CB198" i="19" s="1"/>
  <c r="CX198" i="19"/>
  <c r="CZ198" i="19" s="1"/>
  <c r="DA198" i="19" s="1"/>
  <c r="DB198" i="19" s="1"/>
  <c r="DD198" i="19" s="1"/>
  <c r="CX112" i="19"/>
  <c r="CZ112" i="19" s="1"/>
  <c r="DA112" i="19" s="1"/>
  <c r="DB112" i="19" s="1"/>
  <c r="DD112" i="19" s="1"/>
  <c r="DL112" i="19" s="1"/>
  <c r="CJ112" i="19"/>
  <c r="CL112" i="19" s="1"/>
  <c r="CM112" i="19" s="1"/>
  <c r="CN112" i="19" s="1"/>
  <c r="CP112" i="19" s="1"/>
  <c r="DK112" i="19" s="1"/>
  <c r="BV112" i="19"/>
  <c r="BX112" i="19" s="1"/>
  <c r="BY112" i="19" s="1"/>
  <c r="BZ112" i="19" s="1"/>
  <c r="CB112" i="19" s="1"/>
  <c r="DJ112" i="19" s="1"/>
  <c r="AT112" i="19"/>
  <c r="AV112" i="19" s="1"/>
  <c r="AW112" i="19" s="1"/>
  <c r="AX112" i="19" s="1"/>
  <c r="AZ112" i="19" s="1"/>
  <c r="DH112" i="19" s="1"/>
  <c r="BH112" i="19"/>
  <c r="BJ112" i="19" s="1"/>
  <c r="BK112" i="19" s="1"/>
  <c r="BL112" i="19" s="1"/>
  <c r="BN112" i="19" s="1"/>
  <c r="DI112" i="19" s="1"/>
  <c r="V113" i="19"/>
  <c r="X113" i="19" s="1"/>
  <c r="CJ113" i="19" s="1"/>
  <c r="CL113" i="19" s="1"/>
  <c r="CM113" i="19" s="1"/>
  <c r="AJ111" i="19"/>
  <c r="AL111" i="19" s="1"/>
  <c r="DG111" i="19" s="1"/>
  <c r="AX111" i="19"/>
  <c r="AZ111" i="19" s="1"/>
  <c r="DH111" i="19" s="1"/>
  <c r="V285" i="19"/>
  <c r="X285" i="19" s="1"/>
  <c r="CJ285" i="19" s="1"/>
  <c r="CL285" i="19" s="1"/>
  <c r="CM285" i="19" s="1"/>
  <c r="H286" i="19"/>
  <c r="V286" i="19" s="1"/>
  <c r="X286" i="19" s="1"/>
  <c r="DB284" i="19"/>
  <c r="DD284" i="19" s="1"/>
  <c r="DL284" i="19" s="1"/>
  <c r="CN111" i="19"/>
  <c r="CP111" i="19" s="1"/>
  <c r="DK111" i="19" s="1"/>
  <c r="BZ111" i="19"/>
  <c r="CB111" i="19" s="1"/>
  <c r="DJ111" i="19" s="1"/>
  <c r="H114" i="19"/>
  <c r="V114" i="19" s="1"/>
  <c r="X114" i="19" s="1"/>
  <c r="F115" i="19"/>
  <c r="AJ112" i="19"/>
  <c r="AL112" i="19" s="1"/>
  <c r="DG112" i="19" s="1"/>
  <c r="AX284" i="19"/>
  <c r="AZ284" i="19" s="1"/>
  <c r="DH284" i="19" s="1"/>
  <c r="DB111" i="19"/>
  <c r="DD111" i="19" s="1"/>
  <c r="DL111" i="19" s="1"/>
  <c r="AB285" i="19"/>
  <c r="AD285" i="19" s="1"/>
  <c r="AE285" i="19" s="1"/>
  <c r="CF285" i="19"/>
  <c r="CH285" i="19" s="1"/>
  <c r="CI285" i="19" s="1"/>
  <c r="AP285" i="19"/>
  <c r="AR285" i="19" s="1"/>
  <c r="AS285" i="19" s="1"/>
  <c r="CT285" i="19"/>
  <c r="CV285" i="19" s="1"/>
  <c r="CW285" i="19" s="1"/>
  <c r="BD285" i="19"/>
  <c r="BF285" i="19" s="1"/>
  <c r="BG285" i="19" s="1"/>
  <c r="BR285" i="19"/>
  <c r="BT285" i="19" s="1"/>
  <c r="BU285" i="19" s="1"/>
  <c r="G201" i="19"/>
  <c r="C202" i="19"/>
  <c r="DE201" i="19"/>
  <c r="CD201" i="19"/>
  <c r="CG201" i="19" s="1"/>
  <c r="BP201" i="19"/>
  <c r="BS201" i="19" s="1"/>
  <c r="BB201" i="19"/>
  <c r="BE201" i="19" s="1"/>
  <c r="AN201" i="19"/>
  <c r="AQ201" i="19" s="1"/>
  <c r="Z201" i="19"/>
  <c r="AC201" i="19" s="1"/>
  <c r="CR201" i="19"/>
  <c r="CU201" i="19" s="1"/>
  <c r="CN284" i="19"/>
  <c r="CP284" i="19" s="1"/>
  <c r="DK284" i="19" s="1"/>
  <c r="BZ284" i="19"/>
  <c r="CB284" i="19" s="1"/>
  <c r="DJ284" i="19" s="1"/>
  <c r="G287" i="19"/>
  <c r="C288" i="19"/>
  <c r="DE287" i="19"/>
  <c r="AN287" i="19"/>
  <c r="AQ287" i="19" s="1"/>
  <c r="Z287" i="19"/>
  <c r="AC287" i="19" s="1"/>
  <c r="CR287" i="19"/>
  <c r="CU287" i="19" s="1"/>
  <c r="CD287" i="19"/>
  <c r="CG287" i="19" s="1"/>
  <c r="BP287" i="19"/>
  <c r="BS287" i="19" s="1"/>
  <c r="BB287" i="19"/>
  <c r="BE287" i="19" s="1"/>
  <c r="BL284" i="19"/>
  <c r="BN284" i="19" s="1"/>
  <c r="DI284" i="19" s="1"/>
  <c r="BL111" i="19"/>
  <c r="BN111" i="19" s="1"/>
  <c r="DI111" i="19" s="1"/>
  <c r="G115" i="19"/>
  <c r="C116" i="19"/>
  <c r="DE115" i="19"/>
  <c r="CD115" i="19"/>
  <c r="CG115" i="19" s="1"/>
  <c r="BP115" i="19"/>
  <c r="BS115" i="19" s="1"/>
  <c r="BB115" i="19"/>
  <c r="BE115" i="19" s="1"/>
  <c r="AN115" i="19"/>
  <c r="AQ115" i="19" s="1"/>
  <c r="Z115" i="19"/>
  <c r="AC115" i="19" s="1"/>
  <c r="CR115" i="19"/>
  <c r="CU115" i="19" s="1"/>
  <c r="F201" i="19"/>
  <c r="BH199" i="19"/>
  <c r="BJ199" i="19" s="1"/>
  <c r="BK199" i="19" s="1"/>
  <c r="CN198" i="19"/>
  <c r="CP198" i="19" s="1"/>
  <c r="CT199" i="19"/>
  <c r="CV199" i="19" s="1"/>
  <c r="CW199" i="19" s="1"/>
  <c r="AB199" i="19"/>
  <c r="AD199" i="19" s="1"/>
  <c r="AE199" i="19" s="1"/>
  <c r="AP199" i="19"/>
  <c r="AR199" i="19" s="1"/>
  <c r="AS199" i="19" s="1"/>
  <c r="BR199" i="19"/>
  <c r="BT199" i="19" s="1"/>
  <c r="BU199" i="19" s="1"/>
  <c r="BD199" i="19"/>
  <c r="BF199" i="19" s="1"/>
  <c r="BG199" i="19" s="1"/>
  <c r="CF199" i="19"/>
  <c r="CH199" i="19" s="1"/>
  <c r="CI199" i="19" s="1"/>
  <c r="AP113" i="19"/>
  <c r="AR113" i="19" s="1"/>
  <c r="AS113" i="19" s="1"/>
  <c r="BD113" i="19"/>
  <c r="BF113" i="19" s="1"/>
  <c r="BG113" i="19" s="1"/>
  <c r="BR113" i="19"/>
  <c r="BT113" i="19" s="1"/>
  <c r="BU113" i="19" s="1"/>
  <c r="CF113" i="19"/>
  <c r="CH113" i="19" s="1"/>
  <c r="CI113" i="19" s="1"/>
  <c r="AB113" i="19"/>
  <c r="AD113" i="19" s="1"/>
  <c r="AE113" i="19" s="1"/>
  <c r="CT113" i="19"/>
  <c r="CV113" i="19" s="1"/>
  <c r="CW113" i="19" s="1"/>
  <c r="F287" i="19"/>
  <c r="DZ477" i="19"/>
  <c r="V200" i="19" l="1"/>
  <c r="X200" i="19" s="1"/>
  <c r="AF199" i="19"/>
  <c r="AH199" i="19" s="1"/>
  <c r="AI199" i="19" s="1"/>
  <c r="AF113" i="19"/>
  <c r="AH113" i="19" s="1"/>
  <c r="AI113" i="19" s="1"/>
  <c r="AJ113" i="19" s="1"/>
  <c r="AL113" i="19" s="1"/>
  <c r="DG113" i="19" s="1"/>
  <c r="AT113" i="19"/>
  <c r="AV113" i="19" s="1"/>
  <c r="AW113" i="19" s="1"/>
  <c r="BV113" i="19"/>
  <c r="BX113" i="19" s="1"/>
  <c r="BY113" i="19" s="1"/>
  <c r="BZ113" i="19" s="1"/>
  <c r="CB113" i="19" s="1"/>
  <c r="DJ113" i="19" s="1"/>
  <c r="CX113" i="19"/>
  <c r="CZ113" i="19" s="1"/>
  <c r="DA113" i="19" s="1"/>
  <c r="DB113" i="19" s="1"/>
  <c r="DD113" i="19" s="1"/>
  <c r="DL113" i="19" s="1"/>
  <c r="BH113" i="19"/>
  <c r="BJ113" i="19" s="1"/>
  <c r="BK113" i="19" s="1"/>
  <c r="BL113" i="19" s="1"/>
  <c r="BN113" i="19" s="1"/>
  <c r="DI113" i="19" s="1"/>
  <c r="CX199" i="19"/>
  <c r="CZ199" i="19" s="1"/>
  <c r="DA199" i="19" s="1"/>
  <c r="DB199" i="19" s="1"/>
  <c r="DD199" i="19" s="1"/>
  <c r="BV199" i="19"/>
  <c r="BX199" i="19" s="1"/>
  <c r="BY199" i="19" s="1"/>
  <c r="BZ199" i="19" s="1"/>
  <c r="CB199" i="19" s="1"/>
  <c r="AT199" i="19"/>
  <c r="AV199" i="19" s="1"/>
  <c r="AW199" i="19" s="1"/>
  <c r="AX199" i="19" s="1"/>
  <c r="AZ199" i="19" s="1"/>
  <c r="DH199" i="19" s="1"/>
  <c r="AF285" i="19"/>
  <c r="AH285" i="19" s="1"/>
  <c r="AI285" i="19" s="1"/>
  <c r="AJ285" i="19" s="1"/>
  <c r="AL285" i="19" s="1"/>
  <c r="DG285" i="19" s="1"/>
  <c r="CX285" i="19"/>
  <c r="CZ285" i="19" s="1"/>
  <c r="DA285" i="19" s="1"/>
  <c r="DB285" i="19" s="1"/>
  <c r="DD285" i="19" s="1"/>
  <c r="DL285" i="19" s="1"/>
  <c r="AT285" i="19"/>
  <c r="AV285" i="19" s="1"/>
  <c r="AW285" i="19" s="1"/>
  <c r="AX285" i="19" s="1"/>
  <c r="AZ285" i="19" s="1"/>
  <c r="DH285" i="19" s="1"/>
  <c r="I286" i="19"/>
  <c r="S286" i="19" s="1"/>
  <c r="U286" i="19" s="1"/>
  <c r="CF286" i="19" s="1"/>
  <c r="CH286" i="19" s="1"/>
  <c r="CI286" i="19" s="1"/>
  <c r="BV285" i="19"/>
  <c r="BX285" i="19" s="1"/>
  <c r="BY285" i="19" s="1"/>
  <c r="BZ285" i="19" s="1"/>
  <c r="CB285" i="19" s="1"/>
  <c r="DJ285" i="19" s="1"/>
  <c r="BH285" i="19"/>
  <c r="BJ285" i="19" s="1"/>
  <c r="BK285" i="19" s="1"/>
  <c r="BL285" i="19" s="1"/>
  <c r="BN285" i="19" s="1"/>
  <c r="DI285" i="19" s="1"/>
  <c r="I114" i="19"/>
  <c r="S114" i="19" s="1"/>
  <c r="U114" i="19" s="1"/>
  <c r="BR114" i="19" s="1"/>
  <c r="BT114" i="19" s="1"/>
  <c r="BU114" i="19" s="1"/>
  <c r="H115" i="19"/>
  <c r="V115" i="19" s="1"/>
  <c r="X115" i="19" s="1"/>
  <c r="CN285" i="19"/>
  <c r="CP285" i="19" s="1"/>
  <c r="DK285" i="19" s="1"/>
  <c r="BL199" i="19"/>
  <c r="BN199" i="19" s="1"/>
  <c r="DI199" i="19" s="1"/>
  <c r="H201" i="19"/>
  <c r="I201" i="19" s="1"/>
  <c r="S201" i="19" s="1"/>
  <c r="U201" i="19" s="1"/>
  <c r="AJ199" i="19"/>
  <c r="AL199" i="19" s="1"/>
  <c r="DG199" i="19" s="1"/>
  <c r="CN199" i="19"/>
  <c r="CP199" i="19" s="1"/>
  <c r="C289" i="19"/>
  <c r="G288" i="19"/>
  <c r="DE288" i="19"/>
  <c r="BB288" i="19"/>
  <c r="BE288" i="19" s="1"/>
  <c r="AN288" i="19"/>
  <c r="AQ288" i="19" s="1"/>
  <c r="Z288" i="19"/>
  <c r="AC288" i="19" s="1"/>
  <c r="CR288" i="19"/>
  <c r="CU288" i="19" s="1"/>
  <c r="CD288" i="19"/>
  <c r="CG288" i="19" s="1"/>
  <c r="BP288" i="19"/>
  <c r="BS288" i="19" s="1"/>
  <c r="G202" i="19"/>
  <c r="C203" i="19"/>
  <c r="DE202" i="19"/>
  <c r="BB202" i="19"/>
  <c r="BE202" i="19" s="1"/>
  <c r="AN202" i="19"/>
  <c r="AQ202" i="19" s="1"/>
  <c r="Z202" i="19"/>
  <c r="AC202" i="19" s="1"/>
  <c r="CR202" i="19"/>
  <c r="CU202" i="19" s="1"/>
  <c r="CD202" i="19"/>
  <c r="CG202" i="19" s="1"/>
  <c r="BP202" i="19"/>
  <c r="BS202" i="19" s="1"/>
  <c r="G116" i="19"/>
  <c r="C117" i="19"/>
  <c r="DE116" i="19"/>
  <c r="CD116" i="19"/>
  <c r="CG116" i="19" s="1"/>
  <c r="BP116" i="19"/>
  <c r="BS116" i="19" s="1"/>
  <c r="CR116" i="19"/>
  <c r="CU116" i="19" s="1"/>
  <c r="BB116" i="19"/>
  <c r="BE116" i="19" s="1"/>
  <c r="AN116" i="19"/>
  <c r="AQ116" i="19" s="1"/>
  <c r="Z116" i="19"/>
  <c r="AC116" i="19" s="1"/>
  <c r="F288" i="19"/>
  <c r="AT114" i="19"/>
  <c r="AV114" i="19" s="1"/>
  <c r="AW114" i="19" s="1"/>
  <c r="CX114" i="19"/>
  <c r="CZ114" i="19" s="1"/>
  <c r="DA114" i="19" s="1"/>
  <c r="CJ114" i="19"/>
  <c r="CL114" i="19" s="1"/>
  <c r="CM114" i="19" s="1"/>
  <c r="BH114" i="19"/>
  <c r="BJ114" i="19" s="1"/>
  <c r="BK114" i="19" s="1"/>
  <c r="BV114" i="19"/>
  <c r="BX114" i="19" s="1"/>
  <c r="BY114" i="19" s="1"/>
  <c r="AF114" i="19"/>
  <c r="AH114" i="19" s="1"/>
  <c r="AI114" i="19" s="1"/>
  <c r="AX113" i="19"/>
  <c r="AZ113" i="19" s="1"/>
  <c r="DH113" i="19" s="1"/>
  <c r="F202" i="19"/>
  <c r="CN113" i="19"/>
  <c r="CP113" i="19" s="1"/>
  <c r="DK113" i="19" s="1"/>
  <c r="F116" i="19"/>
  <c r="CJ286" i="19"/>
  <c r="CL286" i="19" s="1"/>
  <c r="CM286" i="19" s="1"/>
  <c r="BH286" i="19"/>
  <c r="BJ286" i="19" s="1"/>
  <c r="BK286" i="19" s="1"/>
  <c r="AF286" i="19"/>
  <c r="AH286" i="19" s="1"/>
  <c r="AI286" i="19" s="1"/>
  <c r="AT286" i="19"/>
  <c r="AV286" i="19" s="1"/>
  <c r="AW286" i="19" s="1"/>
  <c r="CX286" i="19"/>
  <c r="CZ286" i="19" s="1"/>
  <c r="DA286" i="19" s="1"/>
  <c r="BV286" i="19"/>
  <c r="BX286" i="19" s="1"/>
  <c r="BY286" i="19" s="1"/>
  <c r="BD200" i="19"/>
  <c r="BF200" i="19" s="1"/>
  <c r="BG200" i="19" s="1"/>
  <c r="BR200" i="19"/>
  <c r="BT200" i="19" s="1"/>
  <c r="BU200" i="19" s="1"/>
  <c r="CF200" i="19"/>
  <c r="CH200" i="19" s="1"/>
  <c r="CI200" i="19" s="1"/>
  <c r="AB200" i="19"/>
  <c r="AD200" i="19" s="1"/>
  <c r="AE200" i="19" s="1"/>
  <c r="CT200" i="19"/>
  <c r="CV200" i="19" s="1"/>
  <c r="CW200" i="19" s="1"/>
  <c r="AP200" i="19"/>
  <c r="AR200" i="19" s="1"/>
  <c r="AS200" i="19" s="1"/>
  <c r="H287" i="19"/>
  <c r="BH200" i="19"/>
  <c r="BJ200" i="19" s="1"/>
  <c r="BK200" i="19" s="1"/>
  <c r="AF200" i="19"/>
  <c r="AH200" i="19" s="1"/>
  <c r="AI200" i="19" s="1"/>
  <c r="CJ200" i="19"/>
  <c r="CL200" i="19" s="1"/>
  <c r="CM200" i="19" s="1"/>
  <c r="AT200" i="19"/>
  <c r="AV200" i="19" s="1"/>
  <c r="AW200" i="19" s="1"/>
  <c r="BV200" i="19"/>
  <c r="BX200" i="19" s="1"/>
  <c r="BY200" i="19" s="1"/>
  <c r="CX200" i="19"/>
  <c r="CZ200" i="19" s="1"/>
  <c r="DA200" i="19" s="1"/>
  <c r="EM477" i="19"/>
  <c r="V201" i="19" l="1"/>
  <c r="X201" i="19" s="1"/>
  <c r="CX201" i="19" s="1"/>
  <c r="CZ201" i="19" s="1"/>
  <c r="DA201" i="19" s="1"/>
  <c r="BD286" i="19"/>
  <c r="BF286" i="19" s="1"/>
  <c r="BG286" i="19" s="1"/>
  <c r="BL286" i="19" s="1"/>
  <c r="BN286" i="19" s="1"/>
  <c r="DI286" i="19" s="1"/>
  <c r="CT286" i="19"/>
  <c r="CV286" i="19" s="1"/>
  <c r="CW286" i="19" s="1"/>
  <c r="DB286" i="19" s="1"/>
  <c r="DD286" i="19" s="1"/>
  <c r="DL286" i="19" s="1"/>
  <c r="AP286" i="19"/>
  <c r="AR286" i="19" s="1"/>
  <c r="AS286" i="19" s="1"/>
  <c r="BR286" i="19"/>
  <c r="BT286" i="19" s="1"/>
  <c r="BU286" i="19" s="1"/>
  <c r="BZ286" i="19" s="1"/>
  <c r="CB286" i="19" s="1"/>
  <c r="DJ286" i="19" s="1"/>
  <c r="AB286" i="19"/>
  <c r="AD286" i="19" s="1"/>
  <c r="AE286" i="19" s="1"/>
  <c r="AJ286" i="19" s="1"/>
  <c r="AL286" i="19" s="1"/>
  <c r="DG286" i="19" s="1"/>
  <c r="BD114" i="19"/>
  <c r="BF114" i="19" s="1"/>
  <c r="BG114" i="19" s="1"/>
  <c r="BL114" i="19" s="1"/>
  <c r="BN114" i="19" s="1"/>
  <c r="DI114" i="19" s="1"/>
  <c r="AP114" i="19"/>
  <c r="AR114" i="19" s="1"/>
  <c r="AS114" i="19" s="1"/>
  <c r="AX114" i="19" s="1"/>
  <c r="AZ114" i="19" s="1"/>
  <c r="DH114" i="19" s="1"/>
  <c r="CT114" i="19"/>
  <c r="CV114" i="19" s="1"/>
  <c r="CW114" i="19" s="1"/>
  <c r="DB114" i="19" s="1"/>
  <c r="DD114" i="19" s="1"/>
  <c r="DL114" i="19" s="1"/>
  <c r="CF114" i="19"/>
  <c r="CH114" i="19" s="1"/>
  <c r="CI114" i="19" s="1"/>
  <c r="CN114" i="19" s="1"/>
  <c r="CP114" i="19" s="1"/>
  <c r="DK114" i="19" s="1"/>
  <c r="AB114" i="19"/>
  <c r="AD114" i="19" s="1"/>
  <c r="AE114" i="19" s="1"/>
  <c r="AJ114" i="19" s="1"/>
  <c r="AL114" i="19" s="1"/>
  <c r="DG114" i="19" s="1"/>
  <c r="I115" i="19"/>
  <c r="S115" i="19" s="1"/>
  <c r="U115" i="19" s="1"/>
  <c r="CF115" i="19" s="1"/>
  <c r="CH115" i="19" s="1"/>
  <c r="CI115" i="19" s="1"/>
  <c r="H288" i="19"/>
  <c r="V288" i="19" s="1"/>
  <c r="X288" i="19" s="1"/>
  <c r="BL200" i="19"/>
  <c r="BN200" i="19" s="1"/>
  <c r="DI200" i="19" s="1"/>
  <c r="AJ200" i="19"/>
  <c r="AL200" i="19" s="1"/>
  <c r="DG200" i="19" s="1"/>
  <c r="H116" i="19"/>
  <c r="I116" i="19" s="1"/>
  <c r="S116" i="19" s="1"/>
  <c r="U116" i="19" s="1"/>
  <c r="AX200" i="19"/>
  <c r="AZ200" i="19" s="1"/>
  <c r="DH200" i="19" s="1"/>
  <c r="CN286" i="19"/>
  <c r="CP286" i="19" s="1"/>
  <c r="DK286" i="19" s="1"/>
  <c r="CN200" i="19"/>
  <c r="CP200" i="19" s="1"/>
  <c r="C204" i="19"/>
  <c r="G203" i="19"/>
  <c r="DE203" i="19"/>
  <c r="CD203" i="19"/>
  <c r="CG203" i="19" s="1"/>
  <c r="AN203" i="19"/>
  <c r="AQ203" i="19" s="1"/>
  <c r="Z203" i="19"/>
  <c r="AC203" i="19" s="1"/>
  <c r="BP203" i="19"/>
  <c r="BS203" i="19" s="1"/>
  <c r="BB203" i="19"/>
  <c r="BE203" i="19" s="1"/>
  <c r="CR203" i="19"/>
  <c r="CU203" i="19" s="1"/>
  <c r="V287" i="19"/>
  <c r="X287" i="19" s="1"/>
  <c r="I287" i="19"/>
  <c r="S287" i="19" s="1"/>
  <c r="U287" i="19" s="1"/>
  <c r="F289" i="19"/>
  <c r="G117" i="19"/>
  <c r="C118" i="19"/>
  <c r="DE117" i="19"/>
  <c r="BP117" i="19"/>
  <c r="BS117" i="19" s="1"/>
  <c r="CR117" i="19"/>
  <c r="CU117" i="19" s="1"/>
  <c r="BB117" i="19"/>
  <c r="BE117" i="19" s="1"/>
  <c r="Z117" i="19"/>
  <c r="AC117" i="19" s="1"/>
  <c r="CD117" i="19"/>
  <c r="CG117" i="19" s="1"/>
  <c r="AN117" i="19"/>
  <c r="AQ117" i="19" s="1"/>
  <c r="H202" i="19"/>
  <c r="F203" i="19"/>
  <c r="AX286" i="19"/>
  <c r="AZ286" i="19" s="1"/>
  <c r="DH286" i="19" s="1"/>
  <c r="BR201" i="19"/>
  <c r="BT201" i="19" s="1"/>
  <c r="BU201" i="19" s="1"/>
  <c r="BD201" i="19"/>
  <c r="BF201" i="19" s="1"/>
  <c r="BG201" i="19" s="1"/>
  <c r="AP201" i="19"/>
  <c r="AR201" i="19" s="1"/>
  <c r="AS201" i="19" s="1"/>
  <c r="CF201" i="19"/>
  <c r="CH201" i="19" s="1"/>
  <c r="CI201" i="19" s="1"/>
  <c r="CT201" i="19"/>
  <c r="CV201" i="19" s="1"/>
  <c r="CW201" i="19" s="1"/>
  <c r="AB201" i="19"/>
  <c r="AD201" i="19" s="1"/>
  <c r="AE201" i="19" s="1"/>
  <c r="G289" i="19"/>
  <c r="C290" i="19"/>
  <c r="DE289" i="19"/>
  <c r="Z289" i="19"/>
  <c r="AC289" i="19" s="1"/>
  <c r="CD289" i="19"/>
  <c r="CG289" i="19" s="1"/>
  <c r="AN289" i="19"/>
  <c r="AQ289" i="19" s="1"/>
  <c r="CR289" i="19"/>
  <c r="CU289" i="19" s="1"/>
  <c r="BB289" i="19"/>
  <c r="BE289" i="19" s="1"/>
  <c r="BP289" i="19"/>
  <c r="BS289" i="19" s="1"/>
  <c r="DB200" i="19"/>
  <c r="DD200" i="19" s="1"/>
  <c r="BZ114" i="19"/>
  <c r="CB114" i="19" s="1"/>
  <c r="DJ114" i="19" s="1"/>
  <c r="BZ200" i="19"/>
  <c r="CB200" i="19" s="1"/>
  <c r="F117" i="19"/>
  <c r="CJ115" i="19"/>
  <c r="CL115" i="19" s="1"/>
  <c r="CM115" i="19" s="1"/>
  <c r="AF115" i="19"/>
  <c r="AH115" i="19" s="1"/>
  <c r="AI115" i="19" s="1"/>
  <c r="BV115" i="19"/>
  <c r="BX115" i="19" s="1"/>
  <c r="BY115" i="19" s="1"/>
  <c r="AT115" i="19"/>
  <c r="AV115" i="19" s="1"/>
  <c r="AW115" i="19" s="1"/>
  <c r="CX115" i="19"/>
  <c r="CZ115" i="19" s="1"/>
  <c r="DA115" i="19" s="1"/>
  <c r="BH115" i="19"/>
  <c r="BJ115" i="19" s="1"/>
  <c r="BK115" i="19" s="1"/>
  <c r="AF201" i="19" l="1"/>
  <c r="AH201" i="19" s="1"/>
  <c r="AI201" i="19" s="1"/>
  <c r="CJ201" i="19"/>
  <c r="CL201" i="19" s="1"/>
  <c r="CM201" i="19" s="1"/>
  <c r="CN201" i="19" s="1"/>
  <c r="CP201" i="19" s="1"/>
  <c r="BV201" i="19"/>
  <c r="BX201" i="19" s="1"/>
  <c r="BY201" i="19" s="1"/>
  <c r="BZ201" i="19" s="1"/>
  <c r="CB201" i="19" s="1"/>
  <c r="AT201" i="19"/>
  <c r="AV201" i="19" s="1"/>
  <c r="AW201" i="19" s="1"/>
  <c r="AX201" i="19" s="1"/>
  <c r="AZ201" i="19" s="1"/>
  <c r="DH201" i="19" s="1"/>
  <c r="BH201" i="19"/>
  <c r="BJ201" i="19" s="1"/>
  <c r="BK201" i="19" s="1"/>
  <c r="AP115" i="19"/>
  <c r="AR115" i="19" s="1"/>
  <c r="AS115" i="19" s="1"/>
  <c r="AX115" i="19" s="1"/>
  <c r="AZ115" i="19" s="1"/>
  <c r="DH115" i="19" s="1"/>
  <c r="AB115" i="19"/>
  <c r="AD115" i="19" s="1"/>
  <c r="AE115" i="19" s="1"/>
  <c r="AJ115" i="19" s="1"/>
  <c r="AL115" i="19" s="1"/>
  <c r="DG115" i="19" s="1"/>
  <c r="BR115" i="19"/>
  <c r="BT115" i="19" s="1"/>
  <c r="BU115" i="19" s="1"/>
  <c r="BZ115" i="19" s="1"/>
  <c r="CB115" i="19" s="1"/>
  <c r="DJ115" i="19" s="1"/>
  <c r="BD115" i="19"/>
  <c r="BF115" i="19" s="1"/>
  <c r="BG115" i="19" s="1"/>
  <c r="F118" i="19"/>
  <c r="CT115" i="19"/>
  <c r="CV115" i="19" s="1"/>
  <c r="CW115" i="19" s="1"/>
  <c r="DB115" i="19" s="1"/>
  <c r="DD115" i="19" s="1"/>
  <c r="DL115" i="19" s="1"/>
  <c r="I288" i="19"/>
  <c r="S288" i="19" s="1"/>
  <c r="U288" i="19" s="1"/>
  <c r="CF288" i="19" s="1"/>
  <c r="CH288" i="19" s="1"/>
  <c r="CI288" i="19" s="1"/>
  <c r="V116" i="19"/>
  <c r="X116" i="19" s="1"/>
  <c r="CX116" i="19" s="1"/>
  <c r="CZ116" i="19" s="1"/>
  <c r="DA116" i="19" s="1"/>
  <c r="BL201" i="19"/>
  <c r="BN201" i="19" s="1"/>
  <c r="DI201" i="19" s="1"/>
  <c r="AJ201" i="19"/>
  <c r="AL201" i="19" s="1"/>
  <c r="DG201" i="19" s="1"/>
  <c r="DB201" i="19"/>
  <c r="DD201" i="19" s="1"/>
  <c r="F204" i="19"/>
  <c r="H289" i="19"/>
  <c r="I289" i="19" s="1"/>
  <c r="S289" i="19" s="1"/>
  <c r="U289" i="19" s="1"/>
  <c r="AT288" i="19"/>
  <c r="AV288" i="19" s="1"/>
  <c r="AW288" i="19" s="1"/>
  <c r="BV288" i="19"/>
  <c r="BX288" i="19" s="1"/>
  <c r="BY288" i="19" s="1"/>
  <c r="BH288" i="19"/>
  <c r="BJ288" i="19" s="1"/>
  <c r="BK288" i="19" s="1"/>
  <c r="AF288" i="19"/>
  <c r="AH288" i="19" s="1"/>
  <c r="AI288" i="19" s="1"/>
  <c r="CX288" i="19"/>
  <c r="CZ288" i="19" s="1"/>
  <c r="DA288" i="19" s="1"/>
  <c r="CJ288" i="19"/>
  <c r="CL288" i="19" s="1"/>
  <c r="CM288" i="19" s="1"/>
  <c r="V202" i="19"/>
  <c r="X202" i="19" s="1"/>
  <c r="I202" i="19"/>
  <c r="S202" i="19" s="1"/>
  <c r="U202" i="19" s="1"/>
  <c r="BD287" i="19"/>
  <c r="BF287" i="19" s="1"/>
  <c r="BG287" i="19" s="1"/>
  <c r="CF287" i="19"/>
  <c r="CH287" i="19" s="1"/>
  <c r="CI287" i="19" s="1"/>
  <c r="AP287" i="19"/>
  <c r="AR287" i="19" s="1"/>
  <c r="AS287" i="19" s="1"/>
  <c r="BR287" i="19"/>
  <c r="BT287" i="19" s="1"/>
  <c r="BU287" i="19" s="1"/>
  <c r="CT287" i="19"/>
  <c r="CV287" i="19" s="1"/>
  <c r="CW287" i="19" s="1"/>
  <c r="AB287" i="19"/>
  <c r="AD287" i="19" s="1"/>
  <c r="AE287" i="19" s="1"/>
  <c r="AP116" i="19"/>
  <c r="AR116" i="19" s="1"/>
  <c r="AS116" i="19" s="1"/>
  <c r="CT116" i="19"/>
  <c r="CV116" i="19" s="1"/>
  <c r="CW116" i="19" s="1"/>
  <c r="BR116" i="19"/>
  <c r="BT116" i="19" s="1"/>
  <c r="BU116" i="19" s="1"/>
  <c r="AB116" i="19"/>
  <c r="AD116" i="19" s="1"/>
  <c r="AE116" i="19" s="1"/>
  <c r="CF116" i="19"/>
  <c r="CH116" i="19" s="1"/>
  <c r="CI116" i="19" s="1"/>
  <c r="BD116" i="19"/>
  <c r="BF116" i="19" s="1"/>
  <c r="BG116" i="19" s="1"/>
  <c r="BH287" i="19"/>
  <c r="BJ287" i="19" s="1"/>
  <c r="BK287" i="19" s="1"/>
  <c r="AT287" i="19"/>
  <c r="AV287" i="19" s="1"/>
  <c r="AW287" i="19" s="1"/>
  <c r="CJ287" i="19"/>
  <c r="CL287" i="19" s="1"/>
  <c r="CM287" i="19" s="1"/>
  <c r="BV287" i="19"/>
  <c r="BX287" i="19" s="1"/>
  <c r="BY287" i="19" s="1"/>
  <c r="CX287" i="19"/>
  <c r="CZ287" i="19" s="1"/>
  <c r="DA287" i="19" s="1"/>
  <c r="AF287" i="19"/>
  <c r="AH287" i="19" s="1"/>
  <c r="AI287" i="19" s="1"/>
  <c r="BL115" i="19"/>
  <c r="BN115" i="19" s="1"/>
  <c r="DI115" i="19" s="1"/>
  <c r="G290" i="19"/>
  <c r="C291" i="19"/>
  <c r="DE290" i="19"/>
  <c r="BB290" i="19"/>
  <c r="BE290" i="19" s="1"/>
  <c r="AN290" i="19"/>
  <c r="AQ290" i="19" s="1"/>
  <c r="CD290" i="19"/>
  <c r="CG290" i="19" s="1"/>
  <c r="Z290" i="19"/>
  <c r="AC290" i="19" s="1"/>
  <c r="CR290" i="19"/>
  <c r="CU290" i="19" s="1"/>
  <c r="BP290" i="19"/>
  <c r="BS290" i="19" s="1"/>
  <c r="CN115" i="19"/>
  <c r="CP115" i="19" s="1"/>
  <c r="DK115" i="19" s="1"/>
  <c r="H117" i="19"/>
  <c r="H203" i="19"/>
  <c r="F290" i="19"/>
  <c r="G118" i="19"/>
  <c r="C119" i="19"/>
  <c r="DE118" i="19"/>
  <c r="BB118" i="19"/>
  <c r="BE118" i="19" s="1"/>
  <c r="CD118" i="19"/>
  <c r="CG118" i="19" s="1"/>
  <c r="AN118" i="19"/>
  <c r="AQ118" i="19" s="1"/>
  <c r="Z118" i="19"/>
  <c r="AC118" i="19" s="1"/>
  <c r="BP118" i="19"/>
  <c r="BS118" i="19" s="1"/>
  <c r="CR118" i="19"/>
  <c r="CU118" i="19" s="1"/>
  <c r="G204" i="19"/>
  <c r="C205" i="19"/>
  <c r="DE204" i="19"/>
  <c r="BP204" i="19"/>
  <c r="BS204" i="19" s="1"/>
  <c r="BB204" i="19"/>
  <c r="BE204" i="19" s="1"/>
  <c r="AN204" i="19"/>
  <c r="AQ204" i="19" s="1"/>
  <c r="Z204" i="19"/>
  <c r="AC204" i="19" s="1"/>
  <c r="CR204" i="19"/>
  <c r="CU204" i="19" s="1"/>
  <c r="CD204" i="19"/>
  <c r="CG204" i="19" s="1"/>
  <c r="CJ116" i="19" l="1"/>
  <c r="CL116" i="19" s="1"/>
  <c r="CM116" i="19" s="1"/>
  <c r="CN116" i="19" s="1"/>
  <c r="CP116" i="19" s="1"/>
  <c r="DK116" i="19" s="1"/>
  <c r="H118" i="19"/>
  <c r="I118" i="19" s="1"/>
  <c r="S118" i="19" s="1"/>
  <c r="U118" i="19" s="1"/>
  <c r="AF116" i="19"/>
  <c r="AH116" i="19" s="1"/>
  <c r="AI116" i="19" s="1"/>
  <c r="AJ116" i="19" s="1"/>
  <c r="AL116" i="19" s="1"/>
  <c r="DG116" i="19" s="1"/>
  <c r="BH116" i="19"/>
  <c r="BJ116" i="19" s="1"/>
  <c r="BK116" i="19" s="1"/>
  <c r="BV116" i="19"/>
  <c r="BX116" i="19" s="1"/>
  <c r="BY116" i="19" s="1"/>
  <c r="BZ116" i="19" s="1"/>
  <c r="CB116" i="19" s="1"/>
  <c r="DJ116" i="19" s="1"/>
  <c r="AP288" i="19"/>
  <c r="AR288" i="19" s="1"/>
  <c r="AS288" i="19" s="1"/>
  <c r="AX288" i="19" s="1"/>
  <c r="AZ288" i="19" s="1"/>
  <c r="DH288" i="19" s="1"/>
  <c r="AT116" i="19"/>
  <c r="AV116" i="19" s="1"/>
  <c r="AW116" i="19" s="1"/>
  <c r="AX116" i="19" s="1"/>
  <c r="AZ116" i="19" s="1"/>
  <c r="DH116" i="19" s="1"/>
  <c r="BD288" i="19"/>
  <c r="BF288" i="19" s="1"/>
  <c r="BG288" i="19" s="1"/>
  <c r="BL288" i="19" s="1"/>
  <c r="BN288" i="19" s="1"/>
  <c r="DI288" i="19" s="1"/>
  <c r="BR288" i="19"/>
  <c r="BT288" i="19" s="1"/>
  <c r="BU288" i="19" s="1"/>
  <c r="BZ288" i="19" s="1"/>
  <c r="CB288" i="19" s="1"/>
  <c r="DJ288" i="19" s="1"/>
  <c r="AB288" i="19"/>
  <c r="AD288" i="19" s="1"/>
  <c r="AE288" i="19" s="1"/>
  <c r="AJ288" i="19" s="1"/>
  <c r="AL288" i="19" s="1"/>
  <c r="DG288" i="19" s="1"/>
  <c r="CT288" i="19"/>
  <c r="CV288" i="19" s="1"/>
  <c r="CW288" i="19" s="1"/>
  <c r="DB288" i="19" s="1"/>
  <c r="DD288" i="19" s="1"/>
  <c r="DL288" i="19" s="1"/>
  <c r="H204" i="19"/>
  <c r="V204" i="19" s="1"/>
  <c r="X204" i="19" s="1"/>
  <c r="V289" i="19"/>
  <c r="X289" i="19" s="1"/>
  <c r="BH289" i="19" s="1"/>
  <c r="BJ289" i="19" s="1"/>
  <c r="BK289" i="19" s="1"/>
  <c r="BL287" i="19"/>
  <c r="BN287" i="19" s="1"/>
  <c r="DI287" i="19" s="1"/>
  <c r="AX287" i="19"/>
  <c r="AZ287" i="19" s="1"/>
  <c r="DH287" i="19" s="1"/>
  <c r="CN288" i="19"/>
  <c r="CP288" i="19" s="1"/>
  <c r="DK288" i="19" s="1"/>
  <c r="DB116" i="19"/>
  <c r="DD116" i="19" s="1"/>
  <c r="DL116" i="19" s="1"/>
  <c r="H290" i="19"/>
  <c r="I290" i="19" s="1"/>
  <c r="S290" i="19" s="1"/>
  <c r="U290" i="19" s="1"/>
  <c r="G119" i="19"/>
  <c r="C120" i="19"/>
  <c r="DE119" i="19"/>
  <c r="AN119" i="19"/>
  <c r="AQ119" i="19" s="1"/>
  <c r="BP119" i="19"/>
  <c r="BS119" i="19" s="1"/>
  <c r="Z119" i="19"/>
  <c r="AC119" i="19" s="1"/>
  <c r="BB119" i="19"/>
  <c r="BE119" i="19" s="1"/>
  <c r="CR119" i="19"/>
  <c r="CU119" i="19" s="1"/>
  <c r="CD119" i="19"/>
  <c r="CG119" i="19" s="1"/>
  <c r="G291" i="19"/>
  <c r="C292" i="19"/>
  <c r="DE291" i="19"/>
  <c r="BP291" i="19"/>
  <c r="BS291" i="19" s="1"/>
  <c r="BB291" i="19"/>
  <c r="BE291" i="19" s="1"/>
  <c r="CD291" i="19"/>
  <c r="CG291" i="19" s="1"/>
  <c r="AN291" i="19"/>
  <c r="AQ291" i="19" s="1"/>
  <c r="CR291" i="19"/>
  <c r="CU291" i="19" s="1"/>
  <c r="Z291" i="19"/>
  <c r="AC291" i="19" s="1"/>
  <c r="V203" i="19"/>
  <c r="X203" i="19" s="1"/>
  <c r="I203" i="19"/>
  <c r="S203" i="19" s="1"/>
  <c r="U203" i="19" s="1"/>
  <c r="V117" i="19"/>
  <c r="X117" i="19" s="1"/>
  <c r="I117" i="19"/>
  <c r="S117" i="19" s="1"/>
  <c r="U117" i="19" s="1"/>
  <c r="BL116" i="19"/>
  <c r="BN116" i="19" s="1"/>
  <c r="DI116" i="19" s="1"/>
  <c r="G205" i="19"/>
  <c r="C206" i="19"/>
  <c r="DE205" i="19"/>
  <c r="AN205" i="19"/>
  <c r="AQ205" i="19" s="1"/>
  <c r="Z205" i="19"/>
  <c r="AC205" i="19" s="1"/>
  <c r="CR205" i="19"/>
  <c r="CU205" i="19" s="1"/>
  <c r="CD205" i="19"/>
  <c r="CG205" i="19" s="1"/>
  <c r="BP205" i="19"/>
  <c r="BS205" i="19" s="1"/>
  <c r="BB205" i="19"/>
  <c r="BE205" i="19" s="1"/>
  <c r="F119" i="19"/>
  <c r="F291" i="19"/>
  <c r="AJ287" i="19"/>
  <c r="AL287" i="19" s="1"/>
  <c r="DG287" i="19" s="1"/>
  <c r="BR289" i="19"/>
  <c r="BT289" i="19" s="1"/>
  <c r="BU289" i="19" s="1"/>
  <c r="CT289" i="19"/>
  <c r="CV289" i="19" s="1"/>
  <c r="CW289" i="19" s="1"/>
  <c r="BD289" i="19"/>
  <c r="BF289" i="19" s="1"/>
  <c r="BG289" i="19" s="1"/>
  <c r="AP289" i="19"/>
  <c r="AR289" i="19" s="1"/>
  <c r="AS289" i="19" s="1"/>
  <c r="AB289" i="19"/>
  <c r="AD289" i="19" s="1"/>
  <c r="AE289" i="19" s="1"/>
  <c r="CF289" i="19"/>
  <c r="CH289" i="19" s="1"/>
  <c r="CI289" i="19" s="1"/>
  <c r="DB287" i="19"/>
  <c r="DD287" i="19" s="1"/>
  <c r="DL287" i="19" s="1"/>
  <c r="BZ287" i="19"/>
  <c r="CB287" i="19" s="1"/>
  <c r="DJ287" i="19" s="1"/>
  <c r="BD202" i="19"/>
  <c r="BF202" i="19" s="1"/>
  <c r="BG202" i="19" s="1"/>
  <c r="AB202" i="19"/>
  <c r="AD202" i="19" s="1"/>
  <c r="AE202" i="19" s="1"/>
  <c r="AP202" i="19"/>
  <c r="AR202" i="19" s="1"/>
  <c r="AS202" i="19" s="1"/>
  <c r="BR202" i="19"/>
  <c r="BT202" i="19" s="1"/>
  <c r="BU202" i="19" s="1"/>
  <c r="CT202" i="19"/>
  <c r="CV202" i="19" s="1"/>
  <c r="CW202" i="19" s="1"/>
  <c r="CF202" i="19"/>
  <c r="CH202" i="19" s="1"/>
  <c r="CI202" i="19" s="1"/>
  <c r="F205" i="19"/>
  <c r="CN287" i="19"/>
  <c r="CP287" i="19" s="1"/>
  <c r="DK287" i="19" s="1"/>
  <c r="AF202" i="19"/>
  <c r="AH202" i="19" s="1"/>
  <c r="AI202" i="19" s="1"/>
  <c r="BV202" i="19"/>
  <c r="BX202" i="19" s="1"/>
  <c r="BY202" i="19" s="1"/>
  <c r="CJ202" i="19"/>
  <c r="CL202" i="19" s="1"/>
  <c r="CM202" i="19" s="1"/>
  <c r="BH202" i="19"/>
  <c r="BJ202" i="19" s="1"/>
  <c r="BK202" i="19" s="1"/>
  <c r="AT202" i="19"/>
  <c r="AV202" i="19" s="1"/>
  <c r="AW202" i="19" s="1"/>
  <c r="CX202" i="19"/>
  <c r="CZ202" i="19" s="1"/>
  <c r="DA202" i="19" s="1"/>
  <c r="V118" i="19" l="1"/>
  <c r="X118" i="19" s="1"/>
  <c r="CX118" i="19" s="1"/>
  <c r="CZ118" i="19" s="1"/>
  <c r="DA118" i="19" s="1"/>
  <c r="I204" i="19"/>
  <c r="S204" i="19" s="1"/>
  <c r="U204" i="19" s="1"/>
  <c r="BD204" i="19" s="1"/>
  <c r="BF204" i="19" s="1"/>
  <c r="BG204" i="19" s="1"/>
  <c r="BV289" i="19"/>
  <c r="BX289" i="19" s="1"/>
  <c r="BY289" i="19" s="1"/>
  <c r="BZ289" i="19" s="1"/>
  <c r="CB289" i="19" s="1"/>
  <c r="DJ289" i="19" s="1"/>
  <c r="AF289" i="19"/>
  <c r="AH289" i="19" s="1"/>
  <c r="AI289" i="19" s="1"/>
  <c r="AJ289" i="19" s="1"/>
  <c r="AL289" i="19" s="1"/>
  <c r="DG289" i="19" s="1"/>
  <c r="CX289" i="19"/>
  <c r="CZ289" i="19" s="1"/>
  <c r="DA289" i="19" s="1"/>
  <c r="DB289" i="19" s="1"/>
  <c r="DD289" i="19" s="1"/>
  <c r="DL289" i="19" s="1"/>
  <c r="AT289" i="19"/>
  <c r="AV289" i="19" s="1"/>
  <c r="AW289" i="19" s="1"/>
  <c r="AX289" i="19" s="1"/>
  <c r="AZ289" i="19" s="1"/>
  <c r="DH289" i="19" s="1"/>
  <c r="CJ289" i="19"/>
  <c r="CL289" i="19" s="1"/>
  <c r="CM289" i="19" s="1"/>
  <c r="CN289" i="19" s="1"/>
  <c r="CP289" i="19" s="1"/>
  <c r="DK289" i="19" s="1"/>
  <c r="CN202" i="19"/>
  <c r="CP202" i="19" s="1"/>
  <c r="BZ202" i="19"/>
  <c r="CB202" i="19" s="1"/>
  <c r="V290" i="19"/>
  <c r="X290" i="19" s="1"/>
  <c r="CJ290" i="19" s="1"/>
  <c r="CL290" i="19" s="1"/>
  <c r="CM290" i="19" s="1"/>
  <c r="BL289" i="19"/>
  <c r="BN289" i="19" s="1"/>
  <c r="DI289" i="19" s="1"/>
  <c r="DB202" i="19"/>
  <c r="DD202" i="19" s="1"/>
  <c r="H119" i="19"/>
  <c r="V119" i="19" s="1"/>
  <c r="X119" i="19" s="1"/>
  <c r="H205" i="19"/>
  <c r="I205" i="19" s="1"/>
  <c r="S205" i="19" s="1"/>
  <c r="U205" i="19" s="1"/>
  <c r="F206" i="19"/>
  <c r="AX202" i="19"/>
  <c r="AZ202" i="19" s="1"/>
  <c r="DH202" i="19" s="1"/>
  <c r="H291" i="19"/>
  <c r="V291" i="19" s="1"/>
  <c r="X291" i="19" s="1"/>
  <c r="G292" i="19"/>
  <c r="C293" i="19"/>
  <c r="DE292" i="19"/>
  <c r="AN292" i="19"/>
  <c r="AQ292" i="19" s="1"/>
  <c r="Z292" i="19"/>
  <c r="AC292" i="19" s="1"/>
  <c r="BP292" i="19"/>
  <c r="BS292" i="19" s="1"/>
  <c r="CR292" i="19"/>
  <c r="CU292" i="19" s="1"/>
  <c r="CD292" i="19"/>
  <c r="CG292" i="19" s="1"/>
  <c r="BB292" i="19"/>
  <c r="BE292" i="19" s="1"/>
  <c r="CT117" i="19"/>
  <c r="CV117" i="19" s="1"/>
  <c r="CW117" i="19" s="1"/>
  <c r="BR117" i="19"/>
  <c r="BT117" i="19" s="1"/>
  <c r="BU117" i="19" s="1"/>
  <c r="CF117" i="19"/>
  <c r="CH117" i="19" s="1"/>
  <c r="CI117" i="19" s="1"/>
  <c r="AP117" i="19"/>
  <c r="AR117" i="19" s="1"/>
  <c r="AS117" i="19" s="1"/>
  <c r="BD117" i="19"/>
  <c r="BF117" i="19" s="1"/>
  <c r="BG117" i="19" s="1"/>
  <c r="AB117" i="19"/>
  <c r="AD117" i="19" s="1"/>
  <c r="AE117" i="19" s="1"/>
  <c r="F120" i="19"/>
  <c r="AT117" i="19"/>
  <c r="AV117" i="19" s="1"/>
  <c r="AW117" i="19" s="1"/>
  <c r="CX117" i="19"/>
  <c r="CZ117" i="19" s="1"/>
  <c r="DA117" i="19" s="1"/>
  <c r="AF117" i="19"/>
  <c r="AH117" i="19" s="1"/>
  <c r="AI117" i="19" s="1"/>
  <c r="CJ117" i="19"/>
  <c r="CL117" i="19" s="1"/>
  <c r="CM117" i="19" s="1"/>
  <c r="BV117" i="19"/>
  <c r="BX117" i="19" s="1"/>
  <c r="BY117" i="19" s="1"/>
  <c r="BH117" i="19"/>
  <c r="BJ117" i="19" s="1"/>
  <c r="BK117" i="19" s="1"/>
  <c r="BD203" i="19"/>
  <c r="BF203" i="19" s="1"/>
  <c r="BG203" i="19" s="1"/>
  <c r="BR203" i="19"/>
  <c r="BT203" i="19" s="1"/>
  <c r="BU203" i="19" s="1"/>
  <c r="CT203" i="19"/>
  <c r="CV203" i="19" s="1"/>
  <c r="CW203" i="19" s="1"/>
  <c r="AP203" i="19"/>
  <c r="AR203" i="19" s="1"/>
  <c r="AS203" i="19" s="1"/>
  <c r="AB203" i="19"/>
  <c r="AD203" i="19" s="1"/>
  <c r="AE203" i="19" s="1"/>
  <c r="CF203" i="19"/>
  <c r="CH203" i="19" s="1"/>
  <c r="CI203" i="19" s="1"/>
  <c r="CJ203" i="19"/>
  <c r="CL203" i="19" s="1"/>
  <c r="CM203" i="19" s="1"/>
  <c r="CX203" i="19"/>
  <c r="CZ203" i="19" s="1"/>
  <c r="DA203" i="19" s="1"/>
  <c r="BV203" i="19"/>
  <c r="BX203" i="19" s="1"/>
  <c r="BY203" i="19" s="1"/>
  <c r="AF203" i="19"/>
  <c r="AH203" i="19" s="1"/>
  <c r="AI203" i="19" s="1"/>
  <c r="BH203" i="19"/>
  <c r="BJ203" i="19" s="1"/>
  <c r="BK203" i="19" s="1"/>
  <c r="AT203" i="19"/>
  <c r="AV203" i="19" s="1"/>
  <c r="AW203" i="19" s="1"/>
  <c r="BR290" i="19"/>
  <c r="BT290" i="19" s="1"/>
  <c r="BU290" i="19" s="1"/>
  <c r="CT290" i="19"/>
  <c r="CV290" i="19" s="1"/>
  <c r="CW290" i="19" s="1"/>
  <c r="BD290" i="19"/>
  <c r="BF290" i="19" s="1"/>
  <c r="BG290" i="19" s="1"/>
  <c r="AB290" i="19"/>
  <c r="AD290" i="19" s="1"/>
  <c r="AE290" i="19" s="1"/>
  <c r="CF290" i="19"/>
  <c r="CH290" i="19" s="1"/>
  <c r="CI290" i="19" s="1"/>
  <c r="AP290" i="19"/>
  <c r="AR290" i="19" s="1"/>
  <c r="AS290" i="19" s="1"/>
  <c r="BL202" i="19"/>
  <c r="BN202" i="19" s="1"/>
  <c r="DI202" i="19" s="1"/>
  <c r="F292" i="19"/>
  <c r="AJ202" i="19"/>
  <c r="AL202" i="19" s="1"/>
  <c r="DG202" i="19" s="1"/>
  <c r="G120" i="19"/>
  <c r="C121" i="19"/>
  <c r="DE120" i="19"/>
  <c r="AN120" i="19"/>
  <c r="AQ120" i="19" s="1"/>
  <c r="Z120" i="19"/>
  <c r="AC120" i="19" s="1"/>
  <c r="BB120" i="19"/>
  <c r="BE120" i="19" s="1"/>
  <c r="CR120" i="19"/>
  <c r="CU120" i="19" s="1"/>
  <c r="CD120" i="19"/>
  <c r="CG120" i="19" s="1"/>
  <c r="BP120" i="19"/>
  <c r="BS120" i="19" s="1"/>
  <c r="AP204" i="19"/>
  <c r="AR204" i="19" s="1"/>
  <c r="AS204" i="19" s="1"/>
  <c r="AB204" i="19"/>
  <c r="AD204" i="19" s="1"/>
  <c r="AE204" i="19" s="1"/>
  <c r="CX204" i="19"/>
  <c r="CZ204" i="19" s="1"/>
  <c r="DA204" i="19" s="1"/>
  <c r="BH204" i="19"/>
  <c r="BJ204" i="19" s="1"/>
  <c r="BK204" i="19" s="1"/>
  <c r="AF204" i="19"/>
  <c r="AH204" i="19" s="1"/>
  <c r="AI204" i="19" s="1"/>
  <c r="BV204" i="19"/>
  <c r="BX204" i="19" s="1"/>
  <c r="BY204" i="19" s="1"/>
  <c r="AT204" i="19"/>
  <c r="AV204" i="19" s="1"/>
  <c r="AW204" i="19" s="1"/>
  <c r="CJ204" i="19"/>
  <c r="CL204" i="19" s="1"/>
  <c r="CM204" i="19" s="1"/>
  <c r="G206" i="19"/>
  <c r="C207" i="19"/>
  <c r="DE206" i="19"/>
  <c r="CD206" i="19"/>
  <c r="CG206" i="19" s="1"/>
  <c r="BP206" i="19"/>
  <c r="BS206" i="19" s="1"/>
  <c r="BB206" i="19"/>
  <c r="BE206" i="19" s="1"/>
  <c r="AN206" i="19"/>
  <c r="AQ206" i="19" s="1"/>
  <c r="CR206" i="19"/>
  <c r="CU206" i="19" s="1"/>
  <c r="Z206" i="19"/>
  <c r="AC206" i="19" s="1"/>
  <c r="BD118" i="19"/>
  <c r="BF118" i="19" s="1"/>
  <c r="BG118" i="19" s="1"/>
  <c r="BR118" i="19"/>
  <c r="BT118" i="19" s="1"/>
  <c r="BU118" i="19" s="1"/>
  <c r="AP118" i="19"/>
  <c r="AR118" i="19" s="1"/>
  <c r="AS118" i="19" s="1"/>
  <c r="CT118" i="19"/>
  <c r="CV118" i="19" s="1"/>
  <c r="CW118" i="19" s="1"/>
  <c r="AB118" i="19"/>
  <c r="AD118" i="19" s="1"/>
  <c r="AE118" i="19" s="1"/>
  <c r="CF118" i="19"/>
  <c r="CH118" i="19" s="1"/>
  <c r="CI118" i="19" s="1"/>
  <c r="CF204" i="19" l="1"/>
  <c r="CH204" i="19" s="1"/>
  <c r="CI204" i="19" s="1"/>
  <c r="BR204" i="19"/>
  <c r="BT204" i="19" s="1"/>
  <c r="BU204" i="19" s="1"/>
  <c r="BZ204" i="19" s="1"/>
  <c r="CB204" i="19" s="1"/>
  <c r="CT204" i="19"/>
  <c r="CV204" i="19" s="1"/>
  <c r="CW204" i="19" s="1"/>
  <c r="DB204" i="19" s="1"/>
  <c r="DD204" i="19" s="1"/>
  <c r="BH118" i="19"/>
  <c r="BJ118" i="19" s="1"/>
  <c r="BK118" i="19" s="1"/>
  <c r="BL118" i="19" s="1"/>
  <c r="BN118" i="19" s="1"/>
  <c r="DI118" i="19" s="1"/>
  <c r="AF118" i="19"/>
  <c r="AH118" i="19" s="1"/>
  <c r="AI118" i="19" s="1"/>
  <c r="AJ118" i="19" s="1"/>
  <c r="AL118" i="19" s="1"/>
  <c r="DG118" i="19" s="1"/>
  <c r="CJ118" i="19"/>
  <c r="CL118" i="19" s="1"/>
  <c r="CM118" i="19" s="1"/>
  <c r="CN118" i="19" s="1"/>
  <c r="CP118" i="19" s="1"/>
  <c r="DK118" i="19" s="1"/>
  <c r="AT118" i="19"/>
  <c r="AV118" i="19" s="1"/>
  <c r="AW118" i="19" s="1"/>
  <c r="AX118" i="19" s="1"/>
  <c r="AZ118" i="19" s="1"/>
  <c r="DH118" i="19" s="1"/>
  <c r="BV118" i="19"/>
  <c r="BX118" i="19" s="1"/>
  <c r="BY118" i="19" s="1"/>
  <c r="BZ118" i="19" s="1"/>
  <c r="CB118" i="19" s="1"/>
  <c r="DJ118" i="19" s="1"/>
  <c r="BV290" i="19"/>
  <c r="BX290" i="19" s="1"/>
  <c r="BY290" i="19" s="1"/>
  <c r="BZ290" i="19" s="1"/>
  <c r="CB290" i="19" s="1"/>
  <c r="DJ290" i="19" s="1"/>
  <c r="AF290" i="19"/>
  <c r="AH290" i="19" s="1"/>
  <c r="AI290" i="19" s="1"/>
  <c r="AJ290" i="19" s="1"/>
  <c r="AL290" i="19" s="1"/>
  <c r="DG290" i="19" s="1"/>
  <c r="CX290" i="19"/>
  <c r="CZ290" i="19" s="1"/>
  <c r="DA290" i="19" s="1"/>
  <c r="DB290" i="19" s="1"/>
  <c r="DD290" i="19" s="1"/>
  <c r="DL290" i="19" s="1"/>
  <c r="AT290" i="19"/>
  <c r="AV290" i="19" s="1"/>
  <c r="AW290" i="19" s="1"/>
  <c r="AX290" i="19" s="1"/>
  <c r="AZ290" i="19" s="1"/>
  <c r="DH290" i="19" s="1"/>
  <c r="BH290" i="19"/>
  <c r="BJ290" i="19" s="1"/>
  <c r="BK290" i="19" s="1"/>
  <c r="BL290" i="19" s="1"/>
  <c r="BN290" i="19" s="1"/>
  <c r="DI290" i="19" s="1"/>
  <c r="BL204" i="19"/>
  <c r="BN204" i="19" s="1"/>
  <c r="DI204" i="19" s="1"/>
  <c r="H292" i="19"/>
  <c r="I292" i="19" s="1"/>
  <c r="S292" i="19" s="1"/>
  <c r="U292" i="19" s="1"/>
  <c r="V205" i="19"/>
  <c r="X205" i="19" s="1"/>
  <c r="CJ205" i="19" s="1"/>
  <c r="CL205" i="19" s="1"/>
  <c r="CM205" i="19" s="1"/>
  <c r="I119" i="19"/>
  <c r="S119" i="19" s="1"/>
  <c r="U119" i="19" s="1"/>
  <c r="BR119" i="19" s="1"/>
  <c r="BT119" i="19" s="1"/>
  <c r="BU119" i="19" s="1"/>
  <c r="F207" i="19"/>
  <c r="H206" i="19"/>
  <c r="V206" i="19" s="1"/>
  <c r="X206" i="19" s="1"/>
  <c r="I291" i="19"/>
  <c r="S291" i="19" s="1"/>
  <c r="U291" i="19" s="1"/>
  <c r="CT291" i="19" s="1"/>
  <c r="CV291" i="19" s="1"/>
  <c r="CW291" i="19" s="1"/>
  <c r="AX204" i="19"/>
  <c r="AZ204" i="19" s="1"/>
  <c r="DH204" i="19" s="1"/>
  <c r="AJ204" i="19"/>
  <c r="AL204" i="19" s="1"/>
  <c r="DG204" i="19" s="1"/>
  <c r="CN204" i="19"/>
  <c r="CP204" i="19" s="1"/>
  <c r="BZ117" i="19"/>
  <c r="CB117" i="19" s="1"/>
  <c r="DJ117" i="19" s="1"/>
  <c r="BV119" i="19"/>
  <c r="BX119" i="19" s="1"/>
  <c r="BY119" i="19" s="1"/>
  <c r="CJ119" i="19"/>
  <c r="CL119" i="19" s="1"/>
  <c r="CM119" i="19" s="1"/>
  <c r="AT119" i="19"/>
  <c r="AV119" i="19" s="1"/>
  <c r="AW119" i="19" s="1"/>
  <c r="BH119" i="19"/>
  <c r="BJ119" i="19" s="1"/>
  <c r="BK119" i="19" s="1"/>
  <c r="AF119" i="19"/>
  <c r="AH119" i="19" s="1"/>
  <c r="AI119" i="19" s="1"/>
  <c r="CX119" i="19"/>
  <c r="CZ119" i="19" s="1"/>
  <c r="DA119" i="19" s="1"/>
  <c r="F293" i="19"/>
  <c r="G121" i="19"/>
  <c r="C122" i="19"/>
  <c r="DE121" i="19"/>
  <c r="BP121" i="19"/>
  <c r="BS121" i="19" s="1"/>
  <c r="BB121" i="19"/>
  <c r="BE121" i="19" s="1"/>
  <c r="CR121" i="19"/>
  <c r="CU121" i="19" s="1"/>
  <c r="AN121" i="19"/>
  <c r="AQ121" i="19" s="1"/>
  <c r="Z121" i="19"/>
  <c r="AC121" i="19" s="1"/>
  <c r="CD121" i="19"/>
  <c r="CG121" i="19" s="1"/>
  <c r="BL117" i="19"/>
  <c r="BN117" i="19" s="1"/>
  <c r="DI117" i="19" s="1"/>
  <c r="AX203" i="19"/>
  <c r="AZ203" i="19" s="1"/>
  <c r="DH203" i="19" s="1"/>
  <c r="CN117" i="19"/>
  <c r="CP117" i="19" s="1"/>
  <c r="DK117" i="19" s="1"/>
  <c r="BL203" i="19"/>
  <c r="BN203" i="19" s="1"/>
  <c r="DI203" i="19" s="1"/>
  <c r="AJ117" i="19"/>
  <c r="AL117" i="19" s="1"/>
  <c r="DG117" i="19" s="1"/>
  <c r="CN290" i="19"/>
  <c r="CP290" i="19" s="1"/>
  <c r="DK290" i="19" s="1"/>
  <c r="AJ203" i="19"/>
  <c r="AL203" i="19" s="1"/>
  <c r="DG203" i="19" s="1"/>
  <c r="DB117" i="19"/>
  <c r="DD117" i="19" s="1"/>
  <c r="DL117" i="19" s="1"/>
  <c r="BZ203" i="19"/>
  <c r="CB203" i="19" s="1"/>
  <c r="AX117" i="19"/>
  <c r="AZ117" i="19" s="1"/>
  <c r="DH117" i="19" s="1"/>
  <c r="AP205" i="19"/>
  <c r="AR205" i="19" s="1"/>
  <c r="AS205" i="19" s="1"/>
  <c r="AB205" i="19"/>
  <c r="AD205" i="19" s="1"/>
  <c r="AE205" i="19" s="1"/>
  <c r="BR205" i="19"/>
  <c r="BT205" i="19" s="1"/>
  <c r="BU205" i="19" s="1"/>
  <c r="CT205" i="19"/>
  <c r="CV205" i="19" s="1"/>
  <c r="CW205" i="19" s="1"/>
  <c r="BD205" i="19"/>
  <c r="BF205" i="19" s="1"/>
  <c r="BG205" i="19" s="1"/>
  <c r="CF205" i="19"/>
  <c r="CH205" i="19" s="1"/>
  <c r="CI205" i="19" s="1"/>
  <c r="DB203" i="19"/>
  <c r="DD203" i="19" s="1"/>
  <c r="CN203" i="19"/>
  <c r="CP203" i="19" s="1"/>
  <c r="CX291" i="19"/>
  <c r="CZ291" i="19" s="1"/>
  <c r="DA291" i="19" s="1"/>
  <c r="AT291" i="19"/>
  <c r="AV291" i="19" s="1"/>
  <c r="AW291" i="19" s="1"/>
  <c r="CJ291" i="19"/>
  <c r="CL291" i="19" s="1"/>
  <c r="CM291" i="19" s="1"/>
  <c r="AF291" i="19"/>
  <c r="AH291" i="19" s="1"/>
  <c r="AI291" i="19" s="1"/>
  <c r="BH291" i="19"/>
  <c r="BJ291" i="19" s="1"/>
  <c r="BK291" i="19" s="1"/>
  <c r="BV291" i="19"/>
  <c r="BX291" i="19" s="1"/>
  <c r="BY291" i="19" s="1"/>
  <c r="G293" i="19"/>
  <c r="C294" i="19"/>
  <c r="DE293" i="19"/>
  <c r="CD293" i="19"/>
  <c r="CG293" i="19" s="1"/>
  <c r="BP293" i="19"/>
  <c r="BS293" i="19" s="1"/>
  <c r="BB293" i="19"/>
  <c r="BE293" i="19" s="1"/>
  <c r="AN293" i="19"/>
  <c r="AQ293" i="19" s="1"/>
  <c r="Z293" i="19"/>
  <c r="AC293" i="19" s="1"/>
  <c r="CR293" i="19"/>
  <c r="CU293" i="19" s="1"/>
  <c r="DB118" i="19"/>
  <c r="DD118" i="19" s="1"/>
  <c r="DL118" i="19" s="1"/>
  <c r="G207" i="19"/>
  <c r="C208" i="19"/>
  <c r="DE207" i="19"/>
  <c r="BB207" i="19"/>
  <c r="BE207" i="19" s="1"/>
  <c r="AN207" i="19"/>
  <c r="AQ207" i="19" s="1"/>
  <c r="Z207" i="19"/>
  <c r="AC207" i="19" s="1"/>
  <c r="CR207" i="19"/>
  <c r="CU207" i="19" s="1"/>
  <c r="CD207" i="19"/>
  <c r="CG207" i="19" s="1"/>
  <c r="BP207" i="19"/>
  <c r="BS207" i="19" s="1"/>
  <c r="F121" i="19"/>
  <c r="H120" i="19"/>
  <c r="V292" i="19" l="1"/>
  <c r="X292" i="19" s="1"/>
  <c r="CX292" i="19" s="1"/>
  <c r="CZ292" i="19" s="1"/>
  <c r="DA292" i="19" s="1"/>
  <c r="AP119" i="19"/>
  <c r="AR119" i="19" s="1"/>
  <c r="AS119" i="19" s="1"/>
  <c r="AX119" i="19" s="1"/>
  <c r="AZ119" i="19" s="1"/>
  <c r="DH119" i="19" s="1"/>
  <c r="BD119" i="19"/>
  <c r="BF119" i="19" s="1"/>
  <c r="BG119" i="19" s="1"/>
  <c r="BL119" i="19" s="1"/>
  <c r="BN119" i="19" s="1"/>
  <c r="DI119" i="19" s="1"/>
  <c r="CF119" i="19"/>
  <c r="CH119" i="19" s="1"/>
  <c r="CI119" i="19" s="1"/>
  <c r="CN119" i="19" s="1"/>
  <c r="CP119" i="19" s="1"/>
  <c r="DK119" i="19" s="1"/>
  <c r="BR291" i="19"/>
  <c r="BT291" i="19" s="1"/>
  <c r="BU291" i="19" s="1"/>
  <c r="BZ291" i="19" s="1"/>
  <c r="CB291" i="19" s="1"/>
  <c r="DJ291" i="19" s="1"/>
  <c r="AP291" i="19"/>
  <c r="AR291" i="19" s="1"/>
  <c r="AS291" i="19" s="1"/>
  <c r="AX291" i="19" s="1"/>
  <c r="AZ291" i="19" s="1"/>
  <c r="DH291" i="19" s="1"/>
  <c r="CF291" i="19"/>
  <c r="CH291" i="19" s="1"/>
  <c r="CI291" i="19" s="1"/>
  <c r="CN291" i="19" s="1"/>
  <c r="CP291" i="19" s="1"/>
  <c r="DK291" i="19" s="1"/>
  <c r="BD291" i="19"/>
  <c r="BF291" i="19" s="1"/>
  <c r="BG291" i="19" s="1"/>
  <c r="BL291" i="19" s="1"/>
  <c r="BN291" i="19" s="1"/>
  <c r="DI291" i="19" s="1"/>
  <c r="AB291" i="19"/>
  <c r="AD291" i="19" s="1"/>
  <c r="AE291" i="19" s="1"/>
  <c r="AJ291" i="19" s="1"/>
  <c r="AL291" i="19" s="1"/>
  <c r="DG291" i="19" s="1"/>
  <c r="BH205" i="19"/>
  <c r="BJ205" i="19" s="1"/>
  <c r="BK205" i="19" s="1"/>
  <c r="BL205" i="19" s="1"/>
  <c r="BN205" i="19" s="1"/>
  <c r="DI205" i="19" s="1"/>
  <c r="AT205" i="19"/>
  <c r="AV205" i="19" s="1"/>
  <c r="AW205" i="19" s="1"/>
  <c r="AX205" i="19" s="1"/>
  <c r="AZ205" i="19" s="1"/>
  <c r="DH205" i="19" s="1"/>
  <c r="AF205" i="19"/>
  <c r="AH205" i="19" s="1"/>
  <c r="AI205" i="19" s="1"/>
  <c r="AJ205" i="19" s="1"/>
  <c r="AL205" i="19" s="1"/>
  <c r="DG205" i="19" s="1"/>
  <c r="BV205" i="19"/>
  <c r="BX205" i="19" s="1"/>
  <c r="BY205" i="19" s="1"/>
  <c r="BZ205" i="19" s="1"/>
  <c r="CB205" i="19" s="1"/>
  <c r="AB119" i="19"/>
  <c r="AD119" i="19" s="1"/>
  <c r="AE119" i="19" s="1"/>
  <c r="AJ119" i="19" s="1"/>
  <c r="AL119" i="19" s="1"/>
  <c r="DG119" i="19" s="1"/>
  <c r="CX205" i="19"/>
  <c r="CZ205" i="19" s="1"/>
  <c r="DA205" i="19" s="1"/>
  <c r="DB205" i="19" s="1"/>
  <c r="DD205" i="19" s="1"/>
  <c r="CT119" i="19"/>
  <c r="CV119" i="19" s="1"/>
  <c r="CW119" i="19" s="1"/>
  <c r="DB119" i="19" s="1"/>
  <c r="DD119" i="19" s="1"/>
  <c r="DL119" i="19" s="1"/>
  <c r="H207" i="19"/>
  <c r="V207" i="19" s="1"/>
  <c r="X207" i="19" s="1"/>
  <c r="I206" i="19"/>
  <c r="S206" i="19" s="1"/>
  <c r="U206" i="19" s="1"/>
  <c r="CF206" i="19" s="1"/>
  <c r="CH206" i="19" s="1"/>
  <c r="CI206" i="19" s="1"/>
  <c r="F294" i="19"/>
  <c r="DB291" i="19"/>
  <c r="DD291" i="19" s="1"/>
  <c r="DL291" i="19" s="1"/>
  <c r="H121" i="19"/>
  <c r="V121" i="19" s="1"/>
  <c r="X121" i="19" s="1"/>
  <c r="V120" i="19"/>
  <c r="X120" i="19" s="1"/>
  <c r="I120" i="19"/>
  <c r="S120" i="19" s="1"/>
  <c r="U120" i="19" s="1"/>
  <c r="G208" i="19"/>
  <c r="C209" i="19"/>
  <c r="DE208" i="19"/>
  <c r="BB208" i="19"/>
  <c r="BE208" i="19" s="1"/>
  <c r="AN208" i="19"/>
  <c r="AQ208" i="19" s="1"/>
  <c r="Z208" i="19"/>
  <c r="AC208" i="19" s="1"/>
  <c r="CR208" i="19"/>
  <c r="CU208" i="19" s="1"/>
  <c r="CD208" i="19"/>
  <c r="CG208" i="19" s="1"/>
  <c r="BP208" i="19"/>
  <c r="BS208" i="19" s="1"/>
  <c r="C123" i="19"/>
  <c r="G122" i="19"/>
  <c r="DE122" i="19"/>
  <c r="Z122" i="19"/>
  <c r="AC122" i="19" s="1"/>
  <c r="CR122" i="19"/>
  <c r="CU122" i="19" s="1"/>
  <c r="CD122" i="19"/>
  <c r="CG122" i="19" s="1"/>
  <c r="BP122" i="19"/>
  <c r="BS122" i="19" s="1"/>
  <c r="BB122" i="19"/>
  <c r="BE122" i="19" s="1"/>
  <c r="AN122" i="19"/>
  <c r="AQ122" i="19" s="1"/>
  <c r="CF292" i="19"/>
  <c r="CH292" i="19" s="1"/>
  <c r="CI292" i="19" s="1"/>
  <c r="AP292" i="19"/>
  <c r="AR292" i="19" s="1"/>
  <c r="AS292" i="19" s="1"/>
  <c r="CT292" i="19"/>
  <c r="CV292" i="19" s="1"/>
  <c r="CW292" i="19" s="1"/>
  <c r="BD292" i="19"/>
  <c r="BF292" i="19" s="1"/>
  <c r="BG292" i="19" s="1"/>
  <c r="BR292" i="19"/>
  <c r="BT292" i="19" s="1"/>
  <c r="BU292" i="19" s="1"/>
  <c r="AB292" i="19"/>
  <c r="AD292" i="19" s="1"/>
  <c r="AE292" i="19" s="1"/>
  <c r="H293" i="19"/>
  <c r="BV292" i="19"/>
  <c r="BX292" i="19" s="1"/>
  <c r="BY292" i="19" s="1"/>
  <c r="AT292" i="19"/>
  <c r="AV292" i="19" s="1"/>
  <c r="AW292" i="19" s="1"/>
  <c r="CJ292" i="19"/>
  <c r="CL292" i="19" s="1"/>
  <c r="CM292" i="19" s="1"/>
  <c r="BH292" i="19"/>
  <c r="BJ292" i="19" s="1"/>
  <c r="BK292" i="19" s="1"/>
  <c r="AF292" i="19"/>
  <c r="AH292" i="19" s="1"/>
  <c r="AI292" i="19" s="1"/>
  <c r="F208" i="19"/>
  <c r="CN205" i="19"/>
  <c r="CP205" i="19" s="1"/>
  <c r="F122" i="19"/>
  <c r="G294" i="19"/>
  <c r="C295" i="19"/>
  <c r="DE294" i="19"/>
  <c r="BB294" i="19"/>
  <c r="BE294" i="19" s="1"/>
  <c r="AN294" i="19"/>
  <c r="AQ294" i="19" s="1"/>
  <c r="Z294" i="19"/>
  <c r="AC294" i="19" s="1"/>
  <c r="CR294" i="19"/>
  <c r="CU294" i="19" s="1"/>
  <c r="BP294" i="19"/>
  <c r="BS294" i="19" s="1"/>
  <c r="CD294" i="19"/>
  <c r="CG294" i="19" s="1"/>
  <c r="BZ119" i="19"/>
  <c r="CB119" i="19" s="1"/>
  <c r="DJ119" i="19" s="1"/>
  <c r="CJ206" i="19"/>
  <c r="CL206" i="19" s="1"/>
  <c r="CM206" i="19" s="1"/>
  <c r="BH206" i="19"/>
  <c r="BJ206" i="19" s="1"/>
  <c r="BK206" i="19" s="1"/>
  <c r="AT206" i="19"/>
  <c r="AV206" i="19" s="1"/>
  <c r="AW206" i="19" s="1"/>
  <c r="BV206" i="19"/>
  <c r="BX206" i="19" s="1"/>
  <c r="BY206" i="19" s="1"/>
  <c r="CX206" i="19"/>
  <c r="CZ206" i="19" s="1"/>
  <c r="DA206" i="19" s="1"/>
  <c r="AF206" i="19"/>
  <c r="AH206" i="19" s="1"/>
  <c r="AI206" i="19" s="1"/>
  <c r="BD206" i="19" l="1"/>
  <c r="BF206" i="19" s="1"/>
  <c r="BG206" i="19" s="1"/>
  <c r="BL206" i="19" s="1"/>
  <c r="BN206" i="19" s="1"/>
  <c r="DI206" i="19" s="1"/>
  <c r="AP206" i="19"/>
  <c r="AR206" i="19" s="1"/>
  <c r="AS206" i="19" s="1"/>
  <c r="AX206" i="19" s="1"/>
  <c r="AZ206" i="19" s="1"/>
  <c r="DH206" i="19" s="1"/>
  <c r="H294" i="19"/>
  <c r="V294" i="19" s="1"/>
  <c r="X294" i="19" s="1"/>
  <c r="CT206" i="19"/>
  <c r="CV206" i="19" s="1"/>
  <c r="CW206" i="19" s="1"/>
  <c r="DB206" i="19" s="1"/>
  <c r="DD206" i="19" s="1"/>
  <c r="AB206" i="19"/>
  <c r="AD206" i="19" s="1"/>
  <c r="AE206" i="19" s="1"/>
  <c r="AJ206" i="19" s="1"/>
  <c r="AL206" i="19" s="1"/>
  <c r="DG206" i="19" s="1"/>
  <c r="BR206" i="19"/>
  <c r="BT206" i="19" s="1"/>
  <c r="BU206" i="19" s="1"/>
  <c r="BZ206" i="19" s="1"/>
  <c r="CB206" i="19" s="1"/>
  <c r="F295" i="19"/>
  <c r="I207" i="19"/>
  <c r="S207" i="19" s="1"/>
  <c r="U207" i="19" s="1"/>
  <c r="AB207" i="19" s="1"/>
  <c r="AD207" i="19" s="1"/>
  <c r="AE207" i="19" s="1"/>
  <c r="I121" i="19"/>
  <c r="S121" i="19" s="1"/>
  <c r="U121" i="19" s="1"/>
  <c r="CT121" i="19" s="1"/>
  <c r="CV121" i="19" s="1"/>
  <c r="CW121" i="19" s="1"/>
  <c r="H208" i="19"/>
  <c r="V208" i="19" s="1"/>
  <c r="X208" i="19" s="1"/>
  <c r="H122" i="19"/>
  <c r="V122" i="19" s="1"/>
  <c r="X122" i="19" s="1"/>
  <c r="G123" i="19"/>
  <c r="C124" i="19"/>
  <c r="DE123" i="19"/>
  <c r="BP123" i="19"/>
  <c r="BS123" i="19" s="1"/>
  <c r="BB123" i="19"/>
  <c r="BE123" i="19" s="1"/>
  <c r="AN123" i="19"/>
  <c r="AQ123" i="19" s="1"/>
  <c r="Z123" i="19"/>
  <c r="AC123" i="19" s="1"/>
  <c r="CR123" i="19"/>
  <c r="CU123" i="19" s="1"/>
  <c r="CD123" i="19"/>
  <c r="CG123" i="19" s="1"/>
  <c r="F209" i="19"/>
  <c r="BH121" i="19"/>
  <c r="BJ121" i="19" s="1"/>
  <c r="BK121" i="19" s="1"/>
  <c r="AT121" i="19"/>
  <c r="AV121" i="19" s="1"/>
  <c r="AW121" i="19" s="1"/>
  <c r="BV121" i="19"/>
  <c r="BX121" i="19" s="1"/>
  <c r="BY121" i="19" s="1"/>
  <c r="CJ121" i="19"/>
  <c r="CL121" i="19" s="1"/>
  <c r="CM121" i="19" s="1"/>
  <c r="CX121" i="19"/>
  <c r="CZ121" i="19" s="1"/>
  <c r="DA121" i="19" s="1"/>
  <c r="AF121" i="19"/>
  <c r="AH121" i="19" s="1"/>
  <c r="AI121" i="19" s="1"/>
  <c r="F123" i="19"/>
  <c r="AJ292" i="19"/>
  <c r="AL292" i="19" s="1"/>
  <c r="DG292" i="19" s="1"/>
  <c r="BL292" i="19"/>
  <c r="BN292" i="19" s="1"/>
  <c r="DI292" i="19" s="1"/>
  <c r="G209" i="19"/>
  <c r="C210" i="19"/>
  <c r="DE209" i="19"/>
  <c r="Z209" i="19"/>
  <c r="AC209" i="19" s="1"/>
  <c r="CR209" i="19"/>
  <c r="CU209" i="19" s="1"/>
  <c r="CD209" i="19"/>
  <c r="CG209" i="19" s="1"/>
  <c r="BP209" i="19"/>
  <c r="BS209" i="19" s="1"/>
  <c r="BB209" i="19"/>
  <c r="BE209" i="19" s="1"/>
  <c r="AN209" i="19"/>
  <c r="AQ209" i="19" s="1"/>
  <c r="DB292" i="19"/>
  <c r="DD292" i="19" s="1"/>
  <c r="DL292" i="19" s="1"/>
  <c r="CN206" i="19"/>
  <c r="CP206" i="19" s="1"/>
  <c r="G295" i="19"/>
  <c r="C296" i="19"/>
  <c r="DE295" i="19"/>
  <c r="Z295" i="19"/>
  <c r="AC295" i="19" s="1"/>
  <c r="CR295" i="19"/>
  <c r="CU295" i="19" s="1"/>
  <c r="BP295" i="19"/>
  <c r="BS295" i="19" s="1"/>
  <c r="CD295" i="19"/>
  <c r="CG295" i="19" s="1"/>
  <c r="BB295" i="19"/>
  <c r="BE295" i="19" s="1"/>
  <c r="AN295" i="19"/>
  <c r="AQ295" i="19" s="1"/>
  <c r="CN292" i="19"/>
  <c r="CP292" i="19" s="1"/>
  <c r="DK292" i="19" s="1"/>
  <c r="AB120" i="19"/>
  <c r="AD120" i="19" s="1"/>
  <c r="AE120" i="19" s="1"/>
  <c r="AP120" i="19"/>
  <c r="AR120" i="19" s="1"/>
  <c r="AS120" i="19" s="1"/>
  <c r="BD120" i="19"/>
  <c r="BF120" i="19" s="1"/>
  <c r="BG120" i="19" s="1"/>
  <c r="CF120" i="19"/>
  <c r="CH120" i="19" s="1"/>
  <c r="CI120" i="19" s="1"/>
  <c r="BR120" i="19"/>
  <c r="BT120" i="19" s="1"/>
  <c r="BU120" i="19" s="1"/>
  <c r="CT120" i="19"/>
  <c r="CV120" i="19" s="1"/>
  <c r="CW120" i="19" s="1"/>
  <c r="AX292" i="19"/>
  <c r="AZ292" i="19" s="1"/>
  <c r="DH292" i="19" s="1"/>
  <c r="AF120" i="19"/>
  <c r="AH120" i="19" s="1"/>
  <c r="AI120" i="19" s="1"/>
  <c r="BV120" i="19"/>
  <c r="BX120" i="19" s="1"/>
  <c r="BY120" i="19" s="1"/>
  <c r="BH120" i="19"/>
  <c r="BJ120" i="19" s="1"/>
  <c r="BK120" i="19" s="1"/>
  <c r="CX120" i="19"/>
  <c r="CZ120" i="19" s="1"/>
  <c r="DA120" i="19" s="1"/>
  <c r="AT120" i="19"/>
  <c r="AV120" i="19" s="1"/>
  <c r="AW120" i="19" s="1"/>
  <c r="CJ120" i="19"/>
  <c r="CL120" i="19" s="1"/>
  <c r="CM120" i="19" s="1"/>
  <c r="BZ292" i="19"/>
  <c r="CB292" i="19" s="1"/>
  <c r="DJ292" i="19" s="1"/>
  <c r="V293" i="19"/>
  <c r="X293" i="19" s="1"/>
  <c r="I293" i="19"/>
  <c r="S293" i="19" s="1"/>
  <c r="U293" i="19" s="1"/>
  <c r="AT207" i="19"/>
  <c r="AV207" i="19" s="1"/>
  <c r="AW207" i="19" s="1"/>
  <c r="BV207" i="19"/>
  <c r="BX207" i="19" s="1"/>
  <c r="BY207" i="19" s="1"/>
  <c r="BH207" i="19"/>
  <c r="BJ207" i="19" s="1"/>
  <c r="BK207" i="19" s="1"/>
  <c r="CJ207" i="19"/>
  <c r="CL207" i="19" s="1"/>
  <c r="CM207" i="19" s="1"/>
  <c r="CX207" i="19"/>
  <c r="CZ207" i="19" s="1"/>
  <c r="DA207" i="19" s="1"/>
  <c r="AF207" i="19"/>
  <c r="AH207" i="19" s="1"/>
  <c r="AI207" i="19" s="1"/>
  <c r="I294" i="19" l="1"/>
  <c r="S294" i="19" s="1"/>
  <c r="U294" i="19" s="1"/>
  <c r="CT294" i="19" s="1"/>
  <c r="CV294" i="19" s="1"/>
  <c r="CW294" i="19" s="1"/>
  <c r="H295" i="19"/>
  <c r="V295" i="19" s="1"/>
  <c r="X295" i="19" s="1"/>
  <c r="I122" i="19"/>
  <c r="S122" i="19" s="1"/>
  <c r="U122" i="19" s="1"/>
  <c r="CF122" i="19" s="1"/>
  <c r="CH122" i="19" s="1"/>
  <c r="CI122" i="19" s="1"/>
  <c r="CF207" i="19"/>
  <c r="CH207" i="19" s="1"/>
  <c r="CI207" i="19" s="1"/>
  <c r="CN207" i="19" s="1"/>
  <c r="CP207" i="19" s="1"/>
  <c r="BR207" i="19"/>
  <c r="BT207" i="19" s="1"/>
  <c r="BU207" i="19" s="1"/>
  <c r="BZ207" i="19" s="1"/>
  <c r="CB207" i="19" s="1"/>
  <c r="AP207" i="19"/>
  <c r="AR207" i="19" s="1"/>
  <c r="AS207" i="19" s="1"/>
  <c r="AX207" i="19" s="1"/>
  <c r="AZ207" i="19" s="1"/>
  <c r="DH207" i="19" s="1"/>
  <c r="BD207" i="19"/>
  <c r="BF207" i="19" s="1"/>
  <c r="BG207" i="19" s="1"/>
  <c r="BL207" i="19" s="1"/>
  <c r="BN207" i="19" s="1"/>
  <c r="DI207" i="19" s="1"/>
  <c r="CT207" i="19"/>
  <c r="CV207" i="19" s="1"/>
  <c r="CW207" i="19" s="1"/>
  <c r="DB207" i="19" s="1"/>
  <c r="DD207" i="19" s="1"/>
  <c r="AP121" i="19"/>
  <c r="AR121" i="19" s="1"/>
  <c r="AS121" i="19" s="1"/>
  <c r="AX121" i="19" s="1"/>
  <c r="AZ121" i="19" s="1"/>
  <c r="DH121" i="19" s="1"/>
  <c r="BR121" i="19"/>
  <c r="BT121" i="19" s="1"/>
  <c r="BU121" i="19" s="1"/>
  <c r="BZ121" i="19" s="1"/>
  <c r="CB121" i="19" s="1"/>
  <c r="DJ121" i="19" s="1"/>
  <c r="BD121" i="19"/>
  <c r="BF121" i="19" s="1"/>
  <c r="BG121" i="19" s="1"/>
  <c r="BL121" i="19" s="1"/>
  <c r="BN121" i="19" s="1"/>
  <c r="DI121" i="19" s="1"/>
  <c r="AB121" i="19"/>
  <c r="AD121" i="19" s="1"/>
  <c r="AE121" i="19" s="1"/>
  <c r="AJ121" i="19" s="1"/>
  <c r="AL121" i="19" s="1"/>
  <c r="DG121" i="19" s="1"/>
  <c r="CF121" i="19"/>
  <c r="CH121" i="19" s="1"/>
  <c r="CI121" i="19" s="1"/>
  <c r="CN121" i="19" s="1"/>
  <c r="CP121" i="19" s="1"/>
  <c r="DK121" i="19" s="1"/>
  <c r="I208" i="19"/>
  <c r="S208" i="19" s="1"/>
  <c r="U208" i="19" s="1"/>
  <c r="AP208" i="19" s="1"/>
  <c r="AR208" i="19" s="1"/>
  <c r="AS208" i="19" s="1"/>
  <c r="H123" i="19"/>
  <c r="V123" i="19" s="1"/>
  <c r="X123" i="19" s="1"/>
  <c r="F210" i="19"/>
  <c r="H209" i="19"/>
  <c r="V209" i="19" s="1"/>
  <c r="X209" i="19" s="1"/>
  <c r="AT293" i="19"/>
  <c r="AV293" i="19" s="1"/>
  <c r="AW293" i="19" s="1"/>
  <c r="BV293" i="19"/>
  <c r="BX293" i="19" s="1"/>
  <c r="BY293" i="19" s="1"/>
  <c r="CJ293" i="19"/>
  <c r="CL293" i="19" s="1"/>
  <c r="CM293" i="19" s="1"/>
  <c r="CX293" i="19"/>
  <c r="CZ293" i="19" s="1"/>
  <c r="DA293" i="19" s="1"/>
  <c r="BH293" i="19"/>
  <c r="BJ293" i="19" s="1"/>
  <c r="BK293" i="19" s="1"/>
  <c r="AF293" i="19"/>
  <c r="AH293" i="19" s="1"/>
  <c r="AI293" i="19" s="1"/>
  <c r="G296" i="19"/>
  <c r="C297" i="19"/>
  <c r="DE296" i="19"/>
  <c r="CD296" i="19"/>
  <c r="CG296" i="19" s="1"/>
  <c r="BP296" i="19"/>
  <c r="BS296" i="19" s="1"/>
  <c r="BB296" i="19"/>
  <c r="BE296" i="19" s="1"/>
  <c r="AN296" i="19"/>
  <c r="AQ296" i="19" s="1"/>
  <c r="Z296" i="19"/>
  <c r="AC296" i="19" s="1"/>
  <c r="CR296" i="19"/>
  <c r="CU296" i="19" s="1"/>
  <c r="AF122" i="19"/>
  <c r="AH122" i="19" s="1"/>
  <c r="AI122" i="19" s="1"/>
  <c r="BV122" i="19"/>
  <c r="BX122" i="19" s="1"/>
  <c r="BY122" i="19" s="1"/>
  <c r="BH122" i="19"/>
  <c r="BJ122" i="19" s="1"/>
  <c r="BK122" i="19" s="1"/>
  <c r="CJ122" i="19"/>
  <c r="CL122" i="19" s="1"/>
  <c r="CM122" i="19" s="1"/>
  <c r="AT122" i="19"/>
  <c r="AV122" i="19" s="1"/>
  <c r="AW122" i="19" s="1"/>
  <c r="CX122" i="19"/>
  <c r="CZ122" i="19" s="1"/>
  <c r="DA122" i="19" s="1"/>
  <c r="CX208" i="19"/>
  <c r="CZ208" i="19" s="1"/>
  <c r="DA208" i="19" s="1"/>
  <c r="BH208" i="19"/>
  <c r="BJ208" i="19" s="1"/>
  <c r="BK208" i="19" s="1"/>
  <c r="AT208" i="19"/>
  <c r="AV208" i="19" s="1"/>
  <c r="AW208" i="19" s="1"/>
  <c r="CJ208" i="19"/>
  <c r="CL208" i="19" s="1"/>
  <c r="CM208" i="19" s="1"/>
  <c r="BV208" i="19"/>
  <c r="BX208" i="19" s="1"/>
  <c r="BY208" i="19" s="1"/>
  <c r="AF208" i="19"/>
  <c r="AH208" i="19" s="1"/>
  <c r="AI208" i="19" s="1"/>
  <c r="DB121" i="19"/>
  <c r="DD121" i="19" s="1"/>
  <c r="DL121" i="19" s="1"/>
  <c r="F124" i="19"/>
  <c r="F296" i="19"/>
  <c r="AJ207" i="19"/>
  <c r="AL207" i="19" s="1"/>
  <c r="DG207" i="19" s="1"/>
  <c r="CN120" i="19"/>
  <c r="CP120" i="19" s="1"/>
  <c r="DK120" i="19" s="1"/>
  <c r="AX120" i="19"/>
  <c r="AZ120" i="19" s="1"/>
  <c r="DH120" i="19" s="1"/>
  <c r="CJ294" i="19"/>
  <c r="CL294" i="19" s="1"/>
  <c r="CM294" i="19" s="1"/>
  <c r="BV294" i="19"/>
  <c r="BX294" i="19" s="1"/>
  <c r="BY294" i="19" s="1"/>
  <c r="BH294" i="19"/>
  <c r="BJ294" i="19" s="1"/>
  <c r="BK294" i="19" s="1"/>
  <c r="AT294" i="19"/>
  <c r="AV294" i="19" s="1"/>
  <c r="AW294" i="19" s="1"/>
  <c r="CX294" i="19"/>
  <c r="CZ294" i="19" s="1"/>
  <c r="DA294" i="19" s="1"/>
  <c r="AF294" i="19"/>
  <c r="AH294" i="19" s="1"/>
  <c r="AI294" i="19" s="1"/>
  <c r="DB120" i="19"/>
  <c r="DD120" i="19" s="1"/>
  <c r="DL120" i="19" s="1"/>
  <c r="BL120" i="19"/>
  <c r="BN120" i="19" s="1"/>
  <c r="DI120" i="19" s="1"/>
  <c r="C211" i="19"/>
  <c r="G210" i="19"/>
  <c r="DE210" i="19"/>
  <c r="BB210" i="19"/>
  <c r="BE210" i="19" s="1"/>
  <c r="AN210" i="19"/>
  <c r="AQ210" i="19" s="1"/>
  <c r="Z210" i="19"/>
  <c r="AC210" i="19" s="1"/>
  <c r="CR210" i="19"/>
  <c r="CU210" i="19" s="1"/>
  <c r="CD210" i="19"/>
  <c r="CG210" i="19" s="1"/>
  <c r="BP210" i="19"/>
  <c r="BS210" i="19" s="1"/>
  <c r="BZ120" i="19"/>
  <c r="CB120" i="19" s="1"/>
  <c r="DJ120" i="19" s="1"/>
  <c r="G124" i="19"/>
  <c r="C125" i="19"/>
  <c r="DE124" i="19"/>
  <c r="Z124" i="19"/>
  <c r="AC124" i="19" s="1"/>
  <c r="CR124" i="19"/>
  <c r="CU124" i="19" s="1"/>
  <c r="AN124" i="19"/>
  <c r="AQ124" i="19" s="1"/>
  <c r="CD124" i="19"/>
  <c r="CG124" i="19" s="1"/>
  <c r="BP124" i="19"/>
  <c r="BS124" i="19" s="1"/>
  <c r="BB124" i="19"/>
  <c r="BE124" i="19" s="1"/>
  <c r="BD293" i="19"/>
  <c r="BF293" i="19" s="1"/>
  <c r="BG293" i="19" s="1"/>
  <c r="BR293" i="19"/>
  <c r="BT293" i="19" s="1"/>
  <c r="BU293" i="19" s="1"/>
  <c r="AB293" i="19"/>
  <c r="AD293" i="19" s="1"/>
  <c r="AE293" i="19" s="1"/>
  <c r="CF293" i="19"/>
  <c r="CH293" i="19" s="1"/>
  <c r="CI293" i="19" s="1"/>
  <c r="AP293" i="19"/>
  <c r="AR293" i="19" s="1"/>
  <c r="AS293" i="19" s="1"/>
  <c r="CT293" i="19"/>
  <c r="CV293" i="19" s="1"/>
  <c r="CW293" i="19" s="1"/>
  <c r="AJ120" i="19"/>
  <c r="AL120" i="19" s="1"/>
  <c r="DG120" i="19" s="1"/>
  <c r="AB294" i="19" l="1"/>
  <c r="AD294" i="19" s="1"/>
  <c r="AE294" i="19" s="1"/>
  <c r="AJ294" i="19" s="1"/>
  <c r="AL294" i="19" s="1"/>
  <c r="DG294" i="19" s="1"/>
  <c r="AP294" i="19"/>
  <c r="AR294" i="19" s="1"/>
  <c r="AS294" i="19" s="1"/>
  <c r="AX294" i="19" s="1"/>
  <c r="AZ294" i="19" s="1"/>
  <c r="DH294" i="19" s="1"/>
  <c r="BR294" i="19"/>
  <c r="BT294" i="19" s="1"/>
  <c r="BU294" i="19" s="1"/>
  <c r="BZ294" i="19" s="1"/>
  <c r="CB294" i="19" s="1"/>
  <c r="DJ294" i="19" s="1"/>
  <c r="CF294" i="19"/>
  <c r="CH294" i="19" s="1"/>
  <c r="CI294" i="19" s="1"/>
  <c r="BD294" i="19"/>
  <c r="BF294" i="19" s="1"/>
  <c r="BG294" i="19" s="1"/>
  <c r="BL294" i="19" s="1"/>
  <c r="BN294" i="19" s="1"/>
  <c r="DI294" i="19" s="1"/>
  <c r="I295" i="19"/>
  <c r="S295" i="19" s="1"/>
  <c r="U295" i="19" s="1"/>
  <c r="CF295" i="19" s="1"/>
  <c r="CH295" i="19" s="1"/>
  <c r="CI295" i="19" s="1"/>
  <c r="BR122" i="19"/>
  <c r="BT122" i="19" s="1"/>
  <c r="BU122" i="19" s="1"/>
  <c r="BZ122" i="19" s="1"/>
  <c r="CB122" i="19" s="1"/>
  <c r="DJ122" i="19" s="1"/>
  <c r="BD122" i="19"/>
  <c r="BF122" i="19" s="1"/>
  <c r="BG122" i="19" s="1"/>
  <c r="BL122" i="19" s="1"/>
  <c r="BN122" i="19" s="1"/>
  <c r="DI122" i="19" s="1"/>
  <c r="F125" i="19"/>
  <c r="AP122" i="19"/>
  <c r="AR122" i="19" s="1"/>
  <c r="AS122" i="19" s="1"/>
  <c r="AX122" i="19" s="1"/>
  <c r="AZ122" i="19" s="1"/>
  <c r="DH122" i="19" s="1"/>
  <c r="AB122" i="19"/>
  <c r="AD122" i="19" s="1"/>
  <c r="AE122" i="19" s="1"/>
  <c r="AJ122" i="19" s="1"/>
  <c r="AL122" i="19" s="1"/>
  <c r="DG122" i="19" s="1"/>
  <c r="CT122" i="19"/>
  <c r="CV122" i="19" s="1"/>
  <c r="CW122" i="19" s="1"/>
  <c r="DB122" i="19" s="1"/>
  <c r="DD122" i="19" s="1"/>
  <c r="DL122" i="19" s="1"/>
  <c r="AB208" i="19"/>
  <c r="AD208" i="19" s="1"/>
  <c r="AE208" i="19" s="1"/>
  <c r="AJ208" i="19" s="1"/>
  <c r="AL208" i="19" s="1"/>
  <c r="DG208" i="19" s="1"/>
  <c r="BD208" i="19"/>
  <c r="BF208" i="19" s="1"/>
  <c r="BG208" i="19" s="1"/>
  <c r="BL208" i="19" s="1"/>
  <c r="BN208" i="19" s="1"/>
  <c r="DI208" i="19" s="1"/>
  <c r="BR208" i="19"/>
  <c r="BT208" i="19" s="1"/>
  <c r="BU208" i="19" s="1"/>
  <c r="BZ208" i="19" s="1"/>
  <c r="CB208" i="19" s="1"/>
  <c r="CF208" i="19"/>
  <c r="CH208" i="19" s="1"/>
  <c r="CI208" i="19" s="1"/>
  <c r="CN208" i="19" s="1"/>
  <c r="CP208" i="19" s="1"/>
  <c r="CT208" i="19"/>
  <c r="CV208" i="19" s="1"/>
  <c r="CW208" i="19" s="1"/>
  <c r="DB208" i="19" s="1"/>
  <c r="DD208" i="19" s="1"/>
  <c r="H210" i="19"/>
  <c r="V210" i="19" s="1"/>
  <c r="X210" i="19" s="1"/>
  <c r="I123" i="19"/>
  <c r="S123" i="19" s="1"/>
  <c r="U123" i="19" s="1"/>
  <c r="CT123" i="19" s="1"/>
  <c r="CV123" i="19" s="1"/>
  <c r="CW123" i="19" s="1"/>
  <c r="AX208" i="19"/>
  <c r="AZ208" i="19" s="1"/>
  <c r="DH208" i="19" s="1"/>
  <c r="I209" i="19"/>
  <c r="S209" i="19" s="1"/>
  <c r="U209" i="19" s="1"/>
  <c r="CF209" i="19" s="1"/>
  <c r="CH209" i="19" s="1"/>
  <c r="CI209" i="19" s="1"/>
  <c r="CN122" i="19"/>
  <c r="CP122" i="19" s="1"/>
  <c r="DK122" i="19" s="1"/>
  <c r="CN294" i="19"/>
  <c r="CP294" i="19" s="1"/>
  <c r="DK294" i="19" s="1"/>
  <c r="BH209" i="19"/>
  <c r="BJ209" i="19" s="1"/>
  <c r="BK209" i="19" s="1"/>
  <c r="BV209" i="19"/>
  <c r="BX209" i="19" s="1"/>
  <c r="BY209" i="19" s="1"/>
  <c r="AT209" i="19"/>
  <c r="AV209" i="19" s="1"/>
  <c r="AW209" i="19" s="1"/>
  <c r="AF209" i="19"/>
  <c r="AH209" i="19" s="1"/>
  <c r="AI209" i="19" s="1"/>
  <c r="CJ209" i="19"/>
  <c r="CL209" i="19" s="1"/>
  <c r="CM209" i="19" s="1"/>
  <c r="CX209" i="19"/>
  <c r="CZ209" i="19" s="1"/>
  <c r="DA209" i="19" s="1"/>
  <c r="G297" i="19"/>
  <c r="C298" i="19"/>
  <c r="DE297" i="19"/>
  <c r="BB297" i="19"/>
  <c r="BE297" i="19" s="1"/>
  <c r="BP297" i="19"/>
  <c r="BS297" i="19" s="1"/>
  <c r="AN297" i="19"/>
  <c r="AQ297" i="19" s="1"/>
  <c r="CR297" i="19"/>
  <c r="CU297" i="19" s="1"/>
  <c r="CD297" i="19"/>
  <c r="CG297" i="19" s="1"/>
  <c r="Z297" i="19"/>
  <c r="AC297" i="19" s="1"/>
  <c r="G211" i="19"/>
  <c r="C212" i="19"/>
  <c r="DE211" i="19"/>
  <c r="AN211" i="19"/>
  <c r="AQ211" i="19" s="1"/>
  <c r="BP211" i="19"/>
  <c r="BS211" i="19" s="1"/>
  <c r="BB211" i="19"/>
  <c r="BE211" i="19" s="1"/>
  <c r="Z211" i="19"/>
  <c r="AC211" i="19" s="1"/>
  <c r="CR211" i="19"/>
  <c r="CU211" i="19" s="1"/>
  <c r="CD211" i="19"/>
  <c r="CG211" i="19" s="1"/>
  <c r="AJ293" i="19"/>
  <c r="AL293" i="19" s="1"/>
  <c r="DG293" i="19" s="1"/>
  <c r="BL293" i="19"/>
  <c r="BN293" i="19" s="1"/>
  <c r="DI293" i="19" s="1"/>
  <c r="G125" i="19"/>
  <c r="C126" i="19"/>
  <c r="DE125" i="19"/>
  <c r="CD125" i="19"/>
  <c r="CG125" i="19" s="1"/>
  <c r="BP125" i="19"/>
  <c r="BS125" i="19" s="1"/>
  <c r="BB125" i="19"/>
  <c r="BE125" i="19" s="1"/>
  <c r="AN125" i="19"/>
  <c r="AQ125" i="19" s="1"/>
  <c r="Z125" i="19"/>
  <c r="AC125" i="19" s="1"/>
  <c r="CR125" i="19"/>
  <c r="CU125" i="19" s="1"/>
  <c r="DB293" i="19"/>
  <c r="DD293" i="19" s="1"/>
  <c r="DL293" i="19" s="1"/>
  <c r="CJ123" i="19"/>
  <c r="CL123" i="19" s="1"/>
  <c r="CM123" i="19" s="1"/>
  <c r="CX123" i="19"/>
  <c r="CZ123" i="19" s="1"/>
  <c r="DA123" i="19" s="1"/>
  <c r="AF123" i="19"/>
  <c r="AH123" i="19" s="1"/>
  <c r="AI123" i="19" s="1"/>
  <c r="BH123" i="19"/>
  <c r="BJ123" i="19" s="1"/>
  <c r="BK123" i="19" s="1"/>
  <c r="BV123" i="19"/>
  <c r="BX123" i="19" s="1"/>
  <c r="BY123" i="19" s="1"/>
  <c r="AT123" i="19"/>
  <c r="AV123" i="19" s="1"/>
  <c r="AW123" i="19" s="1"/>
  <c r="CN293" i="19"/>
  <c r="CP293" i="19" s="1"/>
  <c r="DK293" i="19" s="1"/>
  <c r="BZ293" i="19"/>
  <c r="CB293" i="19" s="1"/>
  <c r="DJ293" i="19" s="1"/>
  <c r="DB294" i="19"/>
  <c r="DD294" i="19" s="1"/>
  <c r="DL294" i="19" s="1"/>
  <c r="H296" i="19"/>
  <c r="AX293" i="19"/>
  <c r="AZ293" i="19" s="1"/>
  <c r="DH293" i="19" s="1"/>
  <c r="F211" i="19"/>
  <c r="F297" i="19"/>
  <c r="H124" i="19"/>
  <c r="BH295" i="19"/>
  <c r="BJ295" i="19" s="1"/>
  <c r="BK295" i="19" s="1"/>
  <c r="CX295" i="19"/>
  <c r="CZ295" i="19" s="1"/>
  <c r="DA295" i="19" s="1"/>
  <c r="BV295" i="19"/>
  <c r="BX295" i="19" s="1"/>
  <c r="BY295" i="19" s="1"/>
  <c r="CJ295" i="19"/>
  <c r="CL295" i="19" s="1"/>
  <c r="CM295" i="19" s="1"/>
  <c r="AF295" i="19"/>
  <c r="AH295" i="19" s="1"/>
  <c r="AI295" i="19" s="1"/>
  <c r="AT295" i="19"/>
  <c r="AV295" i="19" s="1"/>
  <c r="AW295" i="19" s="1"/>
  <c r="BD295" i="19" l="1"/>
  <c r="BF295" i="19" s="1"/>
  <c r="BG295" i="19" s="1"/>
  <c r="BL295" i="19" s="1"/>
  <c r="BN295" i="19" s="1"/>
  <c r="DI295" i="19" s="1"/>
  <c r="AP295" i="19"/>
  <c r="AR295" i="19" s="1"/>
  <c r="AS295" i="19" s="1"/>
  <c r="AB295" i="19"/>
  <c r="AD295" i="19" s="1"/>
  <c r="AE295" i="19" s="1"/>
  <c r="AJ295" i="19" s="1"/>
  <c r="AL295" i="19" s="1"/>
  <c r="DG295" i="19" s="1"/>
  <c r="CT295" i="19"/>
  <c r="CV295" i="19" s="1"/>
  <c r="CW295" i="19" s="1"/>
  <c r="BR295" i="19"/>
  <c r="BT295" i="19" s="1"/>
  <c r="BU295" i="19" s="1"/>
  <c r="H125" i="19"/>
  <c r="I125" i="19" s="1"/>
  <c r="S125" i="19" s="1"/>
  <c r="U125" i="19" s="1"/>
  <c r="I210" i="19"/>
  <c r="S210" i="19" s="1"/>
  <c r="U210" i="19" s="1"/>
  <c r="AP210" i="19" s="1"/>
  <c r="AR210" i="19" s="1"/>
  <c r="AS210" i="19" s="1"/>
  <c r="BD123" i="19"/>
  <c r="BF123" i="19" s="1"/>
  <c r="BG123" i="19" s="1"/>
  <c r="BL123" i="19" s="1"/>
  <c r="BN123" i="19" s="1"/>
  <c r="DI123" i="19" s="1"/>
  <c r="BR123" i="19"/>
  <c r="BT123" i="19" s="1"/>
  <c r="BU123" i="19" s="1"/>
  <c r="BZ123" i="19" s="1"/>
  <c r="CB123" i="19" s="1"/>
  <c r="DJ123" i="19" s="1"/>
  <c r="AP123" i="19"/>
  <c r="AR123" i="19" s="1"/>
  <c r="AS123" i="19" s="1"/>
  <c r="AX123" i="19" s="1"/>
  <c r="AZ123" i="19" s="1"/>
  <c r="DH123" i="19" s="1"/>
  <c r="AB123" i="19"/>
  <c r="AD123" i="19" s="1"/>
  <c r="AE123" i="19" s="1"/>
  <c r="AJ123" i="19" s="1"/>
  <c r="AL123" i="19" s="1"/>
  <c r="DG123" i="19" s="1"/>
  <c r="CF123" i="19"/>
  <c r="CH123" i="19" s="1"/>
  <c r="CI123" i="19" s="1"/>
  <c r="CN123" i="19" s="1"/>
  <c r="CP123" i="19" s="1"/>
  <c r="DK123" i="19" s="1"/>
  <c r="AP209" i="19"/>
  <c r="AR209" i="19" s="1"/>
  <c r="AS209" i="19" s="1"/>
  <c r="AX209" i="19" s="1"/>
  <c r="AZ209" i="19" s="1"/>
  <c r="DH209" i="19" s="1"/>
  <c r="BR209" i="19"/>
  <c r="BT209" i="19" s="1"/>
  <c r="BU209" i="19" s="1"/>
  <c r="BZ209" i="19" s="1"/>
  <c r="CB209" i="19" s="1"/>
  <c r="CT209" i="19"/>
  <c r="CV209" i="19" s="1"/>
  <c r="CW209" i="19" s="1"/>
  <c r="DB209" i="19" s="1"/>
  <c r="DD209" i="19" s="1"/>
  <c r="AB209" i="19"/>
  <c r="AD209" i="19" s="1"/>
  <c r="AE209" i="19" s="1"/>
  <c r="AJ209" i="19" s="1"/>
  <c r="AL209" i="19" s="1"/>
  <c r="DG209" i="19" s="1"/>
  <c r="BD209" i="19"/>
  <c r="BF209" i="19" s="1"/>
  <c r="BG209" i="19" s="1"/>
  <c r="BL209" i="19" s="1"/>
  <c r="BN209" i="19" s="1"/>
  <c r="DI209" i="19" s="1"/>
  <c r="DB123" i="19"/>
  <c r="DD123" i="19" s="1"/>
  <c r="DL123" i="19" s="1"/>
  <c r="CN209" i="19"/>
  <c r="CP209" i="19" s="1"/>
  <c r="H297" i="19"/>
  <c r="I297" i="19" s="1"/>
  <c r="S297" i="19" s="1"/>
  <c r="U297" i="19" s="1"/>
  <c r="V125" i="19"/>
  <c r="X125" i="19" s="1"/>
  <c r="AF210" i="19"/>
  <c r="AH210" i="19" s="1"/>
  <c r="AI210" i="19" s="1"/>
  <c r="CX210" i="19"/>
  <c r="CZ210" i="19" s="1"/>
  <c r="DA210" i="19" s="1"/>
  <c r="CJ210" i="19"/>
  <c r="CL210" i="19" s="1"/>
  <c r="CM210" i="19" s="1"/>
  <c r="BV210" i="19"/>
  <c r="BX210" i="19" s="1"/>
  <c r="BY210" i="19" s="1"/>
  <c r="AT210" i="19"/>
  <c r="AV210" i="19" s="1"/>
  <c r="AW210" i="19" s="1"/>
  <c r="BH210" i="19"/>
  <c r="BJ210" i="19" s="1"/>
  <c r="BK210" i="19" s="1"/>
  <c r="G212" i="19"/>
  <c r="C213" i="19"/>
  <c r="DE212" i="19"/>
  <c r="CD212" i="19"/>
  <c r="CG212" i="19" s="1"/>
  <c r="BB212" i="19"/>
  <c r="BE212" i="19" s="1"/>
  <c r="AN212" i="19"/>
  <c r="AQ212" i="19" s="1"/>
  <c r="Z212" i="19"/>
  <c r="AC212" i="19" s="1"/>
  <c r="CR212" i="19"/>
  <c r="CU212" i="19" s="1"/>
  <c r="BP212" i="19"/>
  <c r="BS212" i="19" s="1"/>
  <c r="F298" i="19"/>
  <c r="G126" i="19"/>
  <c r="C127" i="19"/>
  <c r="DE126" i="19"/>
  <c r="Z126" i="19"/>
  <c r="AC126" i="19" s="1"/>
  <c r="CR126" i="19"/>
  <c r="CU126" i="19" s="1"/>
  <c r="CD126" i="19"/>
  <c r="CG126" i="19" s="1"/>
  <c r="AN126" i="19"/>
  <c r="AQ126" i="19" s="1"/>
  <c r="BP126" i="19"/>
  <c r="BS126" i="19" s="1"/>
  <c r="BB126" i="19"/>
  <c r="BE126" i="19" s="1"/>
  <c r="AX295" i="19"/>
  <c r="AZ295" i="19" s="1"/>
  <c r="DH295" i="19" s="1"/>
  <c r="H211" i="19"/>
  <c r="F212" i="19"/>
  <c r="CN295" i="19"/>
  <c r="CP295" i="19" s="1"/>
  <c r="DK295" i="19" s="1"/>
  <c r="V296" i="19"/>
  <c r="X296" i="19" s="1"/>
  <c r="I296" i="19"/>
  <c r="S296" i="19" s="1"/>
  <c r="U296" i="19" s="1"/>
  <c r="G298" i="19"/>
  <c r="C299" i="19"/>
  <c r="DE298" i="19"/>
  <c r="BP298" i="19"/>
  <c r="BS298" i="19" s="1"/>
  <c r="Z298" i="19"/>
  <c r="AC298" i="19" s="1"/>
  <c r="BB298" i="19"/>
  <c r="BE298" i="19" s="1"/>
  <c r="AN298" i="19"/>
  <c r="AQ298" i="19" s="1"/>
  <c r="CR298" i="19"/>
  <c r="CU298" i="19" s="1"/>
  <c r="CD298" i="19"/>
  <c r="CG298" i="19" s="1"/>
  <c r="BZ295" i="19"/>
  <c r="CB295" i="19" s="1"/>
  <c r="DJ295" i="19" s="1"/>
  <c r="V124" i="19"/>
  <c r="X124" i="19" s="1"/>
  <c r="I124" i="19"/>
  <c r="S124" i="19" s="1"/>
  <c r="U124" i="19" s="1"/>
  <c r="DB295" i="19"/>
  <c r="DD295" i="19" s="1"/>
  <c r="DL295" i="19" s="1"/>
  <c r="F126" i="19"/>
  <c r="AB210" i="19" l="1"/>
  <c r="AD210" i="19" s="1"/>
  <c r="AE210" i="19" s="1"/>
  <c r="BD210" i="19"/>
  <c r="BF210" i="19" s="1"/>
  <c r="BG210" i="19" s="1"/>
  <c r="BL210" i="19" s="1"/>
  <c r="BN210" i="19" s="1"/>
  <c r="DI210" i="19" s="1"/>
  <c r="BR210" i="19"/>
  <c r="BT210" i="19" s="1"/>
  <c r="BU210" i="19" s="1"/>
  <c r="BZ210" i="19" s="1"/>
  <c r="CB210" i="19" s="1"/>
  <c r="CT210" i="19"/>
  <c r="CV210" i="19" s="1"/>
  <c r="CW210" i="19" s="1"/>
  <c r="DB210" i="19" s="1"/>
  <c r="DD210" i="19" s="1"/>
  <c r="CF210" i="19"/>
  <c r="CH210" i="19" s="1"/>
  <c r="CI210" i="19" s="1"/>
  <c r="CN210" i="19" s="1"/>
  <c r="CP210" i="19" s="1"/>
  <c r="V297" i="19"/>
  <c r="X297" i="19" s="1"/>
  <c r="BH297" i="19" s="1"/>
  <c r="BJ297" i="19" s="1"/>
  <c r="BK297" i="19" s="1"/>
  <c r="AX210" i="19"/>
  <c r="AZ210" i="19" s="1"/>
  <c r="DH210" i="19" s="1"/>
  <c r="F299" i="19"/>
  <c r="AJ210" i="19"/>
  <c r="AL210" i="19" s="1"/>
  <c r="DG210" i="19" s="1"/>
  <c r="H126" i="19"/>
  <c r="I126" i="19" s="1"/>
  <c r="S126" i="19" s="1"/>
  <c r="U126" i="19" s="1"/>
  <c r="F213" i="19"/>
  <c r="G213" i="19"/>
  <c r="C214" i="19"/>
  <c r="DE213" i="19"/>
  <c r="BP213" i="19"/>
  <c r="BS213" i="19" s="1"/>
  <c r="CR213" i="19"/>
  <c r="CU213" i="19" s="1"/>
  <c r="BB213" i="19"/>
  <c r="BE213" i="19" s="1"/>
  <c r="AN213" i="19"/>
  <c r="AQ213" i="19" s="1"/>
  <c r="Z213" i="19"/>
  <c r="AC213" i="19" s="1"/>
  <c r="CD213" i="19"/>
  <c r="CG213" i="19" s="1"/>
  <c r="CJ296" i="19"/>
  <c r="CL296" i="19" s="1"/>
  <c r="CM296" i="19" s="1"/>
  <c r="AT296" i="19"/>
  <c r="AV296" i="19" s="1"/>
  <c r="AW296" i="19" s="1"/>
  <c r="AF296" i="19"/>
  <c r="AH296" i="19" s="1"/>
  <c r="AI296" i="19" s="1"/>
  <c r="CX296" i="19"/>
  <c r="CZ296" i="19" s="1"/>
  <c r="DA296" i="19" s="1"/>
  <c r="BV296" i="19"/>
  <c r="BX296" i="19" s="1"/>
  <c r="BY296" i="19" s="1"/>
  <c r="BH296" i="19"/>
  <c r="BJ296" i="19" s="1"/>
  <c r="BK296" i="19" s="1"/>
  <c r="C128" i="19"/>
  <c r="G127" i="19"/>
  <c r="DE127" i="19"/>
  <c r="Z127" i="19"/>
  <c r="AC127" i="19" s="1"/>
  <c r="CR127" i="19"/>
  <c r="CU127" i="19" s="1"/>
  <c r="BB127" i="19"/>
  <c r="BE127" i="19" s="1"/>
  <c r="AN127" i="19"/>
  <c r="AQ127" i="19" s="1"/>
  <c r="CD127" i="19"/>
  <c r="CG127" i="19" s="1"/>
  <c r="BP127" i="19"/>
  <c r="BS127" i="19" s="1"/>
  <c r="AP124" i="19"/>
  <c r="AR124" i="19" s="1"/>
  <c r="AS124" i="19" s="1"/>
  <c r="BD124" i="19"/>
  <c r="BF124" i="19" s="1"/>
  <c r="BG124" i="19" s="1"/>
  <c r="CT124" i="19"/>
  <c r="CV124" i="19" s="1"/>
  <c r="CW124" i="19" s="1"/>
  <c r="BR124" i="19"/>
  <c r="BT124" i="19" s="1"/>
  <c r="BU124" i="19" s="1"/>
  <c r="CF124" i="19"/>
  <c r="CH124" i="19" s="1"/>
  <c r="CI124" i="19" s="1"/>
  <c r="AB124" i="19"/>
  <c r="AD124" i="19" s="1"/>
  <c r="AE124" i="19" s="1"/>
  <c r="H298" i="19"/>
  <c r="BH124" i="19"/>
  <c r="BJ124" i="19" s="1"/>
  <c r="BK124" i="19" s="1"/>
  <c r="CJ124" i="19"/>
  <c r="CL124" i="19" s="1"/>
  <c r="CM124" i="19" s="1"/>
  <c r="CX124" i="19"/>
  <c r="CZ124" i="19" s="1"/>
  <c r="DA124" i="19" s="1"/>
  <c r="BV124" i="19"/>
  <c r="BX124" i="19" s="1"/>
  <c r="BY124" i="19" s="1"/>
  <c r="AF124" i="19"/>
  <c r="AH124" i="19" s="1"/>
  <c r="AI124" i="19" s="1"/>
  <c r="AT124" i="19"/>
  <c r="AV124" i="19" s="1"/>
  <c r="AW124" i="19" s="1"/>
  <c r="H212" i="19"/>
  <c r="V211" i="19"/>
  <c r="X211" i="19" s="1"/>
  <c r="I211" i="19"/>
  <c r="S211" i="19" s="1"/>
  <c r="U211" i="19" s="1"/>
  <c r="BD297" i="19"/>
  <c r="BF297" i="19" s="1"/>
  <c r="BG297" i="19" s="1"/>
  <c r="CT297" i="19"/>
  <c r="CV297" i="19" s="1"/>
  <c r="CW297" i="19" s="1"/>
  <c r="AP297" i="19"/>
  <c r="AR297" i="19" s="1"/>
  <c r="AS297" i="19" s="1"/>
  <c r="BR297" i="19"/>
  <c r="BT297" i="19" s="1"/>
  <c r="BU297" i="19" s="1"/>
  <c r="CF297" i="19"/>
  <c r="CH297" i="19" s="1"/>
  <c r="CI297" i="19" s="1"/>
  <c r="AB297" i="19"/>
  <c r="AD297" i="19" s="1"/>
  <c r="AE297" i="19" s="1"/>
  <c r="AB296" i="19"/>
  <c r="AD296" i="19" s="1"/>
  <c r="AE296" i="19" s="1"/>
  <c r="AP296" i="19"/>
  <c r="AR296" i="19" s="1"/>
  <c r="AS296" i="19" s="1"/>
  <c r="BR296" i="19"/>
  <c r="BT296" i="19" s="1"/>
  <c r="BU296" i="19" s="1"/>
  <c r="BD296" i="19"/>
  <c r="BF296" i="19" s="1"/>
  <c r="BG296" i="19" s="1"/>
  <c r="CT296" i="19"/>
  <c r="CV296" i="19" s="1"/>
  <c r="CW296" i="19" s="1"/>
  <c r="CF296" i="19"/>
  <c r="CH296" i="19" s="1"/>
  <c r="CI296" i="19" s="1"/>
  <c r="F127" i="19"/>
  <c r="BR125" i="19"/>
  <c r="BT125" i="19" s="1"/>
  <c r="BU125" i="19" s="1"/>
  <c r="CF125" i="19"/>
  <c r="CH125" i="19" s="1"/>
  <c r="CI125" i="19" s="1"/>
  <c r="CT125" i="19"/>
  <c r="CV125" i="19" s="1"/>
  <c r="CW125" i="19" s="1"/>
  <c r="AB125" i="19"/>
  <c r="AD125" i="19" s="1"/>
  <c r="AE125" i="19" s="1"/>
  <c r="AP125" i="19"/>
  <c r="AR125" i="19" s="1"/>
  <c r="AS125" i="19" s="1"/>
  <c r="BD125" i="19"/>
  <c r="BF125" i="19" s="1"/>
  <c r="BG125" i="19" s="1"/>
  <c r="C300" i="19"/>
  <c r="G299" i="19"/>
  <c r="DE299" i="19"/>
  <c r="AN299" i="19"/>
  <c r="AQ299" i="19" s="1"/>
  <c r="CR299" i="19"/>
  <c r="CU299" i="19" s="1"/>
  <c r="Z299" i="19"/>
  <c r="AC299" i="19" s="1"/>
  <c r="BB299" i="19"/>
  <c r="BE299" i="19" s="1"/>
  <c r="BP299" i="19"/>
  <c r="BS299" i="19" s="1"/>
  <c r="CD299" i="19"/>
  <c r="CG299" i="19" s="1"/>
  <c r="CX125" i="19"/>
  <c r="CZ125" i="19" s="1"/>
  <c r="DA125" i="19" s="1"/>
  <c r="CJ125" i="19"/>
  <c r="CL125" i="19" s="1"/>
  <c r="CM125" i="19" s="1"/>
  <c r="BV125" i="19"/>
  <c r="BX125" i="19" s="1"/>
  <c r="BY125" i="19" s="1"/>
  <c r="AT125" i="19"/>
  <c r="AV125" i="19" s="1"/>
  <c r="AW125" i="19" s="1"/>
  <c r="BH125" i="19"/>
  <c r="BJ125" i="19" s="1"/>
  <c r="BK125" i="19" s="1"/>
  <c r="AF125" i="19"/>
  <c r="AH125" i="19" s="1"/>
  <c r="AI125" i="19" s="1"/>
  <c r="CJ297" i="19" l="1"/>
  <c r="CL297" i="19" s="1"/>
  <c r="CM297" i="19" s="1"/>
  <c r="CN297" i="19" s="1"/>
  <c r="CP297" i="19" s="1"/>
  <c r="DK297" i="19" s="1"/>
  <c r="CX297" i="19"/>
  <c r="CZ297" i="19" s="1"/>
  <c r="DA297" i="19" s="1"/>
  <c r="DB297" i="19" s="1"/>
  <c r="DD297" i="19" s="1"/>
  <c r="DL297" i="19" s="1"/>
  <c r="BV297" i="19"/>
  <c r="BX297" i="19" s="1"/>
  <c r="BY297" i="19" s="1"/>
  <c r="BZ297" i="19" s="1"/>
  <c r="CB297" i="19" s="1"/>
  <c r="DJ297" i="19" s="1"/>
  <c r="AF297" i="19"/>
  <c r="AH297" i="19" s="1"/>
  <c r="AI297" i="19" s="1"/>
  <c r="AJ297" i="19" s="1"/>
  <c r="AL297" i="19" s="1"/>
  <c r="DG297" i="19" s="1"/>
  <c r="AT297" i="19"/>
  <c r="AV297" i="19" s="1"/>
  <c r="AW297" i="19" s="1"/>
  <c r="AX297" i="19" s="1"/>
  <c r="AZ297" i="19" s="1"/>
  <c r="DH297" i="19" s="1"/>
  <c r="H299" i="19"/>
  <c r="I299" i="19" s="1"/>
  <c r="S299" i="19" s="1"/>
  <c r="U299" i="19" s="1"/>
  <c r="F300" i="19"/>
  <c r="V126" i="19"/>
  <c r="X126" i="19" s="1"/>
  <c r="CX126" i="19" s="1"/>
  <c r="CZ126" i="19" s="1"/>
  <c r="DA126" i="19" s="1"/>
  <c r="CN125" i="19"/>
  <c r="CP125" i="19" s="1"/>
  <c r="DK125" i="19" s="1"/>
  <c r="H127" i="19"/>
  <c r="V127" i="19" s="1"/>
  <c r="X127" i="19" s="1"/>
  <c r="DB125" i="19"/>
  <c r="DD125" i="19" s="1"/>
  <c r="DL125" i="19" s="1"/>
  <c r="H213" i="19"/>
  <c r="V213" i="19" s="1"/>
  <c r="X213" i="19" s="1"/>
  <c r="AJ125" i="19"/>
  <c r="AL125" i="19" s="1"/>
  <c r="DG125" i="19" s="1"/>
  <c r="AX124" i="19"/>
  <c r="AZ124" i="19" s="1"/>
  <c r="DH124" i="19" s="1"/>
  <c r="AJ124" i="19"/>
  <c r="AL124" i="19" s="1"/>
  <c r="DG124" i="19" s="1"/>
  <c r="BZ125" i="19"/>
  <c r="CB125" i="19" s="1"/>
  <c r="DJ125" i="19" s="1"/>
  <c r="BZ296" i="19"/>
  <c r="CB296" i="19" s="1"/>
  <c r="DJ296" i="19" s="1"/>
  <c r="DB296" i="19"/>
  <c r="DD296" i="19" s="1"/>
  <c r="DL296" i="19" s="1"/>
  <c r="AJ296" i="19"/>
  <c r="AL296" i="19" s="1"/>
  <c r="DG296" i="19" s="1"/>
  <c r="BD126" i="19"/>
  <c r="BF126" i="19" s="1"/>
  <c r="BG126" i="19" s="1"/>
  <c r="CT126" i="19"/>
  <c r="CV126" i="19" s="1"/>
  <c r="CW126" i="19" s="1"/>
  <c r="BR126" i="19"/>
  <c r="BT126" i="19" s="1"/>
  <c r="BU126" i="19" s="1"/>
  <c r="CF126" i="19"/>
  <c r="CH126" i="19" s="1"/>
  <c r="CI126" i="19" s="1"/>
  <c r="AB126" i="19"/>
  <c r="AD126" i="19" s="1"/>
  <c r="AE126" i="19" s="1"/>
  <c r="AP126" i="19"/>
  <c r="AR126" i="19" s="1"/>
  <c r="AS126" i="19" s="1"/>
  <c r="AX296" i="19"/>
  <c r="AZ296" i="19" s="1"/>
  <c r="DH296" i="19" s="1"/>
  <c r="CN296" i="19"/>
  <c r="CP296" i="19" s="1"/>
  <c r="DK296" i="19" s="1"/>
  <c r="BR211" i="19"/>
  <c r="BT211" i="19" s="1"/>
  <c r="BU211" i="19" s="1"/>
  <c r="CT211" i="19"/>
  <c r="CV211" i="19" s="1"/>
  <c r="CW211" i="19" s="1"/>
  <c r="BD211" i="19"/>
  <c r="BF211" i="19" s="1"/>
  <c r="BG211" i="19" s="1"/>
  <c r="AP211" i="19"/>
  <c r="AR211" i="19" s="1"/>
  <c r="AS211" i="19" s="1"/>
  <c r="AB211" i="19"/>
  <c r="AD211" i="19" s="1"/>
  <c r="AE211" i="19" s="1"/>
  <c r="CF211" i="19"/>
  <c r="CH211" i="19" s="1"/>
  <c r="CI211" i="19" s="1"/>
  <c r="F128" i="19"/>
  <c r="BV211" i="19"/>
  <c r="BX211" i="19" s="1"/>
  <c r="BY211" i="19" s="1"/>
  <c r="BH211" i="19"/>
  <c r="BJ211" i="19" s="1"/>
  <c r="BK211" i="19" s="1"/>
  <c r="CJ211" i="19"/>
  <c r="CL211" i="19" s="1"/>
  <c r="CM211" i="19" s="1"/>
  <c r="AF211" i="19"/>
  <c r="AH211" i="19" s="1"/>
  <c r="AI211" i="19" s="1"/>
  <c r="AT211" i="19"/>
  <c r="AV211" i="19" s="1"/>
  <c r="AW211" i="19" s="1"/>
  <c r="CX211" i="19"/>
  <c r="CZ211" i="19" s="1"/>
  <c r="DA211" i="19" s="1"/>
  <c r="V212" i="19"/>
  <c r="X212" i="19" s="1"/>
  <c r="I212" i="19"/>
  <c r="S212" i="19" s="1"/>
  <c r="U212" i="19" s="1"/>
  <c r="BL297" i="19"/>
  <c r="BN297" i="19" s="1"/>
  <c r="DI297" i="19" s="1"/>
  <c r="BZ124" i="19"/>
  <c r="CB124" i="19" s="1"/>
  <c r="DJ124" i="19" s="1"/>
  <c r="G300" i="19"/>
  <c r="C301" i="19"/>
  <c r="DE300" i="19"/>
  <c r="BB300" i="19"/>
  <c r="BE300" i="19" s="1"/>
  <c r="CR300" i="19"/>
  <c r="CU300" i="19" s="1"/>
  <c r="CD300" i="19"/>
  <c r="CG300" i="19" s="1"/>
  <c r="AN300" i="19"/>
  <c r="AQ300" i="19" s="1"/>
  <c r="Z300" i="19"/>
  <c r="AC300" i="19" s="1"/>
  <c r="BP300" i="19"/>
  <c r="BS300" i="19" s="1"/>
  <c r="DB124" i="19"/>
  <c r="DD124" i="19" s="1"/>
  <c r="DL124" i="19" s="1"/>
  <c r="AX125" i="19"/>
  <c r="AZ125" i="19" s="1"/>
  <c r="DH125" i="19" s="1"/>
  <c r="CN124" i="19"/>
  <c r="CP124" i="19" s="1"/>
  <c r="DK124" i="19" s="1"/>
  <c r="F214" i="19"/>
  <c r="G214" i="19"/>
  <c r="C215" i="19"/>
  <c r="DE214" i="19"/>
  <c r="BB214" i="19"/>
  <c r="BE214" i="19" s="1"/>
  <c r="CD214" i="19"/>
  <c r="CG214" i="19" s="1"/>
  <c r="BP214" i="19"/>
  <c r="BS214" i="19" s="1"/>
  <c r="Z214" i="19"/>
  <c r="AC214" i="19" s="1"/>
  <c r="AN214" i="19"/>
  <c r="AQ214" i="19" s="1"/>
  <c r="CR214" i="19"/>
  <c r="CU214" i="19" s="1"/>
  <c r="BL124" i="19"/>
  <c r="BN124" i="19" s="1"/>
  <c r="DI124" i="19" s="1"/>
  <c r="BL125" i="19"/>
  <c r="BN125" i="19" s="1"/>
  <c r="DI125" i="19" s="1"/>
  <c r="V298" i="19"/>
  <c r="X298" i="19" s="1"/>
  <c r="I298" i="19"/>
  <c r="S298" i="19" s="1"/>
  <c r="U298" i="19" s="1"/>
  <c r="C129" i="19"/>
  <c r="G128" i="19"/>
  <c r="DE128" i="19"/>
  <c r="AN128" i="19"/>
  <c r="AQ128" i="19" s="1"/>
  <c r="CD128" i="19"/>
  <c r="CG128" i="19" s="1"/>
  <c r="BB128" i="19"/>
  <c r="BE128" i="19" s="1"/>
  <c r="Z128" i="19"/>
  <c r="AC128" i="19" s="1"/>
  <c r="CR128" i="19"/>
  <c r="CU128" i="19" s="1"/>
  <c r="BP128" i="19"/>
  <c r="BS128" i="19" s="1"/>
  <c r="BL296" i="19"/>
  <c r="BN296" i="19" s="1"/>
  <c r="DI296" i="19" s="1"/>
  <c r="H300" i="19" l="1"/>
  <c r="V300" i="19" s="1"/>
  <c r="X300" i="19" s="1"/>
  <c r="I127" i="19"/>
  <c r="S127" i="19" s="1"/>
  <c r="U127" i="19" s="1"/>
  <c r="AB127" i="19" s="1"/>
  <c r="AD127" i="19" s="1"/>
  <c r="AE127" i="19" s="1"/>
  <c r="I213" i="19"/>
  <c r="S213" i="19" s="1"/>
  <c r="U213" i="19" s="1"/>
  <c r="CT213" i="19" s="1"/>
  <c r="CV213" i="19" s="1"/>
  <c r="CW213" i="19" s="1"/>
  <c r="V299" i="19"/>
  <c r="X299" i="19" s="1"/>
  <c r="CX299" i="19" s="1"/>
  <c r="CZ299" i="19" s="1"/>
  <c r="DA299" i="19" s="1"/>
  <c r="BH126" i="19"/>
  <c r="BJ126" i="19" s="1"/>
  <c r="BK126" i="19" s="1"/>
  <c r="BL126" i="19" s="1"/>
  <c r="BN126" i="19" s="1"/>
  <c r="DI126" i="19" s="1"/>
  <c r="AT126" i="19"/>
  <c r="AV126" i="19" s="1"/>
  <c r="AW126" i="19" s="1"/>
  <c r="AX126" i="19" s="1"/>
  <c r="AZ126" i="19" s="1"/>
  <c r="DH126" i="19" s="1"/>
  <c r="AF126" i="19"/>
  <c r="AH126" i="19" s="1"/>
  <c r="AI126" i="19" s="1"/>
  <c r="AJ126" i="19" s="1"/>
  <c r="AL126" i="19" s="1"/>
  <c r="DG126" i="19" s="1"/>
  <c r="CJ126" i="19"/>
  <c r="CL126" i="19" s="1"/>
  <c r="CM126" i="19" s="1"/>
  <c r="CN126" i="19" s="1"/>
  <c r="CP126" i="19" s="1"/>
  <c r="DK126" i="19" s="1"/>
  <c r="BV126" i="19"/>
  <c r="BX126" i="19" s="1"/>
  <c r="BY126" i="19" s="1"/>
  <c r="BZ126" i="19" s="1"/>
  <c r="CB126" i="19" s="1"/>
  <c r="DJ126" i="19" s="1"/>
  <c r="F215" i="19"/>
  <c r="BZ211" i="19"/>
  <c r="CB211" i="19" s="1"/>
  <c r="BL211" i="19"/>
  <c r="BN211" i="19" s="1"/>
  <c r="DI211" i="19" s="1"/>
  <c r="H214" i="19"/>
  <c r="V214" i="19" s="1"/>
  <c r="X214" i="19" s="1"/>
  <c r="F129" i="19"/>
  <c r="DB211" i="19"/>
  <c r="DD211" i="19" s="1"/>
  <c r="AX211" i="19"/>
  <c r="AZ211" i="19" s="1"/>
  <c r="DH211" i="19" s="1"/>
  <c r="DB126" i="19"/>
  <c r="DD126" i="19" s="1"/>
  <c r="DL126" i="19" s="1"/>
  <c r="AJ211" i="19"/>
  <c r="AL211" i="19" s="1"/>
  <c r="DG211" i="19" s="1"/>
  <c r="H128" i="19"/>
  <c r="G301" i="19"/>
  <c r="C302" i="19"/>
  <c r="DE301" i="19"/>
  <c r="CD301" i="19"/>
  <c r="CG301" i="19" s="1"/>
  <c r="BP301" i="19"/>
  <c r="BS301" i="19" s="1"/>
  <c r="CR301" i="19"/>
  <c r="CU301" i="19" s="1"/>
  <c r="AN301" i="19"/>
  <c r="AQ301" i="19" s="1"/>
  <c r="BB301" i="19"/>
  <c r="BE301" i="19" s="1"/>
  <c r="Z301" i="19"/>
  <c r="AC301" i="19" s="1"/>
  <c r="CN211" i="19"/>
  <c r="CP211" i="19" s="1"/>
  <c r="G215" i="19"/>
  <c r="C216" i="19"/>
  <c r="DE215" i="19"/>
  <c r="CD215" i="19"/>
  <c r="CG215" i="19" s="1"/>
  <c r="BP215" i="19"/>
  <c r="BS215" i="19" s="1"/>
  <c r="BB215" i="19"/>
  <c r="BE215" i="19" s="1"/>
  <c r="Z215" i="19"/>
  <c r="AC215" i="19" s="1"/>
  <c r="CR215" i="19"/>
  <c r="CU215" i="19" s="1"/>
  <c r="AN215" i="19"/>
  <c r="AQ215" i="19" s="1"/>
  <c r="G129" i="19"/>
  <c r="C130" i="19"/>
  <c r="DE129" i="19"/>
  <c r="AN129" i="19"/>
  <c r="AQ129" i="19" s="1"/>
  <c r="Z129" i="19"/>
  <c r="AC129" i="19" s="1"/>
  <c r="CR129" i="19"/>
  <c r="CU129" i="19" s="1"/>
  <c r="BP129" i="19"/>
  <c r="BS129" i="19" s="1"/>
  <c r="CD129" i="19"/>
  <c r="CG129" i="19" s="1"/>
  <c r="BB129" i="19"/>
  <c r="BE129" i="19" s="1"/>
  <c r="CT127" i="19"/>
  <c r="CV127" i="19" s="1"/>
  <c r="CW127" i="19" s="1"/>
  <c r="BR298" i="19"/>
  <c r="BT298" i="19" s="1"/>
  <c r="BU298" i="19" s="1"/>
  <c r="CF298" i="19"/>
  <c r="CH298" i="19" s="1"/>
  <c r="CI298" i="19" s="1"/>
  <c r="CT298" i="19"/>
  <c r="CV298" i="19" s="1"/>
  <c r="CW298" i="19" s="1"/>
  <c r="AB298" i="19"/>
  <c r="AD298" i="19" s="1"/>
  <c r="AE298" i="19" s="1"/>
  <c r="AP298" i="19"/>
  <c r="AR298" i="19" s="1"/>
  <c r="AS298" i="19" s="1"/>
  <c r="BD298" i="19"/>
  <c r="BF298" i="19" s="1"/>
  <c r="BG298" i="19" s="1"/>
  <c r="BV127" i="19"/>
  <c r="BX127" i="19" s="1"/>
  <c r="BY127" i="19" s="1"/>
  <c r="CJ127" i="19"/>
  <c r="CL127" i="19" s="1"/>
  <c r="CM127" i="19" s="1"/>
  <c r="CX127" i="19"/>
  <c r="CZ127" i="19" s="1"/>
  <c r="DA127" i="19" s="1"/>
  <c r="AT127" i="19"/>
  <c r="AV127" i="19" s="1"/>
  <c r="AW127" i="19" s="1"/>
  <c r="AF127" i="19"/>
  <c r="AH127" i="19" s="1"/>
  <c r="AI127" i="19" s="1"/>
  <c r="BH127" i="19"/>
  <c r="BJ127" i="19" s="1"/>
  <c r="BK127" i="19" s="1"/>
  <c r="AT298" i="19"/>
  <c r="AV298" i="19" s="1"/>
  <c r="AW298" i="19" s="1"/>
  <c r="BV298" i="19"/>
  <c r="BX298" i="19" s="1"/>
  <c r="BY298" i="19" s="1"/>
  <c r="CJ298" i="19"/>
  <c r="CL298" i="19" s="1"/>
  <c r="CM298" i="19" s="1"/>
  <c r="AF298" i="19"/>
  <c r="AH298" i="19" s="1"/>
  <c r="AI298" i="19" s="1"/>
  <c r="BH298" i="19"/>
  <c r="BJ298" i="19" s="1"/>
  <c r="BK298" i="19" s="1"/>
  <c r="CX298" i="19"/>
  <c r="CZ298" i="19" s="1"/>
  <c r="DA298" i="19" s="1"/>
  <c r="BR213" i="19"/>
  <c r="BT213" i="19" s="1"/>
  <c r="BU213" i="19" s="1"/>
  <c r="AT213" i="19"/>
  <c r="AV213" i="19" s="1"/>
  <c r="AW213" i="19" s="1"/>
  <c r="AF213" i="19"/>
  <c r="AH213" i="19" s="1"/>
  <c r="AI213" i="19" s="1"/>
  <c r="BH213" i="19"/>
  <c r="BJ213" i="19" s="1"/>
  <c r="BK213" i="19" s="1"/>
  <c r="BV213" i="19"/>
  <c r="BX213" i="19" s="1"/>
  <c r="BY213" i="19" s="1"/>
  <c r="CJ213" i="19"/>
  <c r="CL213" i="19" s="1"/>
  <c r="CM213" i="19" s="1"/>
  <c r="CX213" i="19"/>
  <c r="CZ213" i="19" s="1"/>
  <c r="DA213" i="19" s="1"/>
  <c r="BD212" i="19"/>
  <c r="BF212" i="19" s="1"/>
  <c r="BG212" i="19" s="1"/>
  <c r="BR212" i="19"/>
  <c r="BT212" i="19" s="1"/>
  <c r="BU212" i="19" s="1"/>
  <c r="CT212" i="19"/>
  <c r="CV212" i="19" s="1"/>
  <c r="CW212" i="19" s="1"/>
  <c r="CF212" i="19"/>
  <c r="CH212" i="19" s="1"/>
  <c r="CI212" i="19" s="1"/>
  <c r="AP212" i="19"/>
  <c r="AR212" i="19" s="1"/>
  <c r="AS212" i="19" s="1"/>
  <c r="AB212" i="19"/>
  <c r="AD212" i="19" s="1"/>
  <c r="AE212" i="19" s="1"/>
  <c r="CF299" i="19"/>
  <c r="CH299" i="19" s="1"/>
  <c r="CI299" i="19" s="1"/>
  <c r="AB299" i="19"/>
  <c r="AD299" i="19" s="1"/>
  <c r="AE299" i="19" s="1"/>
  <c r="CT299" i="19"/>
  <c r="CV299" i="19" s="1"/>
  <c r="CW299" i="19" s="1"/>
  <c r="BD299" i="19"/>
  <c r="BF299" i="19" s="1"/>
  <c r="BG299" i="19" s="1"/>
  <c r="BR299" i="19"/>
  <c r="BT299" i="19" s="1"/>
  <c r="BU299" i="19" s="1"/>
  <c r="AP299" i="19"/>
  <c r="AR299" i="19" s="1"/>
  <c r="AS299" i="19" s="1"/>
  <c r="F301" i="19"/>
  <c r="BH212" i="19"/>
  <c r="BJ212" i="19" s="1"/>
  <c r="BK212" i="19" s="1"/>
  <c r="CX212" i="19"/>
  <c r="CZ212" i="19" s="1"/>
  <c r="DA212" i="19" s="1"/>
  <c r="AF212" i="19"/>
  <c r="AH212" i="19" s="1"/>
  <c r="AI212" i="19" s="1"/>
  <c r="BV212" i="19"/>
  <c r="BX212" i="19" s="1"/>
  <c r="BY212" i="19" s="1"/>
  <c r="CJ212" i="19"/>
  <c r="CL212" i="19" s="1"/>
  <c r="CM212" i="19" s="1"/>
  <c r="AT212" i="19"/>
  <c r="AV212" i="19" s="1"/>
  <c r="AW212" i="19" s="1"/>
  <c r="BH299" i="19"/>
  <c r="BJ299" i="19" s="1"/>
  <c r="BK299" i="19" s="1"/>
  <c r="AF299" i="19"/>
  <c r="AH299" i="19" s="1"/>
  <c r="AI299" i="19" s="1"/>
  <c r="BV299" i="19"/>
  <c r="BX299" i="19" s="1"/>
  <c r="BY299" i="19" s="1"/>
  <c r="BR127" i="19" l="1"/>
  <c r="BT127" i="19" s="1"/>
  <c r="BU127" i="19" s="1"/>
  <c r="BZ127" i="19" s="1"/>
  <c r="CB127" i="19" s="1"/>
  <c r="DJ127" i="19" s="1"/>
  <c r="CJ299" i="19"/>
  <c r="CL299" i="19" s="1"/>
  <c r="CM299" i="19" s="1"/>
  <c r="AT299" i="19"/>
  <c r="AV299" i="19" s="1"/>
  <c r="AW299" i="19" s="1"/>
  <c r="I300" i="19"/>
  <c r="S300" i="19" s="1"/>
  <c r="U300" i="19" s="1"/>
  <c r="AP300" i="19" s="1"/>
  <c r="AR300" i="19" s="1"/>
  <c r="AS300" i="19" s="1"/>
  <c r="CF127" i="19"/>
  <c r="CH127" i="19" s="1"/>
  <c r="CI127" i="19" s="1"/>
  <c r="CN127" i="19" s="1"/>
  <c r="CP127" i="19" s="1"/>
  <c r="DK127" i="19" s="1"/>
  <c r="BD127" i="19"/>
  <c r="BF127" i="19" s="1"/>
  <c r="BG127" i="19" s="1"/>
  <c r="BL127" i="19" s="1"/>
  <c r="BN127" i="19" s="1"/>
  <c r="DI127" i="19" s="1"/>
  <c r="AP127" i="19"/>
  <c r="AR127" i="19" s="1"/>
  <c r="AS127" i="19" s="1"/>
  <c r="AX127" i="19" s="1"/>
  <c r="AZ127" i="19" s="1"/>
  <c r="DH127" i="19" s="1"/>
  <c r="BD213" i="19"/>
  <c r="BF213" i="19" s="1"/>
  <c r="BG213" i="19" s="1"/>
  <c r="BL213" i="19" s="1"/>
  <c r="BN213" i="19" s="1"/>
  <c r="DI213" i="19" s="1"/>
  <c r="F216" i="19"/>
  <c r="H215" i="19"/>
  <c r="I215" i="19" s="1"/>
  <c r="S215" i="19" s="1"/>
  <c r="U215" i="19" s="1"/>
  <c r="CF213" i="19"/>
  <c r="CH213" i="19" s="1"/>
  <c r="CI213" i="19" s="1"/>
  <c r="CN213" i="19" s="1"/>
  <c r="CP213" i="19" s="1"/>
  <c r="AP213" i="19"/>
  <c r="AR213" i="19" s="1"/>
  <c r="AS213" i="19" s="1"/>
  <c r="AX213" i="19" s="1"/>
  <c r="AZ213" i="19" s="1"/>
  <c r="DH213" i="19" s="1"/>
  <c r="AB213" i="19"/>
  <c r="AD213" i="19" s="1"/>
  <c r="AE213" i="19" s="1"/>
  <c r="AJ213" i="19" s="1"/>
  <c r="AL213" i="19" s="1"/>
  <c r="DG213" i="19" s="1"/>
  <c r="F130" i="19"/>
  <c r="CN299" i="19"/>
  <c r="CP299" i="19" s="1"/>
  <c r="DK299" i="19" s="1"/>
  <c r="H129" i="19"/>
  <c r="I129" i="19" s="1"/>
  <c r="S129" i="19" s="1"/>
  <c r="U129" i="19" s="1"/>
  <c r="BZ213" i="19"/>
  <c r="CB213" i="19" s="1"/>
  <c r="I214" i="19"/>
  <c r="S214" i="19" s="1"/>
  <c r="U214" i="19" s="1"/>
  <c r="BR214" i="19" s="1"/>
  <c r="BT214" i="19" s="1"/>
  <c r="BU214" i="19" s="1"/>
  <c r="CN212" i="19"/>
  <c r="CP212" i="19" s="1"/>
  <c r="H301" i="19"/>
  <c r="I301" i="19" s="1"/>
  <c r="S301" i="19" s="1"/>
  <c r="U301" i="19" s="1"/>
  <c r="AJ127" i="19"/>
  <c r="AL127" i="19" s="1"/>
  <c r="DG127" i="19" s="1"/>
  <c r="AX212" i="19"/>
  <c r="AZ212" i="19" s="1"/>
  <c r="DH212" i="19" s="1"/>
  <c r="DB298" i="19"/>
  <c r="DD298" i="19" s="1"/>
  <c r="DL298" i="19" s="1"/>
  <c r="DB127" i="19"/>
  <c r="DD127" i="19" s="1"/>
  <c r="DL127" i="19" s="1"/>
  <c r="BZ212" i="19"/>
  <c r="CB212" i="19" s="1"/>
  <c r="F302" i="19"/>
  <c r="DB299" i="19"/>
  <c r="DD299" i="19" s="1"/>
  <c r="DL299" i="19" s="1"/>
  <c r="BL299" i="19"/>
  <c r="BN299" i="19" s="1"/>
  <c r="DI299" i="19" s="1"/>
  <c r="AJ299" i="19"/>
  <c r="AL299" i="19" s="1"/>
  <c r="DG299" i="19" s="1"/>
  <c r="BL212" i="19"/>
  <c r="BN212" i="19" s="1"/>
  <c r="DI212" i="19" s="1"/>
  <c r="BL298" i="19"/>
  <c r="BN298" i="19" s="1"/>
  <c r="DI298" i="19" s="1"/>
  <c r="AJ298" i="19"/>
  <c r="AL298" i="19" s="1"/>
  <c r="DG298" i="19" s="1"/>
  <c r="BB130" i="19"/>
  <c r="BE130" i="19" s="1"/>
  <c r="G130" i="19"/>
  <c r="C131" i="19"/>
  <c r="AN130" i="19"/>
  <c r="AQ130" i="19" s="1"/>
  <c r="Z130" i="19"/>
  <c r="AC130" i="19" s="1"/>
  <c r="CR130" i="19"/>
  <c r="CU130" i="19" s="1"/>
  <c r="CD130" i="19"/>
  <c r="CG130" i="19" s="1"/>
  <c r="BP130" i="19"/>
  <c r="BS130" i="19" s="1"/>
  <c r="DE130" i="19"/>
  <c r="AJ212" i="19"/>
  <c r="AL212" i="19" s="1"/>
  <c r="DG212" i="19" s="1"/>
  <c r="CN298" i="19"/>
  <c r="CP298" i="19" s="1"/>
  <c r="DK298" i="19" s="1"/>
  <c r="DB212" i="19"/>
  <c r="DD212" i="19" s="1"/>
  <c r="DB213" i="19"/>
  <c r="DD213" i="19" s="1"/>
  <c r="BZ298" i="19"/>
  <c r="CB298" i="19" s="1"/>
  <c r="DJ298" i="19" s="1"/>
  <c r="AX298" i="19"/>
  <c r="AZ298" i="19" s="1"/>
  <c r="DH298" i="19" s="1"/>
  <c r="G302" i="19"/>
  <c r="CR302" i="19"/>
  <c r="CU302" i="19" s="1"/>
  <c r="C303" i="19"/>
  <c r="BP302" i="19"/>
  <c r="BS302" i="19" s="1"/>
  <c r="AN302" i="19"/>
  <c r="AQ302" i="19" s="1"/>
  <c r="Z302" i="19"/>
  <c r="AC302" i="19" s="1"/>
  <c r="CD302" i="19"/>
  <c r="CG302" i="19" s="1"/>
  <c r="BB302" i="19"/>
  <c r="BE302" i="19" s="1"/>
  <c r="DE302" i="19"/>
  <c r="AF214" i="19"/>
  <c r="AH214" i="19" s="1"/>
  <c r="AI214" i="19" s="1"/>
  <c r="BV214" i="19"/>
  <c r="BX214" i="19" s="1"/>
  <c r="BY214" i="19" s="1"/>
  <c r="CX214" i="19"/>
  <c r="CZ214" i="19" s="1"/>
  <c r="DA214" i="19" s="1"/>
  <c r="CJ214" i="19"/>
  <c r="CL214" i="19" s="1"/>
  <c r="CM214" i="19" s="1"/>
  <c r="AT214" i="19"/>
  <c r="AV214" i="19" s="1"/>
  <c r="AW214" i="19" s="1"/>
  <c r="BH214" i="19"/>
  <c r="BJ214" i="19" s="1"/>
  <c r="BK214" i="19" s="1"/>
  <c r="V128" i="19"/>
  <c r="X128" i="19" s="1"/>
  <c r="I128" i="19"/>
  <c r="S128" i="19" s="1"/>
  <c r="U128" i="19" s="1"/>
  <c r="AX299" i="19"/>
  <c r="AZ299" i="19" s="1"/>
  <c r="DH299" i="19" s="1"/>
  <c r="BP216" i="19"/>
  <c r="BS216" i="19" s="1"/>
  <c r="BB216" i="19"/>
  <c r="BE216" i="19" s="1"/>
  <c r="G216" i="19"/>
  <c r="C217" i="19"/>
  <c r="AN216" i="19"/>
  <c r="AQ216" i="19" s="1"/>
  <c r="Z216" i="19"/>
  <c r="AC216" i="19" s="1"/>
  <c r="CR216" i="19"/>
  <c r="CU216" i="19" s="1"/>
  <c r="CD216" i="19"/>
  <c r="CG216" i="19" s="1"/>
  <c r="DE216" i="19"/>
  <c r="BZ299" i="19"/>
  <c r="CB299" i="19" s="1"/>
  <c r="DJ299" i="19" s="1"/>
  <c r="BH300" i="19"/>
  <c r="BJ300" i="19" s="1"/>
  <c r="BK300" i="19" s="1"/>
  <c r="AF300" i="19"/>
  <c r="AH300" i="19" s="1"/>
  <c r="AI300" i="19" s="1"/>
  <c r="CJ300" i="19"/>
  <c r="CL300" i="19" s="1"/>
  <c r="CM300" i="19" s="1"/>
  <c r="AT300" i="19"/>
  <c r="AV300" i="19" s="1"/>
  <c r="AW300" i="19" s="1"/>
  <c r="CX300" i="19"/>
  <c r="CZ300" i="19" s="1"/>
  <c r="DA300" i="19" s="1"/>
  <c r="BV300" i="19"/>
  <c r="BX300" i="19" s="1"/>
  <c r="BY300" i="19" s="1"/>
  <c r="BD300" i="19" l="1"/>
  <c r="BF300" i="19" s="1"/>
  <c r="BG300" i="19" s="1"/>
  <c r="BR300" i="19"/>
  <c r="BT300" i="19" s="1"/>
  <c r="BU300" i="19" s="1"/>
  <c r="F217" i="19"/>
  <c r="H216" i="19"/>
  <c r="I216" i="19" s="1"/>
  <c r="S216" i="19" s="1"/>
  <c r="U216" i="19" s="1"/>
  <c r="V129" i="19"/>
  <c r="X129" i="19" s="1"/>
  <c r="V215" i="19"/>
  <c r="X215" i="19" s="1"/>
  <c r="AF215" i="19" s="1"/>
  <c r="AH215" i="19" s="1"/>
  <c r="AI215" i="19" s="1"/>
  <c r="AB300" i="19"/>
  <c r="AD300" i="19" s="1"/>
  <c r="AE300" i="19" s="1"/>
  <c r="AJ300" i="19" s="1"/>
  <c r="AL300" i="19" s="1"/>
  <c r="DG300" i="19" s="1"/>
  <c r="CT300" i="19"/>
  <c r="CV300" i="19" s="1"/>
  <c r="CW300" i="19" s="1"/>
  <c r="CF300" i="19"/>
  <c r="CH300" i="19" s="1"/>
  <c r="CI300" i="19" s="1"/>
  <c r="CN300" i="19" s="1"/>
  <c r="CP300" i="19" s="1"/>
  <c r="DK300" i="19" s="1"/>
  <c r="H130" i="19"/>
  <c r="V130" i="19" s="1"/>
  <c r="X130" i="19" s="1"/>
  <c r="AP214" i="19"/>
  <c r="AR214" i="19" s="1"/>
  <c r="AS214" i="19" s="1"/>
  <c r="AX214" i="19" s="1"/>
  <c r="AZ214" i="19" s="1"/>
  <c r="DH214" i="19" s="1"/>
  <c r="BD214" i="19"/>
  <c r="BF214" i="19" s="1"/>
  <c r="BG214" i="19" s="1"/>
  <c r="CF214" i="19"/>
  <c r="CH214" i="19" s="1"/>
  <c r="CI214" i="19" s="1"/>
  <c r="CN214" i="19" s="1"/>
  <c r="CP214" i="19" s="1"/>
  <c r="AB214" i="19"/>
  <c r="AD214" i="19" s="1"/>
  <c r="AE214" i="19" s="1"/>
  <c r="AJ214" i="19" s="1"/>
  <c r="AL214" i="19" s="1"/>
  <c r="DG214" i="19" s="1"/>
  <c r="CT214" i="19"/>
  <c r="CV214" i="19" s="1"/>
  <c r="CW214" i="19" s="1"/>
  <c r="DB214" i="19" s="1"/>
  <c r="DD214" i="19" s="1"/>
  <c r="V301" i="19"/>
  <c r="X301" i="19" s="1"/>
  <c r="AT301" i="19" s="1"/>
  <c r="AV301" i="19" s="1"/>
  <c r="AW301" i="19" s="1"/>
  <c r="AX300" i="19"/>
  <c r="AZ300" i="19" s="1"/>
  <c r="DH300" i="19" s="1"/>
  <c r="H302" i="19"/>
  <c r="V302" i="19" s="1"/>
  <c r="X302" i="19" s="1"/>
  <c r="AF302" i="19" s="1"/>
  <c r="AH302" i="19" s="1"/>
  <c r="AI302" i="19" s="1"/>
  <c r="CF301" i="19"/>
  <c r="CH301" i="19" s="1"/>
  <c r="CI301" i="19" s="1"/>
  <c r="AP301" i="19"/>
  <c r="AR301" i="19" s="1"/>
  <c r="AS301" i="19" s="1"/>
  <c r="CT301" i="19"/>
  <c r="CV301" i="19" s="1"/>
  <c r="CW301" i="19" s="1"/>
  <c r="BR301" i="19"/>
  <c r="BT301" i="19" s="1"/>
  <c r="BU301" i="19" s="1"/>
  <c r="BD301" i="19"/>
  <c r="BF301" i="19" s="1"/>
  <c r="BG301" i="19" s="1"/>
  <c r="AB301" i="19"/>
  <c r="AD301" i="19" s="1"/>
  <c r="AE301" i="19" s="1"/>
  <c r="CR131" i="19"/>
  <c r="CU131" i="19" s="1"/>
  <c r="CD131" i="19"/>
  <c r="CG131" i="19" s="1"/>
  <c r="BP131" i="19"/>
  <c r="BS131" i="19" s="1"/>
  <c r="BB131" i="19"/>
  <c r="BE131" i="19" s="1"/>
  <c r="G131" i="19"/>
  <c r="C132" i="19"/>
  <c r="AN131" i="19"/>
  <c r="AQ131" i="19" s="1"/>
  <c r="Z131" i="19"/>
  <c r="AC131" i="19" s="1"/>
  <c r="DE131" i="19"/>
  <c r="BD128" i="19"/>
  <c r="BF128" i="19" s="1"/>
  <c r="BG128" i="19" s="1"/>
  <c r="CT128" i="19"/>
  <c r="CV128" i="19" s="1"/>
  <c r="CW128" i="19" s="1"/>
  <c r="BR128" i="19"/>
  <c r="BT128" i="19" s="1"/>
  <c r="BU128" i="19" s="1"/>
  <c r="CF128" i="19"/>
  <c r="CH128" i="19" s="1"/>
  <c r="CI128" i="19" s="1"/>
  <c r="AB128" i="19"/>
  <c r="AD128" i="19" s="1"/>
  <c r="AE128" i="19" s="1"/>
  <c r="AP128" i="19"/>
  <c r="AR128" i="19" s="1"/>
  <c r="AS128" i="19" s="1"/>
  <c r="CX128" i="19"/>
  <c r="CZ128" i="19" s="1"/>
  <c r="DA128" i="19" s="1"/>
  <c r="AF128" i="19"/>
  <c r="AH128" i="19" s="1"/>
  <c r="AI128" i="19" s="1"/>
  <c r="BH128" i="19"/>
  <c r="BJ128" i="19" s="1"/>
  <c r="BK128" i="19" s="1"/>
  <c r="CJ128" i="19"/>
  <c r="CL128" i="19" s="1"/>
  <c r="CM128" i="19" s="1"/>
  <c r="BV128" i="19"/>
  <c r="BX128" i="19" s="1"/>
  <c r="BY128" i="19" s="1"/>
  <c r="AT128" i="19"/>
  <c r="AV128" i="19" s="1"/>
  <c r="AW128" i="19" s="1"/>
  <c r="DB300" i="19"/>
  <c r="DD300" i="19" s="1"/>
  <c r="DL300" i="19" s="1"/>
  <c r="BL214" i="19"/>
  <c r="BN214" i="19" s="1"/>
  <c r="DI214" i="19" s="1"/>
  <c r="AP129" i="19"/>
  <c r="AR129" i="19" s="1"/>
  <c r="AS129" i="19" s="1"/>
  <c r="CF129" i="19"/>
  <c r="CH129" i="19" s="1"/>
  <c r="CI129" i="19" s="1"/>
  <c r="CT129" i="19"/>
  <c r="CV129" i="19" s="1"/>
  <c r="CW129" i="19" s="1"/>
  <c r="BR129" i="19"/>
  <c r="BT129" i="19" s="1"/>
  <c r="BU129" i="19" s="1"/>
  <c r="BD129" i="19"/>
  <c r="BF129" i="19" s="1"/>
  <c r="BG129" i="19" s="1"/>
  <c r="AB129" i="19"/>
  <c r="AD129" i="19" s="1"/>
  <c r="AE129" i="19" s="1"/>
  <c r="BZ300" i="19"/>
  <c r="CB300" i="19" s="1"/>
  <c r="DJ300" i="19" s="1"/>
  <c r="BL300" i="19"/>
  <c r="BN300" i="19" s="1"/>
  <c r="DI300" i="19" s="1"/>
  <c r="BZ214" i="19"/>
  <c r="CB214" i="19" s="1"/>
  <c r="BP303" i="19"/>
  <c r="BS303" i="19" s="1"/>
  <c r="BB303" i="19"/>
  <c r="BE303" i="19" s="1"/>
  <c r="G303" i="19"/>
  <c r="Z303" i="19"/>
  <c r="AC303" i="19" s="1"/>
  <c r="C304" i="19"/>
  <c r="AN303" i="19"/>
  <c r="AQ303" i="19" s="1"/>
  <c r="F303" i="19"/>
  <c r="CR303" i="19"/>
  <c r="CU303" i="19" s="1"/>
  <c r="CD303" i="19"/>
  <c r="CG303" i="19" s="1"/>
  <c r="DE303" i="19"/>
  <c r="Z217" i="19"/>
  <c r="AC217" i="19" s="1"/>
  <c r="CR217" i="19"/>
  <c r="CU217" i="19" s="1"/>
  <c r="C218" i="19"/>
  <c r="G217" i="19"/>
  <c r="H217" i="19" s="1"/>
  <c r="AN217" i="19"/>
  <c r="AQ217" i="19" s="1"/>
  <c r="CD217" i="19"/>
  <c r="CG217" i="19" s="1"/>
  <c r="BP217" i="19"/>
  <c r="BS217" i="19" s="1"/>
  <c r="BB217" i="19"/>
  <c r="BE217" i="19" s="1"/>
  <c r="DE217" i="19"/>
  <c r="CF215" i="19"/>
  <c r="CH215" i="19" s="1"/>
  <c r="CI215" i="19" s="1"/>
  <c r="AB215" i="19"/>
  <c r="AD215" i="19" s="1"/>
  <c r="AE215" i="19" s="1"/>
  <c r="BD215" i="19"/>
  <c r="BF215" i="19" s="1"/>
  <c r="BG215" i="19" s="1"/>
  <c r="BR215" i="19"/>
  <c r="BT215" i="19" s="1"/>
  <c r="BU215" i="19" s="1"/>
  <c r="CT215" i="19"/>
  <c r="CV215" i="19" s="1"/>
  <c r="CW215" i="19" s="1"/>
  <c r="AP215" i="19"/>
  <c r="AR215" i="19" s="1"/>
  <c r="AS215" i="19" s="1"/>
  <c r="AF129" i="19"/>
  <c r="AH129" i="19" s="1"/>
  <c r="AI129" i="19" s="1"/>
  <c r="CX129" i="19"/>
  <c r="CZ129" i="19" s="1"/>
  <c r="DA129" i="19" s="1"/>
  <c r="BV129" i="19"/>
  <c r="BX129" i="19" s="1"/>
  <c r="BY129" i="19" s="1"/>
  <c r="BH129" i="19"/>
  <c r="BJ129" i="19" s="1"/>
  <c r="BK129" i="19" s="1"/>
  <c r="AT129" i="19"/>
  <c r="AV129" i="19" s="1"/>
  <c r="AW129" i="19" s="1"/>
  <c r="CJ129" i="19"/>
  <c r="CL129" i="19" s="1"/>
  <c r="CM129" i="19" s="1"/>
  <c r="F131" i="19"/>
  <c r="AT215" i="19" l="1"/>
  <c r="AV215" i="19" s="1"/>
  <c r="AW215" i="19" s="1"/>
  <c r="BV215" i="19"/>
  <c r="BX215" i="19" s="1"/>
  <c r="BY215" i="19" s="1"/>
  <c r="BZ215" i="19" s="1"/>
  <c r="CB215" i="19" s="1"/>
  <c r="V216" i="19"/>
  <c r="X216" i="19" s="1"/>
  <c r="CJ216" i="19" s="1"/>
  <c r="CL216" i="19" s="1"/>
  <c r="CM216" i="19" s="1"/>
  <c r="CX215" i="19"/>
  <c r="CZ215" i="19" s="1"/>
  <c r="DA215" i="19" s="1"/>
  <c r="DB215" i="19" s="1"/>
  <c r="DD215" i="19" s="1"/>
  <c r="BH215" i="19"/>
  <c r="BJ215" i="19" s="1"/>
  <c r="BK215" i="19" s="1"/>
  <c r="BL215" i="19" s="1"/>
  <c r="BN215" i="19" s="1"/>
  <c r="DI215" i="19" s="1"/>
  <c r="CJ215" i="19"/>
  <c r="CL215" i="19" s="1"/>
  <c r="CM215" i="19" s="1"/>
  <c r="CN215" i="19" s="1"/>
  <c r="CP215" i="19" s="1"/>
  <c r="I130" i="19"/>
  <c r="S130" i="19" s="1"/>
  <c r="U130" i="19" s="1"/>
  <c r="BD130" i="19" s="1"/>
  <c r="BF130" i="19" s="1"/>
  <c r="BG130" i="19" s="1"/>
  <c r="BH301" i="19"/>
  <c r="BJ301" i="19" s="1"/>
  <c r="BK301" i="19" s="1"/>
  <c r="BL301" i="19" s="1"/>
  <c r="BN301" i="19" s="1"/>
  <c r="DI301" i="19" s="1"/>
  <c r="AF301" i="19"/>
  <c r="AH301" i="19" s="1"/>
  <c r="AI301" i="19" s="1"/>
  <c r="AJ301" i="19" s="1"/>
  <c r="AL301" i="19" s="1"/>
  <c r="DG301" i="19" s="1"/>
  <c r="CX301" i="19"/>
  <c r="CZ301" i="19" s="1"/>
  <c r="DA301" i="19" s="1"/>
  <c r="DB301" i="19" s="1"/>
  <c r="DD301" i="19" s="1"/>
  <c r="DL301" i="19" s="1"/>
  <c r="CJ301" i="19"/>
  <c r="CL301" i="19" s="1"/>
  <c r="CM301" i="19" s="1"/>
  <c r="CN301" i="19" s="1"/>
  <c r="CP301" i="19" s="1"/>
  <c r="DK301" i="19" s="1"/>
  <c r="H131" i="19"/>
  <c r="V131" i="19" s="1"/>
  <c r="X131" i="19" s="1"/>
  <c r="BV302" i="19"/>
  <c r="BX302" i="19" s="1"/>
  <c r="BY302" i="19" s="1"/>
  <c r="CX302" i="19"/>
  <c r="CZ302" i="19" s="1"/>
  <c r="DA302" i="19" s="1"/>
  <c r="AT302" i="19"/>
  <c r="AV302" i="19" s="1"/>
  <c r="AW302" i="19" s="1"/>
  <c r="BH302" i="19"/>
  <c r="BJ302" i="19" s="1"/>
  <c r="BK302" i="19" s="1"/>
  <c r="CJ302" i="19"/>
  <c r="CL302" i="19" s="1"/>
  <c r="CM302" i="19" s="1"/>
  <c r="BV301" i="19"/>
  <c r="BX301" i="19" s="1"/>
  <c r="BY301" i="19" s="1"/>
  <c r="BZ301" i="19" s="1"/>
  <c r="CB301" i="19" s="1"/>
  <c r="DJ301" i="19" s="1"/>
  <c r="AX301" i="19"/>
  <c r="AZ301" i="19" s="1"/>
  <c r="DH301" i="19" s="1"/>
  <c r="AX128" i="19"/>
  <c r="AZ128" i="19" s="1"/>
  <c r="DH128" i="19" s="1"/>
  <c r="H303" i="19"/>
  <c r="V303" i="19" s="1"/>
  <c r="X303" i="19" s="1"/>
  <c r="AJ129" i="19"/>
  <c r="AL129" i="19" s="1"/>
  <c r="DG129" i="19" s="1"/>
  <c r="I302" i="19"/>
  <c r="S302" i="19" s="1"/>
  <c r="U302" i="19" s="1"/>
  <c r="AB302" i="19" s="1"/>
  <c r="AD302" i="19" s="1"/>
  <c r="AE302" i="19" s="1"/>
  <c r="AJ302" i="19" s="1"/>
  <c r="AL302" i="19" s="1"/>
  <c r="DG302" i="19" s="1"/>
  <c r="DB129" i="19"/>
  <c r="DD129" i="19" s="1"/>
  <c r="DL129" i="19" s="1"/>
  <c r="CN129" i="19"/>
  <c r="CP129" i="19" s="1"/>
  <c r="DK129" i="19" s="1"/>
  <c r="AJ215" i="19"/>
  <c r="AL215" i="19" s="1"/>
  <c r="DG215" i="19" s="1"/>
  <c r="BZ129" i="19"/>
  <c r="CB129" i="19" s="1"/>
  <c r="DJ129" i="19" s="1"/>
  <c r="BL129" i="19"/>
  <c r="BN129" i="19" s="1"/>
  <c r="DI129" i="19" s="1"/>
  <c r="AX215" i="19"/>
  <c r="AZ215" i="19" s="1"/>
  <c r="DH215" i="19" s="1"/>
  <c r="BL128" i="19"/>
  <c r="BN128" i="19" s="1"/>
  <c r="DI128" i="19" s="1"/>
  <c r="V217" i="19"/>
  <c r="X217" i="19" s="1"/>
  <c r="I217" i="19"/>
  <c r="S217" i="19" s="1"/>
  <c r="U217" i="19" s="1"/>
  <c r="BZ128" i="19"/>
  <c r="CB128" i="19" s="1"/>
  <c r="DJ128" i="19" s="1"/>
  <c r="C219" i="19"/>
  <c r="Z218" i="19"/>
  <c r="AC218" i="19" s="1"/>
  <c r="CD218" i="19"/>
  <c r="CG218" i="19" s="1"/>
  <c r="CR218" i="19"/>
  <c r="CU218" i="19" s="1"/>
  <c r="BP218" i="19"/>
  <c r="BS218" i="19" s="1"/>
  <c r="BB218" i="19"/>
  <c r="BE218" i="19" s="1"/>
  <c r="G218" i="19"/>
  <c r="AN218" i="19"/>
  <c r="AQ218" i="19" s="1"/>
  <c r="DE218" i="19"/>
  <c r="CN128" i="19"/>
  <c r="CP128" i="19" s="1"/>
  <c r="DK128" i="19" s="1"/>
  <c r="BV216" i="19"/>
  <c r="BX216" i="19" s="1"/>
  <c r="BY216" i="19" s="1"/>
  <c r="CX216" i="19"/>
  <c r="CZ216" i="19" s="1"/>
  <c r="DA216" i="19" s="1"/>
  <c r="BR216" i="19"/>
  <c r="BT216" i="19" s="1"/>
  <c r="BU216" i="19" s="1"/>
  <c r="CF216" i="19"/>
  <c r="CH216" i="19" s="1"/>
  <c r="CI216" i="19" s="1"/>
  <c r="CT216" i="19"/>
  <c r="CV216" i="19" s="1"/>
  <c r="CW216" i="19" s="1"/>
  <c r="AB216" i="19"/>
  <c r="AD216" i="19" s="1"/>
  <c r="AE216" i="19" s="1"/>
  <c r="AP216" i="19"/>
  <c r="AR216" i="19" s="1"/>
  <c r="AS216" i="19" s="1"/>
  <c r="BD216" i="19"/>
  <c r="BF216" i="19" s="1"/>
  <c r="BG216" i="19" s="1"/>
  <c r="AJ128" i="19"/>
  <c r="AL128" i="19" s="1"/>
  <c r="DG128" i="19" s="1"/>
  <c r="DB128" i="19"/>
  <c r="DD128" i="19" s="1"/>
  <c r="DL128" i="19" s="1"/>
  <c r="BP304" i="19"/>
  <c r="BS304" i="19" s="1"/>
  <c r="CD304" i="19"/>
  <c r="CG304" i="19" s="1"/>
  <c r="BB304" i="19"/>
  <c r="BE304" i="19" s="1"/>
  <c r="Z304" i="19"/>
  <c r="AC304" i="19" s="1"/>
  <c r="G304" i="19"/>
  <c r="CR304" i="19"/>
  <c r="CU304" i="19" s="1"/>
  <c r="C305" i="19"/>
  <c r="AN304" i="19"/>
  <c r="AQ304" i="19" s="1"/>
  <c r="F304" i="19"/>
  <c r="DE304" i="19"/>
  <c r="F218" i="19"/>
  <c r="F132" i="19"/>
  <c r="AX129" i="19"/>
  <c r="AZ129" i="19" s="1"/>
  <c r="DH129" i="19" s="1"/>
  <c r="Z132" i="19"/>
  <c r="AC132" i="19" s="1"/>
  <c r="CD132" i="19"/>
  <c r="CG132" i="19" s="1"/>
  <c r="BB132" i="19"/>
  <c r="BE132" i="19" s="1"/>
  <c r="CR132" i="19"/>
  <c r="CU132" i="19" s="1"/>
  <c r="BP132" i="19"/>
  <c r="BS132" i="19" s="1"/>
  <c r="G132" i="19"/>
  <c r="C133" i="19"/>
  <c r="AN132" i="19"/>
  <c r="AQ132" i="19" s="1"/>
  <c r="DE132" i="19"/>
  <c r="BV130" i="19"/>
  <c r="BX130" i="19" s="1"/>
  <c r="BY130" i="19" s="1"/>
  <c r="AT130" i="19"/>
  <c r="AV130" i="19" s="1"/>
  <c r="AW130" i="19" s="1"/>
  <c r="BH130" i="19"/>
  <c r="BJ130" i="19" s="1"/>
  <c r="BK130" i="19" s="1"/>
  <c r="CJ130" i="19"/>
  <c r="CL130" i="19" s="1"/>
  <c r="CM130" i="19" s="1"/>
  <c r="CX130" i="19"/>
  <c r="CZ130" i="19" s="1"/>
  <c r="DA130" i="19" s="1"/>
  <c r="AF130" i="19"/>
  <c r="AH130" i="19" s="1"/>
  <c r="AI130" i="19" s="1"/>
  <c r="AF216" i="19" l="1"/>
  <c r="AH216" i="19" s="1"/>
  <c r="AI216" i="19" s="1"/>
  <c r="AT216" i="19"/>
  <c r="AV216" i="19" s="1"/>
  <c r="AW216" i="19" s="1"/>
  <c r="BH216" i="19"/>
  <c r="BJ216" i="19" s="1"/>
  <c r="BK216" i="19" s="1"/>
  <c r="CT130" i="19"/>
  <c r="CV130" i="19" s="1"/>
  <c r="CW130" i="19" s="1"/>
  <c r="AB130" i="19"/>
  <c r="AD130" i="19" s="1"/>
  <c r="AE130" i="19" s="1"/>
  <c r="CF130" i="19"/>
  <c r="CH130" i="19" s="1"/>
  <c r="CI130" i="19" s="1"/>
  <c r="CN130" i="19" s="1"/>
  <c r="CP130" i="19" s="1"/>
  <c r="DK130" i="19" s="1"/>
  <c r="BR130" i="19"/>
  <c r="BT130" i="19" s="1"/>
  <c r="BU130" i="19" s="1"/>
  <c r="BZ130" i="19" s="1"/>
  <c r="CB130" i="19" s="1"/>
  <c r="DJ130" i="19" s="1"/>
  <c r="AP130" i="19"/>
  <c r="AR130" i="19" s="1"/>
  <c r="AS130" i="19" s="1"/>
  <c r="AX130" i="19" s="1"/>
  <c r="AZ130" i="19" s="1"/>
  <c r="DH130" i="19" s="1"/>
  <c r="I131" i="19"/>
  <c r="S131" i="19" s="1"/>
  <c r="U131" i="19" s="1"/>
  <c r="CT131" i="19" s="1"/>
  <c r="CV131" i="19" s="1"/>
  <c r="CW131" i="19" s="1"/>
  <c r="I303" i="19"/>
  <c r="S303" i="19" s="1"/>
  <c r="U303" i="19" s="1"/>
  <c r="CF303" i="19" s="1"/>
  <c r="CH303" i="19" s="1"/>
  <c r="CI303" i="19" s="1"/>
  <c r="CF302" i="19"/>
  <c r="CH302" i="19" s="1"/>
  <c r="CI302" i="19" s="1"/>
  <c r="CN302" i="19" s="1"/>
  <c r="CP302" i="19" s="1"/>
  <c r="DK302" i="19" s="1"/>
  <c r="AP302" i="19"/>
  <c r="AR302" i="19" s="1"/>
  <c r="AS302" i="19" s="1"/>
  <c r="AX302" i="19" s="1"/>
  <c r="AZ302" i="19" s="1"/>
  <c r="DH302" i="19" s="1"/>
  <c r="CT302" i="19"/>
  <c r="CV302" i="19" s="1"/>
  <c r="CW302" i="19" s="1"/>
  <c r="DB302" i="19" s="1"/>
  <c r="DD302" i="19" s="1"/>
  <c r="DL302" i="19" s="1"/>
  <c r="BR302" i="19"/>
  <c r="BT302" i="19" s="1"/>
  <c r="BU302" i="19" s="1"/>
  <c r="BZ302" i="19" s="1"/>
  <c r="CB302" i="19" s="1"/>
  <c r="DJ302" i="19" s="1"/>
  <c r="BD302" i="19"/>
  <c r="BF302" i="19" s="1"/>
  <c r="BG302" i="19" s="1"/>
  <c r="BL302" i="19" s="1"/>
  <c r="BN302" i="19" s="1"/>
  <c r="DI302" i="19" s="1"/>
  <c r="F219" i="19"/>
  <c r="BL130" i="19"/>
  <c r="BN130" i="19" s="1"/>
  <c r="DI130" i="19" s="1"/>
  <c r="DB216" i="19"/>
  <c r="DD216" i="19" s="1"/>
  <c r="BZ216" i="19"/>
  <c r="CB216" i="19" s="1"/>
  <c r="AF131" i="19"/>
  <c r="AH131" i="19" s="1"/>
  <c r="AI131" i="19" s="1"/>
  <c r="CX131" i="19"/>
  <c r="CZ131" i="19" s="1"/>
  <c r="DA131" i="19" s="1"/>
  <c r="AT131" i="19"/>
  <c r="AV131" i="19" s="1"/>
  <c r="AW131" i="19" s="1"/>
  <c r="CJ131" i="19"/>
  <c r="CL131" i="19" s="1"/>
  <c r="CM131" i="19" s="1"/>
  <c r="BV131" i="19"/>
  <c r="BX131" i="19" s="1"/>
  <c r="BY131" i="19" s="1"/>
  <c r="BH131" i="19"/>
  <c r="BJ131" i="19" s="1"/>
  <c r="BK131" i="19" s="1"/>
  <c r="H132" i="19"/>
  <c r="H218" i="19"/>
  <c r="F133" i="19"/>
  <c r="AN133" i="19"/>
  <c r="AQ133" i="19" s="1"/>
  <c r="Z133" i="19"/>
  <c r="AC133" i="19" s="1"/>
  <c r="BB133" i="19"/>
  <c r="BE133" i="19" s="1"/>
  <c r="CR133" i="19"/>
  <c r="CU133" i="19" s="1"/>
  <c r="G133" i="19"/>
  <c r="CD133" i="19"/>
  <c r="CG133" i="19" s="1"/>
  <c r="BP133" i="19"/>
  <c r="BS133" i="19" s="1"/>
  <c r="C134" i="19"/>
  <c r="DE133" i="19"/>
  <c r="F305" i="19"/>
  <c r="AN305" i="19"/>
  <c r="AQ305" i="19" s="1"/>
  <c r="C306" i="19"/>
  <c r="Z305" i="19"/>
  <c r="AC305" i="19" s="1"/>
  <c r="G305" i="19"/>
  <c r="CR305" i="19"/>
  <c r="CU305" i="19" s="1"/>
  <c r="CD305" i="19"/>
  <c r="CG305" i="19" s="1"/>
  <c r="BP305" i="19"/>
  <c r="BS305" i="19" s="1"/>
  <c r="BB305" i="19"/>
  <c r="BE305" i="19" s="1"/>
  <c r="DE305" i="19"/>
  <c r="AX216" i="19"/>
  <c r="AZ216" i="19" s="1"/>
  <c r="DH216" i="19" s="1"/>
  <c r="CR219" i="19"/>
  <c r="CU219" i="19" s="1"/>
  <c r="CD219" i="19"/>
  <c r="CG219" i="19" s="1"/>
  <c r="BP219" i="19"/>
  <c r="BS219" i="19" s="1"/>
  <c r="BB219" i="19"/>
  <c r="BE219" i="19" s="1"/>
  <c r="G219" i="19"/>
  <c r="C220" i="19"/>
  <c r="AN219" i="19"/>
  <c r="AQ219" i="19" s="1"/>
  <c r="Z219" i="19"/>
  <c r="AC219" i="19" s="1"/>
  <c r="DE219" i="19"/>
  <c r="BH303" i="19"/>
  <c r="BJ303" i="19" s="1"/>
  <c r="BK303" i="19" s="1"/>
  <c r="AT303" i="19"/>
  <c r="AV303" i="19" s="1"/>
  <c r="AW303" i="19" s="1"/>
  <c r="CX303" i="19"/>
  <c r="CZ303" i="19" s="1"/>
  <c r="DA303" i="19" s="1"/>
  <c r="AF303" i="19"/>
  <c r="AH303" i="19" s="1"/>
  <c r="AI303" i="19" s="1"/>
  <c r="BV303" i="19"/>
  <c r="BX303" i="19" s="1"/>
  <c r="BY303" i="19" s="1"/>
  <c r="CJ303" i="19"/>
  <c r="CL303" i="19" s="1"/>
  <c r="CM303" i="19" s="1"/>
  <c r="AJ130" i="19"/>
  <c r="AL130" i="19" s="1"/>
  <c r="DG130" i="19" s="1"/>
  <c r="DB130" i="19"/>
  <c r="DD130" i="19" s="1"/>
  <c r="DL130" i="19" s="1"/>
  <c r="H304" i="19"/>
  <c r="BL216" i="19"/>
  <c r="BN216" i="19" s="1"/>
  <c r="DI216" i="19" s="1"/>
  <c r="AJ216" i="19"/>
  <c r="AL216" i="19" s="1"/>
  <c r="DG216" i="19" s="1"/>
  <c r="BD217" i="19"/>
  <c r="BF217" i="19" s="1"/>
  <c r="BG217" i="19" s="1"/>
  <c r="BR217" i="19"/>
  <c r="BT217" i="19" s="1"/>
  <c r="BU217" i="19" s="1"/>
  <c r="CF217" i="19"/>
  <c r="CH217" i="19" s="1"/>
  <c r="CI217" i="19" s="1"/>
  <c r="AP217" i="19"/>
  <c r="AR217" i="19" s="1"/>
  <c r="AS217" i="19" s="1"/>
  <c r="CT217" i="19"/>
  <c r="CV217" i="19" s="1"/>
  <c r="CW217" i="19" s="1"/>
  <c r="AB217" i="19"/>
  <c r="AD217" i="19" s="1"/>
  <c r="AE217" i="19" s="1"/>
  <c r="CN216" i="19"/>
  <c r="CP216" i="19" s="1"/>
  <c r="AF217" i="19"/>
  <c r="AH217" i="19" s="1"/>
  <c r="AI217" i="19" s="1"/>
  <c r="BH217" i="19"/>
  <c r="BJ217" i="19" s="1"/>
  <c r="BK217" i="19" s="1"/>
  <c r="BV217" i="19"/>
  <c r="BX217" i="19" s="1"/>
  <c r="BY217" i="19" s="1"/>
  <c r="CJ217" i="19"/>
  <c r="CL217" i="19" s="1"/>
  <c r="CM217" i="19" s="1"/>
  <c r="CX217" i="19"/>
  <c r="CZ217" i="19" s="1"/>
  <c r="DA217" i="19" s="1"/>
  <c r="AT217" i="19"/>
  <c r="AV217" i="19" s="1"/>
  <c r="AW217" i="19" s="1"/>
  <c r="AB131" i="19" l="1"/>
  <c r="AD131" i="19" s="1"/>
  <c r="AE131" i="19" s="1"/>
  <c r="AJ131" i="19" s="1"/>
  <c r="AL131" i="19" s="1"/>
  <c r="DG131" i="19" s="1"/>
  <c r="BD131" i="19"/>
  <c r="BF131" i="19" s="1"/>
  <c r="BG131" i="19" s="1"/>
  <c r="BL131" i="19" s="1"/>
  <c r="BN131" i="19" s="1"/>
  <c r="DI131" i="19" s="1"/>
  <c r="AP303" i="19"/>
  <c r="AR303" i="19" s="1"/>
  <c r="AS303" i="19" s="1"/>
  <c r="AX303" i="19" s="1"/>
  <c r="AZ303" i="19" s="1"/>
  <c r="DH303" i="19" s="1"/>
  <c r="CF131" i="19"/>
  <c r="CH131" i="19" s="1"/>
  <c r="CI131" i="19" s="1"/>
  <c r="CN131" i="19" s="1"/>
  <c r="CP131" i="19" s="1"/>
  <c r="DK131" i="19" s="1"/>
  <c r="BR131" i="19"/>
  <c r="BT131" i="19" s="1"/>
  <c r="BU131" i="19" s="1"/>
  <c r="BZ131" i="19" s="1"/>
  <c r="CB131" i="19" s="1"/>
  <c r="DJ131" i="19" s="1"/>
  <c r="AP131" i="19"/>
  <c r="AR131" i="19" s="1"/>
  <c r="AS131" i="19" s="1"/>
  <c r="AX131" i="19" s="1"/>
  <c r="AZ131" i="19" s="1"/>
  <c r="DH131" i="19" s="1"/>
  <c r="BR303" i="19"/>
  <c r="BT303" i="19" s="1"/>
  <c r="BU303" i="19" s="1"/>
  <c r="BZ303" i="19" s="1"/>
  <c r="CB303" i="19" s="1"/>
  <c r="DJ303" i="19" s="1"/>
  <c r="F220" i="19"/>
  <c r="H219" i="19"/>
  <c r="V219" i="19" s="1"/>
  <c r="X219" i="19" s="1"/>
  <c r="CT303" i="19"/>
  <c r="CV303" i="19" s="1"/>
  <c r="CW303" i="19" s="1"/>
  <c r="DB303" i="19" s="1"/>
  <c r="DD303" i="19" s="1"/>
  <c r="DL303" i="19" s="1"/>
  <c r="BD303" i="19"/>
  <c r="BF303" i="19" s="1"/>
  <c r="BG303" i="19" s="1"/>
  <c r="BL303" i="19" s="1"/>
  <c r="BN303" i="19" s="1"/>
  <c r="DI303" i="19" s="1"/>
  <c r="AB303" i="19"/>
  <c r="AD303" i="19" s="1"/>
  <c r="AE303" i="19" s="1"/>
  <c r="AJ303" i="19" s="1"/>
  <c r="AL303" i="19" s="1"/>
  <c r="DG303" i="19" s="1"/>
  <c r="AJ217" i="19"/>
  <c r="AL217" i="19" s="1"/>
  <c r="DG217" i="19" s="1"/>
  <c r="BL217" i="19"/>
  <c r="BN217" i="19" s="1"/>
  <c r="DI217" i="19" s="1"/>
  <c r="F134" i="19"/>
  <c r="BZ217" i="19"/>
  <c r="CB217" i="19" s="1"/>
  <c r="CN217" i="19"/>
  <c r="CP217" i="19" s="1"/>
  <c r="CN303" i="19"/>
  <c r="CP303" i="19" s="1"/>
  <c r="DK303" i="19" s="1"/>
  <c r="DB217" i="19"/>
  <c r="DD217" i="19" s="1"/>
  <c r="AX217" i="19"/>
  <c r="AZ217" i="19" s="1"/>
  <c r="DH217" i="19" s="1"/>
  <c r="H133" i="19"/>
  <c r="I133" i="19" s="1"/>
  <c r="S133" i="19" s="1"/>
  <c r="U133" i="19" s="1"/>
  <c r="V218" i="19"/>
  <c r="X218" i="19" s="1"/>
  <c r="I218" i="19"/>
  <c r="S218" i="19" s="1"/>
  <c r="U218" i="19" s="1"/>
  <c r="V132" i="19"/>
  <c r="X132" i="19" s="1"/>
  <c r="I132" i="19"/>
  <c r="S132" i="19" s="1"/>
  <c r="U132" i="19" s="1"/>
  <c r="DB131" i="19"/>
  <c r="DD131" i="19" s="1"/>
  <c r="DL131" i="19" s="1"/>
  <c r="BB134" i="19"/>
  <c r="BE134" i="19" s="1"/>
  <c r="G134" i="19"/>
  <c r="C135" i="19"/>
  <c r="AN134" i="19"/>
  <c r="AQ134" i="19" s="1"/>
  <c r="Z134" i="19"/>
  <c r="AC134" i="19" s="1"/>
  <c r="CR134" i="19"/>
  <c r="CU134" i="19" s="1"/>
  <c r="BP134" i="19"/>
  <c r="BS134" i="19" s="1"/>
  <c r="CD134" i="19"/>
  <c r="CG134" i="19" s="1"/>
  <c r="DE134" i="19"/>
  <c r="V304" i="19"/>
  <c r="X304" i="19" s="1"/>
  <c r="I304" i="19"/>
  <c r="S304" i="19" s="1"/>
  <c r="U304" i="19" s="1"/>
  <c r="AN306" i="19"/>
  <c r="AQ306" i="19" s="1"/>
  <c r="G306" i="19"/>
  <c r="F306" i="19"/>
  <c r="C307" i="19"/>
  <c r="Z306" i="19"/>
  <c r="AC306" i="19" s="1"/>
  <c r="CR306" i="19"/>
  <c r="CU306" i="19" s="1"/>
  <c r="CD306" i="19"/>
  <c r="CG306" i="19" s="1"/>
  <c r="BP306" i="19"/>
  <c r="BS306" i="19" s="1"/>
  <c r="BB306" i="19"/>
  <c r="BE306" i="19" s="1"/>
  <c r="DE306" i="19"/>
  <c r="Z220" i="19"/>
  <c r="AC220" i="19" s="1"/>
  <c r="CD220" i="19"/>
  <c r="CG220" i="19" s="1"/>
  <c r="BP220" i="19"/>
  <c r="BS220" i="19" s="1"/>
  <c r="BB220" i="19"/>
  <c r="BE220" i="19" s="1"/>
  <c r="G220" i="19"/>
  <c r="C221" i="19"/>
  <c r="AN220" i="19"/>
  <c r="AQ220" i="19" s="1"/>
  <c r="CR220" i="19"/>
  <c r="CU220" i="19" s="1"/>
  <c r="DE220" i="19"/>
  <c r="H305" i="19"/>
  <c r="H220" i="19" l="1"/>
  <c r="I220" i="19" s="1"/>
  <c r="S220" i="19" s="1"/>
  <c r="U220" i="19" s="1"/>
  <c r="F221" i="19"/>
  <c r="I219" i="19"/>
  <c r="S219" i="19" s="1"/>
  <c r="U219" i="19" s="1"/>
  <c r="BR219" i="19" s="1"/>
  <c r="BT219" i="19" s="1"/>
  <c r="BU219" i="19" s="1"/>
  <c r="F135" i="19"/>
  <c r="V133" i="19"/>
  <c r="X133" i="19" s="1"/>
  <c r="BV133" i="19" s="1"/>
  <c r="BX133" i="19" s="1"/>
  <c r="BY133" i="19" s="1"/>
  <c r="H134" i="19"/>
  <c r="V134" i="19" s="1"/>
  <c r="X134" i="19" s="1"/>
  <c r="H306" i="19"/>
  <c r="I306" i="19" s="1"/>
  <c r="S306" i="19" s="1"/>
  <c r="U306" i="19" s="1"/>
  <c r="F307" i="19"/>
  <c r="Z307" i="19"/>
  <c r="AC307" i="19" s="1"/>
  <c r="CR307" i="19"/>
  <c r="CU307" i="19" s="1"/>
  <c r="CD307" i="19"/>
  <c r="CG307" i="19" s="1"/>
  <c r="BP307" i="19"/>
  <c r="BS307" i="19" s="1"/>
  <c r="BB307" i="19"/>
  <c r="BE307" i="19" s="1"/>
  <c r="G307" i="19"/>
  <c r="AN307" i="19"/>
  <c r="AQ307" i="19" s="1"/>
  <c r="C308" i="19"/>
  <c r="DE307" i="19"/>
  <c r="CT304" i="19"/>
  <c r="CV304" i="19" s="1"/>
  <c r="CW304" i="19" s="1"/>
  <c r="AP304" i="19"/>
  <c r="AR304" i="19" s="1"/>
  <c r="AS304" i="19" s="1"/>
  <c r="BD304" i="19"/>
  <c r="BF304" i="19" s="1"/>
  <c r="BG304" i="19" s="1"/>
  <c r="AB304" i="19"/>
  <c r="AD304" i="19" s="1"/>
  <c r="AE304" i="19" s="1"/>
  <c r="BR304" i="19"/>
  <c r="BT304" i="19" s="1"/>
  <c r="BU304" i="19" s="1"/>
  <c r="CF304" i="19"/>
  <c r="CH304" i="19" s="1"/>
  <c r="CI304" i="19" s="1"/>
  <c r="BD132" i="19"/>
  <c r="BF132" i="19" s="1"/>
  <c r="BG132" i="19" s="1"/>
  <c r="BR132" i="19"/>
  <c r="BT132" i="19" s="1"/>
  <c r="BU132" i="19" s="1"/>
  <c r="CF132" i="19"/>
  <c r="CH132" i="19" s="1"/>
  <c r="CI132" i="19" s="1"/>
  <c r="CT132" i="19"/>
  <c r="CV132" i="19" s="1"/>
  <c r="CW132" i="19" s="1"/>
  <c r="AB132" i="19"/>
  <c r="AD132" i="19" s="1"/>
  <c r="AE132" i="19" s="1"/>
  <c r="AP132" i="19"/>
  <c r="AR132" i="19" s="1"/>
  <c r="AS132" i="19" s="1"/>
  <c r="BV132" i="19"/>
  <c r="BX132" i="19" s="1"/>
  <c r="BY132" i="19" s="1"/>
  <c r="BH132" i="19"/>
  <c r="BJ132" i="19" s="1"/>
  <c r="BK132" i="19" s="1"/>
  <c r="CX132" i="19"/>
  <c r="CZ132" i="19" s="1"/>
  <c r="DA132" i="19" s="1"/>
  <c r="CJ132" i="19"/>
  <c r="CL132" i="19" s="1"/>
  <c r="CM132" i="19" s="1"/>
  <c r="AF132" i="19"/>
  <c r="AH132" i="19" s="1"/>
  <c r="AI132" i="19" s="1"/>
  <c r="AT132" i="19"/>
  <c r="AV132" i="19" s="1"/>
  <c r="AW132" i="19" s="1"/>
  <c r="BR218" i="19"/>
  <c r="BT218" i="19" s="1"/>
  <c r="BU218" i="19" s="1"/>
  <c r="BD218" i="19"/>
  <c r="BF218" i="19" s="1"/>
  <c r="BG218" i="19" s="1"/>
  <c r="CF218" i="19"/>
  <c r="CH218" i="19" s="1"/>
  <c r="CI218" i="19" s="1"/>
  <c r="AB218" i="19"/>
  <c r="AD218" i="19" s="1"/>
  <c r="AE218" i="19" s="1"/>
  <c r="CT218" i="19"/>
  <c r="CV218" i="19" s="1"/>
  <c r="CW218" i="19" s="1"/>
  <c r="AP218" i="19"/>
  <c r="AR218" i="19" s="1"/>
  <c r="AS218" i="19" s="1"/>
  <c r="V305" i="19"/>
  <c r="X305" i="19" s="1"/>
  <c r="I305" i="19"/>
  <c r="S305" i="19" s="1"/>
  <c r="U305" i="19" s="1"/>
  <c r="CX304" i="19"/>
  <c r="CZ304" i="19" s="1"/>
  <c r="DA304" i="19" s="1"/>
  <c r="BH304" i="19"/>
  <c r="BJ304" i="19" s="1"/>
  <c r="BK304" i="19" s="1"/>
  <c r="BV304" i="19"/>
  <c r="BX304" i="19" s="1"/>
  <c r="BY304" i="19" s="1"/>
  <c r="AT304" i="19"/>
  <c r="AV304" i="19" s="1"/>
  <c r="AW304" i="19" s="1"/>
  <c r="CJ304" i="19"/>
  <c r="CL304" i="19" s="1"/>
  <c r="CM304" i="19" s="1"/>
  <c r="AF304" i="19"/>
  <c r="AH304" i="19" s="1"/>
  <c r="AI304" i="19" s="1"/>
  <c r="AF218" i="19"/>
  <c r="AH218" i="19" s="1"/>
  <c r="AI218" i="19" s="1"/>
  <c r="CX218" i="19"/>
  <c r="CZ218" i="19" s="1"/>
  <c r="DA218" i="19" s="1"/>
  <c r="BH218" i="19"/>
  <c r="BJ218" i="19" s="1"/>
  <c r="BK218" i="19" s="1"/>
  <c r="AT218" i="19"/>
  <c r="AV218" i="19" s="1"/>
  <c r="AW218" i="19" s="1"/>
  <c r="BV218" i="19"/>
  <c r="BX218" i="19" s="1"/>
  <c r="BY218" i="19" s="1"/>
  <c r="CJ218" i="19"/>
  <c r="CL218" i="19" s="1"/>
  <c r="CM218" i="19" s="1"/>
  <c r="AP133" i="19"/>
  <c r="AR133" i="19" s="1"/>
  <c r="AS133" i="19" s="1"/>
  <c r="BD133" i="19"/>
  <c r="BF133" i="19" s="1"/>
  <c r="BG133" i="19" s="1"/>
  <c r="BR133" i="19"/>
  <c r="BT133" i="19" s="1"/>
  <c r="BU133" i="19" s="1"/>
  <c r="CF133" i="19"/>
  <c r="CH133" i="19" s="1"/>
  <c r="CI133" i="19" s="1"/>
  <c r="CT133" i="19"/>
  <c r="CV133" i="19" s="1"/>
  <c r="CW133" i="19" s="1"/>
  <c r="AB133" i="19"/>
  <c r="AD133" i="19" s="1"/>
  <c r="AE133" i="19" s="1"/>
  <c r="BP221" i="19"/>
  <c r="BS221" i="19" s="1"/>
  <c r="BB221" i="19"/>
  <c r="BE221" i="19" s="1"/>
  <c r="G221" i="19"/>
  <c r="H221" i="19" s="1"/>
  <c r="C222" i="19"/>
  <c r="AN221" i="19"/>
  <c r="AQ221" i="19" s="1"/>
  <c r="Z221" i="19"/>
  <c r="AC221" i="19" s="1"/>
  <c r="CR221" i="19"/>
  <c r="CU221" i="19" s="1"/>
  <c r="CD221" i="19"/>
  <c r="CG221" i="19" s="1"/>
  <c r="DE221" i="19"/>
  <c r="G135" i="19"/>
  <c r="C136" i="19"/>
  <c r="AN135" i="19"/>
  <c r="AQ135" i="19" s="1"/>
  <c r="Z135" i="19"/>
  <c r="AC135" i="19" s="1"/>
  <c r="CR135" i="19"/>
  <c r="CU135" i="19" s="1"/>
  <c r="CD135" i="19"/>
  <c r="CG135" i="19" s="1"/>
  <c r="BP135" i="19"/>
  <c r="BS135" i="19" s="1"/>
  <c r="BB135" i="19"/>
  <c r="BE135" i="19" s="1"/>
  <c r="DE135" i="19"/>
  <c r="CX219" i="19"/>
  <c r="CZ219" i="19" s="1"/>
  <c r="DA219" i="19" s="1"/>
  <c r="AF219" i="19"/>
  <c r="AH219" i="19" s="1"/>
  <c r="AI219" i="19" s="1"/>
  <c r="BH219" i="19"/>
  <c r="BJ219" i="19" s="1"/>
  <c r="BK219" i="19" s="1"/>
  <c r="BV219" i="19"/>
  <c r="BX219" i="19" s="1"/>
  <c r="BY219" i="19" s="1"/>
  <c r="CJ219" i="19"/>
  <c r="CL219" i="19" s="1"/>
  <c r="CM219" i="19" s="1"/>
  <c r="AT219" i="19"/>
  <c r="AV219" i="19" s="1"/>
  <c r="AW219" i="19" s="1"/>
  <c r="V220" i="19" l="1"/>
  <c r="X220" i="19" s="1"/>
  <c r="CX220" i="19" s="1"/>
  <c r="CZ220" i="19" s="1"/>
  <c r="DA220" i="19" s="1"/>
  <c r="H135" i="19"/>
  <c r="CX133" i="19"/>
  <c r="CZ133" i="19" s="1"/>
  <c r="DA133" i="19" s="1"/>
  <c r="DB133" i="19" s="1"/>
  <c r="DD133" i="19" s="1"/>
  <c r="DL133" i="19" s="1"/>
  <c r="CT219" i="19"/>
  <c r="CV219" i="19" s="1"/>
  <c r="CW219" i="19" s="1"/>
  <c r="BZ304" i="19"/>
  <c r="CB304" i="19" s="1"/>
  <c r="DJ304" i="19" s="1"/>
  <c r="BD219" i="19"/>
  <c r="BF219" i="19" s="1"/>
  <c r="BG219" i="19" s="1"/>
  <c r="BL219" i="19" s="1"/>
  <c r="BN219" i="19" s="1"/>
  <c r="DI219" i="19" s="1"/>
  <c r="AP219" i="19"/>
  <c r="AR219" i="19" s="1"/>
  <c r="AS219" i="19" s="1"/>
  <c r="CF219" i="19"/>
  <c r="CH219" i="19" s="1"/>
  <c r="CI219" i="19" s="1"/>
  <c r="AB219" i="19"/>
  <c r="AD219" i="19" s="1"/>
  <c r="AE219" i="19" s="1"/>
  <c r="AJ219" i="19" s="1"/>
  <c r="AL219" i="19" s="1"/>
  <c r="DG219" i="19" s="1"/>
  <c r="BL304" i="19"/>
  <c r="BN304" i="19" s="1"/>
  <c r="DI304" i="19" s="1"/>
  <c r="V306" i="19"/>
  <c r="X306" i="19" s="1"/>
  <c r="CX306" i="19" s="1"/>
  <c r="CZ306" i="19" s="1"/>
  <c r="DA306" i="19" s="1"/>
  <c r="F136" i="19"/>
  <c r="AT133" i="19"/>
  <c r="AV133" i="19" s="1"/>
  <c r="AW133" i="19" s="1"/>
  <c r="AX133" i="19" s="1"/>
  <c r="AZ133" i="19" s="1"/>
  <c r="DH133" i="19" s="1"/>
  <c r="AF133" i="19"/>
  <c r="AH133" i="19" s="1"/>
  <c r="AI133" i="19" s="1"/>
  <c r="AJ133" i="19" s="1"/>
  <c r="AL133" i="19" s="1"/>
  <c r="DG133" i="19" s="1"/>
  <c r="BH133" i="19"/>
  <c r="BJ133" i="19" s="1"/>
  <c r="BK133" i="19" s="1"/>
  <c r="BL133" i="19" s="1"/>
  <c r="BN133" i="19" s="1"/>
  <c r="DI133" i="19" s="1"/>
  <c r="CJ133" i="19"/>
  <c r="CL133" i="19" s="1"/>
  <c r="CM133" i="19" s="1"/>
  <c r="CN133" i="19" s="1"/>
  <c r="CP133" i="19" s="1"/>
  <c r="DK133" i="19" s="1"/>
  <c r="I134" i="19"/>
  <c r="S134" i="19" s="1"/>
  <c r="U134" i="19" s="1"/>
  <c r="CT134" i="19" s="1"/>
  <c r="CV134" i="19" s="1"/>
  <c r="CW134" i="19" s="1"/>
  <c r="AJ132" i="19"/>
  <c r="AL132" i="19" s="1"/>
  <c r="DG132" i="19" s="1"/>
  <c r="CN132" i="19"/>
  <c r="CP132" i="19" s="1"/>
  <c r="DK132" i="19" s="1"/>
  <c r="AJ304" i="19"/>
  <c r="AL304" i="19" s="1"/>
  <c r="DG304" i="19" s="1"/>
  <c r="CN304" i="19"/>
  <c r="CP304" i="19" s="1"/>
  <c r="DK304" i="19" s="1"/>
  <c r="BL132" i="19"/>
  <c r="BN132" i="19" s="1"/>
  <c r="DI132" i="19" s="1"/>
  <c r="BZ218" i="19"/>
  <c r="CB218" i="19" s="1"/>
  <c r="BZ132" i="19"/>
  <c r="CB132" i="19" s="1"/>
  <c r="DJ132" i="19" s="1"/>
  <c r="AJ218" i="19"/>
  <c r="AL218" i="19" s="1"/>
  <c r="DG218" i="19" s="1"/>
  <c r="DB132" i="19"/>
  <c r="DD132" i="19" s="1"/>
  <c r="DL132" i="19" s="1"/>
  <c r="BZ133" i="19"/>
  <c r="CB133" i="19" s="1"/>
  <c r="DJ133" i="19" s="1"/>
  <c r="BL218" i="19"/>
  <c r="BN218" i="19" s="1"/>
  <c r="DI218" i="19" s="1"/>
  <c r="AX304" i="19"/>
  <c r="AZ304" i="19" s="1"/>
  <c r="DH304" i="19" s="1"/>
  <c r="DB304" i="19"/>
  <c r="DD304" i="19" s="1"/>
  <c r="DL304" i="19" s="1"/>
  <c r="DB219" i="19"/>
  <c r="DD219" i="19" s="1"/>
  <c r="V221" i="19"/>
  <c r="X221" i="19" s="1"/>
  <c r="I221" i="19"/>
  <c r="S221" i="19" s="1"/>
  <c r="U221" i="19" s="1"/>
  <c r="V135" i="19"/>
  <c r="X135" i="19" s="1"/>
  <c r="I135" i="19"/>
  <c r="S135" i="19" s="1"/>
  <c r="U135" i="19" s="1"/>
  <c r="AN308" i="19"/>
  <c r="AQ308" i="19" s="1"/>
  <c r="F308" i="19"/>
  <c r="Z308" i="19"/>
  <c r="AC308" i="19" s="1"/>
  <c r="CR308" i="19"/>
  <c r="CU308" i="19" s="1"/>
  <c r="CD308" i="19"/>
  <c r="CG308" i="19" s="1"/>
  <c r="BP308" i="19"/>
  <c r="BS308" i="19" s="1"/>
  <c r="BB308" i="19"/>
  <c r="BE308" i="19" s="1"/>
  <c r="G308" i="19"/>
  <c r="C309" i="19"/>
  <c r="DE308" i="19"/>
  <c r="AB306" i="19"/>
  <c r="AD306" i="19" s="1"/>
  <c r="AE306" i="19" s="1"/>
  <c r="AP306" i="19"/>
  <c r="AR306" i="19" s="1"/>
  <c r="AS306" i="19" s="1"/>
  <c r="BD306" i="19"/>
  <c r="BF306" i="19" s="1"/>
  <c r="BG306" i="19" s="1"/>
  <c r="BR306" i="19"/>
  <c r="BT306" i="19" s="1"/>
  <c r="BU306" i="19" s="1"/>
  <c r="CT306" i="19"/>
  <c r="CV306" i="19" s="1"/>
  <c r="CW306" i="19" s="1"/>
  <c r="CF306" i="19"/>
  <c r="CH306" i="19" s="1"/>
  <c r="CI306" i="19" s="1"/>
  <c r="CT305" i="19"/>
  <c r="CV305" i="19" s="1"/>
  <c r="CW305" i="19" s="1"/>
  <c r="AB305" i="19"/>
  <c r="AD305" i="19" s="1"/>
  <c r="AE305" i="19" s="1"/>
  <c r="AP305" i="19"/>
  <c r="AR305" i="19" s="1"/>
  <c r="AS305" i="19" s="1"/>
  <c r="BR305" i="19"/>
  <c r="BT305" i="19" s="1"/>
  <c r="BU305" i="19" s="1"/>
  <c r="CF305" i="19"/>
  <c r="CH305" i="19" s="1"/>
  <c r="CI305" i="19" s="1"/>
  <c r="BD305" i="19"/>
  <c r="BF305" i="19" s="1"/>
  <c r="BG305" i="19" s="1"/>
  <c r="CX305" i="19"/>
  <c r="CZ305" i="19" s="1"/>
  <c r="DA305" i="19" s="1"/>
  <c r="AF305" i="19"/>
  <c r="AH305" i="19" s="1"/>
  <c r="AI305" i="19" s="1"/>
  <c r="CJ305" i="19"/>
  <c r="CL305" i="19" s="1"/>
  <c r="CM305" i="19" s="1"/>
  <c r="BV305" i="19"/>
  <c r="BX305" i="19" s="1"/>
  <c r="BY305" i="19" s="1"/>
  <c r="BH305" i="19"/>
  <c r="BJ305" i="19" s="1"/>
  <c r="BK305" i="19" s="1"/>
  <c r="AT305" i="19"/>
  <c r="AV305" i="19" s="1"/>
  <c r="AW305" i="19" s="1"/>
  <c r="BP136" i="19"/>
  <c r="BS136" i="19" s="1"/>
  <c r="BB136" i="19"/>
  <c r="BE136" i="19" s="1"/>
  <c r="G136" i="19"/>
  <c r="C137" i="19"/>
  <c r="AN136" i="19"/>
  <c r="AQ136" i="19" s="1"/>
  <c r="Z136" i="19"/>
  <c r="AC136" i="19" s="1"/>
  <c r="CR136" i="19"/>
  <c r="CU136" i="19" s="1"/>
  <c r="CD136" i="19"/>
  <c r="CG136" i="19" s="1"/>
  <c r="DE136" i="19"/>
  <c r="CN218" i="19"/>
  <c r="CP218" i="19" s="1"/>
  <c r="H307" i="19"/>
  <c r="Z222" i="19"/>
  <c r="AC222" i="19" s="1"/>
  <c r="CR222" i="19"/>
  <c r="CU222" i="19" s="1"/>
  <c r="CD222" i="19"/>
  <c r="CG222" i="19" s="1"/>
  <c r="BP222" i="19"/>
  <c r="BS222" i="19" s="1"/>
  <c r="BB222" i="19"/>
  <c r="BE222" i="19" s="1"/>
  <c r="G222" i="19"/>
  <c r="C223" i="19"/>
  <c r="AN222" i="19"/>
  <c r="AQ222" i="19" s="1"/>
  <c r="DE222" i="19"/>
  <c r="AX219" i="19"/>
  <c r="AZ219" i="19" s="1"/>
  <c r="DH219" i="19" s="1"/>
  <c r="F222" i="19"/>
  <c r="AP220" i="19"/>
  <c r="AR220" i="19" s="1"/>
  <c r="AS220" i="19" s="1"/>
  <c r="AB220" i="19"/>
  <c r="AD220" i="19" s="1"/>
  <c r="AE220" i="19" s="1"/>
  <c r="CT220" i="19"/>
  <c r="CV220" i="19" s="1"/>
  <c r="CW220" i="19" s="1"/>
  <c r="CF220" i="19"/>
  <c r="CH220" i="19" s="1"/>
  <c r="CI220" i="19" s="1"/>
  <c r="BR220" i="19"/>
  <c r="BT220" i="19" s="1"/>
  <c r="BU220" i="19" s="1"/>
  <c r="BD220" i="19"/>
  <c r="BF220" i="19" s="1"/>
  <c r="BG220" i="19" s="1"/>
  <c r="CN219" i="19"/>
  <c r="CP219" i="19" s="1"/>
  <c r="AX218" i="19"/>
  <c r="AZ218" i="19" s="1"/>
  <c r="DH218" i="19" s="1"/>
  <c r="BZ219" i="19"/>
  <c r="CB219" i="19" s="1"/>
  <c r="DB218" i="19"/>
  <c r="DD218" i="19" s="1"/>
  <c r="AX132" i="19"/>
  <c r="AZ132" i="19" s="1"/>
  <c r="DH132" i="19" s="1"/>
  <c r="BH134" i="19"/>
  <c r="BJ134" i="19" s="1"/>
  <c r="BK134" i="19" s="1"/>
  <c r="BV134" i="19"/>
  <c r="BX134" i="19" s="1"/>
  <c r="BY134" i="19" s="1"/>
  <c r="CX134" i="19"/>
  <c r="CZ134" i="19" s="1"/>
  <c r="DA134" i="19" s="1"/>
  <c r="AF134" i="19"/>
  <c r="AH134" i="19" s="1"/>
  <c r="AI134" i="19" s="1"/>
  <c r="CJ134" i="19"/>
  <c r="CL134" i="19" s="1"/>
  <c r="CM134" i="19" s="1"/>
  <c r="AT134" i="19"/>
  <c r="AV134" i="19" s="1"/>
  <c r="AW134" i="19" s="1"/>
  <c r="BH220" i="19" l="1"/>
  <c r="BJ220" i="19" s="1"/>
  <c r="BK220" i="19" s="1"/>
  <c r="BV220" i="19"/>
  <c r="BX220" i="19" s="1"/>
  <c r="BY220" i="19" s="1"/>
  <c r="AF220" i="19"/>
  <c r="AH220" i="19" s="1"/>
  <c r="AI220" i="19" s="1"/>
  <c r="AT220" i="19"/>
  <c r="AV220" i="19" s="1"/>
  <c r="AW220" i="19" s="1"/>
  <c r="CJ220" i="19"/>
  <c r="CL220" i="19" s="1"/>
  <c r="CM220" i="19" s="1"/>
  <c r="F137" i="19"/>
  <c r="H136" i="19"/>
  <c r="I136" i="19" s="1"/>
  <c r="S136" i="19" s="1"/>
  <c r="U136" i="19" s="1"/>
  <c r="BH306" i="19"/>
  <c r="BJ306" i="19" s="1"/>
  <c r="BK306" i="19" s="1"/>
  <c r="AT306" i="19"/>
  <c r="AV306" i="19" s="1"/>
  <c r="AW306" i="19" s="1"/>
  <c r="CF134" i="19"/>
  <c r="CH134" i="19" s="1"/>
  <c r="CI134" i="19" s="1"/>
  <c r="CN134" i="19" s="1"/>
  <c r="CP134" i="19" s="1"/>
  <c r="DK134" i="19" s="1"/>
  <c r="AB134" i="19"/>
  <c r="AD134" i="19" s="1"/>
  <c r="AE134" i="19" s="1"/>
  <c r="AJ134" i="19" s="1"/>
  <c r="AL134" i="19" s="1"/>
  <c r="DG134" i="19" s="1"/>
  <c r="AP134" i="19"/>
  <c r="AR134" i="19" s="1"/>
  <c r="AS134" i="19" s="1"/>
  <c r="AX134" i="19" s="1"/>
  <c r="AZ134" i="19" s="1"/>
  <c r="DH134" i="19" s="1"/>
  <c r="AF306" i="19"/>
  <c r="AH306" i="19" s="1"/>
  <c r="AI306" i="19" s="1"/>
  <c r="AJ306" i="19" s="1"/>
  <c r="AL306" i="19" s="1"/>
  <c r="DG306" i="19" s="1"/>
  <c r="BV306" i="19"/>
  <c r="BX306" i="19" s="1"/>
  <c r="BY306" i="19" s="1"/>
  <c r="BZ306" i="19" s="1"/>
  <c r="CB306" i="19" s="1"/>
  <c r="DJ306" i="19" s="1"/>
  <c r="CJ306" i="19"/>
  <c r="CL306" i="19" s="1"/>
  <c r="CM306" i="19" s="1"/>
  <c r="CN306" i="19" s="1"/>
  <c r="CP306" i="19" s="1"/>
  <c r="DK306" i="19" s="1"/>
  <c r="BR134" i="19"/>
  <c r="BT134" i="19" s="1"/>
  <c r="BU134" i="19" s="1"/>
  <c r="BZ134" i="19" s="1"/>
  <c r="CB134" i="19" s="1"/>
  <c r="DJ134" i="19" s="1"/>
  <c r="BD134" i="19"/>
  <c r="BF134" i="19" s="1"/>
  <c r="BG134" i="19" s="1"/>
  <c r="BL134" i="19" s="1"/>
  <c r="BN134" i="19" s="1"/>
  <c r="DI134" i="19" s="1"/>
  <c r="BL220" i="19"/>
  <c r="BN220" i="19" s="1"/>
  <c r="DI220" i="19" s="1"/>
  <c r="BL306" i="19"/>
  <c r="BN306" i="19" s="1"/>
  <c r="DI306" i="19" s="1"/>
  <c r="DB220" i="19"/>
  <c r="DD220" i="19" s="1"/>
  <c r="BZ220" i="19"/>
  <c r="CB220" i="19" s="1"/>
  <c r="CN220" i="19"/>
  <c r="CP220" i="19" s="1"/>
  <c r="DB305" i="19"/>
  <c r="DD305" i="19" s="1"/>
  <c r="DL305" i="19" s="1"/>
  <c r="AJ305" i="19"/>
  <c r="AL305" i="19" s="1"/>
  <c r="DG305" i="19" s="1"/>
  <c r="DB306" i="19"/>
  <c r="DD306" i="19" s="1"/>
  <c r="DL306" i="19" s="1"/>
  <c r="AX305" i="19"/>
  <c r="AZ305" i="19" s="1"/>
  <c r="DH305" i="19" s="1"/>
  <c r="BL305" i="19"/>
  <c r="BN305" i="19" s="1"/>
  <c r="DI305" i="19" s="1"/>
  <c r="H222" i="19"/>
  <c r="V222" i="19" s="1"/>
  <c r="X222" i="19" s="1"/>
  <c r="BZ305" i="19"/>
  <c r="CB305" i="19" s="1"/>
  <c r="DJ305" i="19" s="1"/>
  <c r="CN305" i="19"/>
  <c r="CP305" i="19" s="1"/>
  <c r="DK305" i="19" s="1"/>
  <c r="V136" i="19"/>
  <c r="X136" i="19" s="1"/>
  <c r="BP309" i="19"/>
  <c r="BS309" i="19" s="1"/>
  <c r="BB309" i="19"/>
  <c r="BE309" i="19" s="1"/>
  <c r="G309" i="19"/>
  <c r="CD309" i="19"/>
  <c r="CG309" i="19" s="1"/>
  <c r="C310" i="19"/>
  <c r="AN309" i="19"/>
  <c r="AQ309" i="19" s="1"/>
  <c r="F309" i="19"/>
  <c r="Z309" i="19"/>
  <c r="AC309" i="19" s="1"/>
  <c r="CR309" i="19"/>
  <c r="CU309" i="19" s="1"/>
  <c r="DE309" i="19"/>
  <c r="C138" i="19"/>
  <c r="AN137" i="19"/>
  <c r="AQ137" i="19" s="1"/>
  <c r="Z137" i="19"/>
  <c r="AC137" i="19" s="1"/>
  <c r="CR137" i="19"/>
  <c r="CU137" i="19" s="1"/>
  <c r="CD137" i="19"/>
  <c r="CG137" i="19" s="1"/>
  <c r="BP137" i="19"/>
  <c r="BS137" i="19" s="1"/>
  <c r="BB137" i="19"/>
  <c r="BE137" i="19" s="1"/>
  <c r="G137" i="19"/>
  <c r="DE137" i="19"/>
  <c r="F223" i="19"/>
  <c r="BB223" i="19"/>
  <c r="BE223" i="19" s="1"/>
  <c r="G223" i="19"/>
  <c r="C224" i="19"/>
  <c r="AN223" i="19"/>
  <c r="AQ223" i="19" s="1"/>
  <c r="Z223" i="19"/>
  <c r="AC223" i="19" s="1"/>
  <c r="CR223" i="19"/>
  <c r="CU223" i="19" s="1"/>
  <c r="CD223" i="19"/>
  <c r="CG223" i="19" s="1"/>
  <c r="BP223" i="19"/>
  <c r="BS223" i="19" s="1"/>
  <c r="DE223" i="19"/>
  <c r="H308" i="19"/>
  <c r="AX220" i="19"/>
  <c r="AZ220" i="19" s="1"/>
  <c r="DH220" i="19" s="1"/>
  <c r="DB134" i="19"/>
  <c r="DD134" i="19" s="1"/>
  <c r="DL134" i="19" s="1"/>
  <c r="AX306" i="19"/>
  <c r="AZ306" i="19" s="1"/>
  <c r="DH306" i="19" s="1"/>
  <c r="BR135" i="19"/>
  <c r="BT135" i="19" s="1"/>
  <c r="BU135" i="19" s="1"/>
  <c r="CF135" i="19"/>
  <c r="CH135" i="19" s="1"/>
  <c r="CI135" i="19" s="1"/>
  <c r="CT135" i="19"/>
  <c r="CV135" i="19" s="1"/>
  <c r="CW135" i="19" s="1"/>
  <c r="AB135" i="19"/>
  <c r="AD135" i="19" s="1"/>
  <c r="AE135" i="19" s="1"/>
  <c r="AP135" i="19"/>
  <c r="AR135" i="19" s="1"/>
  <c r="AS135" i="19" s="1"/>
  <c r="BD135" i="19"/>
  <c r="BF135" i="19" s="1"/>
  <c r="BG135" i="19" s="1"/>
  <c r="V307" i="19"/>
  <c r="X307" i="19" s="1"/>
  <c r="I307" i="19"/>
  <c r="S307" i="19" s="1"/>
  <c r="U307" i="19" s="1"/>
  <c r="CJ135" i="19"/>
  <c r="CL135" i="19" s="1"/>
  <c r="CM135" i="19" s="1"/>
  <c r="AT135" i="19"/>
  <c r="AV135" i="19" s="1"/>
  <c r="AW135" i="19" s="1"/>
  <c r="BH135" i="19"/>
  <c r="BJ135" i="19" s="1"/>
  <c r="BK135" i="19" s="1"/>
  <c r="BV135" i="19"/>
  <c r="BX135" i="19" s="1"/>
  <c r="BY135" i="19" s="1"/>
  <c r="AF135" i="19"/>
  <c r="AH135" i="19" s="1"/>
  <c r="AI135" i="19" s="1"/>
  <c r="CX135" i="19"/>
  <c r="CZ135" i="19" s="1"/>
  <c r="DA135" i="19" s="1"/>
  <c r="BD221" i="19"/>
  <c r="BF221" i="19" s="1"/>
  <c r="BG221" i="19" s="1"/>
  <c r="CF221" i="19"/>
  <c r="CH221" i="19" s="1"/>
  <c r="CI221" i="19" s="1"/>
  <c r="CT221" i="19"/>
  <c r="CV221" i="19" s="1"/>
  <c r="CW221" i="19" s="1"/>
  <c r="AB221" i="19"/>
  <c r="AD221" i="19" s="1"/>
  <c r="AE221" i="19" s="1"/>
  <c r="BR221" i="19"/>
  <c r="BT221" i="19" s="1"/>
  <c r="BU221" i="19" s="1"/>
  <c r="AP221" i="19"/>
  <c r="AR221" i="19" s="1"/>
  <c r="AS221" i="19" s="1"/>
  <c r="AJ220" i="19"/>
  <c r="AL220" i="19" s="1"/>
  <c r="DG220" i="19" s="1"/>
  <c r="BH221" i="19"/>
  <c r="BJ221" i="19" s="1"/>
  <c r="BK221" i="19" s="1"/>
  <c r="CX221" i="19"/>
  <c r="CZ221" i="19" s="1"/>
  <c r="DA221" i="19" s="1"/>
  <c r="AT221" i="19"/>
  <c r="AV221" i="19" s="1"/>
  <c r="AW221" i="19" s="1"/>
  <c r="CJ221" i="19"/>
  <c r="CL221" i="19" s="1"/>
  <c r="CM221" i="19" s="1"/>
  <c r="AF221" i="19"/>
  <c r="AH221" i="19" s="1"/>
  <c r="AI221" i="19" s="1"/>
  <c r="BV221" i="19"/>
  <c r="BX221" i="19" s="1"/>
  <c r="BY221" i="19" s="1"/>
  <c r="H137" i="19" l="1"/>
  <c r="I222" i="19"/>
  <c r="S222" i="19" s="1"/>
  <c r="U222" i="19" s="1"/>
  <c r="AP222" i="19" s="1"/>
  <c r="AR222" i="19" s="1"/>
  <c r="AS222" i="19" s="1"/>
  <c r="H309" i="19"/>
  <c r="V309" i="19" s="1"/>
  <c r="X309" i="19" s="1"/>
  <c r="BL221" i="19"/>
  <c r="BN221" i="19" s="1"/>
  <c r="DI221" i="19" s="1"/>
  <c r="V137" i="19"/>
  <c r="X137" i="19" s="1"/>
  <c r="I137" i="19"/>
  <c r="S137" i="19" s="1"/>
  <c r="U137" i="19" s="1"/>
  <c r="AN138" i="19"/>
  <c r="AQ138" i="19" s="1"/>
  <c r="C139" i="19"/>
  <c r="G138" i="19"/>
  <c r="Z138" i="19"/>
  <c r="AC138" i="19" s="1"/>
  <c r="CR138" i="19"/>
  <c r="CU138" i="19" s="1"/>
  <c r="CD138" i="19"/>
  <c r="CG138" i="19" s="1"/>
  <c r="BP138" i="19"/>
  <c r="BS138" i="19" s="1"/>
  <c r="BB138" i="19"/>
  <c r="BE138" i="19" s="1"/>
  <c r="DE138" i="19"/>
  <c r="H223" i="19"/>
  <c r="CR310" i="19"/>
  <c r="CU310" i="19" s="1"/>
  <c r="F310" i="19"/>
  <c r="CD310" i="19"/>
  <c r="CG310" i="19" s="1"/>
  <c r="BP310" i="19"/>
  <c r="BS310" i="19" s="1"/>
  <c r="C311" i="19"/>
  <c r="Z310" i="19"/>
  <c r="AC310" i="19" s="1"/>
  <c r="BB310" i="19"/>
  <c r="BE310" i="19" s="1"/>
  <c r="G310" i="19"/>
  <c r="AN310" i="19"/>
  <c r="AQ310" i="19" s="1"/>
  <c r="DE310" i="19"/>
  <c r="DB135" i="19"/>
  <c r="DD135" i="19" s="1"/>
  <c r="DL135" i="19" s="1"/>
  <c r="AJ135" i="19"/>
  <c r="AL135" i="19" s="1"/>
  <c r="DG135" i="19" s="1"/>
  <c r="BZ135" i="19"/>
  <c r="CB135" i="19" s="1"/>
  <c r="DJ135" i="19" s="1"/>
  <c r="V308" i="19"/>
  <c r="X308" i="19" s="1"/>
  <c r="I308" i="19"/>
  <c r="S308" i="19" s="1"/>
  <c r="U308" i="19" s="1"/>
  <c r="F138" i="19"/>
  <c r="AN224" i="19"/>
  <c r="AQ224" i="19" s="1"/>
  <c r="Z224" i="19"/>
  <c r="AC224" i="19" s="1"/>
  <c r="CR224" i="19"/>
  <c r="CU224" i="19" s="1"/>
  <c r="CD224" i="19"/>
  <c r="CG224" i="19" s="1"/>
  <c r="BP224" i="19"/>
  <c r="BS224" i="19" s="1"/>
  <c r="C225" i="19"/>
  <c r="BB224" i="19"/>
  <c r="BE224" i="19" s="1"/>
  <c r="G224" i="19"/>
  <c r="DE224" i="19"/>
  <c r="BZ221" i="19"/>
  <c r="CB221" i="19" s="1"/>
  <c r="BL135" i="19"/>
  <c r="BN135" i="19" s="1"/>
  <c r="DI135" i="19" s="1"/>
  <c r="AX135" i="19"/>
  <c r="AZ135" i="19" s="1"/>
  <c r="DH135" i="19" s="1"/>
  <c r="AT307" i="19"/>
  <c r="AV307" i="19" s="1"/>
  <c r="AW307" i="19" s="1"/>
  <c r="BV307" i="19"/>
  <c r="BX307" i="19" s="1"/>
  <c r="BY307" i="19" s="1"/>
  <c r="AF307" i="19"/>
  <c r="AH307" i="19" s="1"/>
  <c r="AI307" i="19" s="1"/>
  <c r="CJ307" i="19"/>
  <c r="CL307" i="19" s="1"/>
  <c r="CM307" i="19" s="1"/>
  <c r="CX307" i="19"/>
  <c r="CZ307" i="19" s="1"/>
  <c r="DA307" i="19" s="1"/>
  <c r="BH307" i="19"/>
  <c r="BJ307" i="19" s="1"/>
  <c r="BK307" i="19" s="1"/>
  <c r="AJ221" i="19"/>
  <c r="AL221" i="19" s="1"/>
  <c r="DG221" i="19" s="1"/>
  <c r="CN221" i="19"/>
  <c r="CP221" i="19" s="1"/>
  <c r="CN135" i="19"/>
  <c r="CP135" i="19" s="1"/>
  <c r="DK135" i="19" s="1"/>
  <c r="BH222" i="19"/>
  <c r="BJ222" i="19" s="1"/>
  <c r="BK222" i="19" s="1"/>
  <c r="AT222" i="19"/>
  <c r="AV222" i="19" s="1"/>
  <c r="AW222" i="19" s="1"/>
  <c r="CX222" i="19"/>
  <c r="CZ222" i="19" s="1"/>
  <c r="DA222" i="19" s="1"/>
  <c r="AF222" i="19"/>
  <c r="AH222" i="19" s="1"/>
  <c r="AI222" i="19" s="1"/>
  <c r="CJ222" i="19"/>
  <c r="CL222" i="19" s="1"/>
  <c r="CM222" i="19" s="1"/>
  <c r="BV222" i="19"/>
  <c r="BX222" i="19" s="1"/>
  <c r="BY222" i="19" s="1"/>
  <c r="AX221" i="19"/>
  <c r="AZ221" i="19" s="1"/>
  <c r="DH221" i="19" s="1"/>
  <c r="AB136" i="19"/>
  <c r="AD136" i="19" s="1"/>
  <c r="AE136" i="19" s="1"/>
  <c r="AP136" i="19"/>
  <c r="AR136" i="19" s="1"/>
  <c r="AS136" i="19" s="1"/>
  <c r="BR136" i="19"/>
  <c r="BT136" i="19" s="1"/>
  <c r="BU136" i="19" s="1"/>
  <c r="BD136" i="19"/>
  <c r="BF136" i="19" s="1"/>
  <c r="BG136" i="19" s="1"/>
  <c r="CT136" i="19"/>
  <c r="CV136" i="19" s="1"/>
  <c r="CW136" i="19" s="1"/>
  <c r="CF136" i="19"/>
  <c r="CH136" i="19" s="1"/>
  <c r="CI136" i="19" s="1"/>
  <c r="DB221" i="19"/>
  <c r="DD221" i="19" s="1"/>
  <c r="BD307" i="19"/>
  <c r="BF307" i="19" s="1"/>
  <c r="BG307" i="19" s="1"/>
  <c r="CT307" i="19"/>
  <c r="CV307" i="19" s="1"/>
  <c r="CW307" i="19" s="1"/>
  <c r="AB307" i="19"/>
  <c r="AD307" i="19" s="1"/>
  <c r="AE307" i="19" s="1"/>
  <c r="AP307" i="19"/>
  <c r="AR307" i="19" s="1"/>
  <c r="AS307" i="19" s="1"/>
  <c r="BR307" i="19"/>
  <c r="BT307" i="19" s="1"/>
  <c r="BU307" i="19" s="1"/>
  <c r="CF307" i="19"/>
  <c r="CH307" i="19" s="1"/>
  <c r="CI307" i="19" s="1"/>
  <c r="F224" i="19"/>
  <c r="BV136" i="19"/>
  <c r="BX136" i="19" s="1"/>
  <c r="BY136" i="19" s="1"/>
  <c r="BH136" i="19"/>
  <c r="BJ136" i="19" s="1"/>
  <c r="BK136" i="19" s="1"/>
  <c r="CJ136" i="19"/>
  <c r="CL136" i="19" s="1"/>
  <c r="CM136" i="19" s="1"/>
  <c r="AT136" i="19"/>
  <c r="AV136" i="19" s="1"/>
  <c r="AW136" i="19" s="1"/>
  <c r="AF136" i="19"/>
  <c r="AH136" i="19" s="1"/>
  <c r="AI136" i="19" s="1"/>
  <c r="CX136" i="19"/>
  <c r="CZ136" i="19" s="1"/>
  <c r="DA136" i="19" s="1"/>
  <c r="I309" i="19" l="1"/>
  <c r="S309" i="19" s="1"/>
  <c r="U309" i="19" s="1"/>
  <c r="BR309" i="19" s="1"/>
  <c r="BT309" i="19" s="1"/>
  <c r="BU309" i="19" s="1"/>
  <c r="BD222" i="19"/>
  <c r="BF222" i="19" s="1"/>
  <c r="BG222" i="19" s="1"/>
  <c r="BL222" i="19" s="1"/>
  <c r="BN222" i="19" s="1"/>
  <c r="DI222" i="19" s="1"/>
  <c r="AB222" i="19"/>
  <c r="AD222" i="19" s="1"/>
  <c r="AE222" i="19" s="1"/>
  <c r="AJ222" i="19" s="1"/>
  <c r="AL222" i="19" s="1"/>
  <c r="DG222" i="19" s="1"/>
  <c r="CF222" i="19"/>
  <c r="CH222" i="19" s="1"/>
  <c r="CI222" i="19" s="1"/>
  <c r="CN222" i="19" s="1"/>
  <c r="CP222" i="19" s="1"/>
  <c r="CT222" i="19"/>
  <c r="CV222" i="19" s="1"/>
  <c r="CW222" i="19" s="1"/>
  <c r="DB222" i="19" s="1"/>
  <c r="DD222" i="19" s="1"/>
  <c r="BR222" i="19"/>
  <c r="BT222" i="19" s="1"/>
  <c r="BU222" i="19" s="1"/>
  <c r="BZ222" i="19" s="1"/>
  <c r="CB222" i="19" s="1"/>
  <c r="AJ136" i="19"/>
  <c r="AL136" i="19" s="1"/>
  <c r="DG136" i="19" s="1"/>
  <c r="H224" i="19"/>
  <c r="V224" i="19" s="1"/>
  <c r="X224" i="19" s="1"/>
  <c r="H138" i="19"/>
  <c r="V138" i="19" s="1"/>
  <c r="X138" i="19" s="1"/>
  <c r="AX136" i="19"/>
  <c r="AZ136" i="19" s="1"/>
  <c r="DH136" i="19" s="1"/>
  <c r="BZ136" i="19"/>
  <c r="CB136" i="19" s="1"/>
  <c r="DJ136" i="19" s="1"/>
  <c r="AX222" i="19"/>
  <c r="AZ222" i="19" s="1"/>
  <c r="DH222" i="19" s="1"/>
  <c r="DB136" i="19"/>
  <c r="DD136" i="19" s="1"/>
  <c r="DL136" i="19" s="1"/>
  <c r="V223" i="19"/>
  <c r="X223" i="19" s="1"/>
  <c r="I223" i="19"/>
  <c r="S223" i="19" s="1"/>
  <c r="U223" i="19" s="1"/>
  <c r="BD309" i="19"/>
  <c r="BF309" i="19" s="1"/>
  <c r="BG309" i="19" s="1"/>
  <c r="CJ308" i="19"/>
  <c r="CL308" i="19" s="1"/>
  <c r="CM308" i="19" s="1"/>
  <c r="BH308" i="19"/>
  <c r="BJ308" i="19" s="1"/>
  <c r="BK308" i="19" s="1"/>
  <c r="CX308" i="19"/>
  <c r="CZ308" i="19" s="1"/>
  <c r="DA308" i="19" s="1"/>
  <c r="AF308" i="19"/>
  <c r="AH308" i="19" s="1"/>
  <c r="AI308" i="19" s="1"/>
  <c r="BV308" i="19"/>
  <c r="BX308" i="19" s="1"/>
  <c r="BY308" i="19" s="1"/>
  <c r="AT308" i="19"/>
  <c r="AV308" i="19" s="1"/>
  <c r="AW308" i="19" s="1"/>
  <c r="AF309" i="19"/>
  <c r="AH309" i="19" s="1"/>
  <c r="AI309" i="19" s="1"/>
  <c r="AT309" i="19"/>
  <c r="AV309" i="19" s="1"/>
  <c r="AW309" i="19" s="1"/>
  <c r="CJ309" i="19"/>
  <c r="CL309" i="19" s="1"/>
  <c r="CM309" i="19" s="1"/>
  <c r="BH309" i="19"/>
  <c r="BJ309" i="19" s="1"/>
  <c r="BK309" i="19" s="1"/>
  <c r="BV309" i="19"/>
  <c r="BX309" i="19" s="1"/>
  <c r="BY309" i="19" s="1"/>
  <c r="CX309" i="19"/>
  <c r="CZ309" i="19" s="1"/>
  <c r="DA309" i="19" s="1"/>
  <c r="F139" i="19"/>
  <c r="BR308" i="19"/>
  <c r="BT308" i="19" s="1"/>
  <c r="BU308" i="19" s="1"/>
  <c r="CF308" i="19"/>
  <c r="CH308" i="19" s="1"/>
  <c r="CI308" i="19" s="1"/>
  <c r="CT308" i="19"/>
  <c r="CV308" i="19" s="1"/>
  <c r="CW308" i="19" s="1"/>
  <c r="AP308" i="19"/>
  <c r="AR308" i="19" s="1"/>
  <c r="AS308" i="19" s="1"/>
  <c r="AB308" i="19"/>
  <c r="AD308" i="19" s="1"/>
  <c r="AE308" i="19" s="1"/>
  <c r="BD308" i="19"/>
  <c r="BF308" i="19" s="1"/>
  <c r="BG308" i="19" s="1"/>
  <c r="BL307" i="19"/>
  <c r="BN307" i="19" s="1"/>
  <c r="DI307" i="19" s="1"/>
  <c r="F225" i="19"/>
  <c r="DB307" i="19"/>
  <c r="DD307" i="19" s="1"/>
  <c r="DL307" i="19" s="1"/>
  <c r="CN307" i="19"/>
  <c r="CP307" i="19" s="1"/>
  <c r="DK307" i="19" s="1"/>
  <c r="AJ307" i="19"/>
  <c r="AL307" i="19" s="1"/>
  <c r="DG307" i="19" s="1"/>
  <c r="BP225" i="19"/>
  <c r="BS225" i="19" s="1"/>
  <c r="BB225" i="19"/>
  <c r="BE225" i="19" s="1"/>
  <c r="CD225" i="19"/>
  <c r="CG225" i="19" s="1"/>
  <c r="G225" i="19"/>
  <c r="C226" i="19"/>
  <c r="AN225" i="19"/>
  <c r="AQ225" i="19" s="1"/>
  <c r="Z225" i="19"/>
  <c r="AC225" i="19" s="1"/>
  <c r="CR225" i="19"/>
  <c r="CU225" i="19" s="1"/>
  <c r="DE225" i="19"/>
  <c r="BZ307" i="19"/>
  <c r="CB307" i="19" s="1"/>
  <c r="DJ307" i="19" s="1"/>
  <c r="CD311" i="19"/>
  <c r="CG311" i="19" s="1"/>
  <c r="BP311" i="19"/>
  <c r="BS311" i="19" s="1"/>
  <c r="BB311" i="19"/>
  <c r="BE311" i="19" s="1"/>
  <c r="G311" i="19"/>
  <c r="C312" i="19"/>
  <c r="AN311" i="19"/>
  <c r="AQ311" i="19" s="1"/>
  <c r="F311" i="19"/>
  <c r="Z311" i="19"/>
  <c r="AC311" i="19" s="1"/>
  <c r="CR311" i="19"/>
  <c r="CU311" i="19" s="1"/>
  <c r="DE311" i="19"/>
  <c r="BB139" i="19"/>
  <c r="BE139" i="19" s="1"/>
  <c r="C140" i="19"/>
  <c r="Z139" i="19"/>
  <c r="AC139" i="19" s="1"/>
  <c r="CR139" i="19"/>
  <c r="CU139" i="19" s="1"/>
  <c r="CD139" i="19"/>
  <c r="CG139" i="19" s="1"/>
  <c r="G139" i="19"/>
  <c r="AN139" i="19"/>
  <c r="AQ139" i="19" s="1"/>
  <c r="BP139" i="19"/>
  <c r="BS139" i="19" s="1"/>
  <c r="DE139" i="19"/>
  <c r="CN136" i="19"/>
  <c r="CP136" i="19" s="1"/>
  <c r="DK136" i="19" s="1"/>
  <c r="AX307" i="19"/>
  <c r="AZ307" i="19" s="1"/>
  <c r="DH307" i="19" s="1"/>
  <c r="BL136" i="19"/>
  <c r="BN136" i="19" s="1"/>
  <c r="DI136" i="19" s="1"/>
  <c r="CT137" i="19"/>
  <c r="CV137" i="19" s="1"/>
  <c r="CW137" i="19" s="1"/>
  <c r="AB137" i="19"/>
  <c r="AD137" i="19" s="1"/>
  <c r="AE137" i="19" s="1"/>
  <c r="AP137" i="19"/>
  <c r="AR137" i="19" s="1"/>
  <c r="AS137" i="19" s="1"/>
  <c r="BD137" i="19"/>
  <c r="BF137" i="19" s="1"/>
  <c r="BG137" i="19" s="1"/>
  <c r="BR137" i="19"/>
  <c r="BT137" i="19" s="1"/>
  <c r="BU137" i="19" s="1"/>
  <c r="CF137" i="19"/>
  <c r="CH137" i="19" s="1"/>
  <c r="CI137" i="19" s="1"/>
  <c r="H310" i="19"/>
  <c r="BH137" i="19"/>
  <c r="BJ137" i="19" s="1"/>
  <c r="BK137" i="19" s="1"/>
  <c r="AT137" i="19"/>
  <c r="AV137" i="19" s="1"/>
  <c r="AW137" i="19" s="1"/>
  <c r="BV137" i="19"/>
  <c r="BX137" i="19" s="1"/>
  <c r="BY137" i="19" s="1"/>
  <c r="CJ137" i="19"/>
  <c r="CL137" i="19" s="1"/>
  <c r="CM137" i="19" s="1"/>
  <c r="CX137" i="19"/>
  <c r="CZ137" i="19" s="1"/>
  <c r="DA137" i="19" s="1"/>
  <c r="AF137" i="19"/>
  <c r="AH137" i="19" s="1"/>
  <c r="AI137" i="19" s="1"/>
  <c r="AP309" i="19" l="1"/>
  <c r="AR309" i="19" s="1"/>
  <c r="AS309" i="19" s="1"/>
  <c r="CF309" i="19"/>
  <c r="CH309" i="19" s="1"/>
  <c r="CI309" i="19" s="1"/>
  <c r="CN309" i="19" s="1"/>
  <c r="CP309" i="19" s="1"/>
  <c r="DK309" i="19" s="1"/>
  <c r="AB309" i="19"/>
  <c r="AD309" i="19" s="1"/>
  <c r="AE309" i="19" s="1"/>
  <c r="CT309" i="19"/>
  <c r="CV309" i="19" s="1"/>
  <c r="CW309" i="19" s="1"/>
  <c r="I224" i="19"/>
  <c r="S224" i="19" s="1"/>
  <c r="U224" i="19" s="1"/>
  <c r="CF224" i="19" s="1"/>
  <c r="CH224" i="19" s="1"/>
  <c r="CI224" i="19" s="1"/>
  <c r="I138" i="19"/>
  <c r="S138" i="19" s="1"/>
  <c r="U138" i="19" s="1"/>
  <c r="CT138" i="19" s="1"/>
  <c r="CV138" i="19" s="1"/>
  <c r="CW138" i="19" s="1"/>
  <c r="F226" i="19"/>
  <c r="H139" i="19"/>
  <c r="V139" i="19" s="1"/>
  <c r="X139" i="19" s="1"/>
  <c r="DB309" i="19"/>
  <c r="DD309" i="19" s="1"/>
  <c r="DL309" i="19" s="1"/>
  <c r="F140" i="19"/>
  <c r="BL309" i="19"/>
  <c r="BN309" i="19" s="1"/>
  <c r="DI309" i="19" s="1"/>
  <c r="AX309" i="19"/>
  <c r="AZ309" i="19" s="1"/>
  <c r="DH309" i="19" s="1"/>
  <c r="H225" i="19"/>
  <c r="V225" i="19" s="1"/>
  <c r="X225" i="19" s="1"/>
  <c r="AX308" i="19"/>
  <c r="AZ308" i="19" s="1"/>
  <c r="DH308" i="19" s="1"/>
  <c r="BZ308" i="19"/>
  <c r="CB308" i="19" s="1"/>
  <c r="DJ308" i="19" s="1"/>
  <c r="AJ308" i="19"/>
  <c r="AL308" i="19" s="1"/>
  <c r="DG308" i="19" s="1"/>
  <c r="DB308" i="19"/>
  <c r="DD308" i="19" s="1"/>
  <c r="DL308" i="19" s="1"/>
  <c r="BL308" i="19"/>
  <c r="BN308" i="19" s="1"/>
  <c r="DI308" i="19" s="1"/>
  <c r="G226" i="19"/>
  <c r="C227" i="19"/>
  <c r="AN226" i="19"/>
  <c r="AQ226" i="19" s="1"/>
  <c r="Z226" i="19"/>
  <c r="AC226" i="19" s="1"/>
  <c r="CR226" i="19"/>
  <c r="CU226" i="19" s="1"/>
  <c r="CD226" i="19"/>
  <c r="CG226" i="19" s="1"/>
  <c r="BP226" i="19"/>
  <c r="BS226" i="19" s="1"/>
  <c r="BB226" i="19"/>
  <c r="BE226" i="19" s="1"/>
  <c r="DE226" i="19"/>
  <c r="CN308" i="19"/>
  <c r="CP308" i="19" s="1"/>
  <c r="DK308" i="19" s="1"/>
  <c r="V310" i="19"/>
  <c r="X310" i="19" s="1"/>
  <c r="I310" i="19"/>
  <c r="S310" i="19" s="1"/>
  <c r="U310" i="19" s="1"/>
  <c r="AJ137" i="19"/>
  <c r="AL137" i="19" s="1"/>
  <c r="DG137" i="19" s="1"/>
  <c r="C313" i="19"/>
  <c r="AN312" i="19"/>
  <c r="AQ312" i="19" s="1"/>
  <c r="F312" i="19"/>
  <c r="Z312" i="19"/>
  <c r="AC312" i="19" s="1"/>
  <c r="CR312" i="19"/>
  <c r="CU312" i="19" s="1"/>
  <c r="CD312" i="19"/>
  <c r="CG312" i="19" s="1"/>
  <c r="BB312" i="19"/>
  <c r="BE312" i="19" s="1"/>
  <c r="BP312" i="19"/>
  <c r="BS312" i="19" s="1"/>
  <c r="G312" i="19"/>
  <c r="DE312" i="19"/>
  <c r="DB137" i="19"/>
  <c r="DD137" i="19" s="1"/>
  <c r="DL137" i="19" s="1"/>
  <c r="H311" i="19"/>
  <c r="BZ309" i="19"/>
  <c r="CB309" i="19" s="1"/>
  <c r="DJ309" i="19" s="1"/>
  <c r="AP224" i="19"/>
  <c r="AR224" i="19" s="1"/>
  <c r="AS224" i="19" s="1"/>
  <c r="CT224" i="19"/>
  <c r="CV224" i="19" s="1"/>
  <c r="CW224" i="19" s="1"/>
  <c r="AB223" i="19"/>
  <c r="AD223" i="19" s="1"/>
  <c r="AE223" i="19" s="1"/>
  <c r="BD223" i="19"/>
  <c r="BF223" i="19" s="1"/>
  <c r="BG223" i="19" s="1"/>
  <c r="CF223" i="19"/>
  <c r="CH223" i="19" s="1"/>
  <c r="CI223" i="19" s="1"/>
  <c r="AP223" i="19"/>
  <c r="AR223" i="19" s="1"/>
  <c r="AS223" i="19" s="1"/>
  <c r="CT223" i="19"/>
  <c r="CV223" i="19" s="1"/>
  <c r="CW223" i="19" s="1"/>
  <c r="BR223" i="19"/>
  <c r="BT223" i="19" s="1"/>
  <c r="BU223" i="19" s="1"/>
  <c r="CN137" i="19"/>
  <c r="CP137" i="19" s="1"/>
  <c r="DK137" i="19" s="1"/>
  <c r="AT224" i="19"/>
  <c r="AV224" i="19" s="1"/>
  <c r="AW224" i="19" s="1"/>
  <c r="CX224" i="19"/>
  <c r="CZ224" i="19" s="1"/>
  <c r="DA224" i="19" s="1"/>
  <c r="CJ224" i="19"/>
  <c r="CL224" i="19" s="1"/>
  <c r="CM224" i="19" s="1"/>
  <c r="BV224" i="19"/>
  <c r="BX224" i="19" s="1"/>
  <c r="BY224" i="19" s="1"/>
  <c r="AF224" i="19"/>
  <c r="AH224" i="19" s="1"/>
  <c r="AI224" i="19" s="1"/>
  <c r="BH224" i="19"/>
  <c r="BJ224" i="19" s="1"/>
  <c r="BK224" i="19" s="1"/>
  <c r="AT223" i="19"/>
  <c r="AV223" i="19" s="1"/>
  <c r="AW223" i="19" s="1"/>
  <c r="AF223" i="19"/>
  <c r="AH223" i="19" s="1"/>
  <c r="AI223" i="19" s="1"/>
  <c r="BH223" i="19"/>
  <c r="BJ223" i="19" s="1"/>
  <c r="BK223" i="19" s="1"/>
  <c r="BV223" i="19"/>
  <c r="BX223" i="19" s="1"/>
  <c r="BY223" i="19" s="1"/>
  <c r="CJ223" i="19"/>
  <c r="CL223" i="19" s="1"/>
  <c r="CM223" i="19" s="1"/>
  <c r="CX223" i="19"/>
  <c r="CZ223" i="19" s="1"/>
  <c r="DA223" i="19" s="1"/>
  <c r="Z140" i="19"/>
  <c r="AC140" i="19" s="1"/>
  <c r="CR140" i="19"/>
  <c r="CU140" i="19" s="1"/>
  <c r="CD140" i="19"/>
  <c r="CG140" i="19" s="1"/>
  <c r="BP140" i="19"/>
  <c r="BS140" i="19" s="1"/>
  <c r="BB140" i="19"/>
  <c r="BE140" i="19" s="1"/>
  <c r="G140" i="19"/>
  <c r="C141" i="19"/>
  <c r="AN140" i="19"/>
  <c r="AQ140" i="19" s="1"/>
  <c r="DE140" i="19"/>
  <c r="BZ137" i="19"/>
  <c r="CB137" i="19" s="1"/>
  <c r="DJ137" i="19" s="1"/>
  <c r="AX137" i="19"/>
  <c r="AZ137" i="19" s="1"/>
  <c r="DH137" i="19" s="1"/>
  <c r="BL137" i="19"/>
  <c r="BN137" i="19" s="1"/>
  <c r="DI137" i="19" s="1"/>
  <c r="AJ309" i="19"/>
  <c r="AL309" i="19" s="1"/>
  <c r="DG309" i="19" s="1"/>
  <c r="AT138" i="19"/>
  <c r="AV138" i="19" s="1"/>
  <c r="AW138" i="19" s="1"/>
  <c r="CJ138" i="19"/>
  <c r="CL138" i="19" s="1"/>
  <c r="CM138" i="19" s="1"/>
  <c r="BH138" i="19"/>
  <c r="BJ138" i="19" s="1"/>
  <c r="BK138" i="19" s="1"/>
  <c r="CX138" i="19"/>
  <c r="CZ138" i="19" s="1"/>
  <c r="DA138" i="19" s="1"/>
  <c r="AF138" i="19"/>
  <c r="AH138" i="19" s="1"/>
  <c r="AI138" i="19" s="1"/>
  <c r="BV138" i="19"/>
  <c r="BX138" i="19" s="1"/>
  <c r="BY138" i="19" s="1"/>
  <c r="I139" i="19" l="1"/>
  <c r="S139" i="19" s="1"/>
  <c r="U139" i="19" s="1"/>
  <c r="BR139" i="19" s="1"/>
  <c r="BT139" i="19" s="1"/>
  <c r="BU139" i="19" s="1"/>
  <c r="BD138" i="19"/>
  <c r="BF138" i="19" s="1"/>
  <c r="BG138" i="19" s="1"/>
  <c r="BL138" i="19" s="1"/>
  <c r="BN138" i="19" s="1"/>
  <c r="DI138" i="19" s="1"/>
  <c r="AB224" i="19"/>
  <c r="AD224" i="19" s="1"/>
  <c r="AE224" i="19" s="1"/>
  <c r="AJ224" i="19" s="1"/>
  <c r="AL224" i="19" s="1"/>
  <c r="DG224" i="19" s="1"/>
  <c r="AP138" i="19"/>
  <c r="AR138" i="19" s="1"/>
  <c r="AS138" i="19" s="1"/>
  <c r="BR224" i="19"/>
  <c r="BT224" i="19" s="1"/>
  <c r="BU224" i="19" s="1"/>
  <c r="BR138" i="19"/>
  <c r="BT138" i="19" s="1"/>
  <c r="BU138" i="19" s="1"/>
  <c r="BZ138" i="19" s="1"/>
  <c r="CB138" i="19" s="1"/>
  <c r="DJ138" i="19" s="1"/>
  <c r="BD224" i="19"/>
  <c r="BF224" i="19" s="1"/>
  <c r="BG224" i="19" s="1"/>
  <c r="BL224" i="19" s="1"/>
  <c r="BN224" i="19" s="1"/>
  <c r="DI224" i="19" s="1"/>
  <c r="CF138" i="19"/>
  <c r="CH138" i="19" s="1"/>
  <c r="CI138" i="19" s="1"/>
  <c r="CN138" i="19" s="1"/>
  <c r="CP138" i="19" s="1"/>
  <c r="DK138" i="19" s="1"/>
  <c r="F227" i="19"/>
  <c r="H140" i="19"/>
  <c r="V140" i="19" s="1"/>
  <c r="X140" i="19" s="1"/>
  <c r="AB138" i="19"/>
  <c r="AD138" i="19" s="1"/>
  <c r="AE138" i="19" s="1"/>
  <c r="AJ138" i="19" s="1"/>
  <c r="AL138" i="19" s="1"/>
  <c r="DG138" i="19" s="1"/>
  <c r="H226" i="19"/>
  <c r="V226" i="19" s="1"/>
  <c r="X226" i="19" s="1"/>
  <c r="I225" i="19"/>
  <c r="S225" i="19" s="1"/>
  <c r="U225" i="19" s="1"/>
  <c r="BD225" i="19" s="1"/>
  <c r="BF225" i="19" s="1"/>
  <c r="BG225" i="19" s="1"/>
  <c r="BZ223" i="19"/>
  <c r="CB223" i="19" s="1"/>
  <c r="BZ224" i="19"/>
  <c r="CB224" i="19" s="1"/>
  <c r="AX224" i="19"/>
  <c r="AZ224" i="19" s="1"/>
  <c r="DH224" i="19" s="1"/>
  <c r="DB223" i="19"/>
  <c r="DD223" i="19" s="1"/>
  <c r="H312" i="19"/>
  <c r="BP313" i="19"/>
  <c r="BS313" i="19" s="1"/>
  <c r="BB313" i="19"/>
  <c r="BE313" i="19" s="1"/>
  <c r="G313" i="19"/>
  <c r="C314" i="19"/>
  <c r="AN313" i="19"/>
  <c r="AQ313" i="19" s="1"/>
  <c r="F313" i="19"/>
  <c r="Z313" i="19"/>
  <c r="AC313" i="19" s="1"/>
  <c r="CR313" i="19"/>
  <c r="CU313" i="19" s="1"/>
  <c r="CD313" i="19"/>
  <c r="CG313" i="19" s="1"/>
  <c r="DE313" i="19"/>
  <c r="BB227" i="19"/>
  <c r="BE227" i="19" s="1"/>
  <c r="G227" i="19"/>
  <c r="BP227" i="19"/>
  <c r="BS227" i="19" s="1"/>
  <c r="C228" i="19"/>
  <c r="AN227" i="19"/>
  <c r="AQ227" i="19" s="1"/>
  <c r="Z227" i="19"/>
  <c r="AC227" i="19" s="1"/>
  <c r="CR227" i="19"/>
  <c r="CU227" i="19" s="1"/>
  <c r="CD227" i="19"/>
  <c r="CG227" i="19" s="1"/>
  <c r="DE227" i="19"/>
  <c r="AJ223" i="19"/>
  <c r="AL223" i="19" s="1"/>
  <c r="DG223" i="19" s="1"/>
  <c r="DB138" i="19"/>
  <c r="DD138" i="19" s="1"/>
  <c r="DL138" i="19" s="1"/>
  <c r="AN141" i="19"/>
  <c r="AQ141" i="19" s="1"/>
  <c r="Z141" i="19"/>
  <c r="AC141" i="19" s="1"/>
  <c r="G141" i="19"/>
  <c r="CR141" i="19"/>
  <c r="CU141" i="19" s="1"/>
  <c r="CD141" i="19"/>
  <c r="CG141" i="19" s="1"/>
  <c r="BP141" i="19"/>
  <c r="BS141" i="19" s="1"/>
  <c r="C142" i="19"/>
  <c r="BB141" i="19"/>
  <c r="BE141" i="19" s="1"/>
  <c r="DE141" i="19"/>
  <c r="F141" i="19"/>
  <c r="CN224" i="19"/>
  <c r="CP224" i="19" s="1"/>
  <c r="BV139" i="19"/>
  <c r="BX139" i="19" s="1"/>
  <c r="BY139" i="19" s="1"/>
  <c r="AF139" i="19"/>
  <c r="AH139" i="19" s="1"/>
  <c r="AI139" i="19" s="1"/>
  <c r="BH139" i="19"/>
  <c r="BJ139" i="19" s="1"/>
  <c r="BK139" i="19" s="1"/>
  <c r="AT139" i="19"/>
  <c r="AV139" i="19" s="1"/>
  <c r="AW139" i="19" s="1"/>
  <c r="CX139" i="19"/>
  <c r="CZ139" i="19" s="1"/>
  <c r="DA139" i="19" s="1"/>
  <c r="CJ139" i="19"/>
  <c r="CL139" i="19" s="1"/>
  <c r="CM139" i="19" s="1"/>
  <c r="DB224" i="19"/>
  <c r="DD224" i="19" s="1"/>
  <c r="V311" i="19"/>
  <c r="X311" i="19" s="1"/>
  <c r="I311" i="19"/>
  <c r="S311" i="19" s="1"/>
  <c r="U311" i="19" s="1"/>
  <c r="CT310" i="19"/>
  <c r="CV310" i="19" s="1"/>
  <c r="CW310" i="19" s="1"/>
  <c r="BR310" i="19"/>
  <c r="BT310" i="19" s="1"/>
  <c r="BU310" i="19" s="1"/>
  <c r="AB310" i="19"/>
  <c r="AD310" i="19" s="1"/>
  <c r="AE310" i="19" s="1"/>
  <c r="AP310" i="19"/>
  <c r="AR310" i="19" s="1"/>
  <c r="AS310" i="19" s="1"/>
  <c r="CF310" i="19"/>
  <c r="CH310" i="19" s="1"/>
  <c r="CI310" i="19" s="1"/>
  <c r="BD310" i="19"/>
  <c r="BF310" i="19" s="1"/>
  <c r="BG310" i="19" s="1"/>
  <c r="BL223" i="19"/>
  <c r="BN223" i="19" s="1"/>
  <c r="DI223" i="19" s="1"/>
  <c r="AX138" i="19"/>
  <c r="AZ138" i="19" s="1"/>
  <c r="DH138" i="19" s="1"/>
  <c r="BV310" i="19"/>
  <c r="BX310" i="19" s="1"/>
  <c r="BY310" i="19" s="1"/>
  <c r="AF310" i="19"/>
  <c r="AH310" i="19" s="1"/>
  <c r="AI310" i="19" s="1"/>
  <c r="CX310" i="19"/>
  <c r="CZ310" i="19" s="1"/>
  <c r="DA310" i="19" s="1"/>
  <c r="BH310" i="19"/>
  <c r="BJ310" i="19" s="1"/>
  <c r="BK310" i="19" s="1"/>
  <c r="CJ310" i="19"/>
  <c r="CL310" i="19" s="1"/>
  <c r="CM310" i="19" s="1"/>
  <c r="AT310" i="19"/>
  <c r="AV310" i="19" s="1"/>
  <c r="AW310" i="19" s="1"/>
  <c r="CJ225" i="19"/>
  <c r="CL225" i="19" s="1"/>
  <c r="CM225" i="19" s="1"/>
  <c r="AT225" i="19"/>
  <c r="AV225" i="19" s="1"/>
  <c r="AW225" i="19" s="1"/>
  <c r="BV225" i="19"/>
  <c r="BX225" i="19" s="1"/>
  <c r="BY225" i="19" s="1"/>
  <c r="BH225" i="19"/>
  <c r="BJ225" i="19" s="1"/>
  <c r="BK225" i="19" s="1"/>
  <c r="AF225" i="19"/>
  <c r="AH225" i="19" s="1"/>
  <c r="AI225" i="19" s="1"/>
  <c r="CX225" i="19"/>
  <c r="CZ225" i="19" s="1"/>
  <c r="DA225" i="19" s="1"/>
  <c r="CN223" i="19"/>
  <c r="CP223" i="19" s="1"/>
  <c r="AX223" i="19"/>
  <c r="AZ223" i="19" s="1"/>
  <c r="DH223" i="19" s="1"/>
  <c r="AB139" i="19" l="1"/>
  <c r="AD139" i="19" s="1"/>
  <c r="AE139" i="19" s="1"/>
  <c r="AJ139" i="19" s="1"/>
  <c r="AL139" i="19" s="1"/>
  <c r="DG139" i="19" s="1"/>
  <c r="CT139" i="19"/>
  <c r="CV139" i="19" s="1"/>
  <c r="CW139" i="19" s="1"/>
  <c r="DB139" i="19" s="1"/>
  <c r="DD139" i="19" s="1"/>
  <c r="DL139" i="19" s="1"/>
  <c r="AP139" i="19"/>
  <c r="AR139" i="19" s="1"/>
  <c r="AS139" i="19" s="1"/>
  <c r="CF139" i="19"/>
  <c r="CH139" i="19" s="1"/>
  <c r="CI139" i="19" s="1"/>
  <c r="CN139" i="19" s="1"/>
  <c r="CP139" i="19" s="1"/>
  <c r="DK139" i="19" s="1"/>
  <c r="BD139" i="19"/>
  <c r="BF139" i="19" s="1"/>
  <c r="BG139" i="19" s="1"/>
  <c r="I140" i="19"/>
  <c r="S140" i="19" s="1"/>
  <c r="U140" i="19" s="1"/>
  <c r="BR140" i="19" s="1"/>
  <c r="BT140" i="19" s="1"/>
  <c r="BU140" i="19" s="1"/>
  <c r="CT225" i="19"/>
  <c r="CV225" i="19" s="1"/>
  <c r="CW225" i="19" s="1"/>
  <c r="AP225" i="19"/>
  <c r="AR225" i="19" s="1"/>
  <c r="AS225" i="19" s="1"/>
  <c r="AX225" i="19" s="1"/>
  <c r="AZ225" i="19" s="1"/>
  <c r="DH225" i="19" s="1"/>
  <c r="BR225" i="19"/>
  <c r="BT225" i="19" s="1"/>
  <c r="BU225" i="19" s="1"/>
  <c r="BZ225" i="19" s="1"/>
  <c r="CB225" i="19" s="1"/>
  <c r="AB225" i="19"/>
  <c r="AD225" i="19" s="1"/>
  <c r="AE225" i="19" s="1"/>
  <c r="AJ225" i="19" s="1"/>
  <c r="AL225" i="19" s="1"/>
  <c r="DG225" i="19" s="1"/>
  <c r="CF225" i="19"/>
  <c r="CH225" i="19" s="1"/>
  <c r="CI225" i="19" s="1"/>
  <c r="CN225" i="19" s="1"/>
  <c r="CP225" i="19" s="1"/>
  <c r="H227" i="19"/>
  <c r="I227" i="19" s="1"/>
  <c r="S227" i="19" s="1"/>
  <c r="U227" i="19" s="1"/>
  <c r="I226" i="19"/>
  <c r="S226" i="19" s="1"/>
  <c r="U226" i="19" s="1"/>
  <c r="BD226" i="19" s="1"/>
  <c r="BF226" i="19" s="1"/>
  <c r="BG226" i="19" s="1"/>
  <c r="H313" i="19"/>
  <c r="V313" i="19" s="1"/>
  <c r="X313" i="19" s="1"/>
  <c r="DB225" i="19"/>
  <c r="DD225" i="19" s="1"/>
  <c r="DB310" i="19"/>
  <c r="DD310" i="19" s="1"/>
  <c r="DL310" i="19" s="1"/>
  <c r="BL225" i="19"/>
  <c r="BN225" i="19" s="1"/>
  <c r="DI225" i="19" s="1"/>
  <c r="CN310" i="19"/>
  <c r="CP310" i="19" s="1"/>
  <c r="DK310" i="19" s="1"/>
  <c r="BL310" i="19"/>
  <c r="BN310" i="19" s="1"/>
  <c r="DI310" i="19" s="1"/>
  <c r="F142" i="19"/>
  <c r="CX311" i="19"/>
  <c r="CZ311" i="19" s="1"/>
  <c r="DA311" i="19" s="1"/>
  <c r="BV311" i="19"/>
  <c r="BX311" i="19" s="1"/>
  <c r="BY311" i="19" s="1"/>
  <c r="AT311" i="19"/>
  <c r="AV311" i="19" s="1"/>
  <c r="AW311" i="19" s="1"/>
  <c r="CJ311" i="19"/>
  <c r="CL311" i="19" s="1"/>
  <c r="CM311" i="19" s="1"/>
  <c r="BH311" i="19"/>
  <c r="BJ311" i="19" s="1"/>
  <c r="BK311" i="19" s="1"/>
  <c r="AF311" i="19"/>
  <c r="AH311" i="19" s="1"/>
  <c r="AI311" i="19" s="1"/>
  <c r="BP314" i="19"/>
  <c r="BS314" i="19" s="1"/>
  <c r="BB314" i="19"/>
  <c r="BE314" i="19" s="1"/>
  <c r="G314" i="19"/>
  <c r="C315" i="19"/>
  <c r="AN314" i="19"/>
  <c r="AQ314" i="19" s="1"/>
  <c r="F314" i="19"/>
  <c r="Z314" i="19"/>
  <c r="AC314" i="19" s="1"/>
  <c r="CR314" i="19"/>
  <c r="CU314" i="19" s="1"/>
  <c r="CD314" i="19"/>
  <c r="CG314" i="19" s="1"/>
  <c r="DE314" i="19"/>
  <c r="AP311" i="19"/>
  <c r="AR311" i="19" s="1"/>
  <c r="AS311" i="19" s="1"/>
  <c r="BR311" i="19"/>
  <c r="BT311" i="19" s="1"/>
  <c r="BU311" i="19" s="1"/>
  <c r="CF311" i="19"/>
  <c r="CH311" i="19" s="1"/>
  <c r="CI311" i="19" s="1"/>
  <c r="AB311" i="19"/>
  <c r="AD311" i="19" s="1"/>
  <c r="AE311" i="19" s="1"/>
  <c r="CT311" i="19"/>
  <c r="CV311" i="19" s="1"/>
  <c r="CW311" i="19" s="1"/>
  <c r="BD311" i="19"/>
  <c r="BF311" i="19" s="1"/>
  <c r="BG311" i="19" s="1"/>
  <c r="V312" i="19"/>
  <c r="X312" i="19" s="1"/>
  <c r="I312" i="19"/>
  <c r="S312" i="19" s="1"/>
  <c r="U312" i="19" s="1"/>
  <c r="AX139" i="19"/>
  <c r="AZ139" i="19" s="1"/>
  <c r="DH139" i="19" s="1"/>
  <c r="Z228" i="19"/>
  <c r="AC228" i="19" s="1"/>
  <c r="CR228" i="19"/>
  <c r="CU228" i="19" s="1"/>
  <c r="CD228" i="19"/>
  <c r="CG228" i="19" s="1"/>
  <c r="BP228" i="19"/>
  <c r="BS228" i="19" s="1"/>
  <c r="BB228" i="19"/>
  <c r="BE228" i="19" s="1"/>
  <c r="G228" i="19"/>
  <c r="C229" i="19"/>
  <c r="AN228" i="19"/>
  <c r="AQ228" i="19" s="1"/>
  <c r="DE228" i="19"/>
  <c r="BZ310" i="19"/>
  <c r="CB310" i="19" s="1"/>
  <c r="DJ310" i="19" s="1"/>
  <c r="BL139" i="19"/>
  <c r="BN139" i="19" s="1"/>
  <c r="DI139" i="19" s="1"/>
  <c r="CD142" i="19"/>
  <c r="CG142" i="19" s="1"/>
  <c r="BP142" i="19"/>
  <c r="BS142" i="19" s="1"/>
  <c r="BB142" i="19"/>
  <c r="BE142" i="19" s="1"/>
  <c r="G142" i="19"/>
  <c r="C143" i="19"/>
  <c r="AN142" i="19"/>
  <c r="AQ142" i="19" s="1"/>
  <c r="Z142" i="19"/>
  <c r="AC142" i="19" s="1"/>
  <c r="CR142" i="19"/>
  <c r="CU142" i="19" s="1"/>
  <c r="DE142" i="19"/>
  <c r="CT140" i="19"/>
  <c r="CV140" i="19" s="1"/>
  <c r="CW140" i="19" s="1"/>
  <c r="AP140" i="19"/>
  <c r="AR140" i="19" s="1"/>
  <c r="AS140" i="19" s="1"/>
  <c r="CF140" i="19"/>
  <c r="CH140" i="19" s="1"/>
  <c r="CI140" i="19" s="1"/>
  <c r="BD140" i="19"/>
  <c r="BF140" i="19" s="1"/>
  <c r="BG140" i="19" s="1"/>
  <c r="AB140" i="19"/>
  <c r="AD140" i="19" s="1"/>
  <c r="AE140" i="19" s="1"/>
  <c r="AJ310" i="19"/>
  <c r="AL310" i="19" s="1"/>
  <c r="DG310" i="19" s="1"/>
  <c r="BZ139" i="19"/>
  <c r="CB139" i="19" s="1"/>
  <c r="DJ139" i="19" s="1"/>
  <c r="F228" i="19"/>
  <c r="BH140" i="19"/>
  <c r="BJ140" i="19" s="1"/>
  <c r="BK140" i="19" s="1"/>
  <c r="AT140" i="19"/>
  <c r="AV140" i="19" s="1"/>
  <c r="AW140" i="19" s="1"/>
  <c r="CJ140" i="19"/>
  <c r="CL140" i="19" s="1"/>
  <c r="CM140" i="19" s="1"/>
  <c r="AF140" i="19"/>
  <c r="AH140" i="19" s="1"/>
  <c r="AI140" i="19" s="1"/>
  <c r="CX140" i="19"/>
  <c r="CZ140" i="19" s="1"/>
  <c r="DA140" i="19" s="1"/>
  <c r="BV140" i="19"/>
  <c r="BX140" i="19" s="1"/>
  <c r="BY140" i="19" s="1"/>
  <c r="AX310" i="19"/>
  <c r="AZ310" i="19" s="1"/>
  <c r="DH310" i="19" s="1"/>
  <c r="H141" i="19"/>
  <c r="AF226" i="19"/>
  <c r="AH226" i="19" s="1"/>
  <c r="AI226" i="19" s="1"/>
  <c r="BV226" i="19"/>
  <c r="BX226" i="19" s="1"/>
  <c r="BY226" i="19" s="1"/>
  <c r="BH226" i="19"/>
  <c r="BJ226" i="19" s="1"/>
  <c r="BK226" i="19" s="1"/>
  <c r="CX226" i="19"/>
  <c r="CZ226" i="19" s="1"/>
  <c r="DA226" i="19" s="1"/>
  <c r="CJ226" i="19"/>
  <c r="CL226" i="19" s="1"/>
  <c r="CM226" i="19" s="1"/>
  <c r="AT226" i="19"/>
  <c r="AV226" i="19" s="1"/>
  <c r="AW226" i="19" s="1"/>
  <c r="V227" i="19" l="1"/>
  <c r="X227" i="19" s="1"/>
  <c r="CJ227" i="19" s="1"/>
  <c r="CL227" i="19" s="1"/>
  <c r="CM227" i="19" s="1"/>
  <c r="AB226" i="19"/>
  <c r="AD226" i="19" s="1"/>
  <c r="AE226" i="19" s="1"/>
  <c r="AJ226" i="19" s="1"/>
  <c r="AL226" i="19" s="1"/>
  <c r="DG226" i="19" s="1"/>
  <c r="AP226" i="19"/>
  <c r="AR226" i="19" s="1"/>
  <c r="AS226" i="19" s="1"/>
  <c r="CF226" i="19"/>
  <c r="CH226" i="19" s="1"/>
  <c r="CI226" i="19" s="1"/>
  <c r="CN226" i="19" s="1"/>
  <c r="CP226" i="19" s="1"/>
  <c r="CT226" i="19"/>
  <c r="CV226" i="19" s="1"/>
  <c r="CW226" i="19" s="1"/>
  <c r="BR226" i="19"/>
  <c r="BT226" i="19" s="1"/>
  <c r="BU226" i="19" s="1"/>
  <c r="BZ226" i="19" s="1"/>
  <c r="CB226" i="19" s="1"/>
  <c r="F143" i="19"/>
  <c r="I313" i="19"/>
  <c r="S313" i="19" s="1"/>
  <c r="U313" i="19" s="1"/>
  <c r="BR313" i="19" s="1"/>
  <c r="BT313" i="19" s="1"/>
  <c r="BU313" i="19" s="1"/>
  <c r="H142" i="19"/>
  <c r="I142" i="19" s="1"/>
  <c r="S142" i="19" s="1"/>
  <c r="U142" i="19" s="1"/>
  <c r="AX311" i="19"/>
  <c r="AZ311" i="19" s="1"/>
  <c r="DH311" i="19" s="1"/>
  <c r="H228" i="19"/>
  <c r="V228" i="19" s="1"/>
  <c r="X228" i="19" s="1"/>
  <c r="BP315" i="19"/>
  <c r="BS315" i="19" s="1"/>
  <c r="BB315" i="19"/>
  <c r="BE315" i="19" s="1"/>
  <c r="G315" i="19"/>
  <c r="C316" i="19"/>
  <c r="AN315" i="19"/>
  <c r="AQ315" i="19" s="1"/>
  <c r="F315" i="19"/>
  <c r="Z315" i="19"/>
  <c r="AC315" i="19" s="1"/>
  <c r="CR315" i="19"/>
  <c r="CU315" i="19" s="1"/>
  <c r="CD315" i="19"/>
  <c r="CG315" i="19" s="1"/>
  <c r="DE315" i="19"/>
  <c r="CF312" i="19"/>
  <c r="CH312" i="19" s="1"/>
  <c r="CI312" i="19" s="1"/>
  <c r="CT312" i="19"/>
  <c r="CV312" i="19" s="1"/>
  <c r="CW312" i="19" s="1"/>
  <c r="AP312" i="19"/>
  <c r="AR312" i="19" s="1"/>
  <c r="AS312" i="19" s="1"/>
  <c r="BD312" i="19"/>
  <c r="BF312" i="19" s="1"/>
  <c r="BG312" i="19" s="1"/>
  <c r="BR312" i="19"/>
  <c r="BT312" i="19" s="1"/>
  <c r="BU312" i="19" s="1"/>
  <c r="AB312" i="19"/>
  <c r="AD312" i="19" s="1"/>
  <c r="AE312" i="19" s="1"/>
  <c r="BH312" i="19"/>
  <c r="BJ312" i="19" s="1"/>
  <c r="BK312" i="19" s="1"/>
  <c r="CX312" i="19"/>
  <c r="CZ312" i="19" s="1"/>
  <c r="DA312" i="19" s="1"/>
  <c r="CJ312" i="19"/>
  <c r="CL312" i="19" s="1"/>
  <c r="CM312" i="19" s="1"/>
  <c r="AT312" i="19"/>
  <c r="AV312" i="19" s="1"/>
  <c r="AW312" i="19" s="1"/>
  <c r="BV312" i="19"/>
  <c r="BX312" i="19" s="1"/>
  <c r="BY312" i="19" s="1"/>
  <c r="AF312" i="19"/>
  <c r="AH312" i="19" s="1"/>
  <c r="AI312" i="19" s="1"/>
  <c r="AJ311" i="19"/>
  <c r="AL311" i="19" s="1"/>
  <c r="DG311" i="19" s="1"/>
  <c r="BL311" i="19"/>
  <c r="BN311" i="19" s="1"/>
  <c r="DI311" i="19" s="1"/>
  <c r="CN311" i="19"/>
  <c r="CP311" i="19" s="1"/>
  <c r="DK311" i="19" s="1"/>
  <c r="C230" i="19"/>
  <c r="BB229" i="19"/>
  <c r="BE229" i="19" s="1"/>
  <c r="G229" i="19"/>
  <c r="Z229" i="19"/>
  <c r="AC229" i="19" s="1"/>
  <c r="CR229" i="19"/>
  <c r="CU229" i="19" s="1"/>
  <c r="CD229" i="19"/>
  <c r="CG229" i="19" s="1"/>
  <c r="BP229" i="19"/>
  <c r="BS229" i="19" s="1"/>
  <c r="AN229" i="19"/>
  <c r="AQ229" i="19" s="1"/>
  <c r="DE229" i="19"/>
  <c r="BZ140" i="19"/>
  <c r="CB140" i="19" s="1"/>
  <c r="DJ140" i="19" s="1"/>
  <c r="BZ311" i="19"/>
  <c r="CB311" i="19" s="1"/>
  <c r="DJ311" i="19" s="1"/>
  <c r="DB140" i="19"/>
  <c r="DD140" i="19" s="1"/>
  <c r="DL140" i="19" s="1"/>
  <c r="F229" i="19"/>
  <c r="DB311" i="19"/>
  <c r="DD311" i="19" s="1"/>
  <c r="DL311" i="19" s="1"/>
  <c r="V141" i="19"/>
  <c r="X141" i="19" s="1"/>
  <c r="I141" i="19"/>
  <c r="S141" i="19" s="1"/>
  <c r="U141" i="19" s="1"/>
  <c r="AJ140" i="19"/>
  <c r="AL140" i="19" s="1"/>
  <c r="DG140" i="19" s="1"/>
  <c r="BH313" i="19"/>
  <c r="BJ313" i="19" s="1"/>
  <c r="BK313" i="19" s="1"/>
  <c r="CX313" i="19"/>
  <c r="CZ313" i="19" s="1"/>
  <c r="DA313" i="19" s="1"/>
  <c r="BV313" i="19"/>
  <c r="BX313" i="19" s="1"/>
  <c r="BY313" i="19" s="1"/>
  <c r="AF313" i="19"/>
  <c r="AH313" i="19" s="1"/>
  <c r="AI313" i="19" s="1"/>
  <c r="AT313" i="19"/>
  <c r="AV313" i="19" s="1"/>
  <c r="AW313" i="19" s="1"/>
  <c r="CJ313" i="19"/>
  <c r="CL313" i="19" s="1"/>
  <c r="CM313" i="19" s="1"/>
  <c r="CN140" i="19"/>
  <c r="CP140" i="19" s="1"/>
  <c r="DK140" i="19" s="1"/>
  <c r="DB226" i="19"/>
  <c r="DD226" i="19" s="1"/>
  <c r="AX140" i="19"/>
  <c r="AZ140" i="19" s="1"/>
  <c r="DH140" i="19" s="1"/>
  <c r="CR143" i="19"/>
  <c r="CU143" i="19" s="1"/>
  <c r="Z143" i="19"/>
  <c r="AC143" i="19" s="1"/>
  <c r="CD143" i="19"/>
  <c r="CG143" i="19" s="1"/>
  <c r="BP143" i="19"/>
  <c r="BS143" i="19" s="1"/>
  <c r="BB143" i="19"/>
  <c r="BE143" i="19" s="1"/>
  <c r="G143" i="19"/>
  <c r="H143" i="19" s="1"/>
  <c r="C144" i="19"/>
  <c r="AN143" i="19"/>
  <c r="AQ143" i="19" s="1"/>
  <c r="DE143" i="19"/>
  <c r="BL226" i="19"/>
  <c r="BN226" i="19" s="1"/>
  <c r="DI226" i="19" s="1"/>
  <c r="BL140" i="19"/>
  <c r="BN140" i="19" s="1"/>
  <c r="DI140" i="19" s="1"/>
  <c r="AP227" i="19"/>
  <c r="AR227" i="19" s="1"/>
  <c r="AS227" i="19" s="1"/>
  <c r="AB227" i="19"/>
  <c r="AD227" i="19" s="1"/>
  <c r="AE227" i="19" s="1"/>
  <c r="BD227" i="19"/>
  <c r="BF227" i="19" s="1"/>
  <c r="BG227" i="19" s="1"/>
  <c r="BR227" i="19"/>
  <c r="BT227" i="19" s="1"/>
  <c r="BU227" i="19" s="1"/>
  <c r="CF227" i="19"/>
  <c r="CH227" i="19" s="1"/>
  <c r="CI227" i="19" s="1"/>
  <c r="CT227" i="19"/>
  <c r="CV227" i="19" s="1"/>
  <c r="CW227" i="19" s="1"/>
  <c r="AX226" i="19"/>
  <c r="AZ226" i="19" s="1"/>
  <c r="DH226" i="19" s="1"/>
  <c r="H314" i="19"/>
  <c r="AF227" i="19" l="1"/>
  <c r="AH227" i="19" s="1"/>
  <c r="AI227" i="19" s="1"/>
  <c r="BV227" i="19"/>
  <c r="BX227" i="19" s="1"/>
  <c r="BY227" i="19" s="1"/>
  <c r="BZ227" i="19" s="1"/>
  <c r="CB227" i="19" s="1"/>
  <c r="BH227" i="19"/>
  <c r="BJ227" i="19" s="1"/>
  <c r="BK227" i="19" s="1"/>
  <c r="AT227" i="19"/>
  <c r="AV227" i="19" s="1"/>
  <c r="AW227" i="19" s="1"/>
  <c r="CX227" i="19"/>
  <c r="CZ227" i="19" s="1"/>
  <c r="DA227" i="19" s="1"/>
  <c r="F144" i="19"/>
  <c r="V142" i="19"/>
  <c r="X142" i="19" s="1"/>
  <c r="AF142" i="19" s="1"/>
  <c r="AH142" i="19" s="1"/>
  <c r="AI142" i="19" s="1"/>
  <c r="AP313" i="19"/>
  <c r="AR313" i="19" s="1"/>
  <c r="AS313" i="19" s="1"/>
  <c r="AX313" i="19" s="1"/>
  <c r="AZ313" i="19" s="1"/>
  <c r="DH313" i="19" s="1"/>
  <c r="I228" i="19"/>
  <c r="S228" i="19" s="1"/>
  <c r="U228" i="19" s="1"/>
  <c r="CT228" i="19" s="1"/>
  <c r="CV228" i="19" s="1"/>
  <c r="CW228" i="19" s="1"/>
  <c r="CF313" i="19"/>
  <c r="CH313" i="19" s="1"/>
  <c r="CI313" i="19" s="1"/>
  <c r="CN313" i="19" s="1"/>
  <c r="CP313" i="19" s="1"/>
  <c r="DK313" i="19" s="1"/>
  <c r="CT313" i="19"/>
  <c r="CV313" i="19" s="1"/>
  <c r="CW313" i="19" s="1"/>
  <c r="DB313" i="19" s="1"/>
  <c r="DD313" i="19" s="1"/>
  <c r="DL313" i="19" s="1"/>
  <c r="AB313" i="19"/>
  <c r="AD313" i="19" s="1"/>
  <c r="AE313" i="19" s="1"/>
  <c r="AJ313" i="19" s="1"/>
  <c r="AL313" i="19" s="1"/>
  <c r="DG313" i="19" s="1"/>
  <c r="BD313" i="19"/>
  <c r="BF313" i="19" s="1"/>
  <c r="BG313" i="19" s="1"/>
  <c r="BL313" i="19" s="1"/>
  <c r="BN313" i="19" s="1"/>
  <c r="DI313" i="19" s="1"/>
  <c r="AJ312" i="19"/>
  <c r="AL312" i="19" s="1"/>
  <c r="DG312" i="19" s="1"/>
  <c r="BZ312" i="19"/>
  <c r="CB312" i="19" s="1"/>
  <c r="DJ312" i="19" s="1"/>
  <c r="H315" i="19"/>
  <c r="I315" i="19" s="1"/>
  <c r="S315" i="19" s="1"/>
  <c r="U315" i="19" s="1"/>
  <c r="H229" i="19"/>
  <c r="V229" i="19" s="1"/>
  <c r="X229" i="19" s="1"/>
  <c r="BV141" i="19"/>
  <c r="BX141" i="19" s="1"/>
  <c r="BY141" i="19" s="1"/>
  <c r="AF141" i="19"/>
  <c r="AH141" i="19" s="1"/>
  <c r="AI141" i="19" s="1"/>
  <c r="CJ141" i="19"/>
  <c r="CL141" i="19" s="1"/>
  <c r="CM141" i="19" s="1"/>
  <c r="BH141" i="19"/>
  <c r="BJ141" i="19" s="1"/>
  <c r="BK141" i="19" s="1"/>
  <c r="CX141" i="19"/>
  <c r="CZ141" i="19" s="1"/>
  <c r="DA141" i="19" s="1"/>
  <c r="AT141" i="19"/>
  <c r="AV141" i="19" s="1"/>
  <c r="AW141" i="19" s="1"/>
  <c r="BB230" i="19"/>
  <c r="BE230" i="19" s="1"/>
  <c r="G230" i="19"/>
  <c r="C231" i="19"/>
  <c r="AN230" i="19"/>
  <c r="AQ230" i="19" s="1"/>
  <c r="BP230" i="19"/>
  <c r="BS230" i="19" s="1"/>
  <c r="Z230" i="19"/>
  <c r="AC230" i="19" s="1"/>
  <c r="CR230" i="19"/>
  <c r="CU230" i="19" s="1"/>
  <c r="CD230" i="19"/>
  <c r="CG230" i="19" s="1"/>
  <c r="DE230" i="19"/>
  <c r="CT141" i="19"/>
  <c r="CV141" i="19" s="1"/>
  <c r="CW141" i="19" s="1"/>
  <c r="AB141" i="19"/>
  <c r="AD141" i="19" s="1"/>
  <c r="AE141" i="19" s="1"/>
  <c r="CF141" i="19"/>
  <c r="CH141" i="19" s="1"/>
  <c r="CI141" i="19" s="1"/>
  <c r="BD141" i="19"/>
  <c r="BF141" i="19" s="1"/>
  <c r="BG141" i="19" s="1"/>
  <c r="BR141" i="19"/>
  <c r="BT141" i="19" s="1"/>
  <c r="BU141" i="19" s="1"/>
  <c r="AP141" i="19"/>
  <c r="AR141" i="19" s="1"/>
  <c r="AS141" i="19" s="1"/>
  <c r="V143" i="19"/>
  <c r="X143" i="19" s="1"/>
  <c r="I143" i="19"/>
  <c r="S143" i="19" s="1"/>
  <c r="U143" i="19" s="1"/>
  <c r="DB227" i="19"/>
  <c r="DD227" i="19" s="1"/>
  <c r="AX312" i="19"/>
  <c r="AZ312" i="19" s="1"/>
  <c r="DH312" i="19" s="1"/>
  <c r="CR316" i="19"/>
  <c r="CU316" i="19" s="1"/>
  <c r="Z316" i="19"/>
  <c r="AC316" i="19" s="1"/>
  <c r="CD316" i="19"/>
  <c r="CG316" i="19" s="1"/>
  <c r="BP316" i="19"/>
  <c r="BS316" i="19" s="1"/>
  <c r="BB316" i="19"/>
  <c r="BE316" i="19" s="1"/>
  <c r="G316" i="19"/>
  <c r="C317" i="19"/>
  <c r="AN316" i="19"/>
  <c r="AQ316" i="19" s="1"/>
  <c r="F316" i="19"/>
  <c r="DE316" i="19"/>
  <c r="CN227" i="19"/>
  <c r="CP227" i="19" s="1"/>
  <c r="V314" i="19"/>
  <c r="X314" i="19" s="1"/>
  <c r="I314" i="19"/>
  <c r="S314" i="19" s="1"/>
  <c r="U314" i="19" s="1"/>
  <c r="BB144" i="19"/>
  <c r="BE144" i="19" s="1"/>
  <c r="G144" i="19"/>
  <c r="CD144" i="19"/>
  <c r="CG144" i="19" s="1"/>
  <c r="C145" i="19"/>
  <c r="AN144" i="19"/>
  <c r="AQ144" i="19" s="1"/>
  <c r="BP144" i="19"/>
  <c r="BS144" i="19" s="1"/>
  <c r="Z144" i="19"/>
  <c r="AC144" i="19" s="1"/>
  <c r="CR144" i="19"/>
  <c r="CU144" i="19" s="1"/>
  <c r="DE144" i="19"/>
  <c r="CN312" i="19"/>
  <c r="CP312" i="19" s="1"/>
  <c r="DK312" i="19" s="1"/>
  <c r="BL227" i="19"/>
  <c r="BN227" i="19" s="1"/>
  <c r="DI227" i="19" s="1"/>
  <c r="F230" i="19"/>
  <c r="DB312" i="19"/>
  <c r="DD312" i="19" s="1"/>
  <c r="DL312" i="19" s="1"/>
  <c r="BV228" i="19"/>
  <c r="BX228" i="19" s="1"/>
  <c r="BY228" i="19" s="1"/>
  <c r="AT228" i="19"/>
  <c r="AV228" i="19" s="1"/>
  <c r="AW228" i="19" s="1"/>
  <c r="BH228" i="19"/>
  <c r="BJ228" i="19" s="1"/>
  <c r="BK228" i="19" s="1"/>
  <c r="CJ228" i="19"/>
  <c r="CL228" i="19" s="1"/>
  <c r="CM228" i="19" s="1"/>
  <c r="AF228" i="19"/>
  <c r="AH228" i="19" s="1"/>
  <c r="AI228" i="19" s="1"/>
  <c r="CX228" i="19"/>
  <c r="CZ228" i="19" s="1"/>
  <c r="DA228" i="19" s="1"/>
  <c r="BL312" i="19"/>
  <c r="BN312" i="19" s="1"/>
  <c r="DI312" i="19" s="1"/>
  <c r="AJ227" i="19"/>
  <c r="AL227" i="19" s="1"/>
  <c r="DG227" i="19" s="1"/>
  <c r="AX227" i="19"/>
  <c r="AZ227" i="19" s="1"/>
  <c r="DH227" i="19" s="1"/>
  <c r="CF142" i="19"/>
  <c r="CH142" i="19" s="1"/>
  <c r="CI142" i="19" s="1"/>
  <c r="CT142" i="19"/>
  <c r="CV142" i="19" s="1"/>
  <c r="CW142" i="19" s="1"/>
  <c r="AP142" i="19"/>
  <c r="AR142" i="19" s="1"/>
  <c r="AS142" i="19" s="1"/>
  <c r="BD142" i="19"/>
  <c r="BF142" i="19" s="1"/>
  <c r="BG142" i="19" s="1"/>
  <c r="BR142" i="19"/>
  <c r="BT142" i="19" s="1"/>
  <c r="BU142" i="19" s="1"/>
  <c r="AB142" i="19"/>
  <c r="AD142" i="19" s="1"/>
  <c r="AE142" i="19" s="1"/>
  <c r="BZ313" i="19"/>
  <c r="CB313" i="19" s="1"/>
  <c r="DJ313" i="19" s="1"/>
  <c r="AT142" i="19"/>
  <c r="AV142" i="19" s="1"/>
  <c r="AW142" i="19" s="1"/>
  <c r="BH142" i="19"/>
  <c r="BJ142" i="19" s="1"/>
  <c r="BK142" i="19" s="1"/>
  <c r="CX142" i="19"/>
  <c r="CZ142" i="19" s="1"/>
  <c r="DA142" i="19" s="1"/>
  <c r="H144" i="19" l="1"/>
  <c r="F145" i="19"/>
  <c r="CJ142" i="19"/>
  <c r="CL142" i="19" s="1"/>
  <c r="CM142" i="19" s="1"/>
  <c r="BV142" i="19"/>
  <c r="BX142" i="19" s="1"/>
  <c r="BY142" i="19" s="1"/>
  <c r="BD228" i="19"/>
  <c r="BF228" i="19" s="1"/>
  <c r="BG228" i="19" s="1"/>
  <c r="AP228" i="19"/>
  <c r="AR228" i="19" s="1"/>
  <c r="AS228" i="19" s="1"/>
  <c r="AX228" i="19" s="1"/>
  <c r="AZ228" i="19" s="1"/>
  <c r="DH228" i="19" s="1"/>
  <c r="CF228" i="19"/>
  <c r="CH228" i="19" s="1"/>
  <c r="CI228" i="19" s="1"/>
  <c r="CN228" i="19" s="1"/>
  <c r="CP228" i="19" s="1"/>
  <c r="BR228" i="19"/>
  <c r="BT228" i="19" s="1"/>
  <c r="BU228" i="19" s="1"/>
  <c r="BZ228" i="19" s="1"/>
  <c r="CB228" i="19" s="1"/>
  <c r="AB228" i="19"/>
  <c r="AD228" i="19" s="1"/>
  <c r="AE228" i="19" s="1"/>
  <c r="AJ228" i="19" s="1"/>
  <c r="AL228" i="19" s="1"/>
  <c r="DG228" i="19" s="1"/>
  <c r="H230" i="19"/>
  <c r="V230" i="19" s="1"/>
  <c r="X230" i="19" s="1"/>
  <c r="V315" i="19"/>
  <c r="X315" i="19" s="1"/>
  <c r="AF315" i="19" s="1"/>
  <c r="AH315" i="19" s="1"/>
  <c r="AI315" i="19" s="1"/>
  <c r="I229" i="19"/>
  <c r="S229" i="19" s="1"/>
  <c r="U229" i="19" s="1"/>
  <c r="CF229" i="19" s="1"/>
  <c r="CH229" i="19" s="1"/>
  <c r="CI229" i="19" s="1"/>
  <c r="H316" i="19"/>
  <c r="V316" i="19" s="1"/>
  <c r="X316" i="19" s="1"/>
  <c r="AJ142" i="19"/>
  <c r="AL142" i="19" s="1"/>
  <c r="DG142" i="19" s="1"/>
  <c r="V144" i="19"/>
  <c r="X144" i="19" s="1"/>
  <c r="I144" i="19"/>
  <c r="S144" i="19" s="1"/>
  <c r="U144" i="19" s="1"/>
  <c r="BD143" i="19"/>
  <c r="BF143" i="19" s="1"/>
  <c r="BG143" i="19" s="1"/>
  <c r="AB143" i="19"/>
  <c r="AD143" i="19" s="1"/>
  <c r="AE143" i="19" s="1"/>
  <c r="AP143" i="19"/>
  <c r="AR143" i="19" s="1"/>
  <c r="AS143" i="19" s="1"/>
  <c r="BR143" i="19"/>
  <c r="BT143" i="19" s="1"/>
  <c r="BU143" i="19" s="1"/>
  <c r="CF143" i="19"/>
  <c r="CH143" i="19" s="1"/>
  <c r="CI143" i="19" s="1"/>
  <c r="CT143" i="19"/>
  <c r="CV143" i="19" s="1"/>
  <c r="CW143" i="19" s="1"/>
  <c r="AT314" i="19"/>
  <c r="AV314" i="19" s="1"/>
  <c r="AW314" i="19" s="1"/>
  <c r="BV314" i="19"/>
  <c r="BX314" i="19" s="1"/>
  <c r="BY314" i="19" s="1"/>
  <c r="AF314" i="19"/>
  <c r="AH314" i="19" s="1"/>
  <c r="AI314" i="19" s="1"/>
  <c r="CX314" i="19"/>
  <c r="CZ314" i="19" s="1"/>
  <c r="DA314" i="19" s="1"/>
  <c r="BH314" i="19"/>
  <c r="BJ314" i="19" s="1"/>
  <c r="BK314" i="19" s="1"/>
  <c r="CJ314" i="19"/>
  <c r="CL314" i="19" s="1"/>
  <c r="CM314" i="19" s="1"/>
  <c r="BH143" i="19"/>
  <c r="BJ143" i="19" s="1"/>
  <c r="BK143" i="19" s="1"/>
  <c r="CX143" i="19"/>
  <c r="CZ143" i="19" s="1"/>
  <c r="DA143" i="19" s="1"/>
  <c r="BV143" i="19"/>
  <c r="BX143" i="19" s="1"/>
  <c r="BY143" i="19" s="1"/>
  <c r="AF143" i="19"/>
  <c r="AH143" i="19" s="1"/>
  <c r="AI143" i="19" s="1"/>
  <c r="AT143" i="19"/>
  <c r="AV143" i="19" s="1"/>
  <c r="AW143" i="19" s="1"/>
  <c r="CJ143" i="19"/>
  <c r="CL143" i="19" s="1"/>
  <c r="CM143" i="19" s="1"/>
  <c r="CR231" i="19"/>
  <c r="CU231" i="19" s="1"/>
  <c r="CD231" i="19"/>
  <c r="CG231" i="19" s="1"/>
  <c r="BP231" i="19"/>
  <c r="BS231" i="19" s="1"/>
  <c r="BB231" i="19"/>
  <c r="BE231" i="19" s="1"/>
  <c r="G231" i="19"/>
  <c r="C232" i="19"/>
  <c r="AN231" i="19"/>
  <c r="AQ231" i="19" s="1"/>
  <c r="Z231" i="19"/>
  <c r="AC231" i="19" s="1"/>
  <c r="DE231" i="19"/>
  <c r="DB228" i="19"/>
  <c r="DD228" i="19" s="1"/>
  <c r="AX141" i="19"/>
  <c r="AZ141" i="19" s="1"/>
  <c r="DH141" i="19" s="1"/>
  <c r="DB142" i="19"/>
  <c r="DD142" i="19" s="1"/>
  <c r="DL142" i="19" s="1"/>
  <c r="DB141" i="19"/>
  <c r="DD141" i="19" s="1"/>
  <c r="DL141" i="19" s="1"/>
  <c r="BL142" i="19"/>
  <c r="BN142" i="19" s="1"/>
  <c r="DI142" i="19" s="1"/>
  <c r="AX142" i="19"/>
  <c r="AZ142" i="19" s="1"/>
  <c r="DH142" i="19" s="1"/>
  <c r="BB317" i="19"/>
  <c r="BE317" i="19" s="1"/>
  <c r="G317" i="19"/>
  <c r="C318" i="19"/>
  <c r="AN317" i="19"/>
  <c r="AQ317" i="19" s="1"/>
  <c r="F317" i="19"/>
  <c r="Z317" i="19"/>
  <c r="AC317" i="19" s="1"/>
  <c r="CR317" i="19"/>
  <c r="CU317" i="19" s="1"/>
  <c r="CD317" i="19"/>
  <c r="CG317" i="19" s="1"/>
  <c r="BP317" i="19"/>
  <c r="BS317" i="19" s="1"/>
  <c r="DE317" i="19"/>
  <c r="BL141" i="19"/>
  <c r="BN141" i="19" s="1"/>
  <c r="DI141" i="19" s="1"/>
  <c r="BL228" i="19"/>
  <c r="BN228" i="19" s="1"/>
  <c r="DI228" i="19" s="1"/>
  <c r="BR315" i="19"/>
  <c r="BT315" i="19" s="1"/>
  <c r="BU315" i="19" s="1"/>
  <c r="AP315" i="19"/>
  <c r="AR315" i="19" s="1"/>
  <c r="AS315" i="19" s="1"/>
  <c r="AB315" i="19"/>
  <c r="AD315" i="19" s="1"/>
  <c r="AE315" i="19" s="1"/>
  <c r="BD315" i="19"/>
  <c r="BF315" i="19" s="1"/>
  <c r="BG315" i="19" s="1"/>
  <c r="CT315" i="19"/>
  <c r="CV315" i="19" s="1"/>
  <c r="CW315" i="19" s="1"/>
  <c r="CF315" i="19"/>
  <c r="CH315" i="19" s="1"/>
  <c r="CI315" i="19" s="1"/>
  <c r="CN141" i="19"/>
  <c r="CP141" i="19" s="1"/>
  <c r="DK141" i="19" s="1"/>
  <c r="AP314" i="19"/>
  <c r="AR314" i="19" s="1"/>
  <c r="AS314" i="19" s="1"/>
  <c r="BR314" i="19"/>
  <c r="BT314" i="19" s="1"/>
  <c r="BU314" i="19" s="1"/>
  <c r="CF314" i="19"/>
  <c r="CH314" i="19" s="1"/>
  <c r="CI314" i="19" s="1"/>
  <c r="BD314" i="19"/>
  <c r="BF314" i="19" s="1"/>
  <c r="BG314" i="19" s="1"/>
  <c r="AB314" i="19"/>
  <c r="AD314" i="19" s="1"/>
  <c r="AE314" i="19" s="1"/>
  <c r="CT314" i="19"/>
  <c r="CV314" i="19" s="1"/>
  <c r="CW314" i="19" s="1"/>
  <c r="AJ141" i="19"/>
  <c r="AL141" i="19" s="1"/>
  <c r="DG141" i="19" s="1"/>
  <c r="BZ141" i="19"/>
  <c r="CB141" i="19" s="1"/>
  <c r="DJ141" i="19" s="1"/>
  <c r="CN142" i="19"/>
  <c r="CP142" i="19" s="1"/>
  <c r="DK142" i="19" s="1"/>
  <c r="BZ142" i="19"/>
  <c r="CB142" i="19" s="1"/>
  <c r="DJ142" i="19" s="1"/>
  <c r="BP145" i="19"/>
  <c r="BS145" i="19" s="1"/>
  <c r="BB145" i="19"/>
  <c r="BE145" i="19" s="1"/>
  <c r="G145" i="19"/>
  <c r="C146" i="19"/>
  <c r="AN145" i="19"/>
  <c r="AQ145" i="19" s="1"/>
  <c r="Z145" i="19"/>
  <c r="AC145" i="19" s="1"/>
  <c r="CR145" i="19"/>
  <c r="CU145" i="19" s="1"/>
  <c r="CD145" i="19"/>
  <c r="CG145" i="19" s="1"/>
  <c r="DE145" i="19"/>
  <c r="F231" i="19"/>
  <c r="CJ229" i="19"/>
  <c r="CL229" i="19" s="1"/>
  <c r="CM229" i="19" s="1"/>
  <c r="AT229" i="19"/>
  <c r="AV229" i="19" s="1"/>
  <c r="AW229" i="19" s="1"/>
  <c r="BH229" i="19"/>
  <c r="BJ229" i="19" s="1"/>
  <c r="BK229" i="19" s="1"/>
  <c r="BV229" i="19"/>
  <c r="BX229" i="19" s="1"/>
  <c r="BY229" i="19" s="1"/>
  <c r="CX229" i="19"/>
  <c r="CZ229" i="19" s="1"/>
  <c r="DA229" i="19" s="1"/>
  <c r="AF229" i="19"/>
  <c r="AH229" i="19" s="1"/>
  <c r="AI229" i="19" s="1"/>
  <c r="CJ315" i="19" l="1"/>
  <c r="CL315" i="19" s="1"/>
  <c r="CM315" i="19" s="1"/>
  <c r="F146" i="19"/>
  <c r="H145" i="19"/>
  <c r="V145" i="19" s="1"/>
  <c r="X145" i="19" s="1"/>
  <c r="CT229" i="19"/>
  <c r="CV229" i="19" s="1"/>
  <c r="CW229" i="19" s="1"/>
  <c r="DB229" i="19" s="1"/>
  <c r="DD229" i="19" s="1"/>
  <c r="AB229" i="19"/>
  <c r="AD229" i="19" s="1"/>
  <c r="AE229" i="19" s="1"/>
  <c r="AP229" i="19"/>
  <c r="AR229" i="19" s="1"/>
  <c r="AS229" i="19" s="1"/>
  <c r="BR229" i="19"/>
  <c r="BT229" i="19" s="1"/>
  <c r="BU229" i="19" s="1"/>
  <c r="BZ229" i="19" s="1"/>
  <c r="CB229" i="19" s="1"/>
  <c r="BD229" i="19"/>
  <c r="BF229" i="19" s="1"/>
  <c r="BG229" i="19" s="1"/>
  <c r="AT315" i="19"/>
  <c r="AV315" i="19" s="1"/>
  <c r="AW315" i="19" s="1"/>
  <c r="AX315" i="19" s="1"/>
  <c r="AZ315" i="19" s="1"/>
  <c r="DH315" i="19" s="1"/>
  <c r="I230" i="19"/>
  <c r="S230" i="19" s="1"/>
  <c r="U230" i="19" s="1"/>
  <c r="AP230" i="19" s="1"/>
  <c r="AR230" i="19" s="1"/>
  <c r="AS230" i="19" s="1"/>
  <c r="CX315" i="19"/>
  <c r="CZ315" i="19" s="1"/>
  <c r="DA315" i="19" s="1"/>
  <c r="DB315" i="19" s="1"/>
  <c r="DD315" i="19" s="1"/>
  <c r="DL315" i="19" s="1"/>
  <c r="I316" i="19"/>
  <c r="S316" i="19" s="1"/>
  <c r="U316" i="19" s="1"/>
  <c r="BD316" i="19" s="1"/>
  <c r="BF316" i="19" s="1"/>
  <c r="BG316" i="19" s="1"/>
  <c r="BV315" i="19"/>
  <c r="BX315" i="19" s="1"/>
  <c r="BY315" i="19" s="1"/>
  <c r="BZ315" i="19" s="1"/>
  <c r="CB315" i="19" s="1"/>
  <c r="DJ315" i="19" s="1"/>
  <c r="BH315" i="19"/>
  <c r="BJ315" i="19" s="1"/>
  <c r="BK315" i="19" s="1"/>
  <c r="BL315" i="19" s="1"/>
  <c r="BN315" i="19" s="1"/>
  <c r="DI315" i="19" s="1"/>
  <c r="BL229" i="19"/>
  <c r="BN229" i="19" s="1"/>
  <c r="DI229" i="19" s="1"/>
  <c r="H317" i="19"/>
  <c r="I317" i="19" s="1"/>
  <c r="S317" i="19" s="1"/>
  <c r="U317" i="19" s="1"/>
  <c r="F232" i="19"/>
  <c r="BL314" i="19"/>
  <c r="BN314" i="19" s="1"/>
  <c r="DI314" i="19" s="1"/>
  <c r="AJ143" i="19"/>
  <c r="AL143" i="19" s="1"/>
  <c r="DG143" i="19" s="1"/>
  <c r="H231" i="19"/>
  <c r="V231" i="19" s="1"/>
  <c r="X231" i="19" s="1"/>
  <c r="AJ315" i="19"/>
  <c r="AL315" i="19" s="1"/>
  <c r="DG315" i="19" s="1"/>
  <c r="AX229" i="19"/>
  <c r="AZ229" i="19" s="1"/>
  <c r="DH229" i="19" s="1"/>
  <c r="CN314" i="19"/>
  <c r="CP314" i="19" s="1"/>
  <c r="DK314" i="19" s="1"/>
  <c r="I145" i="19"/>
  <c r="S145" i="19" s="1"/>
  <c r="U145" i="19" s="1"/>
  <c r="CR318" i="19"/>
  <c r="CU318" i="19" s="1"/>
  <c r="CD318" i="19"/>
  <c r="CG318" i="19" s="1"/>
  <c r="BP318" i="19"/>
  <c r="BS318" i="19" s="1"/>
  <c r="BB318" i="19"/>
  <c r="BE318" i="19" s="1"/>
  <c r="Z318" i="19"/>
  <c r="AC318" i="19" s="1"/>
  <c r="G318" i="19"/>
  <c r="C319" i="19"/>
  <c r="AN318" i="19"/>
  <c r="AQ318" i="19" s="1"/>
  <c r="F318" i="19"/>
  <c r="DE318" i="19"/>
  <c r="DB314" i="19"/>
  <c r="DD314" i="19" s="1"/>
  <c r="DL314" i="19" s="1"/>
  <c r="AJ314" i="19"/>
  <c r="AL314" i="19" s="1"/>
  <c r="DG314" i="19" s="1"/>
  <c r="CD232" i="19"/>
  <c r="CG232" i="19" s="1"/>
  <c r="BP232" i="19"/>
  <c r="BS232" i="19" s="1"/>
  <c r="BB232" i="19"/>
  <c r="BE232" i="19" s="1"/>
  <c r="G232" i="19"/>
  <c r="C233" i="19"/>
  <c r="AN232" i="19"/>
  <c r="AQ232" i="19" s="1"/>
  <c r="Z232" i="19"/>
  <c r="AC232" i="19" s="1"/>
  <c r="CR232" i="19"/>
  <c r="CU232" i="19" s="1"/>
  <c r="DE232" i="19"/>
  <c r="BZ314" i="19"/>
  <c r="CB314" i="19" s="1"/>
  <c r="DJ314" i="19" s="1"/>
  <c r="AX314" i="19"/>
  <c r="AZ314" i="19" s="1"/>
  <c r="DH314" i="19" s="1"/>
  <c r="CN315" i="19"/>
  <c r="CP315" i="19" s="1"/>
  <c r="DK315" i="19" s="1"/>
  <c r="CN143" i="19"/>
  <c r="CP143" i="19" s="1"/>
  <c r="DK143" i="19" s="1"/>
  <c r="BP146" i="19"/>
  <c r="BS146" i="19" s="1"/>
  <c r="BB146" i="19"/>
  <c r="BE146" i="19" s="1"/>
  <c r="G146" i="19"/>
  <c r="H146" i="19" s="1"/>
  <c r="C147" i="19"/>
  <c r="F147" i="19" s="1"/>
  <c r="AN146" i="19"/>
  <c r="AQ146" i="19" s="1"/>
  <c r="Z146" i="19"/>
  <c r="AC146" i="19" s="1"/>
  <c r="CR146" i="19"/>
  <c r="CU146" i="19" s="1"/>
  <c r="CD146" i="19"/>
  <c r="CG146" i="19" s="1"/>
  <c r="DE146" i="19"/>
  <c r="AJ229" i="19"/>
  <c r="AL229" i="19" s="1"/>
  <c r="DG229" i="19" s="1"/>
  <c r="AX143" i="19"/>
  <c r="AZ143" i="19" s="1"/>
  <c r="DH143" i="19" s="1"/>
  <c r="BZ143" i="19"/>
  <c r="CB143" i="19" s="1"/>
  <c r="DJ143" i="19" s="1"/>
  <c r="AT230" i="19"/>
  <c r="AV230" i="19" s="1"/>
  <c r="AW230" i="19" s="1"/>
  <c r="BH230" i="19"/>
  <c r="BJ230" i="19" s="1"/>
  <c r="BK230" i="19" s="1"/>
  <c r="BV230" i="19"/>
  <c r="BX230" i="19" s="1"/>
  <c r="BY230" i="19" s="1"/>
  <c r="CJ230" i="19"/>
  <c r="CL230" i="19" s="1"/>
  <c r="CM230" i="19" s="1"/>
  <c r="AF230" i="19"/>
  <c r="AH230" i="19" s="1"/>
  <c r="AI230" i="19" s="1"/>
  <c r="CX230" i="19"/>
  <c r="CZ230" i="19" s="1"/>
  <c r="DA230" i="19" s="1"/>
  <c r="BV316" i="19"/>
  <c r="BX316" i="19" s="1"/>
  <c r="BY316" i="19" s="1"/>
  <c r="AF316" i="19"/>
  <c r="AH316" i="19" s="1"/>
  <c r="AI316" i="19" s="1"/>
  <c r="BH316" i="19"/>
  <c r="BJ316" i="19" s="1"/>
  <c r="BK316" i="19" s="1"/>
  <c r="AT316" i="19"/>
  <c r="AV316" i="19" s="1"/>
  <c r="AW316" i="19" s="1"/>
  <c r="CJ316" i="19"/>
  <c r="CL316" i="19" s="1"/>
  <c r="CM316" i="19" s="1"/>
  <c r="CX316" i="19"/>
  <c r="CZ316" i="19" s="1"/>
  <c r="DA316" i="19" s="1"/>
  <c r="DB143" i="19"/>
  <c r="DD143" i="19" s="1"/>
  <c r="DL143" i="19" s="1"/>
  <c r="CT144" i="19"/>
  <c r="CV144" i="19" s="1"/>
  <c r="CW144" i="19" s="1"/>
  <c r="AB144" i="19"/>
  <c r="AD144" i="19" s="1"/>
  <c r="AE144" i="19" s="1"/>
  <c r="AP144" i="19"/>
  <c r="AR144" i="19" s="1"/>
  <c r="AS144" i="19" s="1"/>
  <c r="BD144" i="19"/>
  <c r="BF144" i="19" s="1"/>
  <c r="BG144" i="19" s="1"/>
  <c r="BR144" i="19"/>
  <c r="BT144" i="19" s="1"/>
  <c r="BU144" i="19" s="1"/>
  <c r="CF144" i="19"/>
  <c r="CH144" i="19" s="1"/>
  <c r="CI144" i="19" s="1"/>
  <c r="CN229" i="19"/>
  <c r="CP229" i="19" s="1"/>
  <c r="BL143" i="19"/>
  <c r="BN143" i="19" s="1"/>
  <c r="DI143" i="19" s="1"/>
  <c r="CJ144" i="19"/>
  <c r="CL144" i="19" s="1"/>
  <c r="CM144" i="19" s="1"/>
  <c r="AT144" i="19"/>
  <c r="AV144" i="19" s="1"/>
  <c r="AW144" i="19" s="1"/>
  <c r="CX144" i="19"/>
  <c r="CZ144" i="19" s="1"/>
  <c r="DA144" i="19" s="1"/>
  <c r="AF144" i="19"/>
  <c r="AH144" i="19" s="1"/>
  <c r="AI144" i="19" s="1"/>
  <c r="BV144" i="19"/>
  <c r="BX144" i="19" s="1"/>
  <c r="BY144" i="19" s="1"/>
  <c r="BH144" i="19"/>
  <c r="BJ144" i="19" s="1"/>
  <c r="BK144" i="19" s="1"/>
  <c r="CT316" i="19" l="1"/>
  <c r="CV316" i="19" s="1"/>
  <c r="CW316" i="19" s="1"/>
  <c r="BR316" i="19"/>
  <c r="BT316" i="19" s="1"/>
  <c r="BU316" i="19" s="1"/>
  <c r="BZ316" i="19" s="1"/>
  <c r="CB316" i="19" s="1"/>
  <c r="DJ316" i="19" s="1"/>
  <c r="AP316" i="19"/>
  <c r="AR316" i="19" s="1"/>
  <c r="AS316" i="19" s="1"/>
  <c r="AB316" i="19"/>
  <c r="AD316" i="19" s="1"/>
  <c r="AE316" i="19" s="1"/>
  <c r="CF316" i="19"/>
  <c r="CH316" i="19" s="1"/>
  <c r="CI316" i="19" s="1"/>
  <c r="CN316" i="19" s="1"/>
  <c r="CP316" i="19" s="1"/>
  <c r="DK316" i="19" s="1"/>
  <c r="CT230" i="19"/>
  <c r="CV230" i="19" s="1"/>
  <c r="CW230" i="19" s="1"/>
  <c r="DB230" i="19" s="1"/>
  <c r="DD230" i="19" s="1"/>
  <c r="BR230" i="19"/>
  <c r="BT230" i="19" s="1"/>
  <c r="BU230" i="19" s="1"/>
  <c r="BZ230" i="19" s="1"/>
  <c r="CB230" i="19" s="1"/>
  <c r="AB230" i="19"/>
  <c r="AD230" i="19" s="1"/>
  <c r="AE230" i="19" s="1"/>
  <c r="AJ230" i="19" s="1"/>
  <c r="AL230" i="19" s="1"/>
  <c r="DG230" i="19" s="1"/>
  <c r="BD230" i="19"/>
  <c r="BF230" i="19" s="1"/>
  <c r="BG230" i="19" s="1"/>
  <c r="BL230" i="19" s="1"/>
  <c r="BN230" i="19" s="1"/>
  <c r="DI230" i="19" s="1"/>
  <c r="CF230" i="19"/>
  <c r="CH230" i="19" s="1"/>
  <c r="CI230" i="19" s="1"/>
  <c r="CN230" i="19" s="1"/>
  <c r="CP230" i="19" s="1"/>
  <c r="H232" i="19"/>
  <c r="I232" i="19" s="1"/>
  <c r="S232" i="19" s="1"/>
  <c r="U232" i="19" s="1"/>
  <c r="V317" i="19"/>
  <c r="X317" i="19" s="1"/>
  <c r="CJ317" i="19" s="1"/>
  <c r="CL317" i="19" s="1"/>
  <c r="CM317" i="19" s="1"/>
  <c r="I231" i="19"/>
  <c r="S231" i="19" s="1"/>
  <c r="U231" i="19" s="1"/>
  <c r="AP231" i="19" s="1"/>
  <c r="AR231" i="19" s="1"/>
  <c r="AS231" i="19" s="1"/>
  <c r="F233" i="19"/>
  <c r="DB316" i="19"/>
  <c r="DD316" i="19" s="1"/>
  <c r="DL316" i="19" s="1"/>
  <c r="AX230" i="19"/>
  <c r="AZ230" i="19" s="1"/>
  <c r="DH230" i="19" s="1"/>
  <c r="V146" i="19"/>
  <c r="X146" i="19" s="1"/>
  <c r="I146" i="19"/>
  <c r="S146" i="19" s="1"/>
  <c r="U146" i="19" s="1"/>
  <c r="G319" i="19"/>
  <c r="C320" i="19"/>
  <c r="AN319" i="19"/>
  <c r="AQ319" i="19" s="1"/>
  <c r="F319" i="19"/>
  <c r="Z319" i="19"/>
  <c r="AC319" i="19" s="1"/>
  <c r="CR319" i="19"/>
  <c r="CU319" i="19" s="1"/>
  <c r="CD319" i="19"/>
  <c r="CG319" i="19" s="1"/>
  <c r="BP319" i="19"/>
  <c r="BS319" i="19" s="1"/>
  <c r="BB319" i="19"/>
  <c r="BE319" i="19" s="1"/>
  <c r="DE319" i="19"/>
  <c r="H318" i="19"/>
  <c r="BZ144" i="19"/>
  <c r="CB144" i="19" s="1"/>
  <c r="DJ144" i="19" s="1"/>
  <c r="CJ231" i="19"/>
  <c r="CL231" i="19" s="1"/>
  <c r="CM231" i="19" s="1"/>
  <c r="AT231" i="19"/>
  <c r="AV231" i="19" s="1"/>
  <c r="AW231" i="19" s="1"/>
  <c r="BH231" i="19"/>
  <c r="BJ231" i="19" s="1"/>
  <c r="BK231" i="19" s="1"/>
  <c r="BV231" i="19"/>
  <c r="BX231" i="19" s="1"/>
  <c r="BY231" i="19" s="1"/>
  <c r="AF231" i="19"/>
  <c r="AH231" i="19" s="1"/>
  <c r="AI231" i="19" s="1"/>
  <c r="CX231" i="19"/>
  <c r="CZ231" i="19" s="1"/>
  <c r="DA231" i="19" s="1"/>
  <c r="AJ144" i="19"/>
  <c r="AL144" i="19" s="1"/>
  <c r="DG144" i="19" s="1"/>
  <c r="CD233" i="19"/>
  <c r="CG233" i="19" s="1"/>
  <c r="BP233" i="19"/>
  <c r="BS233" i="19" s="1"/>
  <c r="BB233" i="19"/>
  <c r="BE233" i="19" s="1"/>
  <c r="G233" i="19"/>
  <c r="C234" i="19"/>
  <c r="AN233" i="19"/>
  <c r="AQ233" i="19" s="1"/>
  <c r="Z233" i="19"/>
  <c r="AC233" i="19" s="1"/>
  <c r="CR233" i="19"/>
  <c r="CU233" i="19" s="1"/>
  <c r="DE233" i="19"/>
  <c r="DB144" i="19"/>
  <c r="DD144" i="19" s="1"/>
  <c r="DL144" i="19" s="1"/>
  <c r="AX316" i="19"/>
  <c r="AZ316" i="19" s="1"/>
  <c r="DH316" i="19" s="1"/>
  <c r="Z147" i="19"/>
  <c r="AC147" i="19" s="1"/>
  <c r="C148" i="19"/>
  <c r="F148" i="19" s="1"/>
  <c r="CR147" i="19"/>
  <c r="CU147" i="19" s="1"/>
  <c r="CD147" i="19"/>
  <c r="CG147" i="19" s="1"/>
  <c r="BP147" i="19"/>
  <c r="BS147" i="19" s="1"/>
  <c r="BB147" i="19"/>
  <c r="BE147" i="19" s="1"/>
  <c r="AN147" i="19"/>
  <c r="AQ147" i="19" s="1"/>
  <c r="G147" i="19"/>
  <c r="H147" i="19" s="1"/>
  <c r="DE147" i="19"/>
  <c r="BL144" i="19"/>
  <c r="BN144" i="19" s="1"/>
  <c r="DI144" i="19" s="1"/>
  <c r="AX144" i="19"/>
  <c r="AZ144" i="19" s="1"/>
  <c r="DH144" i="19" s="1"/>
  <c r="BL316" i="19"/>
  <c r="BN316" i="19" s="1"/>
  <c r="DI316" i="19" s="1"/>
  <c r="CF317" i="19"/>
  <c r="CH317" i="19" s="1"/>
  <c r="CI317" i="19" s="1"/>
  <c r="AB317" i="19"/>
  <c r="AD317" i="19" s="1"/>
  <c r="AE317" i="19" s="1"/>
  <c r="AP317" i="19"/>
  <c r="AR317" i="19" s="1"/>
  <c r="AS317" i="19" s="1"/>
  <c r="BD317" i="19"/>
  <c r="BF317" i="19" s="1"/>
  <c r="BG317" i="19" s="1"/>
  <c r="BR317" i="19"/>
  <c r="BT317" i="19" s="1"/>
  <c r="BU317" i="19" s="1"/>
  <c r="CT317" i="19"/>
  <c r="CV317" i="19" s="1"/>
  <c r="CW317" i="19" s="1"/>
  <c r="CN144" i="19"/>
  <c r="CP144" i="19" s="1"/>
  <c r="DK144" i="19" s="1"/>
  <c r="AJ316" i="19"/>
  <c r="AL316" i="19" s="1"/>
  <c r="DG316" i="19" s="1"/>
  <c r="BR145" i="19"/>
  <c r="BT145" i="19" s="1"/>
  <c r="BU145" i="19" s="1"/>
  <c r="CF145" i="19"/>
  <c r="CH145" i="19" s="1"/>
  <c r="CI145" i="19" s="1"/>
  <c r="CT145" i="19"/>
  <c r="CV145" i="19" s="1"/>
  <c r="CW145" i="19" s="1"/>
  <c r="AB145" i="19"/>
  <c r="AD145" i="19" s="1"/>
  <c r="AE145" i="19" s="1"/>
  <c r="AP145" i="19"/>
  <c r="AR145" i="19" s="1"/>
  <c r="AS145" i="19" s="1"/>
  <c r="BD145" i="19"/>
  <c r="BF145" i="19" s="1"/>
  <c r="BG145" i="19" s="1"/>
  <c r="BH145" i="19"/>
  <c r="BJ145" i="19" s="1"/>
  <c r="BK145" i="19" s="1"/>
  <c r="AF145" i="19"/>
  <c r="AH145" i="19" s="1"/>
  <c r="AI145" i="19" s="1"/>
  <c r="BV145" i="19"/>
  <c r="BX145" i="19" s="1"/>
  <c r="BY145" i="19" s="1"/>
  <c r="CX145" i="19"/>
  <c r="CZ145" i="19" s="1"/>
  <c r="DA145" i="19" s="1"/>
  <c r="CJ145" i="19"/>
  <c r="CL145" i="19" s="1"/>
  <c r="CM145" i="19" s="1"/>
  <c r="AT145" i="19"/>
  <c r="AV145" i="19" s="1"/>
  <c r="AW145" i="19" s="1"/>
  <c r="AT317" i="19" l="1"/>
  <c r="AV317" i="19" s="1"/>
  <c r="AW317" i="19" s="1"/>
  <c r="AX317" i="19" s="1"/>
  <c r="AZ317" i="19" s="1"/>
  <c r="DH317" i="19" s="1"/>
  <c r="V232" i="19"/>
  <c r="X232" i="19" s="1"/>
  <c r="BV232" i="19" s="1"/>
  <c r="BX232" i="19" s="1"/>
  <c r="BY232" i="19" s="1"/>
  <c r="CX317" i="19"/>
  <c r="CZ317" i="19" s="1"/>
  <c r="DA317" i="19" s="1"/>
  <c r="AF317" i="19"/>
  <c r="AH317" i="19" s="1"/>
  <c r="AI317" i="19" s="1"/>
  <c r="AJ317" i="19" s="1"/>
  <c r="AL317" i="19" s="1"/>
  <c r="DG317" i="19" s="1"/>
  <c r="BH317" i="19"/>
  <c r="BJ317" i="19" s="1"/>
  <c r="BK317" i="19" s="1"/>
  <c r="BL317" i="19" s="1"/>
  <c r="BN317" i="19" s="1"/>
  <c r="DI317" i="19" s="1"/>
  <c r="BV317" i="19"/>
  <c r="BX317" i="19" s="1"/>
  <c r="BY317" i="19" s="1"/>
  <c r="BZ317" i="19" s="1"/>
  <c r="CB317" i="19" s="1"/>
  <c r="DJ317" i="19" s="1"/>
  <c r="AB231" i="19"/>
  <c r="AD231" i="19" s="1"/>
  <c r="AE231" i="19" s="1"/>
  <c r="AJ231" i="19" s="1"/>
  <c r="AL231" i="19" s="1"/>
  <c r="DG231" i="19" s="1"/>
  <c r="CF231" i="19"/>
  <c r="CH231" i="19" s="1"/>
  <c r="CI231" i="19" s="1"/>
  <c r="CN231" i="19" s="1"/>
  <c r="CP231" i="19" s="1"/>
  <c r="CT231" i="19"/>
  <c r="CV231" i="19" s="1"/>
  <c r="CW231" i="19" s="1"/>
  <c r="DB231" i="19" s="1"/>
  <c r="DD231" i="19" s="1"/>
  <c r="BR231" i="19"/>
  <c r="BT231" i="19" s="1"/>
  <c r="BU231" i="19" s="1"/>
  <c r="BZ231" i="19" s="1"/>
  <c r="CB231" i="19" s="1"/>
  <c r="BD231" i="19"/>
  <c r="BF231" i="19" s="1"/>
  <c r="BG231" i="19" s="1"/>
  <c r="BL231" i="19" s="1"/>
  <c r="BN231" i="19" s="1"/>
  <c r="DI231" i="19" s="1"/>
  <c r="H233" i="19"/>
  <c r="I233" i="19" s="1"/>
  <c r="S233" i="19" s="1"/>
  <c r="U233" i="19" s="1"/>
  <c r="CN317" i="19"/>
  <c r="CP317" i="19" s="1"/>
  <c r="DK317" i="19" s="1"/>
  <c r="H319" i="19"/>
  <c r="I319" i="19" s="1"/>
  <c r="S319" i="19" s="1"/>
  <c r="U319" i="19" s="1"/>
  <c r="BL145" i="19"/>
  <c r="BN145" i="19" s="1"/>
  <c r="DI145" i="19" s="1"/>
  <c r="CN145" i="19"/>
  <c r="CP145" i="19" s="1"/>
  <c r="DK145" i="19" s="1"/>
  <c r="BZ145" i="19"/>
  <c r="CB145" i="19" s="1"/>
  <c r="DJ145" i="19" s="1"/>
  <c r="DB145" i="19"/>
  <c r="DD145" i="19" s="1"/>
  <c r="DL145" i="19" s="1"/>
  <c r="V147" i="19"/>
  <c r="X147" i="19" s="1"/>
  <c r="I147" i="19"/>
  <c r="S147" i="19" s="1"/>
  <c r="U147" i="19" s="1"/>
  <c r="BB234" i="19"/>
  <c r="BE234" i="19" s="1"/>
  <c r="CR234" i="19"/>
  <c r="CU234" i="19" s="1"/>
  <c r="BP234" i="19"/>
  <c r="BS234" i="19" s="1"/>
  <c r="CD234" i="19"/>
  <c r="CG234" i="19" s="1"/>
  <c r="G234" i="19"/>
  <c r="Z234" i="19"/>
  <c r="AC234" i="19" s="1"/>
  <c r="C235" i="19"/>
  <c r="AN234" i="19"/>
  <c r="AQ234" i="19" s="1"/>
  <c r="DE234" i="19"/>
  <c r="V318" i="19"/>
  <c r="X318" i="19" s="1"/>
  <c r="I318" i="19"/>
  <c r="S318" i="19" s="1"/>
  <c r="U318" i="19" s="1"/>
  <c r="AN148" i="19"/>
  <c r="AQ148" i="19" s="1"/>
  <c r="Z148" i="19"/>
  <c r="AC148" i="19" s="1"/>
  <c r="C149" i="19"/>
  <c r="F149" i="19" s="1"/>
  <c r="CR148" i="19"/>
  <c r="CU148" i="19" s="1"/>
  <c r="CD148" i="19"/>
  <c r="CG148" i="19" s="1"/>
  <c r="BP148" i="19"/>
  <c r="BS148" i="19" s="1"/>
  <c r="G148" i="19"/>
  <c r="H148" i="19" s="1"/>
  <c r="BB148" i="19"/>
  <c r="BE148" i="19" s="1"/>
  <c r="DE148" i="19"/>
  <c r="C321" i="19"/>
  <c r="AN320" i="19"/>
  <c r="AQ320" i="19" s="1"/>
  <c r="G320" i="19"/>
  <c r="F320" i="19"/>
  <c r="Z320" i="19"/>
  <c r="AC320" i="19" s="1"/>
  <c r="CR320" i="19"/>
  <c r="CU320" i="19" s="1"/>
  <c r="BP320" i="19"/>
  <c r="BS320" i="19" s="1"/>
  <c r="CD320" i="19"/>
  <c r="CG320" i="19" s="1"/>
  <c r="BB320" i="19"/>
  <c r="BE320" i="19" s="1"/>
  <c r="DE320" i="19"/>
  <c r="AX145" i="19"/>
  <c r="AZ145" i="19" s="1"/>
  <c r="DH145" i="19" s="1"/>
  <c r="AX231" i="19"/>
  <c r="AZ231" i="19" s="1"/>
  <c r="DH231" i="19" s="1"/>
  <c r="BD146" i="19"/>
  <c r="BF146" i="19" s="1"/>
  <c r="BG146" i="19" s="1"/>
  <c r="BR146" i="19"/>
  <c r="BT146" i="19" s="1"/>
  <c r="BU146" i="19" s="1"/>
  <c r="AB146" i="19"/>
  <c r="AD146" i="19" s="1"/>
  <c r="AE146" i="19" s="1"/>
  <c r="CF146" i="19"/>
  <c r="CH146" i="19" s="1"/>
  <c r="CI146" i="19" s="1"/>
  <c r="AP146" i="19"/>
  <c r="AR146" i="19" s="1"/>
  <c r="AS146" i="19" s="1"/>
  <c r="CT146" i="19"/>
  <c r="CV146" i="19" s="1"/>
  <c r="CW146" i="19" s="1"/>
  <c r="F234" i="19"/>
  <c r="AF146" i="19"/>
  <c r="AH146" i="19" s="1"/>
  <c r="AI146" i="19" s="1"/>
  <c r="CJ146" i="19"/>
  <c r="CL146" i="19" s="1"/>
  <c r="CM146" i="19" s="1"/>
  <c r="BH146" i="19"/>
  <c r="BJ146" i="19" s="1"/>
  <c r="BK146" i="19" s="1"/>
  <c r="AT146" i="19"/>
  <c r="AV146" i="19" s="1"/>
  <c r="AW146" i="19" s="1"/>
  <c r="BV146" i="19"/>
  <c r="BX146" i="19" s="1"/>
  <c r="BY146" i="19" s="1"/>
  <c r="CX146" i="19"/>
  <c r="CZ146" i="19" s="1"/>
  <c r="DA146" i="19" s="1"/>
  <c r="DB317" i="19"/>
  <c r="DD317" i="19" s="1"/>
  <c r="DL317" i="19" s="1"/>
  <c r="CT232" i="19"/>
  <c r="CV232" i="19" s="1"/>
  <c r="CW232" i="19" s="1"/>
  <c r="AB232" i="19"/>
  <c r="AD232" i="19" s="1"/>
  <c r="AE232" i="19" s="1"/>
  <c r="AP232" i="19"/>
  <c r="AR232" i="19" s="1"/>
  <c r="AS232" i="19" s="1"/>
  <c r="BD232" i="19"/>
  <c r="BF232" i="19" s="1"/>
  <c r="BG232" i="19" s="1"/>
  <c r="BR232" i="19"/>
  <c r="BT232" i="19" s="1"/>
  <c r="BU232" i="19" s="1"/>
  <c r="CF232" i="19"/>
  <c r="CH232" i="19" s="1"/>
  <c r="CI232" i="19" s="1"/>
  <c r="AJ145" i="19"/>
  <c r="AL145" i="19" s="1"/>
  <c r="DG145" i="19" s="1"/>
  <c r="BH232" i="19" l="1"/>
  <c r="BJ232" i="19" s="1"/>
  <c r="BK232" i="19" s="1"/>
  <c r="AF232" i="19"/>
  <c r="AH232" i="19" s="1"/>
  <c r="AI232" i="19" s="1"/>
  <c r="CX232" i="19"/>
  <c r="CZ232" i="19" s="1"/>
  <c r="DA232" i="19" s="1"/>
  <c r="AT232" i="19"/>
  <c r="AV232" i="19" s="1"/>
  <c r="AW232" i="19" s="1"/>
  <c r="CJ232" i="19"/>
  <c r="CL232" i="19" s="1"/>
  <c r="CM232" i="19" s="1"/>
  <c r="CN232" i="19" s="1"/>
  <c r="CP232" i="19" s="1"/>
  <c r="V233" i="19"/>
  <c r="X233" i="19" s="1"/>
  <c r="CX233" i="19" s="1"/>
  <c r="CZ233" i="19" s="1"/>
  <c r="DA233" i="19" s="1"/>
  <c r="V319" i="19"/>
  <c r="X319" i="19" s="1"/>
  <c r="BV319" i="19" s="1"/>
  <c r="BX319" i="19" s="1"/>
  <c r="BY319" i="19" s="1"/>
  <c r="AJ146" i="19"/>
  <c r="AL146" i="19" s="1"/>
  <c r="DG146" i="19" s="1"/>
  <c r="CN146" i="19"/>
  <c r="CP146" i="19" s="1"/>
  <c r="DK146" i="19" s="1"/>
  <c r="BZ232" i="19"/>
  <c r="CB232" i="19" s="1"/>
  <c r="DB146" i="19"/>
  <c r="DD146" i="19" s="1"/>
  <c r="DL146" i="19" s="1"/>
  <c r="AX146" i="19"/>
  <c r="AZ146" i="19" s="1"/>
  <c r="DH146" i="19" s="1"/>
  <c r="F235" i="19"/>
  <c r="H320" i="19"/>
  <c r="V320" i="19" s="1"/>
  <c r="X320" i="19" s="1"/>
  <c r="H234" i="19"/>
  <c r="I234" i="19" s="1"/>
  <c r="S234" i="19" s="1"/>
  <c r="U234" i="19" s="1"/>
  <c r="V148" i="19"/>
  <c r="X148" i="19" s="1"/>
  <c r="I148" i="19"/>
  <c r="S148" i="19" s="1"/>
  <c r="U148" i="19" s="1"/>
  <c r="AB318" i="19"/>
  <c r="AD318" i="19" s="1"/>
  <c r="AE318" i="19" s="1"/>
  <c r="AP318" i="19"/>
  <c r="AR318" i="19" s="1"/>
  <c r="AS318" i="19" s="1"/>
  <c r="BD318" i="19"/>
  <c r="BF318" i="19" s="1"/>
  <c r="BG318" i="19" s="1"/>
  <c r="BR318" i="19"/>
  <c r="BT318" i="19" s="1"/>
  <c r="BU318" i="19" s="1"/>
  <c r="CF318" i="19"/>
  <c r="CH318" i="19" s="1"/>
  <c r="CI318" i="19" s="1"/>
  <c r="CT318" i="19"/>
  <c r="CV318" i="19" s="1"/>
  <c r="CW318" i="19" s="1"/>
  <c r="BH318" i="19"/>
  <c r="BJ318" i="19" s="1"/>
  <c r="BK318" i="19" s="1"/>
  <c r="AT318" i="19"/>
  <c r="AV318" i="19" s="1"/>
  <c r="AW318" i="19" s="1"/>
  <c r="AF318" i="19"/>
  <c r="AH318" i="19" s="1"/>
  <c r="AI318" i="19" s="1"/>
  <c r="BV318" i="19"/>
  <c r="BX318" i="19" s="1"/>
  <c r="BY318" i="19" s="1"/>
  <c r="CX318" i="19"/>
  <c r="CZ318" i="19" s="1"/>
  <c r="DA318" i="19" s="1"/>
  <c r="CJ318" i="19"/>
  <c r="CL318" i="19" s="1"/>
  <c r="CM318" i="19" s="1"/>
  <c r="Z235" i="19"/>
  <c r="AC235" i="19" s="1"/>
  <c r="CR235" i="19"/>
  <c r="CU235" i="19" s="1"/>
  <c r="CD235" i="19"/>
  <c r="CG235" i="19" s="1"/>
  <c r="BP235" i="19"/>
  <c r="BS235" i="19" s="1"/>
  <c r="BB235" i="19"/>
  <c r="BE235" i="19" s="1"/>
  <c r="G235" i="19"/>
  <c r="AN235" i="19"/>
  <c r="AQ235" i="19" s="1"/>
  <c r="DE235" i="19"/>
  <c r="AN149" i="19"/>
  <c r="AQ149" i="19" s="1"/>
  <c r="CD149" i="19"/>
  <c r="CG149" i="19" s="1"/>
  <c r="CR149" i="19"/>
  <c r="CU149" i="19" s="1"/>
  <c r="BB149" i="19"/>
  <c r="BE149" i="19" s="1"/>
  <c r="G149" i="19"/>
  <c r="H149" i="19" s="1"/>
  <c r="BP149" i="19"/>
  <c r="BS149" i="19" s="1"/>
  <c r="Z149" i="19"/>
  <c r="AC149" i="19" s="1"/>
  <c r="DE149" i="19"/>
  <c r="BR319" i="19"/>
  <c r="BT319" i="19" s="1"/>
  <c r="BU319" i="19" s="1"/>
  <c r="BD319" i="19"/>
  <c r="BF319" i="19" s="1"/>
  <c r="BG319" i="19" s="1"/>
  <c r="CF319" i="19"/>
  <c r="CH319" i="19" s="1"/>
  <c r="CI319" i="19" s="1"/>
  <c r="CT319" i="19"/>
  <c r="CV319" i="19" s="1"/>
  <c r="CW319" i="19" s="1"/>
  <c r="AB319" i="19"/>
  <c r="AD319" i="19" s="1"/>
  <c r="AE319" i="19" s="1"/>
  <c r="AP319" i="19"/>
  <c r="AR319" i="19" s="1"/>
  <c r="AS319" i="19" s="1"/>
  <c r="BL146" i="19"/>
  <c r="BN146" i="19" s="1"/>
  <c r="DI146" i="19" s="1"/>
  <c r="CF233" i="19"/>
  <c r="CH233" i="19" s="1"/>
  <c r="CI233" i="19" s="1"/>
  <c r="AP233" i="19"/>
  <c r="AR233" i="19" s="1"/>
  <c r="AS233" i="19" s="1"/>
  <c r="BR233" i="19"/>
  <c r="BT233" i="19" s="1"/>
  <c r="BU233" i="19" s="1"/>
  <c r="CT233" i="19"/>
  <c r="CV233" i="19" s="1"/>
  <c r="CW233" i="19" s="1"/>
  <c r="BD233" i="19"/>
  <c r="BF233" i="19" s="1"/>
  <c r="BG233" i="19" s="1"/>
  <c r="AB233" i="19"/>
  <c r="AD233" i="19" s="1"/>
  <c r="AE233" i="19" s="1"/>
  <c r="BL232" i="19"/>
  <c r="BN232" i="19" s="1"/>
  <c r="DI232" i="19" s="1"/>
  <c r="DB232" i="19"/>
  <c r="DD232" i="19" s="1"/>
  <c r="BV233" i="19"/>
  <c r="BX233" i="19" s="1"/>
  <c r="BY233" i="19" s="1"/>
  <c r="BH233" i="19"/>
  <c r="BJ233" i="19" s="1"/>
  <c r="BK233" i="19" s="1"/>
  <c r="CJ233" i="19"/>
  <c r="CL233" i="19" s="1"/>
  <c r="CM233" i="19" s="1"/>
  <c r="AF233" i="19"/>
  <c r="AH233" i="19" s="1"/>
  <c r="AI233" i="19" s="1"/>
  <c r="AT233" i="19"/>
  <c r="AV233" i="19" s="1"/>
  <c r="AW233" i="19" s="1"/>
  <c r="AX232" i="19"/>
  <c r="AZ232" i="19" s="1"/>
  <c r="DH232" i="19" s="1"/>
  <c r="CD321" i="19"/>
  <c r="CG321" i="19" s="1"/>
  <c r="BP321" i="19"/>
  <c r="BS321" i="19" s="1"/>
  <c r="BB321" i="19"/>
  <c r="BE321" i="19" s="1"/>
  <c r="G321" i="19"/>
  <c r="F321" i="19"/>
  <c r="AN321" i="19"/>
  <c r="AQ321" i="19" s="1"/>
  <c r="Z321" i="19"/>
  <c r="AC321" i="19" s="1"/>
  <c r="CR321" i="19"/>
  <c r="CU321" i="19" s="1"/>
  <c r="DE321" i="19"/>
  <c r="AP147" i="19"/>
  <c r="AR147" i="19" s="1"/>
  <c r="AS147" i="19" s="1"/>
  <c r="CT147" i="19"/>
  <c r="CV147" i="19" s="1"/>
  <c r="CW147" i="19" s="1"/>
  <c r="AB147" i="19"/>
  <c r="AD147" i="19" s="1"/>
  <c r="AE147" i="19" s="1"/>
  <c r="BD147" i="19"/>
  <c r="BF147" i="19" s="1"/>
  <c r="BG147" i="19" s="1"/>
  <c r="BR147" i="19"/>
  <c r="BT147" i="19" s="1"/>
  <c r="BU147" i="19" s="1"/>
  <c r="CF147" i="19"/>
  <c r="CH147" i="19" s="1"/>
  <c r="CI147" i="19" s="1"/>
  <c r="BZ146" i="19"/>
  <c r="CB146" i="19" s="1"/>
  <c r="DJ146" i="19" s="1"/>
  <c r="AJ232" i="19"/>
  <c r="AL232" i="19" s="1"/>
  <c r="DG232" i="19" s="1"/>
  <c r="BV147" i="19"/>
  <c r="BX147" i="19" s="1"/>
  <c r="BY147" i="19" s="1"/>
  <c r="AT147" i="19"/>
  <c r="AV147" i="19" s="1"/>
  <c r="AW147" i="19" s="1"/>
  <c r="BH147" i="19"/>
  <c r="BJ147" i="19" s="1"/>
  <c r="BK147" i="19" s="1"/>
  <c r="AF147" i="19"/>
  <c r="AH147" i="19" s="1"/>
  <c r="AI147" i="19" s="1"/>
  <c r="CJ147" i="19"/>
  <c r="CL147" i="19" s="1"/>
  <c r="CM147" i="19" s="1"/>
  <c r="CX147" i="19"/>
  <c r="CZ147" i="19" s="1"/>
  <c r="DA147" i="19" s="1"/>
  <c r="CJ319" i="19" l="1"/>
  <c r="CL319" i="19" s="1"/>
  <c r="CM319" i="19" s="1"/>
  <c r="BH319" i="19"/>
  <c r="BJ319" i="19" s="1"/>
  <c r="BK319" i="19" s="1"/>
  <c r="AT319" i="19"/>
  <c r="AV319" i="19" s="1"/>
  <c r="AW319" i="19" s="1"/>
  <c r="AX319" i="19" s="1"/>
  <c r="AZ319" i="19" s="1"/>
  <c r="DH319" i="19" s="1"/>
  <c r="CX319" i="19"/>
  <c r="CZ319" i="19" s="1"/>
  <c r="DA319" i="19" s="1"/>
  <c r="DB319" i="19" s="1"/>
  <c r="DD319" i="19" s="1"/>
  <c r="DL319" i="19" s="1"/>
  <c r="AF319" i="19"/>
  <c r="AH319" i="19" s="1"/>
  <c r="AI319" i="19" s="1"/>
  <c r="AJ319" i="19" s="1"/>
  <c r="AL319" i="19" s="1"/>
  <c r="DG319" i="19" s="1"/>
  <c r="V234" i="19"/>
  <c r="X234" i="19" s="1"/>
  <c r="CJ234" i="19" s="1"/>
  <c r="CL234" i="19" s="1"/>
  <c r="CM234" i="19" s="1"/>
  <c r="BZ318" i="19"/>
  <c r="CB318" i="19" s="1"/>
  <c r="DJ318" i="19" s="1"/>
  <c r="AX233" i="19"/>
  <c r="AZ233" i="19" s="1"/>
  <c r="DH233" i="19" s="1"/>
  <c r="BL319" i="19"/>
  <c r="BN319" i="19" s="1"/>
  <c r="DI319" i="19" s="1"/>
  <c r="CN319" i="19"/>
  <c r="CP319" i="19" s="1"/>
  <c r="DK319" i="19" s="1"/>
  <c r="I320" i="19"/>
  <c r="S320" i="19" s="1"/>
  <c r="U320" i="19" s="1"/>
  <c r="AB320" i="19" s="1"/>
  <c r="AD320" i="19" s="1"/>
  <c r="AE320" i="19" s="1"/>
  <c r="H235" i="19"/>
  <c r="I235" i="19" s="1"/>
  <c r="S235" i="19" s="1"/>
  <c r="U235" i="19" s="1"/>
  <c r="DB318" i="19"/>
  <c r="DD318" i="19" s="1"/>
  <c r="DL318" i="19" s="1"/>
  <c r="AJ318" i="19"/>
  <c r="AL318" i="19" s="1"/>
  <c r="DG318" i="19" s="1"/>
  <c r="AJ233" i="19"/>
  <c r="AL233" i="19" s="1"/>
  <c r="DG233" i="19" s="1"/>
  <c r="AX318" i="19"/>
  <c r="AZ318" i="19" s="1"/>
  <c r="DH318" i="19" s="1"/>
  <c r="BL318" i="19"/>
  <c r="BN318" i="19" s="1"/>
  <c r="DI318" i="19" s="1"/>
  <c r="BZ233" i="19"/>
  <c r="CB233" i="19" s="1"/>
  <c r="BZ319" i="19"/>
  <c r="CB319" i="19" s="1"/>
  <c r="DJ319" i="19" s="1"/>
  <c r="BL233" i="19"/>
  <c r="BN233" i="19" s="1"/>
  <c r="DI233" i="19" s="1"/>
  <c r="DB233" i="19"/>
  <c r="DD233" i="19" s="1"/>
  <c r="CN318" i="19"/>
  <c r="CP318" i="19" s="1"/>
  <c r="DK318" i="19" s="1"/>
  <c r="H321" i="19"/>
  <c r="V321" i="19" s="1"/>
  <c r="X321" i="19" s="1"/>
  <c r="V149" i="19"/>
  <c r="X149" i="19" s="1"/>
  <c r="I149" i="19"/>
  <c r="S149" i="19" s="1"/>
  <c r="U149" i="19" s="1"/>
  <c r="CN233" i="19"/>
  <c r="CP233" i="19" s="1"/>
  <c r="DB147" i="19"/>
  <c r="DD147" i="19" s="1"/>
  <c r="DL147" i="19" s="1"/>
  <c r="CN147" i="19"/>
  <c r="CP147" i="19" s="1"/>
  <c r="DK147" i="19" s="1"/>
  <c r="AJ147" i="19"/>
  <c r="AL147" i="19" s="1"/>
  <c r="DG147" i="19" s="1"/>
  <c r="BL147" i="19"/>
  <c r="BN147" i="19" s="1"/>
  <c r="DI147" i="19" s="1"/>
  <c r="AX147" i="19"/>
  <c r="AZ147" i="19" s="1"/>
  <c r="DH147" i="19" s="1"/>
  <c r="BZ147" i="19"/>
  <c r="CB147" i="19" s="1"/>
  <c r="DJ147" i="19" s="1"/>
  <c r="CT148" i="19"/>
  <c r="CV148" i="19" s="1"/>
  <c r="CW148" i="19" s="1"/>
  <c r="BD148" i="19"/>
  <c r="BF148" i="19" s="1"/>
  <c r="BG148" i="19" s="1"/>
  <c r="BR148" i="19"/>
  <c r="BT148" i="19" s="1"/>
  <c r="BU148" i="19" s="1"/>
  <c r="AB148" i="19"/>
  <c r="AD148" i="19" s="1"/>
  <c r="AE148" i="19" s="1"/>
  <c r="CF148" i="19"/>
  <c r="CH148" i="19" s="1"/>
  <c r="CI148" i="19" s="1"/>
  <c r="AP148" i="19"/>
  <c r="AR148" i="19" s="1"/>
  <c r="AS148" i="19" s="1"/>
  <c r="CT234" i="19"/>
  <c r="CV234" i="19" s="1"/>
  <c r="CW234" i="19" s="1"/>
  <c r="AB234" i="19"/>
  <c r="AD234" i="19" s="1"/>
  <c r="AE234" i="19" s="1"/>
  <c r="CF234" i="19"/>
  <c r="CH234" i="19" s="1"/>
  <c r="CI234" i="19" s="1"/>
  <c r="AP234" i="19"/>
  <c r="AR234" i="19" s="1"/>
  <c r="AS234" i="19" s="1"/>
  <c r="BR234" i="19"/>
  <c r="BT234" i="19" s="1"/>
  <c r="BU234" i="19" s="1"/>
  <c r="BD234" i="19"/>
  <c r="BF234" i="19" s="1"/>
  <c r="BG234" i="19" s="1"/>
  <c r="AF320" i="19"/>
  <c r="AH320" i="19" s="1"/>
  <c r="AI320" i="19" s="1"/>
  <c r="BH320" i="19"/>
  <c r="BJ320" i="19" s="1"/>
  <c r="BK320" i="19" s="1"/>
  <c r="AT320" i="19"/>
  <c r="AV320" i="19" s="1"/>
  <c r="AW320" i="19" s="1"/>
  <c r="BV320" i="19"/>
  <c r="BX320" i="19" s="1"/>
  <c r="BY320" i="19" s="1"/>
  <c r="CX320" i="19"/>
  <c r="CZ320" i="19" s="1"/>
  <c r="DA320" i="19" s="1"/>
  <c r="CJ320" i="19"/>
  <c r="CL320" i="19" s="1"/>
  <c r="CM320" i="19" s="1"/>
  <c r="CJ148" i="19"/>
  <c r="CL148" i="19" s="1"/>
  <c r="CM148" i="19" s="1"/>
  <c r="CX148" i="19"/>
  <c r="CZ148" i="19" s="1"/>
  <c r="DA148" i="19" s="1"/>
  <c r="BH148" i="19"/>
  <c r="BJ148" i="19" s="1"/>
  <c r="BK148" i="19" s="1"/>
  <c r="BV148" i="19"/>
  <c r="BX148" i="19" s="1"/>
  <c r="BY148" i="19" s="1"/>
  <c r="AT148" i="19"/>
  <c r="AV148" i="19" s="1"/>
  <c r="AW148" i="19" s="1"/>
  <c r="AF148" i="19"/>
  <c r="AH148" i="19" s="1"/>
  <c r="AI148" i="19" s="1"/>
  <c r="V235" i="19" l="1"/>
  <c r="X235" i="19" s="1"/>
  <c r="CX235" i="19" s="1"/>
  <c r="CZ235" i="19" s="1"/>
  <c r="DA235" i="19" s="1"/>
  <c r="BL148" i="19"/>
  <c r="BN148" i="19" s="1"/>
  <c r="DI148" i="19" s="1"/>
  <c r="DB148" i="19"/>
  <c r="DD148" i="19" s="1"/>
  <c r="DL148" i="19" s="1"/>
  <c r="AF234" i="19"/>
  <c r="AH234" i="19" s="1"/>
  <c r="AI234" i="19" s="1"/>
  <c r="AJ234" i="19" s="1"/>
  <c r="AL234" i="19" s="1"/>
  <c r="DG234" i="19" s="1"/>
  <c r="AT234" i="19"/>
  <c r="AV234" i="19" s="1"/>
  <c r="AW234" i="19" s="1"/>
  <c r="AX234" i="19" s="1"/>
  <c r="AZ234" i="19" s="1"/>
  <c r="DH234" i="19" s="1"/>
  <c r="BH234" i="19"/>
  <c r="BJ234" i="19" s="1"/>
  <c r="BK234" i="19" s="1"/>
  <c r="BL234" i="19" s="1"/>
  <c r="BN234" i="19" s="1"/>
  <c r="DI234" i="19" s="1"/>
  <c r="CX234" i="19"/>
  <c r="CZ234" i="19" s="1"/>
  <c r="DA234" i="19" s="1"/>
  <c r="DB234" i="19" s="1"/>
  <c r="DD234" i="19" s="1"/>
  <c r="BV234" i="19"/>
  <c r="BX234" i="19" s="1"/>
  <c r="BY234" i="19" s="1"/>
  <c r="BZ234" i="19" s="1"/>
  <c r="CB234" i="19" s="1"/>
  <c r="BR320" i="19"/>
  <c r="BT320" i="19" s="1"/>
  <c r="BU320" i="19" s="1"/>
  <c r="BZ320" i="19" s="1"/>
  <c r="CB320" i="19" s="1"/>
  <c r="DJ320" i="19" s="1"/>
  <c r="CT320" i="19"/>
  <c r="CV320" i="19" s="1"/>
  <c r="CW320" i="19" s="1"/>
  <c r="DB320" i="19" s="1"/>
  <c r="DD320" i="19" s="1"/>
  <c r="DL320" i="19" s="1"/>
  <c r="BD320" i="19"/>
  <c r="BF320" i="19" s="1"/>
  <c r="BG320" i="19" s="1"/>
  <c r="BL320" i="19" s="1"/>
  <c r="BN320" i="19" s="1"/>
  <c r="DI320" i="19" s="1"/>
  <c r="AP320" i="19"/>
  <c r="AR320" i="19" s="1"/>
  <c r="AS320" i="19" s="1"/>
  <c r="AX320" i="19" s="1"/>
  <c r="AZ320" i="19" s="1"/>
  <c r="DH320" i="19" s="1"/>
  <c r="CF320" i="19"/>
  <c r="CH320" i="19" s="1"/>
  <c r="CI320" i="19" s="1"/>
  <c r="CN320" i="19" s="1"/>
  <c r="CP320" i="19" s="1"/>
  <c r="DK320" i="19" s="1"/>
  <c r="I321" i="19"/>
  <c r="S321" i="19" s="1"/>
  <c r="U321" i="19" s="1"/>
  <c r="CF321" i="19" s="1"/>
  <c r="CH321" i="19" s="1"/>
  <c r="CI321" i="19" s="1"/>
  <c r="BZ148" i="19"/>
  <c r="CB148" i="19" s="1"/>
  <c r="DJ148" i="19" s="1"/>
  <c r="CN234" i="19"/>
  <c r="CP234" i="19" s="1"/>
  <c r="AJ320" i="19"/>
  <c r="AL320" i="19" s="1"/>
  <c r="DG320" i="19" s="1"/>
  <c r="AX148" i="19"/>
  <c r="AZ148" i="19" s="1"/>
  <c r="DH148" i="19" s="1"/>
  <c r="CN148" i="19"/>
  <c r="CP148" i="19" s="1"/>
  <c r="DK148" i="19" s="1"/>
  <c r="AB235" i="19"/>
  <c r="AD235" i="19" s="1"/>
  <c r="AE235" i="19" s="1"/>
  <c r="BD235" i="19"/>
  <c r="BF235" i="19" s="1"/>
  <c r="BG235" i="19" s="1"/>
  <c r="CF235" i="19"/>
  <c r="CH235" i="19" s="1"/>
  <c r="CI235" i="19" s="1"/>
  <c r="CT235" i="19"/>
  <c r="CV235" i="19" s="1"/>
  <c r="CW235" i="19" s="1"/>
  <c r="AP235" i="19"/>
  <c r="AR235" i="19" s="1"/>
  <c r="AS235" i="19" s="1"/>
  <c r="BR235" i="19"/>
  <c r="BT235" i="19" s="1"/>
  <c r="BU235" i="19" s="1"/>
  <c r="CJ235" i="19"/>
  <c r="CL235" i="19" s="1"/>
  <c r="CM235" i="19" s="1"/>
  <c r="BH235" i="19"/>
  <c r="BJ235" i="19" s="1"/>
  <c r="BK235" i="19" s="1"/>
  <c r="AF235" i="19"/>
  <c r="AH235" i="19" s="1"/>
  <c r="AI235" i="19" s="1"/>
  <c r="AT235" i="19"/>
  <c r="AV235" i="19" s="1"/>
  <c r="AW235" i="19" s="1"/>
  <c r="BV235" i="19"/>
  <c r="BX235" i="19" s="1"/>
  <c r="BY235" i="19" s="1"/>
  <c r="CT149" i="19"/>
  <c r="CV149" i="19" s="1"/>
  <c r="CW149" i="19" s="1"/>
  <c r="AB149" i="19"/>
  <c r="AD149" i="19" s="1"/>
  <c r="AE149" i="19" s="1"/>
  <c r="BR149" i="19"/>
  <c r="BT149" i="19" s="1"/>
  <c r="BU149" i="19" s="1"/>
  <c r="CF149" i="19"/>
  <c r="CH149" i="19" s="1"/>
  <c r="CI149" i="19" s="1"/>
  <c r="AP149" i="19"/>
  <c r="AR149" i="19" s="1"/>
  <c r="AS149" i="19" s="1"/>
  <c r="BD149" i="19"/>
  <c r="BF149" i="19" s="1"/>
  <c r="BG149" i="19" s="1"/>
  <c r="AJ148" i="19"/>
  <c r="AL148" i="19" s="1"/>
  <c r="DG148" i="19" s="1"/>
  <c r="CX321" i="19"/>
  <c r="CZ321" i="19" s="1"/>
  <c r="DA321" i="19" s="1"/>
  <c r="BV321" i="19"/>
  <c r="BX321" i="19" s="1"/>
  <c r="BY321" i="19" s="1"/>
  <c r="AF321" i="19"/>
  <c r="AH321" i="19" s="1"/>
  <c r="AI321" i="19" s="1"/>
  <c r="BH321" i="19"/>
  <c r="BJ321" i="19" s="1"/>
  <c r="BK321" i="19" s="1"/>
  <c r="AT321" i="19"/>
  <c r="AV321" i="19" s="1"/>
  <c r="AW321" i="19" s="1"/>
  <c r="CJ321" i="19"/>
  <c r="CL321" i="19" s="1"/>
  <c r="CM321" i="19" s="1"/>
  <c r="BV149" i="19"/>
  <c r="BX149" i="19" s="1"/>
  <c r="BY149" i="19" s="1"/>
  <c r="CX149" i="19"/>
  <c r="CZ149" i="19" s="1"/>
  <c r="DA149" i="19" s="1"/>
  <c r="AF149" i="19"/>
  <c r="AH149" i="19" s="1"/>
  <c r="AI149" i="19" s="1"/>
  <c r="AT149" i="19"/>
  <c r="AV149" i="19" s="1"/>
  <c r="AW149" i="19" s="1"/>
  <c r="BH149" i="19"/>
  <c r="BJ149" i="19" s="1"/>
  <c r="BK149" i="19" s="1"/>
  <c r="CJ149" i="19"/>
  <c r="CL149" i="19" s="1"/>
  <c r="CM149" i="19" s="1"/>
  <c r="AP321" i="19" l="1"/>
  <c r="AR321" i="19" s="1"/>
  <c r="AS321" i="19" s="1"/>
  <c r="AX321" i="19" s="1"/>
  <c r="AZ321" i="19" s="1"/>
  <c r="DH321" i="19" s="1"/>
  <c r="BD321" i="19"/>
  <c r="BF321" i="19" s="1"/>
  <c r="BG321" i="19" s="1"/>
  <c r="BL321" i="19" s="1"/>
  <c r="BN321" i="19" s="1"/>
  <c r="DI321" i="19" s="1"/>
  <c r="BR321" i="19"/>
  <c r="BT321" i="19" s="1"/>
  <c r="BU321" i="19" s="1"/>
  <c r="BZ321" i="19" s="1"/>
  <c r="CB321" i="19" s="1"/>
  <c r="DJ321" i="19" s="1"/>
  <c r="AB321" i="19"/>
  <c r="AD321" i="19" s="1"/>
  <c r="AE321" i="19" s="1"/>
  <c r="AJ321" i="19" s="1"/>
  <c r="AL321" i="19" s="1"/>
  <c r="DG321" i="19" s="1"/>
  <c r="CT321" i="19"/>
  <c r="CV321" i="19" s="1"/>
  <c r="CW321" i="19" s="1"/>
  <c r="DB321" i="19" s="1"/>
  <c r="DD321" i="19" s="1"/>
  <c r="DL321" i="19" s="1"/>
  <c r="AX235" i="19"/>
  <c r="AZ235" i="19" s="1"/>
  <c r="DH235" i="19" s="1"/>
  <c r="AJ235" i="19"/>
  <c r="AL235" i="19" s="1"/>
  <c r="DG235" i="19" s="1"/>
  <c r="BL235" i="19"/>
  <c r="BN235" i="19" s="1"/>
  <c r="DI235" i="19" s="1"/>
  <c r="CN235" i="19"/>
  <c r="CP235" i="19" s="1"/>
  <c r="DB235" i="19"/>
  <c r="DD235" i="19" s="1"/>
  <c r="BZ235" i="19"/>
  <c r="CB235" i="19" s="1"/>
  <c r="AX149" i="19"/>
  <c r="AZ149" i="19" s="1"/>
  <c r="DH149" i="19" s="1"/>
  <c r="DB149" i="19"/>
  <c r="DD149" i="19" s="1"/>
  <c r="DL149" i="19" s="1"/>
  <c r="BL149" i="19"/>
  <c r="BN149" i="19" s="1"/>
  <c r="DI149" i="19" s="1"/>
  <c r="BZ149" i="19"/>
  <c r="CB149" i="19" s="1"/>
  <c r="DJ149" i="19" s="1"/>
  <c r="CN321" i="19"/>
  <c r="CP321" i="19" s="1"/>
  <c r="DK321" i="19" s="1"/>
  <c r="CN149" i="19"/>
  <c r="CP149" i="19" s="1"/>
  <c r="DK149" i="19" s="1"/>
  <c r="AJ149" i="19"/>
  <c r="AL149" i="19" s="1"/>
  <c r="DG149" i="19" s="1"/>
  <c r="AG414" i="19" l="1"/>
  <c r="T357" i="19"/>
  <c r="T389" i="19"/>
  <c r="DG408" i="19"/>
  <c r="G408" i="19"/>
  <c r="DG371" i="19"/>
  <c r="ET357" i="19"/>
  <c r="BT414" i="19"/>
  <c r="DG414" i="19"/>
  <c r="DJ414" i="19" s="1"/>
  <c r="DM414" i="19" s="1"/>
  <c r="EG389" i="19"/>
  <c r="EJ389" i="19" s="1"/>
  <c r="EM389" i="19" s="1"/>
  <c r="DT345" i="19"/>
  <c r="DW345" i="19" s="1"/>
  <c r="DZ345" i="19" s="1"/>
  <c r="BT377" i="19"/>
  <c r="BW377" i="19" s="1"/>
  <c r="BZ377" i="19" s="1"/>
  <c r="DT351" i="19"/>
  <c r="DW351" i="19" s="1"/>
  <c r="DZ351" i="19" s="1"/>
  <c r="BG383" i="19"/>
  <c r="BJ383" i="19" s="1"/>
  <c r="BM383" i="19" s="1"/>
  <c r="AT402" i="19"/>
  <c r="AW402" i="19" s="1"/>
  <c r="AZ402" i="19" s="1"/>
  <c r="BT351" i="19"/>
  <c r="BW351" i="19" s="1"/>
  <c r="BZ351" i="19" s="1"/>
  <c r="CT408" i="19"/>
  <c r="CW408" i="19" s="1"/>
  <c r="CZ408" i="19" s="1"/>
  <c r="ET408" i="19"/>
  <c r="EW408" i="19" s="1"/>
  <c r="EZ408" i="19" s="1"/>
  <c r="DG351" i="19"/>
  <c r="DJ351" i="19" s="1"/>
  <c r="DM351" i="19" s="1"/>
  <c r="CG351" i="19"/>
  <c r="CJ351" i="19" s="1"/>
  <c r="CM351" i="19" s="1"/>
  <c r="ET339" i="19"/>
  <c r="EW339" i="19" s="1"/>
  <c r="EZ339" i="19" s="1"/>
  <c r="DT339" i="19"/>
  <c r="DW339" i="19" s="1"/>
  <c r="DZ339" i="19" s="1"/>
  <c r="DG420" i="19"/>
  <c r="DJ420" i="19" s="1"/>
  <c r="DM420" i="19" s="1"/>
  <c r="DT402" i="19"/>
  <c r="DW402" i="19" s="1"/>
  <c r="DZ402" i="19" s="1"/>
  <c r="AT389" i="19"/>
  <c r="CG371" i="19"/>
  <c r="CJ371" i="19" s="1"/>
  <c r="CM371" i="19" s="1"/>
  <c r="T402" i="19"/>
  <c r="W402" i="19" s="1"/>
  <c r="Z402" i="19" s="1"/>
  <c r="CG402" i="19"/>
  <c r="CJ402" i="19" s="1"/>
  <c r="CM402" i="19" s="1"/>
  <c r="BT339" i="19"/>
  <c r="BW339" i="19" s="1"/>
  <c r="BZ339" i="19" s="1"/>
  <c r="CT339" i="19"/>
  <c r="CW339" i="19" s="1"/>
  <c r="CZ339" i="19" s="1"/>
  <c r="ET351" i="19"/>
  <c r="EW351" i="19" s="1"/>
  <c r="EZ351" i="19" s="1"/>
  <c r="EG420" i="19"/>
  <c r="EJ420" i="19" s="1"/>
  <c r="EM420" i="19" s="1"/>
  <c r="ET345" i="19"/>
  <c r="EW345" i="19" s="1"/>
  <c r="EZ345" i="19" s="1"/>
  <c r="T414" i="19"/>
  <c r="W414" i="19" s="1"/>
  <c r="Z414" i="19" s="1"/>
  <c r="CG339" i="19"/>
  <c r="CJ339" i="19" s="1"/>
  <c r="CM339" i="19" s="1"/>
  <c r="T339" i="19"/>
  <c r="T408" i="19"/>
  <c r="W408" i="19" s="1"/>
  <c r="Z408" i="19" s="1"/>
  <c r="DT383" i="19"/>
  <c r="DW383" i="19" s="1"/>
  <c r="DZ383" i="19" s="1"/>
  <c r="G383" i="19"/>
  <c r="J383" i="19" s="1"/>
  <c r="M383" i="19" s="1"/>
  <c r="BT345" i="19"/>
  <c r="BW345" i="19" s="1"/>
  <c r="BZ345" i="19" s="1"/>
  <c r="CG408" i="19"/>
  <c r="CJ408" i="19" s="1"/>
  <c r="CM408" i="19" s="1"/>
  <c r="BG408" i="19"/>
  <c r="BJ408" i="19" s="1"/>
  <c r="BM408" i="19" s="1"/>
  <c r="ET414" i="19"/>
  <c r="EW414" i="19" s="1"/>
  <c r="EZ414" i="19" s="1"/>
  <c r="BT408" i="19"/>
  <c r="BW408" i="19" s="1"/>
  <c r="BZ408" i="19" s="1"/>
  <c r="EG377" i="19"/>
  <c r="EJ377" i="19" s="1"/>
  <c r="EM377" i="19" s="1"/>
  <c r="AT371" i="19"/>
  <c r="AW371" i="19" s="1"/>
  <c r="AZ371" i="19" s="1"/>
  <c r="DT389" i="19"/>
  <c r="DW389" i="19" s="1"/>
  <c r="DZ389" i="19" s="1"/>
  <c r="EG414" i="19"/>
  <c r="EJ414" i="19" s="1"/>
  <c r="EM414" i="19" s="1"/>
  <c r="DT414" i="19"/>
  <c r="AT345" i="19"/>
  <c r="EG408" i="19"/>
  <c r="AT351" i="19"/>
  <c r="AT339" i="19"/>
  <c r="DG357" i="19"/>
  <c r="DT371" i="19"/>
  <c r="BG414" i="19"/>
  <c r="AG383" i="19"/>
  <c r="AJ383" i="19" s="1"/>
  <c r="AM383" i="19" s="1"/>
  <c r="G371" i="19"/>
  <c r="J371" i="19" s="1"/>
  <c r="M371" i="19" s="1"/>
  <c r="BT383" i="19"/>
  <c r="BW383" i="19" s="1"/>
  <c r="BZ383" i="19" s="1"/>
  <c r="G339" i="19"/>
  <c r="J339" i="19" s="1"/>
  <c r="M339" i="19" s="1"/>
  <c r="DT420" i="19"/>
  <c r="DW420" i="19" s="1"/>
  <c r="DZ420" i="19" s="1"/>
  <c r="AG377" i="19"/>
  <c r="AJ377" i="19" s="1"/>
  <c r="AM377" i="19" s="1"/>
  <c r="CG420" i="19"/>
  <c r="CJ420" i="19" s="1"/>
  <c r="CM420" i="19" s="1"/>
  <c r="G345" i="19"/>
  <c r="J345" i="19" s="1"/>
  <c r="M345" i="19" s="1"/>
  <c r="CT389" i="19"/>
  <c r="CW389" i="19" s="1"/>
  <c r="CZ389" i="19" s="1"/>
  <c r="T345" i="19"/>
  <c r="W345" i="19" s="1"/>
  <c r="Z345" i="19" s="1"/>
  <c r="CT357" i="19"/>
  <c r="CW357" i="19" s="1"/>
  <c r="CZ357" i="19" s="1"/>
  <c r="AG351" i="19"/>
  <c r="AJ351" i="19" s="1"/>
  <c r="AM351" i="19" s="1"/>
  <c r="BT402" i="19"/>
  <c r="BW402" i="19" s="1"/>
  <c r="BZ402" i="19" s="1"/>
  <c r="BG377" i="19"/>
  <c r="BJ377" i="19" s="1"/>
  <c r="BM377" i="19" s="1"/>
  <c r="BG345" i="19"/>
  <c r="BJ345" i="19" s="1"/>
  <c r="BM345" i="19" s="1"/>
  <c r="BG351" i="19"/>
  <c r="BJ351" i="19" s="1"/>
  <c r="BM351" i="19" s="1"/>
  <c r="G414" i="19"/>
  <c r="G357" i="19"/>
  <c r="J357" i="19" s="1"/>
  <c r="M357" i="19" s="1"/>
  <c r="CT371" i="19"/>
  <c r="CW371" i="19" s="1"/>
  <c r="CZ371" i="19" s="1"/>
  <c r="G420" i="19"/>
  <c r="J420" i="19" s="1"/>
  <c r="M420" i="19" s="1"/>
  <c r="BG420" i="19"/>
  <c r="BJ420" i="19" s="1"/>
  <c r="BM420" i="19" s="1"/>
  <c r="BG402" i="19"/>
  <c r="BJ402" i="19" s="1"/>
  <c r="BM402" i="19" s="1"/>
  <c r="AG402" i="19"/>
  <c r="AJ402" i="19" s="1"/>
  <c r="AM402" i="19" s="1"/>
  <c r="AT408" i="19"/>
  <c r="AW408" i="19" s="1"/>
  <c r="AZ408" i="19" s="1"/>
  <c r="CT351" i="19"/>
  <c r="ET383" i="19"/>
  <c r="G402" i="19"/>
  <c r="BT420" i="19"/>
  <c r="BW420" i="19" s="1"/>
  <c r="BZ420" i="19" s="1"/>
  <c r="EG339" i="19"/>
  <c r="EJ339" i="19" s="1"/>
  <c r="EM339" i="19" s="1"/>
  <c r="CG345" i="19"/>
  <c r="CJ345" i="19" s="1"/>
  <c r="CM345" i="19" s="1"/>
  <c r="DT408" i="19"/>
  <c r="DW408" i="19" s="1"/>
  <c r="DZ408" i="19" s="1"/>
  <c r="AG345" i="19"/>
  <c r="AJ345" i="19" s="1"/>
  <c r="AM345" i="19" s="1"/>
  <c r="BT357" i="19"/>
  <c r="BW357" i="19" s="1"/>
  <c r="BZ357" i="19" s="1"/>
  <c r="BG339" i="19"/>
  <c r="BJ339" i="19" s="1"/>
  <c r="BM339" i="19" s="1"/>
  <c r="AT420" i="19"/>
  <c r="AW420" i="19" s="1"/>
  <c r="AZ420" i="19" s="1"/>
  <c r="AT377" i="19"/>
  <c r="AW377" i="19" s="1"/>
  <c r="AZ377" i="19" s="1"/>
  <c r="AG389" i="19"/>
  <c r="AJ389" i="19" s="1"/>
  <c r="AM389" i="19" s="1"/>
  <c r="T420" i="19"/>
  <c r="W420" i="19" s="1"/>
  <c r="Z420" i="19" s="1"/>
  <c r="T371" i="19"/>
  <c r="W371" i="19" s="1"/>
  <c r="Z371" i="19" s="1"/>
  <c r="AG339" i="19"/>
  <c r="AJ339" i="19" s="1"/>
  <c r="AM339" i="19" s="1"/>
  <c r="BT371" i="19"/>
  <c r="ET377" i="19"/>
  <c r="ET389" i="19"/>
  <c r="BG389" i="19"/>
  <c r="AT383" i="19"/>
  <c r="EG371" i="19"/>
  <c r="G389" i="19"/>
  <c r="EG402" i="19"/>
  <c r="EG383" i="19"/>
  <c r="EG351" i="19"/>
  <c r="DG339" i="19"/>
  <c r="DJ339" i="19" s="1"/>
  <c r="DM339" i="19" s="1"/>
  <c r="CT420" i="19"/>
  <c r="CW420" i="19" s="1"/>
  <c r="CZ420" i="19" s="1"/>
  <c r="ET371" i="19"/>
  <c r="EW371" i="19" s="1"/>
  <c r="EZ371" i="19" s="1"/>
  <c r="AT414" i="19"/>
  <c r="AW414" i="19" s="1"/>
  <c r="AZ414" i="19" s="1"/>
  <c r="BG371" i="19"/>
  <c r="BJ371" i="19" s="1"/>
  <c r="BM371" i="19" s="1"/>
  <c r="CT377" i="19"/>
  <c r="CW377" i="19" s="1"/>
  <c r="CZ377" i="19" s="1"/>
  <c r="CG389" i="19"/>
  <c r="CJ389" i="19" s="1"/>
  <c r="CM389" i="19" s="1"/>
  <c r="G377" i="19"/>
  <c r="J377" i="19" s="1"/>
  <c r="M377" i="19" s="1"/>
  <c r="CT402" i="19"/>
  <c r="CW402" i="19" s="1"/>
  <c r="CZ402" i="19" s="1"/>
  <c r="CG414" i="19"/>
  <c r="CJ414" i="19" s="1"/>
  <c r="CM414" i="19" s="1"/>
  <c r="T377" i="19"/>
  <c r="W377" i="19" s="1"/>
  <c r="Z377" i="19" s="1"/>
  <c r="AG357" i="19"/>
  <c r="AJ357" i="19" s="1"/>
  <c r="AM357" i="19" s="1"/>
  <c r="AG408" i="19"/>
  <c r="AJ408" i="19" s="1"/>
  <c r="AM408" i="19" s="1"/>
  <c r="EG357" i="19"/>
  <c r="EJ357" i="19" s="1"/>
  <c r="EM357" i="19" s="1"/>
  <c r="DG377" i="19"/>
  <c r="CG377" i="19"/>
  <c r="CJ377" i="19" s="1"/>
  <c r="CM377" i="19" s="1"/>
  <c r="ET402" i="19"/>
  <c r="EW402" i="19" s="1"/>
  <c r="EZ402" i="19" s="1"/>
  <c r="T383" i="19"/>
  <c r="W383" i="19" s="1"/>
  <c r="Z383" i="19" s="1"/>
  <c r="CT345" i="19"/>
  <c r="CW345" i="19" s="1"/>
  <c r="CZ345" i="19" s="1"/>
  <c r="CT383" i="19"/>
  <c r="CW383" i="19" s="1"/>
  <c r="CZ383" i="19" s="1"/>
  <c r="AT357" i="19"/>
  <c r="AW357" i="19" s="1"/>
  <c r="AZ357" i="19" s="1"/>
  <c r="AG371" i="19"/>
  <c r="AJ371" i="19" s="1"/>
  <c r="AM371" i="19" s="1"/>
  <c r="ET420" i="19"/>
  <c r="EW420" i="19" s="1"/>
  <c r="EZ420" i="19" s="1"/>
  <c r="DG402" i="19"/>
  <c r="T351" i="19"/>
  <c r="W351" i="19" s="1"/>
  <c r="Z351" i="19" s="1"/>
  <c r="AG420" i="19"/>
  <c r="AJ420" i="19" s="1"/>
  <c r="AM420" i="19" s="1"/>
  <c r="CG357" i="19"/>
  <c r="CJ357" i="19" s="1"/>
  <c r="CM357" i="19" s="1"/>
  <c r="DG389" i="19"/>
  <c r="DJ389" i="19" s="1"/>
  <c r="DM389" i="19" s="1"/>
  <c r="G351" i="19"/>
  <c r="J351" i="19" s="1"/>
  <c r="M351" i="19" s="1"/>
  <c r="DT357" i="19"/>
  <c r="DW357" i="19" s="1"/>
  <c r="DZ357" i="19" s="1"/>
  <c r="EG345" i="19"/>
  <c r="EJ345" i="19" s="1"/>
  <c r="EM345" i="19" s="1"/>
  <c r="CT414" i="19"/>
  <c r="CW414" i="19" s="1"/>
  <c r="CZ414" i="19" s="1"/>
  <c r="DG383" i="19"/>
  <c r="DJ383" i="19" s="1"/>
  <c r="DM383" i="19" s="1"/>
  <c r="DT377" i="19"/>
  <c r="DW377" i="19" s="1"/>
  <c r="DZ377" i="19" s="1"/>
  <c r="DG345" i="19"/>
  <c r="DJ345" i="19" s="1"/>
  <c r="DM345" i="19" s="1"/>
  <c r="BT389" i="19"/>
  <c r="BW389" i="19" s="1"/>
  <c r="BZ389" i="19" s="1"/>
  <c r="BG357" i="19"/>
  <c r="BJ357" i="19" s="1"/>
  <c r="BM357" i="19" s="1"/>
  <c r="CG383" i="19"/>
  <c r="CJ383" i="19" s="1"/>
  <c r="CM383" i="19" s="1"/>
  <c r="T399" i="19"/>
  <c r="EG417" i="19"/>
  <c r="BT386" i="19"/>
  <c r="DT399" i="19"/>
  <c r="EG336" i="19"/>
  <c r="ET380" i="19"/>
  <c r="CG342" i="19"/>
  <c r="CG368" i="19"/>
  <c r="AT342" i="19"/>
  <c r="AW342" i="19" s="1"/>
  <c r="AZ342" i="19" s="1"/>
  <c r="DT348" i="19"/>
  <c r="DW348" i="19" s="1"/>
  <c r="DZ348" i="19" s="1"/>
  <c r="CT342" i="19"/>
  <c r="CW342" i="19" s="1"/>
  <c r="CZ342" i="19" s="1"/>
  <c r="DG368" i="19"/>
  <c r="DJ368" i="19" s="1"/>
  <c r="DM368" i="19" s="1"/>
  <c r="BT368" i="19"/>
  <c r="BW368" i="19" s="1"/>
  <c r="BZ368" i="19" s="1"/>
  <c r="BT417" i="19"/>
  <c r="BW417" i="19" s="1"/>
  <c r="BZ417" i="19" s="1"/>
  <c r="T348" i="19"/>
  <c r="W348" i="19" s="1"/>
  <c r="Z348" i="19" s="1"/>
  <c r="AG374" i="19"/>
  <c r="AJ374" i="19" s="1"/>
  <c r="AM374" i="19" s="1"/>
  <c r="AG399" i="19"/>
  <c r="AJ399" i="19" s="1"/>
  <c r="AM399" i="19" s="1"/>
  <c r="ET368" i="19"/>
  <c r="EW368" i="19" s="1"/>
  <c r="EZ368" i="19" s="1"/>
  <c r="DG354" i="19"/>
  <c r="DJ354" i="19" s="1"/>
  <c r="DM354" i="19" s="1"/>
  <c r="DG405" i="19"/>
  <c r="DJ405" i="19" s="1"/>
  <c r="DM405" i="19" s="1"/>
  <c r="AG411" i="19"/>
  <c r="AJ411" i="19" s="1"/>
  <c r="AM411" i="19" s="1"/>
  <c r="DT417" i="19"/>
  <c r="DW417" i="19" s="1"/>
  <c r="DZ417" i="19" s="1"/>
  <c r="G336" i="19"/>
  <c r="J336" i="19" s="1"/>
  <c r="M336" i="19" s="1"/>
  <c r="BG386" i="19"/>
  <c r="BJ386" i="19" s="1"/>
  <c r="BM386" i="19" s="1"/>
  <c r="AG354" i="19"/>
  <c r="DT374" i="19"/>
  <c r="DW374" i="19" s="1"/>
  <c r="DZ374" i="19" s="1"/>
  <c r="DT368" i="19"/>
  <c r="DW368" i="19" s="1"/>
  <c r="DZ368" i="19" s="1"/>
  <c r="ET374" i="19"/>
  <c r="AG368" i="19"/>
  <c r="AJ368" i="19" s="1"/>
  <c r="AM368" i="19" s="1"/>
  <c r="BT380" i="19"/>
  <c r="BW380" i="19" s="1"/>
  <c r="BZ380" i="19" s="1"/>
  <c r="CG354" i="19"/>
  <c r="CJ354" i="19" s="1"/>
  <c r="CM354" i="19" s="1"/>
  <c r="AT374" i="19"/>
  <c r="AW374" i="19" s="1"/>
  <c r="AZ374" i="19" s="1"/>
  <c r="EG354" i="19"/>
  <c r="EJ354" i="19" s="1"/>
  <c r="EM354" i="19" s="1"/>
  <c r="DT354" i="19"/>
  <c r="DW354" i="19" s="1"/>
  <c r="DZ354" i="19" s="1"/>
  <c r="AG342" i="19"/>
  <c r="AJ342" i="19" s="1"/>
  <c r="AM342" i="19" s="1"/>
  <c r="BT399" i="19"/>
  <c r="BW399" i="19" s="1"/>
  <c r="BZ399" i="19" s="1"/>
  <c r="AG405" i="19"/>
  <c r="AJ405" i="19" s="1"/>
  <c r="AM405" i="19" s="1"/>
  <c r="EG399" i="19"/>
  <c r="EJ399" i="19" s="1"/>
  <c r="EM399" i="19" s="1"/>
  <c r="BG380" i="19"/>
  <c r="BJ380" i="19" s="1"/>
  <c r="BM380" i="19" s="1"/>
  <c r="G411" i="19"/>
  <c r="J411" i="19" s="1"/>
  <c r="M411" i="19" s="1"/>
  <c r="BT354" i="19"/>
  <c r="BW354" i="19" s="1"/>
  <c r="BZ354" i="19" s="1"/>
  <c r="BG348" i="19"/>
  <c r="BJ348" i="19" s="1"/>
  <c r="BM348" i="19" s="1"/>
  <c r="G348" i="19"/>
  <c r="J348" i="19" s="1"/>
  <c r="M348" i="19" s="1"/>
  <c r="DG417" i="19"/>
  <c r="DJ417" i="19" s="1"/>
  <c r="DM417" i="19" s="1"/>
  <c r="T368" i="19"/>
  <c r="W368" i="19" s="1"/>
  <c r="Z368" i="19" s="1"/>
  <c r="CG386" i="19"/>
  <c r="CJ386" i="19" s="1"/>
  <c r="CM386" i="19" s="1"/>
  <c r="ET399" i="19"/>
  <c r="EW399" i="19" s="1"/>
  <c r="EZ399" i="19" s="1"/>
  <c r="T405" i="19"/>
  <c r="W405" i="19" s="1"/>
  <c r="Z405" i="19" s="1"/>
  <c r="EG368" i="19"/>
  <c r="CT417" i="19"/>
  <c r="DT342" i="19"/>
  <c r="AG417" i="19"/>
  <c r="AT386" i="19"/>
  <c r="CT368" i="19"/>
  <c r="BG411" i="19"/>
  <c r="AG336" i="19"/>
  <c r="CT354" i="19"/>
  <c r="CW354" i="19" s="1"/>
  <c r="CZ354" i="19" s="1"/>
  <c r="G380" i="19"/>
  <c r="ET417" i="19"/>
  <c r="EW417" i="19" s="1"/>
  <c r="EZ417" i="19" s="1"/>
  <c r="T342" i="19"/>
  <c r="W342" i="19" s="1"/>
  <c r="Z342" i="19" s="1"/>
  <c r="BG399" i="19"/>
  <c r="BJ399" i="19" s="1"/>
  <c r="BM399" i="19" s="1"/>
  <c r="T354" i="19"/>
  <c r="W354" i="19" s="1"/>
  <c r="Z354" i="19" s="1"/>
  <c r="DG348" i="19"/>
  <c r="DJ348" i="19" s="1"/>
  <c r="DM348" i="19" s="1"/>
  <c r="BT342" i="19"/>
  <c r="BW342" i="19" s="1"/>
  <c r="BZ342" i="19" s="1"/>
  <c r="G417" i="19"/>
  <c r="J417" i="19" s="1"/>
  <c r="M417" i="19" s="1"/>
  <c r="CT336" i="19"/>
  <c r="CW336" i="19" s="1"/>
  <c r="CZ336" i="19" s="1"/>
  <c r="AT348" i="19"/>
  <c r="AW348" i="19" s="1"/>
  <c r="AZ348" i="19" s="1"/>
  <c r="G405" i="19"/>
  <c r="J405" i="19" s="1"/>
  <c r="M405" i="19" s="1"/>
  <c r="G368" i="19"/>
  <c r="J368" i="19" s="1"/>
  <c r="M368" i="19" s="1"/>
  <c r="DG411" i="19"/>
  <c r="DJ411" i="19" s="1"/>
  <c r="DM411" i="19" s="1"/>
  <c r="BG405" i="19"/>
  <c r="BJ405" i="19" s="1"/>
  <c r="BM405" i="19" s="1"/>
  <c r="G342" i="19"/>
  <c r="J342" i="19" s="1"/>
  <c r="M342" i="19" s="1"/>
  <c r="AT405" i="19"/>
  <c r="CG399" i="19"/>
  <c r="CJ399" i="19" s="1"/>
  <c r="CM399" i="19" s="1"/>
  <c r="CT411" i="19"/>
  <c r="CW411" i="19" s="1"/>
  <c r="CZ411" i="19" s="1"/>
  <c r="CT399" i="19"/>
  <c r="CW399" i="19" s="1"/>
  <c r="CZ399" i="19" s="1"/>
  <c r="ET354" i="19"/>
  <c r="ET411" i="19"/>
  <c r="EW411" i="19" s="1"/>
  <c r="EZ411" i="19" s="1"/>
  <c r="CT374" i="19"/>
  <c r="CW374" i="19" s="1"/>
  <c r="CZ374" i="19" s="1"/>
  <c r="DT336" i="19"/>
  <c r="DW336" i="19" s="1"/>
  <c r="DZ336" i="19" s="1"/>
  <c r="G374" i="19"/>
  <c r="J374" i="19" s="1"/>
  <c r="M374" i="19" s="1"/>
  <c r="CT348" i="19"/>
  <c r="DG399" i="19"/>
  <c r="DJ399" i="19" s="1"/>
  <c r="DM399" i="19" s="1"/>
  <c r="EG374" i="19"/>
  <c r="EJ374" i="19" s="1"/>
  <c r="EM374" i="19" s="1"/>
  <c r="G399" i="19"/>
  <c r="J399" i="19" s="1"/>
  <c r="M399" i="19" s="1"/>
  <c r="AG380" i="19"/>
  <c r="AJ380" i="19" s="1"/>
  <c r="AM380" i="19" s="1"/>
  <c r="CG380" i="19"/>
  <c r="CJ380" i="19" s="1"/>
  <c r="CM380" i="19" s="1"/>
  <c r="DG374" i="19"/>
  <c r="DJ374" i="19" s="1"/>
  <c r="DM374" i="19" s="1"/>
  <c r="T417" i="19"/>
  <c r="W417" i="19" s="1"/>
  <c r="Z417" i="19" s="1"/>
  <c r="DT411" i="19"/>
  <c r="DW411" i="19" s="1"/>
  <c r="DZ411" i="19" s="1"/>
  <c r="CG405" i="19"/>
  <c r="CJ405" i="19" s="1"/>
  <c r="CM405" i="19" s="1"/>
  <c r="EG405" i="19"/>
  <c r="EJ405" i="19" s="1"/>
  <c r="EM405" i="19" s="1"/>
  <c r="BT348" i="19"/>
  <c r="BW348" i="19" s="1"/>
  <c r="BZ348" i="19" s="1"/>
  <c r="CG336" i="19"/>
  <c r="CJ336" i="19" s="1"/>
  <c r="CM336" i="19" s="1"/>
  <c r="CG348" i="19"/>
  <c r="CJ348" i="19" s="1"/>
  <c r="CM348" i="19" s="1"/>
  <c r="T336" i="19"/>
  <c r="W336" i="19" s="1"/>
  <c r="Z336" i="19" s="1"/>
  <c r="BG336" i="19"/>
  <c r="BT336" i="19"/>
  <c r="ET386" i="19"/>
  <c r="EG386" i="19"/>
  <c r="AT368" i="19"/>
  <c r="BG417" i="19"/>
  <c r="DG380" i="19"/>
  <c r="CG374" i="19"/>
  <c r="EG348" i="19"/>
  <c r="EJ348" i="19" s="1"/>
  <c r="EM348" i="19" s="1"/>
  <c r="T386" i="19"/>
  <c r="W386" i="19" s="1"/>
  <c r="Z386" i="19" s="1"/>
  <c r="DT380" i="19"/>
  <c r="DW380" i="19" s="1"/>
  <c r="DZ380" i="19" s="1"/>
  <c r="BG374" i="19"/>
  <c r="BJ374" i="19" s="1"/>
  <c r="BM374" i="19" s="1"/>
  <c r="AG386" i="19"/>
  <c r="AJ386" i="19" s="1"/>
  <c r="AM386" i="19" s="1"/>
  <c r="G386" i="19"/>
  <c r="J386" i="19" s="1"/>
  <c r="M386" i="19" s="1"/>
  <c r="BT411" i="19"/>
  <c r="BW411" i="19" s="1"/>
  <c r="BZ411" i="19" s="1"/>
  <c r="DG342" i="19"/>
  <c r="DJ342" i="19" s="1"/>
  <c r="DM342" i="19" s="1"/>
  <c r="AT417" i="19"/>
  <c r="AW417" i="19" s="1"/>
  <c r="AZ417" i="19" s="1"/>
  <c r="ET336" i="19"/>
  <c r="EW336" i="19" s="1"/>
  <c r="EZ336" i="19" s="1"/>
  <c r="AT399" i="19"/>
  <c r="AW399" i="19" s="1"/>
  <c r="AZ399" i="19" s="1"/>
  <c r="EG380" i="19"/>
  <c r="EJ380" i="19" s="1"/>
  <c r="EM380" i="19" s="1"/>
  <c r="CT386" i="19"/>
  <c r="CW386" i="19" s="1"/>
  <c r="CZ386" i="19" s="1"/>
  <c r="ET348" i="19"/>
  <c r="EW348" i="19" s="1"/>
  <c r="EZ348" i="19" s="1"/>
  <c r="EG411" i="19"/>
  <c r="EJ411" i="19" s="1"/>
  <c r="EM411" i="19" s="1"/>
  <c r="T380" i="19"/>
  <c r="W380" i="19" s="1"/>
  <c r="Z380" i="19" s="1"/>
  <c r="EG342" i="19"/>
  <c r="DG336" i="19"/>
  <c r="ET342" i="19"/>
  <c r="EW342" i="19" s="1"/>
  <c r="EZ342" i="19" s="1"/>
  <c r="AG348" i="19"/>
  <c r="AJ348" i="19" s="1"/>
  <c r="AM348" i="19" s="1"/>
  <c r="DT405" i="19"/>
  <c r="DW405" i="19" s="1"/>
  <c r="DZ405" i="19" s="1"/>
  <c r="BT405" i="19"/>
  <c r="BW405" i="19" s="1"/>
  <c r="BZ405" i="19" s="1"/>
  <c r="CT405" i="19"/>
  <c r="CW405" i="19" s="1"/>
  <c r="CZ405" i="19" s="1"/>
  <c r="T374" i="19"/>
  <c r="W374" i="19" s="1"/>
  <c r="Z374" i="19" s="1"/>
  <c r="AT354" i="19"/>
  <c r="AW354" i="19" s="1"/>
  <c r="AZ354" i="19" s="1"/>
  <c r="BG354" i="19"/>
  <c r="BJ354" i="19" s="1"/>
  <c r="BM354" i="19" s="1"/>
  <c r="BG368" i="19"/>
  <c r="BJ368" i="19" s="1"/>
  <c r="BM368" i="19" s="1"/>
  <c r="CG411" i="19"/>
  <c r="CJ411" i="19" s="1"/>
  <c r="CM411" i="19" s="1"/>
  <c r="AT411" i="19"/>
  <c r="AW411" i="19" s="1"/>
  <c r="AZ411" i="19" s="1"/>
  <c r="CT380" i="19"/>
  <c r="CW380" i="19" s="1"/>
  <c r="CZ380" i="19" s="1"/>
  <c r="G354" i="19"/>
  <c r="J354" i="19" s="1"/>
  <c r="M354" i="19" s="1"/>
  <c r="BT374" i="19"/>
  <c r="BW374" i="19" s="1"/>
  <c r="BZ374" i="19" s="1"/>
  <c r="ET405" i="19"/>
  <c r="EW405" i="19" s="1"/>
  <c r="EZ405" i="19" s="1"/>
  <c r="AT380" i="19"/>
  <c r="AW380" i="19" s="1"/>
  <c r="AZ380" i="19" s="1"/>
  <c r="DG386" i="19"/>
  <c r="DJ386" i="19" s="1"/>
  <c r="DM386" i="19" s="1"/>
  <c r="DT386" i="19"/>
  <c r="DW386" i="19" s="1"/>
  <c r="DZ386" i="19" s="1"/>
  <c r="AT336" i="19"/>
  <c r="AW336" i="19" s="1"/>
  <c r="AZ336" i="19" s="1"/>
  <c r="CG417" i="19"/>
  <c r="CJ417" i="19" s="1"/>
  <c r="CM417" i="19" s="1"/>
  <c r="BG342" i="19"/>
  <c r="BJ342" i="19" s="1"/>
  <c r="BM342" i="19" s="1"/>
  <c r="T411" i="19"/>
  <c r="W411" i="19" s="1"/>
  <c r="Z411" i="19" s="1"/>
  <c r="R400" i="19"/>
  <c r="EE406" i="19"/>
  <c r="BE375" i="19"/>
  <c r="EE418" i="19"/>
  <c r="CE349" i="19"/>
  <c r="AR381" i="19"/>
  <c r="R355" i="19"/>
  <c r="DR375" i="19"/>
  <c r="BE400" i="19"/>
  <c r="BH400" i="19" s="1"/>
  <c r="BK400" i="19" s="1"/>
  <c r="CR406" i="19"/>
  <c r="CU406" i="19" s="1"/>
  <c r="CX406" i="19" s="1"/>
  <c r="ER375" i="19"/>
  <c r="EU375" i="19" s="1"/>
  <c r="EX375" i="19" s="1"/>
  <c r="DE355" i="19"/>
  <c r="DH355" i="19" s="1"/>
  <c r="DK355" i="19" s="1"/>
  <c r="R381" i="19"/>
  <c r="U381" i="19" s="1"/>
  <c r="X381" i="19" s="1"/>
  <c r="ER349" i="19"/>
  <c r="EU349" i="19" s="1"/>
  <c r="EX349" i="19" s="1"/>
  <c r="AE418" i="19"/>
  <c r="AH418" i="19" s="1"/>
  <c r="AK418" i="19" s="1"/>
  <c r="CR400" i="19"/>
  <c r="CU400" i="19" s="1"/>
  <c r="CX400" i="19" s="1"/>
  <c r="BR337" i="19"/>
  <c r="BU337" i="19" s="1"/>
  <c r="BX337" i="19" s="1"/>
  <c r="BR349" i="19"/>
  <c r="BU349" i="19" s="1"/>
  <c r="BX349" i="19" s="1"/>
  <c r="BR369" i="19"/>
  <c r="BU369" i="19" s="1"/>
  <c r="BX369" i="19" s="1"/>
  <c r="DE381" i="19"/>
  <c r="DH381" i="19" s="1"/>
  <c r="DK381" i="19" s="1"/>
  <c r="AR418" i="19"/>
  <c r="AU418" i="19" s="1"/>
  <c r="AX418" i="19" s="1"/>
  <c r="ER406" i="19"/>
  <c r="EU406" i="19" s="1"/>
  <c r="EX406" i="19" s="1"/>
  <c r="R337" i="19"/>
  <c r="U337" i="19" s="1"/>
  <c r="X337" i="19" s="1"/>
  <c r="DR337" i="19"/>
  <c r="DU337" i="19" s="1"/>
  <c r="DX337" i="19" s="1"/>
  <c r="BR355" i="19"/>
  <c r="CR418" i="19"/>
  <c r="CU418" i="19" s="1"/>
  <c r="CX418" i="19" s="1"/>
  <c r="ER355" i="19"/>
  <c r="EU355" i="19" s="1"/>
  <c r="EX355" i="19" s="1"/>
  <c r="E412" i="19"/>
  <c r="H412" i="19" s="1"/>
  <c r="K412" i="19" s="1"/>
  <c r="DE375" i="19"/>
  <c r="DH375" i="19" s="1"/>
  <c r="DK375" i="19" s="1"/>
  <c r="DR406" i="19"/>
  <c r="DU406" i="19" s="1"/>
  <c r="DX406" i="19" s="1"/>
  <c r="EE355" i="19"/>
  <c r="EH355" i="19" s="1"/>
  <c r="EK355" i="19" s="1"/>
  <c r="CR349" i="19"/>
  <c r="CU349" i="19" s="1"/>
  <c r="CX349" i="19" s="1"/>
  <c r="BE369" i="19"/>
  <c r="BH369" i="19" s="1"/>
  <c r="BK369" i="19" s="1"/>
  <c r="CE412" i="19"/>
  <c r="BE355" i="19"/>
  <c r="BH355" i="19" s="1"/>
  <c r="BK355" i="19" s="1"/>
  <c r="CR412" i="19"/>
  <c r="CU412" i="19" s="1"/>
  <c r="CX412" i="19" s="1"/>
  <c r="CR369" i="19"/>
  <c r="CU369" i="19" s="1"/>
  <c r="CX369" i="19" s="1"/>
  <c r="R343" i="19"/>
  <c r="U343" i="19" s="1"/>
  <c r="X343" i="19" s="1"/>
  <c r="DR387" i="19"/>
  <c r="DU387" i="19" s="1"/>
  <c r="DX387" i="19" s="1"/>
  <c r="AR355" i="19"/>
  <c r="AU355" i="19" s="1"/>
  <c r="AX355" i="19" s="1"/>
  <c r="R406" i="19"/>
  <c r="U406" i="19" s="1"/>
  <c r="X406" i="19" s="1"/>
  <c r="BE406" i="19"/>
  <c r="BH406" i="19" s="1"/>
  <c r="BK406" i="19" s="1"/>
  <c r="DE349" i="19"/>
  <c r="DH349" i="19" s="1"/>
  <c r="DK349" i="19" s="1"/>
  <c r="E406" i="19"/>
  <c r="H406" i="19" s="1"/>
  <c r="K406" i="19" s="1"/>
  <c r="ER381" i="19"/>
  <c r="EU381" i="19" s="1"/>
  <c r="EX381" i="19" s="1"/>
  <c r="EE343" i="19"/>
  <c r="EH343" i="19" s="1"/>
  <c r="EK343" i="19" s="1"/>
  <c r="E343" i="19"/>
  <c r="H343" i="19" s="1"/>
  <c r="K343" i="19" s="1"/>
  <c r="BE337" i="19"/>
  <c r="BH337" i="19" s="1"/>
  <c r="BK337" i="19" s="1"/>
  <c r="AR369" i="19"/>
  <c r="DE387" i="19"/>
  <c r="BR412" i="19"/>
  <c r="E355" i="19"/>
  <c r="AR412" i="19"/>
  <c r="DR381" i="19"/>
  <c r="BR400" i="19"/>
  <c r="AR375" i="19"/>
  <c r="R369" i="19"/>
  <c r="U369" i="19" s="1"/>
  <c r="X369" i="19" s="1"/>
  <c r="AE375" i="19"/>
  <c r="AH375" i="19" s="1"/>
  <c r="AK375" i="19" s="1"/>
  <c r="E375" i="19"/>
  <c r="H375" i="19" s="1"/>
  <c r="K375" i="19" s="1"/>
  <c r="E418" i="19"/>
  <c r="H418" i="19" s="1"/>
  <c r="K418" i="19" s="1"/>
  <c r="BE418" i="19"/>
  <c r="BH418" i="19" s="1"/>
  <c r="BK418" i="19" s="1"/>
  <c r="EE412" i="19"/>
  <c r="EH412" i="19" s="1"/>
  <c r="EK412" i="19" s="1"/>
  <c r="ER343" i="19"/>
  <c r="EU343" i="19" s="1"/>
  <c r="EX343" i="19" s="1"/>
  <c r="CE381" i="19"/>
  <c r="CH381" i="19" s="1"/>
  <c r="CK381" i="19" s="1"/>
  <c r="DE412" i="19"/>
  <c r="DH412" i="19" s="1"/>
  <c r="DK412" i="19" s="1"/>
  <c r="BE343" i="19"/>
  <c r="BH343" i="19" s="1"/>
  <c r="BK343" i="19" s="1"/>
  <c r="CE400" i="19"/>
  <c r="CH400" i="19" s="1"/>
  <c r="CK400" i="19" s="1"/>
  <c r="AE369" i="19"/>
  <c r="AH369" i="19" s="1"/>
  <c r="AK369" i="19" s="1"/>
  <c r="ER369" i="19"/>
  <c r="EU369" i="19" s="1"/>
  <c r="EX369" i="19" s="1"/>
  <c r="BE412" i="19"/>
  <c r="BH412" i="19" s="1"/>
  <c r="BK412" i="19" s="1"/>
  <c r="DR418" i="19"/>
  <c r="DU418" i="19" s="1"/>
  <c r="DX418" i="19" s="1"/>
  <c r="DE418" i="19"/>
  <c r="DH418" i="19" s="1"/>
  <c r="DK418" i="19" s="1"/>
  <c r="DR412" i="19"/>
  <c r="DR349" i="19"/>
  <c r="DU349" i="19" s="1"/>
  <c r="DX349" i="19" s="1"/>
  <c r="AE343" i="19"/>
  <c r="AH343" i="19" s="1"/>
  <c r="AK343" i="19" s="1"/>
  <c r="DE369" i="19"/>
  <c r="AR387" i="19"/>
  <c r="AU387" i="19" s="1"/>
  <c r="AX387" i="19" s="1"/>
  <c r="EE400" i="19"/>
  <c r="EH400" i="19" s="1"/>
  <c r="EK400" i="19" s="1"/>
  <c r="EE337" i="19"/>
  <c r="EH337" i="19" s="1"/>
  <c r="EK337" i="19" s="1"/>
  <c r="CR343" i="19"/>
  <c r="CU343" i="19" s="1"/>
  <c r="CX343" i="19" s="1"/>
  <c r="EE349" i="19"/>
  <c r="EH349" i="19" s="1"/>
  <c r="EK349" i="19" s="1"/>
  <c r="R375" i="19"/>
  <c r="R387" i="19"/>
  <c r="U387" i="19" s="1"/>
  <c r="X387" i="19" s="1"/>
  <c r="DE406" i="19"/>
  <c r="DH406" i="19" s="1"/>
  <c r="DK406" i="19" s="1"/>
  <c r="AE387" i="19"/>
  <c r="AH387" i="19" s="1"/>
  <c r="AK387" i="19" s="1"/>
  <c r="CE387" i="19"/>
  <c r="CH387" i="19" s="1"/>
  <c r="CK387" i="19" s="1"/>
  <c r="EE375" i="19"/>
  <c r="EH375" i="19" s="1"/>
  <c r="EK375" i="19" s="1"/>
  <c r="E349" i="19"/>
  <c r="H349" i="19" s="1"/>
  <c r="K349" i="19" s="1"/>
  <c r="E400" i="19"/>
  <c r="H400" i="19" s="1"/>
  <c r="K400" i="19" s="1"/>
  <c r="AR400" i="19"/>
  <c r="AU400" i="19" s="1"/>
  <c r="AX400" i="19" s="1"/>
  <c r="R418" i="19"/>
  <c r="U418" i="19" s="1"/>
  <c r="X418" i="19" s="1"/>
  <c r="BE387" i="19"/>
  <c r="BH387" i="19" s="1"/>
  <c r="BK387" i="19" s="1"/>
  <c r="BE381" i="19"/>
  <c r="BH381" i="19" s="1"/>
  <c r="BK381" i="19" s="1"/>
  <c r="CE418" i="19"/>
  <c r="CH418" i="19" s="1"/>
  <c r="CK418" i="19" s="1"/>
  <c r="CE337" i="19"/>
  <c r="CH337" i="19" s="1"/>
  <c r="CK337" i="19" s="1"/>
  <c r="CE375" i="19"/>
  <c r="CH375" i="19" s="1"/>
  <c r="CK375" i="19" s="1"/>
  <c r="E369" i="19"/>
  <c r="CE343" i="19"/>
  <c r="CE355" i="19"/>
  <c r="DR400" i="19"/>
  <c r="DE400" i="19"/>
  <c r="BR375" i="19"/>
  <c r="CR387" i="19"/>
  <c r="ER387" i="19"/>
  <c r="AR337" i="19"/>
  <c r="AU337" i="19" s="1"/>
  <c r="AX337" i="19" s="1"/>
  <c r="AR406" i="19"/>
  <c r="AU406" i="19" s="1"/>
  <c r="AX406" i="19" s="1"/>
  <c r="CR355" i="19"/>
  <c r="CU355" i="19" s="1"/>
  <c r="CX355" i="19" s="1"/>
  <c r="AE400" i="19"/>
  <c r="AH400" i="19" s="1"/>
  <c r="AK400" i="19" s="1"/>
  <c r="AR343" i="19"/>
  <c r="AU343" i="19" s="1"/>
  <c r="AX343" i="19" s="1"/>
  <c r="BE349" i="19"/>
  <c r="BH349" i="19" s="1"/>
  <c r="BK349" i="19" s="1"/>
  <c r="DE343" i="19"/>
  <c r="DH343" i="19" s="1"/>
  <c r="DK343" i="19" s="1"/>
  <c r="ER400" i="19"/>
  <c r="EU400" i="19" s="1"/>
  <c r="EX400" i="19" s="1"/>
  <c r="R349" i="19"/>
  <c r="U349" i="19" s="1"/>
  <c r="X349" i="19" s="1"/>
  <c r="BR381" i="19"/>
  <c r="BU381" i="19" s="1"/>
  <c r="BX381" i="19" s="1"/>
  <c r="E337" i="19"/>
  <c r="H337" i="19" s="1"/>
  <c r="K337" i="19" s="1"/>
  <c r="CR337" i="19"/>
  <c r="CU337" i="19" s="1"/>
  <c r="CX337" i="19" s="1"/>
  <c r="AE406" i="19"/>
  <c r="AH406" i="19" s="1"/>
  <c r="AK406" i="19" s="1"/>
  <c r="EE369" i="19"/>
  <c r="EH369" i="19" s="1"/>
  <c r="EK369" i="19" s="1"/>
  <c r="BR406" i="19"/>
  <c r="BU406" i="19" s="1"/>
  <c r="BX406" i="19" s="1"/>
  <c r="BR418" i="19"/>
  <c r="BU418" i="19" s="1"/>
  <c r="BX418" i="19" s="1"/>
  <c r="AE381" i="19"/>
  <c r="AE349" i="19"/>
  <c r="AH349" i="19" s="1"/>
  <c r="AK349" i="19" s="1"/>
  <c r="DE337" i="19"/>
  <c r="DH337" i="19" s="1"/>
  <c r="DK337" i="19" s="1"/>
  <c r="EE387" i="19"/>
  <c r="EH387" i="19" s="1"/>
  <c r="EK387" i="19" s="1"/>
  <c r="CR375" i="19"/>
  <c r="CU375" i="19" s="1"/>
  <c r="CX375" i="19" s="1"/>
  <c r="BR387" i="19"/>
  <c r="BU387" i="19" s="1"/>
  <c r="BX387" i="19" s="1"/>
  <c r="ER337" i="19"/>
  <c r="EU337" i="19" s="1"/>
  <c r="EX337" i="19" s="1"/>
  <c r="CR381" i="19"/>
  <c r="CU381" i="19" s="1"/>
  <c r="CX381" i="19" s="1"/>
  <c r="CE369" i="19"/>
  <c r="CH369" i="19" s="1"/>
  <c r="CK369" i="19" s="1"/>
  <c r="AE337" i="19"/>
  <c r="AH337" i="19" s="1"/>
  <c r="AK337" i="19" s="1"/>
  <c r="E387" i="19"/>
  <c r="H387" i="19" s="1"/>
  <c r="K387" i="19" s="1"/>
  <c r="CE406" i="19"/>
  <c r="CH406" i="19" s="1"/>
  <c r="CK406" i="19" s="1"/>
  <c r="DR369" i="19"/>
  <c r="DU369" i="19" s="1"/>
  <c r="DX369" i="19" s="1"/>
  <c r="R412" i="19"/>
  <c r="U412" i="19" s="1"/>
  <c r="X412" i="19" s="1"/>
  <c r="AR349" i="19"/>
  <c r="AU349" i="19" s="1"/>
  <c r="AX349" i="19" s="1"/>
  <c r="BR343" i="19"/>
  <c r="BU343" i="19" s="1"/>
  <c r="BX343" i="19" s="1"/>
  <c r="ER418" i="19"/>
  <c r="EU418" i="19" s="1"/>
  <c r="EX418" i="19" s="1"/>
  <c r="ER412" i="19"/>
  <c r="EU412" i="19" s="1"/>
  <c r="EX412" i="19" s="1"/>
  <c r="DR343" i="19"/>
  <c r="DU343" i="19" s="1"/>
  <c r="DX343" i="19" s="1"/>
  <c r="AE355" i="19"/>
  <c r="AH355" i="19" s="1"/>
  <c r="AK355" i="19" s="1"/>
  <c r="EE381" i="19"/>
  <c r="EH381" i="19" s="1"/>
  <c r="EK381" i="19" s="1"/>
  <c r="DR355" i="19"/>
  <c r="DU355" i="19" s="1"/>
  <c r="DX355" i="19" s="1"/>
  <c r="E381" i="19"/>
  <c r="H381" i="19" s="1"/>
  <c r="K381" i="19" s="1"/>
  <c r="AE412" i="19"/>
  <c r="AH412" i="19" s="1"/>
  <c r="AK412" i="19" s="1"/>
  <c r="DS419" i="19"/>
  <c r="DV419" i="19" s="1"/>
  <c r="DF344" i="19"/>
  <c r="DI344" i="19" s="1"/>
  <c r="EF376" i="19"/>
  <c r="EI376" i="19" s="1"/>
  <c r="S356" i="19"/>
  <c r="V356" i="19" s="1"/>
  <c r="CF407" i="19"/>
  <c r="CI407" i="19" s="1"/>
  <c r="BS419" i="19"/>
  <c r="BV419" i="19" s="1"/>
  <c r="S338" i="19"/>
  <c r="V338" i="19" s="1"/>
  <c r="ES382" i="19"/>
  <c r="EV382" i="19" s="1"/>
  <c r="EY382" i="19" s="1"/>
  <c r="DS338" i="19"/>
  <c r="DV338" i="19" s="1"/>
  <c r="AF350" i="19"/>
  <c r="AI350" i="19" s="1"/>
  <c r="AL350" i="19" s="1"/>
  <c r="S401" i="19"/>
  <c r="V401" i="19" s="1"/>
  <c r="DS376" i="19"/>
  <c r="DV376" i="19" s="1"/>
  <c r="DY376" i="19" s="1"/>
  <c r="BS401" i="19"/>
  <c r="BV401" i="19" s="1"/>
  <c r="BY401" i="19" s="1"/>
  <c r="EF401" i="19"/>
  <c r="EI401" i="19" s="1"/>
  <c r="EL401" i="19" s="1"/>
  <c r="S413" i="19"/>
  <c r="V413" i="19" s="1"/>
  <c r="Y413" i="19" s="1"/>
  <c r="AS344" i="19"/>
  <c r="AV344" i="19" s="1"/>
  <c r="AY344" i="19" s="1"/>
  <c r="F401" i="19"/>
  <c r="I401" i="19" s="1"/>
  <c r="L401" i="19" s="1"/>
  <c r="ES401" i="19"/>
  <c r="EV401" i="19" s="1"/>
  <c r="EY401" i="19" s="1"/>
  <c r="F419" i="19"/>
  <c r="I419" i="19" s="1"/>
  <c r="L419" i="19" s="1"/>
  <c r="S419" i="19"/>
  <c r="V419" i="19" s="1"/>
  <c r="Y419" i="19" s="1"/>
  <c r="F382" i="19"/>
  <c r="I382" i="19" s="1"/>
  <c r="L382" i="19" s="1"/>
  <c r="ES338" i="19"/>
  <c r="EV338" i="19" s="1"/>
  <c r="EY338" i="19" s="1"/>
  <c r="AF370" i="19"/>
  <c r="AI370" i="19" s="1"/>
  <c r="AL370" i="19" s="1"/>
  <c r="AS407" i="19"/>
  <c r="AV407" i="19" s="1"/>
  <c r="AY407" i="19" s="1"/>
  <c r="AF388" i="19"/>
  <c r="AI388" i="19" s="1"/>
  <c r="BF356" i="19"/>
  <c r="BI356" i="19" s="1"/>
  <c r="BL356" i="19" s="1"/>
  <c r="F344" i="19"/>
  <c r="I344" i="19" s="1"/>
  <c r="L344" i="19" s="1"/>
  <c r="BS388" i="19"/>
  <c r="BV388" i="19" s="1"/>
  <c r="BF370" i="19"/>
  <c r="BI370" i="19" s="1"/>
  <c r="BL370" i="19" s="1"/>
  <c r="S350" i="19"/>
  <c r="V350" i="19" s="1"/>
  <c r="Y350" i="19" s="1"/>
  <c r="DF413" i="19"/>
  <c r="DI413" i="19" s="1"/>
  <c r="DL413" i="19" s="1"/>
  <c r="BF338" i="19"/>
  <c r="BI338" i="19" s="1"/>
  <c r="BL338" i="19" s="1"/>
  <c r="EF338" i="19"/>
  <c r="EI338" i="19" s="1"/>
  <c r="EL338" i="19" s="1"/>
  <c r="BS338" i="19"/>
  <c r="BV338" i="19" s="1"/>
  <c r="BY338" i="19" s="1"/>
  <c r="S407" i="19"/>
  <c r="V407" i="19" s="1"/>
  <c r="DS350" i="19"/>
  <c r="DV350" i="19" s="1"/>
  <c r="DY350" i="19" s="1"/>
  <c r="ES370" i="19"/>
  <c r="EV370" i="19" s="1"/>
  <c r="EY370" i="19" s="1"/>
  <c r="F407" i="19"/>
  <c r="I407" i="19" s="1"/>
  <c r="L407" i="19" s="1"/>
  <c r="BF407" i="19"/>
  <c r="BI407" i="19" s="1"/>
  <c r="BL407" i="19" s="1"/>
  <c r="ES344" i="19"/>
  <c r="EV344" i="19" s="1"/>
  <c r="EY344" i="19" s="1"/>
  <c r="EF350" i="19"/>
  <c r="EI350" i="19" s="1"/>
  <c r="EL350" i="19" s="1"/>
  <c r="DS407" i="19"/>
  <c r="DV407" i="19" s="1"/>
  <c r="DY407" i="19" s="1"/>
  <c r="CS401" i="19"/>
  <c r="CV401" i="19" s="1"/>
  <c r="CY401" i="19" s="1"/>
  <c r="EF413" i="19"/>
  <c r="EI413" i="19" s="1"/>
  <c r="EL413" i="19" s="1"/>
  <c r="S344" i="19"/>
  <c r="V344" i="19" s="1"/>
  <c r="Y344" i="19" s="1"/>
  <c r="EF356" i="19"/>
  <c r="EI356" i="19" s="1"/>
  <c r="EL356" i="19" s="1"/>
  <c r="F413" i="19"/>
  <c r="I413" i="19" s="1"/>
  <c r="L413" i="19" s="1"/>
  <c r="AS370" i="19"/>
  <c r="AV370" i="19" s="1"/>
  <c r="AY370" i="19" s="1"/>
  <c r="DS370" i="19"/>
  <c r="DV370" i="19" s="1"/>
  <c r="BS382" i="19"/>
  <c r="BV382" i="19" s="1"/>
  <c r="CS338" i="19"/>
  <c r="CV338" i="19" s="1"/>
  <c r="CS344" i="19"/>
  <c r="CV344" i="19" s="1"/>
  <c r="AF356" i="19"/>
  <c r="AI356" i="19" s="1"/>
  <c r="AL356" i="19" s="1"/>
  <c r="DS413" i="19"/>
  <c r="DV413" i="19" s="1"/>
  <c r="BS344" i="19"/>
  <c r="BV344" i="19" s="1"/>
  <c r="BY344" i="19" s="1"/>
  <c r="CS388" i="19"/>
  <c r="CV388" i="19" s="1"/>
  <c r="AF338" i="19"/>
  <c r="AI338" i="19" s="1"/>
  <c r="AL338" i="19" s="1"/>
  <c r="ES388" i="19"/>
  <c r="EV388" i="19" s="1"/>
  <c r="EY388" i="19" s="1"/>
  <c r="BF376" i="19"/>
  <c r="BI376" i="19" s="1"/>
  <c r="BL376" i="19" s="1"/>
  <c r="BF419" i="19"/>
  <c r="BI419" i="19" s="1"/>
  <c r="BL419" i="19" s="1"/>
  <c r="ES413" i="19"/>
  <c r="EV413" i="19" s="1"/>
  <c r="EY413" i="19" s="1"/>
  <c r="DS401" i="19"/>
  <c r="DV401" i="19" s="1"/>
  <c r="DY401" i="19" s="1"/>
  <c r="BF350" i="19"/>
  <c r="BI350" i="19" s="1"/>
  <c r="BL350" i="19" s="1"/>
  <c r="BF413" i="19"/>
  <c r="BI413" i="19" s="1"/>
  <c r="BL413" i="19" s="1"/>
  <c r="CF419" i="19"/>
  <c r="CI419" i="19" s="1"/>
  <c r="CL419" i="19" s="1"/>
  <c r="AF413" i="19"/>
  <c r="AI413" i="19" s="1"/>
  <c r="AL413" i="19" s="1"/>
  <c r="DF419" i="19"/>
  <c r="DI419" i="19" s="1"/>
  <c r="DL419" i="19" s="1"/>
  <c r="BS407" i="19"/>
  <c r="BV407" i="19" s="1"/>
  <c r="BY407" i="19" s="1"/>
  <c r="CF376" i="19"/>
  <c r="CI376" i="19" s="1"/>
  <c r="CL376" i="19" s="1"/>
  <c r="CF344" i="19"/>
  <c r="CI344" i="19" s="1"/>
  <c r="CL344" i="19" s="1"/>
  <c r="ES350" i="19"/>
  <c r="EV350" i="19" s="1"/>
  <c r="EY350" i="19" s="1"/>
  <c r="BF344" i="19"/>
  <c r="BI344" i="19" s="1"/>
  <c r="BL344" i="19" s="1"/>
  <c r="EF407" i="19"/>
  <c r="EI407" i="19" s="1"/>
  <c r="DF350" i="19"/>
  <c r="DI350" i="19" s="1"/>
  <c r="DL350" i="19" s="1"/>
  <c r="DS344" i="19"/>
  <c r="DV344" i="19" s="1"/>
  <c r="DY344" i="19" s="1"/>
  <c r="AF344" i="19"/>
  <c r="AI344" i="19" s="1"/>
  <c r="AL344" i="19" s="1"/>
  <c r="EF370" i="19"/>
  <c r="EI370" i="19" s="1"/>
  <c r="EL370" i="19" s="1"/>
  <c r="AS350" i="19"/>
  <c r="AV350" i="19" s="1"/>
  <c r="AY350" i="19" s="1"/>
  <c r="AF382" i="19"/>
  <c r="AI382" i="19" s="1"/>
  <c r="AL382" i="19" s="1"/>
  <c r="DF407" i="19"/>
  <c r="DI407" i="19" s="1"/>
  <c r="DL407" i="19" s="1"/>
  <c r="CF356" i="19"/>
  <c r="CI356" i="19" s="1"/>
  <c r="CL356" i="19" s="1"/>
  <c r="CS407" i="19"/>
  <c r="CV407" i="19" s="1"/>
  <c r="DF356" i="19"/>
  <c r="DI356" i="19" s="1"/>
  <c r="AF376" i="19"/>
  <c r="AI376" i="19" s="1"/>
  <c r="AL376" i="19" s="1"/>
  <c r="F388" i="19"/>
  <c r="I388" i="19" s="1"/>
  <c r="L388" i="19" s="1"/>
  <c r="AS388" i="19"/>
  <c r="AV388" i="19" s="1"/>
  <c r="AY388" i="19" s="1"/>
  <c r="CF370" i="19"/>
  <c r="CI370" i="19" s="1"/>
  <c r="CL370" i="19" s="1"/>
  <c r="DF376" i="19"/>
  <c r="DI376" i="19" s="1"/>
  <c r="DL376" i="19" s="1"/>
  <c r="S376" i="19"/>
  <c r="V376" i="19" s="1"/>
  <c r="Y376" i="19" s="1"/>
  <c r="BF401" i="19"/>
  <c r="BI401" i="19" s="1"/>
  <c r="BL401" i="19" s="1"/>
  <c r="BS376" i="19"/>
  <c r="BV376" i="19" s="1"/>
  <c r="BY376" i="19" s="1"/>
  <c r="AS419" i="19"/>
  <c r="AV419" i="19" s="1"/>
  <c r="AY419" i="19" s="1"/>
  <c r="ES376" i="19"/>
  <c r="EV376" i="19" s="1"/>
  <c r="EY376" i="19" s="1"/>
  <c r="CS376" i="19"/>
  <c r="CV376" i="19" s="1"/>
  <c r="CY376" i="19" s="1"/>
  <c r="EF382" i="19"/>
  <c r="EI382" i="19" s="1"/>
  <c r="EL382" i="19" s="1"/>
  <c r="BS370" i="19"/>
  <c r="BV370" i="19" s="1"/>
  <c r="BY370" i="19" s="1"/>
  <c r="CF382" i="19"/>
  <c r="CI382" i="19" s="1"/>
  <c r="AF419" i="19"/>
  <c r="AI419" i="19" s="1"/>
  <c r="BS356" i="19"/>
  <c r="BV356" i="19" s="1"/>
  <c r="CF350" i="19"/>
  <c r="CI350" i="19" s="1"/>
  <c r="AS356" i="19"/>
  <c r="AV356" i="19" s="1"/>
  <c r="DF382" i="19"/>
  <c r="DI382" i="19" s="1"/>
  <c r="BS413" i="19"/>
  <c r="BV413" i="19" s="1"/>
  <c r="CF401" i="19"/>
  <c r="CI401" i="19" s="1"/>
  <c r="AS376" i="19"/>
  <c r="AV376" i="19" s="1"/>
  <c r="CS356" i="19"/>
  <c r="CV356" i="19" s="1"/>
  <c r="CY356" i="19" s="1"/>
  <c r="AS413" i="19"/>
  <c r="AV413" i="19" s="1"/>
  <c r="AY413" i="19" s="1"/>
  <c r="BF388" i="19"/>
  <c r="BI388" i="19" s="1"/>
  <c r="BL388" i="19" s="1"/>
  <c r="DF401" i="19"/>
  <c r="DI401" i="19" s="1"/>
  <c r="DL401" i="19" s="1"/>
  <c r="EF344" i="19"/>
  <c r="EI344" i="19" s="1"/>
  <c r="EL344" i="19" s="1"/>
  <c r="ES407" i="19"/>
  <c r="EV407" i="19" s="1"/>
  <c r="EY407" i="19" s="1"/>
  <c r="DS382" i="19"/>
  <c r="DV382" i="19" s="1"/>
  <c r="DY382" i="19" s="1"/>
  <c r="CF388" i="19"/>
  <c r="CI388" i="19" s="1"/>
  <c r="CL388" i="19" s="1"/>
  <c r="S370" i="19"/>
  <c r="V370" i="19" s="1"/>
  <c r="Y370" i="19" s="1"/>
  <c r="F356" i="19"/>
  <c r="I356" i="19" s="1"/>
  <c r="L356" i="19" s="1"/>
  <c r="AS382" i="19"/>
  <c r="AV382" i="19" s="1"/>
  <c r="AY382" i="19" s="1"/>
  <c r="CS413" i="19"/>
  <c r="CV413" i="19" s="1"/>
  <c r="CY413" i="19" s="1"/>
  <c r="ES419" i="19"/>
  <c r="EV419" i="19" s="1"/>
  <c r="EY419" i="19" s="1"/>
  <c r="DS356" i="19"/>
  <c r="DV356" i="19" s="1"/>
  <c r="DY356" i="19" s="1"/>
  <c r="AS338" i="19"/>
  <c r="AV338" i="19" s="1"/>
  <c r="AY338" i="19" s="1"/>
  <c r="AS401" i="19"/>
  <c r="AV401" i="19" s="1"/>
  <c r="DF338" i="19"/>
  <c r="DI338" i="19" s="1"/>
  <c r="DL338" i="19" s="1"/>
  <c r="BS350" i="19"/>
  <c r="BV350" i="19" s="1"/>
  <c r="BY350" i="19" s="1"/>
  <c r="DF388" i="19"/>
  <c r="DI388" i="19" s="1"/>
  <c r="DL388" i="19" s="1"/>
  <c r="DS388" i="19"/>
  <c r="DV388" i="19" s="1"/>
  <c r="DY388" i="19" s="1"/>
  <c r="EF419" i="19"/>
  <c r="EI419" i="19" s="1"/>
  <c r="EL419" i="19" s="1"/>
  <c r="F376" i="19"/>
  <c r="I376" i="19" s="1"/>
  <c r="L376" i="19" s="1"/>
  <c r="F370" i="19"/>
  <c r="I370" i="19" s="1"/>
  <c r="L370" i="19" s="1"/>
  <c r="S382" i="19"/>
  <c r="V382" i="19" s="1"/>
  <c r="AF401" i="19"/>
  <c r="AI401" i="19" s="1"/>
  <c r="F338" i="19"/>
  <c r="I338" i="19" s="1"/>
  <c r="L338" i="19" s="1"/>
  <c r="ES356" i="19"/>
  <c r="EV356" i="19" s="1"/>
  <c r="EY356" i="19" s="1"/>
  <c r="S388" i="19"/>
  <c r="V388" i="19" s="1"/>
  <c r="Y388" i="19" s="1"/>
  <c r="CS350" i="19"/>
  <c r="CV350" i="19" s="1"/>
  <c r="CY350" i="19" s="1"/>
  <c r="CS370" i="19"/>
  <c r="CV370" i="19" s="1"/>
  <c r="CY370" i="19" s="1"/>
  <c r="AF407" i="19"/>
  <c r="AI407" i="19" s="1"/>
  <c r="AL407" i="19" s="1"/>
  <c r="CS382" i="19"/>
  <c r="CV382" i="19" s="1"/>
  <c r="CY382" i="19" s="1"/>
  <c r="BF382" i="19"/>
  <c r="BI382" i="19" s="1"/>
  <c r="BL382" i="19" s="1"/>
  <c r="CF338" i="19"/>
  <c r="CI338" i="19" s="1"/>
  <c r="CL338" i="19" s="1"/>
  <c r="DF370" i="19"/>
  <c r="DI370" i="19" s="1"/>
  <c r="DL370" i="19" s="1"/>
  <c r="CF413" i="19"/>
  <c r="CI413" i="19" s="1"/>
  <c r="CL413" i="19" s="1"/>
  <c r="F350" i="19"/>
  <c r="I350" i="19" s="1"/>
  <c r="L350" i="19" s="1"/>
  <c r="CS419" i="19"/>
  <c r="CV419" i="19" s="1"/>
  <c r="CY419" i="19" s="1"/>
  <c r="EF388" i="19"/>
  <c r="EI388" i="19" s="1"/>
  <c r="EL388" i="19" s="1"/>
  <c r="DL379" i="19"/>
  <c r="EV421" i="19"/>
  <c r="EY421" i="19" s="1"/>
  <c r="CL389" i="19"/>
  <c r="DL408" i="19"/>
  <c r="CL346" i="19"/>
  <c r="DF368" i="19"/>
  <c r="DI368" i="19" s="1"/>
  <c r="DY389" i="19"/>
  <c r="DY341" i="19"/>
  <c r="Y402" i="19"/>
  <c r="AL420" i="19"/>
  <c r="ES342" i="19"/>
  <c r="EV342" i="19" s="1"/>
  <c r="EY342" i="19" s="1"/>
  <c r="L372" i="19"/>
  <c r="BY408" i="19"/>
  <c r="Y351" i="19"/>
  <c r="CL410" i="19"/>
  <c r="L421" i="19"/>
  <c r="ES386" i="19"/>
  <c r="EV386" i="19" s="1"/>
  <c r="EY386" i="19" s="1"/>
  <c r="CL420" i="19"/>
  <c r="DY420" i="19"/>
  <c r="CY345" i="19"/>
  <c r="AY346" i="19"/>
  <c r="BY389" i="19"/>
  <c r="AL390" i="19"/>
  <c r="CY410" i="19"/>
  <c r="DY378" i="19"/>
  <c r="EL383" i="19"/>
  <c r="AL391" i="19"/>
  <c r="EL385" i="19"/>
  <c r="BY341" i="19"/>
  <c r="DL353" i="19"/>
  <c r="L416" i="19"/>
  <c r="AY390" i="19"/>
  <c r="CL345" i="19"/>
  <c r="CF417" i="19"/>
  <c r="CI417" i="19" s="1"/>
  <c r="CL417" i="19" s="1"/>
  <c r="AL379" i="19"/>
  <c r="CY391" i="19"/>
  <c r="F354" i="19"/>
  <c r="I354" i="19" s="1"/>
  <c r="L354" i="19" s="1"/>
  <c r="EF348" i="19"/>
  <c r="EI348" i="19" s="1"/>
  <c r="EL348" i="19" s="1"/>
  <c r="EV378" i="19"/>
  <c r="EY378" i="19" s="1"/>
  <c r="BY421" i="19"/>
  <c r="CY353" i="19"/>
  <c r="BL389" i="19"/>
  <c r="DS348" i="19"/>
  <c r="DV348" i="19" s="1"/>
  <c r="DY348" i="19" s="1"/>
  <c r="DL340" i="19"/>
  <c r="L420" i="19"/>
  <c r="Y391" i="19"/>
  <c r="EV416" i="19"/>
  <c r="EY416" i="19" s="1"/>
  <c r="DY390" i="19"/>
  <c r="CL352" i="19"/>
  <c r="EL357" i="19"/>
  <c r="CY384" i="19"/>
  <c r="CL402" i="19"/>
  <c r="BY353" i="19"/>
  <c r="EV352" i="19"/>
  <c r="EY352" i="19" s="1"/>
  <c r="AY416" i="19"/>
  <c r="L422" i="19"/>
  <c r="F374" i="19"/>
  <c r="I374" i="19" s="1"/>
  <c r="L374" i="19" s="1"/>
  <c r="CS336" i="19"/>
  <c r="CV336" i="19" s="1"/>
  <c r="CY336" i="19" s="1"/>
  <c r="DL402" i="19"/>
  <c r="AY384" i="19"/>
  <c r="CF405" i="19"/>
  <c r="CI405" i="19" s="1"/>
  <c r="CL405" i="19" s="1"/>
  <c r="EL415" i="19"/>
  <c r="Y420" i="19"/>
  <c r="DL420" i="19"/>
  <c r="EV422" i="19"/>
  <c r="EY422" i="19" s="1"/>
  <c r="BS417" i="19"/>
  <c r="BV417" i="19" s="1"/>
  <c r="BY417" i="19" s="1"/>
  <c r="BL372" i="19"/>
  <c r="EL408" i="19"/>
  <c r="Y414" i="19"/>
  <c r="BF399" i="19"/>
  <c r="BI399" i="19" s="1"/>
  <c r="BL399" i="19" s="1"/>
  <c r="EV359" i="19"/>
  <c r="EY359" i="19" s="1"/>
  <c r="AF405" i="19"/>
  <c r="AI405" i="19" s="1"/>
  <c r="AL405" i="19" s="1"/>
  <c r="L410" i="19"/>
  <c r="DS336" i="19"/>
  <c r="DV336" i="19" s="1"/>
  <c r="DY336" i="19" s="1"/>
  <c r="BF386" i="19"/>
  <c r="BI386" i="19" s="1"/>
  <c r="BL386" i="19" s="1"/>
  <c r="L373" i="19"/>
  <c r="BY373" i="19"/>
  <c r="F417" i="19"/>
  <c r="I417" i="19" s="1"/>
  <c r="L417" i="19" s="1"/>
  <c r="CS399" i="19"/>
  <c r="CV399" i="19" s="1"/>
  <c r="CY399" i="19" s="1"/>
  <c r="L347" i="19"/>
  <c r="CL379" i="19"/>
  <c r="AL371" i="19"/>
  <c r="BL390" i="19"/>
  <c r="L391" i="19"/>
  <c r="EL414" i="19"/>
  <c r="EL389" i="19"/>
  <c r="EL402" i="19"/>
  <c r="CL378" i="19"/>
  <c r="DY421" i="19"/>
  <c r="CL391" i="19"/>
  <c r="BL391" i="19"/>
  <c r="CF380" i="19"/>
  <c r="CI380" i="19" s="1"/>
  <c r="CL380" i="19" s="1"/>
  <c r="CS368" i="19"/>
  <c r="CV368" i="19" s="1"/>
  <c r="CY368" i="19" s="1"/>
  <c r="ES348" i="19"/>
  <c r="EV348" i="19" s="1"/>
  <c r="EY348" i="19" s="1"/>
  <c r="CL404" i="19"/>
  <c r="AY404" i="19"/>
  <c r="AY422" i="19"/>
  <c r="BY385" i="19"/>
  <c r="L379" i="19"/>
  <c r="BS399" i="19"/>
  <c r="BV399" i="19" s="1"/>
  <c r="DL415" i="19"/>
  <c r="EL351" i="19"/>
  <c r="BL384" i="19"/>
  <c r="EL358" i="19"/>
  <c r="DL409" i="19"/>
  <c r="AF348" i="19"/>
  <c r="AI348" i="19" s="1"/>
  <c r="AL348" i="19" s="1"/>
  <c r="CF342" i="19"/>
  <c r="CI342" i="19" s="1"/>
  <c r="CL342" i="19" s="1"/>
  <c r="CY357" i="19"/>
  <c r="DL377" i="19"/>
  <c r="BL353" i="19"/>
  <c r="DL384" i="19"/>
  <c r="CF336" i="19"/>
  <c r="CI336" i="19" s="1"/>
  <c r="CL336" i="19" s="1"/>
  <c r="Y416" i="19"/>
  <c r="Y415" i="19"/>
  <c r="BL408" i="19"/>
  <c r="DL346" i="19"/>
  <c r="S342" i="19"/>
  <c r="V342" i="19" s="1"/>
  <c r="Y342" i="19" s="1"/>
  <c r="L390" i="19"/>
  <c r="EV371" i="19"/>
  <c r="EY371" i="19" s="1"/>
  <c r="CS380" i="19"/>
  <c r="CV380" i="19" s="1"/>
  <c r="CY380" i="19" s="1"/>
  <c r="S380" i="19"/>
  <c r="V380" i="19" s="1"/>
  <c r="Y380" i="19" s="1"/>
  <c r="CS374" i="19"/>
  <c r="CV374" i="19" s="1"/>
  <c r="CY374" i="19" s="1"/>
  <c r="BL421" i="19"/>
  <c r="BF342" i="19"/>
  <c r="BI342" i="19" s="1"/>
  <c r="BL342" i="19" s="1"/>
  <c r="DL357" i="19"/>
  <c r="L359" i="19"/>
  <c r="DY379" i="19"/>
  <c r="DS354" i="19"/>
  <c r="DV354" i="19" s="1"/>
  <c r="DY354" i="19" s="1"/>
  <c r="DS386" i="19"/>
  <c r="DV386" i="19" s="1"/>
  <c r="DY386" i="19" s="1"/>
  <c r="EL340" i="19"/>
  <c r="BL409" i="19"/>
  <c r="AL415" i="19"/>
  <c r="CY351" i="19"/>
  <c r="CL385" i="19"/>
  <c r="AY359" i="19"/>
  <c r="AL403" i="19"/>
  <c r="Y421" i="19"/>
  <c r="AY377" i="19"/>
  <c r="S405" i="19"/>
  <c r="V405" i="19" s="1"/>
  <c r="Y405" i="19" s="1"/>
  <c r="Y385" i="19"/>
  <c r="CL341" i="19"/>
  <c r="L385" i="19"/>
  <c r="DY373" i="19"/>
  <c r="AY372" i="19"/>
  <c r="DL358" i="19"/>
  <c r="L377" i="19"/>
  <c r="EL378" i="19"/>
  <c r="EV358" i="19"/>
  <c r="EY358" i="19" s="1"/>
  <c r="CY339" i="19"/>
  <c r="CL384" i="19"/>
  <c r="CY409" i="19"/>
  <c r="F386" i="19"/>
  <c r="I386" i="19" s="1"/>
  <c r="L386" i="19" s="1"/>
  <c r="EV357" i="19"/>
  <c r="EY357" i="19" s="1"/>
  <c r="L414" i="19"/>
  <c r="CL408" i="19"/>
  <c r="AL384" i="19"/>
  <c r="AL372" i="19"/>
  <c r="AY403" i="19"/>
  <c r="AL408" i="19"/>
  <c r="Y383" i="19"/>
  <c r="DY414" i="19"/>
  <c r="BL410" i="19"/>
  <c r="EL420" i="19"/>
  <c r="AF368" i="19"/>
  <c r="AI368" i="19" s="1"/>
  <c r="AL368" i="19" s="1"/>
  <c r="AL422" i="19"/>
  <c r="S386" i="19"/>
  <c r="V386" i="19" s="1"/>
  <c r="Y386" i="19" s="1"/>
  <c r="BL385" i="19"/>
  <c r="BF417" i="19"/>
  <c r="BI417" i="19" s="1"/>
  <c r="BL417" i="19" s="1"/>
  <c r="L384" i="19"/>
  <c r="EL339" i="19"/>
  <c r="DY353" i="19"/>
  <c r="Y403" i="19"/>
  <c r="AY415" i="19"/>
  <c r="AL373" i="19"/>
  <c r="EV403" i="19"/>
  <c r="EY403" i="19" s="1"/>
  <c r="CY341" i="19"/>
  <c r="DS374" i="19"/>
  <c r="DV374" i="19" s="1"/>
  <c r="DY374" i="19" s="1"/>
  <c r="DY385" i="19"/>
  <c r="EL373" i="19"/>
  <c r="BL347" i="19"/>
  <c r="CL403" i="19"/>
  <c r="AY378" i="19"/>
  <c r="CL339" i="19"/>
  <c r="DY416" i="19"/>
  <c r="DY346" i="19"/>
  <c r="EV420" i="19"/>
  <c r="EY420" i="19" s="1"/>
  <c r="BL378" i="19"/>
  <c r="EV415" i="19"/>
  <c r="EY415" i="19" s="1"/>
  <c r="AF374" i="19"/>
  <c r="AI374" i="19" s="1"/>
  <c r="AL374" i="19" s="1"/>
  <c r="CL415" i="19"/>
  <c r="BY414" i="19"/>
  <c r="BY402" i="19"/>
  <c r="AS342" i="19"/>
  <c r="AV342" i="19" s="1"/>
  <c r="AY342" i="19" s="1"/>
  <c r="BL402" i="19"/>
  <c r="L341" i="19"/>
  <c r="BL422" i="19"/>
  <c r="CY404" i="19"/>
  <c r="EF405" i="19"/>
  <c r="BL403" i="19"/>
  <c r="DY352" i="19"/>
  <c r="AF354" i="19"/>
  <c r="AI354" i="19" s="1"/>
  <c r="AL354" i="19" s="1"/>
  <c r="EL372" i="19"/>
  <c r="S336" i="19"/>
  <c r="V336" i="19" s="1"/>
  <c r="Y336" i="19" s="1"/>
  <c r="DF405" i="19"/>
  <c r="DI405" i="19" s="1"/>
  <c r="DL405" i="19" s="1"/>
  <c r="EV346" i="19"/>
  <c r="EY346" i="19" s="1"/>
  <c r="CL359" i="19"/>
  <c r="BF336" i="19"/>
  <c r="BI336" i="19" s="1"/>
  <c r="BL336" i="19" s="1"/>
  <c r="AL378" i="19"/>
  <c r="BY415" i="19"/>
  <c r="DF386" i="19"/>
  <c r="DI386" i="19" s="1"/>
  <c r="DL386" i="19" s="1"/>
  <c r="Y379" i="19"/>
  <c r="BL339" i="19"/>
  <c r="AS374" i="19"/>
  <c r="AV374" i="19" s="1"/>
  <c r="AY374" i="19" s="1"/>
  <c r="S348" i="19"/>
  <c r="V348" i="19" s="1"/>
  <c r="Y348" i="19" s="1"/>
  <c r="Y359" i="19"/>
  <c r="DY339" i="19"/>
  <c r="EV389" i="19"/>
  <c r="EY389" i="19" s="1"/>
  <c r="CS417" i="19"/>
  <c r="CV417" i="19" s="1"/>
  <c r="CY417" i="19" s="1"/>
  <c r="BY377" i="19"/>
  <c r="AL377" i="19"/>
  <c r="EV409" i="19"/>
  <c r="EY409" i="19" s="1"/>
  <c r="DL403" i="19"/>
  <c r="CY389" i="19"/>
  <c r="ES405" i="19"/>
  <c r="EV347" i="19"/>
  <c r="EY347" i="19" s="1"/>
  <c r="L371" i="19"/>
  <c r="BS411" i="19"/>
  <c r="BV411" i="19" s="1"/>
  <c r="BY411" i="19" s="1"/>
  <c r="BF354" i="19"/>
  <c r="BI354" i="19" s="1"/>
  <c r="BL354" i="19" s="1"/>
  <c r="CL372" i="19"/>
  <c r="CF368" i="19"/>
  <c r="CI368" i="19" s="1"/>
  <c r="CL368" i="19" s="1"/>
  <c r="S411" i="19"/>
  <c r="V411" i="19" s="1"/>
  <c r="Y411" i="19" s="1"/>
  <c r="BS405" i="19"/>
  <c r="BV405" i="19" s="1"/>
  <c r="BY405" i="19" s="1"/>
  <c r="CL353" i="19"/>
  <c r="S399" i="19"/>
  <c r="V399" i="19" s="1"/>
  <c r="Y399" i="19" s="1"/>
  <c r="Y384" i="19"/>
  <c r="CF411" i="19"/>
  <c r="CI411" i="19" s="1"/>
  <c r="CL411" i="19" s="1"/>
  <c r="AY408" i="19"/>
  <c r="L403" i="19"/>
  <c r="CY421" i="19"/>
  <c r="BL377" i="19"/>
  <c r="EV385" i="19"/>
  <c r="EY385" i="19" s="1"/>
  <c r="BY416" i="19"/>
  <c r="DF348" i="19"/>
  <c r="DI348" i="19" s="1"/>
  <c r="AY421" i="19"/>
  <c r="CS405" i="19"/>
  <c r="CV405" i="19" s="1"/>
  <c r="CY405" i="19" s="1"/>
  <c r="DL339" i="19"/>
  <c r="DY408" i="19"/>
  <c r="AS368" i="19"/>
  <c r="AV368" i="19" s="1"/>
  <c r="AY368" i="19" s="1"/>
  <c r="EF342" i="19"/>
  <c r="EI342" i="19" s="1"/>
  <c r="EL342" i="19" s="1"/>
  <c r="DL347" i="19"/>
  <c r="BS336" i="19"/>
  <c r="BV336" i="19" s="1"/>
  <c r="BY336" i="19" s="1"/>
  <c r="EV391" i="19"/>
  <c r="EY391" i="19" s="1"/>
  <c r="DL372" i="19"/>
  <c r="ES354" i="19"/>
  <c r="EV354" i="19" s="1"/>
  <c r="EY354" i="19" s="1"/>
  <c r="CL421" i="19"/>
  <c r="AL402" i="19"/>
  <c r="Y358" i="19"/>
  <c r="CY383" i="19"/>
  <c r="BY358" i="19"/>
  <c r="BL357" i="19"/>
  <c r="CS386" i="19"/>
  <c r="CV386" i="19" s="1"/>
  <c r="CY386" i="19" s="1"/>
  <c r="CS348" i="19"/>
  <c r="CV348" i="19" s="1"/>
  <c r="CY348" i="19" s="1"/>
  <c r="EF380" i="19"/>
  <c r="EI380" i="19" s="1"/>
  <c r="EL380" i="19" s="1"/>
  <c r="DF380" i="19"/>
  <c r="DI380" i="19" s="1"/>
  <c r="DL380" i="19" s="1"/>
  <c r="CS354" i="19"/>
  <c r="CV354" i="19" s="1"/>
  <c r="CY354" i="19" s="1"/>
  <c r="BY339" i="19"/>
  <c r="EV351" i="19"/>
  <c r="EY351" i="19" s="1"/>
  <c r="BY379" i="19"/>
  <c r="DL385" i="19"/>
  <c r="CY346" i="19"/>
  <c r="CL409" i="19"/>
  <c r="BL352" i="19"/>
  <c r="AY373" i="19"/>
  <c r="BY372" i="19"/>
  <c r="CL390" i="19"/>
  <c r="CF399" i="19"/>
  <c r="CI399" i="19" s="1"/>
  <c r="CL399" i="19" s="1"/>
  <c r="DY402" i="19"/>
  <c r="BL420" i="19"/>
  <c r="EL353" i="19"/>
  <c r="EV377" i="19"/>
  <c r="EY377" i="19" s="1"/>
  <c r="BL383" i="19"/>
  <c r="AY358" i="19"/>
  <c r="BL345" i="19"/>
  <c r="AY351" i="19"/>
  <c r="EL345" i="19"/>
  <c r="EL377" i="19"/>
  <c r="Y404" i="19"/>
  <c r="DL410" i="19"/>
  <c r="DF354" i="19"/>
  <c r="DI354" i="19" s="1"/>
  <c r="DL354" i="19" s="1"/>
  <c r="CY385" i="19"/>
  <c r="DY384" i="19"/>
  <c r="DL416" i="19"/>
  <c r="EV373" i="19"/>
  <c r="EY373" i="19" s="1"/>
  <c r="L383" i="19"/>
  <c r="L409" i="19"/>
  <c r="DY345" i="19"/>
  <c r="CY378" i="19"/>
  <c r="DL373" i="19"/>
  <c r="CL416" i="19"/>
  <c r="AL421" i="19"/>
  <c r="CY379" i="19"/>
  <c r="EF336" i="19"/>
  <c r="EI336" i="19" s="1"/>
  <c r="EL336" i="19" s="1"/>
  <c r="ES336" i="19"/>
  <c r="EV336" i="19" s="1"/>
  <c r="EY336" i="19" s="1"/>
  <c r="AL414" i="19"/>
  <c r="DL359" i="19"/>
  <c r="EL359" i="19"/>
  <c r="AY353" i="19"/>
  <c r="L346" i="19"/>
  <c r="CY415" i="19"/>
  <c r="EL403" i="19"/>
  <c r="L358" i="19"/>
  <c r="S374" i="19"/>
  <c r="V374" i="19" s="1"/>
  <c r="Y374" i="19" s="1"/>
  <c r="AY345" i="19"/>
  <c r="Y408" i="19"/>
  <c r="EV390" i="19"/>
  <c r="EY390" i="19" s="1"/>
  <c r="AY420" i="19"/>
  <c r="L389" i="19"/>
  <c r="CY373" i="19"/>
  <c r="BY357" i="19"/>
  <c r="AL385" i="19"/>
  <c r="DL383" i="19"/>
  <c r="EV414" i="19"/>
  <c r="EY414" i="19" s="1"/>
  <c r="AF411" i="19"/>
  <c r="AI411" i="19" s="1"/>
  <c r="AL411" i="19" s="1"/>
  <c r="DL378" i="19"/>
  <c r="DL341" i="19"/>
  <c r="CY372" i="19"/>
  <c r="BL341" i="19"/>
  <c r="DS417" i="19"/>
  <c r="DV417" i="19" s="1"/>
  <c r="DY417" i="19" s="1"/>
  <c r="L402" i="19"/>
  <c r="BY345" i="19"/>
  <c r="BL416" i="19"/>
  <c r="DY357" i="19"/>
  <c r="AS405" i="19"/>
  <c r="AV405" i="19" s="1"/>
  <c r="AY405" i="19" s="1"/>
  <c r="DF342" i="19"/>
  <c r="DI342" i="19" s="1"/>
  <c r="DL342" i="19" s="1"/>
  <c r="BL359" i="19"/>
  <c r="AY409" i="19"/>
  <c r="DY377" i="19"/>
  <c r="BL373" i="19"/>
  <c r="EF417" i="19"/>
  <c r="CY408" i="19"/>
  <c r="DY371" i="19"/>
  <c r="AS336" i="19"/>
  <c r="AV336" i="19" s="1"/>
  <c r="AY336" i="19" s="1"/>
  <c r="AF380" i="19"/>
  <c r="AI380" i="19" s="1"/>
  <c r="AL380" i="19" s="1"/>
  <c r="EL341" i="19"/>
  <c r="EF354" i="19"/>
  <c r="EI354" i="19" s="1"/>
  <c r="EL354" i="19" s="1"/>
  <c r="L339" i="19"/>
  <c r="CY416" i="19"/>
  <c r="BY410" i="19"/>
  <c r="BL415" i="19"/>
  <c r="CL351" i="19"/>
  <c r="Y357" i="19"/>
  <c r="L340" i="19"/>
  <c r="EF368" i="19"/>
  <c r="EI368" i="19" s="1"/>
  <c r="EL368" i="19" s="1"/>
  <c r="DL352" i="19"/>
  <c r="EV410" i="19"/>
  <c r="EY410" i="19" s="1"/>
  <c r="EV353" i="19"/>
  <c r="EY353" i="19" s="1"/>
  <c r="BY390" i="19"/>
  <c r="F380" i="19"/>
  <c r="I380" i="19" s="1"/>
  <c r="L380" i="19" s="1"/>
  <c r="F348" i="19"/>
  <c r="I348" i="19" s="1"/>
  <c r="L348" i="19" s="1"/>
  <c r="CL357" i="19"/>
  <c r="BY409" i="19"/>
  <c r="DY359" i="19"/>
  <c r="BY422" i="19"/>
  <c r="Y410" i="19"/>
  <c r="Y373" i="19"/>
  <c r="DL421" i="19"/>
  <c r="CL377" i="19"/>
  <c r="ES411" i="19"/>
  <c r="EV411" i="19" s="1"/>
  <c r="EY411" i="19" s="1"/>
  <c r="EV341" i="19"/>
  <c r="EY341" i="19" s="1"/>
  <c r="BF405" i="19"/>
  <c r="BI405" i="19" s="1"/>
  <c r="BL405" i="19" s="1"/>
  <c r="DF336" i="19"/>
  <c r="DI336" i="19" s="1"/>
  <c r="DL336" i="19" s="1"/>
  <c r="L351" i="19"/>
  <c r="L353" i="19"/>
  <c r="AY371" i="19"/>
  <c r="EV379" i="19"/>
  <c r="EY379" i="19" s="1"/>
  <c r="EL384" i="19"/>
  <c r="AS354" i="19"/>
  <c r="AV354" i="19" s="1"/>
  <c r="AY354" i="19" s="1"/>
  <c r="DY404" i="19"/>
  <c r="DL345" i="19"/>
  <c r="EL422" i="19"/>
  <c r="AL383" i="19"/>
  <c r="CY422" i="19"/>
  <c r="DY347" i="19"/>
  <c r="EL391" i="19"/>
  <c r="L345" i="19"/>
  <c r="L404" i="19"/>
  <c r="CL340" i="19"/>
  <c r="CL371" i="19"/>
  <c r="EL352" i="19"/>
  <c r="DY410" i="19"/>
  <c r="Y372" i="19"/>
  <c r="EV339" i="19"/>
  <c r="EY339" i="19" s="1"/>
  <c r="Y353" i="19"/>
  <c r="CY420" i="19"/>
  <c r="DL391" i="19"/>
  <c r="EV383" i="19"/>
  <c r="EY383" i="19" s="1"/>
  <c r="L378" i="19"/>
  <c r="DY422" i="19"/>
  <c r="EF411" i="19"/>
  <c r="Y345" i="19"/>
  <c r="DS405" i="19"/>
  <c r="DV405" i="19" s="1"/>
  <c r="DY405" i="19" s="1"/>
  <c r="BY378" i="19"/>
  <c r="ES417" i="19"/>
  <c r="EV417" i="19" s="1"/>
  <c r="EY417" i="19" s="1"/>
  <c r="ES374" i="19"/>
  <c r="EV374" i="19" s="1"/>
  <c r="EY374" i="19" s="1"/>
  <c r="DY409" i="19"/>
  <c r="CY403" i="19"/>
  <c r="AL404" i="19"/>
  <c r="BY346" i="19"/>
  <c r="CF386" i="19"/>
  <c r="CI386" i="19" s="1"/>
  <c r="CL386" i="19" s="1"/>
  <c r="DL422" i="19"/>
  <c r="EL409" i="19"/>
  <c r="AF417" i="19"/>
  <c r="AI417" i="19" s="1"/>
  <c r="AY357" i="19"/>
  <c r="Y389" i="19"/>
  <c r="EL346" i="19"/>
  <c r="F368" i="19"/>
  <c r="I368" i="19" s="1"/>
  <c r="L368" i="19" s="1"/>
  <c r="BL414" i="19"/>
  <c r="DL371" i="19"/>
  <c r="Y422" i="19"/>
  <c r="BS374" i="19"/>
  <c r="BV374" i="19" s="1"/>
  <c r="BY374" i="19" s="1"/>
  <c r="BF368" i="19"/>
  <c r="BI368" i="19" s="1"/>
  <c r="BL368" i="19" s="1"/>
  <c r="F405" i="19"/>
  <c r="I405" i="19" s="1"/>
  <c r="L405" i="19" s="1"/>
  <c r="AF336" i="19"/>
  <c r="AI336" i="19" s="1"/>
  <c r="AL336" i="19" s="1"/>
  <c r="AL410" i="19"/>
  <c r="BS386" i="19"/>
  <c r="BV386" i="19" s="1"/>
  <c r="BY386" i="19" s="1"/>
  <c r="BF411" i="19"/>
  <c r="BI411" i="19" s="1"/>
  <c r="BL411" i="19" s="1"/>
  <c r="Y352" i="19"/>
  <c r="BL340" i="19"/>
  <c r="EF374" i="19"/>
  <c r="EI374" i="19" s="1"/>
  <c r="EL374" i="19" s="1"/>
  <c r="CS342" i="19"/>
  <c r="CV342" i="19" s="1"/>
  <c r="CY342" i="19" s="1"/>
  <c r="EV402" i="19"/>
  <c r="EY402" i="19" s="1"/>
  <c r="BL351" i="19"/>
  <c r="BY352" i="19"/>
  <c r="DY383" i="19"/>
  <c r="CY359" i="19"/>
  <c r="CF374" i="19"/>
  <c r="CI374" i="19" s="1"/>
  <c r="CL374" i="19" s="1"/>
  <c r="EV340" i="19"/>
  <c r="EY340" i="19" s="1"/>
  <c r="BS368" i="19"/>
  <c r="BV368" i="19" s="1"/>
  <c r="BY368" i="19" s="1"/>
  <c r="BL379" i="19"/>
  <c r="DL351" i="19"/>
  <c r="BL371" i="19"/>
  <c r="DF417" i="19"/>
  <c r="DI417" i="19" s="1"/>
  <c r="DL417" i="19" s="1"/>
  <c r="L357" i="19"/>
  <c r="AY383" i="19"/>
  <c r="CY347" i="19"/>
  <c r="EL371" i="19"/>
  <c r="CS411" i="19"/>
  <c r="CV411" i="19" s="1"/>
  <c r="CY411" i="19" s="1"/>
  <c r="EF399" i="19"/>
  <c r="EI399" i="19" s="1"/>
  <c r="EL399" i="19" s="1"/>
  <c r="AY341" i="19"/>
  <c r="S354" i="19"/>
  <c r="V354" i="19" s="1"/>
  <c r="Y354" i="19" s="1"/>
  <c r="DS411" i="19"/>
  <c r="DV411" i="19" s="1"/>
  <c r="DY411" i="19" s="1"/>
  <c r="DF411" i="19"/>
  <c r="DI411" i="19" s="1"/>
  <c r="DL411" i="19" s="1"/>
  <c r="AL409" i="19"/>
  <c r="AY339" i="19"/>
  <c r="AY347" i="19"/>
  <c r="S417" i="19"/>
  <c r="V417" i="19" s="1"/>
  <c r="Y417" i="19" s="1"/>
  <c r="Y377" i="19"/>
  <c r="EV345" i="19"/>
  <c r="EY345" i="19" s="1"/>
  <c r="AL416" i="19"/>
  <c r="EL421" i="19"/>
  <c r="CF354" i="19"/>
  <c r="CI354" i="19" s="1"/>
  <c r="CL354" i="19" s="1"/>
  <c r="DL389" i="19"/>
  <c r="AY389" i="19"/>
  <c r="CL373" i="19"/>
  <c r="EF386" i="19"/>
  <c r="EI386" i="19" s="1"/>
  <c r="EL386" i="19" s="1"/>
  <c r="CY358" i="19"/>
  <c r="CY371" i="19"/>
  <c r="AS411" i="19"/>
  <c r="AV411" i="19" s="1"/>
  <c r="AY411" i="19" s="1"/>
  <c r="Y346" i="19"/>
  <c r="DS380" i="19"/>
  <c r="DV380" i="19" s="1"/>
  <c r="DY380" i="19" s="1"/>
  <c r="F342" i="19"/>
  <c r="I342" i="19" s="1"/>
  <c r="L342" i="19" s="1"/>
  <c r="EV405" i="19"/>
  <c r="EY405" i="19" s="1"/>
  <c r="BF374" i="19"/>
  <c r="BI374" i="19" s="1"/>
  <c r="BL374" i="19" s="1"/>
  <c r="DS399" i="19"/>
  <c r="DV399" i="19" s="1"/>
  <c r="DY399" i="19" s="1"/>
  <c r="CL414" i="19"/>
  <c r="F411" i="19"/>
  <c r="I411" i="19" s="1"/>
  <c r="L411" i="19" s="1"/>
  <c r="AY352" i="19"/>
  <c r="BY371" i="19"/>
  <c r="Y371" i="19"/>
  <c r="AS380" i="19"/>
  <c r="AV380" i="19" s="1"/>
  <c r="AY380" i="19" s="1"/>
  <c r="F336" i="19"/>
  <c r="I336" i="19" s="1"/>
  <c r="L336" i="19" s="1"/>
  <c r="AY340" i="19"/>
  <c r="Y378" i="19"/>
  <c r="DY403" i="19"/>
  <c r="L415" i="19"/>
  <c r="BY383" i="19"/>
  <c r="EV372" i="19"/>
  <c r="EY372" i="19" s="1"/>
  <c r="AY391" i="19"/>
  <c r="DL404" i="19"/>
  <c r="BY351" i="19"/>
  <c r="DF374" i="19"/>
  <c r="DI374" i="19" s="1"/>
  <c r="DL374" i="19" s="1"/>
  <c r="AY414" i="19"/>
  <c r="AF386" i="19"/>
  <c r="AI386" i="19" s="1"/>
  <c r="AL386" i="19" s="1"/>
  <c r="EL347" i="19"/>
  <c r="BY340" i="19"/>
  <c r="CF348" i="19"/>
  <c r="CI348" i="19" s="1"/>
  <c r="CL348" i="19" s="1"/>
  <c r="ES368" i="19"/>
  <c r="EV368" i="19" s="1"/>
  <c r="EY368" i="19" s="1"/>
  <c r="BY403" i="19"/>
  <c r="AF342" i="19"/>
  <c r="AI342" i="19" s="1"/>
  <c r="AL342" i="19" s="1"/>
  <c r="EL416" i="19"/>
  <c r="BL358" i="19"/>
  <c r="EV408" i="19"/>
  <c r="EY408" i="19" s="1"/>
  <c r="Y347" i="19"/>
  <c r="AY385" i="19"/>
  <c r="Y390" i="19"/>
  <c r="DF399" i="19"/>
  <c r="DI399" i="19" s="1"/>
  <c r="CY340" i="19"/>
  <c r="L408" i="19"/>
  <c r="CY390" i="19"/>
  <c r="BS342" i="19"/>
  <c r="BV342" i="19" s="1"/>
  <c r="BY342" i="19" s="1"/>
  <c r="CY402" i="19"/>
  <c r="BL404" i="19"/>
  <c r="DY415" i="19"/>
  <c r="AY402" i="19"/>
  <c r="BY420" i="19"/>
  <c r="CL383" i="19"/>
  <c r="CL347" i="19"/>
  <c r="Y339" i="19"/>
  <c r="L352" i="19"/>
  <c r="CY414" i="19"/>
  <c r="BY384" i="19"/>
  <c r="AL389" i="19"/>
  <c r="AS348" i="19"/>
  <c r="AV348" i="19" s="1"/>
  <c r="AY348" i="19" s="1"/>
  <c r="BY391" i="19"/>
  <c r="AS399" i="19"/>
  <c r="AV399" i="19" s="1"/>
  <c r="AY399" i="19" s="1"/>
  <c r="BF348" i="19"/>
  <c r="BI348" i="19" s="1"/>
  <c r="BL348" i="19" s="1"/>
  <c r="AS386" i="19"/>
  <c r="AV386" i="19" s="1"/>
  <c r="AY386" i="19" s="1"/>
  <c r="BF380" i="19"/>
  <c r="BI380" i="19" s="1"/>
  <c r="BL380" i="19" s="1"/>
  <c r="DY372" i="19"/>
  <c r="AS417" i="19"/>
  <c r="AV417" i="19" s="1"/>
  <c r="AY417" i="19" s="1"/>
  <c r="S368" i="19"/>
  <c r="V368" i="19" s="1"/>
  <c r="Y368" i="19" s="1"/>
  <c r="AF399" i="19"/>
  <c r="AI399" i="19" s="1"/>
  <c r="AL399" i="19" s="1"/>
  <c r="CL358" i="19"/>
  <c r="CL422" i="19"/>
  <c r="BS348" i="19"/>
  <c r="BV348" i="19" s="1"/>
  <c r="BY348" i="19" s="1"/>
  <c r="ES399" i="19"/>
  <c r="EV399" i="19" s="1"/>
  <c r="EY399" i="19" s="1"/>
  <c r="DY351" i="19"/>
  <c r="EV384" i="19"/>
  <c r="EY384" i="19" s="1"/>
  <c r="EL390" i="19"/>
  <c r="Y340" i="19"/>
  <c r="EL410" i="19"/>
  <c r="Y409" i="19"/>
  <c r="DL414" i="19"/>
  <c r="F399" i="19"/>
  <c r="I399" i="19" s="1"/>
  <c r="L399" i="19" s="1"/>
  <c r="ES380" i="19"/>
  <c r="EV380" i="19" s="1"/>
  <c r="EY380" i="19" s="1"/>
  <c r="BY404" i="19"/>
  <c r="BS380" i="19"/>
  <c r="BV380" i="19" s="1"/>
  <c r="BY380" i="19" s="1"/>
  <c r="DS368" i="19"/>
  <c r="DV368" i="19" s="1"/>
  <c r="DY368" i="19" s="1"/>
  <c r="BY347" i="19"/>
  <c r="CY377" i="19"/>
  <c r="EL379" i="19"/>
  <c r="AY379" i="19"/>
  <c r="DY391" i="19"/>
  <c r="DY358" i="19"/>
  <c r="Y341" i="19"/>
  <c r="AY410" i="19"/>
  <c r="BL346" i="19"/>
  <c r="CY352" i="19"/>
  <c r="DS342" i="19"/>
  <c r="DV342" i="19" s="1"/>
  <c r="DY342" i="19" s="1"/>
  <c r="EL404" i="19"/>
  <c r="DY340" i="19"/>
  <c r="BY359" i="19"/>
  <c r="BS354" i="19"/>
  <c r="BV354" i="19" s="1"/>
  <c r="BY354" i="19" s="1"/>
  <c r="EV404" i="19"/>
  <c r="EY404" i="19" s="1"/>
  <c r="DL390" i="19"/>
  <c r="DE374" i="19"/>
  <c r="DH374" i="19" s="1"/>
  <c r="DK374" i="19" s="1"/>
  <c r="AE417" i="19"/>
  <c r="AH417" i="19" s="1"/>
  <c r="AK417" i="19" s="1"/>
  <c r="CE374" i="19"/>
  <c r="CH374" i="19" s="1"/>
  <c r="CK374" i="19" s="1"/>
  <c r="R368" i="19"/>
  <c r="U368" i="19" s="1"/>
  <c r="X368" i="19" s="1"/>
  <c r="CE380" i="19"/>
  <c r="CH380" i="19" s="1"/>
  <c r="CK380" i="19" s="1"/>
  <c r="ER348" i="19"/>
  <c r="EU348" i="19" s="1"/>
  <c r="EX348" i="19" s="1"/>
  <c r="DR411" i="19"/>
  <c r="DU411" i="19" s="1"/>
  <c r="DX411" i="19" s="1"/>
  <c r="EE411" i="19"/>
  <c r="EH411" i="19" s="1"/>
  <c r="EK411" i="19" s="1"/>
  <c r="DE380" i="19"/>
  <c r="DH380" i="19" s="1"/>
  <c r="DK380" i="19" s="1"/>
  <c r="EE380" i="19"/>
  <c r="EH380" i="19" s="1"/>
  <c r="EK380" i="19" s="1"/>
  <c r="EE336" i="19"/>
  <c r="EH336" i="19" s="1"/>
  <c r="EK336" i="19" s="1"/>
  <c r="ER405" i="19"/>
  <c r="EU405" i="19" s="1"/>
  <c r="EX405" i="19" s="1"/>
  <c r="CR354" i="19"/>
  <c r="CU354" i="19" s="1"/>
  <c r="CX354" i="19" s="1"/>
  <c r="EE417" i="19"/>
  <c r="EH417" i="19" s="1"/>
  <c r="EK417" i="19" s="1"/>
  <c r="BR354" i="19"/>
  <c r="BU354" i="19" s="1"/>
  <c r="BX354" i="19" s="1"/>
  <c r="ER380" i="19"/>
  <c r="EU380" i="19" s="1"/>
  <c r="EX380" i="19" s="1"/>
  <c r="AR336" i="19"/>
  <c r="AU336" i="19" s="1"/>
  <c r="AX336" i="19" s="1"/>
  <c r="AE354" i="19"/>
  <c r="AH354" i="19" s="1"/>
  <c r="AK354" i="19" s="1"/>
  <c r="E380" i="19"/>
  <c r="H380" i="19" s="1"/>
  <c r="K380" i="19" s="1"/>
  <c r="E354" i="19"/>
  <c r="H354" i="19" s="1"/>
  <c r="K354" i="19" s="1"/>
  <c r="DR405" i="19"/>
  <c r="DU405" i="19" s="1"/>
  <c r="DX405" i="19" s="1"/>
  <c r="E411" i="19"/>
  <c r="H411" i="19" s="1"/>
  <c r="K411" i="19" s="1"/>
  <c r="BR348" i="19"/>
  <c r="BU348" i="19" s="1"/>
  <c r="BX348" i="19" s="1"/>
  <c r="DE354" i="19"/>
  <c r="DH354" i="19" s="1"/>
  <c r="DK354" i="19" s="1"/>
  <c r="EE405" i="19"/>
  <c r="EH405" i="19" s="1"/>
  <c r="EK405" i="19" s="1"/>
  <c r="AE405" i="19"/>
  <c r="AH405" i="19" s="1"/>
  <c r="AK405" i="19" s="1"/>
  <c r="BR374" i="19"/>
  <c r="BU374" i="19" s="1"/>
  <c r="BX374" i="19" s="1"/>
  <c r="CE399" i="19"/>
  <c r="CH399" i="19" s="1"/>
  <c r="CK399" i="19" s="1"/>
  <c r="CR380" i="19"/>
  <c r="CU380" i="19" s="1"/>
  <c r="CX380" i="19" s="1"/>
  <c r="E336" i="19"/>
  <c r="H336" i="19" s="1"/>
  <c r="K336" i="19" s="1"/>
  <c r="BE399" i="19"/>
  <c r="BH399" i="19" s="1"/>
  <c r="BK399" i="19" s="1"/>
  <c r="DR368" i="19"/>
  <c r="DU368" i="19" s="1"/>
  <c r="DX368" i="19" s="1"/>
  <c r="CE417" i="19"/>
  <c r="CH417" i="19" s="1"/>
  <c r="CK417" i="19" s="1"/>
  <c r="BE417" i="19"/>
  <c r="BH417" i="19" s="1"/>
  <c r="BK417" i="19" s="1"/>
  <c r="BE386" i="19"/>
  <c r="BH386" i="19" s="1"/>
  <c r="BK386" i="19" s="1"/>
  <c r="DE348" i="19"/>
  <c r="DH348" i="19" s="1"/>
  <c r="DK348" i="19" s="1"/>
  <c r="ER336" i="19"/>
  <c r="AE348" i="19"/>
  <c r="AH348" i="19" s="1"/>
  <c r="AK348" i="19" s="1"/>
  <c r="R386" i="19"/>
  <c r="U386" i="19" s="1"/>
  <c r="X386" i="19" s="1"/>
  <c r="EE342" i="19"/>
  <c r="EH342" i="19" s="1"/>
  <c r="EK342" i="19" s="1"/>
  <c r="CR336" i="19"/>
  <c r="CU336" i="19" s="1"/>
  <c r="CX336" i="19" s="1"/>
  <c r="R417" i="19"/>
  <c r="U417" i="19" s="1"/>
  <c r="X417" i="19" s="1"/>
  <c r="E374" i="19"/>
  <c r="H374" i="19" s="1"/>
  <c r="K374" i="19" s="1"/>
  <c r="DE386" i="19"/>
  <c r="DH386" i="19" s="1"/>
  <c r="DK386" i="19" s="1"/>
  <c r="EE386" i="19"/>
  <c r="EH386" i="19" s="1"/>
  <c r="EK386" i="19" s="1"/>
  <c r="DR386" i="19"/>
  <c r="DU386" i="19" s="1"/>
  <c r="DX386" i="19" s="1"/>
  <c r="ER374" i="19"/>
  <c r="EU374" i="19" s="1"/>
  <c r="EX374" i="19" s="1"/>
  <c r="DR342" i="19"/>
  <c r="DU342" i="19" s="1"/>
  <c r="DX342" i="19" s="1"/>
  <c r="CR386" i="19"/>
  <c r="CU386" i="19" s="1"/>
  <c r="CX386" i="19" s="1"/>
  <c r="AE336" i="19"/>
  <c r="AH336" i="19" s="1"/>
  <c r="AK336" i="19" s="1"/>
  <c r="BR399" i="19"/>
  <c r="BU399" i="19" s="1"/>
  <c r="BX399" i="19" s="1"/>
  <c r="DE411" i="19"/>
  <c r="DH411" i="19" s="1"/>
  <c r="DK411" i="19" s="1"/>
  <c r="CE411" i="19"/>
  <c r="CH411" i="19" s="1"/>
  <c r="CK411" i="19" s="1"/>
  <c r="DR380" i="19"/>
  <c r="DU380" i="19" s="1"/>
  <c r="DX380" i="19" s="1"/>
  <c r="CR399" i="19"/>
  <c r="CU399" i="19" s="1"/>
  <c r="CX399" i="19" s="1"/>
  <c r="CR417" i="19"/>
  <c r="CU417" i="19" s="1"/>
  <c r="CX417" i="19" s="1"/>
  <c r="AR374" i="19"/>
  <c r="AU374" i="19" s="1"/>
  <c r="AX374" i="19" s="1"/>
  <c r="R354" i="19"/>
  <c r="U354" i="19" s="1"/>
  <c r="X354" i="19" s="1"/>
  <c r="ER399" i="19"/>
  <c r="EU399" i="19" s="1"/>
  <c r="EX399" i="19" s="1"/>
  <c r="AE411" i="19"/>
  <c r="AH411" i="19" s="1"/>
  <c r="AK411" i="19" s="1"/>
  <c r="DR336" i="19"/>
  <c r="DU336" i="19" s="1"/>
  <c r="DX336" i="19" s="1"/>
  <c r="AR342" i="19"/>
  <c r="AU342" i="19" s="1"/>
  <c r="AX342" i="19" s="1"/>
  <c r="EE368" i="19"/>
  <c r="EH368" i="19" s="1"/>
  <c r="EK368" i="19" s="1"/>
  <c r="CR368" i="19"/>
  <c r="CU368" i="19" s="1"/>
  <c r="CX368" i="19" s="1"/>
  <c r="CR348" i="19"/>
  <c r="CU348" i="19" s="1"/>
  <c r="CX348" i="19" s="1"/>
  <c r="R342" i="19"/>
  <c r="U342" i="19" s="1"/>
  <c r="X342" i="19" s="1"/>
  <c r="E348" i="19"/>
  <c r="H348" i="19" s="1"/>
  <c r="K348" i="19" s="1"/>
  <c r="EE399" i="19"/>
  <c r="EH399" i="19" s="1"/>
  <c r="EK399" i="19" s="1"/>
  <c r="AR386" i="19"/>
  <c r="AU386" i="19" s="1"/>
  <c r="AX386" i="19" s="1"/>
  <c r="CE386" i="19"/>
  <c r="CH386" i="19" s="1"/>
  <c r="CK386" i="19" s="1"/>
  <c r="R399" i="19"/>
  <c r="U399" i="19" s="1"/>
  <c r="X399" i="19" s="1"/>
  <c r="AR399" i="19"/>
  <c r="AU399" i="19" s="1"/>
  <c r="AX399" i="19" s="1"/>
  <c r="AE368" i="19"/>
  <c r="AH368" i="19" s="1"/>
  <c r="AK368" i="19" s="1"/>
  <c r="CR405" i="19"/>
  <c r="CU405" i="19" s="1"/>
  <c r="CX405" i="19" s="1"/>
  <c r="CE354" i="19"/>
  <c r="CH354" i="19" s="1"/>
  <c r="CK354" i="19" s="1"/>
  <c r="CE405" i="19"/>
  <c r="CH405" i="19" s="1"/>
  <c r="CK405" i="19" s="1"/>
  <c r="AE386" i="19"/>
  <c r="AH386" i="19" s="1"/>
  <c r="AK386" i="19" s="1"/>
  <c r="BR380" i="19"/>
  <c r="BU380" i="19" s="1"/>
  <c r="BX380" i="19" s="1"/>
  <c r="BR342" i="19"/>
  <c r="BU342" i="19" s="1"/>
  <c r="BX342" i="19" s="1"/>
  <c r="AR368" i="19"/>
  <c r="AU368" i="19" s="1"/>
  <c r="AX368" i="19" s="1"/>
  <c r="E399" i="19"/>
  <c r="H399" i="19" s="1"/>
  <c r="K399" i="19" s="1"/>
  <c r="R411" i="19"/>
  <c r="U411" i="19" s="1"/>
  <c r="X411" i="19" s="1"/>
  <c r="ER368" i="19"/>
  <c r="EU368" i="19" s="1"/>
  <c r="EX368" i="19" s="1"/>
  <c r="E386" i="19"/>
  <c r="H386" i="19" s="1"/>
  <c r="K386" i="19" s="1"/>
  <c r="R374" i="19"/>
  <c r="U374" i="19" s="1"/>
  <c r="X374" i="19" s="1"/>
  <c r="R348" i="19"/>
  <c r="EE348" i="19"/>
  <c r="EH348" i="19" s="1"/>
  <c r="EK348" i="19" s="1"/>
  <c r="CR374" i="19"/>
  <c r="CU374" i="19" s="1"/>
  <c r="CX374" i="19" s="1"/>
  <c r="BE368" i="19"/>
  <c r="BH368" i="19" s="1"/>
  <c r="BK368" i="19" s="1"/>
  <c r="DE417" i="19"/>
  <c r="DH417" i="19" s="1"/>
  <c r="DK417" i="19" s="1"/>
  <c r="DR354" i="19"/>
  <c r="DU354" i="19" s="1"/>
  <c r="DX354" i="19" s="1"/>
  <c r="CR411" i="19"/>
  <c r="CU411" i="19" s="1"/>
  <c r="CX411" i="19" s="1"/>
  <c r="AR380" i="19"/>
  <c r="AU380" i="19" s="1"/>
  <c r="AX380" i="19" s="1"/>
  <c r="BE354" i="19"/>
  <c r="BH354" i="19" s="1"/>
  <c r="BK354" i="19" s="1"/>
  <c r="CE368" i="19"/>
  <c r="CH368" i="19" s="1"/>
  <c r="CK368" i="19" s="1"/>
  <c r="AE380" i="19"/>
  <c r="AH380" i="19" s="1"/>
  <c r="AK380" i="19" s="1"/>
  <c r="DE342" i="19"/>
  <c r="DH342" i="19" s="1"/>
  <c r="DK342" i="19" s="1"/>
  <c r="E405" i="19"/>
  <c r="H405" i="19" s="1"/>
  <c r="K405" i="19" s="1"/>
  <c r="DE405" i="19"/>
  <c r="DH405" i="19" s="1"/>
  <c r="DK405" i="19" s="1"/>
  <c r="EE354" i="19"/>
  <c r="EH354" i="19" s="1"/>
  <c r="EK354" i="19" s="1"/>
  <c r="ER342" i="19"/>
  <c r="EU342" i="19" s="1"/>
  <c r="EX342" i="19" s="1"/>
  <c r="BR336" i="19"/>
  <c r="BU336" i="19" s="1"/>
  <c r="BX336" i="19" s="1"/>
  <c r="AR411" i="19"/>
  <c r="AU411" i="19" s="1"/>
  <c r="AX411" i="19" s="1"/>
  <c r="DE399" i="19"/>
  <c r="DH399" i="19" s="1"/>
  <c r="DK399" i="19" s="1"/>
  <c r="AR405" i="19"/>
  <c r="AU405" i="19" s="1"/>
  <c r="AX405" i="19" s="1"/>
  <c r="EE374" i="19"/>
  <c r="EH374" i="19" s="1"/>
  <c r="EK374" i="19" s="1"/>
  <c r="BR386" i="19"/>
  <c r="BU386" i="19" s="1"/>
  <c r="BX386" i="19" s="1"/>
  <c r="BE374" i="19"/>
  <c r="BH374" i="19" s="1"/>
  <c r="BK374" i="19" s="1"/>
  <c r="DE368" i="19"/>
  <c r="DH368" i="19" s="1"/>
  <c r="DK368" i="19" s="1"/>
  <c r="R405" i="19"/>
  <c r="U405" i="19" s="1"/>
  <c r="X405" i="19" s="1"/>
  <c r="BE380" i="19"/>
  <c r="BH380" i="19" s="1"/>
  <c r="BK380" i="19" s="1"/>
  <c r="BE405" i="19"/>
  <c r="BH405" i="19" s="1"/>
  <c r="BK405" i="19" s="1"/>
  <c r="AR354" i="19"/>
  <c r="AU354" i="19" s="1"/>
  <c r="AX354" i="19" s="1"/>
  <c r="CE348" i="19"/>
  <c r="CH348" i="19" s="1"/>
  <c r="CK348" i="19" s="1"/>
  <c r="E417" i="19"/>
  <c r="H417" i="19" s="1"/>
  <c r="K417" i="19" s="1"/>
  <c r="AE399" i="19"/>
  <c r="AH399" i="19" s="1"/>
  <c r="AK399" i="19" s="1"/>
  <c r="AR348" i="19"/>
  <c r="AU348" i="19" s="1"/>
  <c r="AX348" i="19" s="1"/>
  <c r="CE336" i="19"/>
  <c r="CH336" i="19" s="1"/>
  <c r="CK336" i="19" s="1"/>
  <c r="ER354" i="19"/>
  <c r="EU354" i="19" s="1"/>
  <c r="EX354" i="19" s="1"/>
  <c r="DE336" i="19"/>
  <c r="DH336" i="19" s="1"/>
  <c r="DK336" i="19" s="1"/>
  <c r="BE348" i="19"/>
  <c r="BH348" i="19" s="1"/>
  <c r="BK348" i="19" s="1"/>
  <c r="BR405" i="19"/>
  <c r="BU405" i="19" s="1"/>
  <c r="BX405" i="19" s="1"/>
  <c r="DR374" i="19"/>
  <c r="DU374" i="19" s="1"/>
  <c r="DX374" i="19" s="1"/>
  <c r="ER386" i="19"/>
  <c r="EU386" i="19" s="1"/>
  <c r="EX386" i="19" s="1"/>
  <c r="CR342" i="19"/>
  <c r="CU342" i="19" s="1"/>
  <c r="CX342" i="19" s="1"/>
  <c r="AE374" i="19"/>
  <c r="AH374" i="19" s="1"/>
  <c r="AK374" i="19" s="1"/>
  <c r="BE336" i="19"/>
  <c r="BH336" i="19" s="1"/>
  <c r="BK336" i="19" s="1"/>
  <c r="BR411" i="19"/>
  <c r="BU411" i="19" s="1"/>
  <c r="BX411" i="19" s="1"/>
  <c r="AR417" i="19"/>
  <c r="AU417" i="19" s="1"/>
  <c r="AX417" i="19" s="1"/>
  <c r="R380" i="19"/>
  <c r="U380" i="19" s="1"/>
  <c r="X380" i="19" s="1"/>
  <c r="BE342" i="19"/>
  <c r="BH342" i="19" s="1"/>
  <c r="BK342" i="19" s="1"/>
  <c r="DR399" i="19"/>
  <c r="DU399" i="19" s="1"/>
  <c r="DX399" i="19" s="1"/>
  <c r="CE342" i="19"/>
  <c r="CH342" i="19" s="1"/>
  <c r="CK342" i="19" s="1"/>
  <c r="ER411" i="19"/>
  <c r="DR417" i="19"/>
  <c r="DU417" i="19" s="1"/>
  <c r="DX417" i="19" s="1"/>
  <c r="E342" i="19"/>
  <c r="H342" i="19" s="1"/>
  <c r="K342" i="19" s="1"/>
  <c r="DR348" i="19"/>
  <c r="DU348" i="19" s="1"/>
  <c r="DX348" i="19" s="1"/>
  <c r="BR417" i="19"/>
  <c r="BU417" i="19" s="1"/>
  <c r="BX417" i="19" s="1"/>
  <c r="BE411" i="19"/>
  <c r="BH411" i="19" s="1"/>
  <c r="BK411" i="19" s="1"/>
  <c r="BR368" i="19"/>
  <c r="BU368" i="19" s="1"/>
  <c r="BX368" i="19" s="1"/>
  <c r="R336" i="19"/>
  <c r="U336" i="19" s="1"/>
  <c r="X336" i="19" s="1"/>
  <c r="E368" i="19"/>
  <c r="H368" i="19" s="1"/>
  <c r="K368" i="19" s="1"/>
  <c r="AE342" i="19"/>
  <c r="AH342" i="19" s="1"/>
  <c r="AK342" i="19" s="1"/>
  <c r="ER417" i="19"/>
  <c r="EU417" i="19" s="1"/>
  <c r="EX417" i="19" s="1"/>
  <c r="ES418" i="19"/>
  <c r="EV418" i="19" s="1"/>
  <c r="EY418" i="19" s="1"/>
  <c r="S387" i="19"/>
  <c r="V387" i="19" s="1"/>
  <c r="Y387" i="19" s="1"/>
  <c r="DS381" i="19"/>
  <c r="DV381" i="19" s="1"/>
  <c r="DY381" i="19" s="1"/>
  <c r="CF369" i="19"/>
  <c r="CI369" i="19" s="1"/>
  <c r="CL369" i="19" s="1"/>
  <c r="F343" i="19"/>
  <c r="I343" i="19" s="1"/>
  <c r="L343" i="19" s="1"/>
  <c r="AF369" i="19"/>
  <c r="AI369" i="19" s="1"/>
  <c r="AL369" i="19" s="1"/>
  <c r="AS400" i="19"/>
  <c r="AV400" i="19" s="1"/>
  <c r="AY400" i="19" s="1"/>
  <c r="AF375" i="19"/>
  <c r="AI375" i="19" s="1"/>
  <c r="AL375" i="19" s="1"/>
  <c r="AS349" i="19"/>
  <c r="AV349" i="19" s="1"/>
  <c r="AY349" i="19" s="1"/>
  <c r="F349" i="19"/>
  <c r="I349" i="19" s="1"/>
  <c r="L349" i="19" s="1"/>
  <c r="S355" i="19"/>
  <c r="V355" i="19" s="1"/>
  <c r="Y355" i="19" s="1"/>
  <c r="BS387" i="19"/>
  <c r="BV387" i="19" s="1"/>
  <c r="BY387" i="19" s="1"/>
  <c r="CF375" i="19"/>
  <c r="CI375" i="19" s="1"/>
  <c r="CL375" i="19" s="1"/>
  <c r="F337" i="19"/>
  <c r="I337" i="19" s="1"/>
  <c r="L337" i="19" s="1"/>
  <c r="ES387" i="19"/>
  <c r="EV387" i="19" s="1"/>
  <c r="EY387" i="19" s="1"/>
  <c r="AS369" i="19"/>
  <c r="AV369" i="19" s="1"/>
  <c r="AY369" i="19" s="1"/>
  <c r="CS349" i="19"/>
  <c r="CV349" i="19" s="1"/>
  <c r="CY349" i="19" s="1"/>
  <c r="BS400" i="19"/>
  <c r="BV400" i="19" s="1"/>
  <c r="BY400" i="19" s="1"/>
  <c r="DF406" i="19"/>
  <c r="DI406" i="19" s="1"/>
  <c r="DL406" i="19" s="1"/>
  <c r="F369" i="19"/>
  <c r="I369" i="19" s="1"/>
  <c r="L369" i="19" s="1"/>
  <c r="F387" i="19"/>
  <c r="I387" i="19" s="1"/>
  <c r="L387" i="19" s="1"/>
  <c r="BF369" i="19"/>
  <c r="BI369" i="19" s="1"/>
  <c r="BL369" i="19" s="1"/>
  <c r="BS337" i="19"/>
  <c r="BV337" i="19" s="1"/>
  <c r="BY337" i="19" s="1"/>
  <c r="AF400" i="19"/>
  <c r="AI400" i="19" s="1"/>
  <c r="AL400" i="19" s="1"/>
  <c r="DS387" i="19"/>
  <c r="DV387" i="19" s="1"/>
  <c r="DY387" i="19" s="1"/>
  <c r="S349" i="19"/>
  <c r="V349" i="19" s="1"/>
  <c r="Y349" i="19" s="1"/>
  <c r="AS381" i="19"/>
  <c r="AV381" i="19" s="1"/>
  <c r="AY381" i="19" s="1"/>
  <c r="BS369" i="19"/>
  <c r="BV369" i="19" s="1"/>
  <c r="BY369" i="19" s="1"/>
  <c r="S343" i="19"/>
  <c r="V343" i="19" s="1"/>
  <c r="Y343" i="19" s="1"/>
  <c r="DF412" i="19"/>
  <c r="DI412" i="19" s="1"/>
  <c r="DL412" i="19" s="1"/>
  <c r="AS343" i="19"/>
  <c r="AV343" i="19" s="1"/>
  <c r="AY343" i="19" s="1"/>
  <c r="ES349" i="19"/>
  <c r="EV349" i="19" s="1"/>
  <c r="EY349" i="19" s="1"/>
  <c r="ES355" i="19"/>
  <c r="EV355" i="19" s="1"/>
  <c r="EY355" i="19" s="1"/>
  <c r="F418" i="19"/>
  <c r="I418" i="19" s="1"/>
  <c r="L418" i="19" s="1"/>
  <c r="CS387" i="19"/>
  <c r="CV387" i="19" s="1"/>
  <c r="CY387" i="19" s="1"/>
  <c r="AF381" i="19"/>
  <c r="AI381" i="19" s="1"/>
  <c r="AL381" i="19" s="1"/>
  <c r="EF349" i="19"/>
  <c r="EI349" i="19" s="1"/>
  <c r="EL349" i="19" s="1"/>
  <c r="BS343" i="19"/>
  <c r="BV343" i="19" s="1"/>
  <c r="BY343" i="19" s="1"/>
  <c r="S375" i="19"/>
  <c r="V375" i="19" s="1"/>
  <c r="Y375" i="19" s="1"/>
  <c r="BF381" i="19"/>
  <c r="BI381" i="19" s="1"/>
  <c r="BL381" i="19" s="1"/>
  <c r="EF418" i="19"/>
  <c r="ES381" i="19"/>
  <c r="EV381" i="19" s="1"/>
  <c r="EY381" i="19" s="1"/>
  <c r="S400" i="19"/>
  <c r="V400" i="19" s="1"/>
  <c r="Y400" i="19" s="1"/>
  <c r="CS369" i="19"/>
  <c r="CV369" i="19" s="1"/>
  <c r="CY369" i="19" s="1"/>
  <c r="AF349" i="19"/>
  <c r="AI349" i="19" s="1"/>
  <c r="AL349" i="19" s="1"/>
  <c r="AS387" i="19"/>
  <c r="AV387" i="19" s="1"/>
  <c r="AY387" i="19" s="1"/>
  <c r="DF343" i="19"/>
  <c r="DI343" i="19" s="1"/>
  <c r="DL343" i="19" s="1"/>
  <c r="S369" i="19"/>
  <c r="V369" i="19" s="1"/>
  <c r="Y369" i="19" s="1"/>
  <c r="S337" i="19"/>
  <c r="V337" i="19" s="1"/>
  <c r="Y337" i="19" s="1"/>
  <c r="BS349" i="19"/>
  <c r="BV349" i="19" s="1"/>
  <c r="BY349" i="19" s="1"/>
  <c r="F381" i="19"/>
  <c r="I381" i="19" s="1"/>
  <c r="L381" i="19" s="1"/>
  <c r="AS375" i="19"/>
  <c r="AV375" i="19" s="1"/>
  <c r="AY375" i="19" s="1"/>
  <c r="DS343" i="19"/>
  <c r="DV343" i="19" s="1"/>
  <c r="DY343" i="19" s="1"/>
  <c r="DF375" i="19"/>
  <c r="DI375" i="19" s="1"/>
  <c r="DL375" i="19" s="1"/>
  <c r="F406" i="19"/>
  <c r="I406" i="19" s="1"/>
  <c r="L406" i="19" s="1"/>
  <c r="S418" i="19"/>
  <c r="V418" i="19" s="1"/>
  <c r="Y418" i="19" s="1"/>
  <c r="BF387" i="19"/>
  <c r="BI387" i="19" s="1"/>
  <c r="BL387" i="19" s="1"/>
  <c r="AS418" i="19"/>
  <c r="AV418" i="19" s="1"/>
  <c r="AY418" i="19" s="1"/>
  <c r="DF387" i="19"/>
  <c r="DI387" i="19" s="1"/>
  <c r="DL387" i="19" s="1"/>
  <c r="AF355" i="19"/>
  <c r="AI355" i="19" s="1"/>
  <c r="AL355" i="19" s="1"/>
  <c r="BS355" i="19"/>
  <c r="BV355" i="19" s="1"/>
  <c r="BY355" i="19" s="1"/>
  <c r="DF369" i="19"/>
  <c r="DI369" i="19" s="1"/>
  <c r="DL369" i="19" s="1"/>
  <c r="DS337" i="19"/>
  <c r="DV337" i="19" s="1"/>
  <c r="DY337" i="19" s="1"/>
  <c r="BS406" i="19"/>
  <c r="BV406" i="19" s="1"/>
  <c r="BY406" i="19" s="1"/>
  <c r="AF387" i="19"/>
  <c r="AI387" i="19" s="1"/>
  <c r="AL387" i="19" s="1"/>
  <c r="BS375" i="19"/>
  <c r="BV375" i="19" s="1"/>
  <c r="BY375" i="19" s="1"/>
  <c r="CS412" i="19"/>
  <c r="CV412" i="19" s="1"/>
  <c r="CY412" i="19" s="1"/>
  <c r="BF406" i="19"/>
  <c r="BI406" i="19" s="1"/>
  <c r="BL406" i="19" s="1"/>
  <c r="BS418" i="19"/>
  <c r="BV418" i="19" s="1"/>
  <c r="BY418" i="19" s="1"/>
  <c r="AF406" i="19"/>
  <c r="AI406" i="19" s="1"/>
  <c r="AL406" i="19" s="1"/>
  <c r="BF400" i="19"/>
  <c r="BI400" i="19" s="1"/>
  <c r="BL400" i="19" s="1"/>
  <c r="DS418" i="19"/>
  <c r="CS400" i="19"/>
  <c r="CV400" i="19" s="1"/>
  <c r="CY400" i="19" s="1"/>
  <c r="DS375" i="19"/>
  <c r="DV375" i="19" s="1"/>
  <c r="DY375" i="19" s="1"/>
  <c r="DS349" i="19"/>
  <c r="DV349" i="19" s="1"/>
  <c r="DY349" i="19" s="1"/>
  <c r="BF412" i="19"/>
  <c r="BI412" i="19" s="1"/>
  <c r="BL412" i="19" s="1"/>
  <c r="BS412" i="19"/>
  <c r="BV412" i="19" s="1"/>
  <c r="BY412" i="19" s="1"/>
  <c r="DF418" i="19"/>
  <c r="DI418" i="19" s="1"/>
  <c r="DL418" i="19" s="1"/>
  <c r="BF337" i="19"/>
  <c r="BI337" i="19" s="1"/>
  <c r="BL337" i="19" s="1"/>
  <c r="AS337" i="19"/>
  <c r="AV337" i="19" s="1"/>
  <c r="AY337" i="19" s="1"/>
  <c r="AF337" i="19"/>
  <c r="AI337" i="19" s="1"/>
  <c r="AL337" i="19" s="1"/>
  <c r="CS343" i="19"/>
  <c r="CV343" i="19" s="1"/>
  <c r="CY343" i="19" s="1"/>
  <c r="AS406" i="19"/>
  <c r="AV406" i="19" s="1"/>
  <c r="AY406" i="19" s="1"/>
  <c r="ES375" i="19"/>
  <c r="EV375" i="19" s="1"/>
  <c r="EY375" i="19" s="1"/>
  <c r="F412" i="19"/>
  <c r="I412" i="19" s="1"/>
  <c r="L412" i="19" s="1"/>
  <c r="BF349" i="19"/>
  <c r="BI349" i="19" s="1"/>
  <c r="BL349" i="19" s="1"/>
  <c r="F400" i="19"/>
  <c r="I400" i="19" s="1"/>
  <c r="L400" i="19" s="1"/>
  <c r="DF349" i="19"/>
  <c r="DI349" i="19" s="1"/>
  <c r="DL349" i="19" s="1"/>
  <c r="S412" i="19"/>
  <c r="V412" i="19" s="1"/>
  <c r="Y412" i="19" s="1"/>
  <c r="BF343" i="19"/>
  <c r="BI343" i="19" s="1"/>
  <c r="BL343" i="19" s="1"/>
  <c r="CF343" i="19"/>
  <c r="CI343" i="19" s="1"/>
  <c r="CL343" i="19" s="1"/>
  <c r="CS337" i="19"/>
  <c r="CV337" i="19" s="1"/>
  <c r="CY337" i="19" s="1"/>
  <c r="F375" i="19"/>
  <c r="I375" i="19" s="1"/>
  <c r="L375" i="19" s="1"/>
  <c r="CF355" i="19"/>
  <c r="CI355" i="19" s="1"/>
  <c r="CL355" i="19" s="1"/>
  <c r="AF418" i="19"/>
  <c r="AI418" i="19" s="1"/>
  <c r="AL418" i="19" s="1"/>
  <c r="AF412" i="19"/>
  <c r="AI412" i="19" s="1"/>
  <c r="AL412" i="19" s="1"/>
  <c r="BF418" i="19"/>
  <c r="BI418" i="19" s="1"/>
  <c r="BL418" i="19" s="1"/>
  <c r="ES337" i="19"/>
  <c r="EV337" i="19" s="1"/>
  <c r="EY337" i="19" s="1"/>
  <c r="F355" i="19"/>
  <c r="I355" i="19" s="1"/>
  <c r="L355" i="19" s="1"/>
  <c r="AS355" i="19"/>
  <c r="AV355" i="19" s="1"/>
  <c r="AY355" i="19" s="1"/>
  <c r="CS381" i="19"/>
  <c r="CV381" i="19" s="1"/>
  <c r="CY381" i="19" s="1"/>
  <c r="EF381" i="19"/>
  <c r="EI381" i="19" s="1"/>
  <c r="EL381" i="19" s="1"/>
  <c r="DF400" i="19"/>
  <c r="DI400" i="19" s="1"/>
  <c r="DL400" i="19" s="1"/>
  <c r="EF337" i="19"/>
  <c r="EI337" i="19" s="1"/>
  <c r="EL337" i="19" s="1"/>
  <c r="AF343" i="19"/>
  <c r="AI343" i="19" s="1"/>
  <c r="AL343" i="19" s="1"/>
  <c r="CF381" i="19"/>
  <c r="CI381" i="19" s="1"/>
  <c r="CL381" i="19" s="1"/>
  <c r="BF375" i="19"/>
  <c r="BI375" i="19" s="1"/>
  <c r="BL375" i="19" s="1"/>
  <c r="ES406" i="19"/>
  <c r="EV406" i="19" s="1"/>
  <c r="EY406" i="19" s="1"/>
  <c r="CS406" i="19"/>
  <c r="CV406" i="19" s="1"/>
  <c r="CY406" i="19" s="1"/>
  <c r="AS412" i="19"/>
  <c r="AV412" i="19" s="1"/>
  <c r="AY412" i="19" s="1"/>
  <c r="CF412" i="19"/>
  <c r="CI412" i="19" s="1"/>
  <c r="CL412" i="19" s="1"/>
  <c r="DS412" i="19"/>
  <c r="CF349" i="19"/>
  <c r="CI349" i="19" s="1"/>
  <c r="CL349" i="19" s="1"/>
  <c r="DF337" i="19"/>
  <c r="DI337" i="19" s="1"/>
  <c r="DL337" i="19" s="1"/>
  <c r="EF406" i="19"/>
  <c r="EF369" i="19"/>
  <c r="EI369" i="19" s="1"/>
  <c r="EL369" i="19" s="1"/>
  <c r="S381" i="19"/>
  <c r="V381" i="19" s="1"/>
  <c r="Y381" i="19" s="1"/>
  <c r="S406" i="19"/>
  <c r="V406" i="19" s="1"/>
  <c r="Y406" i="19" s="1"/>
  <c r="BF355" i="19"/>
  <c r="BI355" i="19" s="1"/>
  <c r="BL355" i="19" s="1"/>
  <c r="DS406" i="19"/>
  <c r="DF381" i="19"/>
  <c r="DI381" i="19" s="1"/>
  <c r="DL381" i="19" s="1"/>
  <c r="DS355" i="19"/>
  <c r="DV355" i="19" s="1"/>
  <c r="DY355" i="19" s="1"/>
  <c r="CF418" i="19"/>
  <c r="CI418" i="19" s="1"/>
  <c r="CL418" i="19" s="1"/>
  <c r="CF387" i="19"/>
  <c r="CI387" i="19" s="1"/>
  <c r="CL387" i="19" s="1"/>
  <c r="ES412" i="19"/>
  <c r="EV412" i="19" s="1"/>
  <c r="EY412" i="19" s="1"/>
  <c r="DS400" i="19"/>
  <c r="EF355" i="19"/>
  <c r="EI355" i="19" s="1"/>
  <c r="EL355" i="19" s="1"/>
  <c r="EF343" i="19"/>
  <c r="EI343" i="19" s="1"/>
  <c r="EL343" i="19" s="1"/>
  <c r="EF412" i="19"/>
  <c r="CS355" i="19"/>
  <c r="CV355" i="19" s="1"/>
  <c r="CY355" i="19" s="1"/>
  <c r="EF400" i="19"/>
  <c r="DS369" i="19"/>
  <c r="DV369" i="19" s="1"/>
  <c r="DY369" i="19" s="1"/>
  <c r="CF406" i="19"/>
  <c r="CI406" i="19" s="1"/>
  <c r="CL406" i="19" s="1"/>
  <c r="ES369" i="19"/>
  <c r="EV369" i="19" s="1"/>
  <c r="EY369" i="19" s="1"/>
  <c r="DF355" i="19"/>
  <c r="DI355" i="19" s="1"/>
  <c r="DL355" i="19" s="1"/>
  <c r="BS381" i="19"/>
  <c r="BV381" i="19" s="1"/>
  <c r="BY381" i="19" s="1"/>
  <c r="ES400" i="19"/>
  <c r="EV400" i="19" s="1"/>
  <c r="EY400" i="19" s="1"/>
  <c r="CS375" i="19"/>
  <c r="CV375" i="19" s="1"/>
  <c r="CY375" i="19" s="1"/>
  <c r="CS418" i="19"/>
  <c r="CV418" i="19" s="1"/>
  <c r="CY418" i="19" s="1"/>
  <c r="CF400" i="19"/>
  <c r="CI400" i="19" s="1"/>
  <c r="CL400" i="19" s="1"/>
  <c r="EF375" i="19"/>
  <c r="EI375" i="19" s="1"/>
  <c r="EL375" i="19" s="1"/>
  <c r="ES343" i="19"/>
  <c r="EV343" i="19" s="1"/>
  <c r="EY343" i="19" s="1"/>
  <c r="EF387" i="19"/>
  <c r="EI387" i="19" s="1"/>
  <c r="EL387" i="19" s="1"/>
  <c r="CF337" i="19"/>
  <c r="CI337" i="19" s="1"/>
  <c r="CL337" i="19" s="1"/>
  <c r="ER341" i="19"/>
  <c r="EU341" i="19" s="1"/>
  <c r="EX341" i="19" s="1"/>
  <c r="EE416" i="19"/>
  <c r="EH416" i="19" s="1"/>
  <c r="EK416" i="19" s="1"/>
  <c r="BE422" i="19"/>
  <c r="BH422" i="19" s="1"/>
  <c r="BK422" i="19" s="1"/>
  <c r="DE353" i="19"/>
  <c r="DH353" i="19" s="1"/>
  <c r="DK353" i="19" s="1"/>
  <c r="AE353" i="19"/>
  <c r="AH353" i="19" s="1"/>
  <c r="AK353" i="19" s="1"/>
  <c r="CR341" i="19"/>
  <c r="CU341" i="19" s="1"/>
  <c r="CX341" i="19" s="1"/>
  <c r="DR385" i="19"/>
  <c r="DU385" i="19" s="1"/>
  <c r="DX385" i="19" s="1"/>
  <c r="EE353" i="19"/>
  <c r="EH353" i="19" s="1"/>
  <c r="EK353" i="19" s="1"/>
  <c r="E422" i="19"/>
  <c r="H422" i="19" s="1"/>
  <c r="K422" i="19" s="1"/>
  <c r="R404" i="19"/>
  <c r="U404" i="19" s="1"/>
  <c r="X404" i="19" s="1"/>
  <c r="EE422" i="19"/>
  <c r="EH422" i="19" s="1"/>
  <c r="EK422" i="19" s="1"/>
  <c r="BE410" i="19"/>
  <c r="BH410" i="19" s="1"/>
  <c r="BK410" i="19" s="1"/>
  <c r="DE359" i="19"/>
  <c r="DH359" i="19" s="1"/>
  <c r="DK359" i="19" s="1"/>
  <c r="ER385" i="19"/>
  <c r="EU385" i="19" s="1"/>
  <c r="EX385" i="19" s="1"/>
  <c r="CE422" i="19"/>
  <c r="CH422" i="19" s="1"/>
  <c r="CK422" i="19" s="1"/>
  <c r="DR404" i="19"/>
  <c r="DU404" i="19" s="1"/>
  <c r="DX404" i="19" s="1"/>
  <c r="DR410" i="19"/>
  <c r="DU410" i="19" s="1"/>
  <c r="DX410" i="19" s="1"/>
  <c r="R341" i="19"/>
  <c r="U341" i="19" s="1"/>
  <c r="X341" i="19" s="1"/>
  <c r="CE353" i="19"/>
  <c r="CH353" i="19" s="1"/>
  <c r="CK353" i="19" s="1"/>
  <c r="CR379" i="19"/>
  <c r="CU379" i="19" s="1"/>
  <c r="CX379" i="19" s="1"/>
  <c r="E385" i="19"/>
  <c r="H385" i="19" s="1"/>
  <c r="K385" i="19" s="1"/>
  <c r="E404" i="19"/>
  <c r="H404" i="19" s="1"/>
  <c r="K404" i="19" s="1"/>
  <c r="ER353" i="19"/>
  <c r="EU353" i="19" s="1"/>
  <c r="EX353" i="19" s="1"/>
  <c r="EE341" i="19"/>
  <c r="EH341" i="19" s="1"/>
  <c r="EK341" i="19" s="1"/>
  <c r="ER347" i="19"/>
  <c r="EU347" i="19" s="1"/>
  <c r="EX347" i="19" s="1"/>
  <c r="R391" i="19"/>
  <c r="U391" i="19" s="1"/>
  <c r="X391" i="19" s="1"/>
  <c r="AE379" i="19"/>
  <c r="AH379" i="19" s="1"/>
  <c r="AK379" i="19" s="1"/>
  <c r="EE347" i="19"/>
  <c r="EH347" i="19" s="1"/>
  <c r="EK347" i="19" s="1"/>
  <c r="CE391" i="19"/>
  <c r="CH391" i="19" s="1"/>
  <c r="CK391" i="19" s="1"/>
  <c r="AR341" i="19"/>
  <c r="AU341" i="19" s="1"/>
  <c r="AX341" i="19" s="1"/>
  <c r="BR404" i="19"/>
  <c r="BU404" i="19" s="1"/>
  <c r="BX404" i="19" s="1"/>
  <c r="R416" i="19"/>
  <c r="U416" i="19" s="1"/>
  <c r="X416" i="19" s="1"/>
  <c r="DR353" i="19"/>
  <c r="DU353" i="19" s="1"/>
  <c r="DX353" i="19" s="1"/>
  <c r="EE373" i="19"/>
  <c r="EH373" i="19" s="1"/>
  <c r="EK373" i="19" s="1"/>
  <c r="E341" i="19"/>
  <c r="H341" i="19" s="1"/>
  <c r="K341" i="19" s="1"/>
  <c r="ER416" i="19"/>
  <c r="ER422" i="19"/>
  <c r="AE385" i="19"/>
  <c r="AH385" i="19" s="1"/>
  <c r="AK385" i="19" s="1"/>
  <c r="EE410" i="19"/>
  <c r="EH410" i="19" s="1"/>
  <c r="EK410" i="19" s="1"/>
  <c r="DE410" i="19"/>
  <c r="DH410" i="19" s="1"/>
  <c r="DK410" i="19" s="1"/>
  <c r="CR404" i="19"/>
  <c r="CU404" i="19" s="1"/>
  <c r="CX404" i="19" s="1"/>
  <c r="DR341" i="19"/>
  <c r="DU341" i="19" s="1"/>
  <c r="DX341" i="19" s="1"/>
  <c r="AR379" i="19"/>
  <c r="AU379" i="19" s="1"/>
  <c r="AX379" i="19" s="1"/>
  <c r="AR416" i="19"/>
  <c r="AU416" i="19" s="1"/>
  <c r="AX416" i="19" s="1"/>
  <c r="BE416" i="19"/>
  <c r="BH416" i="19" s="1"/>
  <c r="BK416" i="19" s="1"/>
  <c r="BR379" i="19"/>
  <c r="BU379" i="19" s="1"/>
  <c r="BX379" i="19" s="1"/>
  <c r="E359" i="19"/>
  <c r="H359" i="19" s="1"/>
  <c r="K359" i="19" s="1"/>
  <c r="R385" i="19"/>
  <c r="U385" i="19" s="1"/>
  <c r="X385" i="19" s="1"/>
  <c r="ER410" i="19"/>
  <c r="EU410" i="19" s="1"/>
  <c r="EX410" i="19" s="1"/>
  <c r="ER359" i="19"/>
  <c r="EU359" i="19" s="1"/>
  <c r="EX359" i="19" s="1"/>
  <c r="DE404" i="19"/>
  <c r="DH404" i="19" s="1"/>
  <c r="DK404" i="19" s="1"/>
  <c r="BE341" i="19"/>
  <c r="BH341" i="19" s="1"/>
  <c r="BK341" i="19" s="1"/>
  <c r="R422" i="19"/>
  <c r="U422" i="19" s="1"/>
  <c r="X422" i="19" s="1"/>
  <c r="EE404" i="19"/>
  <c r="EH404" i="19" s="1"/>
  <c r="EK404" i="19" s="1"/>
  <c r="DR416" i="19"/>
  <c r="DU416" i="19" s="1"/>
  <c r="DX416" i="19" s="1"/>
  <c r="AE416" i="19"/>
  <c r="AH416" i="19" s="1"/>
  <c r="AK416" i="19" s="1"/>
  <c r="BR410" i="19"/>
  <c r="BU410" i="19" s="1"/>
  <c r="BX410" i="19" s="1"/>
  <c r="BR359" i="19"/>
  <c r="BU359" i="19" s="1"/>
  <c r="BX359" i="19" s="1"/>
  <c r="CE373" i="19"/>
  <c r="CH373" i="19" s="1"/>
  <c r="CK373" i="19" s="1"/>
  <c r="CR373" i="19"/>
  <c r="CU373" i="19" s="1"/>
  <c r="CX373" i="19" s="1"/>
  <c r="BR341" i="19"/>
  <c r="BU341" i="19" s="1"/>
  <c r="BX341" i="19" s="1"/>
  <c r="AE404" i="19"/>
  <c r="AH404" i="19" s="1"/>
  <c r="AK404" i="19" s="1"/>
  <c r="CR410" i="19"/>
  <c r="CU410" i="19" s="1"/>
  <c r="CX410" i="19" s="1"/>
  <c r="AE373" i="19"/>
  <c r="AH373" i="19" s="1"/>
  <c r="AK373" i="19" s="1"/>
  <c r="DE416" i="19"/>
  <c r="DH416" i="19" s="1"/>
  <c r="DK416" i="19" s="1"/>
  <c r="R373" i="19"/>
  <c r="U373" i="19" s="1"/>
  <c r="X373" i="19" s="1"/>
  <c r="AE391" i="19"/>
  <c r="AH391" i="19" s="1"/>
  <c r="AK391" i="19" s="1"/>
  <c r="AR422" i="19"/>
  <c r="AU422" i="19" s="1"/>
  <c r="AX422" i="19" s="1"/>
  <c r="BE404" i="19"/>
  <c r="BH404" i="19" s="1"/>
  <c r="BK404" i="19" s="1"/>
  <c r="CR385" i="19"/>
  <c r="CU385" i="19" s="1"/>
  <c r="CX385" i="19" s="1"/>
  <c r="CR416" i="19"/>
  <c r="CU416" i="19" s="1"/>
  <c r="CX416" i="19" s="1"/>
  <c r="R379" i="19"/>
  <c r="U379" i="19" s="1"/>
  <c r="X379" i="19" s="1"/>
  <c r="R359" i="19"/>
  <c r="U359" i="19" s="1"/>
  <c r="X359" i="19" s="1"/>
  <c r="EE385" i="19"/>
  <c r="EH385" i="19" s="1"/>
  <c r="EK385" i="19" s="1"/>
  <c r="AR391" i="19"/>
  <c r="AU391" i="19" s="1"/>
  <c r="AX391" i="19" s="1"/>
  <c r="E373" i="19"/>
  <c r="H373" i="19" s="1"/>
  <c r="K373" i="19" s="1"/>
  <c r="E391" i="19"/>
  <c r="H391" i="19" s="1"/>
  <c r="K391" i="19" s="1"/>
  <c r="AE359" i="19"/>
  <c r="AH359" i="19" s="1"/>
  <c r="AK359" i="19" s="1"/>
  <c r="BR385" i="19"/>
  <c r="BU385" i="19" s="1"/>
  <c r="BX385" i="19" s="1"/>
  <c r="AE422" i="19"/>
  <c r="AH422" i="19" s="1"/>
  <c r="AK422" i="19" s="1"/>
  <c r="E410" i="19"/>
  <c r="H410" i="19" s="1"/>
  <c r="K410" i="19" s="1"/>
  <c r="ER404" i="19"/>
  <c r="EU404" i="19" s="1"/>
  <c r="EX404" i="19" s="1"/>
  <c r="CE410" i="19"/>
  <c r="CH410" i="19" s="1"/>
  <c r="CK410" i="19" s="1"/>
  <c r="CE347" i="19"/>
  <c r="CH347" i="19" s="1"/>
  <c r="CK347" i="19" s="1"/>
  <c r="CR391" i="19"/>
  <c r="CU391" i="19" s="1"/>
  <c r="CX391" i="19" s="1"/>
  <c r="DE385" i="19"/>
  <c r="DH385" i="19" s="1"/>
  <c r="DK385" i="19" s="1"/>
  <c r="AR404" i="19"/>
  <c r="AU404" i="19" s="1"/>
  <c r="AX404" i="19" s="1"/>
  <c r="ER391" i="19"/>
  <c r="EU391" i="19" s="1"/>
  <c r="EX391" i="19" s="1"/>
  <c r="EE379" i="19"/>
  <c r="EH379" i="19" s="1"/>
  <c r="EK379" i="19" s="1"/>
  <c r="CE341" i="19"/>
  <c r="CH341" i="19" s="1"/>
  <c r="CK341" i="19" s="1"/>
  <c r="E353" i="19"/>
  <c r="H353" i="19" s="1"/>
  <c r="K353" i="19" s="1"/>
  <c r="DE347" i="19"/>
  <c r="DH347" i="19" s="1"/>
  <c r="DK347" i="19" s="1"/>
  <c r="CR359" i="19"/>
  <c r="CU359" i="19" s="1"/>
  <c r="CX359" i="19" s="1"/>
  <c r="EE359" i="19"/>
  <c r="EH359" i="19" s="1"/>
  <c r="EK359" i="19" s="1"/>
  <c r="AR347" i="19"/>
  <c r="AU347" i="19" s="1"/>
  <c r="AX347" i="19" s="1"/>
  <c r="DR422" i="19"/>
  <c r="DU422" i="19" s="1"/>
  <c r="DX422" i="19" s="1"/>
  <c r="R410" i="19"/>
  <c r="U410" i="19" s="1"/>
  <c r="X410" i="19" s="1"/>
  <c r="AE341" i="19"/>
  <c r="AH341" i="19" s="1"/>
  <c r="AK341" i="19" s="1"/>
  <c r="CE385" i="19"/>
  <c r="CH385" i="19" s="1"/>
  <c r="CK385" i="19" s="1"/>
  <c r="BE347" i="19"/>
  <c r="BH347" i="19" s="1"/>
  <c r="BK347" i="19" s="1"/>
  <c r="AR373" i="19"/>
  <c r="AU373" i="19" s="1"/>
  <c r="AX373" i="19" s="1"/>
  <c r="DE341" i="19"/>
  <c r="DH341" i="19" s="1"/>
  <c r="DK341" i="19" s="1"/>
  <c r="BR422" i="19"/>
  <c r="BU422" i="19" s="1"/>
  <c r="BX422" i="19" s="1"/>
  <c r="CE359" i="19"/>
  <c r="CH359" i="19" s="1"/>
  <c r="CK359" i="19" s="1"/>
  <c r="E416" i="19"/>
  <c r="H416" i="19" s="1"/>
  <c r="K416" i="19" s="1"/>
  <c r="DE391" i="19"/>
  <c r="DH391" i="19" s="1"/>
  <c r="DK391" i="19" s="1"/>
  <c r="BR347" i="19"/>
  <c r="BU347" i="19" s="1"/>
  <c r="BX347" i="19" s="1"/>
  <c r="CE416" i="19"/>
  <c r="CH416" i="19" s="1"/>
  <c r="CK416" i="19" s="1"/>
  <c r="BE385" i="19"/>
  <c r="BH385" i="19" s="1"/>
  <c r="BK385" i="19" s="1"/>
  <c r="AR385" i="19"/>
  <c r="AU385" i="19" s="1"/>
  <c r="AX385" i="19" s="1"/>
  <c r="BR416" i="19"/>
  <c r="BU416" i="19" s="1"/>
  <c r="BX416" i="19" s="1"/>
  <c r="CE379" i="19"/>
  <c r="CH379" i="19" s="1"/>
  <c r="CK379" i="19" s="1"/>
  <c r="AE347" i="19"/>
  <c r="AH347" i="19" s="1"/>
  <c r="AK347" i="19" s="1"/>
  <c r="DR379" i="19"/>
  <c r="DU379" i="19" s="1"/>
  <c r="DX379" i="19" s="1"/>
  <c r="CR422" i="19"/>
  <c r="CU422" i="19" s="1"/>
  <c r="CX422" i="19" s="1"/>
  <c r="E347" i="19"/>
  <c r="H347" i="19" s="1"/>
  <c r="K347" i="19" s="1"/>
  <c r="DR359" i="19"/>
  <c r="DU359" i="19" s="1"/>
  <c r="DX359" i="19" s="1"/>
  <c r="ER379" i="19"/>
  <c r="EU379" i="19" s="1"/>
  <c r="EX379" i="19" s="1"/>
  <c r="DR373" i="19"/>
  <c r="DU373" i="19" s="1"/>
  <c r="DX373" i="19" s="1"/>
  <c r="CR347" i="19"/>
  <c r="CU347" i="19" s="1"/>
  <c r="CX347" i="19" s="1"/>
  <c r="DR347" i="19"/>
  <c r="DU347" i="19" s="1"/>
  <c r="DX347" i="19" s="1"/>
  <c r="BE353" i="19"/>
  <c r="BH353" i="19" s="1"/>
  <c r="BK353" i="19" s="1"/>
  <c r="DR391" i="19"/>
  <c r="DU391" i="19" s="1"/>
  <c r="DX391" i="19" s="1"/>
  <c r="BE373" i="19"/>
  <c r="BH373" i="19" s="1"/>
  <c r="BK373" i="19" s="1"/>
  <c r="AE410" i="19"/>
  <c r="AH410" i="19" s="1"/>
  <c r="AK410" i="19" s="1"/>
  <c r="CR353" i="19"/>
  <c r="CU353" i="19" s="1"/>
  <c r="CX353" i="19" s="1"/>
  <c r="AR359" i="19"/>
  <c r="AU359" i="19" s="1"/>
  <c r="AX359" i="19" s="1"/>
  <c r="R347" i="19"/>
  <c r="U347" i="19" s="1"/>
  <c r="X347" i="19" s="1"/>
  <c r="BE379" i="19"/>
  <c r="BH379" i="19" s="1"/>
  <c r="BK379" i="19" s="1"/>
  <c r="EE391" i="19"/>
  <c r="EH391" i="19" s="1"/>
  <c r="EK391" i="19" s="1"/>
  <c r="DE373" i="19"/>
  <c r="DH373" i="19" s="1"/>
  <c r="DK373" i="19" s="1"/>
  <c r="AR353" i="19"/>
  <c r="AU353" i="19" s="1"/>
  <c r="AX353" i="19" s="1"/>
  <c r="ER373" i="19"/>
  <c r="DE422" i="19"/>
  <c r="DH422" i="19" s="1"/>
  <c r="DK422" i="19" s="1"/>
  <c r="BR373" i="19"/>
  <c r="BU373" i="19" s="1"/>
  <c r="BX373" i="19" s="1"/>
  <c r="E379" i="19"/>
  <c r="H379" i="19" s="1"/>
  <c r="K379" i="19" s="1"/>
  <c r="BE359" i="19"/>
  <c r="BH359" i="19" s="1"/>
  <c r="BK359" i="19" s="1"/>
  <c r="R353" i="19"/>
  <c r="U353" i="19" s="1"/>
  <c r="X353" i="19" s="1"/>
  <c r="DE379" i="19"/>
  <c r="DH379" i="19" s="1"/>
  <c r="DK379" i="19" s="1"/>
  <c r="BE391" i="19"/>
  <c r="BH391" i="19" s="1"/>
  <c r="BK391" i="19" s="1"/>
  <c r="BR391" i="19"/>
  <c r="BU391" i="19" s="1"/>
  <c r="BX391" i="19" s="1"/>
  <c r="BR353" i="19"/>
  <c r="BU353" i="19" s="1"/>
  <c r="BX353" i="19" s="1"/>
  <c r="AR410" i="19"/>
  <c r="AU410" i="19" s="1"/>
  <c r="AX410" i="19" s="1"/>
  <c r="CE404" i="19"/>
  <c r="CH404" i="19" s="1"/>
  <c r="CK404" i="19" s="1"/>
  <c r="ER421" i="19"/>
  <c r="EU421" i="19" s="1"/>
  <c r="EX421" i="19" s="1"/>
  <c r="DR372" i="19"/>
  <c r="DU372" i="19" s="1"/>
  <c r="DX372" i="19" s="1"/>
  <c r="AR409" i="19"/>
  <c r="AU409" i="19" s="1"/>
  <c r="AX409" i="19" s="1"/>
  <c r="E352" i="19"/>
  <c r="H352" i="19" s="1"/>
  <c r="K352" i="19" s="1"/>
  <c r="BR421" i="19"/>
  <c r="BU421" i="19" s="1"/>
  <c r="BX421" i="19" s="1"/>
  <c r="EE384" i="19"/>
  <c r="EH384" i="19" s="1"/>
  <c r="EK384" i="19" s="1"/>
  <c r="E415" i="19"/>
  <c r="H415" i="19" s="1"/>
  <c r="K415" i="19" s="1"/>
  <c r="ER372" i="19"/>
  <c r="EU372" i="19" s="1"/>
  <c r="EX372" i="19" s="1"/>
  <c r="BE346" i="19"/>
  <c r="BH346" i="19" s="1"/>
  <c r="BK346" i="19" s="1"/>
  <c r="ER409" i="19"/>
  <c r="EU409" i="19" s="1"/>
  <c r="EX409" i="19" s="1"/>
  <c r="BR390" i="19"/>
  <c r="BU390" i="19" s="1"/>
  <c r="BX390" i="19" s="1"/>
  <c r="ER384" i="19"/>
  <c r="EU384" i="19" s="1"/>
  <c r="EX384" i="19" s="1"/>
  <c r="AR358" i="19"/>
  <c r="AU358" i="19" s="1"/>
  <c r="AX358" i="19" s="1"/>
  <c r="DR340" i="19"/>
  <c r="DU340" i="19" s="1"/>
  <c r="DX340" i="19" s="1"/>
  <c r="EE352" i="19"/>
  <c r="EH352" i="19" s="1"/>
  <c r="EK352" i="19" s="1"/>
  <c r="CE403" i="19"/>
  <c r="CH403" i="19" s="1"/>
  <c r="CK403" i="19" s="1"/>
  <c r="AE352" i="19"/>
  <c r="AH352" i="19" s="1"/>
  <c r="AK352" i="19" s="1"/>
  <c r="CR421" i="19"/>
  <c r="CU421" i="19" s="1"/>
  <c r="CX421" i="19" s="1"/>
  <c r="DE403" i="19"/>
  <c r="DH403" i="19" s="1"/>
  <c r="DK403" i="19" s="1"/>
  <c r="CR346" i="19"/>
  <c r="CU346" i="19" s="1"/>
  <c r="CX346" i="19" s="1"/>
  <c r="BE390" i="19"/>
  <c r="BH390" i="19" s="1"/>
  <c r="BK390" i="19" s="1"/>
  <c r="AE415" i="19"/>
  <c r="AH415" i="19" s="1"/>
  <c r="AK415" i="19" s="1"/>
  <c r="R415" i="19"/>
  <c r="U415" i="19" s="1"/>
  <c r="X415" i="19" s="1"/>
  <c r="BR409" i="19"/>
  <c r="BU409" i="19" s="1"/>
  <c r="BX409" i="19" s="1"/>
  <c r="DE421" i="19"/>
  <c r="DH421" i="19" s="1"/>
  <c r="DK421" i="19" s="1"/>
  <c r="BE340" i="19"/>
  <c r="BH340" i="19" s="1"/>
  <c r="BK340" i="19" s="1"/>
  <c r="CE409" i="19"/>
  <c r="CH409" i="19" s="1"/>
  <c r="CK409" i="19" s="1"/>
  <c r="DE415" i="19"/>
  <c r="DH415" i="19" s="1"/>
  <c r="DK415" i="19" s="1"/>
  <c r="BE352" i="19"/>
  <c r="BH352" i="19" s="1"/>
  <c r="BK352" i="19" s="1"/>
  <c r="DE346" i="19"/>
  <c r="DH346" i="19" s="1"/>
  <c r="DK346" i="19" s="1"/>
  <c r="BE384" i="19"/>
  <c r="BH384" i="19" s="1"/>
  <c r="BK384" i="19" s="1"/>
  <c r="EE403" i="19"/>
  <c r="EH403" i="19" s="1"/>
  <c r="EK403" i="19" s="1"/>
  <c r="BR340" i="19"/>
  <c r="BU340" i="19" s="1"/>
  <c r="BX340" i="19" s="1"/>
  <c r="R340" i="19"/>
  <c r="U340" i="19" s="1"/>
  <c r="X340" i="19" s="1"/>
  <c r="DE372" i="19"/>
  <c r="DH372" i="19" s="1"/>
  <c r="DK372" i="19" s="1"/>
  <c r="DR346" i="19"/>
  <c r="DU346" i="19" s="1"/>
  <c r="DX346" i="19" s="1"/>
  <c r="DR378" i="19"/>
  <c r="DU378" i="19" s="1"/>
  <c r="DX378" i="19" s="1"/>
  <c r="R409" i="19"/>
  <c r="U409" i="19" s="1"/>
  <c r="X409" i="19" s="1"/>
  <c r="AE409" i="19"/>
  <c r="AH409" i="19" s="1"/>
  <c r="AK409" i="19" s="1"/>
  <c r="DE409" i="19"/>
  <c r="DH409" i="19" s="1"/>
  <c r="DK409" i="19" s="1"/>
  <c r="DR415" i="19"/>
  <c r="DU415" i="19" s="1"/>
  <c r="DX415" i="19" s="1"/>
  <c r="DR384" i="19"/>
  <c r="DU384" i="19" s="1"/>
  <c r="DX384" i="19" s="1"/>
  <c r="BR358" i="19"/>
  <c r="BU358" i="19" s="1"/>
  <c r="BX358" i="19" s="1"/>
  <c r="AR390" i="19"/>
  <c r="AU390" i="19" s="1"/>
  <c r="AX390" i="19" s="1"/>
  <c r="CE421" i="19"/>
  <c r="CH421" i="19" s="1"/>
  <c r="CK421" i="19" s="1"/>
  <c r="E346" i="19"/>
  <c r="H346" i="19" s="1"/>
  <c r="K346" i="19" s="1"/>
  <c r="CR403" i="19"/>
  <c r="CU403" i="19" s="1"/>
  <c r="CX403" i="19" s="1"/>
  <c r="DR390" i="19"/>
  <c r="DU390" i="19" s="1"/>
  <c r="DX390" i="19" s="1"/>
  <c r="BR384" i="19"/>
  <c r="BU384" i="19" s="1"/>
  <c r="BX384" i="19" s="1"/>
  <c r="R384" i="19"/>
  <c r="U384" i="19" s="1"/>
  <c r="X384" i="19" s="1"/>
  <c r="CE358" i="19"/>
  <c r="CH358" i="19" s="1"/>
  <c r="CK358" i="19" s="1"/>
  <c r="ER346" i="19"/>
  <c r="EU346" i="19" s="1"/>
  <c r="EX346" i="19" s="1"/>
  <c r="BE421" i="19"/>
  <c r="BH421" i="19" s="1"/>
  <c r="BK421" i="19" s="1"/>
  <c r="R421" i="19"/>
  <c r="U421" i="19" s="1"/>
  <c r="X421" i="19" s="1"/>
  <c r="E409" i="19"/>
  <c r="H409" i="19" s="1"/>
  <c r="K409" i="19" s="1"/>
  <c r="ER352" i="19"/>
  <c r="EU352" i="19" s="1"/>
  <c r="EX352" i="19" s="1"/>
  <c r="CR409" i="19"/>
  <c r="CU409" i="19" s="1"/>
  <c r="CX409" i="19" s="1"/>
  <c r="BE409" i="19"/>
  <c r="BH409" i="19" s="1"/>
  <c r="BK409" i="19" s="1"/>
  <c r="DE358" i="19"/>
  <c r="DH358" i="19" s="1"/>
  <c r="DK358" i="19" s="1"/>
  <c r="EE372" i="19"/>
  <c r="EH372" i="19" s="1"/>
  <c r="EK372" i="19" s="1"/>
  <c r="R346" i="19"/>
  <c r="U346" i="19" s="1"/>
  <c r="X346" i="19" s="1"/>
  <c r="DR403" i="19"/>
  <c r="DU403" i="19" s="1"/>
  <c r="DX403" i="19" s="1"/>
  <c r="BE403" i="19"/>
  <c r="BH403" i="19" s="1"/>
  <c r="BK403" i="19" s="1"/>
  <c r="DE378" i="19"/>
  <c r="DH378" i="19" s="1"/>
  <c r="DK378" i="19" s="1"/>
  <c r="CE415" i="19"/>
  <c r="CH415" i="19" s="1"/>
  <c r="CK415" i="19" s="1"/>
  <c r="ER415" i="19"/>
  <c r="EU415" i="19" s="1"/>
  <c r="EX415" i="19" s="1"/>
  <c r="E384" i="19"/>
  <c r="H384" i="19" s="1"/>
  <c r="K384" i="19" s="1"/>
  <c r="BR372" i="19"/>
  <c r="BU372" i="19" s="1"/>
  <c r="BX372" i="19" s="1"/>
  <c r="EE346" i="19"/>
  <c r="EH346" i="19" s="1"/>
  <c r="EK346" i="19" s="1"/>
  <c r="EE358" i="19"/>
  <c r="EH358" i="19" s="1"/>
  <c r="EK358" i="19" s="1"/>
  <c r="CE340" i="19"/>
  <c r="CH340" i="19" s="1"/>
  <c r="CK340" i="19" s="1"/>
  <c r="CR378" i="19"/>
  <c r="CU378" i="19" s="1"/>
  <c r="CX378" i="19" s="1"/>
  <c r="CE346" i="19"/>
  <c r="CH346" i="19" s="1"/>
  <c r="CK346" i="19" s="1"/>
  <c r="EE390" i="19"/>
  <c r="EH390" i="19" s="1"/>
  <c r="EK390" i="19" s="1"/>
  <c r="AR346" i="19"/>
  <c r="AU346" i="19" s="1"/>
  <c r="AX346" i="19" s="1"/>
  <c r="E421" i="19"/>
  <c r="H421" i="19" s="1"/>
  <c r="K421" i="19" s="1"/>
  <c r="CR415" i="19"/>
  <c r="CU415" i="19" s="1"/>
  <c r="CX415" i="19" s="1"/>
  <c r="AE346" i="19"/>
  <c r="AH346" i="19" s="1"/>
  <c r="AK346" i="19" s="1"/>
  <c r="CR384" i="19"/>
  <c r="CU384" i="19" s="1"/>
  <c r="CX384" i="19" s="1"/>
  <c r="DE390" i="19"/>
  <c r="DH390" i="19" s="1"/>
  <c r="DK390" i="19" s="1"/>
  <c r="AR384" i="19"/>
  <c r="AU384" i="19" s="1"/>
  <c r="AX384" i="19" s="1"/>
  <c r="E358" i="19"/>
  <c r="H358" i="19" s="1"/>
  <c r="K358" i="19" s="1"/>
  <c r="R378" i="19"/>
  <c r="U378" i="19" s="1"/>
  <c r="X378" i="19" s="1"/>
  <c r="AE403" i="19"/>
  <c r="AH403" i="19" s="1"/>
  <c r="AK403" i="19" s="1"/>
  <c r="DR409" i="19"/>
  <c r="DU409" i="19" s="1"/>
  <c r="DX409" i="19" s="1"/>
  <c r="AR372" i="19"/>
  <c r="AU372" i="19" s="1"/>
  <c r="AX372" i="19" s="1"/>
  <c r="AE340" i="19"/>
  <c r="AH340" i="19" s="1"/>
  <c r="AK340" i="19" s="1"/>
  <c r="EE421" i="19"/>
  <c r="EH421" i="19" s="1"/>
  <c r="EK421" i="19" s="1"/>
  <c r="BE378" i="19"/>
  <c r="BH378" i="19" s="1"/>
  <c r="BK378" i="19" s="1"/>
  <c r="ER403" i="19"/>
  <c r="EU403" i="19" s="1"/>
  <c r="EX403" i="19" s="1"/>
  <c r="ER340" i="19"/>
  <c r="EU340" i="19" s="1"/>
  <c r="EX340" i="19" s="1"/>
  <c r="CR352" i="19"/>
  <c r="CU352" i="19" s="1"/>
  <c r="CX352" i="19" s="1"/>
  <c r="BR346" i="19"/>
  <c r="BU346" i="19" s="1"/>
  <c r="BX346" i="19" s="1"/>
  <c r="DE384" i="19"/>
  <c r="DH384" i="19" s="1"/>
  <c r="DK384" i="19" s="1"/>
  <c r="BR352" i="19"/>
  <c r="BU352" i="19" s="1"/>
  <c r="BX352" i="19" s="1"/>
  <c r="CE384" i="19"/>
  <c r="CH384" i="19" s="1"/>
  <c r="CK384" i="19" s="1"/>
  <c r="BE415" i="19"/>
  <c r="BH415" i="19" s="1"/>
  <c r="BK415" i="19" s="1"/>
  <c r="AR421" i="19"/>
  <c r="AU421" i="19" s="1"/>
  <c r="AX421" i="19" s="1"/>
  <c r="CR372" i="19"/>
  <c r="CU372" i="19" s="1"/>
  <c r="CX372" i="19" s="1"/>
  <c r="DR358" i="19"/>
  <c r="DU358" i="19" s="1"/>
  <c r="DX358" i="19" s="1"/>
  <c r="R403" i="19"/>
  <c r="U403" i="19" s="1"/>
  <c r="X403" i="19" s="1"/>
  <c r="AR403" i="19"/>
  <c r="AU403" i="19" s="1"/>
  <c r="AX403" i="19" s="1"/>
  <c r="AR352" i="19"/>
  <c r="AU352" i="19" s="1"/>
  <c r="AX352" i="19" s="1"/>
  <c r="AE378" i="19"/>
  <c r="AH378" i="19" s="1"/>
  <c r="AK378" i="19" s="1"/>
  <c r="AR378" i="19"/>
  <c r="AU378" i="19" s="1"/>
  <c r="AX378" i="19" s="1"/>
  <c r="EE409" i="19"/>
  <c r="EH409" i="19" s="1"/>
  <c r="EK409" i="19" s="1"/>
  <c r="ER358" i="19"/>
  <c r="EU358" i="19" s="1"/>
  <c r="EX358" i="19" s="1"/>
  <c r="BR415" i="19"/>
  <c r="BU415" i="19" s="1"/>
  <c r="BX415" i="19" s="1"/>
  <c r="CE378" i="19"/>
  <c r="CH378" i="19" s="1"/>
  <c r="CK378" i="19" s="1"/>
  <c r="EE378" i="19"/>
  <c r="EH378" i="19" s="1"/>
  <c r="EK378" i="19" s="1"/>
  <c r="AE421" i="19"/>
  <c r="AH421" i="19" s="1"/>
  <c r="AK421" i="19" s="1"/>
  <c r="BE372" i="19"/>
  <c r="BH372" i="19" s="1"/>
  <c r="BK372" i="19" s="1"/>
  <c r="E378" i="19"/>
  <c r="H378" i="19" s="1"/>
  <c r="K378" i="19" s="1"/>
  <c r="R358" i="19"/>
  <c r="U358" i="19" s="1"/>
  <c r="X358" i="19" s="1"/>
  <c r="CR340" i="19"/>
  <c r="CU340" i="19" s="1"/>
  <c r="CX340" i="19" s="1"/>
  <c r="E403" i="19"/>
  <c r="H403" i="19" s="1"/>
  <c r="K403" i="19" s="1"/>
  <c r="BR403" i="19"/>
  <c r="BU403" i="19" s="1"/>
  <c r="BX403" i="19" s="1"/>
  <c r="AR340" i="19"/>
  <c r="AU340" i="19" s="1"/>
  <c r="AX340" i="19" s="1"/>
  <c r="AE390" i="19"/>
  <c r="AH390" i="19" s="1"/>
  <c r="AK390" i="19" s="1"/>
  <c r="AR415" i="19"/>
  <c r="AU415" i="19" s="1"/>
  <c r="AX415" i="19" s="1"/>
  <c r="DE340" i="19"/>
  <c r="DH340" i="19" s="1"/>
  <c r="DK340" i="19" s="1"/>
  <c r="E390" i="19"/>
  <c r="H390" i="19" s="1"/>
  <c r="K390" i="19" s="1"/>
  <c r="CE390" i="19"/>
  <c r="CH390" i="19" s="1"/>
  <c r="CK390" i="19" s="1"/>
  <c r="E372" i="19"/>
  <c r="H372" i="19" s="1"/>
  <c r="K372" i="19" s="1"/>
  <c r="R352" i="19"/>
  <c r="U352" i="19" s="1"/>
  <c r="X352" i="19" s="1"/>
  <c r="DR352" i="19"/>
  <c r="DU352" i="19" s="1"/>
  <c r="DX352" i="19" s="1"/>
  <c r="BR378" i="19"/>
  <c r="BU378" i="19" s="1"/>
  <c r="BX378" i="19" s="1"/>
  <c r="CR358" i="19"/>
  <c r="CU358" i="19" s="1"/>
  <c r="CX358" i="19" s="1"/>
  <c r="E340" i="19"/>
  <c r="H340" i="19" s="1"/>
  <c r="K340" i="19" s="1"/>
  <c r="CE352" i="19"/>
  <c r="CH352" i="19" s="1"/>
  <c r="CK352" i="19" s="1"/>
  <c r="AE384" i="19"/>
  <c r="AH384" i="19" s="1"/>
  <c r="AK384" i="19" s="1"/>
  <c r="EE415" i="19"/>
  <c r="EH415" i="19" s="1"/>
  <c r="EK415" i="19" s="1"/>
  <c r="DR421" i="19"/>
  <c r="DU421" i="19" s="1"/>
  <c r="DX421" i="19" s="1"/>
  <c r="AE358" i="19"/>
  <c r="AH358" i="19" s="1"/>
  <c r="AK358" i="19" s="1"/>
  <c r="EE340" i="19"/>
  <c r="EH340" i="19" s="1"/>
  <c r="EK340" i="19" s="1"/>
  <c r="CR390" i="19"/>
  <c r="CU390" i="19" s="1"/>
  <c r="CX390" i="19" s="1"/>
  <c r="ER378" i="19"/>
  <c r="EU378" i="19" s="1"/>
  <c r="EX378" i="19" s="1"/>
  <c r="DE352" i="19"/>
  <c r="DH352" i="19" s="1"/>
  <c r="DK352" i="19" s="1"/>
  <c r="BE358" i="19"/>
  <c r="BH358" i="19" s="1"/>
  <c r="BK358" i="19" s="1"/>
  <c r="AE372" i="19"/>
  <c r="AH372" i="19" s="1"/>
  <c r="AK372" i="19" s="1"/>
  <c r="ER390" i="19"/>
  <c r="EU390" i="19" s="1"/>
  <c r="EX390" i="19" s="1"/>
  <c r="CE372" i="19"/>
  <c r="CH372" i="19" s="1"/>
  <c r="CK372" i="19" s="1"/>
  <c r="R372" i="19"/>
  <c r="U372" i="19" s="1"/>
  <c r="X372" i="19" s="1"/>
  <c r="R390" i="19"/>
  <c r="U390" i="19" s="1"/>
  <c r="X390" i="19" s="1"/>
  <c r="T381" i="19"/>
  <c r="W381" i="19" s="1"/>
  <c r="Z381" i="19" s="1"/>
  <c r="DG400" i="19"/>
  <c r="DJ400" i="19" s="1"/>
  <c r="DM400" i="19" s="1"/>
  <c r="BT343" i="19"/>
  <c r="BW343" i="19" s="1"/>
  <c r="BZ343" i="19" s="1"/>
  <c r="EG381" i="19"/>
  <c r="EJ381" i="19" s="1"/>
  <c r="EM381" i="19" s="1"/>
  <c r="CG369" i="19"/>
  <c r="CJ369" i="19" s="1"/>
  <c r="CM369" i="19" s="1"/>
  <c r="EG412" i="19"/>
  <c r="EJ412" i="19" s="1"/>
  <c r="EM412" i="19" s="1"/>
  <c r="ET387" i="19"/>
  <c r="EW387" i="19" s="1"/>
  <c r="EZ387" i="19" s="1"/>
  <c r="AG343" i="19"/>
  <c r="AJ343" i="19" s="1"/>
  <c r="AM343" i="19" s="1"/>
  <c r="AG381" i="19"/>
  <c r="AJ381" i="19" s="1"/>
  <c r="AM381" i="19" s="1"/>
  <c r="AT343" i="19"/>
  <c r="AW343" i="19" s="1"/>
  <c r="AZ343" i="19" s="1"/>
  <c r="ET418" i="19"/>
  <c r="EW418" i="19" s="1"/>
  <c r="EZ418" i="19" s="1"/>
  <c r="AG412" i="19"/>
  <c r="AJ412" i="19" s="1"/>
  <c r="AM412" i="19" s="1"/>
  <c r="BT349" i="19"/>
  <c r="BW349" i="19" s="1"/>
  <c r="BZ349" i="19" s="1"/>
  <c r="DT355" i="19"/>
  <c r="DW355" i="19" s="1"/>
  <c r="DZ355" i="19" s="1"/>
  <c r="AG337" i="19"/>
  <c r="AJ337" i="19" s="1"/>
  <c r="AM337" i="19" s="1"/>
  <c r="DG418" i="19"/>
  <c r="DJ418" i="19" s="1"/>
  <c r="DM418" i="19" s="1"/>
  <c r="BT412" i="19"/>
  <c r="BW412" i="19" s="1"/>
  <c r="BZ412" i="19" s="1"/>
  <c r="AG375" i="19"/>
  <c r="AJ375" i="19" s="1"/>
  <c r="AM375" i="19" s="1"/>
  <c r="EG387" i="19"/>
  <c r="EJ387" i="19" s="1"/>
  <c r="EM387" i="19" s="1"/>
  <c r="AT406" i="19"/>
  <c r="AW406" i="19" s="1"/>
  <c r="AZ406" i="19" s="1"/>
  <c r="DT381" i="19"/>
  <c r="DW381" i="19" s="1"/>
  <c r="DZ381" i="19" s="1"/>
  <c r="G369" i="19"/>
  <c r="J369" i="19" s="1"/>
  <c r="M369" i="19" s="1"/>
  <c r="BG400" i="19"/>
  <c r="BJ400" i="19" s="1"/>
  <c r="BM400" i="19" s="1"/>
  <c r="G337" i="19"/>
  <c r="J337" i="19" s="1"/>
  <c r="M337" i="19" s="1"/>
  <c r="EG418" i="19"/>
  <c r="EJ418" i="19" s="1"/>
  <c r="EM418" i="19" s="1"/>
  <c r="AT412" i="19"/>
  <c r="AW412" i="19" s="1"/>
  <c r="AZ412" i="19" s="1"/>
  <c r="DG369" i="19"/>
  <c r="DJ369" i="19" s="1"/>
  <c r="DM369" i="19" s="1"/>
  <c r="ET375" i="19"/>
  <c r="EW375" i="19" s="1"/>
  <c r="EZ375" i="19" s="1"/>
  <c r="CG355" i="19"/>
  <c r="CJ355" i="19" s="1"/>
  <c r="CM355" i="19" s="1"/>
  <c r="DG381" i="19"/>
  <c r="DJ381" i="19" s="1"/>
  <c r="DM381" i="19" s="1"/>
  <c r="CG418" i="19"/>
  <c r="CJ418" i="19" s="1"/>
  <c r="CM418" i="19" s="1"/>
  <c r="DT349" i="19"/>
  <c r="DW349" i="19" s="1"/>
  <c r="DZ349" i="19" s="1"/>
  <c r="G400" i="19"/>
  <c r="J400" i="19" s="1"/>
  <c r="M400" i="19" s="1"/>
  <c r="DT418" i="19"/>
  <c r="DW418" i="19" s="1"/>
  <c r="DZ418" i="19" s="1"/>
  <c r="EG337" i="19"/>
  <c r="EJ337" i="19" s="1"/>
  <c r="EM337" i="19" s="1"/>
  <c r="G418" i="19"/>
  <c r="J418" i="19" s="1"/>
  <c r="M418" i="19" s="1"/>
  <c r="DT369" i="19"/>
  <c r="DW369" i="19" s="1"/>
  <c r="DZ369" i="19" s="1"/>
  <c r="CT337" i="19"/>
  <c r="CW337" i="19" s="1"/>
  <c r="CZ337" i="19" s="1"/>
  <c r="CG343" i="19"/>
  <c r="CJ343" i="19" s="1"/>
  <c r="CM343" i="19" s="1"/>
  <c r="BG406" i="19"/>
  <c r="BJ406" i="19" s="1"/>
  <c r="BM406" i="19" s="1"/>
  <c r="CG406" i="19"/>
  <c r="CJ406" i="19" s="1"/>
  <c r="CM406" i="19" s="1"/>
  <c r="ET343" i="19"/>
  <c r="EW343" i="19" s="1"/>
  <c r="EZ343" i="19" s="1"/>
  <c r="DT387" i="19"/>
  <c r="DW387" i="19" s="1"/>
  <c r="DZ387" i="19" s="1"/>
  <c r="DG387" i="19"/>
  <c r="DJ387" i="19" s="1"/>
  <c r="DM387" i="19" s="1"/>
  <c r="CG349" i="19"/>
  <c r="CJ349" i="19" s="1"/>
  <c r="CM349" i="19" s="1"/>
  <c r="CT375" i="19"/>
  <c r="CW375" i="19" s="1"/>
  <c r="CZ375" i="19" s="1"/>
  <c r="CG412" i="19"/>
  <c r="CJ412" i="19" s="1"/>
  <c r="CM412" i="19" s="1"/>
  <c r="BT406" i="19"/>
  <c r="BW406" i="19" s="1"/>
  <c r="BZ406" i="19" s="1"/>
  <c r="DG412" i="19"/>
  <c r="DJ412" i="19" s="1"/>
  <c r="DM412" i="19" s="1"/>
  <c r="DT412" i="19"/>
  <c r="DW412" i="19" s="1"/>
  <c r="DZ412" i="19" s="1"/>
  <c r="BG412" i="19"/>
  <c r="BJ412" i="19" s="1"/>
  <c r="BM412" i="19" s="1"/>
  <c r="G375" i="19"/>
  <c r="J375" i="19" s="1"/>
  <c r="M375" i="19" s="1"/>
  <c r="DG355" i="19"/>
  <c r="DJ355" i="19" s="1"/>
  <c r="DM355" i="19" s="1"/>
  <c r="DG343" i="19"/>
  <c r="DJ343" i="19" s="1"/>
  <c r="DM343" i="19" s="1"/>
  <c r="G343" i="19"/>
  <c r="J343" i="19" s="1"/>
  <c r="M343" i="19" s="1"/>
  <c r="BG418" i="19"/>
  <c r="BJ418" i="19" s="1"/>
  <c r="BM418" i="19" s="1"/>
  <c r="CT349" i="19"/>
  <c r="CW349" i="19" s="1"/>
  <c r="CZ349" i="19" s="1"/>
  <c r="EG406" i="19"/>
  <c r="EJ406" i="19" s="1"/>
  <c r="EM406" i="19" s="1"/>
  <c r="T412" i="19"/>
  <c r="W412" i="19" s="1"/>
  <c r="Z412" i="19" s="1"/>
  <c r="BT418" i="19"/>
  <c r="BW418" i="19" s="1"/>
  <c r="BZ418" i="19" s="1"/>
  <c r="AT387" i="19"/>
  <c r="AW387" i="19" s="1"/>
  <c r="AZ387" i="19" s="1"/>
  <c r="BG343" i="19"/>
  <c r="BJ343" i="19" s="1"/>
  <c r="BM343" i="19" s="1"/>
  <c r="AT400" i="19"/>
  <c r="AW400" i="19" s="1"/>
  <c r="AZ400" i="19" s="1"/>
  <c r="BT369" i="19"/>
  <c r="BW369" i="19" s="1"/>
  <c r="BZ369" i="19" s="1"/>
  <c r="AT381" i="19"/>
  <c r="AW381" i="19" s="1"/>
  <c r="AZ381" i="19" s="1"/>
  <c r="AG369" i="19"/>
  <c r="AJ369" i="19" s="1"/>
  <c r="AM369" i="19" s="1"/>
  <c r="AG387" i="19"/>
  <c r="AJ387" i="19" s="1"/>
  <c r="AM387" i="19" s="1"/>
  <c r="G355" i="19"/>
  <c r="J355" i="19" s="1"/>
  <c r="M355" i="19" s="1"/>
  <c r="ET381" i="19"/>
  <c r="EW381" i="19" s="1"/>
  <c r="EZ381" i="19" s="1"/>
  <c r="CG400" i="19"/>
  <c r="CJ400" i="19" s="1"/>
  <c r="CM400" i="19" s="1"/>
  <c r="CT369" i="19"/>
  <c r="CW369" i="19" s="1"/>
  <c r="CZ369" i="19" s="1"/>
  <c r="T349" i="19"/>
  <c r="W349" i="19" s="1"/>
  <c r="Z349" i="19" s="1"/>
  <c r="AG418" i="19"/>
  <c r="AJ418" i="19" s="1"/>
  <c r="AM418" i="19" s="1"/>
  <c r="CT400" i="19"/>
  <c r="CW400" i="19" s="1"/>
  <c r="CZ400" i="19" s="1"/>
  <c r="ET400" i="19"/>
  <c r="EW400" i="19" s="1"/>
  <c r="EZ400" i="19" s="1"/>
  <c r="BT355" i="19"/>
  <c r="BW355" i="19" s="1"/>
  <c r="BZ355" i="19" s="1"/>
  <c r="AG406" i="19"/>
  <c r="AJ406" i="19" s="1"/>
  <c r="AM406" i="19" s="1"/>
  <c r="BG337" i="19"/>
  <c r="BJ337" i="19" s="1"/>
  <c r="BM337" i="19" s="1"/>
  <c r="T337" i="19"/>
  <c r="W337" i="19" s="1"/>
  <c r="Z337" i="19" s="1"/>
  <c r="BG387" i="19"/>
  <c r="BJ387" i="19" s="1"/>
  <c r="BM387" i="19" s="1"/>
  <c r="CT381" i="19"/>
  <c r="CW381" i="19" s="1"/>
  <c r="CZ381" i="19" s="1"/>
  <c r="T355" i="19"/>
  <c r="W355" i="19" s="1"/>
  <c r="Z355" i="19" s="1"/>
  <c r="T343" i="19"/>
  <c r="W343" i="19" s="1"/>
  <c r="Z343" i="19" s="1"/>
  <c r="CT418" i="19"/>
  <c r="CW418" i="19" s="1"/>
  <c r="CZ418" i="19" s="1"/>
  <c r="AG400" i="19"/>
  <c r="AJ400" i="19" s="1"/>
  <c r="AM400" i="19" s="1"/>
  <c r="AT418" i="19"/>
  <c r="AW418" i="19" s="1"/>
  <c r="AZ418" i="19" s="1"/>
  <c r="AG349" i="19"/>
  <c r="AJ349" i="19" s="1"/>
  <c r="AM349" i="19" s="1"/>
  <c r="ET349" i="19"/>
  <c r="EW349" i="19" s="1"/>
  <c r="EZ349" i="19" s="1"/>
  <c r="BG349" i="19"/>
  <c r="BJ349" i="19" s="1"/>
  <c r="BM349" i="19" s="1"/>
  <c r="CG337" i="19"/>
  <c r="CJ337" i="19" s="1"/>
  <c r="CM337" i="19" s="1"/>
  <c r="BT381" i="19"/>
  <c r="BW381" i="19" s="1"/>
  <c r="BZ381" i="19" s="1"/>
  <c r="T406" i="19"/>
  <c r="W406" i="19" s="1"/>
  <c r="Z406" i="19" s="1"/>
  <c r="ET412" i="19"/>
  <c r="EW412" i="19" s="1"/>
  <c r="EZ412" i="19" s="1"/>
  <c r="BG369" i="19"/>
  <c r="BJ369" i="19" s="1"/>
  <c r="BM369" i="19" s="1"/>
  <c r="CG387" i="19"/>
  <c r="CJ387" i="19" s="1"/>
  <c r="CM387" i="19" s="1"/>
  <c r="ET406" i="19"/>
  <c r="EW406" i="19" s="1"/>
  <c r="EZ406" i="19" s="1"/>
  <c r="T375" i="19"/>
  <c r="W375" i="19" s="1"/>
  <c r="Z375" i="19" s="1"/>
  <c r="DT337" i="19"/>
  <c r="DW337" i="19" s="1"/>
  <c r="DZ337" i="19" s="1"/>
  <c r="EG355" i="19"/>
  <c r="EJ355" i="19" s="1"/>
  <c r="EM355" i="19" s="1"/>
  <c r="AT349" i="19"/>
  <c r="AW349" i="19" s="1"/>
  <c r="AZ349" i="19" s="1"/>
  <c r="G387" i="19"/>
  <c r="J387" i="19" s="1"/>
  <c r="M387" i="19" s="1"/>
  <c r="CT343" i="19"/>
  <c r="CW343" i="19" s="1"/>
  <c r="CZ343" i="19" s="1"/>
  <c r="EG349" i="19"/>
  <c r="EJ349" i="19" s="1"/>
  <c r="EM349" i="19" s="1"/>
  <c r="AT337" i="19"/>
  <c r="AW337" i="19" s="1"/>
  <c r="AZ337" i="19" s="1"/>
  <c r="G381" i="19"/>
  <c r="J381" i="19" s="1"/>
  <c r="M381" i="19" s="1"/>
  <c r="DG349" i="19"/>
  <c r="DJ349" i="19" s="1"/>
  <c r="DM349" i="19" s="1"/>
  <c r="BT400" i="19"/>
  <c r="BW400" i="19" s="1"/>
  <c r="BZ400" i="19" s="1"/>
  <c r="CG381" i="19"/>
  <c r="CJ381" i="19" s="1"/>
  <c r="CM381" i="19" s="1"/>
  <c r="T369" i="19"/>
  <c r="W369" i="19" s="1"/>
  <c r="Z369" i="19" s="1"/>
  <c r="CT387" i="19"/>
  <c r="CW387" i="19" s="1"/>
  <c r="CZ387" i="19" s="1"/>
  <c r="AG355" i="19"/>
  <c r="AJ355" i="19" s="1"/>
  <c r="AM355" i="19" s="1"/>
  <c r="T400" i="19"/>
  <c r="W400" i="19" s="1"/>
  <c r="Z400" i="19" s="1"/>
  <c r="ET355" i="19"/>
  <c r="EW355" i="19" s="1"/>
  <c r="EZ355" i="19" s="1"/>
  <c r="CT412" i="19"/>
  <c r="CW412" i="19" s="1"/>
  <c r="CZ412" i="19" s="1"/>
  <c r="DG375" i="19"/>
  <c r="DJ375" i="19" s="1"/>
  <c r="DM375" i="19" s="1"/>
  <c r="AT355" i="19"/>
  <c r="AW355" i="19" s="1"/>
  <c r="AZ355" i="19" s="1"/>
  <c r="AT375" i="19"/>
  <c r="AW375" i="19" s="1"/>
  <c r="AZ375" i="19" s="1"/>
  <c r="BG375" i="19"/>
  <c r="BJ375" i="19" s="1"/>
  <c r="BM375" i="19" s="1"/>
  <c r="DG406" i="19"/>
  <c r="DJ406" i="19" s="1"/>
  <c r="DM406" i="19" s="1"/>
  <c r="EG369" i="19"/>
  <c r="EJ369" i="19" s="1"/>
  <c r="EM369" i="19" s="1"/>
  <c r="BT375" i="19"/>
  <c r="BW375" i="19" s="1"/>
  <c r="BZ375" i="19" s="1"/>
  <c r="DT400" i="19"/>
  <c r="DW400" i="19" s="1"/>
  <c r="DZ400" i="19" s="1"/>
  <c r="BG381" i="19"/>
  <c r="BJ381" i="19" s="1"/>
  <c r="BM381" i="19" s="1"/>
  <c r="BT337" i="19"/>
  <c r="BW337" i="19" s="1"/>
  <c r="BZ337" i="19" s="1"/>
  <c r="DT406" i="19"/>
  <c r="DW406" i="19" s="1"/>
  <c r="DZ406" i="19" s="1"/>
  <c r="BG355" i="19"/>
  <c r="BJ355" i="19" s="1"/>
  <c r="BM355" i="19" s="1"/>
  <c r="G412" i="19"/>
  <c r="J412" i="19" s="1"/>
  <c r="M412" i="19" s="1"/>
  <c r="CT406" i="19"/>
  <c r="CW406" i="19" s="1"/>
  <c r="CZ406" i="19" s="1"/>
  <c r="G349" i="19"/>
  <c r="J349" i="19" s="1"/>
  <c r="M349" i="19" s="1"/>
  <c r="EG375" i="19"/>
  <c r="EJ375" i="19" s="1"/>
  <c r="EM375" i="19" s="1"/>
  <c r="CG375" i="19"/>
  <c r="CJ375" i="19" s="1"/>
  <c r="CM375" i="19" s="1"/>
  <c r="CT355" i="19"/>
  <c r="CW355" i="19" s="1"/>
  <c r="CZ355" i="19" s="1"/>
  <c r="AT369" i="19"/>
  <c r="AW369" i="19" s="1"/>
  <c r="AZ369" i="19" s="1"/>
  <c r="DG337" i="19"/>
  <c r="DJ337" i="19" s="1"/>
  <c r="DM337" i="19" s="1"/>
  <c r="T387" i="19"/>
  <c r="W387" i="19" s="1"/>
  <c r="Z387" i="19" s="1"/>
  <c r="BT387" i="19"/>
  <c r="BW387" i="19" s="1"/>
  <c r="BZ387" i="19" s="1"/>
  <c r="ET369" i="19"/>
  <c r="EW369" i="19" s="1"/>
  <c r="EZ369" i="19" s="1"/>
  <c r="G406" i="19"/>
  <c r="J406" i="19" s="1"/>
  <c r="M406" i="19" s="1"/>
  <c r="EG343" i="19"/>
  <c r="EJ343" i="19" s="1"/>
  <c r="EM343" i="19" s="1"/>
  <c r="DT375" i="19"/>
  <c r="DW375" i="19" s="1"/>
  <c r="DZ375" i="19" s="1"/>
  <c r="ET337" i="19"/>
  <c r="EW337" i="19" s="1"/>
  <c r="EZ337" i="19" s="1"/>
  <c r="EG400" i="19"/>
  <c r="EJ400" i="19" s="1"/>
  <c r="EM400" i="19" s="1"/>
  <c r="T418" i="19"/>
  <c r="W418" i="19" s="1"/>
  <c r="Z418" i="19" s="1"/>
  <c r="DT343" i="19"/>
  <c r="DW343" i="19" s="1"/>
  <c r="DZ343" i="19" s="1"/>
  <c r="AT341" i="19"/>
  <c r="AW341" i="19" s="1"/>
  <c r="AZ341" i="19" s="1"/>
  <c r="G379" i="19"/>
  <c r="J379" i="19" s="1"/>
  <c r="M379" i="19" s="1"/>
  <c r="BG416" i="19"/>
  <c r="BJ416" i="19" s="1"/>
  <c r="BM416" i="19" s="1"/>
  <c r="BT353" i="19"/>
  <c r="BW353" i="19" s="1"/>
  <c r="BZ353" i="19" s="1"/>
  <c r="CT410" i="19"/>
  <c r="CW410" i="19" s="1"/>
  <c r="CZ410" i="19" s="1"/>
  <c r="CT379" i="19"/>
  <c r="CW379" i="19" s="1"/>
  <c r="CZ379" i="19" s="1"/>
  <c r="CT385" i="19"/>
  <c r="CW385" i="19" s="1"/>
  <c r="CZ385" i="19" s="1"/>
  <c r="ET359" i="19"/>
  <c r="EW359" i="19" s="1"/>
  <c r="EZ359" i="19" s="1"/>
  <c r="CG359" i="19"/>
  <c r="CJ359" i="19" s="1"/>
  <c r="CM359" i="19" s="1"/>
  <c r="CT341" i="19"/>
  <c r="CW341" i="19" s="1"/>
  <c r="CZ341" i="19" s="1"/>
  <c r="EG410" i="19"/>
  <c r="EJ410" i="19" s="1"/>
  <c r="EM410" i="19" s="1"/>
  <c r="G359" i="19"/>
  <c r="J359" i="19" s="1"/>
  <c r="M359" i="19" s="1"/>
  <c r="T353" i="19"/>
  <c r="W353" i="19" s="1"/>
  <c r="Z353" i="19" s="1"/>
  <c r="CG373" i="19"/>
  <c r="CJ373" i="19" s="1"/>
  <c r="CM373" i="19" s="1"/>
  <c r="CG379" i="19"/>
  <c r="CJ379" i="19" s="1"/>
  <c r="CM379" i="19" s="1"/>
  <c r="AG391" i="19"/>
  <c r="AJ391" i="19" s="1"/>
  <c r="AM391" i="19" s="1"/>
  <c r="DG422" i="19"/>
  <c r="DJ422" i="19" s="1"/>
  <c r="DM422" i="19" s="1"/>
  <c r="EG373" i="19"/>
  <c r="EJ373" i="19" s="1"/>
  <c r="EM373" i="19" s="1"/>
  <c r="CG391" i="19"/>
  <c r="CJ391" i="19" s="1"/>
  <c r="CM391" i="19" s="1"/>
  <c r="CT422" i="19"/>
  <c r="CW422" i="19" s="1"/>
  <c r="CZ422" i="19" s="1"/>
  <c r="AG404" i="19"/>
  <c r="AJ404" i="19" s="1"/>
  <c r="AM404" i="19" s="1"/>
  <c r="ET353" i="19"/>
  <c r="EW353" i="19" s="1"/>
  <c r="EZ353" i="19" s="1"/>
  <c r="DT385" i="19"/>
  <c r="DW385" i="19" s="1"/>
  <c r="DZ385" i="19" s="1"/>
  <c r="BT373" i="19"/>
  <c r="BW373" i="19" s="1"/>
  <c r="BZ373" i="19" s="1"/>
  <c r="EG391" i="19"/>
  <c r="EJ391" i="19" s="1"/>
  <c r="EM391" i="19" s="1"/>
  <c r="CT373" i="19"/>
  <c r="CW373" i="19" s="1"/>
  <c r="CZ373" i="19" s="1"/>
  <c r="CT391" i="19"/>
  <c r="CW391" i="19" s="1"/>
  <c r="CZ391" i="19" s="1"/>
  <c r="AT353" i="19"/>
  <c r="AW353" i="19" s="1"/>
  <c r="AZ353" i="19" s="1"/>
  <c r="G410" i="19"/>
  <c r="J410" i="19" s="1"/>
  <c r="M410" i="19" s="1"/>
  <c r="AG359" i="19"/>
  <c r="AJ359" i="19" s="1"/>
  <c r="AM359" i="19" s="1"/>
  <c r="ET416" i="19"/>
  <c r="EW416" i="19" s="1"/>
  <c r="EZ416" i="19" s="1"/>
  <c r="BG379" i="19"/>
  <c r="BJ379" i="19" s="1"/>
  <c r="BM379" i="19" s="1"/>
  <c r="AT347" i="19"/>
  <c r="AW347" i="19" s="1"/>
  <c r="AZ347" i="19" s="1"/>
  <c r="ET410" i="19"/>
  <c r="EW410" i="19" s="1"/>
  <c r="EZ410" i="19" s="1"/>
  <c r="AT373" i="19"/>
  <c r="AW373" i="19" s="1"/>
  <c r="AZ373" i="19" s="1"/>
  <c r="CG422" i="19"/>
  <c r="CJ422" i="19" s="1"/>
  <c r="CM422" i="19" s="1"/>
  <c r="AT385" i="19"/>
  <c r="AW385" i="19" s="1"/>
  <c r="AZ385" i="19" s="1"/>
  <c r="AG353" i="19"/>
  <c r="AJ353" i="19" s="1"/>
  <c r="AM353" i="19" s="1"/>
  <c r="G385" i="19"/>
  <c r="J385" i="19" s="1"/>
  <c r="M385" i="19" s="1"/>
  <c r="DT373" i="19"/>
  <c r="DW373" i="19" s="1"/>
  <c r="DZ373" i="19" s="1"/>
  <c r="DT379" i="19"/>
  <c r="DW379" i="19" s="1"/>
  <c r="DZ379" i="19" s="1"/>
  <c r="DG404" i="19"/>
  <c r="DJ404" i="19" s="1"/>
  <c r="DM404" i="19" s="1"/>
  <c r="ET422" i="19"/>
  <c r="EW422" i="19" s="1"/>
  <c r="EZ422" i="19" s="1"/>
  <c r="G422" i="19"/>
  <c r="J422" i="19" s="1"/>
  <c r="M422" i="19" s="1"/>
  <c r="BT410" i="19"/>
  <c r="BW410" i="19" s="1"/>
  <c r="BZ410" i="19" s="1"/>
  <c r="DG416" i="19"/>
  <c r="DJ416" i="19" s="1"/>
  <c r="DM416" i="19" s="1"/>
  <c r="AG410" i="19"/>
  <c r="AJ410" i="19" s="1"/>
  <c r="AM410" i="19" s="1"/>
  <c r="EG379" i="19"/>
  <c r="EJ379" i="19" s="1"/>
  <c r="EM379" i="19" s="1"/>
  <c r="DG385" i="19"/>
  <c r="DJ385" i="19" s="1"/>
  <c r="DM385" i="19" s="1"/>
  <c r="ET404" i="19"/>
  <c r="EW404" i="19" s="1"/>
  <c r="EZ404" i="19" s="1"/>
  <c r="AT416" i="19"/>
  <c r="AW416" i="19" s="1"/>
  <c r="AZ416" i="19" s="1"/>
  <c r="ET373" i="19"/>
  <c r="EW373" i="19" s="1"/>
  <c r="EZ373" i="19" s="1"/>
  <c r="BG385" i="19"/>
  <c r="BJ385" i="19" s="1"/>
  <c r="BM385" i="19" s="1"/>
  <c r="BG353" i="19"/>
  <c r="BJ353" i="19" s="1"/>
  <c r="BM353" i="19" s="1"/>
  <c r="DG410" i="19"/>
  <c r="DJ410" i="19" s="1"/>
  <c r="DM410" i="19" s="1"/>
  <c r="DT422" i="19"/>
  <c r="DW422" i="19" s="1"/>
  <c r="DZ422" i="19" s="1"/>
  <c r="AG416" i="19"/>
  <c r="AJ416" i="19" s="1"/>
  <c r="AM416" i="19" s="1"/>
  <c r="BT416" i="19"/>
  <c r="BW416" i="19" s="1"/>
  <c r="BZ416" i="19" s="1"/>
  <c r="DG373" i="19"/>
  <c r="DJ373" i="19" s="1"/>
  <c r="DM373" i="19" s="1"/>
  <c r="DT347" i="19"/>
  <c r="DW347" i="19" s="1"/>
  <c r="DZ347" i="19" s="1"/>
  <c r="DT341" i="19"/>
  <c r="DW341" i="19" s="1"/>
  <c r="DZ341" i="19" s="1"/>
  <c r="AT359" i="19"/>
  <c r="AW359" i="19" s="1"/>
  <c r="AZ359" i="19" s="1"/>
  <c r="T422" i="19"/>
  <c r="W422" i="19" s="1"/>
  <c r="Z422" i="19" s="1"/>
  <c r="BT391" i="19"/>
  <c r="BW391" i="19" s="1"/>
  <c r="BZ391" i="19" s="1"/>
  <c r="CT416" i="19"/>
  <c r="CW416" i="19" s="1"/>
  <c r="CZ416" i="19" s="1"/>
  <c r="AG385" i="19"/>
  <c r="AJ385" i="19" s="1"/>
  <c r="AM385" i="19" s="1"/>
  <c r="T359" i="19"/>
  <c r="W359" i="19" s="1"/>
  <c r="Z359" i="19" s="1"/>
  <c r="T385" i="19"/>
  <c r="W385" i="19" s="1"/>
  <c r="Z385" i="19" s="1"/>
  <c r="AG347" i="19"/>
  <c r="AJ347" i="19" s="1"/>
  <c r="AM347" i="19" s="1"/>
  <c r="G347" i="19"/>
  <c r="J347" i="19" s="1"/>
  <c r="M347" i="19" s="1"/>
  <c r="BG422" i="19"/>
  <c r="BJ422" i="19" s="1"/>
  <c r="BM422" i="19" s="1"/>
  <c r="EG385" i="19"/>
  <c r="EJ385" i="19" s="1"/>
  <c r="EM385" i="19" s="1"/>
  <c r="DT353" i="19"/>
  <c r="DW353" i="19" s="1"/>
  <c r="DZ353" i="19" s="1"/>
  <c r="T391" i="19"/>
  <c r="W391" i="19" s="1"/>
  <c r="Z391" i="19" s="1"/>
  <c r="CT359" i="19"/>
  <c r="CW359" i="19" s="1"/>
  <c r="CZ359" i="19" s="1"/>
  <c r="CG385" i="19"/>
  <c r="CJ385" i="19" s="1"/>
  <c r="CM385" i="19" s="1"/>
  <c r="T341" i="19"/>
  <c r="W341" i="19" s="1"/>
  <c r="Z341" i="19" s="1"/>
  <c r="AG341" i="19"/>
  <c r="AJ341" i="19" s="1"/>
  <c r="AM341" i="19" s="1"/>
  <c r="CG416" i="19"/>
  <c r="CJ416" i="19" s="1"/>
  <c r="CM416" i="19" s="1"/>
  <c r="EG422" i="19"/>
  <c r="EJ422" i="19" s="1"/>
  <c r="EM422" i="19" s="1"/>
  <c r="DT410" i="19"/>
  <c r="DW410" i="19" s="1"/>
  <c r="DZ410" i="19" s="1"/>
  <c r="BT379" i="19"/>
  <c r="BW379" i="19" s="1"/>
  <c r="BZ379" i="19" s="1"/>
  <c r="CT347" i="19"/>
  <c r="CW347" i="19" s="1"/>
  <c r="CZ347" i="19" s="1"/>
  <c r="BG347" i="19"/>
  <c r="BJ347" i="19" s="1"/>
  <c r="BM347" i="19" s="1"/>
  <c r="AT404" i="19"/>
  <c r="AW404" i="19" s="1"/>
  <c r="AZ404" i="19" s="1"/>
  <c r="AT410" i="19"/>
  <c r="AW410" i="19" s="1"/>
  <c r="AZ410" i="19" s="1"/>
  <c r="DG341" i="19"/>
  <c r="DJ341" i="19" s="1"/>
  <c r="DM341" i="19" s="1"/>
  <c r="BG341" i="19"/>
  <c r="BJ341" i="19" s="1"/>
  <c r="BM341" i="19" s="1"/>
  <c r="BG410" i="19"/>
  <c r="BJ410" i="19" s="1"/>
  <c r="BM410" i="19" s="1"/>
  <c r="CT353" i="19"/>
  <c r="CW353" i="19" s="1"/>
  <c r="CZ353" i="19" s="1"/>
  <c r="DT404" i="19"/>
  <c r="DW404" i="19" s="1"/>
  <c r="DZ404" i="19" s="1"/>
  <c r="BG359" i="19"/>
  <c r="BJ359" i="19" s="1"/>
  <c r="BM359" i="19" s="1"/>
  <c r="EG347" i="19"/>
  <c r="EJ347" i="19" s="1"/>
  <c r="EM347" i="19" s="1"/>
  <c r="AG422" i="19"/>
  <c r="AJ422" i="19" s="1"/>
  <c r="AM422" i="19" s="1"/>
  <c r="DT391" i="19"/>
  <c r="DW391" i="19" s="1"/>
  <c r="DZ391" i="19" s="1"/>
  <c r="ET385" i="19"/>
  <c r="EW385" i="19" s="1"/>
  <c r="EZ385" i="19" s="1"/>
  <c r="BT359" i="19"/>
  <c r="BW359" i="19" s="1"/>
  <c r="BZ359" i="19" s="1"/>
  <c r="G404" i="19"/>
  <c r="J404" i="19" s="1"/>
  <c r="M404" i="19" s="1"/>
  <c r="CG341" i="19"/>
  <c r="CJ341" i="19" s="1"/>
  <c r="CM341" i="19" s="1"/>
  <c r="BT422" i="19"/>
  <c r="BW422" i="19" s="1"/>
  <c r="BZ422" i="19" s="1"/>
  <c r="ET379" i="19"/>
  <c r="EW379" i="19" s="1"/>
  <c r="EZ379" i="19" s="1"/>
  <c r="BG391" i="19"/>
  <c r="BJ391" i="19" s="1"/>
  <c r="BM391" i="19" s="1"/>
  <c r="T347" i="19"/>
  <c r="W347" i="19" s="1"/>
  <c r="Z347" i="19" s="1"/>
  <c r="BG373" i="19"/>
  <c r="BJ373" i="19" s="1"/>
  <c r="BM373" i="19" s="1"/>
  <c r="DG379" i="19"/>
  <c r="DJ379" i="19" s="1"/>
  <c r="DM379" i="19" s="1"/>
  <c r="G391" i="19"/>
  <c r="J391" i="19" s="1"/>
  <c r="M391" i="19" s="1"/>
  <c r="AG373" i="19"/>
  <c r="AJ373" i="19" s="1"/>
  <c r="AM373" i="19" s="1"/>
  <c r="T373" i="19"/>
  <c r="W373" i="19" s="1"/>
  <c r="Z373" i="19" s="1"/>
  <c r="G373" i="19"/>
  <c r="J373" i="19" s="1"/>
  <c r="M373" i="19" s="1"/>
  <c r="AT391" i="19"/>
  <c r="AW391" i="19" s="1"/>
  <c r="AZ391" i="19" s="1"/>
  <c r="BT347" i="19"/>
  <c r="BW347" i="19" s="1"/>
  <c r="BZ347" i="19" s="1"/>
  <c r="AG379" i="19"/>
  <c r="AJ379" i="19" s="1"/>
  <c r="AM379" i="19" s="1"/>
  <c r="DT359" i="19"/>
  <c r="DW359" i="19" s="1"/>
  <c r="DZ359" i="19" s="1"/>
  <c r="T410" i="19"/>
  <c r="W410" i="19" s="1"/>
  <c r="Z410" i="19" s="1"/>
  <c r="BT385" i="19"/>
  <c r="BW385" i="19" s="1"/>
  <c r="BZ385" i="19" s="1"/>
  <c r="T379" i="19"/>
  <c r="W379" i="19" s="1"/>
  <c r="Z379" i="19" s="1"/>
  <c r="BT341" i="19"/>
  <c r="BW341" i="19" s="1"/>
  <c r="BZ341" i="19" s="1"/>
  <c r="T404" i="19"/>
  <c r="W404" i="19" s="1"/>
  <c r="Z404" i="19" s="1"/>
  <c r="EG359" i="19"/>
  <c r="EJ359" i="19" s="1"/>
  <c r="EM359" i="19" s="1"/>
  <c r="CG404" i="19"/>
  <c r="CJ404" i="19" s="1"/>
  <c r="CM404" i="19" s="1"/>
  <c r="CG410" i="19"/>
  <c r="CJ410" i="19" s="1"/>
  <c r="CM410" i="19" s="1"/>
  <c r="DT416" i="19"/>
  <c r="DW416" i="19" s="1"/>
  <c r="DZ416" i="19" s="1"/>
  <c r="T416" i="19"/>
  <c r="W416" i="19" s="1"/>
  <c r="Z416" i="19" s="1"/>
  <c r="BT404" i="19"/>
  <c r="BW404" i="19" s="1"/>
  <c r="BZ404" i="19" s="1"/>
  <c r="DG347" i="19"/>
  <c r="DJ347" i="19" s="1"/>
  <c r="DM347" i="19" s="1"/>
  <c r="G416" i="19"/>
  <c r="J416" i="19" s="1"/>
  <c r="M416" i="19" s="1"/>
  <c r="CG353" i="19"/>
  <c r="CJ353" i="19" s="1"/>
  <c r="CM353" i="19" s="1"/>
  <c r="BG404" i="19"/>
  <c r="BJ404" i="19" s="1"/>
  <c r="BM404" i="19" s="1"/>
  <c r="G353" i="19"/>
  <c r="J353" i="19" s="1"/>
  <c r="M353" i="19" s="1"/>
  <c r="G341" i="19"/>
  <c r="J341" i="19" s="1"/>
  <c r="M341" i="19" s="1"/>
  <c r="ET341" i="19"/>
  <c r="EW341" i="19" s="1"/>
  <c r="EZ341" i="19" s="1"/>
  <c r="EG353" i="19"/>
  <c r="EJ353" i="19" s="1"/>
  <c r="EM353" i="19" s="1"/>
  <c r="AT422" i="19"/>
  <c r="AW422" i="19" s="1"/>
  <c r="AZ422" i="19" s="1"/>
  <c r="CG347" i="19"/>
  <c r="CJ347" i="19" s="1"/>
  <c r="CM347" i="19" s="1"/>
  <c r="DG353" i="19"/>
  <c r="DJ353" i="19" s="1"/>
  <c r="DM353" i="19" s="1"/>
  <c r="AT379" i="19"/>
  <c r="AW379" i="19" s="1"/>
  <c r="AZ379" i="19" s="1"/>
  <c r="CT404" i="19"/>
  <c r="CW404" i="19" s="1"/>
  <c r="CZ404" i="19" s="1"/>
  <c r="EG341" i="19"/>
  <c r="EJ341" i="19" s="1"/>
  <c r="EM341" i="19" s="1"/>
  <c r="ET347" i="19"/>
  <c r="EW347" i="19" s="1"/>
  <c r="EZ347" i="19" s="1"/>
  <c r="DG391" i="19"/>
  <c r="DJ391" i="19" s="1"/>
  <c r="DM391" i="19" s="1"/>
  <c r="ET391" i="19"/>
  <c r="EW391" i="19" s="1"/>
  <c r="EZ391" i="19" s="1"/>
  <c r="EG416" i="19"/>
  <c r="EJ416" i="19" s="1"/>
  <c r="EM416" i="19" s="1"/>
  <c r="DG359" i="19"/>
  <c r="DJ359" i="19" s="1"/>
  <c r="DM359" i="19" s="1"/>
  <c r="EG404" i="19"/>
  <c r="EJ404" i="19" s="1"/>
  <c r="EM404" i="19" s="1"/>
  <c r="CR420" i="19"/>
  <c r="CU420" i="19" s="1"/>
  <c r="CX420" i="19" s="1"/>
  <c r="R345" i="19"/>
  <c r="U345" i="19" s="1"/>
  <c r="X345" i="19" s="1"/>
  <c r="E402" i="19"/>
  <c r="H402" i="19" s="1"/>
  <c r="K402" i="19" s="1"/>
  <c r="AE357" i="19"/>
  <c r="AH357" i="19" s="1"/>
  <c r="AK357" i="19" s="1"/>
  <c r="AR383" i="19"/>
  <c r="AU383" i="19" s="1"/>
  <c r="AX383" i="19" s="1"/>
  <c r="AR371" i="19"/>
  <c r="AU371" i="19" s="1"/>
  <c r="AX371" i="19" s="1"/>
  <c r="E389" i="19"/>
  <c r="H389" i="19" s="1"/>
  <c r="K389" i="19" s="1"/>
  <c r="DE420" i="19"/>
  <c r="DH420" i="19" s="1"/>
  <c r="DK420" i="19" s="1"/>
  <c r="CE408" i="19"/>
  <c r="CH408" i="19" s="1"/>
  <c r="CK408" i="19" s="1"/>
  <c r="DR383" i="19"/>
  <c r="DU383" i="19" s="1"/>
  <c r="DX383" i="19" s="1"/>
  <c r="BR351" i="19"/>
  <c r="BU351" i="19" s="1"/>
  <c r="BX351" i="19" s="1"/>
  <c r="R420" i="19"/>
  <c r="U420" i="19" s="1"/>
  <c r="X420" i="19" s="1"/>
  <c r="CR371" i="19"/>
  <c r="CU371" i="19" s="1"/>
  <c r="CX371" i="19" s="1"/>
  <c r="ER345" i="19"/>
  <c r="EU345" i="19" s="1"/>
  <c r="EX345" i="19" s="1"/>
  <c r="ER402" i="19"/>
  <c r="EU402" i="19" s="1"/>
  <c r="EX402" i="19" s="1"/>
  <c r="AR345" i="19"/>
  <c r="AU345" i="19" s="1"/>
  <c r="AX345" i="19" s="1"/>
  <c r="AE383" i="19"/>
  <c r="AH383" i="19" s="1"/>
  <c r="AK383" i="19" s="1"/>
  <c r="ER377" i="19"/>
  <c r="BR389" i="19"/>
  <c r="BU389" i="19" s="1"/>
  <c r="BX389" i="19" s="1"/>
  <c r="R383" i="19"/>
  <c r="U383" i="19" s="1"/>
  <c r="X383" i="19" s="1"/>
  <c r="BE351" i="19"/>
  <c r="BH351" i="19" s="1"/>
  <c r="BK351" i="19" s="1"/>
  <c r="ER351" i="19"/>
  <c r="EU351" i="19" s="1"/>
  <c r="EX351" i="19" s="1"/>
  <c r="AE351" i="19"/>
  <c r="AH351" i="19" s="1"/>
  <c r="AK351" i="19" s="1"/>
  <c r="ER371" i="19"/>
  <c r="EU371" i="19" s="1"/>
  <c r="EX371" i="19" s="1"/>
  <c r="DE389" i="19"/>
  <c r="DH389" i="19" s="1"/>
  <c r="DK389" i="19" s="1"/>
  <c r="E414" i="19"/>
  <c r="H414" i="19" s="1"/>
  <c r="K414" i="19" s="1"/>
  <c r="E371" i="19"/>
  <c r="H371" i="19" s="1"/>
  <c r="K371" i="19" s="1"/>
  <c r="BR345" i="19"/>
  <c r="BU345" i="19" s="1"/>
  <c r="BX345" i="19" s="1"/>
  <c r="EE371" i="19"/>
  <c r="EH371" i="19" s="1"/>
  <c r="EK371" i="19" s="1"/>
  <c r="E351" i="19"/>
  <c r="H351" i="19" s="1"/>
  <c r="K351" i="19" s="1"/>
  <c r="CE339" i="19"/>
  <c r="CH339" i="19" s="1"/>
  <c r="CK339" i="19" s="1"/>
  <c r="AR357" i="19"/>
  <c r="AU357" i="19" s="1"/>
  <c r="AX357" i="19" s="1"/>
  <c r="DE357" i="19"/>
  <c r="DH357" i="19" s="1"/>
  <c r="DK357" i="19" s="1"/>
  <c r="E377" i="19"/>
  <c r="H377" i="19" s="1"/>
  <c r="K377" i="19" s="1"/>
  <c r="BE414" i="19"/>
  <c r="BH414" i="19" s="1"/>
  <c r="BK414" i="19" s="1"/>
  <c r="DE351" i="19"/>
  <c r="DH351" i="19" s="1"/>
  <c r="DK351" i="19" s="1"/>
  <c r="R414" i="19"/>
  <c r="U414" i="19" s="1"/>
  <c r="X414" i="19" s="1"/>
  <c r="R377" i="19"/>
  <c r="U377" i="19" s="1"/>
  <c r="X377" i="19" s="1"/>
  <c r="ER383" i="19"/>
  <c r="EU383" i="19" s="1"/>
  <c r="EX383" i="19" s="1"/>
  <c r="CE414" i="19"/>
  <c r="CH414" i="19" s="1"/>
  <c r="CK414" i="19" s="1"/>
  <c r="CE377" i="19"/>
  <c r="CH377" i="19" s="1"/>
  <c r="CK377" i="19" s="1"/>
  <c r="DR420" i="19"/>
  <c r="DU420" i="19" s="1"/>
  <c r="DX420" i="19" s="1"/>
  <c r="DE377" i="19"/>
  <c r="DH377" i="19" s="1"/>
  <c r="DK377" i="19" s="1"/>
  <c r="CE389" i="19"/>
  <c r="CH389" i="19" s="1"/>
  <c r="CK389" i="19" s="1"/>
  <c r="AE345" i="19"/>
  <c r="AH345" i="19" s="1"/>
  <c r="AK345" i="19" s="1"/>
  <c r="R339" i="19"/>
  <c r="U339" i="19" s="1"/>
  <c r="X339" i="19" s="1"/>
  <c r="AE402" i="19"/>
  <c r="AH402" i="19" s="1"/>
  <c r="AK402" i="19" s="1"/>
  <c r="ER408" i="19"/>
  <c r="EU408" i="19" s="1"/>
  <c r="EX408" i="19" s="1"/>
  <c r="R402" i="19"/>
  <c r="U402" i="19" s="1"/>
  <c r="X402" i="19" s="1"/>
  <c r="CR408" i="19"/>
  <c r="CU408" i="19" s="1"/>
  <c r="CX408" i="19" s="1"/>
  <c r="DR357" i="19"/>
  <c r="DU357" i="19" s="1"/>
  <c r="DX357" i="19" s="1"/>
  <c r="AR377" i="19"/>
  <c r="AU377" i="19" s="1"/>
  <c r="AX377" i="19" s="1"/>
  <c r="CR345" i="19"/>
  <c r="CU345" i="19" s="1"/>
  <c r="CX345" i="19" s="1"/>
  <c r="BR339" i="19"/>
  <c r="BU339" i="19" s="1"/>
  <c r="BX339" i="19" s="1"/>
  <c r="ER420" i="19"/>
  <c r="EU420" i="19" s="1"/>
  <c r="EX420" i="19" s="1"/>
  <c r="DE339" i="19"/>
  <c r="DH339" i="19" s="1"/>
  <c r="DK339" i="19" s="1"/>
  <c r="CR377" i="19"/>
  <c r="CU377" i="19" s="1"/>
  <c r="CX377" i="19" s="1"/>
  <c r="BR377" i="19"/>
  <c r="BU377" i="19" s="1"/>
  <c r="BX377" i="19" s="1"/>
  <c r="ER414" i="19"/>
  <c r="EU414" i="19" s="1"/>
  <c r="EX414" i="19" s="1"/>
  <c r="EE389" i="19"/>
  <c r="EH389" i="19" s="1"/>
  <c r="EK389" i="19" s="1"/>
  <c r="AR351" i="19"/>
  <c r="AU351" i="19" s="1"/>
  <c r="AX351" i="19" s="1"/>
  <c r="DR389" i="19"/>
  <c r="DU389" i="19" s="1"/>
  <c r="DX389" i="19" s="1"/>
  <c r="AR389" i="19"/>
  <c r="AU389" i="19" s="1"/>
  <c r="AX389" i="19" s="1"/>
  <c r="EE414" i="19"/>
  <c r="EH414" i="19" s="1"/>
  <c r="EK414" i="19" s="1"/>
  <c r="DE371" i="19"/>
  <c r="DH371" i="19" s="1"/>
  <c r="DK371" i="19" s="1"/>
  <c r="AR420" i="19"/>
  <c r="AU420" i="19" s="1"/>
  <c r="AX420" i="19" s="1"/>
  <c r="E339" i="19"/>
  <c r="H339" i="19" s="1"/>
  <c r="K339" i="19" s="1"/>
  <c r="EE420" i="19"/>
  <c r="EH420" i="19" s="1"/>
  <c r="EK420" i="19" s="1"/>
  <c r="E357" i="19"/>
  <c r="H357" i="19" s="1"/>
  <c r="K357" i="19" s="1"/>
  <c r="BR371" i="19"/>
  <c r="BU371" i="19" s="1"/>
  <c r="BX371" i="19" s="1"/>
  <c r="EE408" i="19"/>
  <c r="EH408" i="19" s="1"/>
  <c r="EK408" i="19" s="1"/>
  <c r="CR414" i="19"/>
  <c r="CU414" i="19" s="1"/>
  <c r="CX414" i="19" s="1"/>
  <c r="DE383" i="19"/>
  <c r="DH383" i="19" s="1"/>
  <c r="DK383" i="19" s="1"/>
  <c r="R357" i="19"/>
  <c r="U357" i="19" s="1"/>
  <c r="X357" i="19" s="1"/>
  <c r="ER389" i="19"/>
  <c r="EU389" i="19" s="1"/>
  <c r="EX389" i="19" s="1"/>
  <c r="EE383" i="19"/>
  <c r="EH383" i="19" s="1"/>
  <c r="EK383" i="19" s="1"/>
  <c r="BE408" i="19"/>
  <c r="BH408" i="19" s="1"/>
  <c r="BK408" i="19" s="1"/>
  <c r="E420" i="19"/>
  <c r="H420" i="19" s="1"/>
  <c r="K420" i="19" s="1"/>
  <c r="BE402" i="19"/>
  <c r="BH402" i="19" s="1"/>
  <c r="BK402" i="19" s="1"/>
  <c r="AE339" i="19"/>
  <c r="AH339" i="19" s="1"/>
  <c r="AK339" i="19" s="1"/>
  <c r="AE408" i="19"/>
  <c r="AH408" i="19" s="1"/>
  <c r="AK408" i="19" s="1"/>
  <c r="BE357" i="19"/>
  <c r="BH357" i="19" s="1"/>
  <c r="BK357" i="19" s="1"/>
  <c r="AR402" i="19"/>
  <c r="AU402" i="19" s="1"/>
  <c r="AX402" i="19" s="1"/>
  <c r="R351" i="19"/>
  <c r="U351" i="19" s="1"/>
  <c r="X351" i="19" s="1"/>
  <c r="AE377" i="19"/>
  <c r="AH377" i="19" s="1"/>
  <c r="AK377" i="19" s="1"/>
  <c r="DR402" i="19"/>
  <c r="DU402" i="19" s="1"/>
  <c r="DX402" i="19" s="1"/>
  <c r="CR389" i="19"/>
  <c r="CU389" i="19" s="1"/>
  <c r="CX389" i="19" s="1"/>
  <c r="R389" i="19"/>
  <c r="U389" i="19" s="1"/>
  <c r="X389" i="19" s="1"/>
  <c r="R371" i="19"/>
  <c r="U371" i="19" s="1"/>
  <c r="X371" i="19" s="1"/>
  <c r="BR357" i="19"/>
  <c r="BU357" i="19" s="1"/>
  <c r="BX357" i="19" s="1"/>
  <c r="E383" i="19"/>
  <c r="H383" i="19" s="1"/>
  <c r="K383" i="19" s="1"/>
  <c r="AR339" i="19"/>
  <c r="AU339" i="19" s="1"/>
  <c r="AX339" i="19" s="1"/>
  <c r="BE377" i="19"/>
  <c r="BH377" i="19" s="1"/>
  <c r="BK377" i="19" s="1"/>
  <c r="AR414" i="19"/>
  <c r="AU414" i="19" s="1"/>
  <c r="AX414" i="19" s="1"/>
  <c r="ER357" i="19"/>
  <c r="EU357" i="19" s="1"/>
  <c r="EX357" i="19" s="1"/>
  <c r="EE357" i="19"/>
  <c r="EH357" i="19" s="1"/>
  <c r="EK357" i="19" s="1"/>
  <c r="CE371" i="19"/>
  <c r="CH371" i="19" s="1"/>
  <c r="CK371" i="19" s="1"/>
  <c r="AE371" i="19"/>
  <c r="AH371" i="19" s="1"/>
  <c r="AK371" i="19" s="1"/>
  <c r="ER339" i="19"/>
  <c r="EU339" i="19" s="1"/>
  <c r="EX339" i="19" s="1"/>
  <c r="DR351" i="19"/>
  <c r="DU351" i="19" s="1"/>
  <c r="DX351" i="19" s="1"/>
  <c r="DR408" i="19"/>
  <c r="DU408" i="19" s="1"/>
  <c r="DX408" i="19" s="1"/>
  <c r="BE383" i="19"/>
  <c r="BH383" i="19" s="1"/>
  <c r="BK383" i="19" s="1"/>
  <c r="CE351" i="19"/>
  <c r="CH351" i="19" s="1"/>
  <c r="CK351" i="19" s="1"/>
  <c r="BR414" i="19"/>
  <c r="BU414" i="19" s="1"/>
  <c r="BX414" i="19" s="1"/>
  <c r="DE408" i="19"/>
  <c r="DH408" i="19" s="1"/>
  <c r="DK408" i="19" s="1"/>
  <c r="E408" i="19"/>
  <c r="H408" i="19" s="1"/>
  <c r="K408" i="19" s="1"/>
  <c r="DR345" i="19"/>
  <c r="DU345" i="19" s="1"/>
  <c r="DX345" i="19" s="1"/>
  <c r="DE402" i="19"/>
  <c r="DH402" i="19" s="1"/>
  <c r="DK402" i="19" s="1"/>
  <c r="DR371" i="19"/>
  <c r="DU371" i="19" s="1"/>
  <c r="DX371" i="19" s="1"/>
  <c r="R408" i="19"/>
  <c r="U408" i="19" s="1"/>
  <c r="X408" i="19" s="1"/>
  <c r="CR357" i="19"/>
  <c r="CU357" i="19" s="1"/>
  <c r="CX357" i="19" s="1"/>
  <c r="EE339" i="19"/>
  <c r="EH339" i="19" s="1"/>
  <c r="EK339" i="19" s="1"/>
  <c r="CR339" i="19"/>
  <c r="CU339" i="19" s="1"/>
  <c r="CX339" i="19" s="1"/>
  <c r="CR402" i="19"/>
  <c r="CU402" i="19" s="1"/>
  <c r="CX402" i="19" s="1"/>
  <c r="EE377" i="19"/>
  <c r="EH377" i="19" s="1"/>
  <c r="EK377" i="19" s="1"/>
  <c r="BE371" i="19"/>
  <c r="BH371" i="19" s="1"/>
  <c r="BK371" i="19" s="1"/>
  <c r="CE420" i="19"/>
  <c r="CH420" i="19" s="1"/>
  <c r="CK420" i="19" s="1"/>
  <c r="BE345" i="19"/>
  <c r="BH345" i="19" s="1"/>
  <c r="BK345" i="19" s="1"/>
  <c r="CR383" i="19"/>
  <c r="CU383" i="19" s="1"/>
  <c r="CX383" i="19" s="1"/>
  <c r="EE345" i="19"/>
  <c r="EH345" i="19" s="1"/>
  <c r="EK345" i="19" s="1"/>
  <c r="BE420" i="19"/>
  <c r="BH420" i="19" s="1"/>
  <c r="BK420" i="19" s="1"/>
  <c r="EE402" i="19"/>
  <c r="EH402" i="19" s="1"/>
  <c r="EK402" i="19" s="1"/>
  <c r="DR414" i="19"/>
  <c r="DU414" i="19" s="1"/>
  <c r="DX414" i="19" s="1"/>
  <c r="CR351" i="19"/>
  <c r="CU351" i="19" s="1"/>
  <c r="CX351" i="19" s="1"/>
  <c r="CE402" i="19"/>
  <c r="CH402" i="19" s="1"/>
  <c r="CK402" i="19" s="1"/>
  <c r="BR383" i="19"/>
  <c r="BU383" i="19" s="1"/>
  <c r="BX383" i="19" s="1"/>
  <c r="E345" i="19"/>
  <c r="H345" i="19" s="1"/>
  <c r="K345" i="19" s="1"/>
  <c r="CE383" i="19"/>
  <c r="CH383" i="19" s="1"/>
  <c r="CK383" i="19" s="1"/>
  <c r="DR377" i="19"/>
  <c r="DU377" i="19" s="1"/>
  <c r="DX377" i="19" s="1"/>
  <c r="DE414" i="19"/>
  <c r="DH414" i="19" s="1"/>
  <c r="DK414" i="19" s="1"/>
  <c r="BE339" i="19"/>
  <c r="BH339" i="19" s="1"/>
  <c r="BK339" i="19" s="1"/>
  <c r="BR402" i="19"/>
  <c r="BU402" i="19" s="1"/>
  <c r="BX402" i="19" s="1"/>
  <c r="AE389" i="19"/>
  <c r="AH389" i="19" s="1"/>
  <c r="AK389" i="19" s="1"/>
  <c r="CE357" i="19"/>
  <c r="CH357" i="19" s="1"/>
  <c r="CK357" i="19" s="1"/>
  <c r="BR408" i="19"/>
  <c r="BU408" i="19" s="1"/>
  <c r="BX408" i="19" s="1"/>
  <c r="BE389" i="19"/>
  <c r="BH389" i="19" s="1"/>
  <c r="BK389" i="19" s="1"/>
  <c r="AE414" i="19"/>
  <c r="AH414" i="19" s="1"/>
  <c r="AK414" i="19" s="1"/>
  <c r="AR408" i="19"/>
  <c r="AU408" i="19" s="1"/>
  <c r="AX408" i="19" s="1"/>
  <c r="BR420" i="19"/>
  <c r="BU420" i="19" s="1"/>
  <c r="BX420" i="19" s="1"/>
  <c r="EE351" i="19"/>
  <c r="EH351" i="19" s="1"/>
  <c r="EK351" i="19" s="1"/>
  <c r="DE345" i="19"/>
  <c r="DH345" i="19" s="1"/>
  <c r="DK345" i="19" s="1"/>
  <c r="AE420" i="19"/>
  <c r="AH420" i="19" s="1"/>
  <c r="AK420" i="19" s="1"/>
  <c r="DR339" i="19"/>
  <c r="DU339" i="19" s="1"/>
  <c r="DX339" i="19" s="1"/>
  <c r="CE345" i="19"/>
  <c r="CH345" i="19" s="1"/>
  <c r="CK345" i="19" s="1"/>
  <c r="ET338" i="19"/>
  <c r="EW338" i="19" s="1"/>
  <c r="EZ338" i="19" s="1"/>
  <c r="BT413" i="19"/>
  <c r="BW413" i="19" s="1"/>
  <c r="BZ413" i="19" s="1"/>
  <c r="DT376" i="19"/>
  <c r="DW376" i="19" s="1"/>
  <c r="DZ376" i="19" s="1"/>
  <c r="T350" i="19"/>
  <c r="W350" i="19" s="1"/>
  <c r="Z350" i="19" s="1"/>
  <c r="DG370" i="19"/>
  <c r="DJ370" i="19" s="1"/>
  <c r="DM370" i="19" s="1"/>
  <c r="DG344" i="19"/>
  <c r="DJ344" i="19" s="1"/>
  <c r="DM344" i="19" s="1"/>
  <c r="CG376" i="19"/>
  <c r="CJ376" i="19" s="1"/>
  <c r="CM376" i="19" s="1"/>
  <c r="AG338" i="19"/>
  <c r="AJ338" i="19" s="1"/>
  <c r="AM338" i="19" s="1"/>
  <c r="AT382" i="19"/>
  <c r="AW382" i="19" s="1"/>
  <c r="AZ382" i="19" s="1"/>
  <c r="BT382" i="19"/>
  <c r="BW382" i="19" s="1"/>
  <c r="BZ382" i="19" s="1"/>
  <c r="CT401" i="19"/>
  <c r="CW401" i="19" s="1"/>
  <c r="CZ401" i="19" s="1"/>
  <c r="BT350" i="19"/>
  <c r="BW350" i="19" s="1"/>
  <c r="BZ350" i="19" s="1"/>
  <c r="DG338" i="19"/>
  <c r="DJ338" i="19" s="1"/>
  <c r="DM338" i="19" s="1"/>
  <c r="ET376" i="19"/>
  <c r="EW376" i="19" s="1"/>
  <c r="EZ376" i="19" s="1"/>
  <c r="AG370" i="19"/>
  <c r="AJ370" i="19" s="1"/>
  <c r="AM370" i="19" s="1"/>
  <c r="CT407" i="19"/>
  <c r="CW407" i="19" s="1"/>
  <c r="CZ407" i="19" s="1"/>
  <c r="AG356" i="19"/>
  <c r="AJ356" i="19" s="1"/>
  <c r="AM356" i="19" s="1"/>
  <c r="G413" i="19"/>
  <c r="J413" i="19" s="1"/>
  <c r="M413" i="19" s="1"/>
  <c r="T413" i="19"/>
  <c r="W413" i="19" s="1"/>
  <c r="Z413" i="19" s="1"/>
  <c r="EG376" i="19"/>
  <c r="EJ376" i="19" s="1"/>
  <c r="EM376" i="19" s="1"/>
  <c r="G376" i="19"/>
  <c r="J376" i="19" s="1"/>
  <c r="M376" i="19" s="1"/>
  <c r="G350" i="19"/>
  <c r="J350" i="19" s="1"/>
  <c r="M350" i="19" s="1"/>
  <c r="BG344" i="19"/>
  <c r="BJ344" i="19" s="1"/>
  <c r="BM344" i="19" s="1"/>
  <c r="G382" i="19"/>
  <c r="J382" i="19" s="1"/>
  <c r="M382" i="19" s="1"/>
  <c r="ET413" i="19"/>
  <c r="EW413" i="19" s="1"/>
  <c r="EZ413" i="19" s="1"/>
  <c r="CG350" i="19"/>
  <c r="CJ350" i="19" s="1"/>
  <c r="CM350" i="19" s="1"/>
  <c r="ET350" i="19"/>
  <c r="EW350" i="19" s="1"/>
  <c r="EZ350" i="19" s="1"/>
  <c r="DT356" i="19"/>
  <c r="DW356" i="19" s="1"/>
  <c r="DZ356" i="19" s="1"/>
  <c r="AG376" i="19"/>
  <c r="AJ376" i="19" s="1"/>
  <c r="AM376" i="19" s="1"/>
  <c r="EG407" i="19"/>
  <c r="EJ407" i="19" s="1"/>
  <c r="EM407" i="19" s="1"/>
  <c r="T401" i="19"/>
  <c r="W401" i="19" s="1"/>
  <c r="Z401" i="19" s="1"/>
  <c r="BG356" i="19"/>
  <c r="BJ356" i="19" s="1"/>
  <c r="BM356" i="19" s="1"/>
  <c r="AT344" i="19"/>
  <c r="AW344" i="19" s="1"/>
  <c r="AZ344" i="19" s="1"/>
  <c r="BT401" i="19"/>
  <c r="BW401" i="19" s="1"/>
  <c r="BZ401" i="19" s="1"/>
  <c r="BG376" i="19"/>
  <c r="BJ376" i="19" s="1"/>
  <c r="BM376" i="19" s="1"/>
  <c r="T356" i="19"/>
  <c r="W356" i="19" s="1"/>
  <c r="Z356" i="19" s="1"/>
  <c r="AT370" i="19"/>
  <c r="AW370" i="19" s="1"/>
  <c r="AZ370" i="19" s="1"/>
  <c r="G344" i="19"/>
  <c r="J344" i="19" s="1"/>
  <c r="M344" i="19" s="1"/>
  <c r="AG413" i="19"/>
  <c r="AJ413" i="19" s="1"/>
  <c r="AM413" i="19" s="1"/>
  <c r="BT338" i="19"/>
  <c r="BW338" i="19" s="1"/>
  <c r="BZ338" i="19" s="1"/>
  <c r="BT407" i="19"/>
  <c r="BW407" i="19" s="1"/>
  <c r="BZ407" i="19" s="1"/>
  <c r="AG344" i="19"/>
  <c r="AJ344" i="19" s="1"/>
  <c r="AM344" i="19" s="1"/>
  <c r="DG419" i="19"/>
  <c r="DJ419" i="19" s="1"/>
  <c r="DM419" i="19" s="1"/>
  <c r="BT376" i="19"/>
  <c r="BW376" i="19" s="1"/>
  <c r="BZ376" i="19" s="1"/>
  <c r="BG401" i="19"/>
  <c r="BJ401" i="19" s="1"/>
  <c r="BM401" i="19" s="1"/>
  <c r="EG401" i="19"/>
  <c r="EJ401" i="19" s="1"/>
  <c r="EM401" i="19" s="1"/>
  <c r="AG388" i="19"/>
  <c r="AJ388" i="19" s="1"/>
  <c r="AM388" i="19" s="1"/>
  <c r="AT376" i="19"/>
  <c r="AW376" i="19" s="1"/>
  <c r="AZ376" i="19" s="1"/>
  <c r="CG382" i="19"/>
  <c r="CJ382" i="19" s="1"/>
  <c r="CM382" i="19" s="1"/>
  <c r="AG382" i="19"/>
  <c r="AJ382" i="19" s="1"/>
  <c r="AM382" i="19" s="1"/>
  <c r="T338" i="19"/>
  <c r="W338" i="19" s="1"/>
  <c r="Z338" i="19" s="1"/>
  <c r="ET388" i="19"/>
  <c r="EW388" i="19" s="1"/>
  <c r="EZ388" i="19" s="1"/>
  <c r="CG370" i="19"/>
  <c r="CJ370" i="19" s="1"/>
  <c r="CM370" i="19" s="1"/>
  <c r="CT376" i="19"/>
  <c r="CW376" i="19" s="1"/>
  <c r="CZ376" i="19" s="1"/>
  <c r="G388" i="19"/>
  <c r="J388" i="19" s="1"/>
  <c r="M388" i="19" s="1"/>
  <c r="BT419" i="19"/>
  <c r="BW419" i="19" s="1"/>
  <c r="BZ419" i="19" s="1"/>
  <c r="CT356" i="19"/>
  <c r="CW356" i="19" s="1"/>
  <c r="CZ356" i="19" s="1"/>
  <c r="EG388" i="19"/>
  <c r="EJ388" i="19" s="1"/>
  <c r="EM388" i="19" s="1"/>
  <c r="BG382" i="19"/>
  <c r="BJ382" i="19" s="1"/>
  <c r="BM382" i="19" s="1"/>
  <c r="EG382" i="19"/>
  <c r="EJ382" i="19" s="1"/>
  <c r="EM382" i="19" s="1"/>
  <c r="BT356" i="19"/>
  <c r="BW356" i="19" s="1"/>
  <c r="BZ356" i="19" s="1"/>
  <c r="G338" i="19"/>
  <c r="J338" i="19" s="1"/>
  <c r="M338" i="19" s="1"/>
  <c r="G370" i="19"/>
  <c r="J370" i="19" s="1"/>
  <c r="M370" i="19" s="1"/>
  <c r="DG382" i="19"/>
  <c r="DJ382" i="19" s="1"/>
  <c r="DM382" i="19" s="1"/>
  <c r="AG401" i="19"/>
  <c r="AJ401" i="19" s="1"/>
  <c r="AM401" i="19" s="1"/>
  <c r="DT382" i="19"/>
  <c r="DW382" i="19" s="1"/>
  <c r="DZ382" i="19" s="1"/>
  <c r="CG419" i="19"/>
  <c r="CJ419" i="19" s="1"/>
  <c r="CM419" i="19" s="1"/>
  <c r="BT388" i="19"/>
  <c r="BW388" i="19" s="1"/>
  <c r="BZ388" i="19" s="1"/>
  <c r="AG350" i="19"/>
  <c r="AJ350" i="19" s="1"/>
  <c r="AM350" i="19" s="1"/>
  <c r="T388" i="19"/>
  <c r="W388" i="19" s="1"/>
  <c r="Z388" i="19" s="1"/>
  <c r="DT413" i="19"/>
  <c r="DW413" i="19" s="1"/>
  <c r="DZ413" i="19" s="1"/>
  <c r="T370" i="19"/>
  <c r="W370" i="19" s="1"/>
  <c r="Z370" i="19" s="1"/>
  <c r="DG356" i="19"/>
  <c r="DJ356" i="19" s="1"/>
  <c r="DM356" i="19" s="1"/>
  <c r="ET356" i="19"/>
  <c r="EW356" i="19" s="1"/>
  <c r="EZ356" i="19" s="1"/>
  <c r="DG401" i="19"/>
  <c r="DJ401" i="19" s="1"/>
  <c r="DM401" i="19" s="1"/>
  <c r="AG419" i="19"/>
  <c r="AJ419" i="19" s="1"/>
  <c r="AM419" i="19" s="1"/>
  <c r="EG356" i="19"/>
  <c r="EJ356" i="19" s="1"/>
  <c r="EM356" i="19" s="1"/>
  <c r="DT370" i="19"/>
  <c r="DW370" i="19" s="1"/>
  <c r="DZ370" i="19" s="1"/>
  <c r="DT344" i="19"/>
  <c r="DW344" i="19" s="1"/>
  <c r="DZ344" i="19" s="1"/>
  <c r="DT407" i="19"/>
  <c r="DW407" i="19" s="1"/>
  <c r="DZ407" i="19" s="1"/>
  <c r="CG338" i="19"/>
  <c r="CJ338" i="19" s="1"/>
  <c r="CM338" i="19" s="1"/>
  <c r="DT350" i="19"/>
  <c r="DW350" i="19" s="1"/>
  <c r="DZ350" i="19" s="1"/>
  <c r="DT338" i="19"/>
  <c r="DW338" i="19" s="1"/>
  <c r="DZ338" i="19" s="1"/>
  <c r="CT382" i="19"/>
  <c r="CW382" i="19" s="1"/>
  <c r="CZ382" i="19" s="1"/>
  <c r="CT388" i="19"/>
  <c r="CW388" i="19" s="1"/>
  <c r="CZ388" i="19" s="1"/>
  <c r="CG344" i="19"/>
  <c r="CJ344" i="19" s="1"/>
  <c r="CM344" i="19" s="1"/>
  <c r="CT370" i="19"/>
  <c r="CW370" i="19" s="1"/>
  <c r="CZ370" i="19" s="1"/>
  <c r="EG419" i="19"/>
  <c r="EJ419" i="19" s="1"/>
  <c r="EM419" i="19" s="1"/>
  <c r="ET344" i="19"/>
  <c r="EW344" i="19" s="1"/>
  <c r="EZ344" i="19" s="1"/>
  <c r="EG350" i="19"/>
  <c r="EJ350" i="19" s="1"/>
  <c r="EM350" i="19" s="1"/>
  <c r="T376" i="19"/>
  <c r="W376" i="19" s="1"/>
  <c r="Z376" i="19" s="1"/>
  <c r="DT419" i="19"/>
  <c r="DW419" i="19" s="1"/>
  <c r="DZ419" i="19" s="1"/>
  <c r="T382" i="19"/>
  <c r="W382" i="19" s="1"/>
  <c r="Z382" i="19" s="1"/>
  <c r="AG407" i="19"/>
  <c r="AJ407" i="19" s="1"/>
  <c r="AM407" i="19" s="1"/>
  <c r="DG388" i="19"/>
  <c r="DJ388" i="19" s="1"/>
  <c r="DM388" i="19" s="1"/>
  <c r="G356" i="19"/>
  <c r="J356" i="19" s="1"/>
  <c r="M356" i="19" s="1"/>
  <c r="CG401" i="19"/>
  <c r="CJ401" i="19" s="1"/>
  <c r="CM401" i="19" s="1"/>
  <c r="BG407" i="19"/>
  <c r="BJ407" i="19" s="1"/>
  <c r="BM407" i="19" s="1"/>
  <c r="BG370" i="19"/>
  <c r="BJ370" i="19" s="1"/>
  <c r="BM370" i="19" s="1"/>
  <c r="DG376" i="19"/>
  <c r="DJ376" i="19" s="1"/>
  <c r="DM376" i="19" s="1"/>
  <c r="BT344" i="19"/>
  <c r="BW344" i="19" s="1"/>
  <c r="BZ344" i="19" s="1"/>
  <c r="CT338" i="19"/>
  <c r="CW338" i="19" s="1"/>
  <c r="CZ338" i="19" s="1"/>
  <c r="ET370" i="19"/>
  <c r="EW370" i="19" s="1"/>
  <c r="EZ370" i="19" s="1"/>
  <c r="ET382" i="19"/>
  <c r="EW382" i="19" s="1"/>
  <c r="EZ382" i="19" s="1"/>
  <c r="BG419" i="19"/>
  <c r="BJ419" i="19" s="1"/>
  <c r="BM419" i="19" s="1"/>
  <c r="AT413" i="19"/>
  <c r="AW413" i="19" s="1"/>
  <c r="AZ413" i="19" s="1"/>
  <c r="CG407" i="19"/>
  <c r="CJ407" i="19" s="1"/>
  <c r="CM407" i="19" s="1"/>
  <c r="BG338" i="19"/>
  <c r="BJ338" i="19" s="1"/>
  <c r="BM338" i="19" s="1"/>
  <c r="T419" i="19"/>
  <c r="W419" i="19" s="1"/>
  <c r="Z419" i="19" s="1"/>
  <c r="CG388" i="19"/>
  <c r="CJ388" i="19" s="1"/>
  <c r="CM388" i="19" s="1"/>
  <c r="CT413" i="19"/>
  <c r="CW413" i="19" s="1"/>
  <c r="CZ413" i="19" s="1"/>
  <c r="EG413" i="19"/>
  <c r="EJ413" i="19" s="1"/>
  <c r="EM413" i="19" s="1"/>
  <c r="T407" i="19"/>
  <c r="W407" i="19" s="1"/>
  <c r="Z407" i="19" s="1"/>
  <c r="DG407" i="19"/>
  <c r="DJ407" i="19" s="1"/>
  <c r="DM407" i="19" s="1"/>
  <c r="BG350" i="19"/>
  <c r="BJ350" i="19" s="1"/>
  <c r="BM350" i="19" s="1"/>
  <c r="CT419" i="19"/>
  <c r="CW419" i="19" s="1"/>
  <c r="CZ419" i="19" s="1"/>
  <c r="BG413" i="19"/>
  <c r="BJ413" i="19" s="1"/>
  <c r="BM413" i="19" s="1"/>
  <c r="G419" i="19"/>
  <c r="J419" i="19" s="1"/>
  <c r="M419" i="19" s="1"/>
  <c r="G401" i="19"/>
  <c r="J401" i="19" s="1"/>
  <c r="M401" i="19" s="1"/>
  <c r="DG413" i="19"/>
  <c r="DJ413" i="19" s="1"/>
  <c r="DM413" i="19" s="1"/>
  <c r="AT419" i="19"/>
  <c r="AW419" i="19" s="1"/>
  <c r="AZ419" i="19" s="1"/>
  <c r="CT350" i="19"/>
  <c r="CW350" i="19" s="1"/>
  <c r="CZ350" i="19" s="1"/>
  <c r="EG370" i="19"/>
  <c r="EJ370" i="19" s="1"/>
  <c r="EM370" i="19" s="1"/>
  <c r="AT356" i="19"/>
  <c r="AW356" i="19" s="1"/>
  <c r="AZ356" i="19" s="1"/>
  <c r="AT388" i="19"/>
  <c r="AW388" i="19" s="1"/>
  <c r="AZ388" i="19" s="1"/>
  <c r="G407" i="19"/>
  <c r="J407" i="19" s="1"/>
  <c r="M407" i="19" s="1"/>
  <c r="T344" i="19"/>
  <c r="W344" i="19" s="1"/>
  <c r="Z344" i="19" s="1"/>
  <c r="ET419" i="19"/>
  <c r="EW419" i="19" s="1"/>
  <c r="EZ419" i="19" s="1"/>
  <c r="EG344" i="19"/>
  <c r="EJ344" i="19" s="1"/>
  <c r="EM344" i="19" s="1"/>
  <c r="AT407" i="19"/>
  <c r="AW407" i="19" s="1"/>
  <c r="AZ407" i="19" s="1"/>
  <c r="CG413" i="19"/>
  <c r="CJ413" i="19" s="1"/>
  <c r="CM413" i="19" s="1"/>
  <c r="AT338" i="19"/>
  <c r="AW338" i="19" s="1"/>
  <c r="AZ338" i="19" s="1"/>
  <c r="BG388" i="19"/>
  <c r="BJ388" i="19" s="1"/>
  <c r="BM388" i="19" s="1"/>
  <c r="DT388" i="19"/>
  <c r="DW388" i="19" s="1"/>
  <c r="DZ388" i="19" s="1"/>
  <c r="BT370" i="19"/>
  <c r="BW370" i="19" s="1"/>
  <c r="BZ370" i="19" s="1"/>
  <c r="ET401" i="19"/>
  <c r="EW401" i="19" s="1"/>
  <c r="EZ401" i="19" s="1"/>
  <c r="AT401" i="19"/>
  <c r="AW401" i="19" s="1"/>
  <c r="AZ401" i="19" s="1"/>
  <c r="EG338" i="19"/>
  <c r="EJ338" i="19" s="1"/>
  <c r="EM338" i="19" s="1"/>
  <c r="CG356" i="19"/>
  <c r="CJ356" i="19" s="1"/>
  <c r="CM356" i="19" s="1"/>
  <c r="ET407" i="19"/>
  <c r="EW407" i="19" s="1"/>
  <c r="EZ407" i="19" s="1"/>
  <c r="DG350" i="19"/>
  <c r="DJ350" i="19" s="1"/>
  <c r="DM350" i="19" s="1"/>
  <c r="CT344" i="19"/>
  <c r="CW344" i="19" s="1"/>
  <c r="CZ344" i="19" s="1"/>
  <c r="DT401" i="19"/>
  <c r="DW401" i="19" s="1"/>
  <c r="DZ401" i="19" s="1"/>
  <c r="AT350" i="19"/>
  <c r="AW350" i="19" s="1"/>
  <c r="AZ350" i="19" s="1"/>
  <c r="CT384" i="19"/>
  <c r="CW384" i="19" s="1"/>
  <c r="CZ384" i="19" s="1"/>
  <c r="AG421" i="19"/>
  <c r="AJ421" i="19" s="1"/>
  <c r="AM421" i="19" s="1"/>
  <c r="CT346" i="19"/>
  <c r="CW346" i="19" s="1"/>
  <c r="CZ346" i="19" s="1"/>
  <c r="ET403" i="19"/>
  <c r="EW403" i="19" s="1"/>
  <c r="EZ403" i="19" s="1"/>
  <c r="AT372" i="19"/>
  <c r="AW372" i="19" s="1"/>
  <c r="AZ372" i="19" s="1"/>
  <c r="EG415" i="19"/>
  <c r="EJ415" i="19" s="1"/>
  <c r="EM415" i="19" s="1"/>
  <c r="BG409" i="19"/>
  <c r="BJ409" i="19" s="1"/>
  <c r="BM409" i="19" s="1"/>
  <c r="BT352" i="19"/>
  <c r="BW352" i="19" s="1"/>
  <c r="BZ352" i="19" s="1"/>
  <c r="AT378" i="19"/>
  <c r="AW378" i="19" s="1"/>
  <c r="AZ378" i="19" s="1"/>
  <c r="DG346" i="19"/>
  <c r="DJ346" i="19" s="1"/>
  <c r="DM346" i="19" s="1"/>
  <c r="AG346" i="19"/>
  <c r="AJ346" i="19" s="1"/>
  <c r="AM346" i="19" s="1"/>
  <c r="T358" i="19"/>
  <c r="W358" i="19" s="1"/>
  <c r="Z358" i="19" s="1"/>
  <c r="AG403" i="19"/>
  <c r="AJ403" i="19" s="1"/>
  <c r="AM403" i="19" s="1"/>
  <c r="AG390" i="19"/>
  <c r="AJ390" i="19" s="1"/>
  <c r="AM390" i="19" s="1"/>
  <c r="AT340" i="19"/>
  <c r="AW340" i="19" s="1"/>
  <c r="AZ340" i="19" s="1"/>
  <c r="G378" i="19"/>
  <c r="J378" i="19" s="1"/>
  <c r="M378" i="19" s="1"/>
  <c r="BT390" i="19"/>
  <c r="BW390" i="19" s="1"/>
  <c r="BZ390" i="19" s="1"/>
  <c r="BT346" i="19"/>
  <c r="BW346" i="19" s="1"/>
  <c r="BZ346" i="19" s="1"/>
  <c r="ET340" i="19"/>
  <c r="EW340" i="19" s="1"/>
  <c r="EZ340" i="19" s="1"/>
  <c r="DT346" i="19"/>
  <c r="DW346" i="19" s="1"/>
  <c r="DZ346" i="19" s="1"/>
  <c r="DG358" i="19"/>
  <c r="DJ358" i="19" s="1"/>
  <c r="DM358" i="19" s="1"/>
  <c r="T390" i="19"/>
  <c r="W390" i="19" s="1"/>
  <c r="Z390" i="19" s="1"/>
  <c r="CG340" i="19"/>
  <c r="CJ340" i="19" s="1"/>
  <c r="CM340" i="19" s="1"/>
  <c r="DG340" i="19"/>
  <c r="DJ340" i="19" s="1"/>
  <c r="DM340" i="19" s="1"/>
  <c r="AG415" i="19"/>
  <c r="AJ415" i="19" s="1"/>
  <c r="AM415" i="19" s="1"/>
  <c r="G409" i="19"/>
  <c r="J409" i="19" s="1"/>
  <c r="M409" i="19" s="1"/>
  <c r="CG403" i="19"/>
  <c r="CJ403" i="19" s="1"/>
  <c r="CM403" i="19" s="1"/>
  <c r="G403" i="19"/>
  <c r="J403" i="19" s="1"/>
  <c r="M403" i="19" s="1"/>
  <c r="ET358" i="19"/>
  <c r="EW358" i="19" s="1"/>
  <c r="EZ358" i="19" s="1"/>
  <c r="EG372" i="19"/>
  <c r="EJ372" i="19" s="1"/>
  <c r="EM372" i="19" s="1"/>
  <c r="BT358" i="19"/>
  <c r="BW358" i="19" s="1"/>
  <c r="BZ358" i="19" s="1"/>
  <c r="AT421" i="19"/>
  <c r="AW421" i="19" s="1"/>
  <c r="AZ421" i="19" s="1"/>
  <c r="BG403" i="19"/>
  <c r="BJ403" i="19" s="1"/>
  <c r="BM403" i="19" s="1"/>
  <c r="DG409" i="19"/>
  <c r="DJ409" i="19" s="1"/>
  <c r="DM409" i="19" s="1"/>
  <c r="BT415" i="19"/>
  <c r="BW415" i="19" s="1"/>
  <c r="BZ415" i="19" s="1"/>
  <c r="AT415" i="19"/>
  <c r="AW415" i="19" s="1"/>
  <c r="AZ415" i="19" s="1"/>
  <c r="BG346" i="19"/>
  <c r="BJ346" i="19" s="1"/>
  <c r="BM346" i="19" s="1"/>
  <c r="DT372" i="19"/>
  <c r="DW372" i="19" s="1"/>
  <c r="DZ372" i="19" s="1"/>
  <c r="CG384" i="19"/>
  <c r="CJ384" i="19" s="1"/>
  <c r="CM384" i="19" s="1"/>
  <c r="T415" i="19"/>
  <c r="W415" i="19" s="1"/>
  <c r="Z415" i="19" s="1"/>
  <c r="BG378" i="19"/>
  <c r="BJ378" i="19" s="1"/>
  <c r="BM378" i="19" s="1"/>
  <c r="AG378" i="19"/>
  <c r="AJ378" i="19" s="1"/>
  <c r="AM378" i="19" s="1"/>
  <c r="T409" i="19"/>
  <c r="W409" i="19" s="1"/>
  <c r="Z409" i="19" s="1"/>
  <c r="CG372" i="19"/>
  <c r="CJ372" i="19" s="1"/>
  <c r="CM372" i="19" s="1"/>
  <c r="AT403" i="19"/>
  <c r="AW403" i="19" s="1"/>
  <c r="AZ403" i="19" s="1"/>
  <c r="CG378" i="19"/>
  <c r="CJ378" i="19" s="1"/>
  <c r="CM378" i="19" s="1"/>
  <c r="T384" i="19"/>
  <c r="W384" i="19" s="1"/>
  <c r="Z384" i="19" s="1"/>
  <c r="CG415" i="19"/>
  <c r="CJ415" i="19" s="1"/>
  <c r="CM415" i="19" s="1"/>
  <c r="DT340" i="19"/>
  <c r="DW340" i="19" s="1"/>
  <c r="DZ340" i="19" s="1"/>
  <c r="G340" i="19"/>
  <c r="J340" i="19" s="1"/>
  <c r="M340" i="19" s="1"/>
  <c r="CT378" i="19"/>
  <c r="CW378" i="19" s="1"/>
  <c r="CZ378" i="19" s="1"/>
  <c r="EG378" i="19"/>
  <c r="EJ378" i="19" s="1"/>
  <c r="EM378" i="19" s="1"/>
  <c r="BT409" i="19"/>
  <c r="BW409" i="19" s="1"/>
  <c r="BZ409" i="19" s="1"/>
  <c r="BG384" i="19"/>
  <c r="BJ384" i="19" s="1"/>
  <c r="BM384" i="19" s="1"/>
  <c r="BG352" i="19"/>
  <c r="BJ352" i="19" s="1"/>
  <c r="BM352" i="19" s="1"/>
  <c r="DG390" i="19"/>
  <c r="DJ390" i="19" s="1"/>
  <c r="DM390" i="19" s="1"/>
  <c r="EG384" i="19"/>
  <c r="EJ384" i="19" s="1"/>
  <c r="EM384" i="19" s="1"/>
  <c r="T378" i="19"/>
  <c r="W378" i="19" s="1"/>
  <c r="Z378" i="19" s="1"/>
  <c r="DG384" i="19"/>
  <c r="DJ384" i="19" s="1"/>
  <c r="DM384" i="19" s="1"/>
  <c r="CT372" i="19"/>
  <c r="CW372" i="19" s="1"/>
  <c r="CZ372" i="19" s="1"/>
  <c r="BG358" i="19"/>
  <c r="BJ358" i="19" s="1"/>
  <c r="BM358" i="19" s="1"/>
  <c r="CT390" i="19"/>
  <c r="CW390" i="19" s="1"/>
  <c r="CZ390" i="19" s="1"/>
  <c r="DT390" i="19"/>
  <c r="DW390" i="19" s="1"/>
  <c r="DZ390" i="19" s="1"/>
  <c r="BG390" i="19"/>
  <c r="BJ390" i="19" s="1"/>
  <c r="BM390" i="19" s="1"/>
  <c r="T421" i="19"/>
  <c r="W421" i="19" s="1"/>
  <c r="Z421" i="19" s="1"/>
  <c r="AG384" i="19"/>
  <c r="AJ384" i="19" s="1"/>
  <c r="AM384" i="19" s="1"/>
  <c r="G358" i="19"/>
  <c r="J358" i="19" s="1"/>
  <c r="M358" i="19" s="1"/>
  <c r="G384" i="19"/>
  <c r="J384" i="19" s="1"/>
  <c r="M384" i="19" s="1"/>
  <c r="DG372" i="19"/>
  <c r="DJ372" i="19" s="1"/>
  <c r="DM372" i="19" s="1"/>
  <c r="AT409" i="19"/>
  <c r="AW409" i="19" s="1"/>
  <c r="AZ409" i="19" s="1"/>
  <c r="AG340" i="19"/>
  <c r="AJ340" i="19" s="1"/>
  <c r="AM340" i="19" s="1"/>
  <c r="G352" i="19"/>
  <c r="J352" i="19" s="1"/>
  <c r="M352" i="19" s="1"/>
  <c r="DT415" i="19"/>
  <c r="DW415" i="19" s="1"/>
  <c r="DZ415" i="19" s="1"/>
  <c r="G421" i="19"/>
  <c r="J421" i="19" s="1"/>
  <c r="M421" i="19" s="1"/>
  <c r="BT378" i="19"/>
  <c r="BW378" i="19" s="1"/>
  <c r="BZ378" i="19" s="1"/>
  <c r="DT378" i="19"/>
  <c r="DW378" i="19" s="1"/>
  <c r="DZ378" i="19" s="1"/>
  <c r="CT340" i="19"/>
  <c r="CW340" i="19" s="1"/>
  <c r="CZ340" i="19" s="1"/>
  <c r="BT403" i="19"/>
  <c r="BW403" i="19" s="1"/>
  <c r="BZ403" i="19" s="1"/>
  <c r="T372" i="19"/>
  <c r="W372" i="19" s="1"/>
  <c r="Z372" i="19" s="1"/>
  <c r="EG340" i="19"/>
  <c r="EJ340" i="19" s="1"/>
  <c r="EM340" i="19" s="1"/>
  <c r="CT352" i="19"/>
  <c r="CW352" i="19" s="1"/>
  <c r="CZ352" i="19" s="1"/>
  <c r="T340" i="19"/>
  <c r="W340" i="19" s="1"/>
  <c r="Z340" i="19" s="1"/>
  <c r="DT384" i="19"/>
  <c r="DW384" i="19" s="1"/>
  <c r="DZ384" i="19" s="1"/>
  <c r="AG372" i="19"/>
  <c r="AJ372" i="19" s="1"/>
  <c r="AM372" i="19" s="1"/>
  <c r="DG421" i="19"/>
  <c r="DJ421" i="19" s="1"/>
  <c r="DM421" i="19" s="1"/>
  <c r="BT384" i="19"/>
  <c r="BW384" i="19" s="1"/>
  <c r="BZ384" i="19" s="1"/>
  <c r="DT409" i="19"/>
  <c r="DW409" i="19" s="1"/>
  <c r="DZ409" i="19" s="1"/>
  <c r="AT390" i="19"/>
  <c r="AW390" i="19" s="1"/>
  <c r="AZ390" i="19" s="1"/>
  <c r="DT403" i="19"/>
  <c r="DW403" i="19" s="1"/>
  <c r="DZ403" i="19" s="1"/>
  <c r="BG421" i="19"/>
  <c r="BJ421" i="19" s="1"/>
  <c r="BM421" i="19" s="1"/>
  <c r="CG390" i="19"/>
  <c r="CJ390" i="19" s="1"/>
  <c r="CM390" i="19" s="1"/>
  <c r="AG352" i="19"/>
  <c r="AJ352" i="19" s="1"/>
  <c r="AM352" i="19" s="1"/>
  <c r="G372" i="19"/>
  <c r="J372" i="19" s="1"/>
  <c r="M372" i="19" s="1"/>
  <c r="CG352" i="19"/>
  <c r="CJ352" i="19" s="1"/>
  <c r="CM352" i="19" s="1"/>
  <c r="DT358" i="19"/>
  <c r="DW358" i="19" s="1"/>
  <c r="DZ358" i="19" s="1"/>
  <c r="AT358" i="19"/>
  <c r="AW358" i="19" s="1"/>
  <c r="AZ358" i="19" s="1"/>
  <c r="DT421" i="19"/>
  <c r="DW421" i="19" s="1"/>
  <c r="DZ421" i="19" s="1"/>
  <c r="ET378" i="19"/>
  <c r="EW378" i="19" s="1"/>
  <c r="EZ378" i="19" s="1"/>
  <c r="BG415" i="19"/>
  <c r="BJ415" i="19" s="1"/>
  <c r="BM415" i="19" s="1"/>
  <c r="CT409" i="19"/>
  <c r="CW409" i="19" s="1"/>
  <c r="CZ409" i="19" s="1"/>
  <c r="AG409" i="19"/>
  <c r="AJ409" i="19" s="1"/>
  <c r="AM409" i="19" s="1"/>
  <c r="CT415" i="19"/>
  <c r="CW415" i="19" s="1"/>
  <c r="CZ415" i="19" s="1"/>
  <c r="EG346" i="19"/>
  <c r="EJ346" i="19" s="1"/>
  <c r="EM346" i="19" s="1"/>
  <c r="ET384" i="19"/>
  <c r="EW384" i="19" s="1"/>
  <c r="EZ384" i="19" s="1"/>
  <c r="EG421" i="19"/>
  <c r="EJ421" i="19" s="1"/>
  <c r="EM421" i="19" s="1"/>
  <c r="CT358" i="19"/>
  <c r="CW358" i="19" s="1"/>
  <c r="CZ358" i="19" s="1"/>
  <c r="CG346" i="19"/>
  <c r="CJ346" i="19" s="1"/>
  <c r="CM346" i="19" s="1"/>
  <c r="T403" i="19"/>
  <c r="W403" i="19" s="1"/>
  <c r="Z403" i="19" s="1"/>
  <c r="ET415" i="19"/>
  <c r="EW415" i="19" s="1"/>
  <c r="EZ415" i="19" s="1"/>
  <c r="ET346" i="19"/>
  <c r="EW346" i="19" s="1"/>
  <c r="EZ346" i="19" s="1"/>
  <c r="AT384" i="19"/>
  <c r="AW384" i="19" s="1"/>
  <c r="AZ384" i="19" s="1"/>
  <c r="DG378" i="19"/>
  <c r="DJ378" i="19" s="1"/>
  <c r="DM378" i="19" s="1"/>
  <c r="EG390" i="19"/>
  <c r="EJ390" i="19" s="1"/>
  <c r="EM390" i="19" s="1"/>
  <c r="G346" i="19"/>
  <c r="J346" i="19" s="1"/>
  <c r="M346" i="19" s="1"/>
  <c r="EG403" i="19"/>
  <c r="EJ403" i="19" s="1"/>
  <c r="EM403" i="19" s="1"/>
  <c r="ET352" i="19"/>
  <c r="EW352" i="19" s="1"/>
  <c r="EZ352" i="19" s="1"/>
  <c r="AT346" i="19"/>
  <c r="AW346" i="19" s="1"/>
  <c r="AZ346" i="19" s="1"/>
  <c r="DT352" i="19"/>
  <c r="DW352" i="19" s="1"/>
  <c r="DZ352" i="19" s="1"/>
  <c r="BG340" i="19"/>
  <c r="BJ340" i="19" s="1"/>
  <c r="BM340" i="19" s="1"/>
  <c r="G415" i="19"/>
  <c r="J415" i="19" s="1"/>
  <c r="M415" i="19" s="1"/>
  <c r="BG372" i="19"/>
  <c r="BJ372" i="19" s="1"/>
  <c r="BM372" i="19" s="1"/>
  <c r="ET421" i="19"/>
  <c r="EW421" i="19" s="1"/>
  <c r="EZ421" i="19" s="1"/>
  <c r="DG415" i="19"/>
  <c r="DJ415" i="19" s="1"/>
  <c r="DM415" i="19" s="1"/>
  <c r="CT421" i="19"/>
  <c r="CW421" i="19" s="1"/>
  <c r="CZ421" i="19" s="1"/>
  <c r="ET372" i="19"/>
  <c r="EW372" i="19" s="1"/>
  <c r="EZ372" i="19" s="1"/>
  <c r="BT421" i="19"/>
  <c r="BW421" i="19" s="1"/>
  <c r="BZ421" i="19" s="1"/>
  <c r="EG358" i="19"/>
  <c r="EJ358" i="19" s="1"/>
  <c r="EM358" i="19" s="1"/>
  <c r="CG358" i="19"/>
  <c r="CJ358" i="19" s="1"/>
  <c r="CM358" i="19" s="1"/>
  <c r="DG403" i="19"/>
  <c r="DJ403" i="19" s="1"/>
  <c r="DM403" i="19" s="1"/>
  <c r="DG352" i="19"/>
  <c r="DJ352" i="19" s="1"/>
  <c r="DM352" i="19" s="1"/>
  <c r="ET390" i="19"/>
  <c r="EW390" i="19" s="1"/>
  <c r="EZ390" i="19" s="1"/>
  <c r="EG352" i="19"/>
  <c r="EJ352" i="19" s="1"/>
  <c r="EM352" i="19" s="1"/>
  <c r="T352" i="19"/>
  <c r="W352" i="19" s="1"/>
  <c r="Z352" i="19" s="1"/>
  <c r="CT403" i="19"/>
  <c r="CW403" i="19" s="1"/>
  <c r="CZ403" i="19" s="1"/>
  <c r="T346" i="19"/>
  <c r="W346" i="19" s="1"/>
  <c r="Z346" i="19" s="1"/>
  <c r="G390" i="19"/>
  <c r="J390" i="19" s="1"/>
  <c r="M390" i="19" s="1"/>
  <c r="ET409" i="19"/>
  <c r="EW409" i="19" s="1"/>
  <c r="EZ409" i="19" s="1"/>
  <c r="BT340" i="19"/>
  <c r="BW340" i="19" s="1"/>
  <c r="BZ340" i="19" s="1"/>
  <c r="CG409" i="19"/>
  <c r="CJ409" i="19" s="1"/>
  <c r="CM409" i="19" s="1"/>
  <c r="BT372" i="19"/>
  <c r="BW372" i="19" s="1"/>
  <c r="BZ372" i="19" s="1"/>
  <c r="CG421" i="19"/>
  <c r="CJ421" i="19" s="1"/>
  <c r="CM421" i="19" s="1"/>
  <c r="EG409" i="19"/>
  <c r="EJ409" i="19" s="1"/>
  <c r="EM409" i="19" s="1"/>
  <c r="AT352" i="19"/>
  <c r="AW352" i="19" s="1"/>
  <c r="AZ352" i="19" s="1"/>
  <c r="AG358" i="19"/>
  <c r="AJ358" i="19" s="1"/>
  <c r="AM358" i="19" s="1"/>
  <c r="DE407" i="19"/>
  <c r="DH407" i="19" s="1"/>
  <c r="DK407" i="19" s="1"/>
  <c r="CR350" i="19"/>
  <c r="CU350" i="19" s="1"/>
  <c r="CX350" i="19" s="1"/>
  <c r="AR344" i="19"/>
  <c r="AU344" i="19" s="1"/>
  <c r="AX344" i="19" s="1"/>
  <c r="ER413" i="19"/>
  <c r="EU413" i="19" s="1"/>
  <c r="EX413" i="19" s="1"/>
  <c r="BE388" i="19"/>
  <c r="BH388" i="19" s="1"/>
  <c r="BK388" i="19" s="1"/>
  <c r="AE356" i="19"/>
  <c r="AH356" i="19" s="1"/>
  <c r="AK356" i="19" s="1"/>
  <c r="E413" i="19"/>
  <c r="H413" i="19" s="1"/>
  <c r="K413" i="19" s="1"/>
  <c r="AR376" i="19"/>
  <c r="AU376" i="19" s="1"/>
  <c r="AX376" i="19" s="1"/>
  <c r="DE370" i="19"/>
  <c r="DH370" i="19" s="1"/>
  <c r="DK370" i="19" s="1"/>
  <c r="EE344" i="19"/>
  <c r="EH344" i="19" s="1"/>
  <c r="EK344" i="19" s="1"/>
  <c r="DE401" i="19"/>
  <c r="DH401" i="19" s="1"/>
  <c r="DK401" i="19" s="1"/>
  <c r="CE413" i="19"/>
  <c r="CH413" i="19" s="1"/>
  <c r="CK413" i="19" s="1"/>
  <c r="CE401" i="19"/>
  <c r="CH401" i="19" s="1"/>
  <c r="CK401" i="19" s="1"/>
  <c r="EE413" i="19"/>
  <c r="EH413" i="19" s="1"/>
  <c r="EK413" i="19" s="1"/>
  <c r="BE350" i="19"/>
  <c r="BH350" i="19" s="1"/>
  <c r="BK350" i="19" s="1"/>
  <c r="AR388" i="19"/>
  <c r="AU388" i="19" s="1"/>
  <c r="AX388" i="19" s="1"/>
  <c r="ER401" i="19"/>
  <c r="EU401" i="19" s="1"/>
  <c r="EX401" i="19" s="1"/>
  <c r="CE388" i="19"/>
  <c r="CH388" i="19" s="1"/>
  <c r="CK388" i="19" s="1"/>
  <c r="AR401" i="19"/>
  <c r="AU401" i="19" s="1"/>
  <c r="AX401" i="19" s="1"/>
  <c r="DR356" i="19"/>
  <c r="DU356" i="19" s="1"/>
  <c r="DX356" i="19" s="1"/>
  <c r="R407" i="19"/>
  <c r="U407" i="19" s="1"/>
  <c r="X407" i="19" s="1"/>
  <c r="BE382" i="19"/>
  <c r="BH382" i="19" s="1"/>
  <c r="BK382" i="19" s="1"/>
  <c r="E407" i="19"/>
  <c r="H407" i="19" s="1"/>
  <c r="K407" i="19" s="1"/>
  <c r="AR407" i="19"/>
  <c r="AU407" i="19" s="1"/>
  <c r="AX407" i="19" s="1"/>
  <c r="ER376" i="19"/>
  <c r="EU376" i="19" s="1"/>
  <c r="EX376" i="19" s="1"/>
  <c r="BE338" i="19"/>
  <c r="BH338" i="19" s="1"/>
  <c r="BK338" i="19" s="1"/>
  <c r="BE376" i="19"/>
  <c r="BH376" i="19" s="1"/>
  <c r="BK376" i="19" s="1"/>
  <c r="CE376" i="19"/>
  <c r="CH376" i="19" s="1"/>
  <c r="CK376" i="19" s="1"/>
  <c r="DR407" i="19"/>
  <c r="DU407" i="19" s="1"/>
  <c r="DX407" i="19" s="1"/>
  <c r="DE344" i="19"/>
  <c r="DH344" i="19" s="1"/>
  <c r="DK344" i="19" s="1"/>
  <c r="CE338" i="19"/>
  <c r="CH338" i="19" s="1"/>
  <c r="CK338" i="19" s="1"/>
  <c r="DR350" i="19"/>
  <c r="DU350" i="19" s="1"/>
  <c r="DX350" i="19" s="1"/>
  <c r="DR388" i="19"/>
  <c r="DU388" i="19" s="1"/>
  <c r="DX388" i="19" s="1"/>
  <c r="BR382" i="19"/>
  <c r="BU382" i="19" s="1"/>
  <c r="BX382" i="19" s="1"/>
  <c r="AE413" i="19"/>
  <c r="AH413" i="19" s="1"/>
  <c r="AK413" i="19" s="1"/>
  <c r="CR382" i="19"/>
  <c r="CU382" i="19" s="1"/>
  <c r="CX382" i="19" s="1"/>
  <c r="BR419" i="19"/>
  <c r="BU419" i="19" s="1"/>
  <c r="BX419" i="19" s="1"/>
  <c r="BE413" i="19"/>
  <c r="BH413" i="19" s="1"/>
  <c r="BK413" i="19" s="1"/>
  <c r="BE344" i="19"/>
  <c r="BH344" i="19" s="1"/>
  <c r="BK344" i="19" s="1"/>
  <c r="DE338" i="19"/>
  <c r="DH338" i="19" s="1"/>
  <c r="DK338" i="19" s="1"/>
  <c r="R338" i="19"/>
  <c r="U338" i="19" s="1"/>
  <c r="X338" i="19" s="1"/>
  <c r="CR344" i="19"/>
  <c r="CU344" i="19" s="1"/>
  <c r="CX344" i="19" s="1"/>
  <c r="DR382" i="19"/>
  <c r="DU382" i="19" s="1"/>
  <c r="DX382" i="19" s="1"/>
  <c r="EE376" i="19"/>
  <c r="EH376" i="19" s="1"/>
  <c r="EK376" i="19" s="1"/>
  <c r="CR370" i="19"/>
  <c r="CU370" i="19" s="1"/>
  <c r="CX370" i="19" s="1"/>
  <c r="BR376" i="19"/>
  <c r="BU376" i="19" s="1"/>
  <c r="BX376" i="19" s="1"/>
  <c r="BR413" i="19"/>
  <c r="BU413" i="19" s="1"/>
  <c r="BX413" i="19" s="1"/>
  <c r="EE419" i="19"/>
  <c r="EH419" i="19" s="1"/>
  <c r="EK419" i="19" s="1"/>
  <c r="DR413" i="19"/>
  <c r="DU413" i="19" s="1"/>
  <c r="DX413" i="19" s="1"/>
  <c r="AE376" i="19"/>
  <c r="AH376" i="19" s="1"/>
  <c r="AK376" i="19" s="1"/>
  <c r="E344" i="19"/>
  <c r="H344" i="19" s="1"/>
  <c r="K344" i="19" s="1"/>
  <c r="R401" i="19"/>
  <c r="U401" i="19" s="1"/>
  <c r="X401" i="19" s="1"/>
  <c r="AE344" i="19"/>
  <c r="AH344" i="19" s="1"/>
  <c r="AK344" i="19" s="1"/>
  <c r="CR388" i="19"/>
  <c r="CU388" i="19" s="1"/>
  <c r="CX388" i="19" s="1"/>
  <c r="R382" i="19"/>
  <c r="U382" i="19" s="1"/>
  <c r="X382" i="19" s="1"/>
  <c r="DE388" i="19"/>
  <c r="DH388" i="19" s="1"/>
  <c r="DK388" i="19" s="1"/>
  <c r="BR356" i="19"/>
  <c r="BU356" i="19" s="1"/>
  <c r="BX356" i="19" s="1"/>
  <c r="DE413" i="19"/>
  <c r="DH413" i="19" s="1"/>
  <c r="DK413" i="19" s="1"/>
  <c r="DR401" i="19"/>
  <c r="DU401" i="19" s="1"/>
  <c r="DX401" i="19" s="1"/>
  <c r="BR407" i="19"/>
  <c r="BU407" i="19" s="1"/>
  <c r="BX407" i="19" s="1"/>
  <c r="ER419" i="19"/>
  <c r="EU419" i="19" s="1"/>
  <c r="EX419" i="19" s="1"/>
  <c r="AR382" i="19"/>
  <c r="AU382" i="19" s="1"/>
  <c r="AX382" i="19" s="1"/>
  <c r="DE419" i="19"/>
  <c r="DH419" i="19" s="1"/>
  <c r="DK419" i="19" s="1"/>
  <c r="R413" i="19"/>
  <c r="U413" i="19" s="1"/>
  <c r="X413" i="19" s="1"/>
  <c r="CR419" i="19"/>
  <c r="CU419" i="19" s="1"/>
  <c r="CX419" i="19" s="1"/>
  <c r="DR370" i="19"/>
  <c r="DU370" i="19" s="1"/>
  <c r="DX370" i="19" s="1"/>
  <c r="BE401" i="19"/>
  <c r="BH401" i="19" s="1"/>
  <c r="BK401" i="19" s="1"/>
  <c r="R344" i="19"/>
  <c r="U344" i="19" s="1"/>
  <c r="X344" i="19" s="1"/>
  <c r="CE356" i="19"/>
  <c r="CH356" i="19" s="1"/>
  <c r="CK356" i="19" s="1"/>
  <c r="BR338" i="19"/>
  <c r="BU338" i="19" s="1"/>
  <c r="BX338" i="19" s="1"/>
  <c r="AR419" i="19"/>
  <c r="AU419" i="19" s="1"/>
  <c r="AX419" i="19" s="1"/>
  <c r="BR344" i="19"/>
  <c r="BU344" i="19" s="1"/>
  <c r="BX344" i="19" s="1"/>
  <c r="DE350" i="19"/>
  <c r="DH350" i="19" s="1"/>
  <c r="DK350" i="19" s="1"/>
  <c r="AE338" i="19"/>
  <c r="AH338" i="19" s="1"/>
  <c r="AK338" i="19" s="1"/>
  <c r="BE356" i="19"/>
  <c r="BH356" i="19" s="1"/>
  <c r="BK356" i="19" s="1"/>
  <c r="CR401" i="19"/>
  <c r="CU401" i="19" s="1"/>
  <c r="CX401" i="19" s="1"/>
  <c r="AR350" i="19"/>
  <c r="AU350" i="19" s="1"/>
  <c r="AX350" i="19" s="1"/>
  <c r="E419" i="19"/>
  <c r="H419" i="19" s="1"/>
  <c r="K419" i="19" s="1"/>
  <c r="E370" i="19"/>
  <c r="H370" i="19" s="1"/>
  <c r="K370" i="19" s="1"/>
  <c r="BE407" i="19"/>
  <c r="BH407" i="19" s="1"/>
  <c r="BK407" i="19" s="1"/>
  <c r="ER382" i="19"/>
  <c r="EU382" i="19" s="1"/>
  <c r="EX382" i="19" s="1"/>
  <c r="ER370" i="19"/>
  <c r="EU370" i="19" s="1"/>
  <c r="EX370" i="19" s="1"/>
  <c r="DR338" i="19"/>
  <c r="DU338" i="19" s="1"/>
  <c r="DX338" i="19" s="1"/>
  <c r="EE350" i="19"/>
  <c r="EH350" i="19" s="1"/>
  <c r="EK350" i="19" s="1"/>
  <c r="E388" i="19"/>
  <c r="H388" i="19" s="1"/>
  <c r="K388" i="19" s="1"/>
  <c r="R419" i="19"/>
  <c r="U419" i="19" s="1"/>
  <c r="X419" i="19" s="1"/>
  <c r="EE382" i="19"/>
  <c r="EH382" i="19" s="1"/>
  <c r="EK382" i="19" s="1"/>
  <c r="ER338" i="19"/>
  <c r="EU338" i="19" s="1"/>
  <c r="EX338" i="19" s="1"/>
  <c r="CR356" i="19"/>
  <c r="CU356" i="19" s="1"/>
  <c r="CX356" i="19" s="1"/>
  <c r="R388" i="19"/>
  <c r="U388" i="19" s="1"/>
  <c r="X388" i="19" s="1"/>
  <c r="EE338" i="19"/>
  <c r="EH338" i="19" s="1"/>
  <c r="EK338" i="19" s="1"/>
  <c r="ER344" i="19"/>
  <c r="EU344" i="19" s="1"/>
  <c r="EX344" i="19" s="1"/>
  <c r="DE376" i="19"/>
  <c r="DH376" i="19" s="1"/>
  <c r="DK376" i="19" s="1"/>
  <c r="AR356" i="19"/>
  <c r="AU356" i="19" s="1"/>
  <c r="AX356" i="19" s="1"/>
  <c r="E376" i="19"/>
  <c r="H376" i="19" s="1"/>
  <c r="K376" i="19" s="1"/>
  <c r="CR407" i="19"/>
  <c r="CU407" i="19" s="1"/>
  <c r="CX407" i="19" s="1"/>
  <c r="E401" i="19"/>
  <c r="H401" i="19" s="1"/>
  <c r="K401" i="19" s="1"/>
  <c r="AR413" i="19"/>
  <c r="AU413" i="19" s="1"/>
  <c r="AX413" i="19" s="1"/>
  <c r="EE401" i="19"/>
  <c r="EH401" i="19" s="1"/>
  <c r="EK401" i="19" s="1"/>
  <c r="DR419" i="19"/>
  <c r="DU419" i="19" s="1"/>
  <c r="DX419" i="19" s="1"/>
  <c r="ER356" i="19"/>
  <c r="EU356" i="19" s="1"/>
  <c r="EX356" i="19" s="1"/>
  <c r="AE419" i="19"/>
  <c r="AH419" i="19" s="1"/>
  <c r="AK419" i="19" s="1"/>
  <c r="AE401" i="19"/>
  <c r="AH401" i="19" s="1"/>
  <c r="AK401" i="19" s="1"/>
  <c r="BR388" i="19"/>
  <c r="BU388" i="19" s="1"/>
  <c r="BX388" i="19" s="1"/>
  <c r="EE356" i="19"/>
  <c r="EH356" i="19" s="1"/>
  <c r="EK356" i="19" s="1"/>
  <c r="CE382" i="19"/>
  <c r="CH382" i="19" s="1"/>
  <c r="CK382" i="19" s="1"/>
  <c r="R370" i="19"/>
  <c r="U370" i="19" s="1"/>
  <c r="X370" i="19" s="1"/>
  <c r="DR344" i="19"/>
  <c r="DU344" i="19" s="1"/>
  <c r="DX344" i="19" s="1"/>
  <c r="CR338" i="19"/>
  <c r="CU338" i="19" s="1"/>
  <c r="CX338" i="19" s="1"/>
  <c r="CE370" i="19"/>
  <c r="CH370" i="19" s="1"/>
  <c r="CK370" i="19" s="1"/>
  <c r="ER407" i="19"/>
  <c r="EU407" i="19" s="1"/>
  <c r="EX407" i="19" s="1"/>
  <c r="CE344" i="19"/>
  <c r="CH344" i="19" s="1"/>
  <c r="CK344" i="19" s="1"/>
  <c r="E338" i="19"/>
  <c r="H338" i="19" s="1"/>
  <c r="K338" i="19" s="1"/>
  <c r="AE407" i="19"/>
  <c r="AH407" i="19" s="1"/>
  <c r="AK407" i="19" s="1"/>
  <c r="CE350" i="19"/>
  <c r="CH350" i="19" s="1"/>
  <c r="CK350" i="19" s="1"/>
  <c r="EE407" i="19"/>
  <c r="EH407" i="19" s="1"/>
  <c r="EK407" i="19" s="1"/>
  <c r="CE419" i="19"/>
  <c r="CH419" i="19" s="1"/>
  <c r="CK419" i="19" s="1"/>
  <c r="BR370" i="19"/>
  <c r="BU370" i="19" s="1"/>
  <c r="BX370" i="19" s="1"/>
  <c r="AE370" i="19"/>
  <c r="AH370" i="19" s="1"/>
  <c r="AK370" i="19" s="1"/>
  <c r="EE388" i="19"/>
  <c r="EH388" i="19" s="1"/>
  <c r="EK388" i="19" s="1"/>
  <c r="DE356" i="19"/>
  <c r="DH356" i="19" s="1"/>
  <c r="DK356" i="19" s="1"/>
  <c r="AE350" i="19"/>
  <c r="AH350" i="19" s="1"/>
  <c r="AK350" i="19" s="1"/>
  <c r="BR350" i="19"/>
  <c r="BU350" i="19" s="1"/>
  <c r="BX350" i="19" s="1"/>
  <c r="R356" i="19"/>
  <c r="U356" i="19" s="1"/>
  <c r="X356" i="19" s="1"/>
  <c r="CR413" i="19"/>
  <c r="CU413" i="19" s="1"/>
  <c r="CX413" i="19" s="1"/>
  <c r="ER350" i="19"/>
  <c r="EU350" i="19" s="1"/>
  <c r="EX350" i="19" s="1"/>
  <c r="BR401" i="19"/>
  <c r="BU401" i="19" s="1"/>
  <c r="BX401" i="19" s="1"/>
  <c r="DR376" i="19"/>
  <c r="DU376" i="19" s="1"/>
  <c r="DX376" i="19" s="1"/>
  <c r="EE370" i="19"/>
  <c r="EH370" i="19" s="1"/>
  <c r="EK370" i="19" s="1"/>
  <c r="AE382" i="19"/>
  <c r="AH382" i="19" s="1"/>
  <c r="AK382" i="19" s="1"/>
  <c r="ER388" i="19"/>
  <c r="EU388" i="19" s="1"/>
  <c r="EX388" i="19" s="1"/>
  <c r="E356" i="19"/>
  <c r="H356" i="19" s="1"/>
  <c r="K356" i="19" s="1"/>
  <c r="BE419" i="19"/>
  <c r="BH419" i="19" s="1"/>
  <c r="BK419" i="19" s="1"/>
  <c r="E382" i="19"/>
  <c r="H382" i="19" s="1"/>
  <c r="K382" i="19" s="1"/>
  <c r="AE388" i="19"/>
  <c r="AH388" i="19" s="1"/>
  <c r="AK388" i="19" s="1"/>
  <c r="R376" i="19"/>
  <c r="U376" i="19" s="1"/>
  <c r="X376" i="19" s="1"/>
  <c r="CE407" i="19"/>
  <c r="CH407" i="19" s="1"/>
  <c r="CK407" i="19" s="1"/>
  <c r="CR376" i="19"/>
  <c r="CU376" i="19" s="1"/>
  <c r="CX376" i="19" s="1"/>
  <c r="AR370" i="19"/>
  <c r="AU370" i="19" s="1"/>
  <c r="AX370" i="19" s="1"/>
  <c r="AR338" i="19"/>
  <c r="AU338" i="19" s="1"/>
  <c r="AX338" i="19" s="1"/>
  <c r="E350" i="19"/>
  <c r="H350" i="19" s="1"/>
  <c r="K350" i="19" s="1"/>
  <c r="R350" i="19"/>
  <c r="U350" i="19" s="1"/>
  <c r="X350" i="19" s="1"/>
  <c r="DE382" i="19"/>
  <c r="DH382" i="19" s="1"/>
  <c r="DK382" i="19" s="1"/>
  <c r="BE370" i="19"/>
  <c r="BH370" i="19" s="1"/>
  <c r="BK370" i="19" s="1"/>
  <c r="EW389" i="19"/>
  <c r="EZ389" i="19" s="1"/>
  <c r="EJ383" i="19"/>
  <c r="EM383" i="19" s="1"/>
  <c r="J389" i="19"/>
  <c r="M389" i="19" s="1"/>
  <c r="W339" i="19"/>
  <c r="Z339" i="19" s="1"/>
  <c r="CW351" i="19"/>
  <c r="CZ351" i="19" s="1"/>
  <c r="W357" i="19"/>
  <c r="Z357" i="19" s="1"/>
  <c r="DJ402" i="19"/>
  <c r="DM402" i="19" s="1"/>
  <c r="EJ371" i="19"/>
  <c r="EM371" i="19" s="1"/>
  <c r="DJ408" i="19"/>
  <c r="DM408" i="19" s="1"/>
  <c r="AJ414" i="19"/>
  <c r="AM414" i="19" s="1"/>
  <c r="DJ357" i="19"/>
  <c r="DM357" i="19" s="1"/>
  <c r="DW371" i="19"/>
  <c r="DZ371" i="19" s="1"/>
  <c r="J414" i="19"/>
  <c r="M414" i="19" s="1"/>
  <c r="BW414" i="19"/>
  <c r="BZ414" i="19" s="1"/>
  <c r="BJ414" i="19"/>
  <c r="BM414" i="19" s="1"/>
  <c r="J408" i="19"/>
  <c r="M408" i="19" s="1"/>
  <c r="BJ389" i="19"/>
  <c r="BM389" i="19" s="1"/>
  <c r="AW345" i="19"/>
  <c r="AZ345" i="19" s="1"/>
  <c r="J402" i="19"/>
  <c r="M402" i="19" s="1"/>
  <c r="AW389" i="19"/>
  <c r="AZ389" i="19" s="1"/>
  <c r="AW339" i="19"/>
  <c r="AZ339" i="19" s="1"/>
  <c r="DY413" i="19"/>
  <c r="EJ402" i="19"/>
  <c r="EM402" i="19" s="1"/>
  <c r="DW414" i="19"/>
  <c r="DZ414" i="19" s="1"/>
  <c r="EJ351" i="19"/>
  <c r="EM351" i="19" s="1"/>
  <c r="EJ408" i="19"/>
  <c r="EM408" i="19" s="1"/>
  <c r="DJ377" i="19"/>
  <c r="DM377" i="19" s="1"/>
  <c r="DJ371" i="19"/>
  <c r="DM371" i="19" s="1"/>
  <c r="W389" i="19"/>
  <c r="Z389" i="19" s="1"/>
  <c r="AW351" i="19"/>
  <c r="AZ351" i="19" s="1"/>
  <c r="BW371" i="19"/>
  <c r="BZ371" i="19" s="1"/>
  <c r="AW383" i="19"/>
  <c r="AZ383" i="19" s="1"/>
  <c r="EW377" i="19"/>
  <c r="EZ377" i="19" s="1"/>
  <c r="EW357" i="19"/>
  <c r="EZ357" i="19" s="1"/>
  <c r="EW383" i="19"/>
  <c r="EZ383" i="19" s="1"/>
  <c r="Y338" i="19"/>
  <c r="AL401" i="19"/>
  <c r="BY388" i="19"/>
  <c r="CL401" i="19"/>
  <c r="CL350" i="19"/>
  <c r="DL382" i="19"/>
  <c r="Y356" i="19"/>
  <c r="AY376" i="19"/>
  <c r="DY338" i="19"/>
  <c r="AL419" i="19"/>
  <c r="AL388" i="19"/>
  <c r="DY370" i="19"/>
  <c r="EL376" i="19"/>
  <c r="AY401" i="19"/>
  <c r="AY356" i="19"/>
  <c r="DL344" i="19"/>
  <c r="BY413" i="19"/>
  <c r="CY388" i="19"/>
  <c r="BY419" i="19"/>
  <c r="Y401" i="19"/>
  <c r="CY407" i="19"/>
  <c r="DL356" i="19"/>
  <c r="CY338" i="19"/>
  <c r="DY419" i="19"/>
  <c r="BY382" i="19"/>
  <c r="BY356" i="19"/>
  <c r="Y407" i="19"/>
  <c r="CL382" i="19"/>
  <c r="CL407" i="19"/>
  <c r="EL407" i="19"/>
  <c r="Y382" i="19"/>
  <c r="CY344" i="19"/>
  <c r="BJ336" i="19"/>
  <c r="BM336" i="19" s="1"/>
  <c r="EJ342" i="19"/>
  <c r="EM342" i="19" s="1"/>
  <c r="BW336" i="19"/>
  <c r="BZ336" i="19" s="1"/>
  <c r="AW405" i="19"/>
  <c r="AZ405" i="19" s="1"/>
  <c r="AJ336" i="19"/>
  <c r="AM336" i="19" s="1"/>
  <c r="CJ374" i="19"/>
  <c r="CM374" i="19" s="1"/>
  <c r="EJ368" i="19"/>
  <c r="EM368" i="19" s="1"/>
  <c r="BW386" i="19"/>
  <c r="BZ386" i="19" s="1"/>
  <c r="AW368" i="19"/>
  <c r="AZ368" i="19" s="1"/>
  <c r="EW386" i="19"/>
  <c r="EZ386" i="19" s="1"/>
  <c r="EW380" i="19"/>
  <c r="EZ380" i="19" s="1"/>
  <c r="EW354" i="19"/>
  <c r="EZ354" i="19" s="1"/>
  <c r="DL348" i="19"/>
  <c r="AL417" i="19"/>
  <c r="DL399" i="19"/>
  <c r="BY399" i="19"/>
  <c r="DL368" i="19"/>
  <c r="DW399" i="19"/>
  <c r="DZ399" i="19" s="1"/>
  <c r="CJ342" i="19"/>
  <c r="CM342" i="19" s="1"/>
  <c r="CJ368" i="19"/>
  <c r="CM368" i="19" s="1"/>
  <c r="BJ411" i="19"/>
  <c r="BM411" i="19" s="1"/>
  <c r="EJ417" i="19"/>
  <c r="EM417" i="19" s="1"/>
  <c r="W399" i="19"/>
  <c r="Z399" i="19" s="1"/>
  <c r="AJ354" i="19"/>
  <c r="AM354" i="19" s="1"/>
  <c r="BJ417" i="19"/>
  <c r="BM417" i="19" s="1"/>
  <c r="CW348" i="19"/>
  <c r="CZ348" i="19" s="1"/>
  <c r="DJ380" i="19"/>
  <c r="DM380" i="19" s="1"/>
  <c r="J380" i="19"/>
  <c r="M380" i="19" s="1"/>
  <c r="CW417" i="19"/>
  <c r="CZ417" i="19" s="1"/>
  <c r="AJ417" i="19"/>
  <c r="AM417" i="19" s="1"/>
  <c r="EJ336" i="19"/>
  <c r="EM336" i="19" s="1"/>
  <c r="DJ336" i="19"/>
  <c r="DM336" i="19" s="1"/>
  <c r="DW342" i="19"/>
  <c r="DZ342" i="19" s="1"/>
  <c r="CW368" i="19"/>
  <c r="CZ368" i="19" s="1"/>
  <c r="AW386" i="19"/>
  <c r="AZ386" i="19" s="1"/>
  <c r="EW374" i="19"/>
  <c r="EZ374" i="19" s="1"/>
  <c r="EJ386" i="19"/>
  <c r="EM386" i="19" s="1"/>
  <c r="EU377" i="19"/>
  <c r="EX377" i="19" s="1"/>
  <c r="EU422" i="19"/>
  <c r="EX422" i="19" s="1"/>
  <c r="EU373" i="19"/>
  <c r="EX373" i="19" s="1"/>
  <c r="EU416" i="19"/>
  <c r="EX416" i="19" s="1"/>
  <c r="EU411" i="19"/>
  <c r="EX411" i="19" s="1"/>
  <c r="EU336" i="19"/>
  <c r="EX336" i="19" s="1"/>
  <c r="U348" i="19"/>
  <c r="X348" i="19" s="1"/>
  <c r="EU387" i="19"/>
  <c r="EX387" i="19" s="1"/>
  <c r="CH412" i="19"/>
  <c r="CK412" i="19" s="1"/>
  <c r="BU412" i="19"/>
  <c r="BX412" i="19" s="1"/>
  <c r="BU400" i="19"/>
  <c r="BX400" i="19" s="1"/>
  <c r="AH381" i="19"/>
  <c r="AK381" i="19" s="1"/>
  <c r="DH369" i="19"/>
  <c r="DK369" i="19" s="1"/>
  <c r="AU412" i="19"/>
  <c r="AX412" i="19" s="1"/>
  <c r="BU375" i="19"/>
  <c r="BX375" i="19" s="1"/>
  <c r="AU369" i="19"/>
  <c r="AX369" i="19" s="1"/>
  <c r="AU381" i="19"/>
  <c r="AX381" i="19" s="1"/>
  <c r="EH406" i="19"/>
  <c r="EK406" i="19" s="1"/>
  <c r="U375" i="19"/>
  <c r="X375" i="19" s="1"/>
  <c r="DH387" i="19"/>
  <c r="DK387" i="19" s="1"/>
  <c r="CH355" i="19"/>
  <c r="CK355" i="19" s="1"/>
  <c r="DU400" i="19"/>
  <c r="DX400" i="19" s="1"/>
  <c r="AU375" i="19"/>
  <c r="AX375" i="19" s="1"/>
  <c r="U400" i="19"/>
  <c r="X400" i="19" s="1"/>
  <c r="CH343" i="19"/>
  <c r="CK343" i="19" s="1"/>
  <c r="CH349" i="19"/>
  <c r="CK349" i="19" s="1"/>
  <c r="H355" i="19"/>
  <c r="K355" i="19" s="1"/>
  <c r="BH375" i="19"/>
  <c r="BK375" i="19" s="1"/>
  <c r="DU412" i="19"/>
  <c r="DX412" i="19" s="1"/>
  <c r="CU387" i="19"/>
  <c r="CX387" i="19" s="1"/>
  <c r="EH418" i="19"/>
  <c r="EK418" i="19" s="1"/>
  <c r="DU375" i="19"/>
  <c r="DX375" i="19" s="1"/>
  <c r="U355" i="19"/>
  <c r="X355" i="19" s="1"/>
  <c r="DU381" i="19"/>
  <c r="DX381" i="19" s="1"/>
  <c r="H369" i="19"/>
  <c r="K369" i="19" s="1"/>
  <c r="BU355" i="19"/>
  <c r="BX355" i="19" s="1"/>
  <c r="DH400" i="19"/>
  <c r="DK400" i="19" s="1"/>
  <c r="ET441" i="19" l="1"/>
  <c r="ES441" i="19" s="1" a="1"/>
  <c r="ES441" i="19" s="1"/>
  <c r="ET433" i="19"/>
  <c r="ES433" i="19" s="1" a="1"/>
  <c r="ES433" i="19" s="1"/>
  <c r="ET437" i="19"/>
  <c r="ES437" i="19" s="1" a="1"/>
  <c r="ES437" i="19" s="1"/>
  <c r="CT437" i="19"/>
  <c r="CQ437" i="19" s="1"/>
  <c r="CX455" i="19" s="1"/>
  <c r="DG433" i="19"/>
  <c r="CG433" i="19"/>
  <c r="DG441" i="19"/>
  <c r="EG441" i="19"/>
  <c r="AT437" i="19"/>
  <c r="AP437" i="19" s="1"/>
  <c r="AW455" i="19" s="1"/>
  <c r="AT433" i="19"/>
  <c r="AP433" i="19" s="1"/>
  <c r="AW451" i="19" s="1"/>
  <c r="BT437" i="19"/>
  <c r="BP437" i="19" s="1"/>
  <c r="BW455" i="19" s="1"/>
  <c r="T437" i="19"/>
  <c r="S437" i="19" s="1"/>
  <c r="Z455" i="19" s="1"/>
  <c r="BG433" i="19"/>
  <c r="BJ433" i="19" s="1"/>
  <c r="BG441" i="19"/>
  <c r="DT433" i="19"/>
  <c r="G433" i="19"/>
  <c r="CG437" i="19"/>
  <c r="CF437" i="19" s="1"/>
  <c r="CM455" i="19" s="1"/>
  <c r="AT441" i="19"/>
  <c r="AG441" i="19"/>
  <c r="AG437" i="19"/>
  <c r="AE437" i="19" s="1"/>
  <c r="AL455" i="19" s="1"/>
  <c r="EG433" i="19"/>
  <c r="EJ433" i="19" s="1"/>
  <c r="DT441" i="19"/>
  <c r="AG433" i="19"/>
  <c r="AH433" i="19" s="1"/>
  <c r="G441" i="19"/>
  <c r="CG441" i="19"/>
  <c r="T441" i="19"/>
  <c r="DG437" i="19"/>
  <c r="DD437" i="19" s="1"/>
  <c r="DK455" i="19" s="1"/>
  <c r="CT433" i="19"/>
  <c r="G437" i="19"/>
  <c r="C437" i="19" s="1"/>
  <c r="J455" i="19" s="1"/>
  <c r="EG437" i="19"/>
  <c r="EF437" i="19" s="1"/>
  <c r="EM455" i="19" s="1"/>
  <c r="DT437" i="19"/>
  <c r="DR437" i="19" s="1"/>
  <c r="DY455" i="19" s="1"/>
  <c r="BT441" i="19"/>
  <c r="CT441" i="19"/>
  <c r="T433" i="19"/>
  <c r="Q433" i="19" s="1"/>
  <c r="X451" i="19" s="1"/>
  <c r="BT433" i="19"/>
  <c r="BG437" i="19"/>
  <c r="BF437" i="19" s="1"/>
  <c r="BM455" i="19" s="1"/>
  <c r="DV412" i="19"/>
  <c r="DY412" i="19" s="1"/>
  <c r="DV400" i="19"/>
  <c r="DY400" i="19" s="1"/>
  <c r="DV406" i="19"/>
  <c r="DY406" i="19" s="1"/>
  <c r="DV418" i="19"/>
  <c r="DY418" i="19" s="1"/>
  <c r="EI400" i="19"/>
  <c r="EL400" i="19" s="1"/>
  <c r="EI406" i="19"/>
  <c r="EL406" i="19" s="1"/>
  <c r="EI417" i="19"/>
  <c r="EL417" i="19" s="1"/>
  <c r="EI412" i="19"/>
  <c r="EL412" i="19" s="1"/>
  <c r="EI418" i="19"/>
  <c r="EL418" i="19" s="1"/>
  <c r="EI411" i="19"/>
  <c r="EL411" i="19" s="1"/>
  <c r="EI405" i="19"/>
  <c r="EL405" i="19" s="1"/>
  <c r="X424" i="19"/>
  <c r="K424" i="19"/>
  <c r="M68" i="16"/>
  <c r="K68" i="16" s="1" a="1"/>
  <c r="K68" i="16" s="1"/>
  <c r="T85" i="16"/>
  <c r="S85" i="16" s="1" a="1"/>
  <c r="S85" i="16" s="1"/>
  <c r="DG439" i="19"/>
  <c r="DF439" i="19" s="1"/>
  <c r="DM457" i="19" s="1"/>
  <c r="T87" i="16"/>
  <c r="S87" i="16" s="1" a="1"/>
  <c r="S87" i="16" s="1"/>
  <c r="T51" i="16"/>
  <c r="P51" i="16" s="1" a="1"/>
  <c r="P51" i="16" s="1"/>
  <c r="T53" i="16"/>
  <c r="P53" i="16" s="1" a="1"/>
  <c r="P53" i="16" s="1"/>
  <c r="F102" i="16"/>
  <c r="D102" i="16" s="1" a="1"/>
  <c r="D102" i="16" s="1"/>
  <c r="AG439" i="19"/>
  <c r="AE439" i="19" s="1"/>
  <c r="AL457" i="19" s="1"/>
  <c r="DT438" i="19"/>
  <c r="DQ438" i="19" s="1"/>
  <c r="DX456" i="19" s="1"/>
  <c r="M51" i="16"/>
  <c r="K51" i="16" s="1" a="1"/>
  <c r="K51" i="16" s="1"/>
  <c r="M87" i="16"/>
  <c r="L87" i="16" s="1" a="1"/>
  <c r="L87" i="16" s="1"/>
  <c r="M86" i="16"/>
  <c r="K86" i="16" s="1" a="1"/>
  <c r="K86" i="16" s="1"/>
  <c r="CT439" i="19"/>
  <c r="CQ439" i="19" s="1"/>
  <c r="CX457" i="19" s="1"/>
  <c r="M103" i="16"/>
  <c r="K103" i="16" s="1" a="1"/>
  <c r="K103" i="16" s="1"/>
  <c r="CT438" i="19"/>
  <c r="CP438" i="19" s="1"/>
  <c r="CW456" i="19" s="1"/>
  <c r="F103" i="16"/>
  <c r="B103" i="16" s="1" a="1"/>
  <c r="B103" i="16" s="1"/>
  <c r="T68" i="16"/>
  <c r="P68" i="16" s="1" a="1"/>
  <c r="P68" i="16" s="1"/>
  <c r="M85" i="16"/>
  <c r="K85" i="16" s="1" a="1"/>
  <c r="K85" i="16" s="1"/>
  <c r="EG438" i="19"/>
  <c r="EC438" i="19" s="1"/>
  <c r="EJ456" i="19" s="1"/>
  <c r="F52" i="16"/>
  <c r="E52" i="16" s="1" a="1"/>
  <c r="E52" i="16" s="1"/>
  <c r="F51" i="16"/>
  <c r="B51" i="16" s="1" a="1"/>
  <c r="B51" i="16" s="1"/>
  <c r="BG438" i="19"/>
  <c r="BC438" i="19" s="1"/>
  <c r="BJ456" i="19" s="1"/>
  <c r="CG439" i="19"/>
  <c r="CF439" i="19" s="1"/>
  <c r="CM457" i="19" s="1"/>
  <c r="F87" i="16"/>
  <c r="D87" i="16" s="1" a="1"/>
  <c r="D87" i="16" s="1"/>
  <c r="M69" i="16"/>
  <c r="I69" i="16" s="1" a="1"/>
  <c r="I69" i="16" s="1"/>
  <c r="T439" i="19"/>
  <c r="P439" i="19" s="1"/>
  <c r="W457" i="19" s="1"/>
  <c r="CG438" i="19"/>
  <c r="CF438" i="19" s="1"/>
  <c r="CM456" i="19" s="1"/>
  <c r="G439" i="19"/>
  <c r="D439" i="19" s="1"/>
  <c r="K457" i="19" s="1"/>
  <c r="F85" i="16"/>
  <c r="E85" i="16" s="1" a="1"/>
  <c r="E85" i="16" s="1"/>
  <c r="M70" i="16"/>
  <c r="L70" i="16" s="1" a="1"/>
  <c r="L70" i="16" s="1"/>
  <c r="BG439" i="19"/>
  <c r="BE439" i="19" s="1"/>
  <c r="BL457" i="19" s="1"/>
  <c r="T52" i="16"/>
  <c r="S52" i="16" s="1" a="1"/>
  <c r="S52" i="16" s="1"/>
  <c r="AT438" i="19"/>
  <c r="AR438" i="19" s="1"/>
  <c r="AY456" i="19" s="1"/>
  <c r="M53" i="16"/>
  <c r="I53" i="16" s="1" a="1"/>
  <c r="I53" i="16" s="1"/>
  <c r="F69" i="16"/>
  <c r="B69" i="16" s="1" a="1"/>
  <c r="B69" i="16" s="1"/>
  <c r="AG438" i="19"/>
  <c r="AF438" i="19" s="1"/>
  <c r="AM456" i="19" s="1"/>
  <c r="F86" i="16"/>
  <c r="E86" i="16" s="1" a="1"/>
  <c r="E86" i="16" s="1"/>
  <c r="DG438" i="19"/>
  <c r="DD438" i="19" s="1"/>
  <c r="DK456" i="19" s="1"/>
  <c r="BT438" i="19"/>
  <c r="BQ438" i="19" s="1"/>
  <c r="BX456" i="19" s="1"/>
  <c r="F53" i="16"/>
  <c r="B53" i="16" s="1" a="1"/>
  <c r="B53" i="16" s="1"/>
  <c r="F68" i="16"/>
  <c r="B68" i="16" s="1" a="1"/>
  <c r="B68" i="16" s="1"/>
  <c r="M102" i="16"/>
  <c r="L102" i="16" s="1" a="1"/>
  <c r="L102" i="16" s="1"/>
  <c r="T86" i="16"/>
  <c r="R86" i="16" s="1" a="1"/>
  <c r="R86" i="16" s="1"/>
  <c r="T70" i="16"/>
  <c r="P70" i="16" s="1" a="1"/>
  <c r="P70" i="16" s="1"/>
  <c r="F70" i="16"/>
  <c r="E70" i="16" s="1" a="1"/>
  <c r="E70" i="16" s="1"/>
  <c r="BT439" i="19"/>
  <c r="BS439" i="19" s="1"/>
  <c r="BZ457" i="19" s="1"/>
  <c r="AT439" i="19"/>
  <c r="AS439" i="19" s="1"/>
  <c r="AZ457" i="19" s="1"/>
  <c r="T102" i="16"/>
  <c r="R102" i="16" s="1" a="1"/>
  <c r="R102" i="16" s="1"/>
  <c r="G438" i="19"/>
  <c r="D438" i="19" s="1"/>
  <c r="K456" i="19" s="1"/>
  <c r="T103" i="16"/>
  <c r="S103" i="16" s="1" a="1"/>
  <c r="S103" i="16" s="1"/>
  <c r="T69" i="16"/>
  <c r="S69" i="16" s="1" a="1"/>
  <c r="S69" i="16" s="1"/>
  <c r="T438" i="19"/>
  <c r="S438" i="19" s="1"/>
  <c r="Z456" i="19" s="1"/>
  <c r="M52" i="16"/>
  <c r="L52" i="16" s="1" a="1"/>
  <c r="L52" i="16" s="1"/>
  <c r="ET438" i="19"/>
  <c r="ES438" i="19" s="1" a="1"/>
  <c r="ES438" i="19" s="1"/>
  <c r="T104" i="16"/>
  <c r="S104" i="16" s="1" a="1"/>
  <c r="S104" i="16" s="1"/>
  <c r="ET439" i="19"/>
  <c r="ER439" i="19" s="1" a="1"/>
  <c r="ER439" i="19" s="1"/>
  <c r="DG434" i="19"/>
  <c r="DE434" i="19" s="1"/>
  <c r="DL452" i="19" s="1"/>
  <c r="EG434" i="19"/>
  <c r="EF434" i="19" s="1"/>
  <c r="EM452" i="19" s="1"/>
  <c r="ET434" i="19"/>
  <c r="ER434" i="19" s="1" a="1"/>
  <c r="ER434" i="19" s="1"/>
  <c r="T97" i="16" a="1"/>
  <c r="T97" i="16" s="1"/>
  <c r="S97" i="16" s="1" a="1"/>
  <c r="S97" i="16" s="1"/>
  <c r="M80" i="16" a="1"/>
  <c r="M80" i="16" s="1"/>
  <c r="I80" i="16" s="1" a="1"/>
  <c r="I80" i="16" s="1"/>
  <c r="AT434" i="19"/>
  <c r="AQ434" i="19" s="1"/>
  <c r="AX452" i="19" s="1"/>
  <c r="G435" i="19"/>
  <c r="D435" i="19" s="1"/>
  <c r="K453" i="19" s="1"/>
  <c r="AG435" i="19"/>
  <c r="AC435" i="19" s="1"/>
  <c r="AJ453" i="19" s="1"/>
  <c r="DT435" i="19"/>
  <c r="DR435" i="19" s="1"/>
  <c r="DY453" i="19" s="1"/>
  <c r="AT435" i="19"/>
  <c r="AR435" i="19" s="1"/>
  <c r="AY453" i="19" s="1"/>
  <c r="F97" i="16" a="1"/>
  <c r="F97" i="16" s="1"/>
  <c r="D97" i="16" s="1" a="1"/>
  <c r="D97" i="16" s="1"/>
  <c r="BT434" i="19"/>
  <c r="BP434" i="19" s="1"/>
  <c r="BW452" i="19" s="1"/>
  <c r="M64" i="16" a="1"/>
  <c r="M64" i="16" s="1"/>
  <c r="K64" i="16" s="1" a="1"/>
  <c r="K64" i="16" s="1"/>
  <c r="BT443" i="19"/>
  <c r="T75" i="16"/>
  <c r="P75" i="16" s="1" a="1"/>
  <c r="P75" i="16" s="1"/>
  <c r="T46" i="16" a="1"/>
  <c r="T46" i="16" s="1"/>
  <c r="S46" i="16" s="1" a="1"/>
  <c r="S46" i="16" s="1"/>
  <c r="T63" i="16" a="1"/>
  <c r="T63" i="16" s="1"/>
  <c r="S63" i="16" s="1" a="1"/>
  <c r="S63" i="16" s="1"/>
  <c r="F75" i="16"/>
  <c r="B75" i="16" s="1" a="1"/>
  <c r="B75" i="16" s="1"/>
  <c r="AT443" i="19"/>
  <c r="T98" i="16" a="1"/>
  <c r="T98" i="16" s="1"/>
  <c r="S98" i="16" s="1" a="1"/>
  <c r="S98" i="16" s="1"/>
  <c r="BT435" i="19"/>
  <c r="T65" i="16" a="1"/>
  <c r="T65" i="16" s="1"/>
  <c r="P65" i="16" s="1" a="1"/>
  <c r="P65" i="16" s="1"/>
  <c r="F46" i="16" a="1"/>
  <c r="F46" i="16" s="1"/>
  <c r="E46" i="16" s="1" a="1"/>
  <c r="E46" i="16" s="1"/>
  <c r="M47" i="16" a="1"/>
  <c r="M47" i="16" s="1"/>
  <c r="L47" i="16" s="1" a="1"/>
  <c r="L47" i="16" s="1"/>
  <c r="T434" i="19"/>
  <c r="F98" i="16" a="1"/>
  <c r="F98" i="16" s="1"/>
  <c r="B98" i="16" s="1" a="1"/>
  <c r="B98" i="16" s="1"/>
  <c r="DT434" i="19"/>
  <c r="BG435" i="19"/>
  <c r="M65" i="16" a="1"/>
  <c r="M65" i="16" s="1"/>
  <c r="I65" i="16" s="1" a="1"/>
  <c r="I65" i="16" s="1"/>
  <c r="DG435" i="19"/>
  <c r="T82" i="16" a="1"/>
  <c r="T82" i="16" s="1"/>
  <c r="S82" i="16" s="1" a="1"/>
  <c r="S82" i="16" s="1"/>
  <c r="BT442" i="19"/>
  <c r="T74" i="16"/>
  <c r="S74" i="16" s="1" a="1"/>
  <c r="S74" i="16" s="1"/>
  <c r="M82" i="16" a="1"/>
  <c r="M82" i="16" s="1"/>
  <c r="K82" i="16" s="1" a="1"/>
  <c r="K82" i="16" s="1"/>
  <c r="AG434" i="19"/>
  <c r="T47" i="16" a="1"/>
  <c r="T47" i="16" s="1"/>
  <c r="R47" i="16" s="1" a="1"/>
  <c r="R47" i="16" s="1"/>
  <c r="CG434" i="19"/>
  <c r="F81" i="16" a="1"/>
  <c r="F81" i="16" s="1"/>
  <c r="B81" i="16" s="1" a="1"/>
  <c r="B81" i="16" s="1"/>
  <c r="F56" i="16"/>
  <c r="T99" i="16" a="1"/>
  <c r="T99" i="16" s="1"/>
  <c r="P99" i="16" s="1" a="1"/>
  <c r="P99" i="16" s="1"/>
  <c r="EG435" i="19"/>
  <c r="CG435" i="19"/>
  <c r="F82" i="16" a="1"/>
  <c r="F82" i="16" s="1"/>
  <c r="D82" i="16" s="1" a="1"/>
  <c r="D82" i="16" s="1"/>
  <c r="T56" i="16"/>
  <c r="G434" i="19"/>
  <c r="F47" i="16" a="1"/>
  <c r="F47" i="16" s="1"/>
  <c r="B47" i="16" s="1" a="1"/>
  <c r="B47" i="16" s="1"/>
  <c r="M48" i="16" a="1"/>
  <c r="M48" i="16" s="1"/>
  <c r="K48" i="16" s="1" a="1"/>
  <c r="K48" i="16" s="1"/>
  <c r="M107" i="16"/>
  <c r="M73" i="16"/>
  <c r="T435" i="19"/>
  <c r="BG442" i="19"/>
  <c r="M74" i="16"/>
  <c r="L74" i="16" s="1" a="1"/>
  <c r="L74" i="16" s="1"/>
  <c r="F73" i="16"/>
  <c r="T91" i="16"/>
  <c r="DG442" i="19"/>
  <c r="DT442" i="19"/>
  <c r="F108" i="16"/>
  <c r="B108" i="16" s="1" a="1"/>
  <c r="B108" i="16" s="1"/>
  <c r="M97" i="16" a="1"/>
  <c r="M97" i="16" s="1"/>
  <c r="I97" i="16" s="1" a="1"/>
  <c r="I97" i="16" s="1"/>
  <c r="M46" i="16" a="1"/>
  <c r="M46" i="16" s="1"/>
  <c r="I46" i="16" s="1" a="1"/>
  <c r="I46" i="16" s="1"/>
  <c r="F91" i="16"/>
  <c r="CG442" i="19"/>
  <c r="F90" i="16"/>
  <c r="E90" i="16" s="1" a="1"/>
  <c r="E90" i="16" s="1"/>
  <c r="M91" i="16"/>
  <c r="I91" i="16" s="1" a="1"/>
  <c r="I91" i="16" s="1"/>
  <c r="CT442" i="19"/>
  <c r="T73" i="16"/>
  <c r="AG442" i="19"/>
  <c r="T57" i="16"/>
  <c r="T81" i="16" a="1"/>
  <c r="T81" i="16" s="1"/>
  <c r="P81" i="16" s="1" a="1"/>
  <c r="P81" i="16" s="1"/>
  <c r="T58" i="16"/>
  <c r="AG443" i="19"/>
  <c r="F107" i="16"/>
  <c r="F57" i="16"/>
  <c r="G442" i="19"/>
  <c r="M81" i="16" a="1"/>
  <c r="M81" i="16" s="1"/>
  <c r="I81" i="16" s="1" a="1"/>
  <c r="I81" i="16" s="1"/>
  <c r="M57" i="16"/>
  <c r="T442" i="19"/>
  <c r="ET435" i="19"/>
  <c r="T90" i="16"/>
  <c r="DT443" i="19"/>
  <c r="F109" i="16"/>
  <c r="CT434" i="19"/>
  <c r="BG443" i="19"/>
  <c r="M75" i="16"/>
  <c r="F80" i="16" a="1"/>
  <c r="F80" i="16" s="1"/>
  <c r="M92" i="16"/>
  <c r="CT443" i="19"/>
  <c r="T92" i="16"/>
  <c r="T107" i="16"/>
  <c r="F63" i="16" a="1"/>
  <c r="F63" i="16" s="1"/>
  <c r="E63" i="16" s="1" a="1"/>
  <c r="E63" i="16" s="1"/>
  <c r="G443" i="19"/>
  <c r="F58" i="16"/>
  <c r="CT435" i="19"/>
  <c r="M98" i="16" a="1"/>
  <c r="M98" i="16" s="1"/>
  <c r="I98" i="16" s="1" a="1"/>
  <c r="I98" i="16" s="1"/>
  <c r="AT442" i="19"/>
  <c r="F74" i="16"/>
  <c r="DG443" i="19"/>
  <c r="M56" i="16"/>
  <c r="T443" i="19"/>
  <c r="M58" i="16"/>
  <c r="T109" i="16"/>
  <c r="ET443" i="19"/>
  <c r="EP443" i="19" s="1" a="1"/>
  <c r="EP443" i="19" s="1"/>
  <c r="T64" i="16" a="1"/>
  <c r="T64" i="16" s="1"/>
  <c r="S64" i="16" s="1" a="1"/>
  <c r="S64" i="16" s="1"/>
  <c r="T48" i="16" a="1"/>
  <c r="T48" i="16" s="1"/>
  <c r="P48" i="16" s="1" a="1"/>
  <c r="P48" i="16" s="1"/>
  <c r="F64" i="16" a="1"/>
  <c r="F64" i="16" s="1"/>
  <c r="D64" i="16" s="1" a="1"/>
  <c r="D64" i="16" s="1"/>
  <c r="CG443" i="19"/>
  <c r="F92" i="16"/>
  <c r="M109" i="16"/>
  <c r="EG443" i="19"/>
  <c r="M108" i="16"/>
  <c r="L108" i="16" s="1" a="1"/>
  <c r="L108" i="16" s="1"/>
  <c r="EG442" i="19"/>
  <c r="T80" i="16" a="1"/>
  <c r="T80" i="16" s="1"/>
  <c r="S80" i="16" s="1" a="1"/>
  <c r="S80" i="16" s="1"/>
  <c r="BG434" i="19"/>
  <c r="M63" i="16" a="1"/>
  <c r="M63" i="16" s="1"/>
  <c r="K63" i="16" s="1" a="1"/>
  <c r="K63" i="16" s="1"/>
  <c r="F48" i="16" a="1"/>
  <c r="F48" i="16" s="1"/>
  <c r="E48" i="16" s="1" a="1"/>
  <c r="E48" i="16" s="1"/>
  <c r="F65" i="16" a="1"/>
  <c r="F65" i="16" s="1"/>
  <c r="B65" i="16" s="1" a="1"/>
  <c r="B65" i="16" s="1"/>
  <c r="M90" i="16"/>
  <c r="I90" i="16" s="1" a="1"/>
  <c r="I90" i="16" s="1"/>
  <c r="T108" i="16"/>
  <c r="ET442" i="19"/>
  <c r="ES442" i="19" s="1" a="1"/>
  <c r="ES442" i="19" s="1"/>
  <c r="DT439" i="19" l="1"/>
  <c r="DS439" i="19" s="1"/>
  <c r="DZ457" i="19" s="1"/>
  <c r="F104" i="16"/>
  <c r="B104" i="16" s="1" a="1"/>
  <c r="B104" i="16" s="1"/>
  <c r="F99" i="16" a="1"/>
  <c r="F99" i="16" s="1"/>
  <c r="D99" i="16" s="1" a="1"/>
  <c r="D99" i="16" s="1"/>
  <c r="M104" i="16"/>
  <c r="L104" i="16" s="1" a="1"/>
  <c r="L104" i="16" s="1"/>
  <c r="EG439" i="19"/>
  <c r="EF439" i="19" s="1"/>
  <c r="EM457" i="19" s="1"/>
  <c r="M99" i="16" a="1"/>
  <c r="M99" i="16" s="1"/>
  <c r="K99" i="16" s="1" a="1"/>
  <c r="K99" i="16" s="1"/>
  <c r="P85" i="16" a="1"/>
  <c r="P85" i="16" s="1"/>
  <c r="Q85" i="16" s="1"/>
  <c r="BC437" i="19"/>
  <c r="BJ436" i="19" s="1"/>
  <c r="BD437" i="19"/>
  <c r="BK455" i="19" s="1"/>
  <c r="BE437" i="19"/>
  <c r="BL455" i="19" s="1"/>
  <c r="CS437" i="19"/>
  <c r="CZ455" i="19" s="1"/>
  <c r="CP437" i="19"/>
  <c r="CW455" i="19" s="1"/>
  <c r="CR437" i="19"/>
  <c r="CY455" i="19" s="1"/>
  <c r="R51" i="16" a="1"/>
  <c r="R51" i="16" s="1"/>
  <c r="L68" i="16" a="1"/>
  <c r="L68" i="16" s="1"/>
  <c r="I68" i="16" a="1"/>
  <c r="I68" i="16" s="1"/>
  <c r="DC437" i="19"/>
  <c r="DJ455" i="19" s="1"/>
  <c r="DE437" i="19"/>
  <c r="DL455" i="19" s="1"/>
  <c r="DF437" i="19"/>
  <c r="DM455" i="19" s="1"/>
  <c r="R85" i="16" a="1"/>
  <c r="R85" i="16" s="1"/>
  <c r="S51" i="16" a="1"/>
  <c r="S51" i="16" s="1"/>
  <c r="Q51" i="16" s="1"/>
  <c r="AF437" i="19"/>
  <c r="AM455" i="19" s="1"/>
  <c r="AC437" i="19"/>
  <c r="AJ455" i="19" s="1"/>
  <c r="AD437" i="19"/>
  <c r="AK455" i="19" s="1"/>
  <c r="E102" i="16" a="1"/>
  <c r="E102" i="16" s="1"/>
  <c r="DR438" i="19"/>
  <c r="DY456" i="19" s="1"/>
  <c r="DP438" i="19"/>
  <c r="DW456" i="19" s="1"/>
  <c r="DQ437" i="19"/>
  <c r="DX455" i="19" s="1"/>
  <c r="DP437" i="19"/>
  <c r="DW455" i="19" s="1"/>
  <c r="DS437" i="19"/>
  <c r="DZ455" i="19" s="1"/>
  <c r="B102" i="16" a="1"/>
  <c r="B102" i="16" s="1"/>
  <c r="DS438" i="19"/>
  <c r="DZ456" i="19" s="1"/>
  <c r="BF438" i="19"/>
  <c r="BM456" i="19" s="1"/>
  <c r="B52" i="16" a="1"/>
  <c r="B52" i="16" s="1"/>
  <c r="C52" i="16" s="1"/>
  <c r="BD438" i="19"/>
  <c r="BK456" i="19" s="1"/>
  <c r="D52" i="16" a="1"/>
  <c r="D52" i="16" s="1"/>
  <c r="BE438" i="19"/>
  <c r="BL456" i="19" s="1"/>
  <c r="DC439" i="19"/>
  <c r="DJ457" i="19" s="1"/>
  <c r="DE439" i="19"/>
  <c r="DL457" i="19" s="1"/>
  <c r="DD439" i="19"/>
  <c r="DK457" i="19" s="1"/>
  <c r="P87" i="16" a="1"/>
  <c r="P87" i="16" s="1"/>
  <c r="Q87" i="16" s="1"/>
  <c r="R87" i="16" a="1"/>
  <c r="R87" i="16" s="1"/>
  <c r="CP439" i="19"/>
  <c r="CW457" i="19" s="1"/>
  <c r="CS439" i="19"/>
  <c r="CZ457" i="19" s="1"/>
  <c r="CR439" i="19"/>
  <c r="CY457" i="19" s="1"/>
  <c r="L51" i="16" a="1"/>
  <c r="L51" i="16" s="1"/>
  <c r="I51" i="16" a="1"/>
  <c r="I51" i="16" s="1"/>
  <c r="CE438" i="19"/>
  <c r="CL456" i="19" s="1"/>
  <c r="CD438" i="19"/>
  <c r="CK456" i="19" s="1"/>
  <c r="AC439" i="19"/>
  <c r="AJ457" i="19" s="1"/>
  <c r="AF439" i="19"/>
  <c r="AM457" i="19" s="1"/>
  <c r="AD439" i="19"/>
  <c r="AK457" i="19" s="1"/>
  <c r="CR438" i="19"/>
  <c r="CY456" i="19" s="1"/>
  <c r="CQ438" i="19"/>
  <c r="CX456" i="19" s="1"/>
  <c r="CS438" i="19"/>
  <c r="CZ456" i="19" s="1"/>
  <c r="B87" i="16" a="1"/>
  <c r="B87" i="16" s="1"/>
  <c r="E87" i="16" a="1"/>
  <c r="E87" i="16" s="1"/>
  <c r="I86" i="16" a="1"/>
  <c r="I86" i="16" s="1"/>
  <c r="L86" i="16" a="1"/>
  <c r="L86" i="16" s="1"/>
  <c r="E437" i="19"/>
  <c r="L455" i="19" s="1"/>
  <c r="R53" i="16" a="1"/>
  <c r="R53" i="16" s="1"/>
  <c r="S53" i="16" a="1"/>
  <c r="S53" i="16" s="1"/>
  <c r="Q53" i="16" s="1"/>
  <c r="K87" i="16" a="1"/>
  <c r="K87" i="16" s="1"/>
  <c r="I87" i="16" a="1"/>
  <c r="I87" i="16" s="1"/>
  <c r="J87" i="16" s="1"/>
  <c r="D103" i="16" a="1"/>
  <c r="D103" i="16" s="1"/>
  <c r="CC438" i="19"/>
  <c r="CJ456" i="19" s="1"/>
  <c r="P437" i="19"/>
  <c r="W455" i="19" s="1"/>
  <c r="Q437" i="19"/>
  <c r="X455" i="19" s="1"/>
  <c r="R437" i="19"/>
  <c r="Y455" i="19" s="1"/>
  <c r="L103" i="16" a="1"/>
  <c r="L103" i="16" s="1"/>
  <c r="I103" i="16" a="1"/>
  <c r="I103" i="16" s="1"/>
  <c r="E103" i="16" a="1"/>
  <c r="E103" i="16" s="1"/>
  <c r="C103" i="16" s="1"/>
  <c r="F437" i="19"/>
  <c r="M455" i="19" s="1"/>
  <c r="BR437" i="19"/>
  <c r="BY455" i="19" s="1"/>
  <c r="D437" i="19"/>
  <c r="K455" i="19" s="1"/>
  <c r="BQ437" i="19"/>
  <c r="BX455" i="19" s="1"/>
  <c r="BS437" i="19"/>
  <c r="BZ455" i="19" s="1"/>
  <c r="R68" i="16" a="1"/>
  <c r="R68" i="16" s="1"/>
  <c r="S68" i="16" a="1"/>
  <c r="S68" i="16" s="1"/>
  <c r="Q68" i="16" s="1"/>
  <c r="ED438" i="19"/>
  <c r="EK456" i="19" s="1"/>
  <c r="L85" i="16" a="1"/>
  <c r="L85" i="16" s="1"/>
  <c r="EF438" i="19"/>
  <c r="EM456" i="19" s="1"/>
  <c r="I85" i="16" a="1"/>
  <c r="I85" i="16" s="1"/>
  <c r="EE438" i="19"/>
  <c r="EL456" i="19" s="1"/>
  <c r="D51" i="16" a="1"/>
  <c r="D51" i="16" s="1"/>
  <c r="E51" i="16" a="1"/>
  <c r="E51" i="16" s="1"/>
  <c r="C51" i="16" s="1"/>
  <c r="CC439" i="19"/>
  <c r="CJ457" i="19" s="1"/>
  <c r="CE439" i="19"/>
  <c r="CL457" i="19" s="1"/>
  <c r="CD439" i="19"/>
  <c r="CK457" i="19" s="1"/>
  <c r="R439" i="19"/>
  <c r="Y457" i="19" s="1"/>
  <c r="Q439" i="19"/>
  <c r="X457" i="19" s="1"/>
  <c r="S439" i="19"/>
  <c r="Z457" i="19" s="1"/>
  <c r="C439" i="19"/>
  <c r="J457" i="19" s="1"/>
  <c r="F439" i="19"/>
  <c r="M457" i="19" s="1"/>
  <c r="E439" i="19"/>
  <c r="L457" i="19" s="1"/>
  <c r="R104" i="16" a="1"/>
  <c r="R104" i="16" s="1"/>
  <c r="K102" i="16" a="1"/>
  <c r="K102" i="16" s="1"/>
  <c r="I102" i="16" a="1"/>
  <c r="I102" i="16" s="1"/>
  <c r="J102" i="16" s="1"/>
  <c r="I70" i="16" a="1"/>
  <c r="I70" i="16" s="1"/>
  <c r="J70" i="16" s="1"/>
  <c r="K104" i="16" a="1"/>
  <c r="K104" i="16" s="1"/>
  <c r="K70" i="16" a="1"/>
  <c r="K70" i="16" s="1"/>
  <c r="CE437" i="19"/>
  <c r="CL455" i="19" s="1"/>
  <c r="CD437" i="19"/>
  <c r="CK455" i="19" s="1"/>
  <c r="CC437" i="19"/>
  <c r="CJ455" i="19" s="1"/>
  <c r="P52" i="16" a="1"/>
  <c r="P52" i="16" s="1"/>
  <c r="Q52" i="16" s="1"/>
  <c r="R70" i="16" a="1"/>
  <c r="R70" i="16" s="1"/>
  <c r="BF439" i="19"/>
  <c r="BM457" i="19" s="1"/>
  <c r="BC439" i="19"/>
  <c r="BJ457" i="19" s="1"/>
  <c r="BD439" i="19"/>
  <c r="BK457" i="19" s="1"/>
  <c r="S70" i="16" a="1"/>
  <c r="S70" i="16" s="1"/>
  <c r="Q70" i="16" s="1"/>
  <c r="L69" i="16" a="1"/>
  <c r="L69" i="16" s="1"/>
  <c r="J69" i="16" s="1"/>
  <c r="K69" i="16" a="1"/>
  <c r="K69" i="16" s="1"/>
  <c r="B70" i="16" a="1"/>
  <c r="B70" i="16" s="1"/>
  <c r="C70" i="16" s="1"/>
  <c r="D70" i="16" a="1"/>
  <c r="D70" i="16" s="1"/>
  <c r="AP438" i="19"/>
  <c r="AW456" i="19" s="1"/>
  <c r="AQ438" i="19"/>
  <c r="AX456" i="19" s="1"/>
  <c r="R52" i="16" a="1"/>
  <c r="R52" i="16" s="1"/>
  <c r="AS438" i="19"/>
  <c r="AZ456" i="19" s="1"/>
  <c r="L53" i="16" a="1"/>
  <c r="L53" i="16" s="1"/>
  <c r="J53" i="16" s="1"/>
  <c r="AC438" i="19"/>
  <c r="AJ456" i="19" s="1"/>
  <c r="K53" i="16" a="1"/>
  <c r="K53" i="16" s="1"/>
  <c r="AD438" i="19"/>
  <c r="AK456" i="19" s="1"/>
  <c r="AP439" i="19"/>
  <c r="AW457" i="19" s="1"/>
  <c r="E69" i="16" a="1"/>
  <c r="E69" i="16" s="1"/>
  <c r="C69" i="16" s="1"/>
  <c r="D69" i="16" a="1"/>
  <c r="D69" i="16" s="1"/>
  <c r="AE438" i="19"/>
  <c r="AL456" i="19" s="1"/>
  <c r="B86" i="16" a="1"/>
  <c r="B86" i="16" s="1"/>
  <c r="C86" i="16" s="1"/>
  <c r="D86" i="16" a="1"/>
  <c r="D86" i="16" s="1"/>
  <c r="BS438" i="19"/>
  <c r="BZ456" i="19" s="1"/>
  <c r="BP438" i="19"/>
  <c r="BW456" i="19" s="1"/>
  <c r="BR438" i="19"/>
  <c r="BY456" i="19" s="1"/>
  <c r="B85" i="16" a="1"/>
  <c r="B85" i="16" s="1"/>
  <c r="C85" i="16" s="1"/>
  <c r="D85" i="16" a="1"/>
  <c r="D85" i="16" s="1"/>
  <c r="DC438" i="19"/>
  <c r="DJ456" i="19" s="1"/>
  <c r="DE438" i="19"/>
  <c r="DL456" i="19" s="1"/>
  <c r="DF438" i="19"/>
  <c r="DM456" i="19" s="1"/>
  <c r="E53" i="16" a="1"/>
  <c r="E53" i="16" s="1"/>
  <c r="C53" i="16" s="1"/>
  <c r="D53" i="16" a="1"/>
  <c r="D53" i="16" s="1"/>
  <c r="AS437" i="19"/>
  <c r="AZ455" i="19" s="1"/>
  <c r="D68" i="16" a="1"/>
  <c r="D68" i="16" s="1"/>
  <c r="AQ437" i="19"/>
  <c r="AX455" i="19" s="1"/>
  <c r="AR437" i="19"/>
  <c r="AY455" i="19" s="1"/>
  <c r="E68" i="16" a="1"/>
  <c r="E68" i="16" s="1"/>
  <c r="C68" i="16" s="1"/>
  <c r="S86" i="16" a="1"/>
  <c r="S86" i="16" s="1"/>
  <c r="ES439" i="19" a="1"/>
  <c r="ES439" i="19" s="1"/>
  <c r="EP439" i="19" a="1"/>
  <c r="EP439" i="19" s="1"/>
  <c r="ER433" i="19" a="1"/>
  <c r="ER433" i="19" s="1"/>
  <c r="P86" i="16" a="1"/>
  <c r="P86" i="16" s="1"/>
  <c r="ED437" i="19"/>
  <c r="EK455" i="19" s="1"/>
  <c r="EE437" i="19"/>
  <c r="EL455" i="19" s="1"/>
  <c r="EC437" i="19"/>
  <c r="EJ436" i="19" s="1"/>
  <c r="AQ439" i="19"/>
  <c r="AX457" i="19" s="1"/>
  <c r="AR439" i="19"/>
  <c r="AY457" i="19" s="1"/>
  <c r="P102" i="16" a="1"/>
  <c r="P102" i="16" s="1"/>
  <c r="S102" i="16" a="1"/>
  <c r="S102" i="16" s="1"/>
  <c r="EP437" i="19" a="1"/>
  <c r="EP437" i="19" s="1"/>
  <c r="EQ437" i="19" s="1"/>
  <c r="ER437" i="19" a="1"/>
  <c r="ER437" i="19" s="1"/>
  <c r="B97" i="16" a="1"/>
  <c r="B97" i="16" s="1"/>
  <c r="P103" i="16" a="1"/>
  <c r="P103" i="16" s="1"/>
  <c r="Q103" i="16" s="1"/>
  <c r="R103" i="16" a="1"/>
  <c r="R103" i="16" s="1"/>
  <c r="BP439" i="19"/>
  <c r="BW457" i="19" s="1"/>
  <c r="BQ439" i="19"/>
  <c r="BX457" i="19" s="1"/>
  <c r="BR439" i="19"/>
  <c r="BY457" i="19" s="1"/>
  <c r="P69" i="16" a="1"/>
  <c r="P69" i="16" s="1"/>
  <c r="Q69" i="16" s="1"/>
  <c r="P438" i="19"/>
  <c r="W456" i="19" s="1"/>
  <c r="Q438" i="19"/>
  <c r="X456" i="19" s="1"/>
  <c r="R438" i="19"/>
  <c r="Y456" i="19" s="1"/>
  <c r="R69" i="16" a="1"/>
  <c r="R69" i="16" s="1"/>
  <c r="F438" i="19"/>
  <c r="M456" i="19" s="1"/>
  <c r="E438" i="19"/>
  <c r="L456" i="19" s="1"/>
  <c r="C438" i="19"/>
  <c r="J456" i="19" s="1"/>
  <c r="I52" i="16" a="1"/>
  <c r="I52" i="16" s="1"/>
  <c r="J52" i="16" s="1"/>
  <c r="K52" i="16" a="1"/>
  <c r="K52" i="16" s="1"/>
  <c r="EP438" i="19" a="1"/>
  <c r="EP438" i="19" s="1"/>
  <c r="EQ438" i="19" s="1"/>
  <c r="ER438" i="19" a="1"/>
  <c r="ER438" i="19" s="1"/>
  <c r="P104" i="16" a="1"/>
  <c r="P104" i="16" s="1"/>
  <c r="Q104" i="16" s="1"/>
  <c r="EP433" i="19" a="1"/>
  <c r="EP433" i="19" s="1"/>
  <c r="EQ433" i="19" s="1"/>
  <c r="I64" i="16" a="1"/>
  <c r="I64" i="16" s="1"/>
  <c r="L64" i="16" a="1"/>
  <c r="L64" i="16" s="1"/>
  <c r="R46" i="16" a="1"/>
  <c r="R46" i="16" s="1"/>
  <c r="R97" i="16" a="1"/>
  <c r="R97" i="16" s="1"/>
  <c r="P97" i="16" a="1"/>
  <c r="P97" i="16" s="1"/>
  <c r="Q97" i="16" s="1"/>
  <c r="L80" i="16" a="1"/>
  <c r="L80" i="16" s="1"/>
  <c r="J80" i="16" s="1"/>
  <c r="EL433" i="19"/>
  <c r="BR434" i="19"/>
  <c r="BY452" i="19" s="1"/>
  <c r="ES434" i="19" a="1"/>
  <c r="ES434" i="19" s="1"/>
  <c r="EP434" i="19" a="1"/>
  <c r="EP434" i="19" s="1"/>
  <c r="DC434" i="19"/>
  <c r="DJ452" i="19" s="1"/>
  <c r="EF433" i="19"/>
  <c r="EM451" i="19" s="1"/>
  <c r="BQ434" i="19"/>
  <c r="BX452" i="19" s="1"/>
  <c r="BS434" i="19"/>
  <c r="BZ452" i="19" s="1"/>
  <c r="DD434" i="19"/>
  <c r="DK452" i="19" s="1"/>
  <c r="DF434" i="19"/>
  <c r="DM452" i="19" s="1"/>
  <c r="EE433" i="19"/>
  <c r="EL451" i="19" s="1"/>
  <c r="EH433" i="19"/>
  <c r="EN433" i="19" s="1"/>
  <c r="AC433" i="19"/>
  <c r="AJ451" i="19" s="1"/>
  <c r="AD433" i="19"/>
  <c r="AK451" i="19" s="1"/>
  <c r="ED433" i="19"/>
  <c r="EK451" i="19" s="1"/>
  <c r="EK433" i="19"/>
  <c r="EC433" i="19"/>
  <c r="EJ432" i="19" s="1"/>
  <c r="C435" i="19"/>
  <c r="J453" i="19" s="1"/>
  <c r="AR434" i="19"/>
  <c r="AY452" i="19" s="1"/>
  <c r="AF433" i="19"/>
  <c r="AM451" i="19" s="1"/>
  <c r="I82" i="16" a="1"/>
  <c r="I82" i="16" s="1"/>
  <c r="EM433" i="19"/>
  <c r="R98" i="16" a="1"/>
  <c r="R98" i="16" s="1"/>
  <c r="P98" i="16" a="1"/>
  <c r="P98" i="16" s="1"/>
  <c r="Q98" i="16" s="1"/>
  <c r="AE433" i="19"/>
  <c r="AL451" i="19" s="1"/>
  <c r="ED434" i="19"/>
  <c r="EK452" i="19" s="1"/>
  <c r="E435" i="19"/>
  <c r="L453" i="19" s="1"/>
  <c r="F435" i="19"/>
  <c r="M453" i="19" s="1"/>
  <c r="BF433" i="19"/>
  <c r="BM451" i="19" s="1"/>
  <c r="BD433" i="19"/>
  <c r="BK451" i="19" s="1"/>
  <c r="BC433" i="19"/>
  <c r="BJ432" i="19" s="1"/>
  <c r="BL433" i="19"/>
  <c r="BH433" i="19"/>
  <c r="BN433" i="19" s="1"/>
  <c r="BE433" i="19"/>
  <c r="BL451" i="19" s="1"/>
  <c r="E97" i="16" a="1"/>
  <c r="E97" i="16" s="1"/>
  <c r="BK433" i="19"/>
  <c r="BM433" i="19"/>
  <c r="AQ433" i="19"/>
  <c r="AX451" i="19" s="1"/>
  <c r="K80" i="16" a="1"/>
  <c r="K80" i="16" s="1"/>
  <c r="EC434" i="19"/>
  <c r="EJ452" i="19" s="1"/>
  <c r="AS434" i="19"/>
  <c r="AZ452" i="19" s="1"/>
  <c r="EE434" i="19"/>
  <c r="EL452" i="19" s="1"/>
  <c r="AP434" i="19"/>
  <c r="AW452" i="19" s="1"/>
  <c r="L82" i="16" a="1"/>
  <c r="L82" i="16" s="1"/>
  <c r="AS433" i="19"/>
  <c r="AZ451" i="19" s="1"/>
  <c r="AR433" i="19"/>
  <c r="AY451" i="19" s="1"/>
  <c r="S433" i="19"/>
  <c r="Z451" i="19" s="1"/>
  <c r="P433" i="19"/>
  <c r="W451" i="19" s="1"/>
  <c r="R433" i="19"/>
  <c r="Y451" i="19" s="1"/>
  <c r="P46" i="16" a="1"/>
  <c r="P46" i="16" s="1"/>
  <c r="Q46" i="16" s="1"/>
  <c r="B46" i="16" a="1"/>
  <c r="B46" i="16" s="1"/>
  <c r="C46" i="16" s="1"/>
  <c r="S65" i="16" a="1"/>
  <c r="S65" i="16" s="1"/>
  <c r="Q65" i="16" s="1"/>
  <c r="P107" i="16" a="1"/>
  <c r="P107" i="16" s="1"/>
  <c r="B91" i="16" a="1"/>
  <c r="B91" i="16" s="1"/>
  <c r="D48" i="16" a="1"/>
  <c r="D48" i="16" s="1"/>
  <c r="R92" i="16" a="1"/>
  <c r="R92" i="16" s="1"/>
  <c r="B107" i="16" a="1"/>
  <c r="B107" i="16" s="1"/>
  <c r="E91" i="16" a="1"/>
  <c r="E91" i="16" s="1"/>
  <c r="E73" i="16" a="1"/>
  <c r="E73" i="16" s="1"/>
  <c r="P57" i="16" a="1"/>
  <c r="P57" i="16" s="1"/>
  <c r="E107" i="16" a="1"/>
  <c r="E107" i="16" s="1"/>
  <c r="DS435" i="19"/>
  <c r="DZ453" i="19" s="1"/>
  <c r="AD435" i="19"/>
  <c r="AK453" i="19" s="1"/>
  <c r="I47" i="16" a="1"/>
  <c r="I47" i="16" s="1"/>
  <c r="J47" i="16" s="1"/>
  <c r="R48" i="16" a="1"/>
  <c r="R48" i="16" s="1"/>
  <c r="D107" i="16" a="1"/>
  <c r="D107" i="16" s="1"/>
  <c r="DQ435" i="19"/>
  <c r="DX453" i="19" s="1"/>
  <c r="AE435" i="19"/>
  <c r="AL453" i="19" s="1"/>
  <c r="DP435" i="19"/>
  <c r="DW453" i="19" s="1"/>
  <c r="AF435" i="19"/>
  <c r="AM453" i="19" s="1"/>
  <c r="L56" i="16" a="1"/>
  <c r="L56" i="16" s="1"/>
  <c r="AS435" i="19"/>
  <c r="AZ453" i="19" s="1"/>
  <c r="EP442" i="19" a="1"/>
  <c r="EP442" i="19" s="1"/>
  <c r="EQ442" i="19" s="1"/>
  <c r="B48" i="16" a="1"/>
  <c r="B48" i="16" s="1"/>
  <c r="C48" i="16" s="1"/>
  <c r="I63" i="16" a="1"/>
  <c r="I63" i="16" s="1"/>
  <c r="P90" i="16" a="1"/>
  <c r="P90" i="16" s="1"/>
  <c r="P82" i="16" a="1"/>
  <c r="P82" i="16" s="1"/>
  <c r="Q82" i="16" s="1"/>
  <c r="AQ435" i="19"/>
  <c r="AX453" i="19" s="1"/>
  <c r="R90" i="16" a="1"/>
  <c r="R90" i="16" s="1"/>
  <c r="AP435" i="19"/>
  <c r="AW453" i="19" s="1"/>
  <c r="S108" i="16" a="1"/>
  <c r="S108" i="16" s="1"/>
  <c r="ER442" i="19" a="1"/>
  <c r="ER442" i="19" s="1"/>
  <c r="I109" i="16" a="1"/>
  <c r="I109" i="16" s="1"/>
  <c r="S92" i="16" a="1"/>
  <c r="S92" i="16" s="1"/>
  <c r="S58" i="16" a="1"/>
  <c r="S58" i="16" s="1"/>
  <c r="L91" i="16" a="1"/>
  <c r="L91" i="16" s="1"/>
  <c r="J91" i="16" s="1"/>
  <c r="L73" i="16" a="1"/>
  <c r="L73" i="16" s="1"/>
  <c r="L109" i="16" a="1"/>
  <c r="L109" i="16" s="1"/>
  <c r="K109" i="16" a="1"/>
  <c r="K109" i="16" s="1"/>
  <c r="P92" i="16" a="1"/>
  <c r="P92" i="16" s="1"/>
  <c r="K73" i="16" a="1"/>
  <c r="K73" i="16" s="1"/>
  <c r="D92" i="16" a="1"/>
  <c r="D92" i="16" s="1"/>
  <c r="L75" i="16" a="1"/>
  <c r="L75" i="16" s="1"/>
  <c r="D73" i="16" a="1"/>
  <c r="D73" i="16" s="1"/>
  <c r="I107" i="16" a="1"/>
  <c r="I107" i="16" s="1"/>
  <c r="K56" i="16" a="1"/>
  <c r="K56" i="16" s="1"/>
  <c r="I56" i="16" a="1"/>
  <c r="I56" i="16" s="1"/>
  <c r="D109" i="16" a="1"/>
  <c r="D109" i="16" s="1"/>
  <c r="E109" i="16" a="1"/>
  <c r="E109" i="16" s="1"/>
  <c r="L63" i="16" a="1"/>
  <c r="L63" i="16" s="1"/>
  <c r="E74" i="16" a="1"/>
  <c r="E74" i="16" s="1"/>
  <c r="I75" i="16" a="1"/>
  <c r="I75" i="16" s="1"/>
  <c r="S57" i="16" a="1"/>
  <c r="S57" i="16" s="1"/>
  <c r="E92" i="16" a="1"/>
  <c r="E92" i="16" s="1"/>
  <c r="P58" i="16" a="1"/>
  <c r="P58" i="16" s="1"/>
  <c r="P109" i="16" a="1"/>
  <c r="P109" i="16" s="1"/>
  <c r="R107" i="16" a="1"/>
  <c r="R107" i="16" s="1"/>
  <c r="S48" i="16" a="1"/>
  <c r="S48" i="16" s="1"/>
  <c r="Q48" i="16" s="1"/>
  <c r="S107" i="16" a="1"/>
  <c r="S107" i="16" s="1"/>
  <c r="B109" i="16" a="1"/>
  <c r="B109" i="16" s="1"/>
  <c r="I57" i="16" a="1"/>
  <c r="I57" i="16" s="1"/>
  <c r="I58" i="16" a="1"/>
  <c r="I58" i="16" s="1"/>
  <c r="L57" i="16" a="1"/>
  <c r="L57" i="16" s="1"/>
  <c r="D108" i="16" a="1"/>
  <c r="D108" i="16" s="1"/>
  <c r="P56" i="16" a="1"/>
  <c r="P56" i="16" s="1"/>
  <c r="R108" i="16" a="1"/>
  <c r="R108" i="16" s="1"/>
  <c r="L58" i="16" a="1"/>
  <c r="L58" i="16" s="1"/>
  <c r="D46" i="16" a="1"/>
  <c r="D46" i="16" s="1"/>
  <c r="E108" i="16" a="1"/>
  <c r="E108" i="16" s="1"/>
  <c r="C108" i="16" s="1"/>
  <c r="S56" i="16" a="1"/>
  <c r="S56" i="16" s="1"/>
  <c r="S47" i="16" a="1"/>
  <c r="S47" i="16" s="1"/>
  <c r="P63" i="16" a="1"/>
  <c r="P63" i="16" s="1"/>
  <c r="Q63" i="16" s="1"/>
  <c r="P47" i="16" a="1"/>
  <c r="P47" i="16" s="1"/>
  <c r="S90" i="16" a="1"/>
  <c r="S90" i="16" s="1"/>
  <c r="K65" i="16" a="1"/>
  <c r="K65" i="16" s="1"/>
  <c r="L92" i="16" a="1"/>
  <c r="L92" i="16" s="1"/>
  <c r="B73" i="16" a="1"/>
  <c r="B73" i="16" s="1"/>
  <c r="L65" i="16" a="1"/>
  <c r="L65" i="16" s="1"/>
  <c r="J65" i="16" s="1"/>
  <c r="P80" i="16" a="1"/>
  <c r="P80" i="16" s="1"/>
  <c r="Q80" i="16" s="1"/>
  <c r="K81" i="16" a="1"/>
  <c r="K81" i="16" s="1"/>
  <c r="K75" i="16" a="1"/>
  <c r="K75" i="16" s="1"/>
  <c r="R57" i="16" a="1"/>
  <c r="R57" i="16" s="1"/>
  <c r="L107" i="16" a="1"/>
  <c r="L107" i="16" s="1"/>
  <c r="D98" i="16" a="1"/>
  <c r="D98" i="16" s="1"/>
  <c r="B92" i="16" a="1"/>
  <c r="B92" i="16" s="1"/>
  <c r="R64" i="16" a="1"/>
  <c r="R64" i="16" s="1"/>
  <c r="F443" i="19"/>
  <c r="M461" i="19" s="1"/>
  <c r="C443" i="19"/>
  <c r="J461" i="19" s="1"/>
  <c r="D443" i="19"/>
  <c r="K461" i="19" s="1"/>
  <c r="E443" i="19"/>
  <c r="L461" i="19" s="1"/>
  <c r="DY433" i="19"/>
  <c r="DP433" i="19"/>
  <c r="DS433" i="19"/>
  <c r="DZ451" i="19" s="1"/>
  <c r="DW433" i="19"/>
  <c r="DX433" i="19"/>
  <c r="DU433" i="19"/>
  <c r="EA433" i="19" s="1"/>
  <c r="DZ433" i="19"/>
  <c r="DR433" i="19"/>
  <c r="DY451" i="19" s="1"/>
  <c r="DQ433" i="19"/>
  <c r="DX451" i="19" s="1"/>
  <c r="B63" i="16" a="1"/>
  <c r="B63" i="16" s="1"/>
  <c r="C63" i="16" s="1"/>
  <c r="S442" i="19"/>
  <c r="Z460" i="19" s="1"/>
  <c r="R442" i="19"/>
  <c r="Y460" i="19" s="1"/>
  <c r="P442" i="19"/>
  <c r="W460" i="19" s="1"/>
  <c r="Q442" i="19"/>
  <c r="X460" i="19" s="1"/>
  <c r="AF443" i="19"/>
  <c r="AM461" i="19" s="1"/>
  <c r="AC443" i="19"/>
  <c r="AJ461" i="19" s="1"/>
  <c r="AE443" i="19"/>
  <c r="AL461" i="19" s="1"/>
  <c r="AD443" i="19"/>
  <c r="AK461" i="19" s="1"/>
  <c r="BC442" i="19"/>
  <c r="BJ460" i="19" s="1"/>
  <c r="BD442" i="19"/>
  <c r="BK460" i="19" s="1"/>
  <c r="BF442" i="19"/>
  <c r="BM460" i="19" s="1"/>
  <c r="BE442" i="19"/>
  <c r="BL460" i="19" s="1"/>
  <c r="CD435" i="19"/>
  <c r="CK453" i="19" s="1"/>
  <c r="CE435" i="19"/>
  <c r="CL453" i="19" s="1"/>
  <c r="CC435" i="19"/>
  <c r="CJ453" i="19" s="1"/>
  <c r="CF435" i="19"/>
  <c r="CM453" i="19" s="1"/>
  <c r="K47" i="16" a="1"/>
  <c r="K47" i="16" s="1"/>
  <c r="E75" i="16" a="1"/>
  <c r="E75" i="16" s="1"/>
  <c r="C75" i="16" s="1"/>
  <c r="ER441" i="19" a="1"/>
  <c r="ER441" i="19" s="1"/>
  <c r="DF441" i="19"/>
  <c r="DM459" i="19" s="1"/>
  <c r="DE441" i="19"/>
  <c r="DL459" i="19" s="1"/>
  <c r="DC441" i="19"/>
  <c r="DD441" i="19"/>
  <c r="DK459" i="19" s="1"/>
  <c r="B90" i="16" a="1"/>
  <c r="B90" i="16" s="1"/>
  <c r="C90" i="16" s="1"/>
  <c r="K107" i="16" a="1"/>
  <c r="K107" i="16" s="1"/>
  <c r="E82" i="16" a="1"/>
  <c r="E82" i="16" s="1"/>
  <c r="E81" i="16" a="1"/>
  <c r="E81" i="16" s="1"/>
  <c r="C81" i="16" s="1"/>
  <c r="BD435" i="19"/>
  <c r="BK453" i="19" s="1"/>
  <c r="BF435" i="19"/>
  <c r="BM453" i="19" s="1"/>
  <c r="BC435" i="19"/>
  <c r="BJ453" i="19" s="1"/>
  <c r="BE435" i="19"/>
  <c r="BL453" i="19" s="1"/>
  <c r="D75" i="16" a="1"/>
  <c r="D75" i="16" s="1"/>
  <c r="CE443" i="19"/>
  <c r="CL461" i="19" s="1"/>
  <c r="CC443" i="19"/>
  <c r="CJ461" i="19" s="1"/>
  <c r="CF443" i="19"/>
  <c r="CM461" i="19" s="1"/>
  <c r="CD443" i="19"/>
  <c r="CK461" i="19" s="1"/>
  <c r="Q441" i="19"/>
  <c r="X459" i="19" s="1"/>
  <c r="R441" i="19"/>
  <c r="Y459" i="19" s="1"/>
  <c r="P441" i="19"/>
  <c r="W459" i="19" s="1"/>
  <c r="S441" i="19"/>
  <c r="Z459" i="19" s="1"/>
  <c r="E64" i="16" a="1"/>
  <c r="E64" i="16" s="1"/>
  <c r="E80" i="16" a="1"/>
  <c r="E80" i="16" s="1"/>
  <c r="D80" i="16" a="1"/>
  <c r="D80" i="16" s="1"/>
  <c r="D90" i="16" a="1"/>
  <c r="D90" i="16" s="1"/>
  <c r="DR442" i="19"/>
  <c r="DY460" i="19" s="1"/>
  <c r="DP442" i="19"/>
  <c r="DW460" i="19" s="1"/>
  <c r="DQ442" i="19"/>
  <c r="DX460" i="19" s="1"/>
  <c r="DS442" i="19"/>
  <c r="DZ460" i="19" s="1"/>
  <c r="EF441" i="19"/>
  <c r="EM459" i="19" s="1"/>
  <c r="EE441" i="19"/>
  <c r="EL459" i="19" s="1"/>
  <c r="EC441" i="19"/>
  <c r="ED441" i="19"/>
  <c r="EK459" i="19" s="1"/>
  <c r="B82" i="16" a="1"/>
  <c r="B82" i="16" s="1"/>
  <c r="R82" i="16" a="1"/>
  <c r="R82" i="16" s="1"/>
  <c r="S434" i="19"/>
  <c r="Z452" i="19" s="1"/>
  <c r="Q434" i="19"/>
  <c r="X452" i="19" s="1"/>
  <c r="P434" i="19"/>
  <c r="W452" i="19" s="1"/>
  <c r="R434" i="19"/>
  <c r="Y452" i="19" s="1"/>
  <c r="AR443" i="19"/>
  <c r="AY461" i="19" s="1"/>
  <c r="AP443" i="19"/>
  <c r="AW461" i="19" s="1"/>
  <c r="AQ443" i="19"/>
  <c r="AX461" i="19" s="1"/>
  <c r="AS443" i="19"/>
  <c r="AZ461" i="19" s="1"/>
  <c r="EF442" i="19"/>
  <c r="EM460" i="19" s="1"/>
  <c r="ED442" i="19"/>
  <c r="EK460" i="19" s="1"/>
  <c r="EC442" i="19"/>
  <c r="EJ460" i="19" s="1"/>
  <c r="EE442" i="19"/>
  <c r="EL460" i="19" s="1"/>
  <c r="D58" i="16" a="1"/>
  <c r="D58" i="16" s="1"/>
  <c r="R80" i="16" a="1"/>
  <c r="R80" i="16" s="1"/>
  <c r="ER443" i="19" a="1"/>
  <c r="ER443" i="19" s="1"/>
  <c r="CX433" i="19"/>
  <c r="CU433" i="19"/>
  <c r="DA433" i="19" s="1"/>
  <c r="CR433" i="19"/>
  <c r="CY451" i="19" s="1"/>
  <c r="CS433" i="19"/>
  <c r="CZ451" i="19" s="1"/>
  <c r="CQ433" i="19"/>
  <c r="CX451" i="19" s="1"/>
  <c r="CP433" i="19"/>
  <c r="CW433" i="19"/>
  <c r="CY433" i="19"/>
  <c r="CZ433" i="19"/>
  <c r="B80" i="16" a="1"/>
  <c r="B80" i="16" s="1"/>
  <c r="D57" i="16" a="1"/>
  <c r="D57" i="16" s="1"/>
  <c r="AF442" i="19"/>
  <c r="AM460" i="19" s="1"/>
  <c r="AE442" i="19"/>
  <c r="AL460" i="19" s="1"/>
  <c r="AD442" i="19"/>
  <c r="AK460" i="19" s="1"/>
  <c r="AC442" i="19"/>
  <c r="AJ460" i="19" s="1"/>
  <c r="D47" i="16" a="1"/>
  <c r="D47" i="16" s="1"/>
  <c r="R91" i="16" a="1"/>
  <c r="R91" i="16" s="1"/>
  <c r="D81" i="16" a="1"/>
  <c r="D81" i="16" s="1"/>
  <c r="DC435" i="19"/>
  <c r="DJ453" i="19" s="1"/>
  <c r="DE435" i="19"/>
  <c r="DL453" i="19" s="1"/>
  <c r="DF435" i="19"/>
  <c r="DM453" i="19" s="1"/>
  <c r="DD435" i="19"/>
  <c r="DK453" i="19" s="1"/>
  <c r="L90" i="16" a="1"/>
  <c r="L90" i="16" s="1"/>
  <c r="J90" i="16" s="1"/>
  <c r="ES443" i="19" a="1"/>
  <c r="ES443" i="19" s="1"/>
  <c r="EQ443" i="19" s="1"/>
  <c r="DF443" i="19"/>
  <c r="DM461" i="19" s="1"/>
  <c r="DC443" i="19"/>
  <c r="DJ461" i="19" s="1"/>
  <c r="DD443" i="19"/>
  <c r="DK461" i="19" s="1"/>
  <c r="DE443" i="19"/>
  <c r="DL461" i="19" s="1"/>
  <c r="P64" i="16" a="1"/>
  <c r="P64" i="16" s="1"/>
  <c r="Q64" i="16" s="1"/>
  <c r="EP441" i="19" a="1"/>
  <c r="EP441" i="19" s="1"/>
  <c r="E57" i="16" a="1"/>
  <c r="E57" i="16" s="1"/>
  <c r="S73" i="16" a="1"/>
  <c r="S73" i="16" s="1"/>
  <c r="CC441" i="19"/>
  <c r="CE441" i="19"/>
  <c r="CL459" i="19" s="1"/>
  <c r="CD441" i="19"/>
  <c r="CK459" i="19" s="1"/>
  <c r="CF441" i="19"/>
  <c r="CM459" i="19" s="1"/>
  <c r="P91" i="16" a="1"/>
  <c r="P91" i="16" s="1"/>
  <c r="K97" i="16" a="1"/>
  <c r="K97" i="16" s="1"/>
  <c r="D56" i="16" a="1"/>
  <c r="D56" i="16" s="1"/>
  <c r="CD434" i="19"/>
  <c r="CK452" i="19" s="1"/>
  <c r="CF434" i="19"/>
  <c r="CM452" i="19" s="1"/>
  <c r="CE434" i="19"/>
  <c r="CL452" i="19" s="1"/>
  <c r="CC434" i="19"/>
  <c r="CJ452" i="19" s="1"/>
  <c r="DP434" i="19"/>
  <c r="DW452" i="19" s="1"/>
  <c r="DR434" i="19"/>
  <c r="DY452" i="19" s="1"/>
  <c r="DQ434" i="19"/>
  <c r="DX452" i="19" s="1"/>
  <c r="DS434" i="19"/>
  <c r="DZ452" i="19" s="1"/>
  <c r="L48" i="16" a="1"/>
  <c r="L48" i="16" s="1"/>
  <c r="D65" i="16" a="1"/>
  <c r="D65" i="16" s="1"/>
  <c r="BC434" i="19"/>
  <c r="BJ452" i="19" s="1"/>
  <c r="BD434" i="19"/>
  <c r="BK452" i="19" s="1"/>
  <c r="BE434" i="19"/>
  <c r="BL452" i="19" s="1"/>
  <c r="BF434" i="19"/>
  <c r="BM452" i="19" s="1"/>
  <c r="Q443" i="19"/>
  <c r="X461" i="19" s="1"/>
  <c r="P443" i="19"/>
  <c r="W461" i="19" s="1"/>
  <c r="R443" i="19"/>
  <c r="Y461" i="19" s="1"/>
  <c r="S443" i="19"/>
  <c r="Z461" i="19" s="1"/>
  <c r="K90" i="16" a="1"/>
  <c r="K90" i="16" s="1"/>
  <c r="E65" i="16" a="1"/>
  <c r="E65" i="16" s="1"/>
  <c r="C65" i="16" s="1"/>
  <c r="S109" i="16" a="1"/>
  <c r="S109" i="16" s="1"/>
  <c r="B74" i="16" a="1"/>
  <c r="B74" i="16" s="1"/>
  <c r="P73" i="16" a="1"/>
  <c r="P73" i="16" s="1"/>
  <c r="S91" i="16" a="1"/>
  <c r="S91" i="16" s="1"/>
  <c r="E56" i="16" a="1"/>
  <c r="E56" i="16" s="1"/>
  <c r="L46" i="16" a="1"/>
  <c r="L46" i="16" s="1"/>
  <c r="J46" i="16" s="1"/>
  <c r="R65" i="16" a="1"/>
  <c r="R65" i="16" s="1"/>
  <c r="L81" i="16" a="1"/>
  <c r="L81" i="16" s="1"/>
  <c r="J81" i="16" s="1"/>
  <c r="K108" i="16" a="1"/>
  <c r="K108" i="16" s="1"/>
  <c r="B57" i="16" a="1"/>
  <c r="B57" i="16" s="1"/>
  <c r="CR441" i="19"/>
  <c r="CY459" i="19" s="1"/>
  <c r="CQ441" i="19"/>
  <c r="CX459" i="19" s="1"/>
  <c r="CP441" i="19"/>
  <c r="CS441" i="19"/>
  <c r="CZ459" i="19" s="1"/>
  <c r="I108" i="16" a="1"/>
  <c r="I108" i="16" s="1"/>
  <c r="J108" i="16" s="1"/>
  <c r="R109" i="16" a="1"/>
  <c r="R109" i="16" s="1"/>
  <c r="D74" i="16" a="1"/>
  <c r="D74" i="16" s="1"/>
  <c r="D442" i="19"/>
  <c r="K460" i="19" s="1"/>
  <c r="C442" i="19"/>
  <c r="J460" i="19" s="1"/>
  <c r="E442" i="19"/>
  <c r="L460" i="19" s="1"/>
  <c r="F442" i="19"/>
  <c r="M460" i="19" s="1"/>
  <c r="R73" i="16" a="1"/>
  <c r="R73" i="16" s="1"/>
  <c r="D91" i="16" a="1"/>
  <c r="D91" i="16" s="1"/>
  <c r="DE442" i="19"/>
  <c r="DL460" i="19" s="1"/>
  <c r="DC442" i="19"/>
  <c r="DJ460" i="19" s="1"/>
  <c r="DF442" i="19"/>
  <c r="DM460" i="19" s="1"/>
  <c r="DD442" i="19"/>
  <c r="DK460" i="19" s="1"/>
  <c r="B56" i="16" a="1"/>
  <c r="B56" i="16" s="1"/>
  <c r="E98" i="16" a="1"/>
  <c r="E98" i="16" s="1"/>
  <c r="C98" i="16" s="1"/>
  <c r="I48" i="16" a="1"/>
  <c r="I48" i="16" s="1"/>
  <c r="BF443" i="19"/>
  <c r="BM461" i="19" s="1"/>
  <c r="BD443" i="19"/>
  <c r="BK461" i="19" s="1"/>
  <c r="BC443" i="19"/>
  <c r="BJ461" i="19" s="1"/>
  <c r="BE443" i="19"/>
  <c r="BL461" i="19" s="1"/>
  <c r="R81" i="16" a="1"/>
  <c r="R81" i="16" s="1"/>
  <c r="S81" i="16" a="1"/>
  <c r="S81" i="16" s="1"/>
  <c r="Q81" i="16" s="1"/>
  <c r="BS441" i="19"/>
  <c r="BZ459" i="19" s="1"/>
  <c r="BR441" i="19"/>
  <c r="BY459" i="19" s="1"/>
  <c r="BQ441" i="19"/>
  <c r="BX459" i="19" s="1"/>
  <c r="BP441" i="19"/>
  <c r="BW459" i="19" s="1"/>
  <c r="EF435" i="19"/>
  <c r="EM453" i="19" s="1"/>
  <c r="ED435" i="19"/>
  <c r="EK453" i="19" s="1"/>
  <c r="EE435" i="19"/>
  <c r="EL453" i="19" s="1"/>
  <c r="EC435" i="19"/>
  <c r="EJ453" i="19" s="1"/>
  <c r="F441" i="19"/>
  <c r="M459" i="19" s="1"/>
  <c r="E441" i="19"/>
  <c r="L459" i="19" s="1"/>
  <c r="C441" i="19"/>
  <c r="J459" i="19" s="1"/>
  <c r="D441" i="19"/>
  <c r="K459" i="19" s="1"/>
  <c r="CC442" i="19"/>
  <c r="CJ460" i="19" s="1"/>
  <c r="CF442" i="19"/>
  <c r="CM460" i="19" s="1"/>
  <c r="CE442" i="19"/>
  <c r="CL460" i="19" s="1"/>
  <c r="CD442" i="19"/>
  <c r="CK460" i="19" s="1"/>
  <c r="R63" i="16" a="1"/>
  <c r="R63" i="16" s="1"/>
  <c r="AQ442" i="19"/>
  <c r="AX460" i="19" s="1"/>
  <c r="AS442" i="19"/>
  <c r="AZ460" i="19" s="1"/>
  <c r="AP442" i="19"/>
  <c r="AW460" i="19" s="1"/>
  <c r="AR442" i="19"/>
  <c r="AY460" i="19" s="1"/>
  <c r="D63" i="16" a="1"/>
  <c r="D63" i="16" s="1"/>
  <c r="F434" i="19"/>
  <c r="M452" i="19" s="1"/>
  <c r="D434" i="19"/>
  <c r="K452" i="19" s="1"/>
  <c r="C434" i="19"/>
  <c r="J452" i="19" s="1"/>
  <c r="E434" i="19"/>
  <c r="L452" i="19" s="1"/>
  <c r="BS435" i="19"/>
  <c r="BZ453" i="19" s="1"/>
  <c r="BP435" i="19"/>
  <c r="BW453" i="19" s="1"/>
  <c r="BQ435" i="19"/>
  <c r="BX453" i="19" s="1"/>
  <c r="BR435" i="19"/>
  <c r="BY453" i="19" s="1"/>
  <c r="BQ433" i="19"/>
  <c r="BX451" i="19" s="1"/>
  <c r="BS433" i="19"/>
  <c r="BZ451" i="19" s="1"/>
  <c r="BU433" i="19"/>
  <c r="BP433" i="19"/>
  <c r="BW451" i="19" s="1"/>
  <c r="BR433" i="19"/>
  <c r="BY451" i="19" s="1"/>
  <c r="CS434" i="19"/>
  <c r="CZ452" i="19" s="1"/>
  <c r="CP434" i="19"/>
  <c r="CW452" i="19" s="1"/>
  <c r="CR434" i="19"/>
  <c r="CY452" i="19" s="1"/>
  <c r="CQ434" i="19"/>
  <c r="CX452" i="19" s="1"/>
  <c r="K98" i="16" a="1"/>
  <c r="K98" i="16" s="1"/>
  <c r="R99" i="16" a="1"/>
  <c r="R99" i="16" s="1"/>
  <c r="S99" i="16" a="1"/>
  <c r="S99" i="16" s="1"/>
  <c r="Q99" i="16" s="1"/>
  <c r="AD434" i="19"/>
  <c r="AK452" i="19" s="1"/>
  <c r="AF434" i="19"/>
  <c r="AM452" i="19" s="1"/>
  <c r="AC434" i="19"/>
  <c r="AJ452" i="19" s="1"/>
  <c r="AE434" i="19"/>
  <c r="AL452" i="19" s="1"/>
  <c r="DJ433" i="19"/>
  <c r="DC433" i="19"/>
  <c r="DD433" i="19"/>
  <c r="DK451" i="19" s="1"/>
  <c r="DM433" i="19"/>
  <c r="DH433" i="19"/>
  <c r="DN433" i="19" s="1"/>
  <c r="DL433" i="19"/>
  <c r="DK433" i="19"/>
  <c r="DE433" i="19"/>
  <c r="DL451" i="19" s="1"/>
  <c r="DF433" i="19"/>
  <c r="DM451" i="19" s="1"/>
  <c r="L98" i="16" a="1"/>
  <c r="L98" i="16" s="1"/>
  <c r="J98" i="16" s="1"/>
  <c r="CS442" i="19"/>
  <c r="CZ460" i="19" s="1"/>
  <c r="CR442" i="19"/>
  <c r="CY460" i="19" s="1"/>
  <c r="CP442" i="19"/>
  <c r="CW460" i="19" s="1"/>
  <c r="CQ442" i="19"/>
  <c r="CX460" i="19" s="1"/>
  <c r="L97" i="16" a="1"/>
  <c r="L97" i="16" s="1"/>
  <c r="J97" i="16" s="1"/>
  <c r="EE443" i="19"/>
  <c r="EL461" i="19" s="1"/>
  <c r="ED443" i="19"/>
  <c r="EK461" i="19" s="1"/>
  <c r="EC443" i="19"/>
  <c r="EJ461" i="19" s="1"/>
  <c r="EF443" i="19"/>
  <c r="EM461" i="19" s="1"/>
  <c r="D433" i="19"/>
  <c r="K451" i="19" s="1"/>
  <c r="E433" i="19"/>
  <c r="L451" i="19" s="1"/>
  <c r="F433" i="19"/>
  <c r="M451" i="19" s="1"/>
  <c r="C433" i="19"/>
  <c r="J451" i="19" s="1"/>
  <c r="K58" i="16" a="1"/>
  <c r="K58" i="16" s="1"/>
  <c r="CR435" i="19"/>
  <c r="CY453" i="19" s="1"/>
  <c r="CS435" i="19"/>
  <c r="CZ453" i="19" s="1"/>
  <c r="CQ435" i="19"/>
  <c r="CX453" i="19" s="1"/>
  <c r="CP435" i="19"/>
  <c r="CW453" i="19" s="1"/>
  <c r="K92" i="16" a="1"/>
  <c r="K92" i="16" s="1"/>
  <c r="ES435" i="19" a="1"/>
  <c r="ES435" i="19" s="1"/>
  <c r="EP435" i="19" a="1"/>
  <c r="EP435" i="19" s="1"/>
  <c r="ER435" i="19" a="1"/>
  <c r="ER435" i="19" s="1"/>
  <c r="DS441" i="19"/>
  <c r="DZ459" i="19" s="1"/>
  <c r="DP441" i="19"/>
  <c r="DQ441" i="19"/>
  <c r="DX459" i="19" s="1"/>
  <c r="DR441" i="19"/>
  <c r="DY459" i="19" s="1"/>
  <c r="K91" i="16" a="1"/>
  <c r="K91" i="16" s="1"/>
  <c r="AS441" i="19"/>
  <c r="AZ459" i="19" s="1"/>
  <c r="AR441" i="19"/>
  <c r="AY459" i="19" s="1"/>
  <c r="AQ441" i="19"/>
  <c r="AX459" i="19" s="1"/>
  <c r="AP441" i="19"/>
  <c r="AW459" i="19" s="1"/>
  <c r="I73" i="16" a="1"/>
  <c r="I73" i="16" s="1"/>
  <c r="R56" i="16" a="1"/>
  <c r="R56" i="16" s="1"/>
  <c r="P74" i="16" a="1"/>
  <c r="P74" i="16" s="1"/>
  <c r="Q74" i="16" s="1"/>
  <c r="S75" i="16" a="1"/>
  <c r="S75" i="16" s="1"/>
  <c r="Q75" i="16" s="1"/>
  <c r="P108" i="16" a="1"/>
  <c r="P108" i="16" s="1"/>
  <c r="B64" i="16" a="1"/>
  <c r="B64" i="16" s="1"/>
  <c r="E58" i="16" a="1"/>
  <c r="E58" i="16" s="1"/>
  <c r="I92" i="16" a="1"/>
  <c r="I92" i="16" s="1"/>
  <c r="DS443" i="19"/>
  <c r="DZ461" i="19" s="1"/>
  <c r="DQ443" i="19"/>
  <c r="DX461" i="19" s="1"/>
  <c r="DP443" i="19"/>
  <c r="DW461" i="19" s="1"/>
  <c r="DR443" i="19"/>
  <c r="DY461" i="19" s="1"/>
  <c r="K57" i="16" a="1"/>
  <c r="K57" i="16" s="1"/>
  <c r="R58" i="16" a="1"/>
  <c r="R58" i="16" s="1"/>
  <c r="K74" i="16" a="1"/>
  <c r="K74" i="16" s="1"/>
  <c r="R75" i="16" a="1"/>
  <c r="R75" i="16" s="1"/>
  <c r="B58" i="16" a="1"/>
  <c r="B58" i="16" s="1"/>
  <c r="I74" i="16" a="1"/>
  <c r="I74" i="16" s="1"/>
  <c r="J74" i="16" s="1"/>
  <c r="K46" i="16" a="1"/>
  <c r="K46" i="16" s="1"/>
  <c r="BC441" i="19"/>
  <c r="BF441" i="19"/>
  <c r="BM459" i="19" s="1"/>
  <c r="BD441" i="19"/>
  <c r="BK459" i="19" s="1"/>
  <c r="BE441" i="19"/>
  <c r="BL459" i="19" s="1"/>
  <c r="AF441" i="19"/>
  <c r="AM459" i="19" s="1"/>
  <c r="AE441" i="19"/>
  <c r="AL459" i="19" s="1"/>
  <c r="AD441" i="19"/>
  <c r="AK459" i="19" s="1"/>
  <c r="AC441" i="19"/>
  <c r="AJ459" i="19" s="1"/>
  <c r="R74" i="16" a="1"/>
  <c r="R74" i="16" s="1"/>
  <c r="E47" i="16" a="1"/>
  <c r="E47" i="16" s="1"/>
  <c r="C47" i="16" s="1"/>
  <c r="CS443" i="19"/>
  <c r="CZ461" i="19" s="1"/>
  <c r="CR443" i="19"/>
  <c r="CY461" i="19" s="1"/>
  <c r="CQ443" i="19"/>
  <c r="CX461" i="19" s="1"/>
  <c r="CP443" i="19"/>
  <c r="CW461" i="19" s="1"/>
  <c r="P435" i="19"/>
  <c r="W453" i="19" s="1"/>
  <c r="R435" i="19"/>
  <c r="Y453" i="19" s="1"/>
  <c r="S435" i="19"/>
  <c r="Z453" i="19" s="1"/>
  <c r="Q435" i="19"/>
  <c r="X453" i="19" s="1"/>
  <c r="CD433" i="19"/>
  <c r="CK451" i="19" s="1"/>
  <c r="CK433" i="19"/>
  <c r="CC433" i="19"/>
  <c r="CF433" i="19"/>
  <c r="CM451" i="19" s="1"/>
  <c r="CH433" i="19"/>
  <c r="CN433" i="19" s="1"/>
  <c r="CJ433" i="19"/>
  <c r="CL433" i="19"/>
  <c r="CM433" i="19"/>
  <c r="CE433" i="19"/>
  <c r="CL451" i="19" s="1"/>
  <c r="BS442" i="19"/>
  <c r="BZ460" i="19" s="1"/>
  <c r="BP442" i="19"/>
  <c r="BW460" i="19" s="1"/>
  <c r="BQ442" i="19"/>
  <c r="BX460" i="19" s="1"/>
  <c r="BR442" i="19"/>
  <c r="BY460" i="19" s="1"/>
  <c r="BQ443" i="19"/>
  <c r="BX461" i="19" s="1"/>
  <c r="BS443" i="19"/>
  <c r="BZ461" i="19" s="1"/>
  <c r="BR443" i="19"/>
  <c r="BY461" i="19" s="1"/>
  <c r="BP443" i="19"/>
  <c r="BW461" i="19" s="1"/>
  <c r="D104" i="16" l="1" a="1"/>
  <c r="D104" i="16" s="1"/>
  <c r="E104" i="16" a="1"/>
  <c r="E104" i="16" s="1"/>
  <c r="C104" i="16" s="1"/>
  <c r="L99" i="16" a="1"/>
  <c r="L99" i="16" s="1"/>
  <c r="DP439" i="19"/>
  <c r="DW457" i="19" s="1"/>
  <c r="DQ439" i="19"/>
  <c r="DX457" i="19" s="1"/>
  <c r="DR439" i="19"/>
  <c r="DY457" i="19" s="1"/>
  <c r="B99" i="16" a="1"/>
  <c r="B99" i="16" s="1"/>
  <c r="E99" i="16" a="1"/>
  <c r="E99" i="16" s="1"/>
  <c r="EC439" i="19"/>
  <c r="EJ457" i="19" s="1"/>
  <c r="ED439" i="19"/>
  <c r="EK457" i="19" s="1"/>
  <c r="I99" i="16" a="1"/>
  <c r="I99" i="16" s="1"/>
  <c r="I104" i="16" a="1"/>
  <c r="I104" i="16" s="1"/>
  <c r="J104" i="16" s="1"/>
  <c r="EE439" i="19"/>
  <c r="EL457" i="19" s="1"/>
  <c r="DJ436" i="19"/>
  <c r="DN439" i="19" s="1"/>
  <c r="DA455" i="19"/>
  <c r="BJ455" i="19"/>
  <c r="BN455" i="19" s="1"/>
  <c r="DN455" i="19"/>
  <c r="J68" i="16"/>
  <c r="C102" i="16"/>
  <c r="AN455" i="19"/>
  <c r="EA455" i="19"/>
  <c r="DW436" i="19"/>
  <c r="EA439" i="19" s="1"/>
  <c r="EA456" i="19"/>
  <c r="BN456" i="19"/>
  <c r="DN457" i="19"/>
  <c r="DA457" i="19"/>
  <c r="CW436" i="19"/>
  <c r="DA437" i="19" s="1"/>
  <c r="J51" i="16"/>
  <c r="CN456" i="19"/>
  <c r="AN457" i="19"/>
  <c r="DA456" i="19"/>
  <c r="J86" i="16"/>
  <c r="C87" i="16"/>
  <c r="AA455" i="19"/>
  <c r="EN456" i="19"/>
  <c r="J103" i="16"/>
  <c r="N455" i="19"/>
  <c r="CN457" i="19"/>
  <c r="CA455" i="19"/>
  <c r="J85" i="16"/>
  <c r="AA457" i="19"/>
  <c r="N457" i="19"/>
  <c r="CN455" i="19"/>
  <c r="CJ436" i="19"/>
  <c r="CN438" i="19" s="1"/>
  <c r="AN456" i="19"/>
  <c r="BN457" i="19"/>
  <c r="BA457" i="19"/>
  <c r="BA456" i="19"/>
  <c r="CA456" i="19"/>
  <c r="DN456" i="19"/>
  <c r="EQ439" i="19"/>
  <c r="BA455" i="19"/>
  <c r="EJ455" i="19"/>
  <c r="EN455" i="19" s="1"/>
  <c r="AA456" i="19"/>
  <c r="Q86" i="16"/>
  <c r="EQ434" i="19"/>
  <c r="CA457" i="19"/>
  <c r="Q102" i="16"/>
  <c r="N456" i="19"/>
  <c r="C97" i="16"/>
  <c r="EW436" i="19"/>
  <c r="FA438" i="19" s="1"/>
  <c r="N453" i="19"/>
  <c r="J64" i="16"/>
  <c r="AN451" i="19"/>
  <c r="EN452" i="19"/>
  <c r="EJ451" i="19"/>
  <c r="EN451" i="19" s="1"/>
  <c r="CA452" i="19"/>
  <c r="J107" i="16"/>
  <c r="J109" i="16"/>
  <c r="Q109" i="16"/>
  <c r="J82" i="16"/>
  <c r="DN452" i="19"/>
  <c r="Q90" i="16"/>
  <c r="J56" i="16"/>
  <c r="C58" i="16"/>
  <c r="J58" i="16"/>
  <c r="C92" i="16"/>
  <c r="Q56" i="16"/>
  <c r="Q57" i="16"/>
  <c r="C91" i="16"/>
  <c r="Q73" i="16"/>
  <c r="C57" i="16"/>
  <c r="J57" i="16"/>
  <c r="C74" i="16"/>
  <c r="J73" i="16"/>
  <c r="C73" i="16"/>
  <c r="J92" i="16"/>
  <c r="Q58" i="16"/>
  <c r="C109" i="16"/>
  <c r="Q92" i="16"/>
  <c r="Q107" i="16"/>
  <c r="Q108" i="16"/>
  <c r="J75" i="16"/>
  <c r="C56" i="16"/>
  <c r="Q91" i="16"/>
  <c r="C107" i="16"/>
  <c r="BJ451" i="19"/>
  <c r="BN451" i="19" s="1"/>
  <c r="BA451" i="19"/>
  <c r="EA453" i="19"/>
  <c r="BA452" i="19"/>
  <c r="AA451" i="19"/>
  <c r="Q47" i="16"/>
  <c r="N451" i="19"/>
  <c r="N461" i="19"/>
  <c r="EN460" i="19"/>
  <c r="CN461" i="19"/>
  <c r="AN453" i="19"/>
  <c r="BA453" i="19"/>
  <c r="BN452" i="19"/>
  <c r="J63" i="16"/>
  <c r="C82" i="16"/>
  <c r="CA459" i="19"/>
  <c r="N460" i="19"/>
  <c r="EN461" i="19"/>
  <c r="C64" i="16"/>
  <c r="CN453" i="19"/>
  <c r="J48" i="16"/>
  <c r="CA461" i="19"/>
  <c r="DA453" i="19"/>
  <c r="DA460" i="19"/>
  <c r="BA460" i="19"/>
  <c r="CN452" i="19"/>
  <c r="CA460" i="19"/>
  <c r="DA461" i="19"/>
  <c r="CA453" i="19"/>
  <c r="AA452" i="19"/>
  <c r="EA460" i="19"/>
  <c r="C80" i="16"/>
  <c r="CW459" i="19"/>
  <c r="DA459" i="19" s="1"/>
  <c r="CW440" i="19"/>
  <c r="DN460" i="19"/>
  <c r="EQ441" i="19"/>
  <c r="EW440" i="19"/>
  <c r="AA459" i="19"/>
  <c r="EJ459" i="19"/>
  <c r="EN459" i="19" s="1"/>
  <c r="EJ440" i="19"/>
  <c r="AA453" i="19"/>
  <c r="AA461" i="19"/>
  <c r="DN461" i="19"/>
  <c r="AN460" i="19"/>
  <c r="BA461" i="19"/>
  <c r="DJ459" i="19"/>
  <c r="DN459" i="19" s="1"/>
  <c r="DJ440" i="19"/>
  <c r="BN460" i="19"/>
  <c r="EA452" i="19"/>
  <c r="DW459" i="19"/>
  <c r="EA459" i="19" s="1"/>
  <c r="DW440" i="19"/>
  <c r="CN460" i="19"/>
  <c r="N452" i="19"/>
  <c r="CJ451" i="19"/>
  <c r="CN451" i="19" s="1"/>
  <c r="CJ432" i="19"/>
  <c r="AN459" i="19"/>
  <c r="DA452" i="19"/>
  <c r="N459" i="19"/>
  <c r="BN461" i="19"/>
  <c r="DW451" i="19"/>
  <c r="EA451" i="19" s="1"/>
  <c r="DW432" i="19"/>
  <c r="EQ435" i="19"/>
  <c r="DJ451" i="19"/>
  <c r="DN451" i="19" s="1"/>
  <c r="DJ432" i="19"/>
  <c r="EW432" i="19"/>
  <c r="AN461" i="19"/>
  <c r="CA451" i="19"/>
  <c r="EN453" i="19"/>
  <c r="BA459" i="19"/>
  <c r="AA460" i="19"/>
  <c r="AN452" i="19"/>
  <c r="BN453" i="19"/>
  <c r="BN439" i="19"/>
  <c r="BN437" i="19"/>
  <c r="BN438" i="19"/>
  <c r="BJ459" i="19"/>
  <c r="BN459" i="19" s="1"/>
  <c r="BJ440" i="19"/>
  <c r="EA461" i="19"/>
  <c r="EN434" i="19"/>
  <c r="EN435" i="19"/>
  <c r="CJ459" i="19"/>
  <c r="CN459" i="19" s="1"/>
  <c r="CJ440" i="19"/>
  <c r="EN439" i="19"/>
  <c r="EN437" i="19"/>
  <c r="EN438" i="19"/>
  <c r="BN435" i="19"/>
  <c r="BN434" i="19"/>
  <c r="DN453" i="19"/>
  <c r="CW451" i="19"/>
  <c r="DA451" i="19" s="1"/>
  <c r="CW432" i="19"/>
  <c r="EA457" i="19" l="1"/>
  <c r="J99" i="16"/>
  <c r="C99" i="16"/>
  <c r="EN457" i="19"/>
  <c r="EO454" i="19" s="1"/>
  <c r="DN438" i="19"/>
  <c r="DK438" i="19" s="1"/>
  <c r="DN437" i="19"/>
  <c r="DJ437" i="19" s="1"/>
  <c r="DA439" i="19"/>
  <c r="CW439" i="19" s="1"/>
  <c r="EB454" i="19"/>
  <c r="DA438" i="19"/>
  <c r="CW438" i="19" s="1"/>
  <c r="DO454" i="19"/>
  <c r="BO454" i="19"/>
  <c r="EA438" i="19"/>
  <c r="DW438" i="19" s="1"/>
  <c r="EA437" i="19"/>
  <c r="DW437" i="19" s="1"/>
  <c r="DB454" i="19"/>
  <c r="AO454" i="19"/>
  <c r="CO454" i="19"/>
  <c r="CN439" i="19"/>
  <c r="CJ439" i="19" s="1"/>
  <c r="CN437" i="19"/>
  <c r="CJ437" i="19" s="1"/>
  <c r="AB454" i="19"/>
  <c r="O454" i="19"/>
  <c r="BB454" i="19"/>
  <c r="CB454" i="19"/>
  <c r="FA437" i="19"/>
  <c r="EY437" i="19" s="1"/>
  <c r="EY455" i="19" s="1"/>
  <c r="FA439" i="19"/>
  <c r="FA457" i="19" s="1"/>
  <c r="EO450" i="19"/>
  <c r="AO450" i="19"/>
  <c r="O450" i="19"/>
  <c r="BB450" i="19"/>
  <c r="O458" i="19"/>
  <c r="BO450" i="19"/>
  <c r="CO458" i="19"/>
  <c r="DO458" i="19"/>
  <c r="BO458" i="19"/>
  <c r="DO450" i="19"/>
  <c r="BB458" i="19"/>
  <c r="AB450" i="19"/>
  <c r="CB458" i="19"/>
  <c r="CO450" i="19"/>
  <c r="EO458" i="19"/>
  <c r="AO458" i="19"/>
  <c r="DB450" i="19"/>
  <c r="DB458" i="19"/>
  <c r="CB450" i="19"/>
  <c r="CM438" i="19"/>
  <c r="CK438" i="19"/>
  <c r="CL438" i="19"/>
  <c r="CJ438" i="19"/>
  <c r="DK439" i="19"/>
  <c r="DM439" i="19"/>
  <c r="DL439" i="19"/>
  <c r="DJ439" i="19"/>
  <c r="FA435" i="19"/>
  <c r="FA434" i="19"/>
  <c r="FA433" i="19"/>
  <c r="CN435" i="19"/>
  <c r="CN434" i="19"/>
  <c r="DN435" i="19"/>
  <c r="DN434" i="19"/>
  <c r="EN441" i="19"/>
  <c r="EN442" i="19"/>
  <c r="EN443" i="19"/>
  <c r="EL435" i="19"/>
  <c r="EK435" i="19"/>
  <c r="EM435" i="19"/>
  <c r="EJ435" i="19"/>
  <c r="EJ439" i="19"/>
  <c r="EL439" i="19"/>
  <c r="EM439" i="19"/>
  <c r="EK439" i="19"/>
  <c r="AB458" i="19"/>
  <c r="EA443" i="19"/>
  <c r="EA442" i="19"/>
  <c r="EA441" i="19"/>
  <c r="EB458" i="19"/>
  <c r="FA456" i="19"/>
  <c r="EW438" i="19"/>
  <c r="EW456" i="19" s="1"/>
  <c r="EY438" i="19"/>
  <c r="EY456" i="19" s="1"/>
  <c r="EX438" i="19"/>
  <c r="EX456" i="19" s="1"/>
  <c r="EZ438" i="19"/>
  <c r="EZ456" i="19" s="1"/>
  <c r="BM438" i="19"/>
  <c r="BL438" i="19"/>
  <c r="BJ438" i="19"/>
  <c r="BK438" i="19"/>
  <c r="EA434" i="19"/>
  <c r="EA435" i="19"/>
  <c r="FA441" i="19"/>
  <c r="FA443" i="19"/>
  <c r="FA442" i="19"/>
  <c r="EJ438" i="19"/>
  <c r="EK438" i="19"/>
  <c r="EM438" i="19"/>
  <c r="EL438" i="19"/>
  <c r="CW437" i="19"/>
  <c r="CZ437" i="19"/>
  <c r="CY437" i="19"/>
  <c r="CX437" i="19"/>
  <c r="BM437" i="19"/>
  <c r="BL437" i="19"/>
  <c r="BJ437" i="19"/>
  <c r="BK437" i="19"/>
  <c r="EB450" i="19"/>
  <c r="DN442" i="19"/>
  <c r="DN441" i="19"/>
  <c r="DN443" i="19"/>
  <c r="EK437" i="19"/>
  <c r="EL437" i="19"/>
  <c r="EM437" i="19"/>
  <c r="EJ437" i="19"/>
  <c r="DY439" i="19"/>
  <c r="DW439" i="19"/>
  <c r="DZ439" i="19"/>
  <c r="DX439" i="19"/>
  <c r="BJ439" i="19"/>
  <c r="BK439" i="19"/>
  <c r="BM439" i="19"/>
  <c r="BL439" i="19"/>
  <c r="EK434" i="19"/>
  <c r="EL434" i="19"/>
  <c r="EM434" i="19"/>
  <c r="EJ434" i="19"/>
  <c r="BN443" i="19"/>
  <c r="BN442" i="19"/>
  <c r="BN441" i="19"/>
  <c r="DA434" i="19"/>
  <c r="DA435" i="19"/>
  <c r="BL434" i="19"/>
  <c r="BJ434" i="19"/>
  <c r="BK434" i="19"/>
  <c r="BM434" i="19"/>
  <c r="DA441" i="19"/>
  <c r="DA442" i="19"/>
  <c r="DA443" i="19"/>
  <c r="CN441" i="19"/>
  <c r="CN443" i="19"/>
  <c r="CN442" i="19"/>
  <c r="BJ435" i="19"/>
  <c r="BK435" i="19"/>
  <c r="BL435" i="19"/>
  <c r="BM435" i="19"/>
  <c r="DL438" i="19" l="1"/>
  <c r="DJ438" i="19"/>
  <c r="DM437" i="19"/>
  <c r="DM438" i="19"/>
  <c r="DL437" i="19"/>
  <c r="DK437" i="19"/>
  <c r="CX438" i="19"/>
  <c r="CY439" i="19"/>
  <c r="CX439" i="19"/>
  <c r="CZ439" i="19"/>
  <c r="CZ438" i="19"/>
  <c r="DY438" i="19"/>
  <c r="DZ437" i="19"/>
  <c r="DX437" i="19"/>
  <c r="DY437" i="19"/>
  <c r="DZ438" i="19"/>
  <c r="DX438" i="19"/>
  <c r="CY438" i="19"/>
  <c r="CL439" i="19"/>
  <c r="CK439" i="19"/>
  <c r="CM439" i="19"/>
  <c r="EZ439" i="19"/>
  <c r="EZ457" i="19" s="1"/>
  <c r="CM437" i="19"/>
  <c r="CL437" i="19"/>
  <c r="CK437" i="19"/>
  <c r="EZ437" i="19"/>
  <c r="EZ455" i="19" s="1"/>
  <c r="EX437" i="19"/>
  <c r="EX455" i="19" s="1"/>
  <c r="FA455" i="19"/>
  <c r="FB454" i="19" s="1"/>
  <c r="EW437" i="19"/>
  <c r="EW455" i="19" s="1"/>
  <c r="EY439" i="19"/>
  <c r="EY457" i="19" s="1"/>
  <c r="EW439" i="19"/>
  <c r="EW457" i="19" s="1"/>
  <c r="EX439" i="19"/>
  <c r="EX457" i="19" s="1"/>
  <c r="EO463" i="19"/>
  <c r="EO464" i="19" s="1"/>
  <c r="EI463" i="19" s="1" a="1"/>
  <c r="EI463" i="19" s="1"/>
  <c r="DO463" i="19"/>
  <c r="DO464" i="19" s="1"/>
  <c r="DI463" i="19" s="1" a="1"/>
  <c r="DI463" i="19" s="1"/>
  <c r="EB463" i="19"/>
  <c r="EB464" i="19" s="1"/>
  <c r="DV463" i="19" s="1" a="1"/>
  <c r="DV463" i="19" s="1"/>
  <c r="AO463" i="19"/>
  <c r="AO464" i="19" s="1"/>
  <c r="AI463" i="19" s="1" a="1"/>
  <c r="AI463" i="19" s="1"/>
  <c r="CO463" i="19"/>
  <c r="CO464" i="19" s="1"/>
  <c r="CI463" i="19" s="1" a="1"/>
  <c r="CI463" i="19" s="1"/>
  <c r="BO463" i="19"/>
  <c r="BO464" i="19" s="1"/>
  <c r="BI463" i="19" s="1" a="1"/>
  <c r="BI463" i="19" s="1"/>
  <c r="AB463" i="19"/>
  <c r="AB464" i="19" s="1"/>
  <c r="V463" i="19" s="1" a="1"/>
  <c r="V463" i="19" s="1"/>
  <c r="BB463" i="19"/>
  <c r="BB464" i="19" s="1"/>
  <c r="AV463" i="19" s="1" a="1"/>
  <c r="AV463" i="19" s="1"/>
  <c r="O463" i="19"/>
  <c r="O464" i="19" s="1"/>
  <c r="BK466" i="19" s="1" a="1"/>
  <c r="BK466" i="19" s="1"/>
  <c r="CB463" i="19"/>
  <c r="CB464" i="19" s="1"/>
  <c r="BV463" i="19" s="1" a="1"/>
  <c r="BV463" i="19" s="1"/>
  <c r="DB463" i="19"/>
  <c r="DB464" i="19" s="1"/>
  <c r="CV463" i="19" s="1" a="1"/>
  <c r="CV463" i="19" s="1"/>
  <c r="EJ441" i="19"/>
  <c r="EM441" i="19"/>
  <c r="EK441" i="19"/>
  <c r="EL441" i="19"/>
  <c r="DJ434" i="19"/>
  <c r="DM434" i="19"/>
  <c r="DK434" i="19"/>
  <c r="DL434" i="19"/>
  <c r="DJ435" i="19"/>
  <c r="DL435" i="19"/>
  <c r="DK435" i="19"/>
  <c r="DM435" i="19"/>
  <c r="CY434" i="19"/>
  <c r="CX434" i="19"/>
  <c r="CW434" i="19"/>
  <c r="CZ434" i="19"/>
  <c r="CK442" i="19"/>
  <c r="CM442" i="19"/>
  <c r="CJ442" i="19"/>
  <c r="CL442" i="19"/>
  <c r="BJ441" i="19"/>
  <c r="BL441" i="19"/>
  <c r="BM441" i="19"/>
  <c r="BK441" i="19"/>
  <c r="CJ443" i="19"/>
  <c r="CL443" i="19"/>
  <c r="CK443" i="19"/>
  <c r="CM443" i="19"/>
  <c r="BJ442" i="19"/>
  <c r="BK442" i="19"/>
  <c r="BM442" i="19"/>
  <c r="BL442" i="19"/>
  <c r="DZ441" i="19"/>
  <c r="DY441" i="19"/>
  <c r="DX441" i="19"/>
  <c r="DW441" i="19"/>
  <c r="BJ443" i="19"/>
  <c r="BM443" i="19"/>
  <c r="BK443" i="19"/>
  <c r="BL443" i="19"/>
  <c r="DZ442" i="19"/>
  <c r="DW442" i="19"/>
  <c r="DX442" i="19"/>
  <c r="DY442" i="19"/>
  <c r="DX443" i="19"/>
  <c r="DY443" i="19"/>
  <c r="DZ443" i="19"/>
  <c r="DW443" i="19"/>
  <c r="CK434" i="19"/>
  <c r="CJ434" i="19"/>
  <c r="CM434" i="19"/>
  <c r="CL434" i="19"/>
  <c r="DL443" i="19"/>
  <c r="DM443" i="19"/>
  <c r="DK443" i="19"/>
  <c r="DJ443" i="19"/>
  <c r="FA460" i="19"/>
  <c r="EZ442" i="19"/>
  <c r="EZ460" i="19" s="1"/>
  <c r="EW442" i="19"/>
  <c r="EW460" i="19" s="1"/>
  <c r="EX442" i="19"/>
  <c r="EX460" i="19" s="1"/>
  <c r="EY442" i="19"/>
  <c r="EY460" i="19" s="1"/>
  <c r="CK435" i="19"/>
  <c r="CL435" i="19"/>
  <c r="CM435" i="19"/>
  <c r="CJ435" i="19"/>
  <c r="DM441" i="19"/>
  <c r="DL441" i="19"/>
  <c r="DJ441" i="19"/>
  <c r="DK441" i="19"/>
  <c r="EX443" i="19"/>
  <c r="EX461" i="19" s="1"/>
  <c r="FA461" i="19"/>
  <c r="EW443" i="19"/>
  <c r="EW461" i="19" s="1"/>
  <c r="EZ443" i="19"/>
  <c r="EZ461" i="19" s="1"/>
  <c r="EY443" i="19"/>
  <c r="EY461" i="19" s="1"/>
  <c r="FA451" i="19"/>
  <c r="EY433" i="19"/>
  <c r="EY451" i="19" s="1"/>
  <c r="EX433" i="19"/>
  <c r="EX451" i="19" s="1"/>
  <c r="EZ433" i="19"/>
  <c r="EZ451" i="19" s="1"/>
  <c r="EW433" i="19"/>
  <c r="EW451" i="19" s="1"/>
  <c r="CL441" i="19"/>
  <c r="CK441" i="19"/>
  <c r="CM441" i="19"/>
  <c r="CJ441" i="19"/>
  <c r="DL442" i="19"/>
  <c r="DM442" i="19"/>
  <c r="DJ442" i="19"/>
  <c r="DK442" i="19"/>
  <c r="EY441" i="19"/>
  <c r="EY459" i="19" s="1"/>
  <c r="FA459" i="19"/>
  <c r="EZ441" i="19"/>
  <c r="EZ459" i="19" s="1"/>
  <c r="EW441" i="19"/>
  <c r="EW459" i="19" s="1"/>
  <c r="EX441" i="19"/>
  <c r="EX459" i="19" s="1"/>
  <c r="FA452" i="19"/>
  <c r="EY434" i="19"/>
  <c r="EY452" i="19" s="1"/>
  <c r="EX434" i="19"/>
  <c r="EX452" i="19" s="1"/>
  <c r="EW434" i="19"/>
  <c r="EW452" i="19" s="1"/>
  <c r="EZ434" i="19"/>
  <c r="EZ452" i="19" s="1"/>
  <c r="CY435" i="19"/>
  <c r="CW435" i="19"/>
  <c r="CZ435" i="19"/>
  <c r="CX435" i="19"/>
  <c r="DZ435" i="19"/>
  <c r="DW435" i="19"/>
  <c r="DY435" i="19"/>
  <c r="DX435" i="19"/>
  <c r="FA453" i="19"/>
  <c r="EY435" i="19"/>
  <c r="EY453" i="19" s="1"/>
  <c r="EZ435" i="19"/>
  <c r="EZ453" i="19" s="1"/>
  <c r="EW435" i="19"/>
  <c r="EW453" i="19" s="1"/>
  <c r="EX435" i="19"/>
  <c r="EX453" i="19" s="1"/>
  <c r="CX442" i="19"/>
  <c r="CZ442" i="19"/>
  <c r="CY442" i="19"/>
  <c r="CW442" i="19"/>
  <c r="DW434" i="19"/>
  <c r="DX434" i="19"/>
  <c r="DZ434" i="19"/>
  <c r="DY434" i="19"/>
  <c r="CX443" i="19"/>
  <c r="CY443" i="19"/>
  <c r="CZ443" i="19"/>
  <c r="CW443" i="19"/>
  <c r="CW441" i="19"/>
  <c r="CY441" i="19"/>
  <c r="CX441" i="19"/>
  <c r="CZ441" i="19"/>
  <c r="EM443" i="19"/>
  <c r="EL443" i="19"/>
  <c r="EK443" i="19"/>
  <c r="EJ443" i="19"/>
  <c r="EL442" i="19"/>
  <c r="EJ442" i="19"/>
  <c r="EM442" i="19"/>
  <c r="EK442" i="19"/>
  <c r="BL466" i="19" l="1" a="1"/>
  <c r="BL466" i="19" s="1"/>
  <c r="BM466" i="19" a="1"/>
  <c r="BM466" i="19" s="1"/>
  <c r="DK465" i="19" a="1"/>
  <c r="DK465" i="19" s="1"/>
  <c r="BJ466" i="19" a="1"/>
  <c r="BJ466" i="19" s="1"/>
  <c r="K466" i="19" a="1"/>
  <c r="K466" i="19" s="1"/>
  <c r="CX465" i="19" a="1"/>
  <c r="CX465" i="19" s="1"/>
  <c r="BN466" i="19" a="1"/>
  <c r="BN466" i="19" s="1"/>
  <c r="DK464" i="19" a="1"/>
  <c r="DK464" i="19" s="1"/>
  <c r="CX464" i="19" a="1"/>
  <c r="CX464" i="19" s="1"/>
  <c r="BX466" i="19" a="1"/>
  <c r="BX466" i="19" s="1"/>
  <c r="X464" i="19" a="1"/>
  <c r="X464" i="19" s="1"/>
  <c r="DK466" i="19" a="1"/>
  <c r="DK466" i="19" s="1"/>
  <c r="X465" i="19" a="1"/>
  <c r="X465" i="19" s="1"/>
  <c r="BX464" i="19" a="1"/>
  <c r="BX464" i="19" s="1"/>
  <c r="AX466" i="19" a="1"/>
  <c r="AX466" i="19" s="1"/>
  <c r="EK464" i="19" a="1"/>
  <c r="EK464" i="19" s="1"/>
  <c r="BK465" i="19" a="1"/>
  <c r="BK465" i="19" s="1"/>
  <c r="BX465" i="19" a="1"/>
  <c r="BX465" i="19" s="1"/>
  <c r="K465" i="19" a="1"/>
  <c r="K465" i="19" s="1"/>
  <c r="AK464" i="19" a="1"/>
  <c r="AK464" i="19" s="1"/>
  <c r="BK464" i="19" a="1"/>
  <c r="BK464" i="19" s="1"/>
  <c r="K464" i="19" a="1"/>
  <c r="K464" i="19" s="1"/>
  <c r="AX464" i="19" a="1"/>
  <c r="AX464" i="19" s="1"/>
  <c r="I463" i="19" a="1"/>
  <c r="I463" i="19" s="1"/>
  <c r="CX466" i="19" a="1"/>
  <c r="CX466" i="19" s="1"/>
  <c r="AK466" i="19" a="1"/>
  <c r="AK466" i="19" s="1"/>
  <c r="CK465" i="19" a="1"/>
  <c r="CK465" i="19" s="1"/>
  <c r="AX465" i="19" a="1"/>
  <c r="AX465" i="19" s="1"/>
  <c r="CK466" i="19" a="1"/>
  <c r="CK466" i="19" s="1"/>
  <c r="DX466" i="19" a="1"/>
  <c r="DX466" i="19" s="1"/>
  <c r="EK466" i="19" a="1"/>
  <c r="EK466" i="19" s="1"/>
  <c r="AK465" i="19" a="1"/>
  <c r="AK465" i="19" s="1"/>
  <c r="CK464" i="19" a="1"/>
  <c r="CK464" i="19" s="1"/>
  <c r="X466" i="19" a="1"/>
  <c r="X466" i="19" s="1"/>
  <c r="DX464" i="19" a="1"/>
  <c r="DX464" i="19" s="1"/>
  <c r="EK465" i="19" a="1"/>
  <c r="EK465" i="19" s="1"/>
  <c r="DX465" i="19" a="1"/>
  <c r="DX465" i="19" s="1"/>
  <c r="EX466" i="19" a="1"/>
  <c r="EX466" i="19" s="1"/>
  <c r="EX465" i="19" a="1"/>
  <c r="EX465" i="19" s="1"/>
  <c r="EX464" i="19" a="1"/>
  <c r="EX464" i="19" s="1"/>
  <c r="FB450" i="19"/>
  <c r="FB458" i="19"/>
  <c r="AZ466" i="19" l="1" a="1"/>
  <c r="AZ466" i="19" s="1"/>
  <c r="DM466" i="19" a="1"/>
  <c r="DM466" i="19" s="1"/>
  <c r="Z464" i="19" a="1"/>
  <c r="Z464" i="19" s="1"/>
  <c r="BW466" i="19" a="1"/>
  <c r="BW466" i="19" s="1"/>
  <c r="Z465" i="19" a="1"/>
  <c r="Z465" i="19" s="1"/>
  <c r="CY464" i="19" a="1"/>
  <c r="CY464" i="19" s="1"/>
  <c r="DJ464" i="19" a="1"/>
  <c r="DJ464" i="19" s="1"/>
  <c r="DJ472" i="19" s="1"/>
  <c r="DJ477" i="19" s="1"/>
  <c r="AM466" i="19" a="1"/>
  <c r="AM466" i="19" s="1"/>
  <c r="AW465" i="19" a="1"/>
  <c r="AW465" i="19" s="1"/>
  <c r="N464" i="19" a="1"/>
  <c r="N464" i="19" s="1"/>
  <c r="A6" i="26" s="1"/>
  <c r="G22" i="26" s="1"/>
  <c r="P22" i="26" s="1"/>
  <c r="CZ465" i="19" a="1"/>
  <c r="CZ465" i="19" s="1"/>
  <c r="DY466" i="19" a="1"/>
  <c r="DY466" i="19" s="1"/>
  <c r="BJ464" i="19" a="1"/>
  <c r="BJ464" i="19" s="1"/>
  <c r="BJ472" i="19" s="1"/>
  <c r="BJ477" i="19" s="1"/>
  <c r="L466" i="19" a="1"/>
  <c r="L466" i="19" s="1"/>
  <c r="AJ464" i="19" a="1"/>
  <c r="AJ464" i="19" s="1"/>
  <c r="BJ474" i="19"/>
  <c r="BK474" i="19" s="1"/>
  <c r="BL474" i="19" s="1"/>
  <c r="BM474" i="19" s="1"/>
  <c r="CZ466" i="19" a="1"/>
  <c r="CZ466" i="19" s="1"/>
  <c r="EM465" i="19" a="1"/>
  <c r="EM465" i="19" s="1"/>
  <c r="J465" i="19" a="1"/>
  <c r="J465" i="19" s="1"/>
  <c r="DJ465" i="19" a="1"/>
  <c r="DJ465" i="19" s="1"/>
  <c r="CM466" i="19" a="1"/>
  <c r="CM466" i="19" s="1"/>
  <c r="AZ464" i="19" a="1"/>
  <c r="AZ464" i="19" s="1"/>
  <c r="BZ465" i="19" a="1"/>
  <c r="BZ465" i="19" s="1"/>
  <c r="CJ465" i="19" a="1"/>
  <c r="CJ465" i="19" s="1"/>
  <c r="CM464" i="19" a="1"/>
  <c r="CM464" i="19" s="1"/>
  <c r="BM465" i="19" a="1"/>
  <c r="BM465" i="19" s="1"/>
  <c r="BZ464" i="19" a="1"/>
  <c r="BZ464" i="19" s="1"/>
  <c r="AL465" i="19" a="1"/>
  <c r="AL465" i="19" s="1"/>
  <c r="EN464" i="19" a="1"/>
  <c r="EN464" i="19" s="1"/>
  <c r="A332" i="26" s="1"/>
  <c r="L465" i="19" a="1"/>
  <c r="L465" i="19" s="1"/>
  <c r="AK467" i="19"/>
  <c r="M465" i="19" a="1"/>
  <c r="M465" i="19" s="1"/>
  <c r="BN465" i="19" a="1"/>
  <c r="BN465" i="19" s="1"/>
  <c r="DN464" i="19" a="1"/>
  <c r="DN464" i="19" s="1"/>
  <c r="A266" i="26" s="1"/>
  <c r="CX467" i="19"/>
  <c r="DM464" i="19" a="1"/>
  <c r="DM464" i="19" s="1"/>
  <c r="EJ464" i="19" a="1"/>
  <c r="EJ464" i="19" s="1"/>
  <c r="EL464" i="19" a="1"/>
  <c r="EL464" i="19" s="1"/>
  <c r="CW466" i="19" a="1"/>
  <c r="CW466" i="19" s="1"/>
  <c r="AA465" i="19" a="1"/>
  <c r="AA465" i="19" s="1"/>
  <c r="Y465" i="19" a="1"/>
  <c r="Y465" i="19" s="1"/>
  <c r="W465" i="19" a="1"/>
  <c r="W465" i="19" s="1"/>
  <c r="N465" i="19" a="1"/>
  <c r="N465" i="19" s="1"/>
  <c r="J464" i="19" a="1"/>
  <c r="J464" i="19" s="1"/>
  <c r="Y464" i="19" a="1"/>
  <c r="Y464" i="19" s="1"/>
  <c r="DL465" i="19" a="1"/>
  <c r="DL465" i="19" s="1"/>
  <c r="CY466" i="19" a="1"/>
  <c r="CY466" i="19" s="1"/>
  <c r="J466" i="19" a="1"/>
  <c r="J466" i="19" s="1"/>
  <c r="AM464" i="19" a="1"/>
  <c r="AM464" i="19" s="1"/>
  <c r="BA466" i="19" a="1"/>
  <c r="BA466" i="19" s="1"/>
  <c r="BA464" i="19" a="1"/>
  <c r="BA464" i="19" s="1"/>
  <c r="A102" i="26" s="1"/>
  <c r="AL466" i="19" a="1"/>
  <c r="AL466" i="19" s="1"/>
  <c r="CA464" i="19" a="1"/>
  <c r="CA464" i="19" s="1"/>
  <c r="A166" i="26" s="1"/>
  <c r="BY464" i="19" a="1"/>
  <c r="BY464" i="19" s="1"/>
  <c r="CZ464" i="19" a="1"/>
  <c r="CZ464" i="19" s="1"/>
  <c r="DA466" i="19" a="1"/>
  <c r="DA466" i="19" s="1"/>
  <c r="CA465" i="19" a="1"/>
  <c r="CA465" i="19" s="1"/>
  <c r="DJ466" i="19" a="1"/>
  <c r="DJ466" i="19" s="1"/>
  <c r="DA465" i="19" a="1"/>
  <c r="DA465" i="19" s="1"/>
  <c r="CW465" i="19" a="1"/>
  <c r="CW465" i="19" s="1"/>
  <c r="BY465" i="19" a="1"/>
  <c r="BY465" i="19" s="1"/>
  <c r="CW464" i="19" a="1"/>
  <c r="CW464" i="19" s="1"/>
  <c r="L464" i="19" a="1"/>
  <c r="L464" i="19" s="1"/>
  <c r="BJ465" i="19" a="1"/>
  <c r="BJ465" i="19" s="1"/>
  <c r="AN464" i="19" a="1"/>
  <c r="AN464" i="19" s="1"/>
  <c r="A70" i="26" s="1"/>
  <c r="X467" i="19"/>
  <c r="AY464" i="19" a="1"/>
  <c r="AY464" i="19" s="1"/>
  <c r="BW464" i="19" a="1"/>
  <c r="BW464" i="19" s="1"/>
  <c r="AL464" i="19" a="1"/>
  <c r="AL464" i="19" s="1"/>
  <c r="K467" i="19"/>
  <c r="AY466" i="19" a="1"/>
  <c r="AY466" i="19" s="1"/>
  <c r="BL465" i="19" a="1"/>
  <c r="BL465" i="19" s="1"/>
  <c r="W464" i="19" a="1"/>
  <c r="W464" i="19" s="1"/>
  <c r="BZ466" i="19" a="1"/>
  <c r="BZ466" i="19" s="1"/>
  <c r="DK467" i="19"/>
  <c r="BX467" i="19"/>
  <c r="M466" i="19" a="1"/>
  <c r="M466" i="19" s="1"/>
  <c r="EK467" i="19"/>
  <c r="DL464" i="19" a="1"/>
  <c r="DL464" i="19" s="1"/>
  <c r="BK467" i="19"/>
  <c r="DN466" i="19" a="1"/>
  <c r="DN466" i="19" s="1"/>
  <c r="N466" i="19" a="1"/>
  <c r="N466" i="19" s="1"/>
  <c r="AX467" i="19"/>
  <c r="CA466" i="19" a="1"/>
  <c r="CA466" i="19" s="1"/>
  <c r="CN466" i="19" a="1"/>
  <c r="CN466" i="19" s="1"/>
  <c r="DL466" i="19" a="1"/>
  <c r="DL466" i="19" s="1"/>
  <c r="BY466" i="19" a="1"/>
  <c r="BY466" i="19" s="1"/>
  <c r="DN465" i="19" a="1"/>
  <c r="DN465" i="19" s="1"/>
  <c r="BN464" i="19" a="1"/>
  <c r="BN464" i="19" s="1"/>
  <c r="A134" i="26" s="1"/>
  <c r="BL464" i="19" a="1"/>
  <c r="BL464" i="19" s="1"/>
  <c r="DA464" i="19" a="1"/>
  <c r="DA464" i="19" s="1"/>
  <c r="A232" i="26" s="1"/>
  <c r="M464" i="19" a="1"/>
  <c r="M464" i="19" s="1"/>
  <c r="EM464" i="19" a="1"/>
  <c r="EM464" i="19" s="1"/>
  <c r="DM465" i="19" a="1"/>
  <c r="DM465" i="19" s="1"/>
  <c r="AA464" i="19" a="1"/>
  <c r="AA464" i="19" s="1"/>
  <c r="A38" i="26" s="1"/>
  <c r="BM464" i="19" a="1"/>
  <c r="BM464" i="19" s="1"/>
  <c r="BW465" i="19" a="1"/>
  <c r="BW465" i="19" s="1"/>
  <c r="AW464" i="19" a="1"/>
  <c r="AW464" i="19" s="1"/>
  <c r="CY465" i="19" a="1"/>
  <c r="CY465" i="19" s="1"/>
  <c r="AW466" i="19" a="1"/>
  <c r="AW466" i="19" s="1"/>
  <c r="AN466" i="19" a="1"/>
  <c r="AN466" i="19" s="1"/>
  <c r="AJ466" i="19" a="1"/>
  <c r="AJ466" i="19" s="1"/>
  <c r="CN465" i="19" a="1"/>
  <c r="CN465" i="19" s="1"/>
  <c r="CL466" i="19" a="1"/>
  <c r="CL466" i="19" s="1"/>
  <c r="CJ466" i="19" a="1"/>
  <c r="CJ466" i="19" s="1"/>
  <c r="CL465" i="19" a="1"/>
  <c r="CL465" i="19" s="1"/>
  <c r="CM465" i="19" a="1"/>
  <c r="CM465" i="19" s="1"/>
  <c r="AZ465" i="19" a="1"/>
  <c r="AZ465" i="19" s="1"/>
  <c r="AJ465" i="19" a="1"/>
  <c r="AJ465" i="19" s="1"/>
  <c r="DW466" i="19" a="1"/>
  <c r="DW466" i="19" s="1"/>
  <c r="EA466" i="19" a="1"/>
  <c r="EA466" i="19" s="1"/>
  <c r="DZ466" i="19" a="1"/>
  <c r="DZ466" i="19" s="1"/>
  <c r="BA465" i="19" a="1"/>
  <c r="BA465" i="19" s="1"/>
  <c r="AY465" i="19" a="1"/>
  <c r="AY465" i="19" s="1"/>
  <c r="EN466" i="19" a="1"/>
  <c r="EN466" i="19" s="1"/>
  <c r="EJ466" i="19" a="1"/>
  <c r="EJ466" i="19" s="1"/>
  <c r="EM466" i="19" a="1"/>
  <c r="EM466" i="19" s="1"/>
  <c r="EL466" i="19" a="1"/>
  <c r="EL466" i="19" s="1"/>
  <c r="CL464" i="19" a="1"/>
  <c r="CL464" i="19" s="1"/>
  <c r="CN464" i="19" a="1"/>
  <c r="CN464" i="19" s="1"/>
  <c r="A199" i="26" s="1"/>
  <c r="CK467" i="19"/>
  <c r="CJ464" i="19" a="1"/>
  <c r="CJ464" i="19" s="1"/>
  <c r="AN465" i="19" a="1"/>
  <c r="AN465" i="19" s="1"/>
  <c r="AM465" i="19" a="1"/>
  <c r="AM465" i="19" s="1"/>
  <c r="Y466" i="19" a="1"/>
  <c r="Y466" i="19" s="1"/>
  <c r="Z466" i="19" a="1"/>
  <c r="Z466" i="19" s="1"/>
  <c r="AA466" i="19" a="1"/>
  <c r="AA466" i="19" s="1"/>
  <c r="W466" i="19" a="1"/>
  <c r="W466" i="19" s="1"/>
  <c r="EA464" i="19" a="1"/>
  <c r="EA464" i="19" s="1"/>
  <c r="A300" i="26" s="1"/>
  <c r="DZ464" i="19" a="1"/>
  <c r="DZ464" i="19" s="1"/>
  <c r="DW464" i="19" a="1"/>
  <c r="DW464" i="19" s="1"/>
  <c r="DX467" i="19"/>
  <c r="DY464" i="19" a="1"/>
  <c r="DY464" i="19" s="1"/>
  <c r="EJ465" i="19" a="1"/>
  <c r="EJ465" i="19" s="1"/>
  <c r="EL465" i="19" a="1"/>
  <c r="EL465" i="19" s="1"/>
  <c r="EN465" i="19" a="1"/>
  <c r="EN465" i="19" s="1"/>
  <c r="DZ465" i="19" a="1"/>
  <c r="DZ465" i="19" s="1"/>
  <c r="EA465" i="19" a="1"/>
  <c r="EA465" i="19" s="1"/>
  <c r="DW465" i="19" a="1"/>
  <c r="DW465" i="19" s="1"/>
  <c r="DY465" i="19" a="1"/>
  <c r="DY465" i="19" s="1"/>
  <c r="EY464" i="19" a="1"/>
  <c r="EY464" i="19" s="1"/>
  <c r="FA464" i="19" a="1"/>
  <c r="FA464" i="19" s="1"/>
  <c r="EZ464" i="19" a="1"/>
  <c r="EZ464" i="19" s="1"/>
  <c r="EW464" i="19" a="1"/>
  <c r="EW464" i="19" s="1"/>
  <c r="EW472" i="19" s="1"/>
  <c r="FB463" i="19"/>
  <c r="FB464" i="19" s="1"/>
  <c r="EV463" i="19" s="1" a="1"/>
  <c r="EV463" i="19" s="1"/>
  <c r="FA465" i="19" a="1"/>
  <c r="FA465" i="19" s="1"/>
  <c r="EW465" i="19" a="1"/>
  <c r="EW465" i="19" s="1"/>
  <c r="EW473" i="19" s="1"/>
  <c r="EY465" i="19" a="1"/>
  <c r="EY465" i="19" s="1"/>
  <c r="EZ465" i="19" a="1"/>
  <c r="EZ465" i="19" s="1"/>
  <c r="EW466" i="19" a="1"/>
  <c r="EW466" i="19" s="1"/>
  <c r="EW474" i="19" s="1"/>
  <c r="EZ466" i="19" a="1"/>
  <c r="EZ466" i="19" s="1"/>
  <c r="EY466" i="19" a="1"/>
  <c r="EY466" i="19" s="1"/>
  <c r="FA466" i="19" a="1"/>
  <c r="FA466" i="19" s="1"/>
  <c r="G337" i="26" l="1"/>
  <c r="N337" i="26" s="1"/>
  <c r="G334" i="26"/>
  <c r="P334" i="26" s="1"/>
  <c r="L5" i="39"/>
  <c r="L3" i="39" s="1"/>
  <c r="L64" i="39" s="1"/>
  <c r="G201" i="26"/>
  <c r="G202" i="26"/>
  <c r="G236" i="26"/>
  <c r="F320" i="33" s="1"/>
  <c r="H320" i="33" s="1"/>
  <c r="J320" i="33" s="1"/>
  <c r="G234" i="26"/>
  <c r="H234" i="26" s="1"/>
  <c r="G270" i="26"/>
  <c r="P270" i="26" s="1"/>
  <c r="G268" i="26"/>
  <c r="M268" i="26" s="1"/>
  <c r="O5" i="39"/>
  <c r="O3" i="39" s="1"/>
  <c r="O61" i="39" s="1"/>
  <c r="G302" i="26"/>
  <c r="G300" i="26"/>
  <c r="C21" i="25"/>
  <c r="C30" i="25" s="1"/>
  <c r="C31" i="25" s="1"/>
  <c r="C43" i="25" s="1"/>
  <c r="G15" i="26"/>
  <c r="L15" i="26" s="1"/>
  <c r="G23" i="26"/>
  <c r="F32" i="33" s="1"/>
  <c r="H32" i="33" s="1"/>
  <c r="J32" i="33" s="1"/>
  <c r="G7" i="26"/>
  <c r="F9" i="33" s="1"/>
  <c r="H9" i="33" s="1"/>
  <c r="J9" i="33" s="1"/>
  <c r="G350" i="26"/>
  <c r="F466" i="33" s="1"/>
  <c r="H466" i="33" s="1"/>
  <c r="J466" i="33" s="1"/>
  <c r="G12" i="26"/>
  <c r="F12" i="33" s="1"/>
  <c r="H12" i="33" s="1"/>
  <c r="J12" i="33" s="1"/>
  <c r="G28" i="26"/>
  <c r="G29" i="26" s="1"/>
  <c r="K29" i="26" s="1"/>
  <c r="G9" i="26"/>
  <c r="N9" i="26" s="1"/>
  <c r="A8" i="33"/>
  <c r="G6" i="26"/>
  <c r="P6" i="26" s="1"/>
  <c r="G16" i="26"/>
  <c r="M16" i="26" s="1"/>
  <c r="G27" i="26"/>
  <c r="F37" i="33" s="1"/>
  <c r="H37" i="33" s="1"/>
  <c r="J37" i="33" s="1"/>
  <c r="G26" i="26"/>
  <c r="K26" i="26" s="1"/>
  <c r="T15" i="3"/>
  <c r="G17" i="26"/>
  <c r="J17" i="26" s="1"/>
  <c r="G333" i="26"/>
  <c r="F443" i="33" s="1"/>
  <c r="G13" i="26"/>
  <c r="J13" i="26" s="1"/>
  <c r="G338" i="26"/>
  <c r="N338" i="26" s="1"/>
  <c r="G342" i="26"/>
  <c r="F457" i="33" s="1"/>
  <c r="G340" i="26"/>
  <c r="F453" i="33" s="1"/>
  <c r="H453" i="33" s="1"/>
  <c r="J453" i="33" s="1"/>
  <c r="BK21" i="25"/>
  <c r="M62" i="34" s="1"/>
  <c r="G8" i="26"/>
  <c r="P8" i="26" s="1"/>
  <c r="G348" i="26"/>
  <c r="K348" i="26" s="1"/>
  <c r="G14" i="26"/>
  <c r="O14" i="26" s="1"/>
  <c r="G25" i="26"/>
  <c r="H25" i="26" s="1"/>
  <c r="G32" i="26"/>
  <c r="F42" i="33" s="1"/>
  <c r="H42" i="33" s="1"/>
  <c r="J42" i="33" s="1"/>
  <c r="G24" i="26"/>
  <c r="L24" i="26" s="1"/>
  <c r="G358" i="26"/>
  <c r="F475" i="33" s="1"/>
  <c r="H475" i="33" s="1"/>
  <c r="J475" i="33" s="1"/>
  <c r="G341" i="26"/>
  <c r="J341" i="26" s="1"/>
  <c r="G343" i="26"/>
  <c r="O343" i="26" s="1"/>
  <c r="G349" i="26"/>
  <c r="N349" i="26" s="1"/>
  <c r="P12" i="3"/>
  <c r="J5" i="39"/>
  <c r="J3" i="39" s="1"/>
  <c r="G73" i="26"/>
  <c r="P73" i="26" s="1"/>
  <c r="H5" i="39"/>
  <c r="H3" i="39" s="1"/>
  <c r="W473" i="19"/>
  <c r="X473" i="19" s="1"/>
  <c r="Y473" i="19" s="1"/>
  <c r="Z473" i="19" s="1"/>
  <c r="BJ479" i="19"/>
  <c r="BK479" i="19" s="1"/>
  <c r="BL479" i="19" s="1" a="1"/>
  <c r="BL479" i="19" s="1"/>
  <c r="BN479" i="19" s="1"/>
  <c r="BO479" i="19" s="1"/>
  <c r="BJ473" i="19"/>
  <c r="BK473" i="19" s="1"/>
  <c r="BL473" i="19" s="1"/>
  <c r="BM473" i="19" s="1"/>
  <c r="CJ473" i="19"/>
  <c r="AW472" i="19"/>
  <c r="AX472" i="19" s="1"/>
  <c r="AY472" i="19" s="1"/>
  <c r="W472" i="19"/>
  <c r="W477" i="19" s="1"/>
  <c r="X477" i="19" s="1"/>
  <c r="Y477" i="19" s="1" a="1"/>
  <c r="Y477" i="19" s="1"/>
  <c r="G128" i="26"/>
  <c r="F173" i="33" s="1"/>
  <c r="H173" i="33" s="1"/>
  <c r="J173" i="33" s="1"/>
  <c r="I5" i="39"/>
  <c r="I3" i="39" s="1"/>
  <c r="CW472" i="19"/>
  <c r="CX472" i="19" s="1"/>
  <c r="CY472" i="19" s="1"/>
  <c r="CW474" i="19"/>
  <c r="CW479" i="19" s="1"/>
  <c r="CX479" i="19" s="1"/>
  <c r="CY479" i="19" s="1" a="1"/>
  <c r="CY479" i="19" s="1"/>
  <c r="DA479" i="19" s="1"/>
  <c r="DB479" i="19" s="1"/>
  <c r="AJ467" i="19"/>
  <c r="DJ467" i="19"/>
  <c r="DW474" i="19"/>
  <c r="DX474" i="19" s="1"/>
  <c r="DY474" i="19" s="1"/>
  <c r="DZ474" i="19" s="1"/>
  <c r="BW473" i="19"/>
  <c r="BX473" i="19" s="1"/>
  <c r="BY473" i="19" s="1"/>
  <c r="BZ473" i="19" s="1"/>
  <c r="O91" i="25"/>
  <c r="O125" i="25" s="1"/>
  <c r="BE91" i="25"/>
  <c r="BE125" i="25" s="1"/>
  <c r="AJ473" i="19"/>
  <c r="AK473" i="19" s="1"/>
  <c r="AL473" i="19" s="1"/>
  <c r="AM473" i="19" s="1"/>
  <c r="AA91" i="25"/>
  <c r="AA125" i="25" s="1"/>
  <c r="U91" i="25"/>
  <c r="U125" i="25" s="1"/>
  <c r="G54" i="26"/>
  <c r="O54" i="26" s="1"/>
  <c r="G5" i="39"/>
  <c r="G3" i="39" s="1"/>
  <c r="J474" i="19"/>
  <c r="J479" i="19" s="1"/>
  <c r="K479" i="19" s="1"/>
  <c r="L479" i="19" s="1" a="1"/>
  <c r="L479" i="19" s="1"/>
  <c r="N479" i="19" s="1"/>
  <c r="O479" i="19" s="1"/>
  <c r="EJ472" i="19"/>
  <c r="EJ477" i="19" s="1"/>
  <c r="EK477" i="19" s="1"/>
  <c r="EL477" i="19" s="1" a="1"/>
  <c r="EL477" i="19" s="1"/>
  <c r="CW473" i="19"/>
  <c r="CX473" i="19" s="1"/>
  <c r="CY473" i="19" s="1"/>
  <c r="CZ473" i="19" s="1"/>
  <c r="AY91" i="25"/>
  <c r="AY125" i="25" s="1"/>
  <c r="BJ467" i="19"/>
  <c r="DW473" i="19"/>
  <c r="DX473" i="19" s="1"/>
  <c r="DY473" i="19" s="1"/>
  <c r="DZ473" i="19" s="1"/>
  <c r="BK91" i="25"/>
  <c r="BK125" i="25" s="1"/>
  <c r="G354" i="26"/>
  <c r="G355" i="26" s="1"/>
  <c r="J355" i="26" s="1"/>
  <c r="W474" i="19"/>
  <c r="W479" i="19" s="1"/>
  <c r="X479" i="19" s="1"/>
  <c r="Y479" i="19" s="1" a="1"/>
  <c r="Y479" i="19" s="1"/>
  <c r="AA479" i="19" s="1"/>
  <c r="AB479" i="19" s="1"/>
  <c r="CJ474" i="19"/>
  <c r="CK474" i="19" s="1"/>
  <c r="CL474" i="19" s="1"/>
  <c r="CM474" i="19" s="1"/>
  <c r="C91" i="25"/>
  <c r="DJ474" i="19"/>
  <c r="DJ479" i="19" s="1"/>
  <c r="DK479" i="19" s="1"/>
  <c r="DL479" i="19" s="1" a="1"/>
  <c r="DL479" i="19" s="1"/>
  <c r="DN479" i="19" s="1"/>
  <c r="DO479" i="19" s="1"/>
  <c r="G351" i="26"/>
  <c r="P351" i="26" s="1"/>
  <c r="DJ473" i="19"/>
  <c r="BW474" i="19"/>
  <c r="G254" i="26"/>
  <c r="P254" i="26" s="1"/>
  <c r="M5" i="39"/>
  <c r="M3" i="39" s="1"/>
  <c r="J472" i="19"/>
  <c r="J477" i="19" s="1"/>
  <c r="K477" i="19" s="1"/>
  <c r="L477" i="19" s="1" a="1"/>
  <c r="L477" i="19" s="1"/>
  <c r="BW472" i="19"/>
  <c r="BX472" i="19" s="1"/>
  <c r="BY472" i="19" s="1"/>
  <c r="A356" i="33"/>
  <c r="N5" i="39"/>
  <c r="N3" i="39" s="1"/>
  <c r="AG91" i="25"/>
  <c r="AG125" i="25" s="1"/>
  <c r="J473" i="19"/>
  <c r="I91" i="25"/>
  <c r="I125" i="25" s="1"/>
  <c r="EJ473" i="19"/>
  <c r="EJ478" i="19" s="1"/>
  <c r="EK478" i="19" s="1"/>
  <c r="EL478" i="19" s="1" a="1"/>
  <c r="EL478" i="19" s="1"/>
  <c r="EN478" i="19" s="1"/>
  <c r="EO478" i="19" s="1"/>
  <c r="AJ474" i="19"/>
  <c r="AJ479" i="19" s="1"/>
  <c r="AK479" i="19" s="1"/>
  <c r="AL479" i="19" s="1" a="1"/>
  <c r="AL479" i="19" s="1"/>
  <c r="AN479" i="19" s="1"/>
  <c r="AO479" i="19" s="1"/>
  <c r="A442" i="33"/>
  <c r="G332" i="26"/>
  <c r="K332" i="26" s="1"/>
  <c r="AJ472" i="19"/>
  <c r="AJ477" i="19" s="1"/>
  <c r="AK477" i="19" s="1"/>
  <c r="AL477" i="19" s="1" a="1"/>
  <c r="AL477" i="19" s="1"/>
  <c r="AS91" i="25"/>
  <c r="AS125" i="25" s="1"/>
  <c r="P8" i="3"/>
  <c r="P5" i="39"/>
  <c r="P3" i="39" s="1"/>
  <c r="F5" i="39"/>
  <c r="F3" i="39" s="1"/>
  <c r="AW474" i="19"/>
  <c r="AW479" i="19" s="1"/>
  <c r="AX479" i="19" s="1"/>
  <c r="AY479" i="19" s="1" a="1"/>
  <c r="AY479" i="19" s="1"/>
  <c r="BA479" i="19" s="1"/>
  <c r="BB479" i="19" s="1"/>
  <c r="G352" i="26"/>
  <c r="O352" i="26" s="1"/>
  <c r="EJ474" i="19"/>
  <c r="EK474" i="19" s="1"/>
  <c r="EL474" i="19" s="1"/>
  <c r="EM474" i="19" s="1"/>
  <c r="G353" i="26"/>
  <c r="O353" i="26" s="1"/>
  <c r="G166" i="26"/>
  <c r="K166" i="26" s="1"/>
  <c r="K5" i="39"/>
  <c r="K3" i="39" s="1"/>
  <c r="P18" i="3"/>
  <c r="AM91" i="25"/>
  <c r="AM125" i="25" s="1"/>
  <c r="AW473" i="19"/>
  <c r="J22" i="26"/>
  <c r="N22" i="26"/>
  <c r="O22" i="26"/>
  <c r="M22" i="26"/>
  <c r="G267" i="26"/>
  <c r="N267" i="26" s="1"/>
  <c r="BK472" i="19"/>
  <c r="BL472" i="19" s="1"/>
  <c r="G242" i="26"/>
  <c r="K242" i="26" s="1"/>
  <c r="K22" i="26"/>
  <c r="L22" i="26"/>
  <c r="I22" i="26"/>
  <c r="F31" i="33"/>
  <c r="H31" i="33" s="1"/>
  <c r="J31" i="33" s="1"/>
  <c r="H22" i="26"/>
  <c r="J365" i="33"/>
  <c r="G123" i="26"/>
  <c r="M123" i="26" s="1"/>
  <c r="G250" i="26"/>
  <c r="M250" i="26" s="1"/>
  <c r="AS21" i="25"/>
  <c r="J62" i="34" s="1"/>
  <c r="G91" i="26"/>
  <c r="H91" i="26" s="1"/>
  <c r="G121" i="26"/>
  <c r="N121" i="26" s="1"/>
  <c r="J449" i="33"/>
  <c r="J467" i="19"/>
  <c r="T18" i="3"/>
  <c r="G96" i="26"/>
  <c r="I96" i="26" s="1"/>
  <c r="N96" i="26" s="1"/>
  <c r="O96" i="26" s="1"/>
  <c r="G119" i="26"/>
  <c r="F163" i="33" s="1"/>
  <c r="H163" i="33" s="1"/>
  <c r="J163" i="33" s="1"/>
  <c r="G86" i="26"/>
  <c r="L86" i="26" s="1"/>
  <c r="G273" i="26"/>
  <c r="J273" i="26" s="1"/>
  <c r="DK472" i="19"/>
  <c r="DL472" i="19" s="1"/>
  <c r="G294" i="26"/>
  <c r="F391" i="33" s="1"/>
  <c r="H391" i="33" s="1"/>
  <c r="J391" i="33" s="1"/>
  <c r="G290" i="26"/>
  <c r="N290" i="26" s="1"/>
  <c r="DK477" i="19"/>
  <c r="DL477" i="19" s="1" a="1"/>
  <c r="DL477" i="19" s="1"/>
  <c r="G39" i="26"/>
  <c r="F52" i="33" s="1"/>
  <c r="H52" i="33" s="1"/>
  <c r="J52" i="33" s="1"/>
  <c r="A94" i="33"/>
  <c r="G122" i="26"/>
  <c r="F167" i="33" s="1"/>
  <c r="H167" i="33" s="1"/>
  <c r="J167" i="33" s="1"/>
  <c r="G89" i="26"/>
  <c r="M89" i="26" s="1"/>
  <c r="P16" i="3"/>
  <c r="G71" i="26"/>
  <c r="F95" i="33" s="1"/>
  <c r="H95" i="33" s="1"/>
  <c r="J95" i="33" s="1"/>
  <c r="G113" i="26"/>
  <c r="M113" i="26" s="1"/>
  <c r="G72" i="26"/>
  <c r="O72" i="26" s="1"/>
  <c r="G109" i="26"/>
  <c r="P109" i="26" s="1"/>
  <c r="P10" i="3"/>
  <c r="BK477" i="19"/>
  <c r="BL477" i="19" s="1" a="1"/>
  <c r="BL477" i="19" s="1"/>
  <c r="G87" i="26"/>
  <c r="F118" i="33" s="1"/>
  <c r="H118" i="33" s="1"/>
  <c r="J118" i="33" s="1"/>
  <c r="G286" i="26"/>
  <c r="M286" i="26" s="1"/>
  <c r="G120" i="26"/>
  <c r="F164" i="33" s="1"/>
  <c r="H164" i="33" s="1"/>
  <c r="J164" i="33" s="1"/>
  <c r="G92" i="26"/>
  <c r="P92" i="26" s="1"/>
  <c r="G274" i="26"/>
  <c r="F361" i="33" s="1"/>
  <c r="H361" i="33" s="1"/>
  <c r="J361" i="33" s="1"/>
  <c r="A138" i="33"/>
  <c r="H161" i="33" s="1"/>
  <c r="G105" i="26"/>
  <c r="K105" i="26" s="1"/>
  <c r="G77" i="26"/>
  <c r="F99" i="33" s="1"/>
  <c r="H99" i="33" s="1"/>
  <c r="J99" i="33" s="1"/>
  <c r="G81" i="26"/>
  <c r="F111" i="33" s="1"/>
  <c r="T16" i="3"/>
  <c r="G102" i="26"/>
  <c r="P102" i="26" s="1"/>
  <c r="G70" i="26"/>
  <c r="I70" i="26" s="1"/>
  <c r="G90" i="26"/>
  <c r="P11" i="3"/>
  <c r="G110" i="26"/>
  <c r="L110" i="26" s="1"/>
  <c r="O21" i="25"/>
  <c r="E62" i="34" s="1"/>
  <c r="G88" i="26"/>
  <c r="J88" i="26" s="1"/>
  <c r="G118" i="26"/>
  <c r="K118" i="26" s="1"/>
  <c r="U21" i="25"/>
  <c r="F62" i="34" s="1"/>
  <c r="T17" i="3"/>
  <c r="G124" i="26"/>
  <c r="F170" i="33" s="1"/>
  <c r="G108" i="26"/>
  <c r="F143" i="33" s="1"/>
  <c r="H143" i="33" s="1"/>
  <c r="J143" i="33" s="1"/>
  <c r="G78" i="26"/>
  <c r="M78" i="26" s="1"/>
  <c r="G111" i="26"/>
  <c r="M111" i="26" s="1"/>
  <c r="G112" i="26"/>
  <c r="G79" i="26"/>
  <c r="F107" i="33" s="1"/>
  <c r="H107" i="33" s="1"/>
  <c r="J107" i="33" s="1"/>
  <c r="G56" i="26"/>
  <c r="G103" i="26"/>
  <c r="J103" i="26" s="1"/>
  <c r="G104" i="26"/>
  <c r="M104" i="26" s="1"/>
  <c r="G76" i="26"/>
  <c r="O76" i="26" s="1"/>
  <c r="G80" i="26"/>
  <c r="F110" i="33" s="1"/>
  <c r="G278" i="26"/>
  <c r="H278" i="26" s="1"/>
  <c r="G277" i="26"/>
  <c r="G285" i="26"/>
  <c r="J285" i="26" s="1"/>
  <c r="G279" i="26"/>
  <c r="J279" i="26" s="1"/>
  <c r="AY21" i="25"/>
  <c r="AY66" i="25" s="1"/>
  <c r="G287" i="26"/>
  <c r="G288" i="26"/>
  <c r="F385" i="33" s="1"/>
  <c r="H385" i="33" s="1"/>
  <c r="J385" i="33" s="1"/>
  <c r="G266" i="26"/>
  <c r="F356" i="33" s="1"/>
  <c r="H356" i="33" s="1"/>
  <c r="J356" i="33" s="1"/>
  <c r="G269" i="26"/>
  <c r="H269" i="26" s="1"/>
  <c r="G284" i="26"/>
  <c r="F380" i="33" s="1"/>
  <c r="H380" i="33" s="1"/>
  <c r="J380" i="33" s="1"/>
  <c r="G276" i="26"/>
  <c r="N276" i="26" s="1"/>
  <c r="G289" i="26"/>
  <c r="G243" i="26"/>
  <c r="O243" i="26" s="1"/>
  <c r="G239" i="26"/>
  <c r="P239" i="26" s="1"/>
  <c r="G260" i="26"/>
  <c r="I260" i="26" s="1"/>
  <c r="N260" i="26" s="1"/>
  <c r="O260" i="26" s="1"/>
  <c r="AW467" i="19"/>
  <c r="A312" i="33"/>
  <c r="EJ467" i="19"/>
  <c r="G240" i="26"/>
  <c r="N240" i="26" s="1"/>
  <c r="G245" i="26"/>
  <c r="F330" i="33" s="1"/>
  <c r="G233" i="26"/>
  <c r="K233" i="26" s="1"/>
  <c r="G170" i="26"/>
  <c r="K170" i="26" s="1"/>
  <c r="BW467" i="19"/>
  <c r="A226" i="33"/>
  <c r="T20" i="3"/>
  <c r="G167" i="26"/>
  <c r="L167" i="26" s="1"/>
  <c r="G55" i="26"/>
  <c r="P55" i="26" s="1"/>
  <c r="G58" i="26"/>
  <c r="L58" i="26" s="1"/>
  <c r="G59" i="26"/>
  <c r="G155" i="26"/>
  <c r="K155" i="26" s="1"/>
  <c r="G185" i="26"/>
  <c r="P185" i="26" s="1"/>
  <c r="G175" i="26"/>
  <c r="I175" i="26" s="1"/>
  <c r="G176" i="26"/>
  <c r="N176" i="26" s="1"/>
  <c r="P13" i="3"/>
  <c r="G183" i="26"/>
  <c r="J183" i="26" s="1"/>
  <c r="G173" i="26"/>
  <c r="F229" i="33" s="1"/>
  <c r="H229" i="33" s="1"/>
  <c r="J229" i="33" s="1"/>
  <c r="G188" i="26"/>
  <c r="J188" i="26" s="1"/>
  <c r="G174" i="26"/>
  <c r="M174" i="26" s="1"/>
  <c r="G177" i="26"/>
  <c r="G153" i="26"/>
  <c r="F209" i="33" s="1"/>
  <c r="H209" i="33" s="1"/>
  <c r="J209" i="33" s="1"/>
  <c r="G193" i="26"/>
  <c r="F260" i="33" s="1"/>
  <c r="H260" i="33" s="1"/>
  <c r="J260" i="33" s="1"/>
  <c r="G186" i="26"/>
  <c r="L186" i="26" s="1"/>
  <c r="G134" i="26"/>
  <c r="P134" i="26" s="1"/>
  <c r="G169" i="26"/>
  <c r="F233" i="33" s="1"/>
  <c r="H233" i="33" s="1"/>
  <c r="J233" i="33" s="1"/>
  <c r="G178" i="26"/>
  <c r="F243" i="33" s="1"/>
  <c r="G152" i="26"/>
  <c r="F208" i="33" s="1"/>
  <c r="H208" i="33" s="1"/>
  <c r="J208" i="33" s="1"/>
  <c r="G189" i="26"/>
  <c r="G190" i="26" s="1"/>
  <c r="F258" i="33" s="1"/>
  <c r="AA21" i="25"/>
  <c r="G62" i="34" s="1"/>
  <c r="C125" i="25"/>
  <c r="G184" i="26"/>
  <c r="H184" i="26" s="1"/>
  <c r="AG21" i="25"/>
  <c r="H62" i="34" s="1"/>
  <c r="G168" i="26"/>
  <c r="O168" i="26" s="1"/>
  <c r="G187" i="26"/>
  <c r="K187" i="26" s="1"/>
  <c r="G49" i="26"/>
  <c r="F68" i="33" s="1"/>
  <c r="G44" i="26"/>
  <c r="G45" i="26"/>
  <c r="I21" i="25"/>
  <c r="G253" i="26"/>
  <c r="F339" i="33" s="1"/>
  <c r="H339" i="33" s="1"/>
  <c r="J339" i="33" s="1"/>
  <c r="P15" i="3"/>
  <c r="G141" i="26"/>
  <c r="G48" i="26"/>
  <c r="F67" i="33" s="1"/>
  <c r="G64" i="26"/>
  <c r="I64" i="26" s="1"/>
  <c r="N64" i="26" s="1"/>
  <c r="O64" i="26" s="1"/>
  <c r="G232" i="26"/>
  <c r="F312" i="33" s="1"/>
  <c r="H312" i="33" s="1"/>
  <c r="J312" i="33" s="1"/>
  <c r="A182" i="33"/>
  <c r="H205" i="33" s="1"/>
  <c r="G57" i="26"/>
  <c r="F77" i="33" s="1"/>
  <c r="H77" i="33" s="1"/>
  <c r="J77" i="33" s="1"/>
  <c r="G46" i="26"/>
  <c r="P46" i="26" s="1"/>
  <c r="G60" i="26"/>
  <c r="G40" i="26"/>
  <c r="F57" i="33" s="1"/>
  <c r="H57" i="33" s="1"/>
  <c r="J57" i="33" s="1"/>
  <c r="G47" i="26"/>
  <c r="M47" i="26" s="1"/>
  <c r="G38" i="26"/>
  <c r="CW467" i="19"/>
  <c r="A51" i="33"/>
  <c r="P9" i="3"/>
  <c r="G150" i="26"/>
  <c r="P150" i="26" s="1"/>
  <c r="W467" i="19"/>
  <c r="G235" i="26"/>
  <c r="H235" i="26" s="1"/>
  <c r="G252" i="26"/>
  <c r="F338" i="33" s="1"/>
  <c r="H338" i="33" s="1"/>
  <c r="J338" i="33" s="1"/>
  <c r="G140" i="26"/>
  <c r="F187" i="33" s="1"/>
  <c r="H187" i="33" s="1"/>
  <c r="J187" i="33" s="1"/>
  <c r="G145" i="26"/>
  <c r="N145" i="26" s="1"/>
  <c r="G160" i="26"/>
  <c r="I160" i="26" s="1"/>
  <c r="N160" i="26" s="1"/>
  <c r="O160" i="26" s="1"/>
  <c r="G251" i="26"/>
  <c r="N251" i="26" s="1"/>
  <c r="G142" i="26"/>
  <c r="F195" i="33" s="1"/>
  <c r="H195" i="33" s="1"/>
  <c r="J195" i="33" s="1"/>
  <c r="G154" i="26"/>
  <c r="G137" i="26"/>
  <c r="K137" i="26" s="1"/>
  <c r="T19" i="3"/>
  <c r="G143" i="26"/>
  <c r="K143" i="26" s="1"/>
  <c r="G151" i="26"/>
  <c r="G255" i="26"/>
  <c r="H255" i="26" s="1"/>
  <c r="G244" i="26"/>
  <c r="J244" i="26" s="1"/>
  <c r="G156" i="26"/>
  <c r="G144" i="26"/>
  <c r="M144" i="26" s="1"/>
  <c r="G256" i="26"/>
  <c r="G257" i="26" s="1"/>
  <c r="F345" i="33" s="1"/>
  <c r="G135" i="26"/>
  <c r="N135" i="26" s="1"/>
  <c r="G136" i="26"/>
  <c r="P136" i="26" s="1"/>
  <c r="G41" i="26"/>
  <c r="CJ472" i="19"/>
  <c r="CJ467" i="19"/>
  <c r="AM21" i="25"/>
  <c r="P14" i="3"/>
  <c r="G208" i="26"/>
  <c r="G200" i="26"/>
  <c r="G219" i="26"/>
  <c r="G211" i="26"/>
  <c r="G206" i="26"/>
  <c r="A269" i="33"/>
  <c r="H291" i="33" s="1"/>
  <c r="G209" i="26"/>
  <c r="G205" i="26"/>
  <c r="G210" i="26"/>
  <c r="G220" i="26"/>
  <c r="G199" i="26"/>
  <c r="G222" i="26"/>
  <c r="G218" i="26"/>
  <c r="G226" i="26"/>
  <c r="G217" i="26"/>
  <c r="G221" i="26"/>
  <c r="G216" i="26"/>
  <c r="DW467" i="19"/>
  <c r="DW472" i="19"/>
  <c r="G309" i="26"/>
  <c r="BE21" i="25"/>
  <c r="G305" i="26"/>
  <c r="G317" i="26"/>
  <c r="G326" i="26"/>
  <c r="G318" i="26"/>
  <c r="G320" i="26"/>
  <c r="G311" i="26"/>
  <c r="G316" i="26"/>
  <c r="P17" i="3"/>
  <c r="A400" i="33"/>
  <c r="G310" i="26"/>
  <c r="G319" i="26"/>
  <c r="G306" i="26"/>
  <c r="G322" i="26"/>
  <c r="G308" i="26"/>
  <c r="G301" i="26"/>
  <c r="G321" i="26"/>
  <c r="FB466" i="19"/>
  <c r="EW478" i="19"/>
  <c r="EX478" i="19" s="1"/>
  <c r="EY478" i="19" s="1" a="1"/>
  <c r="EY478" i="19" s="1"/>
  <c r="FA478" i="19" s="1"/>
  <c r="FB478" i="19" s="1"/>
  <c r="EX473" i="19"/>
  <c r="EY473" i="19" s="1"/>
  <c r="EZ473" i="19" s="1"/>
  <c r="EX474" i="19"/>
  <c r="EY474" i="19" s="1"/>
  <c r="EZ474" i="19" s="1"/>
  <c r="EW479" i="19"/>
  <c r="EX479" i="19" s="1"/>
  <c r="EY479" i="19" s="1" a="1"/>
  <c r="EY479" i="19" s="1"/>
  <c r="FA479" i="19" s="1"/>
  <c r="FB479" i="19" s="1"/>
  <c r="EX472" i="19"/>
  <c r="EY472" i="19" s="1"/>
  <c r="EZ472" i="19" s="1"/>
  <c r="EW477" i="19"/>
  <c r="EX477" i="19" s="1"/>
  <c r="EY477" i="19" s="1" a="1"/>
  <c r="EY477" i="19" s="1"/>
  <c r="FA477" i="19" s="1"/>
  <c r="L12" i="26" l="1"/>
  <c r="I12" i="26"/>
  <c r="L22" i="39"/>
  <c r="L26" i="39"/>
  <c r="L60" i="39"/>
  <c r="BJ478" i="19"/>
  <c r="BK478" i="19" s="1"/>
  <c r="BL478" i="19" s="1" a="1"/>
  <c r="BL478" i="19" s="1"/>
  <c r="BN478" i="19" s="1"/>
  <c r="BO478" i="19" s="1"/>
  <c r="L13" i="39"/>
  <c r="J401" i="33"/>
  <c r="H421" i="33"/>
  <c r="J421" i="33" s="1"/>
  <c r="H329" i="33"/>
  <c r="J329" i="33" s="1"/>
  <c r="H335" i="33"/>
  <c r="J335" i="33" s="1"/>
  <c r="J388" i="33"/>
  <c r="H379" i="33"/>
  <c r="J379" i="33" s="1"/>
  <c r="J39" i="33"/>
  <c r="H30" i="33"/>
  <c r="J30" i="33" s="1"/>
  <c r="H78" i="33"/>
  <c r="J78" i="33" s="1"/>
  <c r="H73" i="33"/>
  <c r="J73" i="33" s="1"/>
  <c r="J257" i="33"/>
  <c r="H248" i="33"/>
  <c r="J248" i="33" s="1"/>
  <c r="J125" i="33"/>
  <c r="H116" i="33"/>
  <c r="J116" i="33" s="1"/>
  <c r="J472" i="33"/>
  <c r="H463" i="33"/>
  <c r="J463" i="33" s="1"/>
  <c r="L31" i="39"/>
  <c r="L34" i="39"/>
  <c r="L37" i="39"/>
  <c r="L40" i="39"/>
  <c r="L52" i="39"/>
  <c r="L54" i="39"/>
  <c r="L57" i="39"/>
  <c r="L62" i="39"/>
  <c r="L7" i="39"/>
  <c r="L10" i="39"/>
  <c r="L15" i="39"/>
  <c r="L19" i="39"/>
  <c r="C45" i="25"/>
  <c r="F13" i="33"/>
  <c r="H13" i="33" s="1"/>
  <c r="J13" i="33" s="1"/>
  <c r="K13" i="26"/>
  <c r="BK39" i="25"/>
  <c r="J333" i="26"/>
  <c r="P333" i="26"/>
  <c r="O22" i="39"/>
  <c r="O34" i="39"/>
  <c r="O60" i="39"/>
  <c r="P13" i="26"/>
  <c r="H13" i="26"/>
  <c r="C67" i="25" a="1"/>
  <c r="C67" i="25" s="1"/>
  <c r="C69" i="25" s="1"/>
  <c r="F78" i="25" s="1"/>
  <c r="L11" i="39"/>
  <c r="L20" i="39"/>
  <c r="L32" i="39"/>
  <c r="L41" i="39"/>
  <c r="L58" i="39"/>
  <c r="K54" i="26"/>
  <c r="N13" i="26"/>
  <c r="C59" i="25"/>
  <c r="L12" i="39"/>
  <c r="L21" i="39"/>
  <c r="L33" i="39"/>
  <c r="L43" i="39" s="1"/>
  <c r="L42" i="39"/>
  <c r="L59" i="39"/>
  <c r="F74" i="33"/>
  <c r="H74" i="33" s="1"/>
  <c r="J74" i="33" s="1"/>
  <c r="M13" i="26"/>
  <c r="C49" i="25"/>
  <c r="C51" i="25" s="1" a="1"/>
  <c r="C51" i="25" s="1"/>
  <c r="C62" i="34"/>
  <c r="L6" i="39"/>
  <c r="L14" i="39"/>
  <c r="L25" i="39"/>
  <c r="L36" i="39"/>
  <c r="L47" i="39" s="1"/>
  <c r="L53" i="39"/>
  <c r="L61" i="39"/>
  <c r="L54" i="26"/>
  <c r="J54" i="26"/>
  <c r="H54" i="26"/>
  <c r="I54" i="26"/>
  <c r="C66" i="25"/>
  <c r="E66" i="25" s="1"/>
  <c r="C50" i="25"/>
  <c r="C52" i="25" s="1" a="1"/>
  <c r="C52" i="25" s="1"/>
  <c r="C55" i="25" s="1"/>
  <c r="L8" i="39"/>
  <c r="L17" i="39"/>
  <c r="L27" i="39"/>
  <c r="L38" i="39"/>
  <c r="L55" i="39"/>
  <c r="L63" i="39"/>
  <c r="L67" i="39" s="1"/>
  <c r="L13" i="26"/>
  <c r="M54" i="26"/>
  <c r="I13" i="26"/>
  <c r="O13" i="26"/>
  <c r="C39" i="25"/>
  <c r="C42" i="25" s="1"/>
  <c r="L9" i="39"/>
  <c r="L18" i="39"/>
  <c r="L30" i="39"/>
  <c r="L39" i="39"/>
  <c r="L49" i="39" s="1"/>
  <c r="L56" i="39"/>
  <c r="O52" i="39"/>
  <c r="H337" i="26"/>
  <c r="O13" i="39"/>
  <c r="H15" i="26"/>
  <c r="F21" i="33"/>
  <c r="H21" i="33" s="1"/>
  <c r="J21" i="33" s="1"/>
  <c r="M23" i="26"/>
  <c r="N23" i="26"/>
  <c r="I23" i="26"/>
  <c r="M15" i="26"/>
  <c r="H23" i="26"/>
  <c r="L23" i="26"/>
  <c r="I15" i="26"/>
  <c r="J23" i="26"/>
  <c r="P23" i="26"/>
  <c r="O15" i="26"/>
  <c r="P15" i="26"/>
  <c r="K23" i="26"/>
  <c r="N15" i="26"/>
  <c r="O23" i="26"/>
  <c r="K15" i="26"/>
  <c r="J15" i="26"/>
  <c r="N54" i="26"/>
  <c r="P54" i="26"/>
  <c r="I337" i="26"/>
  <c r="L337" i="26"/>
  <c r="M337" i="26"/>
  <c r="L9" i="26"/>
  <c r="P337" i="26"/>
  <c r="O333" i="26"/>
  <c r="L333" i="26"/>
  <c r="H333" i="26"/>
  <c r="I333" i="26"/>
  <c r="M333" i="26"/>
  <c r="N333" i="26"/>
  <c r="K333" i="26"/>
  <c r="J337" i="26"/>
  <c r="H375" i="33"/>
  <c r="J375" i="33" s="1"/>
  <c r="H384" i="33"/>
  <c r="J384" i="33" s="1"/>
  <c r="N17" i="26"/>
  <c r="W478" i="19"/>
  <c r="X478" i="19" s="1"/>
  <c r="Y478" i="19" s="1" a="1"/>
  <c r="Y478" i="19" s="1"/>
  <c r="AA478" i="19" s="1"/>
  <c r="AB478" i="19" s="1"/>
  <c r="O7" i="39"/>
  <c r="O15" i="39"/>
  <c r="O26" i="39"/>
  <c r="O37" i="39"/>
  <c r="O54" i="39"/>
  <c r="O62" i="39"/>
  <c r="O337" i="26"/>
  <c r="K17" i="26"/>
  <c r="O8" i="39"/>
  <c r="O17" i="39"/>
  <c r="O27" i="39"/>
  <c r="O38" i="39"/>
  <c r="O55" i="39"/>
  <c r="O63" i="39"/>
  <c r="O67" i="39" s="1"/>
  <c r="O9" i="39"/>
  <c r="O18" i="39"/>
  <c r="O30" i="39"/>
  <c r="O39" i="39"/>
  <c r="O49" i="39" s="1"/>
  <c r="O56" i="39"/>
  <c r="O64" i="39"/>
  <c r="O10" i="39"/>
  <c r="O19" i="39"/>
  <c r="O31" i="39"/>
  <c r="O40" i="39"/>
  <c r="O57" i="39"/>
  <c r="O11" i="39"/>
  <c r="O20" i="39"/>
  <c r="O32" i="39"/>
  <c r="O41" i="39"/>
  <c r="O58" i="39"/>
  <c r="O12" i="39"/>
  <c r="O21" i="39"/>
  <c r="O33" i="39"/>
  <c r="O44" i="39" s="1"/>
  <c r="O42" i="39"/>
  <c r="O59" i="39"/>
  <c r="O6" i="39"/>
  <c r="O14" i="39"/>
  <c r="O25" i="39"/>
  <c r="O36" i="39"/>
  <c r="O50" i="39" s="1"/>
  <c r="O53" i="39"/>
  <c r="H471" i="33"/>
  <c r="J471" i="33" s="1"/>
  <c r="F444" i="33"/>
  <c r="H444" i="33" s="1"/>
  <c r="J444" i="33" s="1"/>
  <c r="K337" i="26"/>
  <c r="J350" i="26"/>
  <c r="O350" i="26"/>
  <c r="L332" i="26"/>
  <c r="M338" i="26"/>
  <c r="L254" i="26"/>
  <c r="K7" i="26"/>
  <c r="L338" i="26"/>
  <c r="M254" i="26"/>
  <c r="F445" i="33"/>
  <c r="H445" i="33" s="1"/>
  <c r="J445" i="33" s="1"/>
  <c r="O254" i="26"/>
  <c r="N7" i="26"/>
  <c r="M7" i="26"/>
  <c r="I24" i="26"/>
  <c r="M352" i="26"/>
  <c r="P343" i="26"/>
  <c r="J28" i="26"/>
  <c r="H29" i="26"/>
  <c r="O28" i="26"/>
  <c r="K350" i="26"/>
  <c r="O12" i="26"/>
  <c r="H28" i="26"/>
  <c r="H348" i="26"/>
  <c r="N342" i="26"/>
  <c r="BW477" i="19"/>
  <c r="BX477" i="19" s="1"/>
  <c r="BY477" i="19" s="1" a="1"/>
  <c r="BY477" i="19" s="1"/>
  <c r="K45" i="39" s="1"/>
  <c r="O342" i="26"/>
  <c r="I350" i="26"/>
  <c r="L343" i="26"/>
  <c r="N6" i="26"/>
  <c r="M342" i="26"/>
  <c r="O340" i="26"/>
  <c r="N28" i="26"/>
  <c r="AX474" i="19"/>
  <c r="AY474" i="19" s="1"/>
  <c r="AZ474" i="19" s="1"/>
  <c r="M6" i="26"/>
  <c r="P166" i="26"/>
  <c r="N348" i="26"/>
  <c r="J6" i="26"/>
  <c r="I166" i="26"/>
  <c r="J343" i="26"/>
  <c r="L6" i="26"/>
  <c r="K343" i="26"/>
  <c r="O6" i="26"/>
  <c r="F226" i="33"/>
  <c r="H226" i="33" s="1"/>
  <c r="J226" i="33" s="1"/>
  <c r="L348" i="26"/>
  <c r="I348" i="26"/>
  <c r="N166" i="26"/>
  <c r="H6" i="26"/>
  <c r="I6" i="26"/>
  <c r="DW478" i="19"/>
  <c r="DX478" i="19" s="1"/>
  <c r="DY478" i="19" s="1" a="1"/>
  <c r="DY478" i="19" s="1"/>
  <c r="EA478" i="19" s="1"/>
  <c r="EB478" i="19" s="1"/>
  <c r="J166" i="26"/>
  <c r="I343" i="26"/>
  <c r="O166" i="26"/>
  <c r="F458" i="33"/>
  <c r="M343" i="26"/>
  <c r="N343" i="26"/>
  <c r="P348" i="26"/>
  <c r="M348" i="26"/>
  <c r="F8" i="33"/>
  <c r="H8" i="33" s="1"/>
  <c r="J8" i="33" s="1"/>
  <c r="G356" i="26"/>
  <c r="F474" i="33" s="1"/>
  <c r="H474" i="33" s="1"/>
  <c r="J474" i="33" s="1"/>
  <c r="H343" i="26"/>
  <c r="O348" i="26"/>
  <c r="H166" i="26"/>
  <c r="K6" i="26"/>
  <c r="EK472" i="19"/>
  <c r="EL472" i="19" s="1"/>
  <c r="BK67" i="25" a="1"/>
  <c r="BK67" i="25" s="1"/>
  <c r="BK69" i="25" s="1"/>
  <c r="BK103" i="25" s="1"/>
  <c r="N29" i="26"/>
  <c r="H373" i="33"/>
  <c r="J373" i="33" s="1"/>
  <c r="J254" i="26"/>
  <c r="P7" i="26"/>
  <c r="J9" i="26"/>
  <c r="K9" i="26"/>
  <c r="L28" i="26"/>
  <c r="CW478" i="19"/>
  <c r="CX478" i="19" s="1"/>
  <c r="CY478" i="19" s="1" a="1"/>
  <c r="CY478" i="19" s="1"/>
  <c r="DA478" i="19" s="1"/>
  <c r="DB478" i="19" s="1"/>
  <c r="F454" i="33"/>
  <c r="H454" i="33" s="1"/>
  <c r="J454" i="33" s="1"/>
  <c r="P29" i="26"/>
  <c r="L342" i="26"/>
  <c r="M350" i="26"/>
  <c r="N12" i="26"/>
  <c r="I28" i="26"/>
  <c r="H387" i="33"/>
  <c r="J387" i="33" s="1"/>
  <c r="H374" i="33"/>
  <c r="J374" i="33" s="1"/>
  <c r="K340" i="26"/>
  <c r="H340" i="26"/>
  <c r="O341" i="26"/>
  <c r="H363" i="33"/>
  <c r="J363" i="33" s="1"/>
  <c r="H342" i="26"/>
  <c r="J12" i="26"/>
  <c r="M12" i="26"/>
  <c r="I8" i="26"/>
  <c r="P12" i="26"/>
  <c r="K474" i="19"/>
  <c r="L474" i="19" s="1"/>
  <c r="M474" i="19" s="1"/>
  <c r="O9" i="26"/>
  <c r="L340" i="26"/>
  <c r="BK30" i="25"/>
  <c r="BK31" i="25" s="1"/>
  <c r="H254" i="26"/>
  <c r="K338" i="26"/>
  <c r="F40" i="33"/>
  <c r="H17" i="26"/>
  <c r="P350" i="26"/>
  <c r="X472" i="19"/>
  <c r="Y472" i="19" s="1"/>
  <c r="EJ479" i="19"/>
  <c r="EK479" i="19" s="1"/>
  <c r="EL479" i="19" s="1" a="1"/>
  <c r="EL479" i="19" s="1"/>
  <c r="EN479" i="19" s="1"/>
  <c r="EO479" i="19" s="1"/>
  <c r="O29" i="26"/>
  <c r="K342" i="26"/>
  <c r="J342" i="26"/>
  <c r="I358" i="26"/>
  <c r="N358" i="26" s="1"/>
  <c r="O358" i="26" s="1"/>
  <c r="M28" i="26"/>
  <c r="H7" i="26"/>
  <c r="O7" i="26"/>
  <c r="CW477" i="19"/>
  <c r="CX477" i="19" s="1"/>
  <c r="CY477" i="19" s="1" a="1"/>
  <c r="CY477" i="19" s="1"/>
  <c r="M45" i="39" s="1"/>
  <c r="BK49" i="25"/>
  <c r="BK51" i="25" s="1" a="1"/>
  <c r="BK51" i="25" s="1"/>
  <c r="BK54" i="25" s="1"/>
  <c r="I7" i="26"/>
  <c r="F33" i="33"/>
  <c r="H33" i="33" s="1"/>
  <c r="J33" i="33" s="1"/>
  <c r="N341" i="26"/>
  <c r="J8" i="26"/>
  <c r="I342" i="26"/>
  <c r="H9" i="26"/>
  <c r="I352" i="26"/>
  <c r="I254" i="26"/>
  <c r="M341" i="26"/>
  <c r="O338" i="26"/>
  <c r="J29" i="26"/>
  <c r="L7" i="26"/>
  <c r="M24" i="26"/>
  <c r="L350" i="26"/>
  <c r="J24" i="26"/>
  <c r="L351" i="26"/>
  <c r="N340" i="26"/>
  <c r="I340" i="26"/>
  <c r="J352" i="26"/>
  <c r="F39" i="33"/>
  <c r="M340" i="26"/>
  <c r="H371" i="33"/>
  <c r="J371" i="33" s="1"/>
  <c r="H362" i="33"/>
  <c r="J362" i="33" s="1"/>
  <c r="L341" i="26"/>
  <c r="I29" i="26"/>
  <c r="H12" i="26"/>
  <c r="I9" i="26"/>
  <c r="M9" i="26"/>
  <c r="K28" i="26"/>
  <c r="J340" i="26"/>
  <c r="N24" i="26"/>
  <c r="H341" i="26"/>
  <c r="O24" i="26"/>
  <c r="H24" i="26"/>
  <c r="BK59" i="25"/>
  <c r="N350" i="26"/>
  <c r="P28" i="26"/>
  <c r="K341" i="26"/>
  <c r="P24" i="26"/>
  <c r="F15" i="33"/>
  <c r="H15" i="33" s="1"/>
  <c r="J15" i="33" s="1"/>
  <c r="F341" i="33"/>
  <c r="H341" i="33" s="1"/>
  <c r="J341" i="33" s="1"/>
  <c r="M29" i="26"/>
  <c r="I338" i="26"/>
  <c r="I341" i="26"/>
  <c r="BK66" i="25"/>
  <c r="BK70" i="25" s="1"/>
  <c r="BK71" i="25" s="1"/>
  <c r="BK72" i="25" s="1"/>
  <c r="BK77" i="25" s="1"/>
  <c r="K24" i="26"/>
  <c r="H350" i="26"/>
  <c r="P341" i="26"/>
  <c r="K12" i="26"/>
  <c r="P9" i="26"/>
  <c r="L29" i="26"/>
  <c r="I128" i="26"/>
  <c r="N128" i="26" s="1"/>
  <c r="O128" i="26" s="1"/>
  <c r="H372" i="33"/>
  <c r="J372" i="33" s="1"/>
  <c r="P340" i="26"/>
  <c r="L352" i="26"/>
  <c r="BK50" i="25"/>
  <c r="BK52" i="25" s="1" a="1"/>
  <c r="BK52" i="25" s="1"/>
  <c r="J7" i="26"/>
  <c r="P342" i="26"/>
  <c r="H378" i="33"/>
  <c r="J378" i="33" s="1"/>
  <c r="H359" i="33"/>
  <c r="J359" i="33" s="1"/>
  <c r="I32" i="26"/>
  <c r="N32" i="26" s="1"/>
  <c r="O32" i="26" s="1"/>
  <c r="K472" i="19"/>
  <c r="L472" i="19" s="1"/>
  <c r="F14" i="33"/>
  <c r="H14" i="33" s="1"/>
  <c r="J14" i="33" s="1"/>
  <c r="H16" i="33"/>
  <c r="J16" i="33" s="1"/>
  <c r="L16" i="26"/>
  <c r="M8" i="26"/>
  <c r="H22" i="33"/>
  <c r="J22" i="33" s="1"/>
  <c r="H26" i="33"/>
  <c r="J26" i="33" s="1"/>
  <c r="H10" i="33"/>
  <c r="J10" i="33" s="1"/>
  <c r="H25" i="33"/>
  <c r="J25" i="33" s="1"/>
  <c r="N8" i="26"/>
  <c r="H11" i="33"/>
  <c r="J11" i="33" s="1"/>
  <c r="N14" i="26"/>
  <c r="L8" i="26"/>
  <c r="P16" i="26"/>
  <c r="K16" i="26"/>
  <c r="CX474" i="19"/>
  <c r="CY474" i="19" s="1"/>
  <c r="CZ474" i="19" s="1"/>
  <c r="H24" i="33"/>
  <c r="J24" i="33" s="1"/>
  <c r="H35" i="33"/>
  <c r="J35" i="33" s="1"/>
  <c r="H23" i="33"/>
  <c r="J23" i="33" s="1"/>
  <c r="H8" i="26"/>
  <c r="H29" i="33"/>
  <c r="J29" i="33" s="1"/>
  <c r="X474" i="19"/>
  <c r="Y474" i="19" s="1"/>
  <c r="Z474" i="19" s="1"/>
  <c r="J170" i="33"/>
  <c r="H141" i="33"/>
  <c r="J141" i="33" s="1"/>
  <c r="BW478" i="19"/>
  <c r="BX478" i="19" s="1"/>
  <c r="BY478" i="19" s="1" a="1"/>
  <c r="BY478" i="19" s="1"/>
  <c r="CA478" i="19" s="1"/>
  <c r="CB478" i="19" s="1"/>
  <c r="EK473" i="19"/>
  <c r="EL473" i="19" s="1"/>
  <c r="EM473" i="19" s="1"/>
  <c r="I26" i="26"/>
  <c r="F36" i="33"/>
  <c r="H36" i="33" s="1"/>
  <c r="J36" i="33" s="1"/>
  <c r="O26" i="26"/>
  <c r="P26" i="26"/>
  <c r="N26" i="26"/>
  <c r="H26" i="26"/>
  <c r="L26" i="26"/>
  <c r="M26" i="26"/>
  <c r="J26" i="26"/>
  <c r="L14" i="26"/>
  <c r="H14" i="26"/>
  <c r="M14" i="26"/>
  <c r="H16" i="26"/>
  <c r="F20" i="33"/>
  <c r="H20" i="33" s="1"/>
  <c r="J20" i="33" s="1"/>
  <c r="K14" i="26"/>
  <c r="J14" i="26"/>
  <c r="F24" i="33"/>
  <c r="G30" i="26"/>
  <c r="I30" i="26" s="1"/>
  <c r="N30" i="26" s="1"/>
  <c r="O30" i="26" s="1"/>
  <c r="P14" i="26"/>
  <c r="N16" i="26"/>
  <c r="J16" i="26"/>
  <c r="O16" i="26"/>
  <c r="I16" i="26"/>
  <c r="I14" i="26"/>
  <c r="J338" i="26"/>
  <c r="P338" i="26"/>
  <c r="H338" i="26"/>
  <c r="AW477" i="19"/>
  <c r="AX477" i="19" s="1"/>
  <c r="AY477" i="19" s="1" a="1"/>
  <c r="AY477" i="19" s="1"/>
  <c r="I45" i="39" s="1"/>
  <c r="K254" i="26"/>
  <c r="N254" i="26"/>
  <c r="L166" i="26"/>
  <c r="J348" i="26"/>
  <c r="F464" i="33"/>
  <c r="H464" i="33" s="1"/>
  <c r="J464" i="33" s="1"/>
  <c r="M166" i="26"/>
  <c r="J332" i="26"/>
  <c r="I17" i="26"/>
  <c r="M334" i="26"/>
  <c r="K334" i="26"/>
  <c r="F25" i="33"/>
  <c r="M17" i="26"/>
  <c r="O17" i="26"/>
  <c r="L17" i="26"/>
  <c r="P17" i="26"/>
  <c r="K8" i="26"/>
  <c r="H38" i="33"/>
  <c r="J38" i="33" s="1"/>
  <c r="O8" i="26"/>
  <c r="I25" i="26"/>
  <c r="I355" i="26"/>
  <c r="J27" i="26"/>
  <c r="H27" i="26"/>
  <c r="I27" i="26"/>
  <c r="P25" i="26"/>
  <c r="K27" i="26"/>
  <c r="L25" i="26"/>
  <c r="M27" i="26"/>
  <c r="O27" i="26"/>
  <c r="F34" i="33"/>
  <c r="H34" i="33" s="1"/>
  <c r="J34" i="33" s="1"/>
  <c r="P352" i="26"/>
  <c r="N27" i="26"/>
  <c r="P27" i="26"/>
  <c r="L27" i="26"/>
  <c r="H352" i="26"/>
  <c r="K25" i="26"/>
  <c r="CJ479" i="19"/>
  <c r="CK479" i="19" s="1"/>
  <c r="CL479" i="19" s="1" a="1"/>
  <c r="CL479" i="19" s="1"/>
  <c r="CN479" i="19" s="1"/>
  <c r="CO479" i="19" s="1"/>
  <c r="AK474" i="19"/>
  <c r="AL474" i="19" s="1"/>
  <c r="AM474" i="19" s="1"/>
  <c r="L73" i="26"/>
  <c r="M25" i="26"/>
  <c r="N25" i="26"/>
  <c r="F101" i="33"/>
  <c r="H101" i="33" s="1"/>
  <c r="J101" i="33" s="1"/>
  <c r="O25" i="26"/>
  <c r="K73" i="26"/>
  <c r="M73" i="26"/>
  <c r="I73" i="26"/>
  <c r="H73" i="26"/>
  <c r="J73" i="26"/>
  <c r="J25" i="26"/>
  <c r="N73" i="26"/>
  <c r="O73" i="26"/>
  <c r="O351" i="26"/>
  <c r="F467" i="33"/>
  <c r="H467" i="33" s="1"/>
  <c r="J467" i="33" s="1"/>
  <c r="M351" i="26"/>
  <c r="F442" i="33"/>
  <c r="H442" i="33" s="1"/>
  <c r="J442" i="33" s="1"/>
  <c r="N332" i="26"/>
  <c r="O332" i="26"/>
  <c r="H458" i="33"/>
  <c r="J458" i="33" s="1"/>
  <c r="H332" i="26"/>
  <c r="J351" i="26"/>
  <c r="H446" i="33"/>
  <c r="J446" i="33" s="1"/>
  <c r="N351" i="26"/>
  <c r="M332" i="26"/>
  <c r="AJ478" i="19"/>
  <c r="AK478" i="19" s="1"/>
  <c r="AL478" i="19" s="1" a="1"/>
  <c r="AL478" i="19" s="1"/>
  <c r="AN478" i="19" s="1"/>
  <c r="AO478" i="19" s="1"/>
  <c r="H457" i="33"/>
  <c r="J457" i="33" s="1"/>
  <c r="I332" i="26"/>
  <c r="I351" i="26"/>
  <c r="H455" i="33"/>
  <c r="J455" i="33" s="1"/>
  <c r="K351" i="26"/>
  <c r="DK474" i="19"/>
  <c r="DL474" i="19" s="1"/>
  <c r="DM474" i="19" s="1"/>
  <c r="H447" i="33"/>
  <c r="J447" i="33" s="1"/>
  <c r="H459" i="33"/>
  <c r="J459" i="33" s="1"/>
  <c r="H456" i="33"/>
  <c r="J456" i="33" s="1"/>
  <c r="P332" i="26"/>
  <c r="H462" i="33"/>
  <c r="J462" i="33" s="1"/>
  <c r="H351" i="26"/>
  <c r="H468" i="33"/>
  <c r="J468" i="33" s="1"/>
  <c r="P353" i="26"/>
  <c r="L334" i="26"/>
  <c r="J353" i="26"/>
  <c r="I334" i="26"/>
  <c r="J334" i="26"/>
  <c r="M353" i="26"/>
  <c r="O334" i="26"/>
  <c r="F470" i="33"/>
  <c r="H470" i="33" s="1"/>
  <c r="J470" i="33" s="1"/>
  <c r="K352" i="26"/>
  <c r="F448" i="33"/>
  <c r="H448" i="33" s="1"/>
  <c r="J448" i="33" s="1"/>
  <c r="N352" i="26"/>
  <c r="N353" i="26"/>
  <c r="L353" i="26"/>
  <c r="F469" i="33"/>
  <c r="H469" i="33" s="1"/>
  <c r="J469" i="33" s="1"/>
  <c r="H353" i="26"/>
  <c r="H334" i="26"/>
  <c r="K353" i="26"/>
  <c r="I353" i="26"/>
  <c r="N334" i="26"/>
  <c r="F472" i="33"/>
  <c r="I354" i="26"/>
  <c r="M354" i="26"/>
  <c r="O354" i="26"/>
  <c r="L349" i="26"/>
  <c r="P349" i="26"/>
  <c r="H354" i="26"/>
  <c r="H355" i="26"/>
  <c r="K355" i="26"/>
  <c r="I349" i="26"/>
  <c r="L354" i="26"/>
  <c r="J349" i="26"/>
  <c r="O349" i="26"/>
  <c r="F465" i="33"/>
  <c r="H465" i="33" s="1"/>
  <c r="J465" i="33" s="1"/>
  <c r="H349" i="26"/>
  <c r="N354" i="26"/>
  <c r="F473" i="33"/>
  <c r="M349" i="26"/>
  <c r="N355" i="26"/>
  <c r="L355" i="26"/>
  <c r="M355" i="26"/>
  <c r="K349" i="26"/>
  <c r="P354" i="26"/>
  <c r="O355" i="26"/>
  <c r="DW479" i="19"/>
  <c r="DX479" i="19" s="1"/>
  <c r="DY479" i="19" s="1" a="1"/>
  <c r="DY479" i="19" s="1"/>
  <c r="O51" i="39" s="1"/>
  <c r="K354" i="26"/>
  <c r="AK472" i="19"/>
  <c r="AL472" i="19" s="1"/>
  <c r="K64" i="39"/>
  <c r="K63" i="39"/>
  <c r="K62" i="39"/>
  <c r="K61" i="39"/>
  <c r="K60" i="39"/>
  <c r="K59" i="39"/>
  <c r="K58" i="39"/>
  <c r="K57" i="39"/>
  <c r="K56" i="39"/>
  <c r="K55" i="39"/>
  <c r="K54" i="39"/>
  <c r="K53" i="39"/>
  <c r="K52" i="39"/>
  <c r="K42" i="39"/>
  <c r="K41" i="39"/>
  <c r="K40" i="39"/>
  <c r="K39" i="39"/>
  <c r="K49" i="39" s="1"/>
  <c r="K38" i="39"/>
  <c r="K37" i="39"/>
  <c r="K36" i="39"/>
  <c r="K34" i="39"/>
  <c r="K33" i="39"/>
  <c r="K32" i="39"/>
  <c r="K31" i="39"/>
  <c r="K30" i="39"/>
  <c r="K27" i="39"/>
  <c r="K26" i="39"/>
  <c r="K25" i="39"/>
  <c r="K22" i="39"/>
  <c r="K21" i="39"/>
  <c r="K20" i="39"/>
  <c r="K19" i="39"/>
  <c r="K18" i="39"/>
  <c r="K17" i="39"/>
  <c r="K15" i="39"/>
  <c r="K14" i="39"/>
  <c r="K13" i="39"/>
  <c r="K12" i="39"/>
  <c r="K11" i="39"/>
  <c r="K10" i="39"/>
  <c r="K9" i="39"/>
  <c r="K8" i="39"/>
  <c r="K7" i="39"/>
  <c r="K6" i="39"/>
  <c r="F64" i="39"/>
  <c r="F63" i="39"/>
  <c r="F62" i="39"/>
  <c r="F61" i="39"/>
  <c r="F60" i="39"/>
  <c r="F59" i="39"/>
  <c r="F58" i="39"/>
  <c r="F57" i="39"/>
  <c r="F56" i="39"/>
  <c r="F55" i="39"/>
  <c r="F54" i="39"/>
  <c r="F53" i="39"/>
  <c r="F52" i="39"/>
  <c r="F51" i="39"/>
  <c r="F45" i="39"/>
  <c r="F42" i="39"/>
  <c r="F41" i="39"/>
  <c r="F40" i="39"/>
  <c r="F39" i="39"/>
  <c r="F49" i="39" s="1"/>
  <c r="F38" i="39"/>
  <c r="F37" i="39"/>
  <c r="F36" i="39"/>
  <c r="F34" i="39"/>
  <c r="F33" i="39"/>
  <c r="F32" i="39"/>
  <c r="F31" i="39"/>
  <c r="F30" i="39"/>
  <c r="F27" i="39"/>
  <c r="F26" i="39"/>
  <c r="F25" i="39"/>
  <c r="F22" i="39"/>
  <c r="F21" i="39"/>
  <c r="F20" i="39"/>
  <c r="F19" i="39"/>
  <c r="F18" i="39"/>
  <c r="F17" i="39"/>
  <c r="F15" i="39"/>
  <c r="F14" i="39"/>
  <c r="F13" i="39"/>
  <c r="F12" i="39"/>
  <c r="F11" i="39"/>
  <c r="F10" i="39"/>
  <c r="F9" i="39"/>
  <c r="F8" i="39"/>
  <c r="M29" i="39" s="1"/>
  <c r="F7" i="39"/>
  <c r="H28" i="39" s="1"/>
  <c r="F6" i="39"/>
  <c r="P64" i="39"/>
  <c r="P63" i="39"/>
  <c r="P62" i="39"/>
  <c r="P61" i="39"/>
  <c r="P60" i="39"/>
  <c r="P59" i="39"/>
  <c r="P58" i="39"/>
  <c r="P57" i="39"/>
  <c r="P56" i="39"/>
  <c r="P55" i="39"/>
  <c r="P54" i="39"/>
  <c r="P53" i="39"/>
  <c r="P52" i="39"/>
  <c r="P48" i="39"/>
  <c r="P45" i="39"/>
  <c r="P42" i="39"/>
  <c r="P41" i="39"/>
  <c r="P40" i="39"/>
  <c r="P39" i="39"/>
  <c r="P49" i="39" s="1"/>
  <c r="P38" i="39"/>
  <c r="P37" i="39"/>
  <c r="P36" i="39"/>
  <c r="P34" i="39"/>
  <c r="P33" i="39"/>
  <c r="P32" i="39"/>
  <c r="P31" i="39"/>
  <c r="P30" i="39"/>
  <c r="P27" i="39"/>
  <c r="P26" i="39"/>
  <c r="P25" i="39"/>
  <c r="P22" i="39"/>
  <c r="P21" i="39"/>
  <c r="P20" i="39"/>
  <c r="P19" i="39"/>
  <c r="P18" i="39"/>
  <c r="P17" i="39"/>
  <c r="P15" i="39"/>
  <c r="P14" i="39"/>
  <c r="P13" i="39"/>
  <c r="P12" i="39"/>
  <c r="P11" i="39"/>
  <c r="P10" i="39"/>
  <c r="P9" i="39"/>
  <c r="P8" i="39"/>
  <c r="P7" i="39"/>
  <c r="P6" i="39"/>
  <c r="N64" i="39"/>
  <c r="N63" i="39"/>
  <c r="N62" i="39"/>
  <c r="N61" i="39"/>
  <c r="N60" i="39"/>
  <c r="N59" i="39"/>
  <c r="N58" i="39"/>
  <c r="N57" i="39"/>
  <c r="N56" i="39"/>
  <c r="N55" i="39"/>
  <c r="N54" i="39"/>
  <c r="N53" i="39"/>
  <c r="N52" i="39"/>
  <c r="N51" i="39"/>
  <c r="N45" i="39"/>
  <c r="N42" i="39"/>
  <c r="N41" i="39"/>
  <c r="N40" i="39"/>
  <c r="N39" i="39"/>
  <c r="N49" i="39" s="1"/>
  <c r="N38" i="39"/>
  <c r="N37" i="39"/>
  <c r="N36" i="39"/>
  <c r="N34" i="39"/>
  <c r="N33" i="39"/>
  <c r="N32" i="39"/>
  <c r="N31" i="39"/>
  <c r="N30" i="39"/>
  <c r="N27" i="39"/>
  <c r="N26" i="39"/>
  <c r="N25" i="39"/>
  <c r="N22" i="39"/>
  <c r="N21" i="39"/>
  <c r="N20" i="39"/>
  <c r="N19" i="39"/>
  <c r="N18" i="39"/>
  <c r="N17" i="39"/>
  <c r="N15" i="39"/>
  <c r="N14" i="39"/>
  <c r="N13" i="39"/>
  <c r="N12" i="39"/>
  <c r="N11" i="39"/>
  <c r="N10" i="39"/>
  <c r="N9" i="39"/>
  <c r="N8" i="39"/>
  <c r="N7" i="39"/>
  <c r="M64" i="39"/>
  <c r="M63" i="39"/>
  <c r="M62" i="39"/>
  <c r="M61" i="39"/>
  <c r="M60" i="39"/>
  <c r="M59" i="39"/>
  <c r="M58" i="39"/>
  <c r="M57" i="39"/>
  <c r="M56" i="39"/>
  <c r="M55" i="39"/>
  <c r="M54" i="39"/>
  <c r="M53" i="39"/>
  <c r="M52" i="39"/>
  <c r="M51" i="39"/>
  <c r="M42" i="39"/>
  <c r="M41" i="39"/>
  <c r="M40" i="39"/>
  <c r="M39" i="39"/>
  <c r="M49" i="39" s="1"/>
  <c r="M38" i="39"/>
  <c r="M37" i="39"/>
  <c r="M36" i="39"/>
  <c r="M34" i="39"/>
  <c r="M33" i="39"/>
  <c r="M32" i="39"/>
  <c r="M31" i="39"/>
  <c r="M30" i="39"/>
  <c r="M27" i="39"/>
  <c r="M26" i="39"/>
  <c r="M25" i="39"/>
  <c r="M22" i="39"/>
  <c r="M21" i="39"/>
  <c r="M20" i="39"/>
  <c r="M19" i="39"/>
  <c r="M18" i="39"/>
  <c r="M17" i="39"/>
  <c r="M15" i="39"/>
  <c r="M14" i="39"/>
  <c r="M13" i="39"/>
  <c r="M12" i="39"/>
  <c r="M11" i="39"/>
  <c r="M10" i="39"/>
  <c r="M9" i="39"/>
  <c r="M8" i="39"/>
  <c r="M7" i="39"/>
  <c r="M6" i="39"/>
  <c r="G64" i="39"/>
  <c r="G63" i="39"/>
  <c r="G62" i="39"/>
  <c r="G61" i="39"/>
  <c r="G60" i="39"/>
  <c r="G59" i="39"/>
  <c r="G58" i="39"/>
  <c r="G57" i="39"/>
  <c r="G56" i="39"/>
  <c r="G55" i="39"/>
  <c r="G54" i="39"/>
  <c r="G53" i="39"/>
  <c r="G52" i="39"/>
  <c r="G51" i="39"/>
  <c r="G45" i="39"/>
  <c r="G42" i="39"/>
  <c r="G41" i="39"/>
  <c r="G40" i="39"/>
  <c r="G39" i="39"/>
  <c r="G49" i="39" s="1"/>
  <c r="G38" i="39"/>
  <c r="G37" i="39"/>
  <c r="G36" i="39"/>
  <c r="G34" i="39"/>
  <c r="G33" i="39"/>
  <c r="G32" i="39"/>
  <c r="G31" i="39"/>
  <c r="G30" i="39"/>
  <c r="G27" i="39"/>
  <c r="G26" i="39"/>
  <c r="G25" i="39"/>
  <c r="G22" i="39"/>
  <c r="G21" i="39"/>
  <c r="G20" i="39"/>
  <c r="G19" i="39"/>
  <c r="G18" i="39"/>
  <c r="G17" i="39"/>
  <c r="G15" i="39"/>
  <c r="G14" i="39"/>
  <c r="G13" i="39"/>
  <c r="G12" i="39"/>
  <c r="G11" i="39"/>
  <c r="G10" i="39"/>
  <c r="G9" i="39"/>
  <c r="G8" i="39"/>
  <c r="G7" i="39"/>
  <c r="G6" i="39"/>
  <c r="I64" i="39"/>
  <c r="I63" i="39"/>
  <c r="I62" i="39"/>
  <c r="I61" i="39"/>
  <c r="I60" i="39"/>
  <c r="I59" i="39"/>
  <c r="I58" i="39"/>
  <c r="I57" i="39"/>
  <c r="I56" i="39"/>
  <c r="I55" i="39"/>
  <c r="I54" i="39"/>
  <c r="I53" i="39"/>
  <c r="I52" i="39"/>
  <c r="I51" i="39"/>
  <c r="I42" i="39"/>
  <c r="I41" i="39"/>
  <c r="I40" i="39"/>
  <c r="I39" i="39"/>
  <c r="I49" i="39" s="1"/>
  <c r="I38" i="39"/>
  <c r="I37" i="39"/>
  <c r="I36" i="39"/>
  <c r="I34" i="39"/>
  <c r="I33" i="39"/>
  <c r="I32" i="39"/>
  <c r="I31" i="39"/>
  <c r="I30" i="39"/>
  <c r="I27" i="39"/>
  <c r="I26" i="39"/>
  <c r="I25" i="39"/>
  <c r="I22" i="39"/>
  <c r="I21" i="39"/>
  <c r="I20" i="39"/>
  <c r="I19" i="39"/>
  <c r="I18" i="39"/>
  <c r="I17" i="39"/>
  <c r="I15" i="39"/>
  <c r="I14" i="39"/>
  <c r="I13" i="39"/>
  <c r="I12" i="39"/>
  <c r="I11" i="39"/>
  <c r="I10" i="39"/>
  <c r="I9" i="39"/>
  <c r="I8" i="39"/>
  <c r="I7" i="39"/>
  <c r="I6" i="39"/>
  <c r="H64" i="39"/>
  <c r="H63" i="39"/>
  <c r="H62" i="39"/>
  <c r="H61" i="39"/>
  <c r="H60" i="39"/>
  <c r="H59" i="39"/>
  <c r="H58" i="39"/>
  <c r="H57" i="39"/>
  <c r="H56" i="39"/>
  <c r="H55" i="39"/>
  <c r="H54" i="39"/>
  <c r="H53" i="39"/>
  <c r="H52" i="39"/>
  <c r="H51" i="39"/>
  <c r="H45" i="39"/>
  <c r="H42" i="39"/>
  <c r="H41" i="39"/>
  <c r="H40" i="39"/>
  <c r="H39" i="39"/>
  <c r="H49" i="39" s="1"/>
  <c r="H38" i="39"/>
  <c r="H37" i="39"/>
  <c r="H36" i="39"/>
  <c r="H34" i="39"/>
  <c r="H33" i="39"/>
  <c r="H32" i="39"/>
  <c r="H31" i="39"/>
  <c r="H30" i="39"/>
  <c r="H27" i="39"/>
  <c r="H26" i="39"/>
  <c r="H25" i="39"/>
  <c r="H22" i="39"/>
  <c r="H21" i="39"/>
  <c r="H20" i="39"/>
  <c r="H19" i="39"/>
  <c r="H18" i="39"/>
  <c r="H17" i="39"/>
  <c r="H15" i="39"/>
  <c r="H14" i="39"/>
  <c r="H13" i="39"/>
  <c r="H12" i="39"/>
  <c r="H11" i="39"/>
  <c r="H10" i="39"/>
  <c r="H9" i="39"/>
  <c r="H8" i="39"/>
  <c r="H7" i="39"/>
  <c r="H6" i="39"/>
  <c r="J64" i="39"/>
  <c r="J63" i="39"/>
  <c r="J62" i="39"/>
  <c r="J61" i="39"/>
  <c r="J60" i="39"/>
  <c r="J59" i="39"/>
  <c r="J58" i="39"/>
  <c r="J57" i="39"/>
  <c r="J56" i="39"/>
  <c r="J55" i="39"/>
  <c r="J54" i="39"/>
  <c r="J53" i="39"/>
  <c r="J52" i="39"/>
  <c r="J51" i="39"/>
  <c r="J45" i="39"/>
  <c r="J42" i="39"/>
  <c r="J41" i="39"/>
  <c r="J40" i="39"/>
  <c r="J39" i="39"/>
  <c r="J49" i="39" s="1"/>
  <c r="J38" i="39"/>
  <c r="J37" i="39"/>
  <c r="J36" i="39"/>
  <c r="J34" i="39"/>
  <c r="J33" i="39"/>
  <c r="J32" i="39"/>
  <c r="J31" i="39"/>
  <c r="J30" i="39"/>
  <c r="J27" i="39"/>
  <c r="J26" i="39"/>
  <c r="J25" i="39"/>
  <c r="J22" i="39"/>
  <c r="J21" i="39"/>
  <c r="J20" i="39"/>
  <c r="J19" i="39"/>
  <c r="J18" i="39"/>
  <c r="J17" i="39"/>
  <c r="J15" i="39"/>
  <c r="J14" i="39"/>
  <c r="J13" i="39"/>
  <c r="J12" i="39"/>
  <c r="J11" i="39"/>
  <c r="J10" i="39"/>
  <c r="J9" i="39"/>
  <c r="J8" i="39"/>
  <c r="J7" i="39"/>
  <c r="J6" i="39"/>
  <c r="J354" i="26"/>
  <c r="BW479" i="19"/>
  <c r="BX479" i="19" s="1"/>
  <c r="BY479" i="19" s="1" a="1"/>
  <c r="BY479" i="19" s="1"/>
  <c r="BX474" i="19"/>
  <c r="BY474" i="19" s="1"/>
  <c r="BZ474" i="19" s="1"/>
  <c r="DK473" i="19"/>
  <c r="DL473" i="19" s="1"/>
  <c r="DM473" i="19" s="1"/>
  <c r="DJ478" i="19"/>
  <c r="DK478" i="19" s="1"/>
  <c r="DL478" i="19" s="1" a="1"/>
  <c r="DL478" i="19" s="1"/>
  <c r="CK473" i="19"/>
  <c r="CL473" i="19" s="1"/>
  <c r="CM473" i="19" s="1"/>
  <c r="CJ478" i="19"/>
  <c r="CK478" i="19" s="1"/>
  <c r="CL478" i="19" s="1" a="1"/>
  <c r="CL478" i="19" s="1"/>
  <c r="J478" i="19"/>
  <c r="K478" i="19" s="1"/>
  <c r="L478" i="19" s="1" a="1"/>
  <c r="L478" i="19" s="1"/>
  <c r="K473" i="19"/>
  <c r="L473" i="19" s="1"/>
  <c r="M473" i="19" s="1"/>
  <c r="J443" i="33"/>
  <c r="AX473" i="19"/>
  <c r="AY473" i="19" s="1"/>
  <c r="AZ473" i="19" s="1"/>
  <c r="AW478" i="19"/>
  <c r="AX478" i="19" s="1"/>
  <c r="AY478" i="19" s="1" a="1"/>
  <c r="AY478" i="19" s="1"/>
  <c r="P355" i="26"/>
  <c r="H121" i="26"/>
  <c r="J123" i="26"/>
  <c r="J121" i="26"/>
  <c r="P121" i="26"/>
  <c r="K123" i="26"/>
  <c r="L123" i="26"/>
  <c r="I123" i="26"/>
  <c r="O123" i="26"/>
  <c r="H123" i="26"/>
  <c r="N123" i="26"/>
  <c r="K122" i="26"/>
  <c r="I236" i="26"/>
  <c r="H236" i="26"/>
  <c r="F165" i="33"/>
  <c r="H165" i="33" s="1"/>
  <c r="J165" i="33" s="1"/>
  <c r="L121" i="26"/>
  <c r="O121" i="26"/>
  <c r="M121" i="26"/>
  <c r="K121" i="26"/>
  <c r="I121" i="26"/>
  <c r="I122" i="26"/>
  <c r="M122" i="26"/>
  <c r="N122" i="26"/>
  <c r="L122" i="26"/>
  <c r="P122" i="26"/>
  <c r="P124" i="26"/>
  <c r="M81" i="26"/>
  <c r="J124" i="26"/>
  <c r="O124" i="26"/>
  <c r="M124" i="26"/>
  <c r="I124" i="26"/>
  <c r="H124" i="26"/>
  <c r="N124" i="26"/>
  <c r="N250" i="26"/>
  <c r="L250" i="26"/>
  <c r="F336" i="33"/>
  <c r="H336" i="33" s="1"/>
  <c r="J336" i="33" s="1"/>
  <c r="H250" i="26"/>
  <c r="K250" i="26"/>
  <c r="AS67" i="25" a="1"/>
  <c r="AS67" i="25" s="1"/>
  <c r="AS69" i="25" s="1"/>
  <c r="M23" i="39" s="1"/>
  <c r="L242" i="26"/>
  <c r="AS39" i="25"/>
  <c r="I242" i="26"/>
  <c r="J242" i="26"/>
  <c r="AS49" i="25"/>
  <c r="AS51" i="25" s="1" a="1"/>
  <c r="AS51" i="25" s="1"/>
  <c r="O242" i="26"/>
  <c r="AS59" i="25"/>
  <c r="AS66" i="25"/>
  <c r="AU66" i="25" s="1"/>
  <c r="P242" i="26"/>
  <c r="AS30" i="25"/>
  <c r="AS31" i="25" s="1"/>
  <c r="AS43" i="25" s="1"/>
  <c r="H242" i="26"/>
  <c r="M242" i="26"/>
  <c r="AS50" i="25"/>
  <c r="AS52" i="25" s="1" a="1"/>
  <c r="AS52" i="25" s="1"/>
  <c r="AS55" i="25" s="1"/>
  <c r="F325" i="33"/>
  <c r="H325" i="33" s="1"/>
  <c r="J325" i="33" s="1"/>
  <c r="N242" i="26"/>
  <c r="H120" i="26"/>
  <c r="J119" i="26"/>
  <c r="H122" i="26"/>
  <c r="I267" i="26"/>
  <c r="N102" i="26"/>
  <c r="F138" i="33"/>
  <c r="H138" i="33" s="1"/>
  <c r="J138" i="33" s="1"/>
  <c r="K119" i="26"/>
  <c r="H119" i="26"/>
  <c r="O122" i="26"/>
  <c r="F168" i="33"/>
  <c r="H168" i="33" s="1"/>
  <c r="J168" i="33" s="1"/>
  <c r="J122" i="26"/>
  <c r="P123" i="26"/>
  <c r="L290" i="26"/>
  <c r="L102" i="26"/>
  <c r="O236" i="26"/>
  <c r="I87" i="26"/>
  <c r="H173" i="26"/>
  <c r="K120" i="26"/>
  <c r="M290" i="26"/>
  <c r="N175" i="26"/>
  <c r="F317" i="33"/>
  <c r="H317" i="33" s="1"/>
  <c r="J317" i="33" s="1"/>
  <c r="H157" i="33"/>
  <c r="J157" i="33" s="1"/>
  <c r="H154" i="33"/>
  <c r="J154" i="33" s="1"/>
  <c r="H166" i="33"/>
  <c r="J166" i="33" s="1"/>
  <c r="J161" i="33"/>
  <c r="H147" i="33"/>
  <c r="J147" i="33" s="1"/>
  <c r="H156" i="33"/>
  <c r="J156" i="33" s="1"/>
  <c r="H142" i="33"/>
  <c r="J142" i="33" s="1"/>
  <c r="K111" i="26"/>
  <c r="H111" i="26"/>
  <c r="J250" i="26"/>
  <c r="O250" i="26"/>
  <c r="I102" i="26"/>
  <c r="H169" i="33"/>
  <c r="J169" i="33" s="1"/>
  <c r="H153" i="33"/>
  <c r="J153" i="33" s="1"/>
  <c r="P243" i="26"/>
  <c r="P111" i="26"/>
  <c r="H110" i="33"/>
  <c r="J110" i="33" s="1"/>
  <c r="H112" i="33"/>
  <c r="J112" i="33" s="1"/>
  <c r="O111" i="26"/>
  <c r="H115" i="33"/>
  <c r="J115" i="33" s="1"/>
  <c r="F152" i="33"/>
  <c r="H152" i="33" s="1"/>
  <c r="J152" i="33" s="1"/>
  <c r="H124" i="33"/>
  <c r="J124" i="33" s="1"/>
  <c r="H96" i="33"/>
  <c r="J96" i="33" s="1"/>
  <c r="J111" i="26"/>
  <c r="H102" i="33"/>
  <c r="J102" i="33" s="1"/>
  <c r="F156" i="33"/>
  <c r="H97" i="33"/>
  <c r="J97" i="33" s="1"/>
  <c r="H111" i="33"/>
  <c r="J111" i="33" s="1"/>
  <c r="N77" i="26"/>
  <c r="H140" i="33"/>
  <c r="H109" i="33"/>
  <c r="J109" i="33" s="1"/>
  <c r="I111" i="26"/>
  <c r="H160" i="33"/>
  <c r="J160" i="33" s="1"/>
  <c r="H108" i="33"/>
  <c r="J108" i="33" s="1"/>
  <c r="H113" i="26"/>
  <c r="N111" i="26"/>
  <c r="N274" i="26"/>
  <c r="L111" i="26"/>
  <c r="H121" i="33"/>
  <c r="J121" i="33" s="1"/>
  <c r="K102" i="26"/>
  <c r="F151" i="33"/>
  <c r="H151" i="33" s="1"/>
  <c r="J151" i="33" s="1"/>
  <c r="L183" i="26"/>
  <c r="P81" i="26"/>
  <c r="N189" i="26"/>
  <c r="J104" i="26"/>
  <c r="K110" i="26"/>
  <c r="H102" i="26"/>
  <c r="N236" i="26"/>
  <c r="I183" i="26"/>
  <c r="J102" i="26"/>
  <c r="O102" i="26"/>
  <c r="M102" i="26"/>
  <c r="M103" i="26"/>
  <c r="N183" i="26"/>
  <c r="M255" i="26"/>
  <c r="L236" i="26"/>
  <c r="N243" i="26"/>
  <c r="I77" i="26"/>
  <c r="J236" i="26"/>
  <c r="O103" i="26"/>
  <c r="I103" i="26"/>
  <c r="K103" i="26"/>
  <c r="P113" i="26"/>
  <c r="L103" i="26"/>
  <c r="J77" i="26"/>
  <c r="K77" i="26"/>
  <c r="F139" i="33"/>
  <c r="H139" i="33" s="1"/>
  <c r="J139" i="33" s="1"/>
  <c r="N103" i="26"/>
  <c r="I113" i="26"/>
  <c r="L113" i="26"/>
  <c r="O77" i="26"/>
  <c r="O167" i="26"/>
  <c r="H103" i="26"/>
  <c r="P103" i="26"/>
  <c r="F249" i="33"/>
  <c r="H249" i="33" s="1"/>
  <c r="J249" i="33" s="1"/>
  <c r="P233" i="26"/>
  <c r="O285" i="26"/>
  <c r="K124" i="26"/>
  <c r="P120" i="26"/>
  <c r="N190" i="26"/>
  <c r="M190" i="26"/>
  <c r="H176" i="26"/>
  <c r="L87" i="26"/>
  <c r="M185" i="26"/>
  <c r="O87" i="26"/>
  <c r="I110" i="26"/>
  <c r="N110" i="26"/>
  <c r="G125" i="26"/>
  <c r="K125" i="26" s="1"/>
  <c r="M120" i="26"/>
  <c r="J110" i="26"/>
  <c r="L124" i="26"/>
  <c r="AG30" i="25"/>
  <c r="AG31" i="25" s="1"/>
  <c r="AG43" i="25" s="1"/>
  <c r="K81" i="26"/>
  <c r="L104" i="26"/>
  <c r="AG50" i="25"/>
  <c r="AG52" i="25" s="1" a="1"/>
  <c r="AG52" i="25" s="1"/>
  <c r="AG55" i="25" s="1"/>
  <c r="M234" i="26"/>
  <c r="P285" i="26"/>
  <c r="F234" i="33"/>
  <c r="H234" i="33" s="1"/>
  <c r="J234" i="33" s="1"/>
  <c r="K185" i="26"/>
  <c r="K234" i="26"/>
  <c r="L285" i="26"/>
  <c r="O185" i="26"/>
  <c r="J175" i="26"/>
  <c r="M110" i="26"/>
  <c r="P183" i="26"/>
  <c r="I250" i="26"/>
  <c r="H245" i="26"/>
  <c r="H89" i="26"/>
  <c r="L274" i="26"/>
  <c r="H274" i="26"/>
  <c r="O104" i="26"/>
  <c r="P250" i="26"/>
  <c r="J89" i="26"/>
  <c r="P87" i="26"/>
  <c r="F120" i="33"/>
  <c r="H120" i="33" s="1"/>
  <c r="J120" i="33" s="1"/>
  <c r="N104" i="26"/>
  <c r="J167" i="26"/>
  <c r="U50" i="25"/>
  <c r="U52" i="25" s="1" a="1"/>
  <c r="U52" i="25" s="1"/>
  <c r="O190" i="26"/>
  <c r="L243" i="26"/>
  <c r="H87" i="26"/>
  <c r="O110" i="26"/>
  <c r="P104" i="26"/>
  <c r="F145" i="33"/>
  <c r="H145" i="33" s="1"/>
  <c r="J145" i="33" s="1"/>
  <c r="U59" i="25"/>
  <c r="H190" i="26"/>
  <c r="H167" i="26"/>
  <c r="M87" i="26"/>
  <c r="K87" i="26"/>
  <c r="P110" i="26"/>
  <c r="M167" i="26"/>
  <c r="G258" i="26"/>
  <c r="I258" i="26" s="1"/>
  <c r="N258" i="26" s="1"/>
  <c r="O258" i="26" s="1"/>
  <c r="K104" i="26"/>
  <c r="J243" i="26"/>
  <c r="H110" i="26"/>
  <c r="H104" i="26"/>
  <c r="P167" i="26"/>
  <c r="I104" i="26"/>
  <c r="L176" i="26"/>
  <c r="J87" i="26"/>
  <c r="N87" i="26"/>
  <c r="J120" i="26"/>
  <c r="O120" i="26"/>
  <c r="K236" i="26"/>
  <c r="M119" i="26"/>
  <c r="N113" i="26"/>
  <c r="P267" i="26"/>
  <c r="L267" i="26"/>
  <c r="P245" i="26"/>
  <c r="L119" i="26"/>
  <c r="I170" i="26"/>
  <c r="H331" i="33"/>
  <c r="J331" i="33" s="1"/>
  <c r="N119" i="26"/>
  <c r="O245" i="26"/>
  <c r="I119" i="26"/>
  <c r="H267" i="26"/>
  <c r="O267" i="26"/>
  <c r="K245" i="26"/>
  <c r="P89" i="26"/>
  <c r="J113" i="26"/>
  <c r="P236" i="26"/>
  <c r="M267" i="26"/>
  <c r="O188" i="26"/>
  <c r="N188" i="26"/>
  <c r="P119" i="26"/>
  <c r="K267" i="26"/>
  <c r="I193" i="26"/>
  <c r="N193" i="26" s="1"/>
  <c r="O193" i="26" s="1"/>
  <c r="H318" i="33"/>
  <c r="J318" i="33" s="1"/>
  <c r="F357" i="33"/>
  <c r="H357" i="33" s="1"/>
  <c r="J357" i="33" s="1"/>
  <c r="M189" i="26"/>
  <c r="N233" i="26"/>
  <c r="F326" i="33"/>
  <c r="H326" i="33" s="1"/>
  <c r="J326" i="33" s="1"/>
  <c r="K113" i="26"/>
  <c r="M77" i="26"/>
  <c r="P70" i="26"/>
  <c r="N169" i="26"/>
  <c r="P189" i="26"/>
  <c r="M243" i="26"/>
  <c r="O113" i="26"/>
  <c r="P77" i="26"/>
  <c r="J290" i="26"/>
  <c r="O169" i="26"/>
  <c r="L81" i="26"/>
  <c r="P286" i="26"/>
  <c r="M244" i="26"/>
  <c r="AG59" i="25"/>
  <c r="AG66" i="25"/>
  <c r="AG102" i="25" s="1"/>
  <c r="AG104" i="25" s="1"/>
  <c r="AG105" i="25" s="1"/>
  <c r="AG106" i="25" s="1"/>
  <c r="AG111" i="25" s="1"/>
  <c r="H81" i="26"/>
  <c r="K244" i="26"/>
  <c r="N81" i="26"/>
  <c r="J267" i="26"/>
  <c r="N244" i="26"/>
  <c r="I286" i="26"/>
  <c r="K169" i="26"/>
  <c r="J185" i="26"/>
  <c r="J81" i="26"/>
  <c r="N286" i="26"/>
  <c r="J286" i="26"/>
  <c r="P170" i="26"/>
  <c r="L175" i="26"/>
  <c r="M170" i="26"/>
  <c r="H175" i="26"/>
  <c r="N170" i="26"/>
  <c r="O175" i="26"/>
  <c r="M169" i="26"/>
  <c r="J169" i="26"/>
  <c r="L170" i="26"/>
  <c r="O67" i="25" a="1"/>
  <c r="O67" i="25" s="1"/>
  <c r="O69" i="25" s="1"/>
  <c r="H23" i="39" s="1"/>
  <c r="K240" i="26"/>
  <c r="H256" i="26"/>
  <c r="J240" i="26"/>
  <c r="H256" i="33"/>
  <c r="J256" i="33" s="1"/>
  <c r="F364" i="33"/>
  <c r="H364" i="33" s="1"/>
  <c r="J364" i="33" s="1"/>
  <c r="L240" i="26"/>
  <c r="P175" i="26"/>
  <c r="J232" i="26"/>
  <c r="I232" i="26"/>
  <c r="H315" i="33"/>
  <c r="J315" i="33" s="1"/>
  <c r="O274" i="26"/>
  <c r="K167" i="26"/>
  <c r="K183" i="26"/>
  <c r="I274" i="26"/>
  <c r="H328" i="33"/>
  <c r="J328" i="33" s="1"/>
  <c r="I269" i="26"/>
  <c r="L168" i="26"/>
  <c r="H334" i="33"/>
  <c r="J334" i="33" s="1"/>
  <c r="P269" i="26"/>
  <c r="H343" i="33"/>
  <c r="J343" i="33" s="1"/>
  <c r="M274" i="26"/>
  <c r="M183" i="26"/>
  <c r="H183" i="26"/>
  <c r="M245" i="26"/>
  <c r="K168" i="26"/>
  <c r="K188" i="26"/>
  <c r="L136" i="26"/>
  <c r="H327" i="33"/>
  <c r="J327" i="33" s="1"/>
  <c r="P88" i="26"/>
  <c r="F119" i="33"/>
  <c r="H119" i="33" s="1"/>
  <c r="J119" i="33" s="1"/>
  <c r="L284" i="26"/>
  <c r="J92" i="26"/>
  <c r="P118" i="26"/>
  <c r="F162" i="33"/>
  <c r="H162" i="33" s="1"/>
  <c r="J162" i="33" s="1"/>
  <c r="P168" i="26"/>
  <c r="O118" i="26"/>
  <c r="H319" i="33"/>
  <c r="J319" i="33" s="1"/>
  <c r="O119" i="26"/>
  <c r="H92" i="26"/>
  <c r="N118" i="26"/>
  <c r="J118" i="26"/>
  <c r="H118" i="26"/>
  <c r="L118" i="26"/>
  <c r="G126" i="26"/>
  <c r="I126" i="26" s="1"/>
  <c r="N126" i="26" s="1"/>
  <c r="O126" i="26" s="1"/>
  <c r="H330" i="33"/>
  <c r="J330" i="33" s="1"/>
  <c r="H340" i="33"/>
  <c r="J340" i="33" s="1"/>
  <c r="O81" i="26"/>
  <c r="I81" i="26"/>
  <c r="M118" i="26"/>
  <c r="F228" i="33"/>
  <c r="O269" i="26"/>
  <c r="I118" i="26"/>
  <c r="M168" i="26"/>
  <c r="L273" i="26"/>
  <c r="O183" i="26"/>
  <c r="M233" i="26"/>
  <c r="O288" i="26"/>
  <c r="K288" i="26"/>
  <c r="I288" i="26"/>
  <c r="J288" i="26"/>
  <c r="M288" i="26"/>
  <c r="N288" i="26"/>
  <c r="L288" i="26"/>
  <c r="I244" i="26"/>
  <c r="F125" i="33"/>
  <c r="M80" i="26"/>
  <c r="K136" i="26"/>
  <c r="K269" i="26"/>
  <c r="J269" i="26"/>
  <c r="N80" i="26"/>
  <c r="H268" i="26"/>
  <c r="L268" i="26"/>
  <c r="F329" i="33"/>
  <c r="M269" i="26"/>
  <c r="L244" i="26"/>
  <c r="O244" i="26"/>
  <c r="L269" i="26"/>
  <c r="P244" i="26"/>
  <c r="N269" i="26"/>
  <c r="H244" i="26"/>
  <c r="I92" i="26"/>
  <c r="F382" i="33"/>
  <c r="H382" i="33" s="1"/>
  <c r="J382" i="33" s="1"/>
  <c r="I55" i="26"/>
  <c r="H286" i="26"/>
  <c r="O257" i="26"/>
  <c r="O252" i="26"/>
  <c r="I167" i="26"/>
  <c r="I240" i="26"/>
  <c r="M178" i="26"/>
  <c r="I234" i="26"/>
  <c r="L232" i="26"/>
  <c r="N285" i="26"/>
  <c r="L77" i="26"/>
  <c r="I285" i="26"/>
  <c r="J70" i="26"/>
  <c r="N167" i="26"/>
  <c r="J170" i="26"/>
  <c r="O170" i="26"/>
  <c r="O232" i="26"/>
  <c r="K243" i="26"/>
  <c r="J76" i="26"/>
  <c r="K285" i="26"/>
  <c r="N120" i="26"/>
  <c r="M70" i="26"/>
  <c r="P276" i="26"/>
  <c r="F227" i="33"/>
  <c r="H227" i="33" s="1"/>
  <c r="J227" i="33" s="1"/>
  <c r="H170" i="26"/>
  <c r="L266" i="26"/>
  <c r="O286" i="26"/>
  <c r="J168" i="26"/>
  <c r="I243" i="26"/>
  <c r="H243" i="26"/>
  <c r="L234" i="26"/>
  <c r="K176" i="26"/>
  <c r="L79" i="26"/>
  <c r="H77" i="26"/>
  <c r="K286" i="26"/>
  <c r="J234" i="26"/>
  <c r="F239" i="33"/>
  <c r="H239" i="33" s="1"/>
  <c r="J239" i="33" s="1"/>
  <c r="F381" i="33"/>
  <c r="H381" i="33" s="1"/>
  <c r="J381" i="33" s="1"/>
  <c r="P184" i="26"/>
  <c r="N168" i="26"/>
  <c r="J184" i="26"/>
  <c r="F251" i="33"/>
  <c r="H251" i="33" s="1"/>
  <c r="J251" i="33" s="1"/>
  <c r="J189" i="26"/>
  <c r="H189" i="26"/>
  <c r="O89" i="26"/>
  <c r="L76" i="26"/>
  <c r="N253" i="26"/>
  <c r="K184" i="26"/>
  <c r="I184" i="26"/>
  <c r="H185" i="26"/>
  <c r="P190" i="26"/>
  <c r="N89" i="26"/>
  <c r="O55" i="26"/>
  <c r="M273" i="26"/>
  <c r="H70" i="26"/>
  <c r="O184" i="26"/>
  <c r="L184" i="26"/>
  <c r="K189" i="26"/>
  <c r="I189" i="26"/>
  <c r="I185" i="26"/>
  <c r="N140" i="26"/>
  <c r="H187" i="26"/>
  <c r="J55" i="26"/>
  <c r="F75" i="33"/>
  <c r="H75" i="33" s="1"/>
  <c r="J75" i="33" s="1"/>
  <c r="K76" i="26"/>
  <c r="F94" i="33"/>
  <c r="H94" i="33" s="1"/>
  <c r="J94" i="33" s="1"/>
  <c r="O189" i="26"/>
  <c r="O255" i="26"/>
  <c r="N255" i="26"/>
  <c r="O173" i="26"/>
  <c r="I253" i="26"/>
  <c r="P76" i="26"/>
  <c r="F98" i="33"/>
  <c r="H98" i="33" s="1"/>
  <c r="J98" i="33" s="1"/>
  <c r="L255" i="26"/>
  <c r="P255" i="26"/>
  <c r="L190" i="26"/>
  <c r="K55" i="26"/>
  <c r="M55" i="26"/>
  <c r="H76" i="26"/>
  <c r="L189" i="26"/>
  <c r="I173" i="26"/>
  <c r="M184" i="26"/>
  <c r="N184" i="26"/>
  <c r="J255" i="26"/>
  <c r="K89" i="26"/>
  <c r="J140" i="26"/>
  <c r="L55" i="26"/>
  <c r="L185" i="26"/>
  <c r="K190" i="26"/>
  <c r="H168" i="26"/>
  <c r="K253" i="26"/>
  <c r="O49" i="25"/>
  <c r="O51" i="25" s="1" a="1"/>
  <c r="O51" i="25" s="1"/>
  <c r="O54" i="25" s="1"/>
  <c r="L70" i="26"/>
  <c r="P91" i="26"/>
  <c r="P173" i="26"/>
  <c r="F250" i="33"/>
  <c r="H250" i="33" s="1"/>
  <c r="J250" i="33" s="1"/>
  <c r="N185" i="26"/>
  <c r="I190" i="26"/>
  <c r="K255" i="26"/>
  <c r="F257" i="33"/>
  <c r="I140" i="26"/>
  <c r="J233" i="26"/>
  <c r="I76" i="26"/>
  <c r="O39" i="25"/>
  <c r="L120" i="26"/>
  <c r="J253" i="26"/>
  <c r="L173" i="26"/>
  <c r="N108" i="26"/>
  <c r="N173" i="26"/>
  <c r="K173" i="26"/>
  <c r="M108" i="26"/>
  <c r="M109" i="26"/>
  <c r="K108" i="26"/>
  <c r="J173" i="26"/>
  <c r="M173" i="26"/>
  <c r="K273" i="26"/>
  <c r="P268" i="26"/>
  <c r="O108" i="26"/>
  <c r="F314" i="33"/>
  <c r="H314" i="33" s="1"/>
  <c r="J314" i="33" s="1"/>
  <c r="N273" i="26"/>
  <c r="N268" i="26"/>
  <c r="I108" i="26"/>
  <c r="H39" i="26"/>
  <c r="J108" i="26"/>
  <c r="H108" i="26"/>
  <c r="J268" i="26"/>
  <c r="F358" i="33"/>
  <c r="H358" i="33" s="1"/>
  <c r="J358" i="33" s="1"/>
  <c r="I39" i="26"/>
  <c r="L108" i="26"/>
  <c r="I273" i="26"/>
  <c r="P39" i="26"/>
  <c r="H273" i="26"/>
  <c r="P108" i="26"/>
  <c r="O268" i="26"/>
  <c r="L39" i="26"/>
  <c r="F360" i="33"/>
  <c r="H360" i="33" s="1"/>
  <c r="J360" i="33" s="1"/>
  <c r="K268" i="26"/>
  <c r="AA30" i="25"/>
  <c r="AA31" i="25" s="1"/>
  <c r="AA45" i="25" s="1"/>
  <c r="F369" i="33"/>
  <c r="H369" i="33" s="1"/>
  <c r="J369" i="33" s="1"/>
  <c r="J49" i="26"/>
  <c r="L88" i="26"/>
  <c r="M236" i="26"/>
  <c r="H288" i="26"/>
  <c r="K88" i="26"/>
  <c r="P288" i="26"/>
  <c r="AA39" i="25"/>
  <c r="L276" i="26"/>
  <c r="I168" i="26"/>
  <c r="K276" i="26"/>
  <c r="O284" i="26"/>
  <c r="I294" i="26"/>
  <c r="N294" i="26" s="1"/>
  <c r="O294" i="26" s="1"/>
  <c r="K40" i="26"/>
  <c r="I169" i="26"/>
  <c r="O234" i="26"/>
  <c r="L188" i="26"/>
  <c r="J39" i="26"/>
  <c r="O39" i="26"/>
  <c r="I284" i="26"/>
  <c r="AY67" i="25" a="1"/>
  <c r="AY67" i="25" s="1"/>
  <c r="AY69" i="25" s="1"/>
  <c r="N23" i="39" s="1"/>
  <c r="J105" i="26"/>
  <c r="N71" i="26"/>
  <c r="L91" i="26"/>
  <c r="H105" i="26"/>
  <c r="K91" i="26"/>
  <c r="F123" i="33"/>
  <c r="H123" i="33" s="1"/>
  <c r="J123" i="33" s="1"/>
  <c r="M39" i="26"/>
  <c r="P169" i="26"/>
  <c r="P140" i="26"/>
  <c r="P253" i="26"/>
  <c r="N39" i="26"/>
  <c r="K39" i="26"/>
  <c r="M105" i="26"/>
  <c r="N91" i="26"/>
  <c r="AG67" i="25" a="1"/>
  <c r="AG67" i="25" s="1"/>
  <c r="AG69" i="25" s="1"/>
  <c r="K23" i="39" s="1"/>
  <c r="AG49" i="25"/>
  <c r="AG51" i="25" s="1" a="1"/>
  <c r="AG51" i="25" s="1"/>
  <c r="AG54" i="25" s="1"/>
  <c r="L169" i="26"/>
  <c r="I252" i="26"/>
  <c r="F189" i="33"/>
  <c r="H189" i="33" s="1"/>
  <c r="J189" i="33" s="1"/>
  <c r="N88" i="26"/>
  <c r="J284" i="26"/>
  <c r="I290" i="26"/>
  <c r="L105" i="26"/>
  <c r="O105" i="26"/>
  <c r="M91" i="26"/>
  <c r="O253" i="26"/>
  <c r="AG39" i="25"/>
  <c r="H169" i="26"/>
  <c r="J252" i="26"/>
  <c r="M253" i="26"/>
  <c r="H284" i="26"/>
  <c r="F146" i="33"/>
  <c r="H146" i="33" s="1"/>
  <c r="J146" i="33" s="1"/>
  <c r="H86" i="26"/>
  <c r="N109" i="26"/>
  <c r="I109" i="26"/>
  <c r="J72" i="26"/>
  <c r="U66" i="25"/>
  <c r="U102" i="25" s="1"/>
  <c r="U104" i="25" s="1"/>
  <c r="U105" i="25" s="1"/>
  <c r="U106" i="25" s="1"/>
  <c r="U111" i="25" s="1"/>
  <c r="I135" i="26"/>
  <c r="O79" i="26"/>
  <c r="K279" i="26"/>
  <c r="I40" i="26"/>
  <c r="J86" i="26"/>
  <c r="O80" i="26"/>
  <c r="K270" i="26"/>
  <c r="L78" i="26"/>
  <c r="K78" i="26"/>
  <c r="O187" i="26"/>
  <c r="I79" i="26"/>
  <c r="J78" i="26"/>
  <c r="H109" i="26"/>
  <c r="U67" i="25" a="1"/>
  <c r="U67" i="25" s="1"/>
  <c r="U69" i="25" s="1"/>
  <c r="I23" i="39" s="1"/>
  <c r="K257" i="26"/>
  <c r="O251" i="26"/>
  <c r="J79" i="26"/>
  <c r="L40" i="26"/>
  <c r="P86" i="26"/>
  <c r="K109" i="26"/>
  <c r="P256" i="26"/>
  <c r="M251" i="26"/>
  <c r="L174" i="26"/>
  <c r="O86" i="26"/>
  <c r="F117" i="33"/>
  <c r="H117" i="33" s="1"/>
  <c r="J117" i="33" s="1"/>
  <c r="J80" i="26"/>
  <c r="P78" i="26"/>
  <c r="U49" i="25"/>
  <c r="U51" i="25" s="1" a="1"/>
  <c r="U51" i="25" s="1"/>
  <c r="U54" i="25" s="1"/>
  <c r="F144" i="33"/>
  <c r="H144" i="33" s="1"/>
  <c r="J144" i="33" s="1"/>
  <c r="J251" i="26"/>
  <c r="K79" i="26"/>
  <c r="N78" i="26"/>
  <c r="H270" i="26"/>
  <c r="L109" i="26"/>
  <c r="U30" i="25"/>
  <c r="U31" i="25" s="1"/>
  <c r="U43" i="25" s="1"/>
  <c r="N79" i="26"/>
  <c r="I270" i="26"/>
  <c r="L270" i="26"/>
  <c r="I91" i="26"/>
  <c r="O91" i="26"/>
  <c r="J91" i="26"/>
  <c r="M79" i="26"/>
  <c r="P79" i="26"/>
  <c r="F128" i="33"/>
  <c r="H128" i="33" s="1"/>
  <c r="J128" i="33" s="1"/>
  <c r="N279" i="26"/>
  <c r="F374" i="33"/>
  <c r="N86" i="26"/>
  <c r="O270" i="26"/>
  <c r="J270" i="26"/>
  <c r="J109" i="26"/>
  <c r="I86" i="26"/>
  <c r="M86" i="26"/>
  <c r="N270" i="26"/>
  <c r="I78" i="26"/>
  <c r="O109" i="26"/>
  <c r="U39" i="25"/>
  <c r="L257" i="26"/>
  <c r="G94" i="26"/>
  <c r="H79" i="26"/>
  <c r="K86" i="26"/>
  <c r="L286" i="26"/>
  <c r="O78" i="26"/>
  <c r="M72" i="26"/>
  <c r="M175" i="26"/>
  <c r="P176" i="26"/>
  <c r="H188" i="26"/>
  <c r="O59" i="25"/>
  <c r="H276" i="26"/>
  <c r="P284" i="26"/>
  <c r="N239" i="26"/>
  <c r="M270" i="26"/>
  <c r="O290" i="26"/>
  <c r="J71" i="26"/>
  <c r="I89" i="26"/>
  <c r="H71" i="26"/>
  <c r="K175" i="26"/>
  <c r="N232" i="26"/>
  <c r="P232" i="26"/>
  <c r="P188" i="26"/>
  <c r="K140" i="26"/>
  <c r="M252" i="26"/>
  <c r="P274" i="26"/>
  <c r="H240" i="26"/>
  <c r="O66" i="25"/>
  <c r="K284" i="26"/>
  <c r="I105" i="26"/>
  <c r="N278" i="26"/>
  <c r="M71" i="26"/>
  <c r="M232" i="26"/>
  <c r="J176" i="26"/>
  <c r="K252" i="26"/>
  <c r="J274" i="26"/>
  <c r="O50" i="25"/>
  <c r="O52" i="25" s="1" a="1"/>
  <c r="O52" i="25" s="1"/>
  <c r="O55" i="25" s="1"/>
  <c r="M276" i="26"/>
  <c r="I266" i="26"/>
  <c r="N284" i="26"/>
  <c r="M284" i="26"/>
  <c r="H290" i="26"/>
  <c r="F238" i="33"/>
  <c r="H238" i="33" s="1"/>
  <c r="J238" i="33" s="1"/>
  <c r="L187" i="26"/>
  <c r="K274" i="26"/>
  <c r="K174" i="26"/>
  <c r="F313" i="33"/>
  <c r="H313" i="33" s="1"/>
  <c r="J313" i="33" s="1"/>
  <c r="M92" i="26"/>
  <c r="O30" i="25"/>
  <c r="O31" i="25" s="1"/>
  <c r="P80" i="26"/>
  <c r="I268" i="26"/>
  <c r="I255" i="26"/>
  <c r="I257" i="26"/>
  <c r="F342" i="33"/>
  <c r="H342" i="33" s="1"/>
  <c r="J342" i="33" s="1"/>
  <c r="K145" i="26"/>
  <c r="I145" i="26"/>
  <c r="F63" i="33"/>
  <c r="H63" i="33" s="1"/>
  <c r="J63" i="33" s="1"/>
  <c r="AA66" i="25"/>
  <c r="AA70" i="25" s="1"/>
  <c r="AA71" i="25" s="1"/>
  <c r="AA72" i="25" s="1"/>
  <c r="AA77" i="25" s="1"/>
  <c r="O92" i="26"/>
  <c r="G292" i="26"/>
  <c r="K71" i="26"/>
  <c r="P290" i="26"/>
  <c r="L89" i="26"/>
  <c r="H140" i="26"/>
  <c r="H55" i="26"/>
  <c r="H174" i="26"/>
  <c r="P47" i="26"/>
  <c r="H80" i="26"/>
  <c r="L80" i="26"/>
  <c r="I278" i="26"/>
  <c r="P273" i="26"/>
  <c r="O273" i="26"/>
  <c r="M49" i="26"/>
  <c r="H53" i="33"/>
  <c r="J53" i="33" s="1"/>
  <c r="P143" i="26"/>
  <c r="P71" i="26"/>
  <c r="L71" i="26"/>
  <c r="H257" i="26"/>
  <c r="I188" i="26"/>
  <c r="M145" i="26"/>
  <c r="P135" i="26"/>
  <c r="N55" i="26"/>
  <c r="J137" i="26"/>
  <c r="O71" i="26"/>
  <c r="H145" i="26"/>
  <c r="O145" i="26"/>
  <c r="M140" i="26"/>
  <c r="K46" i="26"/>
  <c r="I174" i="26"/>
  <c r="I49" i="26"/>
  <c r="M279" i="26"/>
  <c r="I120" i="26"/>
  <c r="K80" i="26"/>
  <c r="I71" i="26"/>
  <c r="F388" i="33"/>
  <c r="G291" i="26"/>
  <c r="AA50" i="25"/>
  <c r="AA52" i="25" s="1" a="1"/>
  <c r="AA52" i="25" s="1"/>
  <c r="AA55" i="25" s="1"/>
  <c r="N57" i="26"/>
  <c r="H54" i="33"/>
  <c r="J54" i="33" s="1"/>
  <c r="K290" i="26"/>
  <c r="J144" i="26"/>
  <c r="L278" i="26"/>
  <c r="I72" i="26"/>
  <c r="M257" i="26"/>
  <c r="J257" i="26"/>
  <c r="O240" i="26"/>
  <c r="H266" i="26"/>
  <c r="L72" i="26"/>
  <c r="P57" i="26"/>
  <c r="N70" i="26"/>
  <c r="P72" i="26"/>
  <c r="F100" i="33"/>
  <c r="H100" i="33" s="1"/>
  <c r="J100" i="33" s="1"/>
  <c r="K70" i="26"/>
  <c r="K72" i="26"/>
  <c r="F344" i="33"/>
  <c r="N136" i="26"/>
  <c r="H72" i="26"/>
  <c r="N257" i="26"/>
  <c r="M240" i="26"/>
  <c r="N266" i="26"/>
  <c r="AY39" i="25"/>
  <c r="N72" i="26"/>
  <c r="P240" i="26"/>
  <c r="O266" i="26"/>
  <c r="O70" i="26"/>
  <c r="I256" i="26"/>
  <c r="I80" i="26"/>
  <c r="G93" i="26"/>
  <c r="N92" i="26"/>
  <c r="L92" i="26"/>
  <c r="K92" i="26"/>
  <c r="L152" i="26"/>
  <c r="H285" i="26"/>
  <c r="K256" i="26"/>
  <c r="M57" i="26"/>
  <c r="M285" i="26"/>
  <c r="K57" i="26"/>
  <c r="F85" i="33"/>
  <c r="H85" i="33" s="1"/>
  <c r="J85" i="33" s="1"/>
  <c r="H242" i="33"/>
  <c r="J242" i="33" s="1"/>
  <c r="J256" i="26"/>
  <c r="O233" i="26"/>
  <c r="P153" i="26"/>
  <c r="I235" i="26"/>
  <c r="K178" i="26"/>
  <c r="K153" i="26"/>
  <c r="P56" i="26"/>
  <c r="O56" i="26"/>
  <c r="H56" i="26"/>
  <c r="I56" i="26"/>
  <c r="M56" i="26"/>
  <c r="F76" i="33"/>
  <c r="H76" i="33" s="1"/>
  <c r="J76" i="33" s="1"/>
  <c r="L56" i="26"/>
  <c r="N56" i="26"/>
  <c r="K56" i="26"/>
  <c r="J56" i="26"/>
  <c r="F122" i="33"/>
  <c r="H122" i="33" s="1"/>
  <c r="J122" i="33" s="1"/>
  <c r="H90" i="26"/>
  <c r="K90" i="26"/>
  <c r="M90" i="26"/>
  <c r="N90" i="26"/>
  <c r="O90" i="26"/>
  <c r="L90" i="26"/>
  <c r="P90" i="26"/>
  <c r="I90" i="26"/>
  <c r="J90" i="26"/>
  <c r="L178" i="26"/>
  <c r="M235" i="26"/>
  <c r="H243" i="33"/>
  <c r="J243" i="33" s="1"/>
  <c r="H241" i="33"/>
  <c r="J241" i="33" s="1"/>
  <c r="J153" i="26"/>
  <c r="H155" i="26"/>
  <c r="O88" i="26"/>
  <c r="I88" i="26"/>
  <c r="M88" i="26"/>
  <c r="H88" i="26"/>
  <c r="O178" i="26"/>
  <c r="H228" i="33"/>
  <c r="J228" i="33" s="1"/>
  <c r="I178" i="26"/>
  <c r="K235" i="26"/>
  <c r="H244" i="33"/>
  <c r="J244" i="33" s="1"/>
  <c r="J135" i="26"/>
  <c r="L137" i="26"/>
  <c r="N174" i="26"/>
  <c r="AY49" i="25"/>
  <c r="AY51" i="25" s="1" a="1"/>
  <c r="AY51" i="25" s="1"/>
  <c r="AY54" i="25" s="1"/>
  <c r="N112" i="26"/>
  <c r="K112" i="26"/>
  <c r="H112" i="26"/>
  <c r="J112" i="26"/>
  <c r="P112" i="26"/>
  <c r="L112" i="26"/>
  <c r="I112" i="26"/>
  <c r="M112" i="26"/>
  <c r="O112" i="26"/>
  <c r="F155" i="33"/>
  <c r="F106" i="33"/>
  <c r="H106" i="33" s="1"/>
  <c r="J106" i="33" s="1"/>
  <c r="H78" i="26"/>
  <c r="P105" i="26"/>
  <c r="N105" i="26"/>
  <c r="O256" i="26"/>
  <c r="F230" i="33"/>
  <c r="H230" i="33" s="1"/>
  <c r="J230" i="33" s="1"/>
  <c r="N178" i="26"/>
  <c r="O235" i="26"/>
  <c r="H231" i="33"/>
  <c r="J231" i="33" s="1"/>
  <c r="I153" i="26"/>
  <c r="G191" i="26"/>
  <c r="F259" i="33" s="1"/>
  <c r="H259" i="33" s="1"/>
  <c r="J259" i="33" s="1"/>
  <c r="P178" i="26"/>
  <c r="J235" i="26"/>
  <c r="P174" i="26"/>
  <c r="J174" i="26"/>
  <c r="N142" i="26"/>
  <c r="J178" i="26"/>
  <c r="H253" i="33"/>
  <c r="J253" i="33" s="1"/>
  <c r="H135" i="26"/>
  <c r="O174" i="26"/>
  <c r="O153" i="26"/>
  <c r="H232" i="33"/>
  <c r="J232" i="33" s="1"/>
  <c r="H239" i="26"/>
  <c r="L239" i="26"/>
  <c r="N76" i="26"/>
  <c r="M76" i="26"/>
  <c r="L235" i="26"/>
  <c r="H247" i="33"/>
  <c r="J247" i="33" s="1"/>
  <c r="F206" i="33"/>
  <c r="H206" i="33" s="1"/>
  <c r="J206" i="33" s="1"/>
  <c r="H178" i="26"/>
  <c r="N235" i="26"/>
  <c r="BA66" i="25"/>
  <c r="AY102" i="25"/>
  <c r="AY104" i="25" s="1"/>
  <c r="AY105" i="25" s="1"/>
  <c r="AY106" i="25" s="1"/>
  <c r="AY111" i="25" s="1"/>
  <c r="AY70" i="25"/>
  <c r="AY71" i="25" s="1"/>
  <c r="AY72" i="25" s="1"/>
  <c r="AY77" i="25" s="1"/>
  <c r="N187" i="26"/>
  <c r="I57" i="26"/>
  <c r="H49" i="26"/>
  <c r="I152" i="26"/>
  <c r="I48" i="26"/>
  <c r="M266" i="26"/>
  <c r="K239" i="26"/>
  <c r="H57" i="26"/>
  <c r="H137" i="26"/>
  <c r="M153" i="26"/>
  <c r="AY50" i="25"/>
  <c r="AY52" i="25" s="1" a="1"/>
  <c r="AY52" i="25" s="1"/>
  <c r="AY30" i="25"/>
  <c r="AY31" i="25" s="1"/>
  <c r="K62" i="34"/>
  <c r="I279" i="26"/>
  <c r="H279" i="26"/>
  <c r="O279" i="26"/>
  <c r="L279" i="26"/>
  <c r="P277" i="26"/>
  <c r="O277" i="26"/>
  <c r="I277" i="26"/>
  <c r="H277" i="26"/>
  <c r="K277" i="26"/>
  <c r="M277" i="26"/>
  <c r="J277" i="26"/>
  <c r="F370" i="33"/>
  <c r="H370" i="33" s="1"/>
  <c r="J370" i="33" s="1"/>
  <c r="N277" i="26"/>
  <c r="L277" i="26"/>
  <c r="K58" i="26"/>
  <c r="K278" i="26"/>
  <c r="F373" i="33"/>
  <c r="P278" i="26"/>
  <c r="J278" i="26"/>
  <c r="F200" i="33"/>
  <c r="O57" i="26"/>
  <c r="M256" i="26"/>
  <c r="P279" i="26"/>
  <c r="L153" i="26"/>
  <c r="P266" i="26"/>
  <c r="J266" i="26"/>
  <c r="M143" i="26"/>
  <c r="O278" i="26"/>
  <c r="AY59" i="25"/>
  <c r="M239" i="26"/>
  <c r="M278" i="26"/>
  <c r="F386" i="33"/>
  <c r="H386" i="33" s="1"/>
  <c r="J386" i="33" s="1"/>
  <c r="J289" i="26"/>
  <c r="O289" i="26"/>
  <c r="N289" i="26"/>
  <c r="K289" i="26"/>
  <c r="M289" i="26"/>
  <c r="P289" i="26"/>
  <c r="I289" i="26"/>
  <c r="H289" i="26"/>
  <c r="L289" i="26"/>
  <c r="L253" i="26"/>
  <c r="I144" i="26"/>
  <c r="K266" i="26"/>
  <c r="J58" i="26"/>
  <c r="J276" i="26"/>
  <c r="I276" i="26"/>
  <c r="O276" i="26"/>
  <c r="I287" i="26"/>
  <c r="P287" i="26"/>
  <c r="J287" i="26"/>
  <c r="H287" i="26"/>
  <c r="K287" i="26"/>
  <c r="F383" i="33"/>
  <c r="H383" i="33" s="1"/>
  <c r="J383" i="33" s="1"/>
  <c r="N287" i="26"/>
  <c r="O287" i="26"/>
  <c r="L287" i="26"/>
  <c r="M287" i="26"/>
  <c r="P257" i="26"/>
  <c r="P251" i="26"/>
  <c r="L140" i="26"/>
  <c r="I187" i="26"/>
  <c r="L135" i="26"/>
  <c r="P145" i="26"/>
  <c r="L46" i="26"/>
  <c r="O150" i="26"/>
  <c r="L150" i="26"/>
  <c r="L233" i="26"/>
  <c r="I233" i="26"/>
  <c r="H233" i="26"/>
  <c r="H134" i="26"/>
  <c r="I137" i="26"/>
  <c r="H67" i="33"/>
  <c r="J67" i="33" s="1"/>
  <c r="F255" i="33"/>
  <c r="H255" i="33" s="1"/>
  <c r="J255" i="33" s="1"/>
  <c r="H58" i="26"/>
  <c r="M187" i="26"/>
  <c r="F254" i="33"/>
  <c r="H254" i="33" s="1"/>
  <c r="J254" i="33" s="1"/>
  <c r="P187" i="26"/>
  <c r="M46" i="26"/>
  <c r="H65" i="33"/>
  <c r="J65" i="33" s="1"/>
  <c r="H40" i="26"/>
  <c r="F347" i="33"/>
  <c r="H347" i="33" s="1"/>
  <c r="J347" i="33" s="1"/>
  <c r="M134" i="26"/>
  <c r="N155" i="26"/>
  <c r="N245" i="26"/>
  <c r="J245" i="26"/>
  <c r="L245" i="26"/>
  <c r="I245" i="26"/>
  <c r="L145" i="26"/>
  <c r="O135" i="26"/>
  <c r="H46" i="26"/>
  <c r="N46" i="26"/>
  <c r="M137" i="26"/>
  <c r="P152" i="26"/>
  <c r="M40" i="26"/>
  <c r="N150" i="26"/>
  <c r="F212" i="33"/>
  <c r="H212" i="33" s="1"/>
  <c r="J212" i="33" s="1"/>
  <c r="J239" i="26"/>
  <c r="F316" i="33"/>
  <c r="H316" i="33" s="1"/>
  <c r="J316" i="33" s="1"/>
  <c r="I239" i="26"/>
  <c r="O239" i="26"/>
  <c r="H142" i="26"/>
  <c r="P137" i="26"/>
  <c r="O142" i="26"/>
  <c r="N40" i="26"/>
  <c r="O58" i="26"/>
  <c r="M155" i="26"/>
  <c r="J344" i="33"/>
  <c r="J321" i="33"/>
  <c r="K142" i="26"/>
  <c r="AA49" i="25"/>
  <c r="AA51" i="25" s="1" a="1"/>
  <c r="AA51" i="25" s="1"/>
  <c r="G158" i="26"/>
  <c r="I158" i="26" s="1"/>
  <c r="N158" i="26" s="1"/>
  <c r="O158" i="26" s="1"/>
  <c r="M188" i="26"/>
  <c r="J152" i="26"/>
  <c r="M142" i="26"/>
  <c r="K152" i="26"/>
  <c r="L251" i="26"/>
  <c r="I58" i="26"/>
  <c r="N58" i="26"/>
  <c r="N152" i="26"/>
  <c r="M152" i="26"/>
  <c r="F199" i="33"/>
  <c r="H143" i="26"/>
  <c r="J46" i="26"/>
  <c r="F79" i="33"/>
  <c r="H79" i="33" s="1"/>
  <c r="J79" i="33" s="1"/>
  <c r="P142" i="26"/>
  <c r="L144" i="26"/>
  <c r="O134" i="26"/>
  <c r="K134" i="26"/>
  <c r="I142" i="26"/>
  <c r="O144" i="26"/>
  <c r="L134" i="26"/>
  <c r="H68" i="33"/>
  <c r="J68" i="33" s="1"/>
  <c r="J190" i="26"/>
  <c r="L142" i="26"/>
  <c r="H240" i="33"/>
  <c r="J240" i="33" s="1"/>
  <c r="J59" i="26"/>
  <c r="K59" i="26"/>
  <c r="O59" i="26"/>
  <c r="F80" i="33"/>
  <c r="H80" i="33" s="1"/>
  <c r="J80" i="33" s="1"/>
  <c r="P59" i="26"/>
  <c r="L59" i="26"/>
  <c r="H59" i="26"/>
  <c r="I59" i="26"/>
  <c r="M59" i="26"/>
  <c r="N59" i="26"/>
  <c r="M58" i="26"/>
  <c r="P58" i="26"/>
  <c r="O155" i="26"/>
  <c r="I155" i="26"/>
  <c r="P155" i="26"/>
  <c r="J155" i="26"/>
  <c r="L155" i="26"/>
  <c r="F337" i="33"/>
  <c r="H337" i="33" s="1"/>
  <c r="J337" i="33" s="1"/>
  <c r="P252" i="26"/>
  <c r="J187" i="26"/>
  <c r="F183" i="33"/>
  <c r="H183" i="33" s="1"/>
  <c r="J183" i="33" s="1"/>
  <c r="L49" i="26"/>
  <c r="O49" i="26"/>
  <c r="O136" i="26"/>
  <c r="F64" i="33"/>
  <c r="H64" i="33" s="1"/>
  <c r="J64" i="33" s="1"/>
  <c r="J47" i="26"/>
  <c r="L48" i="26"/>
  <c r="N48" i="26"/>
  <c r="P235" i="26"/>
  <c r="K251" i="26"/>
  <c r="G62" i="26"/>
  <c r="F84" i="33" s="1"/>
  <c r="H84" i="33" s="1"/>
  <c r="J84" i="33" s="1"/>
  <c r="P49" i="26"/>
  <c r="F182" i="33"/>
  <c r="H182" i="33" s="1"/>
  <c r="J182" i="33" s="1"/>
  <c r="L177" i="26"/>
  <c r="P177" i="26"/>
  <c r="K177" i="26"/>
  <c r="M177" i="26"/>
  <c r="J177" i="26"/>
  <c r="H177" i="26"/>
  <c r="F242" i="33"/>
  <c r="I177" i="26"/>
  <c r="O177" i="26"/>
  <c r="N177" i="26"/>
  <c r="P234" i="26"/>
  <c r="H252" i="26"/>
  <c r="J57" i="26"/>
  <c r="O137" i="26"/>
  <c r="K49" i="26"/>
  <c r="O152" i="26"/>
  <c r="H251" i="26"/>
  <c r="H153" i="26"/>
  <c r="F217" i="33"/>
  <c r="H217" i="33" s="1"/>
  <c r="J217" i="33" s="1"/>
  <c r="I176" i="26"/>
  <c r="O176" i="26"/>
  <c r="M176" i="26"/>
  <c r="I251" i="26"/>
  <c r="L252" i="26"/>
  <c r="N252" i="26"/>
  <c r="L57" i="26"/>
  <c r="N49" i="26"/>
  <c r="K47" i="26"/>
  <c r="H152" i="26"/>
  <c r="K48" i="26"/>
  <c r="O48" i="26"/>
  <c r="N153" i="26"/>
  <c r="J136" i="26"/>
  <c r="I47" i="26"/>
  <c r="AA67" i="25" a="1"/>
  <c r="AA67" i="25" s="1"/>
  <c r="AA69" i="25" s="1"/>
  <c r="J23" i="39" s="1"/>
  <c r="AA59" i="25"/>
  <c r="J48" i="26"/>
  <c r="J134" i="26"/>
  <c r="N134" i="26"/>
  <c r="I134" i="26"/>
  <c r="P48" i="26"/>
  <c r="F252" i="33"/>
  <c r="H252" i="33" s="1"/>
  <c r="J252" i="33" s="1"/>
  <c r="N186" i="26"/>
  <c r="K186" i="26"/>
  <c r="J186" i="26"/>
  <c r="O186" i="26"/>
  <c r="P186" i="26"/>
  <c r="H186" i="26"/>
  <c r="I186" i="26"/>
  <c r="M186" i="26"/>
  <c r="O46" i="26"/>
  <c r="H81" i="33"/>
  <c r="J81" i="33" s="1"/>
  <c r="O40" i="26"/>
  <c r="H48" i="26"/>
  <c r="J143" i="26"/>
  <c r="N143" i="26"/>
  <c r="J214" i="33"/>
  <c r="H200" i="33"/>
  <c r="J200" i="33" s="1"/>
  <c r="H199" i="33"/>
  <c r="J199" i="33" s="1"/>
  <c r="H201" i="33"/>
  <c r="J201" i="33" s="1"/>
  <c r="H185" i="33"/>
  <c r="J185" i="33" s="1"/>
  <c r="H191" i="33"/>
  <c r="J191" i="33" s="1"/>
  <c r="H213" i="33"/>
  <c r="J213" i="33" s="1"/>
  <c r="H197" i="33"/>
  <c r="J197" i="33" s="1"/>
  <c r="H210" i="33"/>
  <c r="J210" i="33" s="1"/>
  <c r="J205" i="33"/>
  <c r="H204" i="33"/>
  <c r="J204" i="33" s="1"/>
  <c r="H198" i="33"/>
  <c r="J198" i="33" s="1"/>
  <c r="H184" i="33"/>
  <c r="J184" i="33" s="1"/>
  <c r="H186" i="33"/>
  <c r="J186" i="33" s="1"/>
  <c r="K144" i="26"/>
  <c r="P40" i="26"/>
  <c r="N234" i="26"/>
  <c r="H232" i="26"/>
  <c r="K232" i="26"/>
  <c r="O140" i="26"/>
  <c r="H253" i="26"/>
  <c r="I46" i="26"/>
  <c r="M136" i="26"/>
  <c r="H136" i="26"/>
  <c r="H59" i="33"/>
  <c r="J59" i="33" s="1"/>
  <c r="H144" i="26"/>
  <c r="J40" i="26"/>
  <c r="L143" i="26"/>
  <c r="O143" i="26"/>
  <c r="H38" i="26"/>
  <c r="L38" i="26"/>
  <c r="J38" i="26"/>
  <c r="K38" i="26"/>
  <c r="O38" i="26"/>
  <c r="P38" i="26"/>
  <c r="F51" i="33"/>
  <c r="H51" i="33" s="1"/>
  <c r="J51" i="33" s="1"/>
  <c r="I38" i="26"/>
  <c r="N38" i="26"/>
  <c r="M38" i="26"/>
  <c r="H47" i="26"/>
  <c r="N47" i="26"/>
  <c r="L47" i="26"/>
  <c r="O47" i="26"/>
  <c r="J141" i="26"/>
  <c r="M141" i="26"/>
  <c r="F188" i="33"/>
  <c r="H188" i="33" s="1"/>
  <c r="J188" i="33" s="1"/>
  <c r="H141" i="26"/>
  <c r="K141" i="26"/>
  <c r="I141" i="26"/>
  <c r="L141" i="26"/>
  <c r="O141" i="26"/>
  <c r="P141" i="26"/>
  <c r="N141" i="26"/>
  <c r="I49" i="25"/>
  <c r="I51" i="25" s="1" a="1"/>
  <c r="I51" i="25" s="1"/>
  <c r="I54" i="25" s="1"/>
  <c r="I50" i="25"/>
  <c r="I52" i="25" s="1" a="1"/>
  <c r="I52" i="25" s="1"/>
  <c r="I55" i="25" s="1"/>
  <c r="I59" i="25"/>
  <c r="I67" i="25" a="1"/>
  <c r="I67" i="25" s="1"/>
  <c r="I69" i="25" s="1"/>
  <c r="G23" i="39" s="1"/>
  <c r="I39" i="25"/>
  <c r="I66" i="25"/>
  <c r="I30" i="25"/>
  <c r="I31" i="25" s="1"/>
  <c r="D62" i="34"/>
  <c r="G61" i="26"/>
  <c r="J60" i="26"/>
  <c r="K60" i="26"/>
  <c r="F82" i="33"/>
  <c r="N60" i="26"/>
  <c r="O60" i="26"/>
  <c r="P60" i="26"/>
  <c r="L60" i="26"/>
  <c r="M60" i="26"/>
  <c r="H60" i="26"/>
  <c r="I60" i="26"/>
  <c r="F56" i="33"/>
  <c r="H56" i="33" s="1"/>
  <c r="J56" i="33" s="1"/>
  <c r="L45" i="26"/>
  <c r="K45" i="26"/>
  <c r="J45" i="26"/>
  <c r="I45" i="26"/>
  <c r="H45" i="26"/>
  <c r="M45" i="26"/>
  <c r="O45" i="26"/>
  <c r="P45" i="26"/>
  <c r="N45" i="26"/>
  <c r="J82" i="33"/>
  <c r="H72" i="33"/>
  <c r="J72" i="33" s="1"/>
  <c r="H69" i="33"/>
  <c r="J69" i="33" s="1"/>
  <c r="H66" i="33"/>
  <c r="J66" i="33" s="1"/>
  <c r="F55" i="33"/>
  <c r="H55" i="33" s="1"/>
  <c r="J55" i="33" s="1"/>
  <c r="J44" i="26"/>
  <c r="I44" i="26"/>
  <c r="L44" i="26"/>
  <c r="O44" i="26"/>
  <c r="N44" i="26"/>
  <c r="M44" i="26"/>
  <c r="K44" i="26"/>
  <c r="H44" i="26"/>
  <c r="P44" i="26"/>
  <c r="J142" i="26"/>
  <c r="M48" i="26"/>
  <c r="F190" i="33"/>
  <c r="H190" i="33" s="1"/>
  <c r="J190" i="33" s="1"/>
  <c r="I136" i="26"/>
  <c r="J145" i="26"/>
  <c r="I150" i="26"/>
  <c r="J150" i="26"/>
  <c r="M150" i="26"/>
  <c r="L256" i="26"/>
  <c r="H150" i="26"/>
  <c r="K150" i="26"/>
  <c r="H41" i="26"/>
  <c r="J41" i="26"/>
  <c r="P41" i="26"/>
  <c r="O41" i="26"/>
  <c r="I41" i="26"/>
  <c r="M41" i="26"/>
  <c r="K41" i="26"/>
  <c r="F58" i="33"/>
  <c r="H58" i="33" s="1"/>
  <c r="J58" i="33" s="1"/>
  <c r="L41" i="26"/>
  <c r="N41" i="26"/>
  <c r="M135" i="26"/>
  <c r="K135" i="26"/>
  <c r="N137" i="26"/>
  <c r="K154" i="26"/>
  <c r="N154" i="26"/>
  <c r="J154" i="26"/>
  <c r="I154" i="26"/>
  <c r="F211" i="33"/>
  <c r="H211" i="33" s="1"/>
  <c r="J211" i="33" s="1"/>
  <c r="H154" i="26"/>
  <c r="M154" i="26"/>
  <c r="O154" i="26"/>
  <c r="L154" i="26"/>
  <c r="P154" i="26"/>
  <c r="N256" i="26"/>
  <c r="N144" i="26"/>
  <c r="P144" i="26"/>
  <c r="F214" i="33"/>
  <c r="K156" i="26"/>
  <c r="L156" i="26"/>
  <c r="G157" i="26"/>
  <c r="I156" i="26"/>
  <c r="O156" i="26"/>
  <c r="H156" i="26"/>
  <c r="J156" i="26"/>
  <c r="N156" i="26"/>
  <c r="P156" i="26"/>
  <c r="M156" i="26"/>
  <c r="M151" i="26"/>
  <c r="I151" i="26"/>
  <c r="H151" i="26"/>
  <c r="P151" i="26"/>
  <c r="O151" i="26"/>
  <c r="L151" i="26"/>
  <c r="J151" i="26"/>
  <c r="K151" i="26"/>
  <c r="F207" i="33"/>
  <c r="H207" i="33" s="1"/>
  <c r="J207" i="33" s="1"/>
  <c r="N151" i="26"/>
  <c r="I143" i="26"/>
  <c r="F196" i="33"/>
  <c r="H196" i="33" s="1"/>
  <c r="J196" i="33" s="1"/>
  <c r="I201" i="26"/>
  <c r="N201" i="26"/>
  <c r="P201" i="26"/>
  <c r="O201" i="26"/>
  <c r="L201" i="26"/>
  <c r="J201" i="26"/>
  <c r="F271" i="33"/>
  <c r="H271" i="33" s="1"/>
  <c r="J271" i="33" s="1"/>
  <c r="M201" i="26"/>
  <c r="H201" i="26"/>
  <c r="K201" i="26"/>
  <c r="F269" i="33"/>
  <c r="H269" i="33" s="1"/>
  <c r="J269" i="33" s="1"/>
  <c r="J199" i="26"/>
  <c r="H199" i="26"/>
  <c r="O199" i="26"/>
  <c r="K199" i="26"/>
  <c r="M199" i="26"/>
  <c r="I199" i="26"/>
  <c r="L199" i="26"/>
  <c r="N199" i="26"/>
  <c r="P199" i="26"/>
  <c r="O220" i="26"/>
  <c r="L220" i="26"/>
  <c r="P220" i="26"/>
  <c r="K220" i="26"/>
  <c r="H220" i="26"/>
  <c r="F297" i="33"/>
  <c r="H297" i="33" s="1"/>
  <c r="J297" i="33" s="1"/>
  <c r="I220" i="26"/>
  <c r="J220" i="26"/>
  <c r="M220" i="26"/>
  <c r="N220" i="26"/>
  <c r="F276" i="33"/>
  <c r="H276" i="33" s="1"/>
  <c r="J276" i="33" s="1"/>
  <c r="M202" i="26"/>
  <c r="P202" i="26"/>
  <c r="I202" i="26"/>
  <c r="N202" i="26"/>
  <c r="O202" i="26"/>
  <c r="J202" i="26"/>
  <c r="L202" i="26"/>
  <c r="K202" i="26"/>
  <c r="H202" i="26"/>
  <c r="F303" i="33"/>
  <c r="H303" i="33" s="1"/>
  <c r="J303" i="33" s="1"/>
  <c r="I226" i="26"/>
  <c r="N226" i="26" s="1"/>
  <c r="O226" i="26" s="1"/>
  <c r="H210" i="26"/>
  <c r="N210" i="26"/>
  <c r="J210" i="26"/>
  <c r="L210" i="26"/>
  <c r="K210" i="26"/>
  <c r="I210" i="26"/>
  <c r="P210" i="26"/>
  <c r="O210" i="26"/>
  <c r="M210" i="26"/>
  <c r="F285" i="33"/>
  <c r="M205" i="26"/>
  <c r="O205" i="26"/>
  <c r="I205" i="26"/>
  <c r="N205" i="26"/>
  <c r="P205" i="26"/>
  <c r="H205" i="26"/>
  <c r="K205" i="26"/>
  <c r="J205" i="26"/>
  <c r="L205" i="26"/>
  <c r="F272" i="33"/>
  <c r="H272" i="33" s="1"/>
  <c r="J272" i="33" s="1"/>
  <c r="J209" i="26"/>
  <c r="O209" i="26"/>
  <c r="N209" i="26"/>
  <c r="P209" i="26"/>
  <c r="F282" i="33"/>
  <c r="H282" i="33" s="1"/>
  <c r="J282" i="33" s="1"/>
  <c r="L209" i="26"/>
  <c r="H209" i="26"/>
  <c r="M209" i="26"/>
  <c r="I209" i="26"/>
  <c r="K209" i="26"/>
  <c r="CK472" i="19"/>
  <c r="CL472" i="19" s="1"/>
  <c r="CJ477" i="19"/>
  <c r="CK477" i="19" s="1"/>
  <c r="CL477" i="19" s="1" a="1"/>
  <c r="CL477" i="19" s="1"/>
  <c r="L45" i="39" s="1"/>
  <c r="G223" i="26"/>
  <c r="I222" i="26"/>
  <c r="P222" i="26"/>
  <c r="N222" i="26"/>
  <c r="O222" i="26"/>
  <c r="F300" i="33"/>
  <c r="M222" i="26"/>
  <c r="H222" i="26"/>
  <c r="J222" i="26"/>
  <c r="K222" i="26"/>
  <c r="L222" i="26"/>
  <c r="J300" i="33"/>
  <c r="H284" i="33"/>
  <c r="J284" i="33" s="1"/>
  <c r="H286" i="33"/>
  <c r="J286" i="33" s="1"/>
  <c r="H287" i="33"/>
  <c r="J287" i="33" s="1"/>
  <c r="H299" i="33"/>
  <c r="J299" i="33" s="1"/>
  <c r="J291" i="33"/>
  <c r="H290" i="33"/>
  <c r="J290" i="33" s="1"/>
  <c r="H285" i="33"/>
  <c r="J285" i="33" s="1"/>
  <c r="H283" i="33"/>
  <c r="J283" i="33" s="1"/>
  <c r="J277" i="33"/>
  <c r="H270" i="33"/>
  <c r="J270" i="33" s="1"/>
  <c r="H296" i="33"/>
  <c r="J296" i="33" s="1"/>
  <c r="H274" i="33"/>
  <c r="J274" i="33" s="1"/>
  <c r="H275" i="33"/>
  <c r="J275" i="33" s="1"/>
  <c r="J206" i="26"/>
  <c r="H206" i="26"/>
  <c r="O206" i="26"/>
  <c r="I206" i="26"/>
  <c r="P206" i="26"/>
  <c r="M206" i="26"/>
  <c r="F273" i="33"/>
  <c r="H273" i="33" s="1"/>
  <c r="J273" i="33" s="1"/>
  <c r="K206" i="26"/>
  <c r="L206" i="26"/>
  <c r="N206" i="26"/>
  <c r="I62" i="34"/>
  <c r="AM39" i="25"/>
  <c r="AM67" i="25" a="1"/>
  <c r="AM67" i="25" s="1"/>
  <c r="AM69" i="25" s="1"/>
  <c r="L23" i="39" s="1"/>
  <c r="AM66" i="25"/>
  <c r="AM30" i="25"/>
  <c r="AM31" i="25" s="1"/>
  <c r="AM49" i="25"/>
  <c r="AM51" i="25" s="1" a="1"/>
  <c r="AM51" i="25" s="1"/>
  <c r="AM59" i="25"/>
  <c r="AM50" i="25"/>
  <c r="AM52" i="25" s="1" a="1"/>
  <c r="AM52" i="25" s="1"/>
  <c r="AM55" i="25" s="1"/>
  <c r="F286" i="33"/>
  <c r="J211" i="26"/>
  <c r="M211" i="26"/>
  <c r="K211" i="26"/>
  <c r="H211" i="26"/>
  <c r="O211" i="26"/>
  <c r="I211" i="26"/>
  <c r="L211" i="26"/>
  <c r="P211" i="26"/>
  <c r="N211" i="26"/>
  <c r="I218" i="26"/>
  <c r="F294" i="33"/>
  <c r="H294" i="33" s="1"/>
  <c r="J294" i="33" s="1"/>
  <c r="P218" i="26"/>
  <c r="L218" i="26"/>
  <c r="J218" i="26"/>
  <c r="O218" i="26"/>
  <c r="M218" i="26"/>
  <c r="N218" i="26"/>
  <c r="K218" i="26"/>
  <c r="H218" i="26"/>
  <c r="M216" i="26"/>
  <c r="O216" i="26"/>
  <c r="H216" i="26"/>
  <c r="I216" i="26"/>
  <c r="L216" i="26"/>
  <c r="J216" i="26"/>
  <c r="F292" i="33"/>
  <c r="H292" i="33" s="1"/>
  <c r="J292" i="33" s="1"/>
  <c r="K216" i="26"/>
  <c r="N216" i="26"/>
  <c r="P216" i="26"/>
  <c r="N219" i="26"/>
  <c r="I219" i="26"/>
  <c r="M219" i="26"/>
  <c r="O219" i="26"/>
  <c r="H219" i="26"/>
  <c r="P219" i="26"/>
  <c r="L219" i="26"/>
  <c r="K219" i="26"/>
  <c r="F295" i="33"/>
  <c r="H295" i="33" s="1"/>
  <c r="J295" i="33" s="1"/>
  <c r="J219" i="26"/>
  <c r="F298" i="33"/>
  <c r="H298" i="33" s="1"/>
  <c r="J298" i="33" s="1"/>
  <c r="J221" i="26"/>
  <c r="K221" i="26"/>
  <c r="I221" i="26"/>
  <c r="O221" i="26"/>
  <c r="N221" i="26"/>
  <c r="H221" i="26"/>
  <c r="L221" i="26"/>
  <c r="P221" i="26"/>
  <c r="M221" i="26"/>
  <c r="F270" i="33"/>
  <c r="L200" i="26"/>
  <c r="P200" i="26"/>
  <c r="J200" i="26"/>
  <c r="O200" i="26"/>
  <c r="M200" i="26"/>
  <c r="H200" i="26"/>
  <c r="N200" i="26"/>
  <c r="I200" i="26"/>
  <c r="K200" i="26"/>
  <c r="F293" i="33"/>
  <c r="H293" i="33" s="1"/>
  <c r="J293" i="33" s="1"/>
  <c r="K217" i="26"/>
  <c r="M217" i="26"/>
  <c r="P217" i="26"/>
  <c r="H217" i="26"/>
  <c r="O217" i="26"/>
  <c r="J217" i="26"/>
  <c r="I217" i="26"/>
  <c r="N217" i="26"/>
  <c r="L217" i="26"/>
  <c r="N208" i="26"/>
  <c r="O208" i="26"/>
  <c r="L208" i="26"/>
  <c r="H208" i="26"/>
  <c r="P208" i="26"/>
  <c r="F281" i="33"/>
  <c r="H281" i="33" s="1"/>
  <c r="J281" i="33" s="1"/>
  <c r="K208" i="26"/>
  <c r="J208" i="26"/>
  <c r="G224" i="26"/>
  <c r="I208" i="26"/>
  <c r="M208" i="26"/>
  <c r="I319" i="26"/>
  <c r="L319" i="26"/>
  <c r="H319" i="26"/>
  <c r="P319" i="26"/>
  <c r="N319" i="26"/>
  <c r="J319" i="26"/>
  <c r="M319" i="26"/>
  <c r="F425" i="33"/>
  <c r="H425" i="33" s="1"/>
  <c r="J425" i="33" s="1"/>
  <c r="K319" i="26"/>
  <c r="O319" i="26"/>
  <c r="DW477" i="19"/>
  <c r="DX477" i="19" s="1"/>
  <c r="DY477" i="19" s="1" a="1"/>
  <c r="DY477" i="19" s="1"/>
  <c r="O45" i="39" s="1"/>
  <c r="DX472" i="19"/>
  <c r="DY472" i="19" s="1"/>
  <c r="H310" i="26"/>
  <c r="F415" i="33"/>
  <c r="M310" i="26"/>
  <c r="O310" i="26"/>
  <c r="L310" i="26"/>
  <c r="P310" i="26"/>
  <c r="N310" i="26"/>
  <c r="K310" i="26"/>
  <c r="I310" i="26"/>
  <c r="J310" i="26"/>
  <c r="I499" i="19"/>
  <c r="I511" i="19" s="1"/>
  <c r="J430" i="33"/>
  <c r="H429" i="33"/>
  <c r="J429" i="33" s="1"/>
  <c r="J407" i="33"/>
  <c r="H417" i="33"/>
  <c r="J417" i="33" s="1"/>
  <c r="H420" i="33"/>
  <c r="J420" i="33" s="1"/>
  <c r="H404" i="33"/>
  <c r="J404" i="33" s="1"/>
  <c r="H413" i="33"/>
  <c r="J413" i="33" s="1"/>
  <c r="H415" i="33"/>
  <c r="J415" i="33" s="1"/>
  <c r="H414" i="33"/>
  <c r="J414" i="33" s="1"/>
  <c r="H405" i="33"/>
  <c r="J405" i="33" s="1"/>
  <c r="H426" i="33"/>
  <c r="J426" i="33" s="1"/>
  <c r="H416" i="33"/>
  <c r="J416" i="33" s="1"/>
  <c r="M316" i="26"/>
  <c r="N316" i="26"/>
  <c r="H316" i="26"/>
  <c r="O316" i="26"/>
  <c r="I316" i="26"/>
  <c r="K316" i="26"/>
  <c r="L316" i="26"/>
  <c r="J316" i="26"/>
  <c r="P316" i="26"/>
  <c r="F422" i="33"/>
  <c r="H422" i="33" s="1"/>
  <c r="J422" i="33" s="1"/>
  <c r="F416" i="33"/>
  <c r="O311" i="26"/>
  <c r="N311" i="26"/>
  <c r="H311" i="26"/>
  <c r="I311" i="26"/>
  <c r="M311" i="26"/>
  <c r="P311" i="26"/>
  <c r="J311" i="26"/>
  <c r="L311" i="26"/>
  <c r="K311" i="26"/>
  <c r="I320" i="26"/>
  <c r="J320" i="26"/>
  <c r="M320" i="26"/>
  <c r="F427" i="33"/>
  <c r="H427" i="33" s="1"/>
  <c r="J427" i="33" s="1"/>
  <c r="H320" i="26"/>
  <c r="P320" i="26"/>
  <c r="O320" i="26"/>
  <c r="L320" i="26"/>
  <c r="K320" i="26"/>
  <c r="N320" i="26"/>
  <c r="F424" i="33"/>
  <c r="H424" i="33" s="1"/>
  <c r="J424" i="33" s="1"/>
  <c r="I318" i="26"/>
  <c r="J318" i="26"/>
  <c r="L318" i="26"/>
  <c r="P318" i="26"/>
  <c r="K318" i="26"/>
  <c r="N318" i="26"/>
  <c r="H318" i="26"/>
  <c r="O318" i="26"/>
  <c r="M318" i="26"/>
  <c r="F400" i="33"/>
  <c r="H400" i="33" s="1"/>
  <c r="J400" i="33" s="1"/>
  <c r="H300" i="26"/>
  <c r="I300" i="26"/>
  <c r="L300" i="26"/>
  <c r="M300" i="26"/>
  <c r="J300" i="26"/>
  <c r="O300" i="26"/>
  <c r="K300" i="26"/>
  <c r="P300" i="26"/>
  <c r="N300" i="26"/>
  <c r="I326" i="26"/>
  <c r="N326" i="26" s="1"/>
  <c r="O326" i="26" s="1"/>
  <c r="F433" i="33"/>
  <c r="H433" i="33" s="1"/>
  <c r="J433" i="33" s="1"/>
  <c r="M321" i="26"/>
  <c r="F428" i="33"/>
  <c r="H428" i="33" s="1"/>
  <c r="J428" i="33" s="1"/>
  <c r="L321" i="26"/>
  <c r="N321" i="26"/>
  <c r="P321" i="26"/>
  <c r="O321" i="26"/>
  <c r="I321" i="26"/>
  <c r="K321" i="26"/>
  <c r="H321" i="26"/>
  <c r="J321" i="26"/>
  <c r="F423" i="33"/>
  <c r="H423" i="33" s="1"/>
  <c r="J423" i="33" s="1"/>
  <c r="P317" i="26"/>
  <c r="O317" i="26"/>
  <c r="I317" i="26"/>
  <c r="N317" i="26"/>
  <c r="L317" i="26"/>
  <c r="J317" i="26"/>
  <c r="K317" i="26"/>
  <c r="H317" i="26"/>
  <c r="M317" i="26"/>
  <c r="M301" i="26"/>
  <c r="F401" i="33"/>
  <c r="O301" i="26"/>
  <c r="L301" i="26"/>
  <c r="H301" i="26"/>
  <c r="P301" i="26"/>
  <c r="I301" i="26"/>
  <c r="K301" i="26"/>
  <c r="J301" i="26"/>
  <c r="N301" i="26"/>
  <c r="O305" i="26"/>
  <c r="L305" i="26"/>
  <c r="J305" i="26"/>
  <c r="H305" i="26"/>
  <c r="P305" i="26"/>
  <c r="K305" i="26"/>
  <c r="I305" i="26"/>
  <c r="N305" i="26"/>
  <c r="F402" i="33"/>
  <c r="H402" i="33" s="1"/>
  <c r="J402" i="33" s="1"/>
  <c r="M305" i="26"/>
  <c r="L308" i="26"/>
  <c r="J308" i="26"/>
  <c r="O308" i="26"/>
  <c r="G324" i="26"/>
  <c r="F411" i="33"/>
  <c r="H411" i="33" s="1"/>
  <c r="J411" i="33" s="1"/>
  <c r="P308" i="26"/>
  <c r="K308" i="26"/>
  <c r="I308" i="26"/>
  <c r="H308" i="26"/>
  <c r="N308" i="26"/>
  <c r="M308" i="26"/>
  <c r="L62" i="34"/>
  <c r="BE66" i="25"/>
  <c r="BE59" i="25"/>
  <c r="BE49" i="25"/>
  <c r="BE51" i="25" s="1" a="1"/>
  <c r="BE51" i="25" s="1"/>
  <c r="BE39" i="25"/>
  <c r="BE50" i="25"/>
  <c r="BE52" i="25" s="1" a="1"/>
  <c r="BE52" i="25" s="1"/>
  <c r="BE55" i="25" s="1"/>
  <c r="BE67" i="25" a="1"/>
  <c r="BE67" i="25" s="1"/>
  <c r="BE69" i="25" s="1"/>
  <c r="O23" i="39" s="1"/>
  <c r="BE30" i="25"/>
  <c r="BE31" i="25" s="1"/>
  <c r="G323" i="26"/>
  <c r="F430" i="33"/>
  <c r="H322" i="26"/>
  <c r="O322" i="26"/>
  <c r="P322" i="26"/>
  <c r="M322" i="26"/>
  <c r="I322" i="26"/>
  <c r="K322" i="26"/>
  <c r="J322" i="26"/>
  <c r="N322" i="26"/>
  <c r="L322" i="26"/>
  <c r="O309" i="26"/>
  <c r="L309" i="26"/>
  <c r="N309" i="26"/>
  <c r="H309" i="26"/>
  <c r="I309" i="26"/>
  <c r="P309" i="26"/>
  <c r="F412" i="33"/>
  <c r="H412" i="33" s="1"/>
  <c r="J412" i="33" s="1"/>
  <c r="J309" i="26"/>
  <c r="M309" i="26"/>
  <c r="K309" i="26"/>
  <c r="H306" i="26"/>
  <c r="P306" i="26"/>
  <c r="N306" i="26"/>
  <c r="K306" i="26"/>
  <c r="F403" i="33"/>
  <c r="H403" i="33" s="1"/>
  <c r="J403" i="33" s="1"/>
  <c r="I306" i="26"/>
  <c r="L306" i="26"/>
  <c r="O306" i="26"/>
  <c r="J306" i="26"/>
  <c r="M306" i="26"/>
  <c r="F406" i="33"/>
  <c r="H406" i="33" s="1"/>
  <c r="J406" i="33" s="1"/>
  <c r="L302" i="26"/>
  <c r="H302" i="26"/>
  <c r="N302" i="26"/>
  <c r="O302" i="26"/>
  <c r="J302" i="26"/>
  <c r="M302" i="26"/>
  <c r="K302" i="26"/>
  <c r="P302" i="26"/>
  <c r="I302" i="26"/>
  <c r="FA474" i="19"/>
  <c r="FA480" i="19"/>
  <c r="FB480" i="19" s="1"/>
  <c r="FB477" i="19"/>
  <c r="J29" i="39" l="1"/>
  <c r="J48" i="39"/>
  <c r="L44" i="39"/>
  <c r="C44" i="25"/>
  <c r="C46" i="25" s="1"/>
  <c r="F79" i="25"/>
  <c r="C103" i="25"/>
  <c r="F113" i="25" s="1"/>
  <c r="F23" i="39"/>
  <c r="O66" i="39"/>
  <c r="L65" i="39"/>
  <c r="L66" i="39"/>
  <c r="BK42" i="25"/>
  <c r="L50" i="39"/>
  <c r="C54" i="25"/>
  <c r="C79" i="25" s="1"/>
  <c r="C87" i="25" s="1"/>
  <c r="C113" i="25"/>
  <c r="O43" i="39"/>
  <c r="L46" i="39"/>
  <c r="G48" i="39"/>
  <c r="K48" i="39"/>
  <c r="H29" i="39"/>
  <c r="I29" i="39"/>
  <c r="O46" i="39"/>
  <c r="O47" i="39"/>
  <c r="C102" i="25"/>
  <c r="C104" i="25" s="1"/>
  <c r="C105" i="25" s="1"/>
  <c r="C106" i="25" s="1"/>
  <c r="C111" i="25" s="1"/>
  <c r="C70" i="25"/>
  <c r="C71" i="25" s="1"/>
  <c r="C72" i="25" s="1"/>
  <c r="C77" i="25" s="1"/>
  <c r="C84" i="25"/>
  <c r="P29" i="39"/>
  <c r="N29" i="39"/>
  <c r="G28" i="39"/>
  <c r="I28" i="39"/>
  <c r="G29" i="39"/>
  <c r="O65" i="39"/>
  <c r="BM66" i="25"/>
  <c r="BK76" i="25" s="1"/>
  <c r="BK102" i="25"/>
  <c r="BK104" i="25" s="1"/>
  <c r="BK105" i="25" s="1"/>
  <c r="BK106" i="25" s="1"/>
  <c r="BK111" i="25" s="1"/>
  <c r="BK79" i="25"/>
  <c r="BK87" i="25" s="1"/>
  <c r="M48" i="39"/>
  <c r="I356" i="26"/>
  <c r="N356" i="26" s="1"/>
  <c r="O356" i="26" s="1"/>
  <c r="F41" i="33"/>
  <c r="H41" i="33" s="1"/>
  <c r="J41" i="33" s="1"/>
  <c r="O48" i="39"/>
  <c r="P23" i="39"/>
  <c r="BN79" i="25"/>
  <c r="BK84" i="25"/>
  <c r="BK45" i="25"/>
  <c r="BK43" i="25"/>
  <c r="P51" i="39"/>
  <c r="BN78" i="25"/>
  <c r="L51" i="39"/>
  <c r="D76" i="34"/>
  <c r="H48" i="39"/>
  <c r="M28" i="39"/>
  <c r="N28" i="39"/>
  <c r="P28" i="39"/>
  <c r="EA479" i="19"/>
  <c r="EB479" i="19" s="1"/>
  <c r="N76" i="34"/>
  <c r="J28" i="39"/>
  <c r="BA478" i="19"/>
  <c r="BB478" i="19" s="1"/>
  <c r="I48" i="39"/>
  <c r="N478" i="19"/>
  <c r="O478" i="19" s="1"/>
  <c r="F48" i="39"/>
  <c r="CN478" i="19"/>
  <c r="CO478" i="19" s="1"/>
  <c r="L48" i="39"/>
  <c r="DN478" i="19"/>
  <c r="DO478" i="19" s="1"/>
  <c r="N48" i="39"/>
  <c r="CA479" i="19"/>
  <c r="CB479" i="19" s="1"/>
  <c r="K51" i="39"/>
  <c r="J44" i="39"/>
  <c r="J43" i="39"/>
  <c r="J50" i="39"/>
  <c r="J47" i="39"/>
  <c r="J46" i="39"/>
  <c r="J67" i="39"/>
  <c r="J66" i="39"/>
  <c r="J65" i="39"/>
  <c r="H44" i="39"/>
  <c r="H43" i="39"/>
  <c r="H50" i="39"/>
  <c r="H47" i="39"/>
  <c r="H46" i="39"/>
  <c r="H67" i="39"/>
  <c r="H66" i="39"/>
  <c r="H65" i="39"/>
  <c r="I44" i="39"/>
  <c r="I43" i="39"/>
  <c r="I50" i="39"/>
  <c r="I47" i="39"/>
  <c r="I46" i="39"/>
  <c r="I67" i="39"/>
  <c r="I66" i="39"/>
  <c r="I65" i="39"/>
  <c r="G44" i="39"/>
  <c r="G43" i="39"/>
  <c r="G50" i="39"/>
  <c r="G47" i="39"/>
  <c r="G46" i="39"/>
  <c r="G67" i="39"/>
  <c r="G66" i="39"/>
  <c r="G65" i="39"/>
  <c r="M44" i="39"/>
  <c r="M43" i="39"/>
  <c r="M50" i="39"/>
  <c r="M47" i="39"/>
  <c r="M46" i="39"/>
  <c r="M67" i="39"/>
  <c r="M66" i="39"/>
  <c r="M65" i="39"/>
  <c r="N44" i="39"/>
  <c r="N43" i="39"/>
  <c r="N50" i="39"/>
  <c r="N47" i="39"/>
  <c r="N46" i="39"/>
  <c r="N67" i="39"/>
  <c r="N66" i="39"/>
  <c r="N65" i="39"/>
  <c r="P44" i="39"/>
  <c r="P43" i="39"/>
  <c r="P50" i="39"/>
  <c r="P47" i="39"/>
  <c r="P46" i="39"/>
  <c r="P67" i="39"/>
  <c r="P66" i="39"/>
  <c r="P65" i="39"/>
  <c r="O28" i="39"/>
  <c r="L28" i="39"/>
  <c r="K28" i="39"/>
  <c r="F28" i="39"/>
  <c r="O29" i="39"/>
  <c r="L29" i="39"/>
  <c r="K29" i="39"/>
  <c r="F29" i="39"/>
  <c r="F44" i="39"/>
  <c r="F43" i="39"/>
  <c r="F50" i="39"/>
  <c r="F47" i="39"/>
  <c r="F46" i="39"/>
  <c r="F67" i="39"/>
  <c r="F66" i="39"/>
  <c r="F65" i="39"/>
  <c r="K44" i="39"/>
  <c r="K43" i="39"/>
  <c r="K50" i="39"/>
  <c r="K47" i="39"/>
  <c r="K46" i="39"/>
  <c r="K67" i="39"/>
  <c r="K66" i="39"/>
  <c r="K65" i="39"/>
  <c r="AJ79" i="25"/>
  <c r="R78" i="25"/>
  <c r="AV78" i="25"/>
  <c r="X79" i="25"/>
  <c r="AI66" i="25"/>
  <c r="J140" i="33"/>
  <c r="AG70" i="25"/>
  <c r="AG71" i="25" s="1"/>
  <c r="AG72" i="25" s="1"/>
  <c r="AG77" i="25" s="1"/>
  <c r="W66" i="25"/>
  <c r="F346" i="33"/>
  <c r="H346" i="33" s="1"/>
  <c r="J346" i="33" s="1"/>
  <c r="BN112" i="25"/>
  <c r="BN113" i="25"/>
  <c r="AV79" i="25"/>
  <c r="AS103" i="25"/>
  <c r="AV113" i="25" s="1"/>
  <c r="AG103" i="25"/>
  <c r="AJ113" i="25" s="1"/>
  <c r="AS113" i="25"/>
  <c r="AG42" i="25"/>
  <c r="AS102" i="25"/>
  <c r="AS104" i="25" s="1"/>
  <c r="AS105" i="25" s="1"/>
  <c r="AS106" i="25" s="1"/>
  <c r="AS111" i="25" s="1"/>
  <c r="AS70" i="25"/>
  <c r="AS71" i="25" s="1"/>
  <c r="AS72" i="25" s="1"/>
  <c r="AS77" i="25" s="1"/>
  <c r="AJ78" i="25"/>
  <c r="AG45" i="25"/>
  <c r="AS84" i="25"/>
  <c r="AY42" i="25"/>
  <c r="U79" i="25"/>
  <c r="U87" i="25" s="1"/>
  <c r="AS42" i="25"/>
  <c r="U103" i="25"/>
  <c r="X112" i="25" s="1"/>
  <c r="X78" i="25"/>
  <c r="AS45" i="25"/>
  <c r="F172" i="33"/>
  <c r="H172" i="33" s="1"/>
  <c r="J172" i="33" s="1"/>
  <c r="AG84" i="25"/>
  <c r="I62" i="26"/>
  <c r="N62" i="26" s="1"/>
  <c r="O62" i="26" s="1"/>
  <c r="O113" i="25"/>
  <c r="AG113" i="25"/>
  <c r="AG121" i="25" s="1"/>
  <c r="AY76" i="25"/>
  <c r="AY78" i="25" s="1"/>
  <c r="AG79" i="25"/>
  <c r="AG87" i="25" s="1"/>
  <c r="AA102" i="25"/>
  <c r="AA104" i="25" s="1"/>
  <c r="AA105" i="25" s="1"/>
  <c r="AA106" i="25" s="1"/>
  <c r="AA111" i="25" s="1"/>
  <c r="AC66" i="25"/>
  <c r="AA76" i="25" s="1"/>
  <c r="P125" i="26"/>
  <c r="M125" i="26"/>
  <c r="U84" i="25"/>
  <c r="J125" i="26"/>
  <c r="F171" i="33"/>
  <c r="U42" i="25"/>
  <c r="H125" i="26"/>
  <c r="N125" i="26"/>
  <c r="G76" i="34" s="1"/>
  <c r="U45" i="25"/>
  <c r="U70" i="25"/>
  <c r="U71" i="25" s="1"/>
  <c r="U72" i="25" s="1"/>
  <c r="U77" i="25" s="1"/>
  <c r="I125" i="26"/>
  <c r="O125" i="26"/>
  <c r="L125" i="26"/>
  <c r="AA113" i="25"/>
  <c r="R79" i="25"/>
  <c r="O103" i="25"/>
  <c r="AA43" i="25"/>
  <c r="AA42" i="25"/>
  <c r="AA44" i="25" s="1"/>
  <c r="AA46" i="25" s="1"/>
  <c r="AA54" i="25"/>
  <c r="AA79" i="25" s="1"/>
  <c r="AA87" i="25" s="1"/>
  <c r="AY103" i="25"/>
  <c r="BB79" i="25"/>
  <c r="BB78" i="25"/>
  <c r="F127" i="33"/>
  <c r="H127" i="33" s="1"/>
  <c r="J127" i="33" s="1"/>
  <c r="I94" i="26"/>
  <c r="N94" i="26" s="1"/>
  <c r="O94" i="26" s="1"/>
  <c r="Q66" i="25"/>
  <c r="O70" i="25"/>
  <c r="O71" i="25" s="1"/>
  <c r="O72" i="25" s="1"/>
  <c r="O102" i="25"/>
  <c r="K76" i="34"/>
  <c r="O45" i="25"/>
  <c r="O42" i="25"/>
  <c r="O43" i="25"/>
  <c r="O79" i="25"/>
  <c r="O87" i="25" s="1"/>
  <c r="O84" i="25"/>
  <c r="F389" i="33"/>
  <c r="K291" i="26"/>
  <c r="I291" i="26"/>
  <c r="H291" i="26"/>
  <c r="J291" i="26"/>
  <c r="P291" i="26"/>
  <c r="O291" i="26"/>
  <c r="N291" i="26"/>
  <c r="L76" i="34" s="1"/>
  <c r="M291" i="26"/>
  <c r="L291" i="26"/>
  <c r="F390" i="33"/>
  <c r="H390" i="33" s="1"/>
  <c r="J390" i="33" s="1"/>
  <c r="I292" i="26"/>
  <c r="N292" i="26" s="1"/>
  <c r="O292" i="26" s="1"/>
  <c r="I76" i="34"/>
  <c r="I191" i="26"/>
  <c r="N191" i="26" s="1"/>
  <c r="O191" i="26" s="1"/>
  <c r="K93" i="26"/>
  <c r="M93" i="26"/>
  <c r="F126" i="33"/>
  <c r="O93" i="26"/>
  <c r="I93" i="26"/>
  <c r="L93" i="26"/>
  <c r="N93" i="26"/>
  <c r="F76" i="34" s="1"/>
  <c r="H93" i="26"/>
  <c r="J93" i="26"/>
  <c r="P93" i="26"/>
  <c r="AY79" i="25"/>
  <c r="AY87" i="25" s="1"/>
  <c r="AY84" i="25"/>
  <c r="AY43" i="25"/>
  <c r="AY45" i="25"/>
  <c r="F216" i="33"/>
  <c r="H216" i="33" s="1"/>
  <c r="J216" i="33" s="1"/>
  <c r="AA84" i="25"/>
  <c r="I113" i="25"/>
  <c r="AD78" i="25"/>
  <c r="AD79" i="25"/>
  <c r="AA103" i="25"/>
  <c r="F83" i="33"/>
  <c r="I61" i="26"/>
  <c r="M61" i="26"/>
  <c r="N61" i="26"/>
  <c r="E76" i="34" s="1"/>
  <c r="O61" i="26"/>
  <c r="P61" i="26"/>
  <c r="H61" i="26"/>
  <c r="J61" i="26"/>
  <c r="K61" i="26"/>
  <c r="L61" i="26"/>
  <c r="I45" i="25"/>
  <c r="I43" i="25"/>
  <c r="I42" i="25"/>
  <c r="I102" i="25"/>
  <c r="K66" i="25"/>
  <c r="I70" i="25"/>
  <c r="I71" i="25" s="1"/>
  <c r="I72" i="25" s="1"/>
  <c r="L79" i="25"/>
  <c r="L78" i="25"/>
  <c r="I103" i="25"/>
  <c r="I84" i="25"/>
  <c r="I79" i="25"/>
  <c r="I87" i="25" s="1"/>
  <c r="AM113" i="25"/>
  <c r="L157" i="26"/>
  <c r="I157" i="26"/>
  <c r="P157" i="26"/>
  <c r="K157" i="26"/>
  <c r="H157" i="26"/>
  <c r="N157" i="26"/>
  <c r="H76" i="34" s="1"/>
  <c r="M157" i="26"/>
  <c r="J157" i="26"/>
  <c r="O157" i="26"/>
  <c r="F215" i="33"/>
  <c r="F301" i="33"/>
  <c r="J223" i="26"/>
  <c r="I223" i="26"/>
  <c r="H223" i="26"/>
  <c r="N223" i="26"/>
  <c r="J76" i="34" s="1"/>
  <c r="O223" i="26"/>
  <c r="P223" i="26"/>
  <c r="M223" i="26"/>
  <c r="K223" i="26"/>
  <c r="L223" i="26"/>
  <c r="I224" i="26"/>
  <c r="N224" i="26" s="1"/>
  <c r="O224" i="26" s="1"/>
  <c r="F302" i="33"/>
  <c r="H302" i="33" s="1"/>
  <c r="J302" i="33" s="1"/>
  <c r="AM84" i="25"/>
  <c r="AM42" i="25"/>
  <c r="AM45" i="25"/>
  <c r="AM43" i="25"/>
  <c r="AM102" i="25"/>
  <c r="AO66" i="25"/>
  <c r="AM70" i="25"/>
  <c r="AM71" i="25" s="1"/>
  <c r="AM72" i="25" s="1"/>
  <c r="AP79" i="25"/>
  <c r="AP78" i="25"/>
  <c r="AM103" i="25"/>
  <c r="BE84" i="25"/>
  <c r="BG66" i="25"/>
  <c r="BE102" i="25"/>
  <c r="BE70" i="25"/>
  <c r="BE71" i="25" s="1"/>
  <c r="BE72" i="25" s="1"/>
  <c r="I323" i="26"/>
  <c r="P323" i="26"/>
  <c r="M323" i="26"/>
  <c r="O323" i="26"/>
  <c r="N323" i="26"/>
  <c r="M76" i="34" s="1"/>
  <c r="H323" i="26"/>
  <c r="F431" i="33"/>
  <c r="L323" i="26"/>
  <c r="K323" i="26"/>
  <c r="J323" i="26"/>
  <c r="F432" i="33"/>
  <c r="H432" i="33" s="1"/>
  <c r="J432" i="33" s="1"/>
  <c r="I324" i="26"/>
  <c r="N324" i="26" s="1"/>
  <c r="O324" i="26" s="1"/>
  <c r="BE43" i="25"/>
  <c r="BE45" i="25"/>
  <c r="BE42" i="25"/>
  <c r="BH78" i="25"/>
  <c r="BH79" i="25"/>
  <c r="BE103" i="25"/>
  <c r="BE113" i="25"/>
  <c r="BK44" i="25" l="1"/>
  <c r="BK46" i="25" s="1"/>
  <c r="BK55" i="25" s="1"/>
  <c r="BK113" i="25" s="1"/>
  <c r="BK121" i="25" s="1"/>
  <c r="F112" i="25"/>
  <c r="C118" i="25"/>
  <c r="G10" i="26" s="1"/>
  <c r="C110" i="25"/>
  <c r="C114" i="25" s="1"/>
  <c r="C132" i="25"/>
  <c r="H19" i="33" s="1"/>
  <c r="J19" i="33" s="1"/>
  <c r="C121" i="25"/>
  <c r="C76" i="25"/>
  <c r="BK132" i="25"/>
  <c r="H452" i="33" s="1"/>
  <c r="J452" i="33" s="1"/>
  <c r="BK118" i="25"/>
  <c r="G335" i="26" s="1"/>
  <c r="J335" i="26" s="1"/>
  <c r="BK110" i="25"/>
  <c r="BK112" i="25" s="1"/>
  <c r="BK78" i="25"/>
  <c r="BK88" i="25" s="1"/>
  <c r="BK90" i="25" s="1"/>
  <c r="BK92" i="25" s="1"/>
  <c r="BK94" i="25" s="1"/>
  <c r="BK80" i="25"/>
  <c r="BK81" i="25" s="1"/>
  <c r="BK82" i="25" s="1"/>
  <c r="BK83" i="25" s="1"/>
  <c r="BK85" i="25" s="1"/>
  <c r="C76" i="34"/>
  <c r="AG76" i="25"/>
  <c r="AG78" i="25" s="1"/>
  <c r="AG88" i="25" s="1"/>
  <c r="AG90" i="25" s="1"/>
  <c r="AG92" i="25" s="1"/>
  <c r="AG95" i="25" s="1"/>
  <c r="AG96" i="25" s="1"/>
  <c r="AV112" i="25"/>
  <c r="AJ112" i="25"/>
  <c r="AG44" i="25"/>
  <c r="AG46" i="25" s="1"/>
  <c r="AS118" i="25"/>
  <c r="G237" i="26" s="1"/>
  <c r="AY44" i="25"/>
  <c r="AY46" i="25" s="1"/>
  <c r="AY55" i="25" s="1"/>
  <c r="AY113" i="25" s="1"/>
  <c r="AY121" i="25" s="1"/>
  <c r="AS132" i="25"/>
  <c r="H324" i="33" s="1"/>
  <c r="J324" i="33" s="1"/>
  <c r="AS110" i="25"/>
  <c r="AS112" i="25" s="1"/>
  <c r="AG132" i="25"/>
  <c r="H237" i="33" s="1"/>
  <c r="J237" i="33" s="1"/>
  <c r="AG110" i="25"/>
  <c r="AG114" i="25" s="1"/>
  <c r="AG118" i="25"/>
  <c r="G171" i="26" s="1"/>
  <c r="M171" i="26" s="1"/>
  <c r="AS44" i="25"/>
  <c r="AS46" i="25" s="1"/>
  <c r="AS54" i="25" s="1"/>
  <c r="AS79" i="25" s="1"/>
  <c r="AS87" i="25" s="1"/>
  <c r="AS121" i="25"/>
  <c r="X113" i="25"/>
  <c r="U132" i="25"/>
  <c r="H150" i="33" s="1"/>
  <c r="J150" i="33" s="1"/>
  <c r="AS76" i="25"/>
  <c r="AS78" i="25" s="1"/>
  <c r="U118" i="25"/>
  <c r="G106" i="26" s="1"/>
  <c r="F148" i="33" s="1"/>
  <c r="H148" i="33" s="1"/>
  <c r="J148" i="33" s="1"/>
  <c r="U110" i="25"/>
  <c r="U112" i="25" s="1"/>
  <c r="AA121" i="25"/>
  <c r="AY88" i="25"/>
  <c r="AY90" i="25" s="1"/>
  <c r="AY92" i="25" s="1"/>
  <c r="AY95" i="25" s="1"/>
  <c r="AY96" i="25" s="1"/>
  <c r="U44" i="25"/>
  <c r="U46" i="25" s="1"/>
  <c r="U55" i="25" s="1"/>
  <c r="U113" i="25" s="1"/>
  <c r="U121" i="25" s="1"/>
  <c r="U76" i="25"/>
  <c r="U80" i="25" s="1"/>
  <c r="U81" i="25" s="1"/>
  <c r="U82" i="25" s="1"/>
  <c r="U83" i="25" s="1"/>
  <c r="U85" i="25" s="1"/>
  <c r="R112" i="25"/>
  <c r="R113" i="25"/>
  <c r="AA80" i="25"/>
  <c r="AA81" i="25" s="1"/>
  <c r="AA82" i="25" s="1"/>
  <c r="AA83" i="25" s="1"/>
  <c r="AA85" i="25" s="1"/>
  <c r="AY110" i="25"/>
  <c r="AY112" i="25" s="1"/>
  <c r="BB113" i="25"/>
  <c r="BB112" i="25"/>
  <c r="AY132" i="25"/>
  <c r="H368" i="33" s="1"/>
  <c r="J368" i="33" s="1"/>
  <c r="AY118" i="25"/>
  <c r="G271" i="26" s="1"/>
  <c r="AA78" i="25"/>
  <c r="AA88" i="25" s="1"/>
  <c r="AA90" i="25" s="1"/>
  <c r="AA92" i="25" s="1"/>
  <c r="AA95" i="25" s="1"/>
  <c r="O104" i="25"/>
  <c r="O105" i="25" s="1"/>
  <c r="O106" i="25" s="1"/>
  <c r="O118" i="25"/>
  <c r="G74" i="26" s="1"/>
  <c r="O132" i="25"/>
  <c r="H105" i="33" s="1"/>
  <c r="J105" i="33" s="1"/>
  <c r="O44" i="25"/>
  <c r="O46" i="25" s="1"/>
  <c r="O121" i="25"/>
  <c r="O77" i="25"/>
  <c r="O76" i="25"/>
  <c r="AY80" i="25"/>
  <c r="AY81" i="25" s="1"/>
  <c r="AY82" i="25" s="1"/>
  <c r="AY83" i="25" s="1"/>
  <c r="AY85" i="25" s="1"/>
  <c r="AA132" i="25"/>
  <c r="H194" i="33" s="1"/>
  <c r="J194" i="33" s="1"/>
  <c r="AA110" i="25"/>
  <c r="AD112" i="25"/>
  <c r="AD113" i="25"/>
  <c r="AA118" i="25"/>
  <c r="G138" i="26" s="1"/>
  <c r="I44" i="25"/>
  <c r="I46" i="25" s="1"/>
  <c r="L113" i="25"/>
  <c r="L112" i="25"/>
  <c r="I77" i="25"/>
  <c r="I76" i="25"/>
  <c r="I104" i="25"/>
  <c r="I105" i="25" s="1"/>
  <c r="I106" i="25" s="1"/>
  <c r="I111" i="25" s="1"/>
  <c r="I118" i="25"/>
  <c r="G42" i="26" s="1"/>
  <c r="I121" i="25"/>
  <c r="I132" i="25"/>
  <c r="H62" i="33" s="1"/>
  <c r="J62" i="33" s="1"/>
  <c r="AM44" i="25"/>
  <c r="AM46" i="25" s="1"/>
  <c r="AM54" i="25" s="1"/>
  <c r="AM79" i="25" s="1"/>
  <c r="AM87" i="25" s="1"/>
  <c r="AP113" i="25"/>
  <c r="AP112" i="25"/>
  <c r="AM77" i="25"/>
  <c r="AM76" i="25"/>
  <c r="AM104" i="25"/>
  <c r="AM105" i="25" s="1"/>
  <c r="AM106" i="25" s="1"/>
  <c r="AM111" i="25" s="1"/>
  <c r="AM121" i="25"/>
  <c r="AM132" i="25"/>
  <c r="H280" i="33" s="1"/>
  <c r="J280" i="33" s="1"/>
  <c r="AM118" i="25"/>
  <c r="G203" i="26" s="1"/>
  <c r="BE121" i="25"/>
  <c r="BH112" i="25"/>
  <c r="BH113" i="25"/>
  <c r="BE132" i="25"/>
  <c r="H410" i="33" s="1"/>
  <c r="J410" i="33" s="1"/>
  <c r="BE44" i="25"/>
  <c r="BE46" i="25" s="1"/>
  <c r="BE54" i="25" s="1"/>
  <c r="BE79" i="25" s="1"/>
  <c r="BE87" i="25" s="1"/>
  <c r="BE77" i="25"/>
  <c r="BE76" i="25"/>
  <c r="BE104" i="25"/>
  <c r="BE105" i="25" s="1"/>
  <c r="BE106" i="25" s="1"/>
  <c r="BE111" i="25" s="1"/>
  <c r="BE118" i="25"/>
  <c r="G303" i="26" s="1"/>
  <c r="I500" i="19"/>
  <c r="I512" i="19" s="1"/>
  <c r="C115" i="25" l="1"/>
  <c r="C116" i="25" s="1"/>
  <c r="C117" i="25" s="1"/>
  <c r="C119" i="25" s="1"/>
  <c r="C112" i="25"/>
  <c r="C122" i="25" s="1"/>
  <c r="C124" i="25" s="1"/>
  <c r="C126" i="25" s="1"/>
  <c r="L10" i="26"/>
  <c r="I10" i="26"/>
  <c r="K10" i="26"/>
  <c r="H10" i="26"/>
  <c r="J10" i="26"/>
  <c r="F17" i="33"/>
  <c r="H17" i="33" s="1"/>
  <c r="J17" i="33" s="1"/>
  <c r="P10" i="26"/>
  <c r="O10" i="26"/>
  <c r="N10" i="26"/>
  <c r="M10" i="26"/>
  <c r="BK122" i="25"/>
  <c r="BK124" i="25" s="1"/>
  <c r="BK126" i="25" s="1"/>
  <c r="BK129" i="25" s="1"/>
  <c r="BK130" i="25" s="1"/>
  <c r="BK93" i="25"/>
  <c r="BK95" i="25"/>
  <c r="BK96" i="25" s="1"/>
  <c r="C78" i="25"/>
  <c r="C88" i="25" s="1"/>
  <c r="C90" i="25" s="1"/>
  <c r="C92" i="25" s="1"/>
  <c r="C80" i="25"/>
  <c r="C81" i="25" s="1"/>
  <c r="C82" i="25" s="1"/>
  <c r="C83" i="25" s="1"/>
  <c r="C85" i="25" s="1"/>
  <c r="N335" i="26"/>
  <c r="BK114" i="25"/>
  <c r="BK115" i="25" s="1"/>
  <c r="BK116" i="25" s="1"/>
  <c r="BK117" i="25" s="1"/>
  <c r="BK119" i="25" s="1"/>
  <c r="O335" i="26"/>
  <c r="I335" i="26"/>
  <c r="P335" i="26"/>
  <c r="F450" i="33"/>
  <c r="H450" i="33" s="1"/>
  <c r="J450" i="33" s="1"/>
  <c r="K335" i="26"/>
  <c r="L335" i="26"/>
  <c r="M335" i="26"/>
  <c r="H335" i="26"/>
  <c r="AY122" i="25"/>
  <c r="AY124" i="25" s="1"/>
  <c r="AY126" i="25" s="1"/>
  <c r="AY127" i="25" s="1"/>
  <c r="AG115" i="25"/>
  <c r="AG116" i="25" s="1"/>
  <c r="AG80" i="25"/>
  <c r="AG81" i="25" s="1"/>
  <c r="AG82" i="25" s="1"/>
  <c r="AG83" i="25" s="1"/>
  <c r="AG85" i="25" s="1"/>
  <c r="AG112" i="25"/>
  <c r="AG122" i="25" s="1"/>
  <c r="AG124" i="25" s="1"/>
  <c r="AG126" i="25" s="1"/>
  <c r="AG129" i="25" s="1"/>
  <c r="I237" i="26"/>
  <c r="L237" i="26"/>
  <c r="AS88" i="25"/>
  <c r="AS90" i="25" s="1"/>
  <c r="AS92" i="25" s="1"/>
  <c r="AS94" i="25" s="1"/>
  <c r="K237" i="26"/>
  <c r="M237" i="26"/>
  <c r="J237" i="26"/>
  <c r="AS122" i="25"/>
  <c r="AS124" i="25" s="1"/>
  <c r="AS126" i="25" s="1"/>
  <c r="AS127" i="25" s="1"/>
  <c r="AS114" i="25"/>
  <c r="AS115" i="25" s="1"/>
  <c r="AS116" i="25" s="1"/>
  <c r="H237" i="26"/>
  <c r="P237" i="26"/>
  <c r="F322" i="33"/>
  <c r="H322" i="33" s="1"/>
  <c r="J322" i="33" s="1"/>
  <c r="N237" i="26"/>
  <c r="O237" i="26"/>
  <c r="AS80" i="25"/>
  <c r="AS81" i="25" s="1"/>
  <c r="AS82" i="25" s="1"/>
  <c r="AS83" i="25" s="1"/>
  <c r="AS85" i="25" s="1"/>
  <c r="U122" i="25"/>
  <c r="U124" i="25" s="1"/>
  <c r="U126" i="25" s="1"/>
  <c r="U127" i="25" s="1"/>
  <c r="J171" i="26"/>
  <c r="P171" i="26"/>
  <c r="L171" i="26"/>
  <c r="F235" i="33"/>
  <c r="H235" i="33" s="1"/>
  <c r="J235" i="33" s="1"/>
  <c r="K171" i="26"/>
  <c r="H171" i="26"/>
  <c r="I171" i="26"/>
  <c r="N171" i="26"/>
  <c r="O171" i="26"/>
  <c r="H106" i="26"/>
  <c r="N106" i="26"/>
  <c r="AG94" i="25"/>
  <c r="AG93" i="25"/>
  <c r="P106" i="26"/>
  <c r="J106" i="26"/>
  <c r="I106" i="26"/>
  <c r="L106" i="26"/>
  <c r="M106" i="26"/>
  <c r="O106" i="26"/>
  <c r="K106" i="26"/>
  <c r="AY94" i="25"/>
  <c r="AY93" i="25"/>
  <c r="U114" i="25"/>
  <c r="U115" i="25" s="1"/>
  <c r="U116" i="25" s="1"/>
  <c r="U78" i="25"/>
  <c r="U88" i="25" s="1"/>
  <c r="U90" i="25" s="1"/>
  <c r="U92" i="25" s="1"/>
  <c r="U93" i="25" s="1"/>
  <c r="AA93" i="25"/>
  <c r="AA94" i="25"/>
  <c r="J271" i="26"/>
  <c r="M271" i="26"/>
  <c r="I271" i="26"/>
  <c r="F366" i="33"/>
  <c r="H366" i="33" s="1"/>
  <c r="J366" i="33" s="1"/>
  <c r="H271" i="26"/>
  <c r="AY114" i="25"/>
  <c r="AY115" i="25" s="1"/>
  <c r="AY116" i="25" s="1"/>
  <c r="P271" i="26"/>
  <c r="K271" i="26"/>
  <c r="O271" i="26"/>
  <c r="N271" i="26"/>
  <c r="L271" i="26"/>
  <c r="H74" i="26"/>
  <c r="N74" i="26"/>
  <c r="I74" i="26"/>
  <c r="F103" i="33"/>
  <c r="H103" i="33" s="1"/>
  <c r="J103" i="33" s="1"/>
  <c r="L74" i="26"/>
  <c r="K74" i="26"/>
  <c r="M74" i="26"/>
  <c r="J74" i="26"/>
  <c r="P74" i="26"/>
  <c r="O74" i="26"/>
  <c r="O111" i="25"/>
  <c r="O110" i="25"/>
  <c r="O80" i="25"/>
  <c r="O81" i="25" s="1"/>
  <c r="O82" i="25" s="1"/>
  <c r="O83" i="25" s="1"/>
  <c r="O85" i="25" s="1"/>
  <c r="O78" i="25"/>
  <c r="O88" i="25" s="1"/>
  <c r="O90" i="25" s="1"/>
  <c r="O92" i="25" s="1"/>
  <c r="I110" i="25"/>
  <c r="I114" i="25" s="1"/>
  <c r="I115" i="25" s="1"/>
  <c r="I116" i="25" s="1"/>
  <c r="AA112" i="25"/>
  <c r="AA122" i="25" s="1"/>
  <c r="AA124" i="25" s="1"/>
  <c r="AA126" i="25" s="1"/>
  <c r="AA129" i="25" s="1"/>
  <c r="AA130" i="25" s="1"/>
  <c r="AA114" i="25"/>
  <c r="AA115" i="25" s="1"/>
  <c r="AA116" i="25" s="1"/>
  <c r="P138" i="26"/>
  <c r="O138" i="26"/>
  <c r="F192" i="33"/>
  <c r="H192" i="33" s="1"/>
  <c r="J192" i="33" s="1"/>
  <c r="J138" i="26"/>
  <c r="N138" i="26"/>
  <c r="M138" i="26"/>
  <c r="I138" i="26"/>
  <c r="L138" i="26"/>
  <c r="K138" i="26"/>
  <c r="H138" i="26"/>
  <c r="M42" i="26"/>
  <c r="J42" i="26"/>
  <c r="K42" i="26"/>
  <c r="F60" i="33"/>
  <c r="H60" i="33" s="1"/>
  <c r="J60" i="33" s="1"/>
  <c r="H42" i="26"/>
  <c r="I42" i="26"/>
  <c r="O42" i="26"/>
  <c r="P42" i="26"/>
  <c r="N42" i="26"/>
  <c r="L42" i="26"/>
  <c r="I78" i="25"/>
  <c r="I88" i="25" s="1"/>
  <c r="I90" i="25" s="1"/>
  <c r="I92" i="25" s="1"/>
  <c r="I80" i="25"/>
  <c r="I81" i="25" s="1"/>
  <c r="I82" i="25" s="1"/>
  <c r="I83" i="25" s="1"/>
  <c r="I85" i="25" s="1"/>
  <c r="BE110" i="25"/>
  <c r="BE112" i="25" s="1"/>
  <c r="BE122" i="25" s="1"/>
  <c r="BE124" i="25" s="1"/>
  <c r="BE126" i="25" s="1"/>
  <c r="O203" i="26"/>
  <c r="L203" i="26"/>
  <c r="F278" i="33"/>
  <c r="H278" i="33" s="1"/>
  <c r="J278" i="33" s="1"/>
  <c r="N203" i="26"/>
  <c r="I203" i="26"/>
  <c r="M203" i="26"/>
  <c r="J203" i="26"/>
  <c r="H203" i="26"/>
  <c r="P203" i="26"/>
  <c r="K203" i="26"/>
  <c r="AM78" i="25"/>
  <c r="AM88" i="25" s="1"/>
  <c r="AM90" i="25" s="1"/>
  <c r="AM92" i="25" s="1"/>
  <c r="AM80" i="25"/>
  <c r="AM81" i="25" s="1"/>
  <c r="AM82" i="25" s="1"/>
  <c r="AM83" i="25" s="1"/>
  <c r="AM85" i="25" s="1"/>
  <c r="AM110" i="25"/>
  <c r="BE78" i="25"/>
  <c r="BE88" i="25" s="1"/>
  <c r="BE90" i="25" s="1"/>
  <c r="BE92" i="25" s="1"/>
  <c r="BE80" i="25"/>
  <c r="BE81" i="25" s="1"/>
  <c r="BE82" i="25" s="1"/>
  <c r="BE83" i="25" s="1"/>
  <c r="BE85" i="25" s="1"/>
  <c r="I303" i="26"/>
  <c r="N303" i="26"/>
  <c r="F408" i="33"/>
  <c r="H408" i="33" s="1"/>
  <c r="J408" i="33" s="1"/>
  <c r="M303" i="26"/>
  <c r="J303" i="26"/>
  <c r="P303" i="26"/>
  <c r="O303" i="26"/>
  <c r="H303" i="26"/>
  <c r="K303" i="26"/>
  <c r="L303" i="26"/>
  <c r="AA96" i="25"/>
  <c r="C127" i="25" l="1"/>
  <c r="C128" i="25"/>
  <c r="C129" i="25"/>
  <c r="C130" i="25" s="1"/>
  <c r="M467" i="19"/>
  <c r="H490" i="19" s="1"/>
  <c r="H502" i="19" s="1"/>
  <c r="EN477" i="19"/>
  <c r="EO477" i="19" s="1"/>
  <c r="EM467" i="19"/>
  <c r="BK127" i="25"/>
  <c r="EN467" i="19" s="1"/>
  <c r="EN468" i="19" s="1"/>
  <c r="G344" i="26" s="1"/>
  <c r="P344" i="26" s="1"/>
  <c r="BK128" i="25"/>
  <c r="C93" i="25"/>
  <c r="C95" i="25"/>
  <c r="C96" i="25" s="1"/>
  <c r="C94" i="25"/>
  <c r="F490" i="19"/>
  <c r="F502" i="19" s="1"/>
  <c r="E500" i="19"/>
  <c r="E512" i="19" s="1"/>
  <c r="AA117" i="25"/>
  <c r="AA119" i="25" s="1"/>
  <c r="I117" i="25"/>
  <c r="I119" i="25" s="1"/>
  <c r="G43" i="26" s="1"/>
  <c r="H43" i="26" s="1"/>
  <c r="AY117" i="25"/>
  <c r="AY119" i="25" s="1"/>
  <c r="U117" i="25"/>
  <c r="U119" i="25" s="1"/>
  <c r="AS117" i="25"/>
  <c r="AS119" i="25" s="1"/>
  <c r="G238" i="26" s="1"/>
  <c r="F323" i="33" s="1"/>
  <c r="M24" i="39" s="1"/>
  <c r="AG117" i="25"/>
  <c r="AG119" i="25" s="1"/>
  <c r="G172" i="26" s="1"/>
  <c r="G11" i="26"/>
  <c r="G336" i="26"/>
  <c r="H500" i="19"/>
  <c r="H512" i="19" s="1"/>
  <c r="G490" i="19"/>
  <c r="G502" i="19" s="1"/>
  <c r="AY129" i="25"/>
  <c r="AY130" i="25" s="1"/>
  <c r="AY128" i="25"/>
  <c r="DM467" i="19"/>
  <c r="H498" i="19" s="1"/>
  <c r="H510" i="19" s="1"/>
  <c r="AS95" i="25"/>
  <c r="AS96" i="25" s="1"/>
  <c r="AG127" i="25"/>
  <c r="CA467" i="19" s="1"/>
  <c r="CA468" i="19" s="1"/>
  <c r="G179" i="26" s="1"/>
  <c r="BZ467" i="19"/>
  <c r="K35" i="39" s="1"/>
  <c r="AG128" i="25"/>
  <c r="AS93" i="25"/>
  <c r="DA467" i="19" s="1"/>
  <c r="DA468" i="19" s="1"/>
  <c r="G246" i="26" s="1"/>
  <c r="AS128" i="25"/>
  <c r="AS129" i="25"/>
  <c r="AS130" i="25" s="1"/>
  <c r="CZ467" i="19"/>
  <c r="M35" i="39" s="1"/>
  <c r="U129" i="25"/>
  <c r="U130" i="25" s="1"/>
  <c r="U128" i="25"/>
  <c r="BA467" i="19"/>
  <c r="BA468" i="19" s="1"/>
  <c r="G114" i="26" s="1"/>
  <c r="F158" i="33" s="1"/>
  <c r="DN467" i="19"/>
  <c r="DN468" i="19" s="1"/>
  <c r="G280" i="26" s="1"/>
  <c r="H280" i="26" s="1"/>
  <c r="U95" i="25"/>
  <c r="U96" i="25" s="1"/>
  <c r="U94" i="25"/>
  <c r="AZ467" i="19"/>
  <c r="I35" i="39" s="1"/>
  <c r="O112" i="25"/>
  <c r="O122" i="25" s="1"/>
  <c r="O124" i="25" s="1"/>
  <c r="O126" i="25" s="1"/>
  <c r="AM467" i="19" s="1"/>
  <c r="H35" i="39" s="1"/>
  <c r="O114" i="25"/>
  <c r="O115" i="25" s="1"/>
  <c r="O116" i="25" s="1"/>
  <c r="O94" i="25"/>
  <c r="O95" i="25"/>
  <c r="O93" i="25"/>
  <c r="I112" i="25"/>
  <c r="I122" i="25" s="1"/>
  <c r="I124" i="25" s="1"/>
  <c r="I126" i="25" s="1"/>
  <c r="Z467" i="19" s="1"/>
  <c r="G35" i="39" s="1"/>
  <c r="BE114" i="25"/>
  <c r="BE115" i="25" s="1"/>
  <c r="BE116" i="25" s="1"/>
  <c r="AA128" i="25"/>
  <c r="AA127" i="25"/>
  <c r="BN467" i="19" s="1"/>
  <c r="BN468" i="19" s="1"/>
  <c r="G146" i="26" s="1"/>
  <c r="M146" i="26" s="1"/>
  <c r="BM467" i="19"/>
  <c r="J35" i="39" s="1"/>
  <c r="BN477" i="19"/>
  <c r="BO477" i="19" s="1"/>
  <c r="I94" i="25"/>
  <c r="I95" i="25"/>
  <c r="I93" i="25"/>
  <c r="AM112" i="25"/>
  <c r="AM122" i="25" s="1"/>
  <c r="AM124" i="25" s="1"/>
  <c r="AM126" i="25" s="1"/>
  <c r="CM467" i="19" s="1"/>
  <c r="L35" i="39" s="1"/>
  <c r="AM114" i="25"/>
  <c r="AM115" i="25" s="1"/>
  <c r="AM116" i="25" s="1"/>
  <c r="AM93" i="25"/>
  <c r="AM95" i="25"/>
  <c r="AM94" i="25"/>
  <c r="BE94" i="25"/>
  <c r="DZ467" i="19"/>
  <c r="G499" i="19" s="1"/>
  <c r="G511" i="19" s="1"/>
  <c r="BE93" i="25"/>
  <c r="BE95" i="25"/>
  <c r="BE127" i="25"/>
  <c r="BE128" i="25"/>
  <c r="BE129" i="25"/>
  <c r="BE130" i="25" s="1"/>
  <c r="AG130" i="25"/>
  <c r="CA477" i="19"/>
  <c r="EO467" i="19" l="1"/>
  <c r="G500" i="19"/>
  <c r="G512" i="19" s="1"/>
  <c r="N35" i="39"/>
  <c r="I498" i="19"/>
  <c r="I510" i="19" s="1"/>
  <c r="O35" i="39"/>
  <c r="H499" i="19"/>
  <c r="H511" i="19" s="1"/>
  <c r="E490" i="19"/>
  <c r="E502" i="19" s="1"/>
  <c r="I490" i="19"/>
  <c r="I502" i="19" s="1"/>
  <c r="I495" i="19"/>
  <c r="I507" i="19" s="1"/>
  <c r="EN480" i="19"/>
  <c r="G346" i="26" s="1"/>
  <c r="K346" i="26" s="1"/>
  <c r="I344" i="26"/>
  <c r="K344" i="26"/>
  <c r="N467" i="19"/>
  <c r="N468" i="19" s="1"/>
  <c r="G18" i="26" s="1"/>
  <c r="F27" i="33" s="1"/>
  <c r="O344" i="26"/>
  <c r="M344" i="26"/>
  <c r="EM472" i="19"/>
  <c r="EN474" i="19" s="1"/>
  <c r="G345" i="26" s="1"/>
  <c r="M345" i="26" s="1"/>
  <c r="D500" i="19"/>
  <c r="D512" i="19" s="1"/>
  <c r="O467" i="19"/>
  <c r="M472" i="19"/>
  <c r="N474" i="19" s="1"/>
  <c r="G19" i="26" s="1"/>
  <c r="M19" i="26" s="1"/>
  <c r="F35" i="39"/>
  <c r="D490" i="19"/>
  <c r="D502" i="19" s="1"/>
  <c r="J344" i="26"/>
  <c r="L344" i="26"/>
  <c r="N344" i="26"/>
  <c r="F460" i="33"/>
  <c r="H344" i="26"/>
  <c r="P35" i="39"/>
  <c r="F500" i="19"/>
  <c r="F512" i="19" s="1"/>
  <c r="N477" i="19"/>
  <c r="N480" i="19" s="1"/>
  <c r="O480" i="19" s="1"/>
  <c r="G21" i="26" s="1"/>
  <c r="E498" i="19"/>
  <c r="E510" i="19" s="1"/>
  <c r="F498" i="19"/>
  <c r="F510" i="19" s="1"/>
  <c r="I172" i="26"/>
  <c r="P172" i="26"/>
  <c r="K172" i="26"/>
  <c r="L172" i="26"/>
  <c r="J172" i="26"/>
  <c r="O172" i="26"/>
  <c r="N172" i="26"/>
  <c r="I74" i="34" s="1"/>
  <c r="AM117" i="25"/>
  <c r="AM119" i="25" s="1"/>
  <c r="BE117" i="25"/>
  <c r="BE119" i="25" s="1"/>
  <c r="O117" i="25"/>
  <c r="O119" i="25" s="1"/>
  <c r="O336" i="26"/>
  <c r="H336" i="26"/>
  <c r="F451" i="33"/>
  <c r="N336" i="26"/>
  <c r="N74" i="34" s="1"/>
  <c r="M336" i="26"/>
  <c r="K336" i="26"/>
  <c r="L336" i="26"/>
  <c r="J336" i="26"/>
  <c r="I336" i="26"/>
  <c r="P336" i="26"/>
  <c r="O11" i="26"/>
  <c r="P11" i="26"/>
  <c r="N11" i="26"/>
  <c r="D74" i="34" s="1"/>
  <c r="L11" i="26"/>
  <c r="H11" i="26"/>
  <c r="M11" i="26"/>
  <c r="K11" i="26"/>
  <c r="J11" i="26"/>
  <c r="F18" i="33"/>
  <c r="I11" i="26"/>
  <c r="G107" i="26"/>
  <c r="G272" i="26"/>
  <c r="G139" i="26"/>
  <c r="H323" i="33"/>
  <c r="J323" i="33" s="1"/>
  <c r="K324" i="33" s="1"/>
  <c r="D82" i="34" s="1"/>
  <c r="F236" i="33"/>
  <c r="K24" i="39" s="1"/>
  <c r="H495" i="19"/>
  <c r="H507" i="19" s="1"/>
  <c r="G498" i="19"/>
  <c r="G510" i="19" s="1"/>
  <c r="I496" i="19"/>
  <c r="I508" i="19" s="1"/>
  <c r="H491" i="19"/>
  <c r="H503" i="19" s="1"/>
  <c r="D499" i="19"/>
  <c r="D511" i="19" s="1"/>
  <c r="F497" i="19"/>
  <c r="F509" i="19" s="1"/>
  <c r="D494" i="19"/>
  <c r="D506" i="19" s="1"/>
  <c r="H492" i="19"/>
  <c r="H504" i="19" s="1"/>
  <c r="H172" i="26"/>
  <c r="M172" i="26"/>
  <c r="D498" i="19"/>
  <c r="D510" i="19" s="1"/>
  <c r="DM472" i="19"/>
  <c r="DN474" i="19" s="1"/>
  <c r="G281" i="26" s="1"/>
  <c r="H281" i="26" s="1"/>
  <c r="F495" i="19"/>
  <c r="F507" i="19" s="1"/>
  <c r="DO467" i="19"/>
  <c r="E495" i="19"/>
  <c r="E507" i="19" s="1"/>
  <c r="G495" i="19"/>
  <c r="G507" i="19" s="1"/>
  <c r="E497" i="19"/>
  <c r="E509" i="19" s="1"/>
  <c r="DN477" i="19"/>
  <c r="DN480" i="19" s="1"/>
  <c r="G282" i="26" s="1"/>
  <c r="K282" i="26" s="1"/>
  <c r="DB467" i="19"/>
  <c r="D497" i="19"/>
  <c r="D509" i="19" s="1"/>
  <c r="M114" i="26"/>
  <c r="K114" i="26"/>
  <c r="M238" i="26"/>
  <c r="P114" i="26"/>
  <c r="K238" i="26"/>
  <c r="D495" i="19"/>
  <c r="D507" i="19" s="1"/>
  <c r="CB467" i="19"/>
  <c r="BZ472" i="19"/>
  <c r="CA474" i="19" s="1"/>
  <c r="G180" i="26" s="1"/>
  <c r="L180" i="26" s="1"/>
  <c r="J238" i="26"/>
  <c r="I238" i="26"/>
  <c r="O238" i="26"/>
  <c r="H238" i="26"/>
  <c r="N238" i="26"/>
  <c r="K74" i="34" s="1"/>
  <c r="P238" i="26"/>
  <c r="M179" i="26"/>
  <c r="P179" i="26"/>
  <c r="CZ472" i="19"/>
  <c r="DA474" i="19" s="1"/>
  <c r="G247" i="26" s="1"/>
  <c r="H247" i="26" s="1"/>
  <c r="H497" i="19"/>
  <c r="H509" i="19" s="1"/>
  <c r="I493" i="19"/>
  <c r="I505" i="19" s="1"/>
  <c r="H493" i="19"/>
  <c r="H505" i="19" s="1"/>
  <c r="DA477" i="19"/>
  <c r="DB477" i="19" s="1"/>
  <c r="K246" i="26"/>
  <c r="N246" i="26"/>
  <c r="L246" i="26"/>
  <c r="O246" i="26"/>
  <c r="J246" i="26"/>
  <c r="M246" i="26"/>
  <c r="P246" i="26"/>
  <c r="I246" i="26"/>
  <c r="H246" i="26"/>
  <c r="F332" i="33"/>
  <c r="H179" i="26"/>
  <c r="I179" i="26"/>
  <c r="H114" i="26"/>
  <c r="J114" i="26"/>
  <c r="L114" i="26"/>
  <c r="I114" i="26"/>
  <c r="N114" i="26"/>
  <c r="O114" i="26"/>
  <c r="D492" i="19"/>
  <c r="D504" i="19" s="1"/>
  <c r="I492" i="19"/>
  <c r="I504" i="19" s="1"/>
  <c r="L238" i="26"/>
  <c r="G497" i="19"/>
  <c r="G509" i="19" s="1"/>
  <c r="I497" i="19"/>
  <c r="I509" i="19" s="1"/>
  <c r="G493" i="19"/>
  <c r="G505" i="19" s="1"/>
  <c r="D493" i="19"/>
  <c r="D505" i="19" s="1"/>
  <c r="H496" i="19"/>
  <c r="H508" i="19" s="1"/>
  <c r="D496" i="19"/>
  <c r="D508" i="19" s="1"/>
  <c r="E491" i="19"/>
  <c r="E503" i="19" s="1"/>
  <c r="D491" i="19"/>
  <c r="D503" i="19" s="1"/>
  <c r="J179" i="26"/>
  <c r="F493" i="19"/>
  <c r="F505" i="19" s="1"/>
  <c r="L280" i="26"/>
  <c r="K179" i="26"/>
  <c r="O179" i="26"/>
  <c r="P280" i="26"/>
  <c r="L179" i="26"/>
  <c r="N179" i="26"/>
  <c r="I280" i="26"/>
  <c r="F245" i="33"/>
  <c r="K280" i="26"/>
  <c r="F376" i="33"/>
  <c r="O280" i="26"/>
  <c r="M280" i="26"/>
  <c r="N280" i="26"/>
  <c r="J280" i="26"/>
  <c r="E493" i="19"/>
  <c r="E505" i="19" s="1"/>
  <c r="AZ472" i="19"/>
  <c r="BA474" i="19" s="1"/>
  <c r="G115" i="26" s="1"/>
  <c r="M115" i="26" s="1"/>
  <c r="BA477" i="19"/>
  <c r="BB477" i="19" s="1"/>
  <c r="BB467" i="19"/>
  <c r="E494" i="19"/>
  <c r="E506" i="19" s="1"/>
  <c r="H494" i="19"/>
  <c r="H506" i="19" s="1"/>
  <c r="F492" i="19"/>
  <c r="F504" i="19" s="1"/>
  <c r="E492" i="19"/>
  <c r="E504" i="19" s="1"/>
  <c r="G494" i="19"/>
  <c r="G506" i="19" s="1"/>
  <c r="F494" i="19"/>
  <c r="F506" i="19" s="1"/>
  <c r="G491" i="19"/>
  <c r="G503" i="19" s="1"/>
  <c r="F491" i="19"/>
  <c r="F503" i="19" s="1"/>
  <c r="AO467" i="19"/>
  <c r="AM472" i="19"/>
  <c r="AN474" i="19" s="1"/>
  <c r="G83" i="26" s="1"/>
  <c r="G492" i="19"/>
  <c r="O96" i="25"/>
  <c r="O129" i="25"/>
  <c r="O130" i="25" s="1"/>
  <c r="O128" i="25"/>
  <c r="O127" i="25"/>
  <c r="AN467" i="19" s="1"/>
  <c r="AN468" i="19" s="1"/>
  <c r="G82" i="26" s="1"/>
  <c r="I128" i="25"/>
  <c r="I129" i="25"/>
  <c r="I130" i="25" s="1"/>
  <c r="I127" i="25"/>
  <c r="AA467" i="19" s="1"/>
  <c r="AA468" i="19" s="1"/>
  <c r="G50" i="26" s="1"/>
  <c r="J50" i="26" s="1"/>
  <c r="I43" i="26"/>
  <c r="O43" i="26"/>
  <c r="J146" i="26"/>
  <c r="H146" i="26"/>
  <c r="K146" i="26"/>
  <c r="BN480" i="19"/>
  <c r="BO480" i="19" s="1"/>
  <c r="M43" i="26"/>
  <c r="L146" i="26"/>
  <c r="P146" i="26"/>
  <c r="F202" i="33"/>
  <c r="N146" i="26"/>
  <c r="P43" i="26"/>
  <c r="O146" i="26"/>
  <c r="I146" i="26"/>
  <c r="F61" i="33"/>
  <c r="G24" i="39" s="1"/>
  <c r="I494" i="19"/>
  <c r="BO467" i="19"/>
  <c r="BM472" i="19"/>
  <c r="BN474" i="19" s="1"/>
  <c r="G147" i="26" s="1"/>
  <c r="K43" i="26"/>
  <c r="L43" i="26"/>
  <c r="J43" i="26"/>
  <c r="N43" i="26"/>
  <c r="E74" i="34" s="1"/>
  <c r="I491" i="19"/>
  <c r="AB467" i="19"/>
  <c r="Z472" i="19"/>
  <c r="AA474" i="19" s="1"/>
  <c r="G51" i="26" s="1"/>
  <c r="I96" i="25"/>
  <c r="E496" i="19"/>
  <c r="E508" i="19" s="1"/>
  <c r="G496" i="19"/>
  <c r="G508" i="19" s="1"/>
  <c r="AM96" i="25"/>
  <c r="F496" i="19"/>
  <c r="CM472" i="19"/>
  <c r="CN474" i="19" s="1"/>
  <c r="G213" i="26" s="1"/>
  <c r="CO467" i="19"/>
  <c r="AM127" i="25"/>
  <c r="CN467" i="19" s="1"/>
  <c r="CN468" i="19" s="1"/>
  <c r="G212" i="26" s="1"/>
  <c r="AM129" i="25"/>
  <c r="AM130" i="25" s="1"/>
  <c r="AM128" i="25"/>
  <c r="BE96" i="25"/>
  <c r="EA477" i="19"/>
  <c r="EA467" i="19"/>
  <c r="EA468" i="19" s="1"/>
  <c r="G312" i="26" s="1"/>
  <c r="F499" i="19"/>
  <c r="F511" i="19" s="1"/>
  <c r="DZ472" i="19"/>
  <c r="EA474" i="19" s="1"/>
  <c r="G313" i="26" s="1"/>
  <c r="EB467" i="19"/>
  <c r="E499" i="19"/>
  <c r="CB477" i="19"/>
  <c r="CA480" i="19"/>
  <c r="O346" i="26" l="1"/>
  <c r="N346" i="26"/>
  <c r="EO480" i="19"/>
  <c r="G347" i="26" s="1"/>
  <c r="M346" i="26"/>
  <c r="G357" i="26"/>
  <c r="I357" i="26" s="1"/>
  <c r="N357" i="26" s="1"/>
  <c r="O357" i="26" s="1"/>
  <c r="F461" i="33"/>
  <c r="H346" i="26"/>
  <c r="L346" i="26"/>
  <c r="O18" i="26"/>
  <c r="J502" i="19"/>
  <c r="J490" i="19" s="1"/>
  <c r="K490" i="19" s="1"/>
  <c r="N490" i="19" s="1"/>
  <c r="J27" i="33" s="1"/>
  <c r="J346" i="26"/>
  <c r="P346" i="26"/>
  <c r="I346" i="26"/>
  <c r="L345" i="26"/>
  <c r="K18" i="26"/>
  <c r="L18" i="26"/>
  <c r="I345" i="26"/>
  <c r="H345" i="26"/>
  <c r="P345" i="26"/>
  <c r="K345" i="26"/>
  <c r="N345" i="26"/>
  <c r="O345" i="26"/>
  <c r="J345" i="26"/>
  <c r="A490" i="19"/>
  <c r="M490" i="19" s="1"/>
  <c r="H18" i="26"/>
  <c r="J18" i="26"/>
  <c r="P18" i="26"/>
  <c r="M18" i="26"/>
  <c r="A500" i="19"/>
  <c r="M500" i="19" s="1"/>
  <c r="K19" i="26"/>
  <c r="L19" i="26"/>
  <c r="J19" i="26"/>
  <c r="I19" i="26"/>
  <c r="N19" i="26"/>
  <c r="P19" i="26"/>
  <c r="J512" i="19"/>
  <c r="J500" i="19" s="1"/>
  <c r="K500" i="19" s="1"/>
  <c r="N500" i="19" s="1"/>
  <c r="J460" i="33" s="1"/>
  <c r="I18" i="26"/>
  <c r="N18" i="26"/>
  <c r="H19" i="26"/>
  <c r="O19" i="26"/>
  <c r="G20" i="26"/>
  <c r="G31" i="26" s="1"/>
  <c r="I31" i="26" s="1"/>
  <c r="N31" i="26" s="1"/>
  <c r="O477" i="19"/>
  <c r="N281" i="26"/>
  <c r="I281" i="26"/>
  <c r="J510" i="19"/>
  <c r="J498" i="19" s="1"/>
  <c r="K498" i="19" s="1"/>
  <c r="N498" i="19" s="1"/>
  <c r="J377" i="33" s="1"/>
  <c r="J281" i="26"/>
  <c r="I282" i="26"/>
  <c r="A498" i="19"/>
  <c r="P498" i="19" s="1"/>
  <c r="R498" i="19" s="1"/>
  <c r="H139" i="26"/>
  <c r="O139" i="26"/>
  <c r="K139" i="26"/>
  <c r="P139" i="26"/>
  <c r="L139" i="26"/>
  <c r="I139" i="26"/>
  <c r="J139" i="26"/>
  <c r="N139" i="26"/>
  <c r="H74" i="34" s="1"/>
  <c r="F193" i="33"/>
  <c r="M139" i="26"/>
  <c r="I272" i="26"/>
  <c r="M272" i="26"/>
  <c r="J272" i="26"/>
  <c r="O272" i="26"/>
  <c r="H272" i="26"/>
  <c r="L272" i="26"/>
  <c r="N272" i="26"/>
  <c r="L74" i="34" s="1"/>
  <c r="P272" i="26"/>
  <c r="F367" i="33"/>
  <c r="K272" i="26"/>
  <c r="M107" i="26"/>
  <c r="H107" i="26"/>
  <c r="L107" i="26"/>
  <c r="J107" i="26"/>
  <c r="K107" i="26"/>
  <c r="O107" i="26"/>
  <c r="F149" i="33"/>
  <c r="N107" i="26"/>
  <c r="G74" i="34" s="1"/>
  <c r="P107" i="26"/>
  <c r="I107" i="26"/>
  <c r="F24" i="39"/>
  <c r="H18" i="33"/>
  <c r="J18" i="33" s="1"/>
  <c r="K19" i="33" s="1"/>
  <c r="D89" i="34" s="1"/>
  <c r="P24" i="39"/>
  <c r="H451" i="33"/>
  <c r="J451" i="33" s="1"/>
  <c r="K452" i="33" s="1"/>
  <c r="D79" i="34" s="1"/>
  <c r="G75" i="26"/>
  <c r="G304" i="26"/>
  <c r="G204" i="26"/>
  <c r="H236" i="33"/>
  <c r="J236" i="33" s="1"/>
  <c r="K237" i="33" s="1"/>
  <c r="D84" i="34" s="1"/>
  <c r="H61" i="33"/>
  <c r="J61" i="33" s="1"/>
  <c r="K62" i="33" s="1"/>
  <c r="D88" i="34" s="1"/>
  <c r="G293" i="26"/>
  <c r="I293" i="26" s="1"/>
  <c r="N293" i="26" s="1"/>
  <c r="O293" i="26" s="1"/>
  <c r="N282" i="26"/>
  <c r="P282" i="26"/>
  <c r="DO480" i="19"/>
  <c r="G283" i="26" s="1"/>
  <c r="M283" i="26" s="1"/>
  <c r="F377" i="33"/>
  <c r="M281" i="26"/>
  <c r="L281" i="26"/>
  <c r="P281" i="26"/>
  <c r="K281" i="26"/>
  <c r="O281" i="26"/>
  <c r="M282" i="26"/>
  <c r="O282" i="26"/>
  <c r="H282" i="26"/>
  <c r="J282" i="26"/>
  <c r="L282" i="26"/>
  <c r="DO477" i="19"/>
  <c r="O180" i="26"/>
  <c r="K180" i="26"/>
  <c r="N180" i="26"/>
  <c r="A495" i="19"/>
  <c r="M495" i="19" s="1"/>
  <c r="J180" i="26"/>
  <c r="H180" i="26"/>
  <c r="P180" i="26"/>
  <c r="M180" i="26"/>
  <c r="J507" i="19"/>
  <c r="J495" i="19" s="1"/>
  <c r="K495" i="19" s="1"/>
  <c r="K507" i="19" s="1"/>
  <c r="L507" i="19" s="1"/>
  <c r="M507" i="19" s="1"/>
  <c r="L247" i="26"/>
  <c r="K247" i="26"/>
  <c r="J247" i="26"/>
  <c r="M247" i="26"/>
  <c r="P247" i="26"/>
  <c r="I180" i="26"/>
  <c r="N247" i="26"/>
  <c r="I247" i="26"/>
  <c r="O247" i="26"/>
  <c r="DA480" i="19"/>
  <c r="DB480" i="19" s="1"/>
  <c r="G249" i="26" s="1"/>
  <c r="O249" i="26" s="1"/>
  <c r="J509" i="19"/>
  <c r="J497" i="19" s="1"/>
  <c r="K497" i="19" s="1"/>
  <c r="K509" i="19" s="1"/>
  <c r="L509" i="19" s="1"/>
  <c r="M509" i="19" s="1"/>
  <c r="A497" i="19"/>
  <c r="M497" i="19" s="1"/>
  <c r="J505" i="19"/>
  <c r="J493" i="19" s="1"/>
  <c r="K493" i="19" s="1"/>
  <c r="L493" i="19" s="1"/>
  <c r="I115" i="26"/>
  <c r="L115" i="26"/>
  <c r="O115" i="26"/>
  <c r="A493" i="19"/>
  <c r="BA480" i="19"/>
  <c r="BB480" i="19" s="1"/>
  <c r="G117" i="26" s="1"/>
  <c r="H115" i="26"/>
  <c r="K115" i="26"/>
  <c r="J115" i="26"/>
  <c r="P115" i="26"/>
  <c r="N115" i="26"/>
  <c r="I82" i="26"/>
  <c r="M82" i="26"/>
  <c r="J82" i="26"/>
  <c r="N82" i="26"/>
  <c r="H82" i="26"/>
  <c r="K82" i="26"/>
  <c r="F113" i="33"/>
  <c r="O82" i="26"/>
  <c r="L82" i="26"/>
  <c r="P82" i="26"/>
  <c r="G504" i="19"/>
  <c r="J504" i="19" s="1"/>
  <c r="J492" i="19" s="1"/>
  <c r="K492" i="19" s="1"/>
  <c r="A492" i="19"/>
  <c r="M83" i="26"/>
  <c r="L83" i="26"/>
  <c r="N83" i="26"/>
  <c r="K83" i="26"/>
  <c r="I83" i="26"/>
  <c r="H83" i="26"/>
  <c r="O83" i="26"/>
  <c r="P83" i="26"/>
  <c r="J83" i="26"/>
  <c r="AN477" i="19"/>
  <c r="AA477" i="19"/>
  <c r="AA480" i="19" s="1"/>
  <c r="G148" i="26"/>
  <c r="M148" i="26" s="1"/>
  <c r="I506" i="19"/>
  <c r="J506" i="19" s="1"/>
  <c r="J494" i="19" s="1"/>
  <c r="K494" i="19" s="1"/>
  <c r="A494" i="19"/>
  <c r="L50" i="26"/>
  <c r="P50" i="26"/>
  <c r="K50" i="26"/>
  <c r="H50" i="26"/>
  <c r="N50" i="26"/>
  <c r="O50" i="26"/>
  <c r="I50" i="26"/>
  <c r="M50" i="26"/>
  <c r="F70" i="33"/>
  <c r="N147" i="26"/>
  <c r="P147" i="26"/>
  <c r="O147" i="26"/>
  <c r="L147" i="26"/>
  <c r="K147" i="26"/>
  <c r="I147" i="26"/>
  <c r="H147" i="26"/>
  <c r="J147" i="26"/>
  <c r="M147" i="26"/>
  <c r="P51" i="26"/>
  <c r="M51" i="26"/>
  <c r="L51" i="26"/>
  <c r="J51" i="26"/>
  <c r="N51" i="26"/>
  <c r="K51" i="26"/>
  <c r="O51" i="26"/>
  <c r="I51" i="26"/>
  <c r="H51" i="26"/>
  <c r="I503" i="19"/>
  <c r="J503" i="19" s="1"/>
  <c r="J491" i="19" s="1"/>
  <c r="K491" i="19" s="1"/>
  <c r="A491" i="19"/>
  <c r="I213" i="26"/>
  <c r="M213" i="26"/>
  <c r="H213" i="26"/>
  <c r="O213" i="26"/>
  <c r="K213" i="26"/>
  <c r="N213" i="26"/>
  <c r="J213" i="26"/>
  <c r="P213" i="26"/>
  <c r="L213" i="26"/>
  <c r="F508" i="19"/>
  <c r="J508" i="19" s="1"/>
  <c r="J496" i="19" s="1"/>
  <c r="K496" i="19" s="1"/>
  <c r="A496" i="19"/>
  <c r="N212" i="26"/>
  <c r="I212" i="26"/>
  <c r="K212" i="26"/>
  <c r="P212" i="26"/>
  <c r="L212" i="26"/>
  <c r="J212" i="26"/>
  <c r="M212" i="26"/>
  <c r="F288" i="33"/>
  <c r="H212" i="26"/>
  <c r="O212" i="26"/>
  <c r="CN477" i="19"/>
  <c r="E511" i="19"/>
  <c r="J511" i="19" s="1"/>
  <c r="J499" i="19" s="1"/>
  <c r="K499" i="19" s="1"/>
  <c r="A499" i="19"/>
  <c r="M313" i="26"/>
  <c r="L313" i="26"/>
  <c r="I313" i="26"/>
  <c r="K313" i="26"/>
  <c r="N313" i="26"/>
  <c r="O313" i="26"/>
  <c r="J313" i="26"/>
  <c r="P313" i="26"/>
  <c r="H313" i="26"/>
  <c r="I312" i="26"/>
  <c r="H312" i="26"/>
  <c r="L312" i="26"/>
  <c r="M312" i="26"/>
  <c r="F418" i="33"/>
  <c r="K312" i="26"/>
  <c r="P312" i="26"/>
  <c r="O312" i="26"/>
  <c r="N312" i="26"/>
  <c r="J312" i="26"/>
  <c r="EA480" i="19"/>
  <c r="EB477" i="19"/>
  <c r="G181" i="26"/>
  <c r="CB480" i="19"/>
  <c r="M21" i="26"/>
  <c r="N21" i="26"/>
  <c r="H21" i="26"/>
  <c r="L21" i="26"/>
  <c r="I21" i="26"/>
  <c r="J21" i="26"/>
  <c r="P21" i="26"/>
  <c r="O21" i="26"/>
  <c r="K21" i="26"/>
  <c r="G149" i="26"/>
  <c r="P347" i="26"/>
  <c r="N347" i="26"/>
  <c r="I347" i="26"/>
  <c r="L347" i="26"/>
  <c r="O347" i="26"/>
  <c r="K347" i="26"/>
  <c r="H347" i="26"/>
  <c r="M347" i="26"/>
  <c r="M359" i="26" s="1"/>
  <c r="J347" i="26"/>
  <c r="L359" i="26" l="1"/>
  <c r="N69" i="34" s="1"/>
  <c r="P359" i="26"/>
  <c r="E48" i="34" s="1"/>
  <c r="O60" i="34" s="1"/>
  <c r="K502" i="19"/>
  <c r="L502" i="19" s="1"/>
  <c r="M502" i="19" s="1"/>
  <c r="L490" i="19"/>
  <c r="I359" i="26"/>
  <c r="N66" i="34" s="1"/>
  <c r="Q490" i="19"/>
  <c r="S490" i="19" s="1"/>
  <c r="K359" i="26"/>
  <c r="H359" i="26"/>
  <c r="N65" i="34" s="1"/>
  <c r="J359" i="26"/>
  <c r="N75" i="34"/>
  <c r="N359" i="26"/>
  <c r="P490" i="19"/>
  <c r="R490" i="19" s="1"/>
  <c r="P500" i="19"/>
  <c r="R500" i="19" s="1"/>
  <c r="K512" i="19"/>
  <c r="L512" i="19" s="1"/>
  <c r="M512" i="19" s="1"/>
  <c r="Q500" i="19"/>
  <c r="S500" i="19" s="1"/>
  <c r="H20" i="26"/>
  <c r="H33" i="26" s="1"/>
  <c r="D65" i="34" s="1"/>
  <c r="L500" i="19"/>
  <c r="K20" i="26"/>
  <c r="K33" i="26" s="1"/>
  <c r="J20" i="26"/>
  <c r="J33" i="26" s="1"/>
  <c r="I20" i="26"/>
  <c r="I33" i="26" s="1"/>
  <c r="D66" i="34" s="1"/>
  <c r="O20" i="26"/>
  <c r="P20" i="26"/>
  <c r="P33" i="26" s="1"/>
  <c r="E38" i="34" s="1"/>
  <c r="C61" i="34" s="1"/>
  <c r="F28" i="33"/>
  <c r="M20" i="26"/>
  <c r="M33" i="26" s="1"/>
  <c r="N20" i="26"/>
  <c r="N33" i="26" s="1"/>
  <c r="L20" i="26"/>
  <c r="L33" i="26" s="1"/>
  <c r="D69" i="34" s="1"/>
  <c r="L283" i="26"/>
  <c r="L295" i="26" s="1"/>
  <c r="L69" i="34" s="1"/>
  <c r="L498" i="19"/>
  <c r="K510" i="19"/>
  <c r="L510" i="19" s="1"/>
  <c r="M510" i="19" s="1"/>
  <c r="K283" i="26"/>
  <c r="K295" i="26" s="1"/>
  <c r="I283" i="26"/>
  <c r="I295" i="26" s="1"/>
  <c r="L66" i="34" s="1"/>
  <c r="P283" i="26"/>
  <c r="P295" i="26" s="1"/>
  <c r="E46" i="34" s="1"/>
  <c r="K61" i="34" s="1"/>
  <c r="N283" i="26"/>
  <c r="L75" i="34" s="1"/>
  <c r="J283" i="26"/>
  <c r="J295" i="26" s="1"/>
  <c r="M498" i="19"/>
  <c r="O283" i="26"/>
  <c r="O295" i="26" s="1"/>
  <c r="H283" i="26"/>
  <c r="H295" i="26" s="1"/>
  <c r="L65" i="34" s="1"/>
  <c r="Q498" i="19"/>
  <c r="S498" i="19" s="1"/>
  <c r="T498" i="19"/>
  <c r="M204" i="26"/>
  <c r="P204" i="26"/>
  <c r="N204" i="26"/>
  <c r="J74" i="34" s="1"/>
  <c r="H204" i="26"/>
  <c r="O204" i="26"/>
  <c r="L204" i="26"/>
  <c r="J204" i="26"/>
  <c r="F279" i="33"/>
  <c r="I204" i="26"/>
  <c r="K204" i="26"/>
  <c r="O304" i="26"/>
  <c r="M304" i="26"/>
  <c r="N304" i="26"/>
  <c r="M74" i="34" s="1"/>
  <c r="I304" i="26"/>
  <c r="J304" i="26"/>
  <c r="K304" i="26"/>
  <c r="P304" i="26"/>
  <c r="L304" i="26"/>
  <c r="H304" i="26"/>
  <c r="F409" i="33"/>
  <c r="O75" i="26"/>
  <c r="I75" i="26"/>
  <c r="J75" i="26"/>
  <c r="N75" i="26"/>
  <c r="F74" i="34" s="1"/>
  <c r="C74" i="34" s="1"/>
  <c r="P75" i="26"/>
  <c r="K75" i="26"/>
  <c r="L75" i="26"/>
  <c r="M75" i="26"/>
  <c r="F104" i="33"/>
  <c r="H75" i="26"/>
  <c r="I24" i="39"/>
  <c r="H149" i="33"/>
  <c r="J149" i="33" s="1"/>
  <c r="K150" i="33" s="1"/>
  <c r="D86" i="34" s="1"/>
  <c r="N24" i="39"/>
  <c r="H367" i="33"/>
  <c r="J367" i="33" s="1"/>
  <c r="K368" i="33" s="1"/>
  <c r="D81" i="34" s="1"/>
  <c r="J24" i="39"/>
  <c r="H193" i="33"/>
  <c r="J193" i="33" s="1"/>
  <c r="K194" i="33" s="1"/>
  <c r="D85" i="34" s="1"/>
  <c r="M295" i="26"/>
  <c r="P495" i="19"/>
  <c r="T495" i="19" s="1"/>
  <c r="N495" i="19"/>
  <c r="J245" i="33" s="1"/>
  <c r="L495" i="19"/>
  <c r="M249" i="26"/>
  <c r="Q497" i="19"/>
  <c r="S497" i="19" s="1"/>
  <c r="P497" i="19"/>
  <c r="T497" i="19" s="1"/>
  <c r="H249" i="26"/>
  <c r="N249" i="26"/>
  <c r="L249" i="26"/>
  <c r="J249" i="26"/>
  <c r="P249" i="26"/>
  <c r="G248" i="26"/>
  <c r="I248" i="26" s="1"/>
  <c r="K249" i="26"/>
  <c r="I249" i="26"/>
  <c r="L497" i="19"/>
  <c r="N497" i="19"/>
  <c r="J332" i="33" s="1"/>
  <c r="K505" i="19"/>
  <c r="L505" i="19" s="1"/>
  <c r="M505" i="19" s="1"/>
  <c r="N493" i="19"/>
  <c r="J158" i="33" s="1"/>
  <c r="G116" i="26"/>
  <c r="P116" i="26" s="1"/>
  <c r="Q493" i="19"/>
  <c r="S493" i="19" s="1"/>
  <c r="M493" i="19"/>
  <c r="P493" i="19"/>
  <c r="R493" i="19" s="1"/>
  <c r="M492" i="19"/>
  <c r="N492" i="19"/>
  <c r="J113" i="33" s="1"/>
  <c r="L492" i="19"/>
  <c r="K504" i="19"/>
  <c r="L504" i="19" s="1"/>
  <c r="M504" i="19" s="1"/>
  <c r="AO477" i="19"/>
  <c r="AN480" i="19"/>
  <c r="P492" i="19" s="1"/>
  <c r="AB477" i="19"/>
  <c r="I148" i="26"/>
  <c r="K148" i="26"/>
  <c r="H148" i="26"/>
  <c r="F203" i="33"/>
  <c r="G159" i="26"/>
  <c r="I159" i="26" s="1"/>
  <c r="N159" i="26" s="1"/>
  <c r="O159" i="26" s="1"/>
  <c r="P148" i="26"/>
  <c r="J148" i="26"/>
  <c r="L148" i="26"/>
  <c r="O148" i="26"/>
  <c r="N148" i="26"/>
  <c r="K506" i="19"/>
  <c r="L506" i="19" s="1"/>
  <c r="M506" i="19" s="1"/>
  <c r="N494" i="19"/>
  <c r="J202" i="33" s="1"/>
  <c r="L494" i="19"/>
  <c r="M494" i="19"/>
  <c r="P494" i="19"/>
  <c r="Q494" i="19"/>
  <c r="S494" i="19" s="1"/>
  <c r="M491" i="19"/>
  <c r="P491" i="19"/>
  <c r="AB480" i="19"/>
  <c r="G52" i="26"/>
  <c r="L491" i="19"/>
  <c r="N491" i="19"/>
  <c r="J70" i="33" s="1"/>
  <c r="K503" i="19"/>
  <c r="L503" i="19" s="1"/>
  <c r="M503" i="19" s="1"/>
  <c r="L496" i="19"/>
  <c r="N496" i="19"/>
  <c r="J288" i="33" s="1"/>
  <c r="K508" i="19"/>
  <c r="L508" i="19" s="1"/>
  <c r="M508" i="19" s="1"/>
  <c r="M496" i="19"/>
  <c r="CO477" i="19"/>
  <c r="CN480" i="19"/>
  <c r="G314" i="26"/>
  <c r="EB480" i="19"/>
  <c r="P499" i="19"/>
  <c r="M499" i="19"/>
  <c r="N499" i="19"/>
  <c r="J418" i="33" s="1"/>
  <c r="L499" i="19"/>
  <c r="K511" i="19"/>
  <c r="L511" i="19" s="1"/>
  <c r="M511" i="19" s="1"/>
  <c r="Q495" i="19"/>
  <c r="G182" i="26"/>
  <c r="O181" i="26"/>
  <c r="N181" i="26"/>
  <c r="K181" i="26"/>
  <c r="P181" i="26"/>
  <c r="I181" i="26"/>
  <c r="G192" i="26"/>
  <c r="I192" i="26" s="1"/>
  <c r="N192" i="26" s="1"/>
  <c r="O192" i="26" s="1"/>
  <c r="J181" i="26"/>
  <c r="H181" i="26"/>
  <c r="M181" i="26"/>
  <c r="L181" i="26"/>
  <c r="F246" i="33"/>
  <c r="X490" i="19"/>
  <c r="Y490" i="19" s="1"/>
  <c r="O359" i="26"/>
  <c r="J149" i="26"/>
  <c r="P149" i="26"/>
  <c r="O149" i="26"/>
  <c r="I149" i="26"/>
  <c r="H149" i="26"/>
  <c r="M149" i="26"/>
  <c r="M161" i="26" s="1"/>
  <c r="L149" i="26"/>
  <c r="K149" i="26"/>
  <c r="N149" i="26"/>
  <c r="O31" i="26"/>
  <c r="O117" i="26"/>
  <c r="M117" i="26"/>
  <c r="N117" i="26"/>
  <c r="K117" i="26"/>
  <c r="I117" i="26"/>
  <c r="L117" i="26"/>
  <c r="J117" i="26"/>
  <c r="H117" i="26"/>
  <c r="P117" i="26"/>
  <c r="M55" i="34"/>
  <c r="D516" i="19" l="1"/>
  <c r="D521" i="19"/>
  <c r="D523" i="19"/>
  <c r="D517" i="19"/>
  <c r="D520" i="19"/>
  <c r="D525" i="19"/>
  <c r="V498" i="19"/>
  <c r="W498" i="19" s="1"/>
  <c r="D524" i="19"/>
  <c r="D518" i="19"/>
  <c r="D526" i="19"/>
  <c r="D519" i="19"/>
  <c r="N67" i="34"/>
  <c r="X500" i="19"/>
  <c r="Y500" i="19" s="1"/>
  <c r="V490" i="19"/>
  <c r="W490" i="19" s="1"/>
  <c r="T490" i="19"/>
  <c r="U490" i="19" s="1"/>
  <c r="J28" i="33" s="1"/>
  <c r="J44" i="33" s="1"/>
  <c r="V500" i="19"/>
  <c r="W500" i="19" s="1"/>
  <c r="T500" i="19"/>
  <c r="U500" i="19" s="1"/>
  <c r="J461" i="33" s="1"/>
  <c r="J478" i="33" s="1"/>
  <c r="O33" i="26"/>
  <c r="U498" i="19"/>
  <c r="J376" i="33" s="1"/>
  <c r="K391" i="33" s="1"/>
  <c r="N295" i="26"/>
  <c r="L67" i="34" s="1"/>
  <c r="X498" i="19"/>
  <c r="Y498" i="19" s="1"/>
  <c r="H24" i="39"/>
  <c r="H104" i="33"/>
  <c r="J104" i="33" s="1"/>
  <c r="K105" i="33" s="1"/>
  <c r="D87" i="34" s="1"/>
  <c r="O24" i="39"/>
  <c r="H409" i="33"/>
  <c r="J409" i="33" s="1"/>
  <c r="K410" i="33" s="1"/>
  <c r="D80" i="34" s="1"/>
  <c r="L24" i="39"/>
  <c r="H279" i="33"/>
  <c r="J279" i="33" s="1"/>
  <c r="K280" i="33" s="1"/>
  <c r="D83" i="34" s="1"/>
  <c r="R495" i="19"/>
  <c r="R497" i="19"/>
  <c r="U497" i="19" s="1"/>
  <c r="J333" i="33" s="1"/>
  <c r="J349" i="33" s="1"/>
  <c r="V495" i="19"/>
  <c r="W495" i="19" s="1"/>
  <c r="V497" i="19"/>
  <c r="W497" i="19" s="1"/>
  <c r="H248" i="26"/>
  <c r="H261" i="26" s="1"/>
  <c r="K65" i="34" s="1"/>
  <c r="O248" i="26"/>
  <c r="J248" i="26"/>
  <c r="J261" i="26" s="1"/>
  <c r="P248" i="26"/>
  <c r="P261" i="26" s="1"/>
  <c r="E45" i="34" s="1"/>
  <c r="J61" i="34" s="1"/>
  <c r="N248" i="26"/>
  <c r="L248" i="26"/>
  <c r="L261" i="26" s="1"/>
  <c r="K69" i="34" s="1"/>
  <c r="K248" i="26"/>
  <c r="K261" i="26" s="1"/>
  <c r="G259" i="26"/>
  <c r="I259" i="26" s="1"/>
  <c r="N259" i="26" s="1"/>
  <c r="O259" i="26" s="1"/>
  <c r="F333" i="33"/>
  <c r="X497" i="19"/>
  <c r="Y497" i="19" s="1"/>
  <c r="M248" i="26"/>
  <c r="M261" i="26" s="1"/>
  <c r="I116" i="26"/>
  <c r="O116" i="26"/>
  <c r="K116" i="26"/>
  <c r="K129" i="26" s="1"/>
  <c r="X493" i="19"/>
  <c r="Y493" i="19" s="1"/>
  <c r="M116" i="26"/>
  <c r="M129" i="26" s="1"/>
  <c r="L116" i="26"/>
  <c r="L129" i="26" s="1"/>
  <c r="G69" i="34" s="1"/>
  <c r="J116" i="26"/>
  <c r="J129" i="26" s="1"/>
  <c r="F159" i="33"/>
  <c r="P129" i="26"/>
  <c r="E41" i="34" s="1"/>
  <c r="F61" i="34" s="1"/>
  <c r="H116" i="26"/>
  <c r="H129" i="26" s="1"/>
  <c r="G65" i="34" s="1"/>
  <c r="N116" i="26"/>
  <c r="G127" i="26"/>
  <c r="I127" i="26" s="1"/>
  <c r="N127" i="26" s="1"/>
  <c r="O127" i="26" s="1"/>
  <c r="T493" i="19"/>
  <c r="U493" i="19" s="1"/>
  <c r="J159" i="33" s="1"/>
  <c r="J175" i="33" s="1"/>
  <c r="V493" i="19"/>
  <c r="W493" i="19" s="1"/>
  <c r="H161" i="26"/>
  <c r="H65" i="34" s="1"/>
  <c r="I161" i="26"/>
  <c r="H66" i="34" s="1"/>
  <c r="AO480" i="19"/>
  <c r="G84" i="26"/>
  <c r="V492" i="19"/>
  <c r="W492" i="19" s="1"/>
  <c r="R492" i="19"/>
  <c r="T492" i="19"/>
  <c r="K161" i="26"/>
  <c r="P161" i="26"/>
  <c r="E42" i="34" s="1"/>
  <c r="G61" i="34" s="1"/>
  <c r="X494" i="19"/>
  <c r="Y494" i="19" s="1"/>
  <c r="J161" i="26"/>
  <c r="H75" i="34"/>
  <c r="L161" i="26"/>
  <c r="H69" i="34" s="1"/>
  <c r="V494" i="19"/>
  <c r="W494" i="19" s="1"/>
  <c r="V491" i="19"/>
  <c r="W491" i="19" s="1"/>
  <c r="T494" i="19"/>
  <c r="R494" i="19"/>
  <c r="J52" i="26"/>
  <c r="I52" i="26"/>
  <c r="K52" i="26"/>
  <c r="M52" i="26"/>
  <c r="L52" i="26"/>
  <c r="H52" i="26"/>
  <c r="F71" i="33"/>
  <c r="O52" i="26"/>
  <c r="P52" i="26"/>
  <c r="N52" i="26"/>
  <c r="G63" i="26"/>
  <c r="I63" i="26" s="1"/>
  <c r="N63" i="26" s="1"/>
  <c r="O63" i="26" s="1"/>
  <c r="G53" i="26"/>
  <c r="Q491" i="19"/>
  <c r="S491" i="19" s="1"/>
  <c r="R491" i="19"/>
  <c r="T491" i="19"/>
  <c r="V499" i="19"/>
  <c r="W499" i="19" s="1"/>
  <c r="G214" i="26"/>
  <c r="CO480" i="19"/>
  <c r="P496" i="19"/>
  <c r="V496" i="19" s="1"/>
  <c r="W496" i="19" s="1"/>
  <c r="R499" i="19"/>
  <c r="T499" i="19"/>
  <c r="Q499" i="19"/>
  <c r="G315" i="26"/>
  <c r="O314" i="26"/>
  <c r="L314" i="26"/>
  <c r="N314" i="26"/>
  <c r="G325" i="26"/>
  <c r="I325" i="26" s="1"/>
  <c r="N325" i="26" s="1"/>
  <c r="O325" i="26" s="1"/>
  <c r="K314" i="26"/>
  <c r="P314" i="26"/>
  <c r="H314" i="26"/>
  <c r="M314" i="26"/>
  <c r="J314" i="26"/>
  <c r="F419" i="33"/>
  <c r="I314" i="26"/>
  <c r="K182" i="26"/>
  <c r="K194" i="26" s="1"/>
  <c r="O182" i="26"/>
  <c r="O194" i="26" s="1"/>
  <c r="P182" i="26"/>
  <c r="P194" i="26" s="1"/>
  <c r="E43" i="34" s="1"/>
  <c r="H61" i="34" s="1"/>
  <c r="M182" i="26"/>
  <c r="M194" i="26" s="1"/>
  <c r="L182" i="26"/>
  <c r="L194" i="26" s="1"/>
  <c r="I69" i="34" s="1"/>
  <c r="I182" i="26"/>
  <c r="I194" i="26" s="1"/>
  <c r="I66" i="34" s="1"/>
  <c r="H182" i="26"/>
  <c r="H194" i="26" s="1"/>
  <c r="I65" i="34" s="1"/>
  <c r="J182" i="26"/>
  <c r="J194" i="26" s="1"/>
  <c r="N182" i="26"/>
  <c r="S495" i="19"/>
  <c r="X495" i="19"/>
  <c r="Y495" i="19" s="1"/>
  <c r="D75" i="34"/>
  <c r="N161" i="26"/>
  <c r="O161" i="26"/>
  <c r="D67" i="34"/>
  <c r="D522" i="19" l="1"/>
  <c r="A522" i="19" s="1"/>
  <c r="K475" i="33"/>
  <c r="C79" i="34" s="1"/>
  <c r="J43" i="33"/>
  <c r="J476" i="33"/>
  <c r="J477" i="33"/>
  <c r="J45" i="33"/>
  <c r="K42" i="33"/>
  <c r="C89" i="34" s="1"/>
  <c r="J394" i="33"/>
  <c r="J393" i="33"/>
  <c r="J392" i="33"/>
  <c r="U495" i="19"/>
  <c r="J246" i="33" s="1"/>
  <c r="J261" i="33" s="1"/>
  <c r="C81" i="34"/>
  <c r="J174" i="33"/>
  <c r="J350" i="33"/>
  <c r="J348" i="33"/>
  <c r="K347" i="33"/>
  <c r="I261" i="26"/>
  <c r="K66" i="34" s="1"/>
  <c r="N261" i="26"/>
  <c r="O261" i="26"/>
  <c r="K75" i="34"/>
  <c r="O129" i="26"/>
  <c r="G75" i="34"/>
  <c r="I129" i="26"/>
  <c r="G66" i="34" s="1"/>
  <c r="N129" i="26"/>
  <c r="J176" i="33"/>
  <c r="K173" i="33"/>
  <c r="C86" i="34" s="1"/>
  <c r="H67" i="34"/>
  <c r="P84" i="26"/>
  <c r="H84" i="26"/>
  <c r="O84" i="26"/>
  <c r="J84" i="26"/>
  <c r="G95" i="26"/>
  <c r="I95" i="26" s="1"/>
  <c r="N95" i="26" s="1"/>
  <c r="O95" i="26" s="1"/>
  <c r="L84" i="26"/>
  <c r="F114" i="33"/>
  <c r="K84" i="26"/>
  <c r="N84" i="26"/>
  <c r="M84" i="26"/>
  <c r="I84" i="26"/>
  <c r="G85" i="26"/>
  <c r="Q492" i="19"/>
  <c r="U494" i="19"/>
  <c r="J203" i="33" s="1"/>
  <c r="X491" i="19"/>
  <c r="Y491" i="19" s="1"/>
  <c r="H53" i="26"/>
  <c r="H65" i="26" s="1"/>
  <c r="E65" i="34" s="1"/>
  <c r="N53" i="26"/>
  <c r="O53" i="26"/>
  <c r="O65" i="26" s="1"/>
  <c r="M53" i="26"/>
  <c r="M65" i="26" s="1"/>
  <c r="K53" i="26"/>
  <c r="K65" i="26" s="1"/>
  <c r="P53" i="26"/>
  <c r="P65" i="26" s="1"/>
  <c r="E39" i="34" s="1"/>
  <c r="D61" i="34" s="1"/>
  <c r="J53" i="26"/>
  <c r="J65" i="26" s="1"/>
  <c r="I53" i="26"/>
  <c r="I65" i="26" s="1"/>
  <c r="E66" i="34" s="1"/>
  <c r="L53" i="26"/>
  <c r="L65" i="26" s="1"/>
  <c r="E69" i="34" s="1"/>
  <c r="U491" i="19"/>
  <c r="J71" i="33" s="1"/>
  <c r="T496" i="19"/>
  <c r="R496" i="19"/>
  <c r="Q496" i="19"/>
  <c r="G215" i="26"/>
  <c r="H214" i="26"/>
  <c r="O214" i="26"/>
  <c r="P214" i="26"/>
  <c r="J214" i="26"/>
  <c r="F289" i="33"/>
  <c r="N214" i="26"/>
  <c r="L214" i="26"/>
  <c r="G225" i="26"/>
  <c r="I225" i="26" s="1"/>
  <c r="N225" i="26" s="1"/>
  <c r="O225" i="26" s="1"/>
  <c r="M214" i="26"/>
  <c r="I214" i="26"/>
  <c r="K214" i="26"/>
  <c r="N315" i="26"/>
  <c r="J315" i="26"/>
  <c r="J327" i="26" s="1"/>
  <c r="K315" i="26"/>
  <c r="K327" i="26" s="1"/>
  <c r="M315" i="26"/>
  <c r="M327" i="26" s="1"/>
  <c r="H315" i="26"/>
  <c r="H327" i="26" s="1"/>
  <c r="M65" i="34" s="1"/>
  <c r="P315" i="26"/>
  <c r="P327" i="26" s="1"/>
  <c r="E47" i="34" s="1"/>
  <c r="L315" i="26"/>
  <c r="L327" i="26" s="1"/>
  <c r="M69" i="34" s="1"/>
  <c r="O315" i="26"/>
  <c r="O327" i="26" s="1"/>
  <c r="I315" i="26"/>
  <c r="I327" i="26" s="1"/>
  <c r="M66" i="34" s="1"/>
  <c r="S499" i="19"/>
  <c r="X499" i="19"/>
  <c r="Y499" i="19" s="1"/>
  <c r="I75" i="34"/>
  <c r="N194" i="26"/>
  <c r="A516" i="19" l="1"/>
  <c r="A521" i="19"/>
  <c r="A523" i="19"/>
  <c r="A517" i="19"/>
  <c r="A520" i="19"/>
  <c r="A525" i="19"/>
  <c r="A524" i="19"/>
  <c r="A518" i="19"/>
  <c r="A526" i="19"/>
  <c r="A519" i="19"/>
  <c r="U499" i="19"/>
  <c r="J419" i="33" s="1"/>
  <c r="J435" i="33" s="1"/>
  <c r="K45" i="33"/>
  <c r="E89" i="34" s="1"/>
  <c r="K478" i="33"/>
  <c r="K394" i="33"/>
  <c r="K395" i="33" s="1"/>
  <c r="C493" i="33" s="1"/>
  <c r="D84" i="3" s="1"/>
  <c r="J263" i="33"/>
  <c r="K260" i="33"/>
  <c r="C84" i="34" s="1"/>
  <c r="J262" i="33"/>
  <c r="K176" i="33"/>
  <c r="E86" i="34" s="1"/>
  <c r="J86" i="33"/>
  <c r="J87" i="33"/>
  <c r="J218" i="33"/>
  <c r="J219" i="33"/>
  <c r="K350" i="33"/>
  <c r="K351" i="33" s="1"/>
  <c r="C492" i="33" s="1"/>
  <c r="D83" i="3" s="1"/>
  <c r="C82" i="34"/>
  <c r="K67" i="34"/>
  <c r="G67" i="34"/>
  <c r="S492" i="19"/>
  <c r="X492" i="19"/>
  <c r="Y492" i="19" s="1"/>
  <c r="J85" i="26"/>
  <c r="J97" i="26" s="1"/>
  <c r="K85" i="26"/>
  <c r="K97" i="26" s="1"/>
  <c r="P85" i="26"/>
  <c r="P97" i="26" s="1"/>
  <c r="E40" i="34" s="1"/>
  <c r="O85" i="26"/>
  <c r="O97" i="26" s="1"/>
  <c r="L85" i="26"/>
  <c r="L97" i="26" s="1"/>
  <c r="F69" i="34" s="1"/>
  <c r="C69" i="34" s="1"/>
  <c r="N85" i="26"/>
  <c r="F75" i="34" s="1"/>
  <c r="I85" i="26"/>
  <c r="I97" i="26" s="1"/>
  <c r="F66" i="34" s="1"/>
  <c r="C66" i="34" s="1"/>
  <c r="M85" i="26"/>
  <c r="M97" i="26" s="1"/>
  <c r="H85" i="26"/>
  <c r="H97" i="26" s="1"/>
  <c r="F65" i="34" s="1"/>
  <c r="C65" i="34" s="1"/>
  <c r="J220" i="33"/>
  <c r="K217" i="33"/>
  <c r="K85" i="33"/>
  <c r="C88" i="34" s="1"/>
  <c r="J88" i="33"/>
  <c r="E75" i="34"/>
  <c r="N65" i="26"/>
  <c r="I215" i="26"/>
  <c r="I227" i="26" s="1"/>
  <c r="J66" i="34" s="1"/>
  <c r="N215" i="26"/>
  <c r="J75" i="34" s="1"/>
  <c r="O215" i="26"/>
  <c r="O227" i="26" s="1"/>
  <c r="J215" i="26"/>
  <c r="J227" i="26" s="1"/>
  <c r="K215" i="26"/>
  <c r="K227" i="26" s="1"/>
  <c r="M215" i="26"/>
  <c r="M227" i="26" s="1"/>
  <c r="P215" i="26"/>
  <c r="P227" i="26" s="1"/>
  <c r="E44" i="34" s="1"/>
  <c r="I61" i="34" s="1"/>
  <c r="H215" i="26"/>
  <c r="H227" i="26" s="1"/>
  <c r="J65" i="34" s="1"/>
  <c r="L215" i="26"/>
  <c r="L227" i="26" s="1"/>
  <c r="J69" i="34" s="1"/>
  <c r="S496" i="19"/>
  <c r="X496" i="19"/>
  <c r="Y496" i="19" s="1"/>
  <c r="L55" i="34"/>
  <c r="N60" i="34"/>
  <c r="M75" i="34"/>
  <c r="N327" i="26"/>
  <c r="I67" i="34"/>
  <c r="K433" i="33" l="1"/>
  <c r="C80" i="34" s="1"/>
  <c r="J434" i="33"/>
  <c r="J436" i="33"/>
  <c r="U496" i="19"/>
  <c r="J289" i="33" s="1"/>
  <c r="K303" i="33" s="1"/>
  <c r="U492" i="19"/>
  <c r="J114" i="33" s="1"/>
  <c r="K128" i="33" s="1"/>
  <c r="K46" i="33"/>
  <c r="C485" i="33" s="1"/>
  <c r="D76" i="3" s="1"/>
  <c r="E81" i="34"/>
  <c r="K263" i="33"/>
  <c r="E84" i="34" s="1"/>
  <c r="C75" i="34"/>
  <c r="K177" i="33"/>
  <c r="C488" i="33" s="1"/>
  <c r="D79" i="3" s="1"/>
  <c r="E82" i="34"/>
  <c r="K88" i="33"/>
  <c r="K220" i="33"/>
  <c r="K221" i="33" s="1"/>
  <c r="C489" i="33" s="1"/>
  <c r="F85" i="34" s="1"/>
  <c r="D493" i="33"/>
  <c r="C46" i="34" s="1"/>
  <c r="D492" i="33"/>
  <c r="C45" i="34" s="1"/>
  <c r="F82" i="34"/>
  <c r="F81" i="34"/>
  <c r="E61" i="34"/>
  <c r="B56" i="3"/>
  <c r="N97" i="26"/>
  <c r="C85" i="34"/>
  <c r="E67" i="34"/>
  <c r="N227" i="26"/>
  <c r="M67" i="34"/>
  <c r="J304" i="33" l="1"/>
  <c r="J305" i="33"/>
  <c r="J306" i="33"/>
  <c r="J130" i="33"/>
  <c r="J129" i="33"/>
  <c r="J131" i="33"/>
  <c r="K436" i="33"/>
  <c r="D485" i="33"/>
  <c r="D68" i="34" s="1"/>
  <c r="F89" i="34"/>
  <c r="K264" i="33"/>
  <c r="C490" i="33" s="1"/>
  <c r="F84" i="34" s="1"/>
  <c r="D488" i="33"/>
  <c r="G68" i="34" s="1"/>
  <c r="D45" i="34"/>
  <c r="G82" i="34" s="1"/>
  <c r="K68" i="34"/>
  <c r="F86" i="34"/>
  <c r="D46" i="34"/>
  <c r="K60" i="34" s="1"/>
  <c r="E85" i="34"/>
  <c r="J59" i="34"/>
  <c r="Q24" i="34"/>
  <c r="R24" i="34" s="1"/>
  <c r="K59" i="34"/>
  <c r="Q25" i="34"/>
  <c r="R25" i="34" s="1"/>
  <c r="L68" i="34"/>
  <c r="F67" i="34"/>
  <c r="C67" i="34" s="1"/>
  <c r="D80" i="3"/>
  <c r="C87" i="34"/>
  <c r="D489" i="33"/>
  <c r="E88" i="34"/>
  <c r="K89" i="33"/>
  <c r="C486" i="33" s="1"/>
  <c r="J67" i="34"/>
  <c r="C83" i="34"/>
  <c r="K131" i="33" l="1"/>
  <c r="E87" i="34" s="1"/>
  <c r="C41" i="34"/>
  <c r="Q20" i="34" s="1"/>
  <c r="R20" i="34" s="1"/>
  <c r="K306" i="33"/>
  <c r="E83" i="34" s="1"/>
  <c r="C38" i="34"/>
  <c r="Q17" i="34" s="1"/>
  <c r="R17" i="34" s="1"/>
  <c r="D38" i="34"/>
  <c r="C60" i="34" s="1"/>
  <c r="D41" i="34"/>
  <c r="G86" i="34" s="1"/>
  <c r="D490" i="33"/>
  <c r="D43" i="34" s="1"/>
  <c r="H60" i="34" s="1"/>
  <c r="D81" i="3"/>
  <c r="J60" i="34"/>
  <c r="G81" i="34"/>
  <c r="H68" i="34"/>
  <c r="C42" i="34"/>
  <c r="D42" i="34"/>
  <c r="G60" i="34" s="1"/>
  <c r="F88" i="34"/>
  <c r="D486" i="33"/>
  <c r="C39" i="34" s="1"/>
  <c r="D77" i="3"/>
  <c r="K307" i="33" l="1"/>
  <c r="C491" i="33" s="1"/>
  <c r="D82" i="3" s="1"/>
  <c r="K132" i="33"/>
  <c r="C487" i="33" s="1"/>
  <c r="D487" i="33" s="1"/>
  <c r="C40" i="34" s="1"/>
  <c r="E59" i="34" s="1"/>
  <c r="F59" i="34"/>
  <c r="G89" i="34"/>
  <c r="C59" i="34"/>
  <c r="O54" i="3" s="1" a="1"/>
  <c r="O54" i="3" s="1"/>
  <c r="F60" i="34"/>
  <c r="C43" i="34"/>
  <c r="H59" i="34" s="1"/>
  <c r="I68" i="34"/>
  <c r="D70" i="3"/>
  <c r="B58" i="3" s="1"/>
  <c r="B55" i="3"/>
  <c r="B66" i="3" s="1"/>
  <c r="G59" i="34"/>
  <c r="Q21" i="34"/>
  <c r="R21" i="34" s="1"/>
  <c r="D59" i="34"/>
  <c r="Q18" i="34"/>
  <c r="R18" i="34" s="1"/>
  <c r="G85" i="34"/>
  <c r="E68" i="34"/>
  <c r="D39" i="34"/>
  <c r="G84" i="34"/>
  <c r="F83" i="34" l="1"/>
  <c r="D491" i="33"/>
  <c r="C44" i="34" s="1"/>
  <c r="Q23" i="34" s="1"/>
  <c r="R23" i="34" s="1"/>
  <c r="Q19" i="34"/>
  <c r="R19" i="34" s="1"/>
  <c r="D40" i="34"/>
  <c r="G87" i="34" s="1"/>
  <c r="F68" i="34"/>
  <c r="D78" i="3"/>
  <c r="F87" i="34"/>
  <c r="O69" i="3" a="1"/>
  <c r="O69" i="3" s="1"/>
  <c r="Q22" i="34"/>
  <c r="R22" i="34" s="1"/>
  <c r="O64" i="3" a="1"/>
  <c r="O64" i="3" s="1"/>
  <c r="O59" i="3" a="1"/>
  <c r="O59" i="3" s="1"/>
  <c r="C68" i="34"/>
  <c r="B68" i="3"/>
  <c r="B71" i="3"/>
  <c r="B61" i="3"/>
  <c r="B63" i="3"/>
  <c r="G88" i="34"/>
  <c r="D60" i="34"/>
  <c r="D44" i="34" l="1"/>
  <c r="I60" i="34" s="1"/>
  <c r="E60" i="34"/>
  <c r="I59" i="34"/>
  <c r="J68" i="34"/>
  <c r="E80" i="34"/>
  <c r="K437" i="33"/>
  <c r="C494" i="33" s="1"/>
  <c r="E79" i="34"/>
  <c r="K479" i="33"/>
  <c r="C495" i="33" s="1"/>
  <c r="G83" i="34" l="1"/>
  <c r="D85" i="3"/>
  <c r="F80" i="34"/>
  <c r="D494" i="33"/>
  <c r="C47" i="34" s="1"/>
  <c r="F79" i="34"/>
  <c r="D86" i="3"/>
  <c r="D495" i="33"/>
  <c r="C48" i="34" s="1"/>
  <c r="L61" i="34" l="1"/>
  <c r="N59" i="34"/>
  <c r="Q26" i="34"/>
  <c r="R26" i="34" s="1"/>
  <c r="L54" i="34"/>
  <c r="L59" i="34" s="1"/>
  <c r="O59" i="34"/>
  <c r="M54" i="34"/>
  <c r="M61" i="34" s="1"/>
  <c r="Q27" i="34"/>
  <c r="D47" i="34"/>
  <c r="M68" i="34"/>
  <c r="N68" i="34"/>
  <c r="D48" i="34"/>
  <c r="B89" i="3"/>
  <c r="M59" i="34" l="1"/>
  <c r="R27" i="34"/>
  <c r="R28" i="34" s="1"/>
  <c r="N16" i="34"/>
  <c r="N14" i="34"/>
  <c r="N26" i="34"/>
  <c r="N10" i="34"/>
  <c r="N24" i="34"/>
  <c r="N27" i="34"/>
  <c r="N8" i="34"/>
  <c r="N21" i="34"/>
  <c r="N22" i="34"/>
  <c r="N25" i="34"/>
  <c r="Q28" i="34"/>
  <c r="N11" i="34"/>
  <c r="N15" i="34"/>
  <c r="N17" i="34"/>
  <c r="N20" i="34"/>
  <c r="N12" i="34"/>
  <c r="N9" i="34"/>
  <c r="N13" i="34"/>
  <c r="N18" i="34"/>
  <c r="N19" i="34"/>
  <c r="N23" i="34"/>
  <c r="G79" i="34"/>
  <c r="M60" i="34"/>
  <c r="G80" i="34"/>
  <c r="L60" i="34"/>
  <c r="J15" i="34" l="1"/>
  <c r="F15" i="34"/>
  <c r="B15" i="34"/>
  <c r="I15" i="34"/>
  <c r="D15" i="34"/>
  <c r="E15" i="34"/>
  <c r="K15" i="34"/>
  <c r="G15" i="34"/>
  <c r="H15" i="34"/>
  <c r="C15" i="34"/>
  <c r="F11" i="34"/>
  <c r="D11" i="34"/>
  <c r="H11" i="34"/>
  <c r="K11" i="34"/>
  <c r="C11" i="34"/>
  <c r="E11" i="34"/>
  <c r="I11" i="34"/>
  <c r="J11" i="34"/>
  <c r="G11" i="34"/>
  <c r="B11" i="34"/>
  <c r="B43" i="3"/>
  <c r="B41" i="3"/>
  <c r="B40" i="3" s="1"/>
  <c r="E25" i="34"/>
  <c r="K25" i="34"/>
  <c r="H25" i="34"/>
  <c r="G25" i="34"/>
  <c r="B25" i="34"/>
  <c r="D25" i="34"/>
  <c r="I25" i="34"/>
  <c r="J25" i="34"/>
  <c r="F25" i="34"/>
  <c r="C25" i="34"/>
  <c r="C22" i="34"/>
  <c r="D22" i="34"/>
  <c r="J22" i="34"/>
  <c r="K22" i="34"/>
  <c r="B22" i="34"/>
  <c r="G22" i="34"/>
  <c r="F22" i="34"/>
  <c r="I22" i="34"/>
  <c r="E22" i="34"/>
  <c r="H22" i="34"/>
  <c r="D21" i="34"/>
  <c r="H21" i="34"/>
  <c r="F21" i="34"/>
  <c r="K21" i="34"/>
  <c r="B21" i="34"/>
  <c r="I21" i="34"/>
  <c r="C21" i="34"/>
  <c r="J21" i="34"/>
  <c r="E21" i="34"/>
  <c r="G21" i="34"/>
  <c r="J8" i="34"/>
  <c r="K8" i="34"/>
  <c r="F8" i="34"/>
  <c r="D8" i="34"/>
  <c r="E8" i="34"/>
  <c r="H8" i="34"/>
  <c r="I8" i="34"/>
  <c r="B8" i="34"/>
  <c r="G8" i="34"/>
  <c r="C8" i="34"/>
  <c r="C27" i="34"/>
  <c r="E27" i="34"/>
  <c r="D27" i="34"/>
  <c r="K27" i="34"/>
  <c r="G27" i="34"/>
  <c r="B27" i="34"/>
  <c r="H27" i="34"/>
  <c r="F27" i="34"/>
  <c r="J27" i="34"/>
  <c r="I27" i="34"/>
  <c r="B17" i="34"/>
  <c r="G17" i="34"/>
  <c r="J17" i="34"/>
  <c r="C17" i="34"/>
  <c r="I17" i="34"/>
  <c r="D17" i="34"/>
  <c r="K17" i="34"/>
  <c r="F17" i="34"/>
  <c r="E17" i="34"/>
  <c r="H17" i="34"/>
  <c r="F23" i="34"/>
  <c r="K23" i="34"/>
  <c r="J23" i="34"/>
  <c r="E23" i="34"/>
  <c r="D23" i="34"/>
  <c r="G23" i="34"/>
  <c r="C23" i="34"/>
  <c r="H23" i="34"/>
  <c r="I23" i="34"/>
  <c r="B23" i="34"/>
  <c r="F24" i="34"/>
  <c r="B24" i="34"/>
  <c r="G24" i="34"/>
  <c r="D24" i="34"/>
  <c r="E24" i="34"/>
  <c r="C24" i="34"/>
  <c r="J24" i="34"/>
  <c r="K24" i="34"/>
  <c r="H24" i="34"/>
  <c r="I24" i="34"/>
  <c r="H19" i="34"/>
  <c r="D19" i="34"/>
  <c r="F19" i="34"/>
  <c r="I19" i="34"/>
  <c r="J19" i="34"/>
  <c r="E19" i="34"/>
  <c r="C19" i="34"/>
  <c r="B19" i="34"/>
  <c r="K19" i="34"/>
  <c r="G19" i="34"/>
  <c r="F10" i="34"/>
  <c r="D10" i="34"/>
  <c r="K10" i="34"/>
  <c r="C10" i="34"/>
  <c r="I10" i="34"/>
  <c r="E10" i="34"/>
  <c r="B10" i="34"/>
  <c r="J10" i="34"/>
  <c r="H10" i="34"/>
  <c r="G10" i="34"/>
  <c r="H18" i="34"/>
  <c r="K18" i="34"/>
  <c r="D18" i="34"/>
  <c r="F18" i="34"/>
  <c r="C18" i="34"/>
  <c r="J18" i="34"/>
  <c r="I18" i="34"/>
  <c r="B18" i="34"/>
  <c r="E18" i="34"/>
  <c r="G18" i="34"/>
  <c r="C26" i="34"/>
  <c r="G26" i="34"/>
  <c r="B26" i="34"/>
  <c r="F26" i="34"/>
  <c r="K26" i="34"/>
  <c r="I26" i="34"/>
  <c r="J26" i="34"/>
  <c r="H26" i="34"/>
  <c r="E26" i="34"/>
  <c r="D26" i="34"/>
  <c r="F13" i="34"/>
  <c r="I13" i="34"/>
  <c r="G13" i="34"/>
  <c r="K13" i="34"/>
  <c r="E13" i="34"/>
  <c r="D13" i="34"/>
  <c r="C13" i="34"/>
  <c r="B13" i="34"/>
  <c r="J13" i="34"/>
  <c r="H13" i="34"/>
  <c r="K14" i="34"/>
  <c r="I14" i="34"/>
  <c r="F14" i="34"/>
  <c r="J14" i="34"/>
  <c r="C14" i="34"/>
  <c r="H14" i="34"/>
  <c r="G14" i="34"/>
  <c r="B14" i="34"/>
  <c r="D14" i="34"/>
  <c r="E14" i="34"/>
  <c r="I20" i="34"/>
  <c r="J20" i="34"/>
  <c r="H20" i="34"/>
  <c r="F20" i="34"/>
  <c r="K20" i="34"/>
  <c r="G20" i="34"/>
  <c r="C20" i="34"/>
  <c r="B20" i="34"/>
  <c r="D20" i="34"/>
  <c r="E20" i="34"/>
  <c r="I9" i="34"/>
  <c r="D9" i="34"/>
  <c r="B9" i="34"/>
  <c r="F9" i="34"/>
  <c r="K9" i="34"/>
  <c r="H9" i="34"/>
  <c r="E9" i="34"/>
  <c r="J9" i="34"/>
  <c r="C9" i="34"/>
  <c r="G9" i="34"/>
  <c r="D16" i="34"/>
  <c r="H16" i="34"/>
  <c r="C16" i="34"/>
  <c r="G16" i="34"/>
  <c r="E16" i="34"/>
  <c r="J16" i="34"/>
  <c r="B16" i="34"/>
  <c r="F16" i="34"/>
  <c r="I16" i="34"/>
  <c r="K16" i="34"/>
  <c r="F12" i="34"/>
  <c r="B12" i="34"/>
  <c r="H12" i="34"/>
  <c r="K12" i="34"/>
  <c r="I12" i="34"/>
  <c r="G12" i="34"/>
  <c r="E12" i="34"/>
  <c r="J12" i="34"/>
  <c r="D12" i="34"/>
  <c r="C12" i="34"/>
  <c r="P28" i="34"/>
  <c r="B37" i="3" s="1"/>
  <c r="B44" i="3" l="1"/>
  <c r="B45" i="3"/>
  <c r="B47"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Brunton, Jack</author>
  </authors>
  <commentList>
    <comment ref="F8" authorId="0" shapeId="0" xr:uid="{202F8962-1351-431B-85E4-09859AB9034E}">
      <text>
        <r>
          <rPr>
            <sz val="9"/>
            <color indexed="81"/>
            <rFont val="Arial"/>
            <family val="2"/>
          </rPr>
          <t>For vibration sensitive sites select CFA or Bored Piles.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tc={20065175-F7DD-4897-9E5E-6585FFBC7EF7}</author>
    <author>tc={F6255A78-A5D5-466D-BEDC-07BF6B352AD0}</author>
    <author>tc={AEDBC98B-00F4-476A-B709-0869E8F5CDC5}</author>
  </authors>
  <commentList>
    <comment ref="O7" authorId="0" shapeId="0" xr:uid="{20065175-F7DD-4897-9E5E-6585FFBC7EF7}">
      <text>
        <t>[Threaded comment]
Your version of Excel allows you to read this threaded comment; however, any edits to it will get removed if the file is opened in a newer version of Excel. Learn more: https://go.microsoft.com/fwlink/?linkid=870924
Comment:
    Check this</t>
      </text>
    </comment>
    <comment ref="N9" authorId="1" shapeId="0" xr:uid="{F6255A78-A5D5-466D-BEDC-07BF6B352AD0}">
      <text>
        <t>[Threaded comment]
Your version of Excel allows you to read this threaded comment; however, any edits to it will get removed if the file is opened in a newer version of Excel. Learn more: https://go.microsoft.com/fwlink/?linkid=870924
Comment:
    Check this</t>
      </text>
    </comment>
    <comment ref="L10" authorId="2" shapeId="0" xr:uid="{AEDBC98B-00F4-476A-B709-0869E8F5CDC5}">
      <text>
        <t>[Threaded comment]
Your version of Excel allows you to read this threaded comment; however, any edits to it will get removed if the file is opened in a newer version of Excel. Learn more: https://go.microsoft.com/fwlink/?linkid=870924
Comment:
    Revise to pick deeper, lighter section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tc={7477A10A-F3C1-4BC7-B9C0-94DD9B8A266A}</author>
    <author>tc={401D5466-CD35-40D6-87FC-11EA160A647C}</author>
    <author>tc={0A8902A6-3122-4684-829B-B9B6394BF3CD}</author>
  </authors>
  <commentList>
    <comment ref="H37" authorId="0" shapeId="0" xr:uid="{7477A10A-F3C1-4BC7-B9C0-94DD9B8A266A}">
      <text>
        <t>[Threaded comment]
Your version of Excel allows you to read this threaded comment; however, any edits to it will get removed if the file is opened in a newer version of Excel. Learn more: https://go.microsoft.com/fwlink/?linkid=870924
Comment:
    (excluding modules B6, B7 and D)</t>
      </text>
    </comment>
    <comment ref="D51" authorId="1" shapeId="0" xr:uid="{401D5466-CD35-40D6-87FC-11EA160A647C}">
      <text>
        <t>[Threaded comment]
Your version of Excel allows you to read this threaded comment; however, any edits to it will get removed if the file is opened in a newer version of Excel. Learn more: https://go.microsoft.com/fwlink/?linkid=870924
Comment:
    (excluding modules B6, B7 and D)</t>
      </text>
    </comment>
    <comment ref="E51" authorId="2" shapeId="0" xr:uid="{0A8902A6-3122-4684-829B-B9B6394BF3CD}">
      <text>
        <t>[Threaded comment]
Your version of Excel allows you to read this threaded comment; however, any edits to it will get removed if the file is opened in a newer version of Excel. Learn more: https://go.microsoft.com/fwlink/?linkid=870924
Comment:
    (excluding modules B6, B7 and D)</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tc={B34250BC-48F1-477C-AFED-9ADCCCCE3DFB}</author>
  </authors>
  <commentList>
    <comment ref="C9" authorId="0" shapeId="0" xr:uid="{B34250BC-48F1-477C-AFED-9ADCCCCE3DFB}">
      <text>
        <t>[Threaded comment]
Your version of Excel allows you to read this threaded comment; however, any edits to it will get removed if the file is opened in a newer version of Excel. Learn more: https://go.microsoft.com/fwlink/?linkid=870924
Comment:
    Looks up material quantities for RC flat slab upper storey. Variable loads are typically higher at ground floor, so consider factoring up.</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tc={F0E5064D-9CB0-4024-A8A0-C4DD9AF33582}</author>
    <author>tc={DB97F818-F053-4E8E-86AF-DA8C9AABB7FA}</author>
    <author>tc={1B291A57-2EED-48D8-87EE-7229B39D3BA7}</author>
    <author>tc={5B626F36-E21F-4FF2-A005-D9C37E3DDB8C}</author>
    <author>tc={394CE9C5-5E87-411C-8B83-D4DF71E56B51}</author>
    <author>tc={A301C48C-84E3-4282-B13E-2EAF42C7535B}</author>
    <author>tc={9BC9F247-C257-4EEA-9E45-6D59B0B4B6C8}</author>
    <author>tc={0E84DA03-0E18-4A13-8603-2215E560DA20}</author>
    <author>tc={46086650-E736-49CC-B116-AFD863DC66A4}</author>
    <author>tc={8F814107-CF26-4358-92ED-21A3B003D75B}</author>
  </authors>
  <commentList>
    <comment ref="C7" authorId="0" shapeId="0" xr:uid="{F0E5064D-9CB0-4024-A8A0-C4DD9AF33582}">
      <text>
        <t>[Threaded comment]
Your version of Excel allows you to read this threaded comment; however, any edits to it will get removed if the file is opened in a newer version of Excel. Learn more: https://go.microsoft.com/fwlink/?linkid=870924
Comment:
    BS 8004:2015 page 15.</t>
      </text>
    </comment>
    <comment ref="D7" authorId="1" shapeId="0" xr:uid="{DB97F818-F053-4E8E-86AF-DA8C9AABB7FA}">
      <text>
        <t>[Threaded comment]
Your version of Excel allows you to read this threaded comment; however, any edits to it will get removed if the file is opened in a newer version of Excel. Learn more: https://go.microsoft.com/fwlink/?linkid=870924
Comment:
    BS 8004:2015 page 14.</t>
      </text>
    </comment>
    <comment ref="E8" authorId="2" shapeId="0" xr:uid="{1B291A57-2EED-48D8-87EE-7229B39D3BA7}">
      <text>
        <t>[Threaded comment]
Your version of Excel allows you to read this threaded comment; however, any edits to it will get removed if the file is opened in a newer version of Excel. Learn more: https://go.microsoft.com/fwlink/?linkid=870924
Comment:
    IRSM 1981b</t>
      </text>
    </comment>
    <comment ref="F15" authorId="3" shapeId="0" xr:uid="{5B626F36-E21F-4FF2-A005-D9C37E3DDB8C}">
      <text>
        <t>[Threaded comment]
Your version of Excel allows you to read this threaded comment; however, any edits to it will get removed if the file is opened in a newer version of Excel. Learn more: https://go.microsoft.com/fwlink/?linkid=870924
Comment:
    CIRIA C143 Figure 36</t>
      </text>
    </comment>
    <comment ref="C18" authorId="4" shapeId="0" xr:uid="{394CE9C5-5E87-411C-8B83-D4DF71E56B51}">
      <text>
        <t>[Threaded comment]
Your version of Excel allows you to read this threaded comment; however, any edits to it will get removed if the file is opened in a newer version of Excel. Learn more: https://go.microsoft.com/fwlink/?linkid=870924
Comment:
    γsat = γw(Gs+ e)/(1+e).
Gs = 2.7
Voids ratio e = 0.35, 0.6 and 0.85 for low, medium and high density chalk respectively. 
γw = 9.81</t>
      </text>
    </comment>
    <comment ref="D18" authorId="5" shapeId="0" xr:uid="{A301C48C-84E3-4282-B13E-2EAF42C7535B}">
      <text>
        <t>[Threaded comment]
Your version of Excel allows you to read this threaded comment; however, any edits to it will get removed if the file is opened in a newer version of Excel. Learn more: https://go.microsoft.com/fwlink/?linkid=870924
Comment:
    Taken from CIRIA C574. Table 3.2 page 86.</t>
      </text>
    </comment>
    <comment ref="H18" authorId="6" shapeId="0" xr:uid="{9BC9F247-C257-4EEA-9E45-6D59B0B4B6C8}">
      <text>
        <t>[Threaded comment]
Your version of Excel allows you to read this threaded comment; however, any edits to it will get removed if the file is opened in a newer version of Excel. Learn more: https://go.microsoft.com/fwlink/?linkid=870924
Comment:
    CIRIA C574 Page 129
Reply:
    Based on dry densities, Figure 4.17</t>
      </text>
    </comment>
    <comment ref="I18" authorId="7" shapeId="0" xr:uid="{0E84DA03-0E18-4A13-8603-2215E560DA20}">
      <text>
        <t>[Threaded comment]
Your version of Excel allows you to read this threaded comment; however, any edits to it will get removed if the file is opened in a newer version of Excel. Learn more: https://go.microsoft.com/fwlink/?linkid=870924
Comment:
    CIRIA C574 Page 129
Reply:
    Based on dry densities, Figure 4.17</t>
      </text>
    </comment>
    <comment ref="C22" authorId="8" shapeId="0" xr:uid="{46086650-E736-49CC-B116-AFD863DC66A4}">
      <text>
        <t>[Threaded comment]
Your version of Excel allows you to read this threaded comment; however, any edits to it will get removed if the file is opened in a newer version of Excel. Learn more: https://go.microsoft.com/fwlink/?linkid=870924
Comment:
    Values Taken from Here.
https://www.finesoftware.eu/help/geo5/en/unit-weight-of-rocks-01/</t>
      </text>
    </comment>
    <comment ref="G22" authorId="9" shapeId="0" xr:uid="{8F814107-CF26-4358-92ED-21A3B003D75B}">
      <text>
        <t>[Threaded comment]
Your version of Excel allows you to read this threaded comment; however, any edits to it will get removed if the file is opened in a newer version of Excel. Learn more: https://go.microsoft.com/fwlink/?linkid=870924
Comment:
    These are from IRSM 1981b</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tc={5636D68C-F119-404D-AA5A-68C4F4AB2886}</author>
    <author>tc={CACB3929-F606-4A56-A643-CA7529FEC2C5}</author>
    <author>tc={289BC4DC-63D3-4D6E-A90F-4AEE3EB97249}</author>
    <author>tc={EAB9C3D4-9021-4235-8F1B-7072C9B3711E}</author>
    <author>tc={3EF4C6A8-F544-400B-AF25-1626C0EE74E4}</author>
    <author>tc={E078F582-64B9-4D8B-8CD5-0555BE517FD1}</author>
    <author>tc={E6C73DFA-5339-48DE-A13F-2E780EC9CB54}</author>
    <author>tc={FB5E4743-83B5-4274-A35D-17A090B7B681}</author>
    <author>tc={E821B3BF-49FD-4840-ACCE-9E7420996E10}</author>
    <author>tc={8777D6E0-A1EF-4451-859E-F3A56770A779}</author>
    <author>tc={5CEBB3A5-C149-42E8-B19F-7E409AB3139B}</author>
    <author>tc={D2CEB9EA-4034-4C10-BAD3-ACC261A78897}</author>
    <author>tc={F7F1FBB7-C063-48B7-A6CC-7EC8007F1A74}</author>
    <author>tc={7C7CC969-9142-403D-AD24-0FECB8ADFB0B}</author>
    <author>tc={67E299BE-9661-4256-BA90-09B8A447D8FD}</author>
    <author>tc={F5AB85B7-96F2-443E-B48B-7D78C2F50CA6}</author>
    <author>tc={D6365EB7-401E-4801-8F81-18595F58B77E}</author>
    <author>tc={D2C6A739-5C2F-4A91-9BF1-E959B95A280E}</author>
    <author>tc={E4CFB612-E86A-44ED-B6CD-644A41E6F338}</author>
    <author>tc={ED8CF068-87DE-4D50-82D4-3EB242449AA1}</author>
    <author>tc={B16BE3EF-0F90-48DC-8FAA-1A189943E077}</author>
    <author>tc={AA9B6168-4418-4DAD-9310-0B9243B2378F}</author>
    <author>tc={8B2D5DFC-C70D-41A5-B1B8-B2A7037CA99A}</author>
    <author>tc={C2305327-0E90-4BAE-A19B-DCA99162C7CD}</author>
    <author>tc={00E475A5-1BB2-4131-A768-D54E3C83B2C2}</author>
    <author>tc={AC5E2CA6-2D72-4221-A39A-4F4FCC5DB5A3}</author>
    <author>tc={144B39C9-8A18-4DED-860D-40D6BE7C8F94}</author>
    <author>tc={66D6308D-A624-47F4-9862-11D5BFE8AD54}</author>
    <author>tc={43DB0CE4-7E44-4744-AEB3-193A6A0F2DA8}</author>
    <author>tc={2B904A1D-16D3-4F5A-9DD6-4707E2C0EF4F}</author>
    <author>tc={384F1A4D-4C73-4460-9017-1239AD46ED15}</author>
    <author>tc={0DAEC798-1567-44BB-ADE9-BBC70AF8903A}</author>
    <author>tc={8B81973E-9EF1-4CE0-8920-536FEAA5D9B2}</author>
    <author>tc={7514BF89-9B42-40FB-AB78-8C2F82BEF270}</author>
    <author>tc={C08FBB99-039E-49C6-B9D9-94E3075B1A64}</author>
    <author>tc={AF4A68AE-658D-4FCB-9F6C-01F2D148F142}</author>
    <author>tc={ADBAA1AC-FF74-487E-9069-324CE8972E51}</author>
    <author>tc={D36E88F1-0068-436B-B972-EF927858811A}</author>
    <author>tc={7B3BB4D2-CDB5-40E1-A9A6-2D7404381A17}</author>
  </authors>
  <commentList>
    <comment ref="G22" authorId="0" shapeId="0" xr:uid="{5636D68C-F119-404D-AA5A-68C4F4AB2886}">
      <text>
        <t>[Threaded comment]
Your version of Excel allows you to read this threaded comment; however, any edits to it will get removed if the file is opened in a newer version of Excel. Learn more: https://go.microsoft.com/fwlink/?linkid=870924
Comment:
    Undrained shear strength for clays at top of strata.</t>
      </text>
    </comment>
    <comment ref="H22" authorId="1" shapeId="0" xr:uid="{CACB3929-F606-4A56-A643-CA7529FEC2C5}">
      <text>
        <t>[Threaded comment]
Your version of Excel allows you to read this threaded comment; however, any edits to it will get removed if the file is opened in a newer version of Excel. Learn more: https://go.microsoft.com/fwlink/?linkid=870924
Comment:
    Undrained shear strength for clays at bottom of strata.</t>
      </text>
    </comment>
    <comment ref="I22" authorId="2" shapeId="0" xr:uid="{289BC4DC-63D3-4D6E-A90F-4AEE3EB97249}">
      <text>
        <t>[Threaded comment]
Your version of Excel allows you to read this threaded comment; however, any edits to it will get removed if the file is opened in a newer version of Excel. Learn more: https://go.microsoft.com/fwlink/?linkid=870924
Comment:
    Adhesion Factor. Could be calulated for different strength ratios?</t>
      </text>
    </comment>
    <comment ref="J22" authorId="3" shapeId="0" xr:uid="{EAB9C3D4-9021-4235-8F1B-7072C9B3711E}">
      <text>
        <t>[Threaded comment]
Your version of Excel allows you to read this threaded comment; however, any edits to it will get removed if the file is opened in a newer version of Excel. Learn more: https://go.microsoft.com/fwlink/?linkid=870924
Comment:
    Based on Tomlinson, keep Nc =9 in all cases prolonging piles are deeper than 5 diameters.</t>
      </text>
    </comment>
    <comment ref="K22" authorId="4" shapeId="0" xr:uid="{3EF4C6A8-F544-400B-AF25-1626C0EE74E4}">
      <text>
        <t>[Threaded comment]
Your version of Excel allows you to read this threaded comment; however, any edits to it will get removed if the file is opened in a newer version of Excel. Learn more: https://go.microsoft.com/fwlink/?linkid=870924
Comment:
    Nq is calculated as
EXP(PI()*TAN(Phi)*PI()/180))*(TAN((45+Phi/2)*PI()/180))^2</t>
      </text>
    </comment>
    <comment ref="M22" authorId="5" shapeId="0" xr:uid="{E078F582-64B9-4D8B-8CD5-0555BE517FD1}">
      <text>
        <t>[Threaded comment]
Your version of Excel allows you to read this threaded comment; however, any edits to it will get removed if the file is opened in a newer version of Excel. Learn more: https://go.microsoft.com/fwlink/?linkid=870924
Comment:
    For Low to Medium Density Chalks, CIRIA 574 reccomends that the shaft friction Tsf should be in relation to the vertical effective stress. 
For bored piles, this is 0.8σv'.
For CFA piles, this is 0.45σv'.</t>
      </text>
    </comment>
    <comment ref="N22" authorId="6" shapeId="0" xr:uid="{E6C73DFA-5339-48DE-A13F-2E780EC9CB54}">
      <text>
        <t>[Threaded comment]
Your version of Excel allows you to read this threaded comment; however, any edits to it will get removed if the file is opened in a newer version of Excel. Learn more: https://go.microsoft.com/fwlink/?linkid=870924
Comment:
    For High Density Chalk (i.e. Grade A Chalk), CIRIA recommends another method, where the pile should be treated as a rock socket. Therefore:
Tsf= 0.1qc
for either dry or saturated chalk UCS values.</t>
      </text>
    </comment>
    <comment ref="O22" authorId="7" shapeId="0" xr:uid="{FB5E4743-83B5-4274-A35D-17A090B7B681}">
      <text>
        <t>[Threaded comment]
Your version of Excel allows you to read this threaded comment; however, any edits to it will get removed if the file is opened in a newer version of Excel. Learn more: https://go.microsoft.com/fwlink/?linkid=870924
Comment:
    Have used values of qu from shallow foundations (CIRIA 574, Section 7.4)
Should I use different values?</t>
      </text>
    </comment>
    <comment ref="G35" authorId="8" shapeId="0" xr:uid="{E821B3BF-49FD-4840-ACCE-9E7420996E10}">
      <text>
        <t>[Threaded comment]
Your version of Excel allows you to read this threaded comment; however, any edits to it will get removed if the file is opened in a newer version of Excel. Learn more: https://go.microsoft.com/fwlink/?linkid=870924
Comment:
    Undrained shear strength for clays at top of strata.</t>
      </text>
    </comment>
    <comment ref="H35" authorId="9" shapeId="0" xr:uid="{8777D6E0-A1EF-4451-859E-F3A56770A779}">
      <text>
        <t>[Threaded comment]
Your version of Excel allows you to read this threaded comment; however, any edits to it will get removed if the file is opened in a newer version of Excel. Learn more: https://go.microsoft.com/fwlink/?linkid=870924
Comment:
    Undrained shear strength for clays at bottom of strata.</t>
      </text>
    </comment>
    <comment ref="I35" authorId="10" shapeId="0" xr:uid="{5CEBB3A5-C149-42E8-B19F-7E409AB3139B}">
      <text>
        <t>[Threaded comment]
Your version of Excel allows you to read this threaded comment; however, any edits to it will get removed if the file is opened in a newer version of Excel. Learn more: https://go.microsoft.com/fwlink/?linkid=870924
Comment:
    Adhesion Factor. Could be calulated for different strength ratios?
Reply:
    Alpha now 1 for weak clays and 0.5 for strong (for driven piles)</t>
      </text>
    </comment>
    <comment ref="J35" authorId="11" shapeId="0" xr:uid="{D2CEB9EA-4034-4C10-BAD3-ACC261A78897}">
      <text>
        <t>[Threaded comment]
Your version of Excel allows you to read this threaded comment; however, any edits to it will get removed if the file is opened in a newer version of Excel. Learn more: https://go.microsoft.com/fwlink/?linkid=870924
Comment:
    Based on Tomlinson, keep Nc =9 in all cases prolonging piles are deeper than 5 diameters.</t>
      </text>
    </comment>
    <comment ref="K35" authorId="12" shapeId="0" xr:uid="{F7F1FBB7-C063-48B7-A6CC-7EC8007F1A74}">
      <text>
        <t>[Threaded comment]
Your version of Excel allows you to read this threaded comment; however, any edits to it will get removed if the file is opened in a newer version of Excel. Learn more: https://go.microsoft.com/fwlink/?linkid=870924
Comment:
    Nq is calculated as
EXP(PI()*TAN(Phi)*PI()/180))*(TAN((45+Phi/2)*PI()/180))^2</t>
      </text>
    </comment>
    <comment ref="M35" authorId="13" shapeId="0" xr:uid="{7C7CC969-9142-403D-AD24-0FECB8ADFB0B}">
      <text>
        <t>[Threaded comment]
Your version of Excel allows you to read this threaded comment; however, any edits to it will get removed if the file is opened in a newer version of Excel. Learn more: https://go.microsoft.com/fwlink/?linkid=870924
Comment:
    For Low to Medium Density Chalks, CIRIA 574 reccomends that the shaft friction Tsf should be in relation to the vertical effective stress. 
For bored piles, this is 0.8σv'.
For CFA piles, this is 0.45σv'.</t>
      </text>
    </comment>
    <comment ref="N35" authorId="14" shapeId="0" xr:uid="{67E299BE-9661-4256-BA90-09B8A447D8FD}">
      <text>
        <t>[Threaded comment]
Your version of Excel allows you to read this threaded comment; however, any edits to it will get removed if the file is opened in a newer version of Excel. Learn more: https://go.microsoft.com/fwlink/?linkid=870924
Comment:
    For High Density Chalk (i.e. Grade A Chalk), CIRIA recommends another method, where the pile should be treated as a rock socket. Therefore:
Tsf= 0.1qc
for either dry or saturated chalk UCS values.</t>
      </text>
    </comment>
    <comment ref="O35" authorId="15" shapeId="0" xr:uid="{F5AB85B7-96F2-443E-B48B-7D78C2F50CA6}">
      <text>
        <t>[Threaded comment]
Your version of Excel allows you to read this threaded comment; however, any edits to it will get removed if the file is opened in a newer version of Excel. Learn more: https://go.microsoft.com/fwlink/?linkid=870924
Comment:
    Have used values of qu from shallow foundations (CIRIA 574, Section 7.4)
Should I use different values?</t>
      </text>
    </comment>
    <comment ref="S35" authorId="16" shapeId="0" xr:uid="{D6365EB7-401E-4801-8F81-18595F58B77E}">
      <text>
        <t>[Threaded comment]
Your version of Excel allows you to read this threaded comment; however, any edits to it will get removed if the file is opened in a newer version of Excel. Learn more: https://go.microsoft.com/fwlink/?linkid=870924
Comment:
    CIRIA C574 recommends design shaft stress of 30kPa for large displacement driven piles in chalk.</t>
      </text>
    </comment>
    <comment ref="G48" authorId="17" shapeId="0" xr:uid="{D2C6A739-5C2F-4A91-9BF1-E959B95A280E}">
      <text>
        <t>[Threaded comment]
Your version of Excel allows you to read this threaded comment; however, any edits to it will get removed if the file is opened in a newer version of Excel. Learn more: https://go.microsoft.com/fwlink/?linkid=870924
Comment:
    Undrained shear strength for clays at top of strata.</t>
      </text>
    </comment>
    <comment ref="H48" authorId="18" shapeId="0" xr:uid="{E4CFB612-E86A-44ED-B6CD-644A41E6F338}">
      <text>
        <t>[Threaded comment]
Your version of Excel allows you to read this threaded comment; however, any edits to it will get removed if the file is opened in a newer version of Excel. Learn more: https://go.microsoft.com/fwlink/?linkid=870924
Comment:
    Undrained shear strength for clays at bottom of strata.</t>
      </text>
    </comment>
    <comment ref="I48" authorId="19" shapeId="0" xr:uid="{ED8CF068-87DE-4D50-82D4-3EB242449AA1}">
      <text>
        <t>[Threaded comment]
Your version of Excel allows you to read this threaded comment; however, any edits to it will get removed if the file is opened in a newer version of Excel. Learn more: https://go.microsoft.com/fwlink/?linkid=870924
Comment:
    Adhesion Factor. Could be calulated for different strength ratios?</t>
      </text>
    </comment>
    <comment ref="J48" authorId="20" shapeId="0" xr:uid="{B16BE3EF-0F90-48DC-8FAA-1A189943E077}">
      <text>
        <t>[Threaded comment]
Your version of Excel allows you to read this threaded comment; however, any edits to it will get removed if the file is opened in a newer version of Excel. Learn more: https://go.microsoft.com/fwlink/?linkid=870924
Comment:
    Based on Tomlinson, keep Nc =9 in all cases prolonging piles are deeper than 5 diameters.</t>
      </text>
    </comment>
    <comment ref="K48" authorId="21" shapeId="0" xr:uid="{AA9B6168-4418-4DAD-9310-0B9243B2378F}">
      <text>
        <t>[Threaded comment]
Your version of Excel allows you to read this threaded comment; however, any edits to it will get removed if the file is opened in a newer version of Excel. Learn more: https://go.microsoft.com/fwlink/?linkid=870924
Comment:
    Nq is calculated as
EXP(PI()*TAN(Phi)*PI()/180))*(TAN((45+Phi/2)*PI()/180))^2</t>
      </text>
    </comment>
    <comment ref="M48" authorId="22" shapeId="0" xr:uid="{8B2D5DFC-C70D-41A5-B1B8-B2A7037CA99A}">
      <text>
        <t>[Threaded comment]
Your version of Excel allows you to read this threaded comment; however, any edits to it will get removed if the file is opened in a newer version of Excel. Learn more: https://go.microsoft.com/fwlink/?linkid=870924
Comment:
    For Low to Medium Density Chalks, CIRIA 574 reccomends that the shaft friction Tsf should be in relation to the vertical effective stress. 
For bored piles, this is 0.8σv'.
For CFA piles, this is 0.45σv'.</t>
      </text>
    </comment>
    <comment ref="N48" authorId="23" shapeId="0" xr:uid="{C2305327-0E90-4BAE-A19B-DCA99162C7CD}">
      <text>
        <t>[Threaded comment]
Your version of Excel allows you to read this threaded comment; however, any edits to it will get removed if the file is opened in a newer version of Excel. Learn more: https://go.microsoft.com/fwlink/?linkid=870924
Comment:
    For High Density Chalk (i.e. Grade A Chalk), CIRIA recommends another method, where the pile should be treated as a rock socket. Therefore:
Tsf= 0.1qc
for either dry or saturated chalk UCS values.</t>
      </text>
    </comment>
    <comment ref="O48" authorId="24" shapeId="0" xr:uid="{00E475A5-1BB2-4131-A768-D54E3C83B2C2}">
      <text>
        <t>[Threaded comment]
Your version of Excel allows you to read this threaded comment; however, any edits to it will get removed if the file is opened in a newer version of Excel. Learn more: https://go.microsoft.com/fwlink/?linkid=870924
Comment:
    Have used values of qu from shallow foundations (CIRIA 574, Section 7.4)
Should I use different values?</t>
      </text>
    </comment>
    <comment ref="W68" authorId="25" shapeId="0" xr:uid="{AC5E2CA6-2D72-4221-A39A-4F4FCC5DB5A3}">
      <text>
        <t>[Threaded comment]
Your version of Excel allows you to read this threaded comment; however, any edits to it will get removed if the file is opened in a newer version of Excel. Learn more: https://go.microsoft.com/fwlink/?linkid=870924
Comment:
    limit for cohesive materials?</t>
      </text>
    </comment>
    <comment ref="S238" authorId="26" shapeId="0" xr:uid="{144B39C9-8A18-4DED-860D-40D6BE7C8F94}">
      <text>
        <t>[Threaded comment]
Your version of Excel allows you to read this threaded comment; however, any edits to it will get removed if the file is opened in a newer version of Excel. Learn more: https://go.microsoft.com/fwlink/?linkid=870924
Comment:
    This doesn't match other spreadsheet, add columns in</t>
      </text>
    </comment>
    <comment ref="E335" authorId="27" shapeId="0" xr:uid="{66D6308D-A624-47F4-9862-11D5BFE8AD54}">
      <text>
        <t>[Threaded comment]
Your version of Excel allows you to read this threaded comment; however, any edits to it will get removed if the file is opened in a newer version of Excel. Learn more: https://go.microsoft.com/fwlink/?linkid=870924
Comment:
    center the titles to make them easy to read</t>
      </text>
    </comment>
    <comment ref="R335" authorId="28" shapeId="0" xr:uid="{43DB0CE4-7E44-4744-AEB3-193A6A0F2DA8}">
      <text>
        <t>[Threaded comment]
Your version of Excel allows you to read this threaded comment; however, any edits to it will get removed if the file is opened in a newer version of Excel. Learn more: https://go.microsoft.com/fwlink/?linkid=870924
Comment:
    center the titles to make them easy to read</t>
      </text>
    </comment>
    <comment ref="AE335" authorId="29" shapeId="0" xr:uid="{2B904A1D-16D3-4F5A-9DD6-4707E2C0EF4F}">
      <text>
        <t>[Threaded comment]
Your version of Excel allows you to read this threaded comment; however, any edits to it will get removed if the file is opened in a newer version of Excel. Learn more: https://go.microsoft.com/fwlink/?linkid=870924
Comment:
    center the titles to make them easy to read</t>
      </text>
    </comment>
    <comment ref="AR335" authorId="30" shapeId="0" xr:uid="{384F1A4D-4C73-4460-9017-1239AD46ED15}">
      <text>
        <t>[Threaded comment]
Your version of Excel allows you to read this threaded comment; however, any edits to it will get removed if the file is opened in a newer version of Excel. Learn more: https://go.microsoft.com/fwlink/?linkid=870924
Comment:
    center the titles to make them easy to read</t>
      </text>
    </comment>
    <comment ref="BE335" authorId="31" shapeId="0" xr:uid="{0DAEC798-1567-44BB-ADE9-BBC70AF8903A}">
      <text>
        <t>[Threaded comment]
Your version of Excel allows you to read this threaded comment; however, any edits to it will get removed if the file is opened in a newer version of Excel. Learn more: https://go.microsoft.com/fwlink/?linkid=870924
Comment:
    center the titles to make them easy to read</t>
      </text>
    </comment>
    <comment ref="BR335" authorId="32" shapeId="0" xr:uid="{8B81973E-9EF1-4CE0-8920-536FEAA5D9B2}">
      <text>
        <t>[Threaded comment]
Your version of Excel allows you to read this threaded comment; however, any edits to it will get removed if the file is opened in a newer version of Excel. Learn more: https://go.microsoft.com/fwlink/?linkid=870924
Comment:
    center the titles to make them easy to read</t>
      </text>
    </comment>
    <comment ref="CE335" authorId="33" shapeId="0" xr:uid="{7514BF89-9B42-40FB-AB78-8C2F82BEF270}">
      <text>
        <t>[Threaded comment]
Your version of Excel allows you to read this threaded comment; however, any edits to it will get removed if the file is opened in a newer version of Excel. Learn more: https://go.microsoft.com/fwlink/?linkid=870924
Comment:
    center the titles to make them easy to read</t>
      </text>
    </comment>
    <comment ref="CR335" authorId="34" shapeId="0" xr:uid="{C08FBB99-039E-49C6-B9D9-94E3075B1A64}">
      <text>
        <t>[Threaded comment]
Your version of Excel allows you to read this threaded comment; however, any edits to it will get removed if the file is opened in a newer version of Excel. Learn more: https://go.microsoft.com/fwlink/?linkid=870924
Comment:
    center the titles to make them easy to read</t>
      </text>
    </comment>
    <comment ref="DE335" authorId="35" shapeId="0" xr:uid="{AF4A68AE-658D-4FCB-9F6C-01F2D148F142}">
      <text>
        <t>[Threaded comment]
Your version of Excel allows you to read this threaded comment; however, any edits to it will get removed if the file is opened in a newer version of Excel. Learn more: https://go.microsoft.com/fwlink/?linkid=870924
Comment:
    center the titles to make them easy to read</t>
      </text>
    </comment>
    <comment ref="DR335" authorId="36" shapeId="0" xr:uid="{ADBAA1AC-FF74-487E-9069-324CE8972E51}">
      <text>
        <t>[Threaded comment]
Your version of Excel allows you to read this threaded comment; however, any edits to it will get removed if the file is opened in a newer version of Excel. Learn more: https://go.microsoft.com/fwlink/?linkid=870924
Comment:
    center the titles to make them easy to read</t>
      </text>
    </comment>
    <comment ref="EE335" authorId="37" shapeId="0" xr:uid="{D36E88F1-0068-436B-B972-EF927858811A}">
      <text>
        <t>[Threaded comment]
Your version of Excel allows you to read this threaded comment; however, any edits to it will get removed if the file is opened in a newer version of Excel. Learn more: https://go.microsoft.com/fwlink/?linkid=870924
Comment:
    center the titles to make them easy to read</t>
      </text>
    </comment>
    <comment ref="ER335" authorId="38" shapeId="0" xr:uid="{7B3BB4D2-CDB5-40E1-A9A6-2D7404381A17}">
      <text>
        <t>[Threaded comment]
Your version of Excel allows you to read this threaded comment; however, any edits to it will get removed if the file is opened in a newer version of Excel. Learn more: https://go.microsoft.com/fwlink/?linkid=870924
Comment:
    center the titles to make them easy to read</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tc={B5AD7672-574F-45AE-9185-D67507D1D5F9}</author>
    <author>tc={789A1D3A-B71E-4D7F-ADA1-EFEB031E1A06}</author>
    <author>tc={0851E38D-0590-4C46-BBB6-B570BD73F961}</author>
    <author>tc={0D20BDE2-1C5F-4951-93E3-200740C98CA7}</author>
    <author>tc={24B12E36-9EDB-48A4-A252-BBA03E54037E}</author>
    <author>tc={80200F29-64EC-4474-9CEC-7B233FB37A78}</author>
  </authors>
  <commentList>
    <comment ref="AL14" authorId="0" shapeId="0" xr:uid="{B5AD7672-574F-45AE-9185-D67507D1D5F9}">
      <text>
        <t>[Threaded comment]
Your version of Excel allows you to read this threaded comment; however, any edits to it will get removed if the file is opened in a newer version of Excel. Learn more: https://go.microsoft.com/fwlink/?linkid=870924
Comment:
    Assumes suspended flat slab for all</t>
      </text>
    </comment>
    <comment ref="W16" authorId="1" shapeId="0" xr:uid="{789A1D3A-B71E-4D7F-ADA1-EFEB031E1A06}">
      <text>
        <t>[Threaded comment]
Your version of Excel allows you to read this threaded comment; however, any edits to it will get removed if the file is opened in a newer version of Excel. Learn more: https://go.microsoft.com/fwlink/?linkid=870924
Comment:
    Issue with load to edge column manually overridden</t>
      </text>
    </comment>
    <comment ref="AF16" authorId="2" shapeId="0" xr:uid="{0851E38D-0590-4C46-BBB6-B570BD73F961}">
      <text>
        <t>[Threaded comment]
Your version of Excel allows you to read this threaded comment; however, any edits to it will get removed if the file is opened in a newer version of Excel. Learn more: https://go.microsoft.com/fwlink/?linkid=870924
Comment:
    per storey</t>
      </text>
    </comment>
    <comment ref="AG16" authorId="3" shapeId="0" xr:uid="{0D20BDE2-1C5F-4951-93E3-200740C98CA7}">
      <text>
        <t>[Threaded comment]
Your version of Excel allows you to read this threaded comment; however, any edits to it will get removed if the file is opened in a newer version of Excel. Learn more: https://go.microsoft.com/fwlink/?linkid=870924
Comment:
    per storey</t>
      </text>
    </comment>
    <comment ref="AK16" authorId="4" shapeId="0" xr:uid="{24B12E36-9EDB-48A4-A252-BBA03E54037E}">
      <text>
        <t>[Threaded comment]
Your version of Excel allows you to read this threaded comment; however, any edits to it will get removed if the file is opened in a newer version of Excel. Learn more: https://go.microsoft.com/fwlink/?linkid=870924
Comment:
    per storey</t>
      </text>
    </comment>
    <comment ref="AU30" authorId="5" shapeId="0" xr:uid="{80200F29-64EC-4474-9CEC-7B233FB37A78}">
      <text>
        <t>[Threaded comment]
Your version of Excel allows you to read this threaded comment; however, any edits to it will get removed if the file is opened in a newer version of Excel. Learn more: https://go.microsoft.com/fwlink/?linkid=870924
Comment:
    sapnning x</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<sst xmlns="http://schemas.openxmlformats.org/spreadsheetml/2006/main" count="11810" uniqueCount="2328">
  <si>
    <t>Reference</t>
  </si>
  <si>
    <t xml:space="preserve">Responsible </t>
  </si>
  <si>
    <t>Edits</t>
  </si>
  <si>
    <t>L_210924</t>
  </si>
  <si>
    <t>RM</t>
  </si>
  <si>
    <t xml:space="preserve">1. Formatting of Summary tab from Benchmark area down
2. Editing Shear Wall tab to ignore wind calc and read qpz from new cell created on summary page
3. Editing typology and building height comparison chart to accurately show results whether sequestration total greater or less than EC total
4. Formatting of alternative typology types on Summary tab
5. Addition of cost section to Summary tab </t>
  </si>
  <si>
    <t>L_210925</t>
  </si>
  <si>
    <t>JB</t>
  </si>
  <si>
    <t>1. Correction to pile tab
2. Re-arrangement and re-formatting of summary page.
3. A5a added to selected typology</t>
  </si>
  <si>
    <t>M_220308</t>
  </si>
  <si>
    <t>1. Element Size Summary Tab added.
2. Revised floor plate data added for composite + rolled steelwork and non-composite PCC + rolled steelwork.
3. Database tab reads off min and max grid for X and Y directions and associates with relevant no. of bays in each direction
4. 10% factor added to steelwork quants for connections</t>
  </si>
  <si>
    <t>M_220713</t>
  </si>
  <si>
    <t>1. Pile tab revised to address compatability issue.
2. Nominal eccentricity added to steel column design.</t>
  </si>
  <si>
    <t>ECO.ZERO - Structure</t>
  </si>
  <si>
    <t>Grid X</t>
  </si>
  <si>
    <t>m</t>
  </si>
  <si>
    <t>Grid Y</t>
  </si>
  <si>
    <t>USER INPUT</t>
  </si>
  <si>
    <t>DESIGN STATUS CHECK</t>
  </si>
  <si>
    <t>Project Data:</t>
  </si>
  <si>
    <t>Engineering Parameters:</t>
  </si>
  <si>
    <t>Transfer Deck Requirements:</t>
  </si>
  <si>
    <t>Typology</t>
  </si>
  <si>
    <t>Status</t>
  </si>
  <si>
    <t>Project Reference</t>
  </si>
  <si>
    <t>Piling Methodology</t>
  </si>
  <si>
    <t>All Types</t>
  </si>
  <si>
    <t>Transfer Deck</t>
  </si>
  <si>
    <t>No</t>
  </si>
  <si>
    <t>Building Use</t>
  </si>
  <si>
    <t>Residential</t>
  </si>
  <si>
    <t>Concrete Mix</t>
  </si>
  <si>
    <t>C32/40 - 25% GGBS</t>
  </si>
  <si>
    <t>Slab Depth</t>
  </si>
  <si>
    <t>Country</t>
  </si>
  <si>
    <t>UK</t>
  </si>
  <si>
    <t>Steel Manufacture</t>
  </si>
  <si>
    <t>Electric Arc Furnace</t>
  </si>
  <si>
    <t>Rebar Rate</t>
  </si>
  <si>
    <r>
      <t>kg/m</t>
    </r>
    <r>
      <rPr>
        <sz val="10"/>
        <color theme="0"/>
        <rFont val="Calibri"/>
        <family val="2"/>
      </rPr>
      <t>³</t>
    </r>
  </si>
  <si>
    <t>Geometry:</t>
  </si>
  <si>
    <t>Ground Model Inputs:</t>
  </si>
  <si>
    <t>Basement Requirements:</t>
  </si>
  <si>
    <t>Stratum Type</t>
  </si>
  <si>
    <t>Thickness (m)</t>
  </si>
  <si>
    <t>Basement</t>
  </si>
  <si>
    <t>Layer 1</t>
  </si>
  <si>
    <t>Made Ground</t>
  </si>
  <si>
    <t>Depth (Formation Level)</t>
  </si>
  <si>
    <t>m BGL</t>
  </si>
  <si>
    <t>Bays X</t>
  </si>
  <si>
    <t>Layer 2</t>
  </si>
  <si>
    <t>Firm Clay</t>
  </si>
  <si>
    <t>Props Required?</t>
  </si>
  <si>
    <t>Bays Y</t>
  </si>
  <si>
    <t>Layer 3</t>
  </si>
  <si>
    <t>Medium Sand/Gravel</t>
  </si>
  <si>
    <t>Wall Pile Dia.</t>
  </si>
  <si>
    <t>mm</t>
  </si>
  <si>
    <t>Storeys</t>
  </si>
  <si>
    <t>Layer 4</t>
  </si>
  <si>
    <t>Very Stiff Clay</t>
  </si>
  <si>
    <t>Floor to Ceiling Height</t>
  </si>
  <si>
    <t>Facade Data:</t>
  </si>
  <si>
    <t>GIA</t>
  </si>
  <si>
    <r>
      <t>m</t>
    </r>
    <r>
      <rPr>
        <vertAlign val="superscript"/>
        <sz val="10"/>
        <color theme="0"/>
        <rFont val="Arial"/>
        <family val="2"/>
      </rPr>
      <t>2</t>
    </r>
  </si>
  <si>
    <t>Average Surface Level</t>
  </si>
  <si>
    <t>m AOD</t>
  </si>
  <si>
    <t>Façade Type</t>
  </si>
  <si>
    <t>Curtain Walling</t>
  </si>
  <si>
    <t>Groundwater Level</t>
  </si>
  <si>
    <t>Glazing Percentage</t>
  </si>
  <si>
    <t>%</t>
  </si>
  <si>
    <t>BENCHMARK DATA</t>
  </si>
  <si>
    <t>TYPOLOGY SCORS RATING (MODULES A1-A5)</t>
  </si>
  <si>
    <t>CARBON DATA vs BUILDING HEIGHT</t>
  </si>
  <si>
    <t>Modules A1-A5, Structure Only:</t>
  </si>
  <si>
    <t>LETI 2030:</t>
  </si>
  <si>
    <t>AECOM 2025:</t>
  </si>
  <si>
    <t>RESULTS</t>
  </si>
  <si>
    <t>Best Performing Typology:</t>
  </si>
  <si>
    <t>SCORS Rating:</t>
  </si>
  <si>
    <t>Modules A-C, Structure Only:</t>
  </si>
  <si>
    <t>ALTERNATIVE TYPOLOGY DATA</t>
  </si>
  <si>
    <t>Selected typology:</t>
  </si>
  <si>
    <t>CARBON EQUIVALENCIES</t>
  </si>
  <si>
    <t>RC Flat Slab</t>
  </si>
  <si>
    <t>This typology releases Module A1-A5 embodied carbon equivalent to:</t>
  </si>
  <si>
    <t>miles driven by an average passenger vehicle</t>
  </si>
  <si>
    <t>OR</t>
  </si>
  <si>
    <t>barrels of oil consumed</t>
  </si>
  <si>
    <t>Carbon sequestered by</t>
  </si>
  <si>
    <t>tree seedlings grown for 10 years</t>
  </si>
  <si>
    <t>SCORS RATING:</t>
  </si>
  <si>
    <t>Wind turbines running for a year</t>
  </si>
  <si>
    <t>COST DATA (STRUCTURE ONLY)</t>
  </si>
  <si>
    <t>Est. Cost</t>
  </si>
  <si>
    <t>Cheapest Structural Typology:</t>
  </si>
  <si>
    <t>Material Quantities &amp; Embodied Carbon</t>
  </si>
  <si>
    <r>
      <t>Element Embodied Carbon [tCO</t>
    </r>
    <r>
      <rPr>
        <b/>
        <vertAlign val="subscript"/>
        <sz val="9"/>
        <color rgb="FFAECC53"/>
        <rFont val="Arial"/>
        <family val="2"/>
      </rPr>
      <t>2</t>
    </r>
    <r>
      <rPr>
        <b/>
        <sz val="9"/>
        <color rgb="FFAECC53"/>
        <rFont val="Arial"/>
        <family val="2"/>
      </rPr>
      <t>e]</t>
    </r>
  </si>
  <si>
    <t>Category</t>
  </si>
  <si>
    <t>Structural Element</t>
  </si>
  <si>
    <t>Material</t>
  </si>
  <si>
    <t>Material Type</t>
  </si>
  <si>
    <t>Material Quantity [kg]</t>
  </si>
  <si>
    <t>A1-A3</t>
  </si>
  <si>
    <t>A4</t>
  </si>
  <si>
    <t>C2</t>
  </si>
  <si>
    <t>C3 / C4</t>
  </si>
  <si>
    <t>C2 to C4</t>
  </si>
  <si>
    <t>D</t>
  </si>
  <si>
    <t>Total A1-A5w</t>
  </si>
  <si>
    <t>Total A-C</t>
  </si>
  <si>
    <t>Sequestration</t>
  </si>
  <si>
    <t>Superstructure</t>
  </si>
  <si>
    <t>Upper Floor Plates</t>
  </si>
  <si>
    <t>Concrete</t>
  </si>
  <si>
    <t>Reinforcement</t>
  </si>
  <si>
    <t>Steel - Rebar - UK: UK CARES avg EPD</t>
  </si>
  <si>
    <t>Columns</t>
  </si>
  <si>
    <t>Shear Walls</t>
  </si>
  <si>
    <t xml:space="preserve">Concrete </t>
  </si>
  <si>
    <t>Transfer</t>
  </si>
  <si>
    <t>Substructure</t>
  </si>
  <si>
    <t>Ground Floor</t>
  </si>
  <si>
    <t>C32/40 - 50% GGBS</t>
  </si>
  <si>
    <t>Blinding</t>
  </si>
  <si>
    <t>Concrete - Mortar_screed - 1:4 cement:sand mix avg UK cement mix</t>
  </si>
  <si>
    <t>Crushed Fill</t>
  </si>
  <si>
    <t>Stone</t>
  </si>
  <si>
    <t xml:space="preserve">Other - Granular_fill - </t>
  </si>
  <si>
    <t>Piles</t>
  </si>
  <si>
    <t>Pile Caps</t>
  </si>
  <si>
    <t>C32/40 - 75% GGBS</t>
  </si>
  <si>
    <t>Basement Slab</t>
  </si>
  <si>
    <t>Basement Lining Wall</t>
  </si>
  <si>
    <t>Basement Columns</t>
  </si>
  <si>
    <t>Embedded Retaining Wall</t>
  </si>
  <si>
    <t>Excavation - Slab</t>
  </si>
  <si>
    <t>Excavation - Pile Caps</t>
  </si>
  <si>
    <t>Excavation - Basement</t>
  </si>
  <si>
    <t>Precast</t>
  </si>
  <si>
    <t>Concrete - Precast_concrete - Reinforced - 150mm hollow core slab</t>
  </si>
  <si>
    <t>Steel</t>
  </si>
  <si>
    <t>Intumescent Paint</t>
  </si>
  <si>
    <t>Paint</t>
  </si>
  <si>
    <t>Other - Intumescent Paint - Amotherm Steel WB EPD</t>
  </si>
  <si>
    <t>Decking</t>
  </si>
  <si>
    <t xml:space="preserve">Steel - Galvanised_profiled_sheet (e.g. decking) - </t>
  </si>
  <si>
    <t>CLT</t>
  </si>
  <si>
    <t>Timber - Engineered_timber - CLT</t>
  </si>
  <si>
    <t>Glulam</t>
  </si>
  <si>
    <t>Timber - Engineered_timber - Glulam</t>
  </si>
  <si>
    <t>Element Size Summary</t>
  </si>
  <si>
    <t>Section</t>
  </si>
  <si>
    <t>Description</t>
  </si>
  <si>
    <t>Unit</t>
  </si>
  <si>
    <t>PT RC Flat Slab</t>
  </si>
  <si>
    <t>RC Rib Slab</t>
  </si>
  <si>
    <t>Two-way RC Slab</t>
  </si>
  <si>
    <t>One-Way Spanning RC</t>
  </si>
  <si>
    <t>Precast Hollowcore with
In-situ RC Beams</t>
  </si>
  <si>
    <t>Non-Composite Rolled Steel with PCC Planks</t>
  </si>
  <si>
    <t>Composite Rolled Steel with Metal Decking</t>
  </si>
  <si>
    <t>Composite Cell Beams with Metal Decking</t>
  </si>
  <si>
    <t>Steel Frame with CLT Slabs</t>
  </si>
  <si>
    <t>CLT, Glulam and Steel Column Hybrid</t>
  </si>
  <si>
    <t>Floor Slab</t>
  </si>
  <si>
    <t>Structural Floor Zone</t>
  </si>
  <si>
    <t>Depth</t>
  </si>
  <si>
    <r>
      <t xml:space="preserve">Rebar Rate </t>
    </r>
    <r>
      <rPr>
        <sz val="8"/>
        <color theme="0"/>
        <rFont val="Calibri"/>
        <family val="2"/>
      </rPr>
      <t>†</t>
    </r>
  </si>
  <si>
    <r>
      <t>kg/m</t>
    </r>
    <r>
      <rPr>
        <sz val="8"/>
        <color theme="0"/>
        <rFont val="Calibri"/>
        <family val="2"/>
      </rPr>
      <t>²</t>
    </r>
  </si>
  <si>
    <t>Floor Beams</t>
  </si>
  <si>
    <t>No. Add'l Secondary</t>
  </si>
  <si>
    <t>Primary</t>
  </si>
  <si>
    <t>Secondary</t>
  </si>
  <si>
    <t>RC / Glulam Beam</t>
  </si>
  <si>
    <t>Beam Depth, X</t>
  </si>
  <si>
    <t>Beam Depth, Y</t>
  </si>
  <si>
    <t>Beam Width, X</t>
  </si>
  <si>
    <t>Beam Width, Y</t>
  </si>
  <si>
    <t>Type</t>
  </si>
  <si>
    <t>RC</t>
  </si>
  <si>
    <t>Internal</t>
  </si>
  <si>
    <t>Size</t>
  </si>
  <si>
    <t>mm x mm</t>
  </si>
  <si>
    <r>
      <t>kg/m</t>
    </r>
    <r>
      <rPr>
        <sz val="8"/>
        <color theme="0"/>
        <rFont val="Calibri"/>
        <family val="2"/>
      </rPr>
      <t>³</t>
    </r>
  </si>
  <si>
    <t>Edge</t>
  </si>
  <si>
    <t>Corner</t>
  </si>
  <si>
    <t>Thickness</t>
  </si>
  <si>
    <t>Diameter</t>
  </si>
  <si>
    <t>Length</t>
  </si>
  <si>
    <t>Quantity</t>
  </si>
  <si>
    <t>Nr.</t>
  </si>
  <si>
    <t>Volume Each</t>
  </si>
  <si>
    <r>
      <t>m</t>
    </r>
    <r>
      <rPr>
        <sz val="8"/>
        <color theme="0"/>
        <rFont val="Calibri"/>
        <family val="2"/>
      </rPr>
      <t>³</t>
    </r>
  </si>
  <si>
    <t>Spacing</t>
  </si>
  <si>
    <t>Length, Primary</t>
  </si>
  <si>
    <t>Length, Secondary</t>
  </si>
  <si>
    <t>Cost Data</t>
  </si>
  <si>
    <t>COST ESTIMATES</t>
  </si>
  <si>
    <t>Measure Units</t>
  </si>
  <si>
    <t>Cost Rate [£/unit]</t>
  </si>
  <si>
    <t>Cost</t>
  </si>
  <si>
    <t>Sub Total</t>
  </si>
  <si>
    <t>m3</t>
  </si>
  <si>
    <t>Tonnes</t>
  </si>
  <si>
    <t>Soffit Formwork</t>
  </si>
  <si>
    <t>m2</t>
  </si>
  <si>
    <t>Edge Formwork</t>
  </si>
  <si>
    <t>Formwork</t>
  </si>
  <si>
    <t>Insulation</t>
  </si>
  <si>
    <t>Piling Mat</t>
  </si>
  <si>
    <t>Crane Base</t>
  </si>
  <si>
    <t>nr</t>
  </si>
  <si>
    <t>incl. above</t>
  </si>
  <si>
    <t>Slab Excavation</t>
  </si>
  <si>
    <t>Basement Excavation</t>
  </si>
  <si>
    <t>On Costs</t>
  </si>
  <si>
    <t>Sundries</t>
  </si>
  <si>
    <t>Prelims</t>
  </si>
  <si>
    <t>Design Development</t>
  </si>
  <si>
    <t>Cost Rate
[£/unit]</t>
  </si>
  <si>
    <t>Soffit and Beam Formwork</t>
  </si>
  <si>
    <t>Beam Formwork</t>
  </si>
  <si>
    <t>Metal Decking</t>
  </si>
  <si>
    <t>COST SUMMARY</t>
  </si>
  <si>
    <t>COST RATES</t>
  </si>
  <si>
    <r>
      <t>A5a [tCO</t>
    </r>
    <r>
      <rPr>
        <b/>
        <vertAlign val="subscript"/>
        <sz val="9"/>
        <color rgb="FFAECC53"/>
        <rFont val="Arial"/>
        <family val="2"/>
      </rPr>
      <t>2</t>
    </r>
    <r>
      <rPr>
        <b/>
        <sz val="9"/>
        <color rgb="FFAECC53"/>
        <rFont val="Arial"/>
        <family val="2"/>
      </rPr>
      <t>]</t>
    </r>
  </si>
  <si>
    <t>Item</t>
  </si>
  <si>
    <t xml:space="preserve">Average </t>
  </si>
  <si>
    <t xml:space="preserve">Steel </t>
  </si>
  <si>
    <t>tonne</t>
  </si>
  <si>
    <t>Chosen</t>
  </si>
  <si>
    <t>Cellular Beams</t>
  </si>
  <si>
    <t>C32/40 - CEM I (OPC)</t>
  </si>
  <si>
    <t>Steel - fittings &amp; connections</t>
  </si>
  <si>
    <t>Fire proofing 60mins</t>
  </si>
  <si>
    <t>Fire proofing 90mins</t>
  </si>
  <si>
    <t>Fire proofing 120mins</t>
  </si>
  <si>
    <t>Note: Cost premiums for cement replacement as provided by DW on 27/01/22.</t>
  </si>
  <si>
    <t>Concrete topping slab</t>
  </si>
  <si>
    <t xml:space="preserve">Excavation and disposal </t>
  </si>
  <si>
    <t xml:space="preserve">Insulation </t>
  </si>
  <si>
    <t>Pile Cap / Slab Concrete</t>
  </si>
  <si>
    <t>Column Concrete</t>
  </si>
  <si>
    <t>Shear Wall Concrete</t>
  </si>
  <si>
    <t>Pile Cap / Slab re-bar</t>
  </si>
  <si>
    <t>Column / beam re-bar</t>
  </si>
  <si>
    <t>Shear Wall re-bar</t>
  </si>
  <si>
    <t>PT Flat Slab Re-bar</t>
  </si>
  <si>
    <t>Reinforcement mesh</t>
  </si>
  <si>
    <t>Slab Formwork</t>
  </si>
  <si>
    <t>Column / beam Formwork</t>
  </si>
  <si>
    <t>Shear Wall Formwork</t>
  </si>
  <si>
    <t>Concrete pre cast planks in grout</t>
  </si>
  <si>
    <t>Varies</t>
  </si>
  <si>
    <t>CFA 450mm</t>
  </si>
  <si>
    <t>CFA 600mm</t>
  </si>
  <si>
    <t>CFA 750mm</t>
  </si>
  <si>
    <t>CFA 900mm</t>
  </si>
  <si>
    <t>CFA 1050mm</t>
  </si>
  <si>
    <t>CFA 1200mm</t>
  </si>
  <si>
    <t>Piling mat</t>
  </si>
  <si>
    <t>Rig mobilisation</t>
  </si>
  <si>
    <t>Nr</t>
  </si>
  <si>
    <t>Crane base</t>
  </si>
  <si>
    <t>Pile testing</t>
  </si>
  <si>
    <t>Moving rig into position</t>
  </si>
  <si>
    <t>Pile trimming</t>
  </si>
  <si>
    <t>Lift pit</t>
  </si>
  <si>
    <t>CLT COST RATES</t>
  </si>
  <si>
    <t>All CLT Typologies</t>
  </si>
  <si>
    <t>GIA:</t>
  </si>
  <si>
    <r>
      <t>m</t>
    </r>
    <r>
      <rPr>
        <sz val="9"/>
        <color theme="0"/>
        <rFont val="Calibri"/>
        <family val="2"/>
      </rPr>
      <t>²</t>
    </r>
  </si>
  <si>
    <t>Prelims:</t>
  </si>
  <si>
    <t>CLT depth:</t>
  </si>
  <si>
    <t>Cost:</t>
  </si>
  <si>
    <t>Basement Selected?</t>
  </si>
  <si>
    <t>Length (m)</t>
  </si>
  <si>
    <t>Rate (£/m)</t>
  </si>
  <si>
    <t>Cost  (£)</t>
  </si>
  <si>
    <t>Congituous</t>
  </si>
  <si>
    <t>Secant, Male</t>
  </si>
  <si>
    <t>Secant, Female</t>
  </si>
  <si>
    <t>SCORS ASSESSMENT</t>
  </si>
  <si>
    <t>A++</t>
  </si>
  <si>
    <t>A+</t>
  </si>
  <si>
    <t>A</t>
  </si>
  <si>
    <t>B</t>
  </si>
  <si>
    <t>C</t>
  </si>
  <si>
    <t>E</t>
  </si>
  <si>
    <t>F</t>
  </si>
  <si>
    <t>G</t>
  </si>
  <si>
    <t>Boundry Values</t>
  </si>
  <si>
    <t>A1-A5
(kgCO2e/m²)</t>
  </si>
  <si>
    <t>WHOLE LIFE-CYCLE CARBON ASSESSMENT</t>
  </si>
  <si>
    <t>(based on Mayor of London Consultation Draft October 2020)</t>
  </si>
  <si>
    <t>WLC Benchmark</t>
  </si>
  <si>
    <t>þ</t>
  </si>
  <si>
    <t>ý</t>
  </si>
  <si>
    <t>Superstructure &amp; Substructure</t>
  </si>
  <si>
    <t>Total</t>
  </si>
  <si>
    <t>A-C (kgCO2e/m²)</t>
  </si>
  <si>
    <t>Total A1-A5</t>
  </si>
  <si>
    <t>AECOM 2025</t>
  </si>
  <si>
    <t>LETI</t>
  </si>
  <si>
    <t>RIBA 2030</t>
  </si>
  <si>
    <t>Office</t>
  </si>
  <si>
    <t>Healthcare</t>
  </si>
  <si>
    <t>N/A</t>
  </si>
  <si>
    <t>Education</t>
  </si>
  <si>
    <t>Standard</t>
  </si>
  <si>
    <t xml:space="preserve">Aspirational </t>
  </si>
  <si>
    <t>Adjustment Factor to A1-A5</t>
  </si>
  <si>
    <t>B-C
(kgCO2e/m²)</t>
  </si>
  <si>
    <t>A1-A5</t>
  </si>
  <si>
    <t>Awaiting Data</t>
  </si>
  <si>
    <t>Building Height (m)</t>
  </si>
  <si>
    <t>A5W</t>
  </si>
  <si>
    <t>A5A</t>
  </si>
  <si>
    <t>Foundations</t>
  </si>
  <si>
    <t>Prelims &amp; Design Development</t>
  </si>
  <si>
    <t>A-C</t>
  </si>
  <si>
    <t>Primary Beams</t>
  </si>
  <si>
    <t>Secondary Beams</t>
  </si>
  <si>
    <t>Surface Area (m²)</t>
  </si>
  <si>
    <t>kg</t>
  </si>
  <si>
    <t>Section Size</t>
  </si>
  <si>
    <r>
      <t>Surface area (m</t>
    </r>
    <r>
      <rPr>
        <b/>
        <sz val="9"/>
        <color rgb="FFAECC53"/>
        <rFont val="Calibri"/>
        <family val="2"/>
      </rPr>
      <t>²</t>
    </r>
    <r>
      <rPr>
        <b/>
        <sz val="9"/>
        <color rgb="FFAECC53"/>
        <rFont val="Arial"/>
        <family val="2"/>
      </rPr>
      <t>)</t>
    </r>
  </si>
  <si>
    <t>kg/m</t>
  </si>
  <si>
    <t>Per metre</t>
  </si>
  <si>
    <t>Per metre adj.</t>
  </si>
  <si>
    <t>Per  tonne adj.</t>
  </si>
  <si>
    <t>1016 x 305 x 584</t>
  </si>
  <si>
    <r>
      <rPr>
        <sz val="11"/>
        <color theme="0"/>
        <rFont val="Calibri"/>
        <family val="2"/>
      </rPr>
      <t>3.69</t>
    </r>
  </si>
  <si>
    <t>1016 x 305 x 494</t>
  </si>
  <si>
    <r>
      <rPr>
        <sz val="11"/>
        <color theme="0"/>
        <rFont val="Calibri"/>
        <family val="2"/>
      </rPr>
      <t>3.24</t>
    </r>
  </si>
  <si>
    <t>1016 x 305 x 438</t>
  </si>
  <si>
    <r>
      <rPr>
        <sz val="11"/>
        <color theme="0"/>
        <rFont val="Calibri"/>
        <family val="2"/>
      </rPr>
      <t>3.17</t>
    </r>
  </si>
  <si>
    <t>1016 x 305 x 415</t>
  </si>
  <si>
    <t>1016 x 305 x 393</t>
  </si>
  <si>
    <r>
      <rPr>
        <sz val="11"/>
        <color theme="0"/>
        <rFont val="Calibri"/>
        <family val="2"/>
      </rPr>
      <t>3.14</t>
    </r>
  </si>
  <si>
    <t>1016 x 305 x 350</t>
  </si>
  <si>
    <r>
      <rPr>
        <sz val="11"/>
        <color theme="0"/>
        <rFont val="Calibri"/>
        <family val="2"/>
      </rPr>
      <t>3.13</t>
    </r>
  </si>
  <si>
    <t>1016 x 305 x 314</t>
  </si>
  <si>
    <r>
      <rPr>
        <sz val="11"/>
        <color theme="0"/>
        <rFont val="Calibri"/>
        <family val="2"/>
      </rPr>
      <t>3.11</t>
    </r>
  </si>
  <si>
    <t>1016 x 305 x 272</t>
  </si>
  <si>
    <r>
      <rPr>
        <sz val="11"/>
        <color theme="0"/>
        <rFont val="Calibri"/>
        <family val="2"/>
      </rPr>
      <t>3.10</t>
    </r>
  </si>
  <si>
    <t>1016 x 305 x 249</t>
  </si>
  <si>
    <r>
      <rPr>
        <sz val="11"/>
        <color theme="0"/>
        <rFont val="Calibri"/>
        <family val="2"/>
      </rPr>
      <t>3.08</t>
    </r>
  </si>
  <si>
    <t>1016 x 305 x 222</t>
  </si>
  <si>
    <r>
      <rPr>
        <sz val="11"/>
        <color theme="0"/>
        <rFont val="Calibri"/>
        <family val="2"/>
      </rPr>
      <t>3.06</t>
    </r>
  </si>
  <si>
    <t>914 x 419 x 388</t>
  </si>
  <si>
    <r>
      <rPr>
        <sz val="11"/>
        <color theme="0"/>
        <rFont val="Calibri"/>
        <family val="2"/>
      </rPr>
      <t>3.44</t>
    </r>
  </si>
  <si>
    <t>914 x 419 x 343</t>
  </si>
  <si>
    <r>
      <rPr>
        <sz val="11"/>
        <color theme="0"/>
        <rFont val="Calibri"/>
        <family val="2"/>
      </rPr>
      <t>3.42</t>
    </r>
  </si>
  <si>
    <t>914 x 305 x 576</t>
  </si>
  <si>
    <r>
      <rPr>
        <sz val="11"/>
        <color theme="0"/>
        <rFont val="Calibri"/>
        <family val="2"/>
      </rPr>
      <t>3.46</t>
    </r>
  </si>
  <si>
    <t>914 x 305 x 521</t>
  </si>
  <si>
    <t>914 x 305 x 474</t>
  </si>
  <si>
    <t>914 x 305 x 425</t>
  </si>
  <si>
    <t>914 x 305 x 381</t>
  </si>
  <si>
    <r>
      <rPr>
        <sz val="11"/>
        <color theme="0"/>
        <rFont val="Calibri"/>
        <family val="2"/>
      </rPr>
      <t>3.09</t>
    </r>
  </si>
  <si>
    <t>914 x 305 x 345</t>
  </si>
  <si>
    <t>914 x 419 x 313</t>
  </si>
  <si>
    <r>
      <rPr>
        <sz val="11"/>
        <color theme="0"/>
        <rFont val="Calibri"/>
        <family val="2"/>
      </rPr>
      <t>3.04</t>
    </r>
  </si>
  <si>
    <t>914 x 305 x 289</t>
  </si>
  <si>
    <r>
      <rPr>
        <sz val="11"/>
        <color theme="0"/>
        <rFont val="Calibri"/>
        <family val="2"/>
      </rPr>
      <t>3.01</t>
    </r>
  </si>
  <si>
    <t>914 x 305 x 271</t>
  </si>
  <si>
    <t>914 x 305 x 253</t>
  </si>
  <si>
    <r>
      <rPr>
        <sz val="11"/>
        <color theme="0"/>
        <rFont val="Calibri"/>
        <family val="2"/>
      </rPr>
      <t>2.99</t>
    </r>
  </si>
  <si>
    <t>914 x 305 x 238</t>
  </si>
  <si>
    <t>914 x 305 x 224</t>
  </si>
  <si>
    <r>
      <rPr>
        <sz val="11"/>
        <color theme="0"/>
        <rFont val="Calibri"/>
        <family val="2"/>
      </rPr>
      <t>2.97</t>
    </r>
  </si>
  <si>
    <t>914 x 305 x 201</t>
  </si>
  <si>
    <r>
      <rPr>
        <sz val="11"/>
        <color theme="0"/>
        <rFont val="Calibri"/>
        <family val="2"/>
      </rPr>
      <t>2.96</t>
    </r>
  </si>
  <si>
    <t>838 x 292 x 226</t>
  </si>
  <si>
    <r>
      <rPr>
        <sz val="11"/>
        <color theme="0"/>
        <rFont val="Calibri"/>
        <family val="2"/>
      </rPr>
      <t>2.81</t>
    </r>
  </si>
  <si>
    <t>838 x 292 x 194</t>
  </si>
  <si>
    <r>
      <rPr>
        <sz val="11"/>
        <color theme="0"/>
        <rFont val="Calibri"/>
        <family val="2"/>
      </rPr>
      <t>2.79</t>
    </r>
  </si>
  <si>
    <t>838 x 292 x 176</t>
  </si>
  <si>
    <r>
      <rPr>
        <sz val="11"/>
        <color theme="0"/>
        <rFont val="Calibri"/>
        <family val="2"/>
      </rPr>
      <t>2.78</t>
    </r>
  </si>
  <si>
    <t>762 x 267 x 197</t>
  </si>
  <si>
    <r>
      <rPr>
        <sz val="11"/>
        <color theme="0"/>
        <rFont val="Calibri"/>
        <family val="2"/>
      </rPr>
      <t>2.55</t>
    </r>
  </si>
  <si>
    <t>762 x 267 x 173</t>
  </si>
  <si>
    <r>
      <rPr>
        <sz val="11"/>
        <color theme="0"/>
        <rFont val="Calibri"/>
        <family val="2"/>
      </rPr>
      <t>2.53</t>
    </r>
  </si>
  <si>
    <t>762 x 267 x 147</t>
  </si>
  <si>
    <r>
      <rPr>
        <sz val="11"/>
        <color theme="0"/>
        <rFont val="Calibri"/>
        <family val="2"/>
      </rPr>
      <t>2.51</t>
    </r>
  </si>
  <si>
    <t>762 x 267 x 134</t>
  </si>
  <si>
    <t>686 x 254 x 170</t>
  </si>
  <si>
    <r>
      <rPr>
        <sz val="11"/>
        <color theme="0"/>
        <rFont val="Calibri"/>
        <family val="2"/>
      </rPr>
      <t>2.35</t>
    </r>
  </si>
  <si>
    <t>686 x 254 x 152</t>
  </si>
  <si>
    <r>
      <rPr>
        <sz val="11"/>
        <color theme="0"/>
        <rFont val="Calibri"/>
        <family val="2"/>
      </rPr>
      <t>2.34</t>
    </r>
  </si>
  <si>
    <t>686 x 254 x 140</t>
  </si>
  <si>
    <r>
      <rPr>
        <sz val="11"/>
        <color theme="0"/>
        <rFont val="Calibri"/>
        <family val="2"/>
      </rPr>
      <t>2.33</t>
    </r>
  </si>
  <si>
    <t>686 x 254 x 125</t>
  </si>
  <si>
    <r>
      <rPr>
        <sz val="11"/>
        <color theme="0"/>
        <rFont val="Calibri"/>
        <family val="2"/>
      </rPr>
      <t>2.32</t>
    </r>
  </si>
  <si>
    <t>610 x 305 x 238</t>
  </si>
  <si>
    <r>
      <rPr>
        <sz val="11"/>
        <color theme="0"/>
        <rFont val="Calibri"/>
        <family val="2"/>
      </rPr>
      <t>2.45</t>
    </r>
  </si>
  <si>
    <t>610 x 305 x 179</t>
  </si>
  <si>
    <r>
      <rPr>
        <sz val="11"/>
        <color theme="0"/>
        <rFont val="Calibri"/>
        <family val="2"/>
      </rPr>
      <t>2.41</t>
    </r>
  </si>
  <si>
    <t>610 x 305 x 149</t>
  </si>
  <si>
    <r>
      <rPr>
        <sz val="11"/>
        <color theme="0"/>
        <rFont val="Calibri"/>
        <family val="2"/>
      </rPr>
      <t>2.39</t>
    </r>
  </si>
  <si>
    <t>610 x 229 x 140</t>
  </si>
  <si>
    <r>
      <rPr>
        <sz val="11"/>
        <color theme="0"/>
        <rFont val="Calibri"/>
        <family val="2"/>
      </rPr>
      <t>2.11</t>
    </r>
  </si>
  <si>
    <t>610 x 229 x 125</t>
  </si>
  <si>
    <r>
      <rPr>
        <sz val="11"/>
        <color theme="0"/>
        <rFont val="Calibri"/>
        <family val="2"/>
      </rPr>
      <t>2.09</t>
    </r>
  </si>
  <si>
    <t>610 x 229 x 113</t>
  </si>
  <si>
    <r>
      <rPr>
        <sz val="11"/>
        <color theme="0"/>
        <rFont val="Calibri"/>
        <family val="2"/>
      </rPr>
      <t>2.08</t>
    </r>
  </si>
  <si>
    <t>610 x 229 x 101</t>
  </si>
  <si>
    <r>
      <rPr>
        <sz val="11"/>
        <color theme="0"/>
        <rFont val="Calibri"/>
        <family val="2"/>
      </rPr>
      <t>2.07</t>
    </r>
  </si>
  <si>
    <t>610 x 178 x 100</t>
  </si>
  <si>
    <r>
      <rPr>
        <sz val="11"/>
        <color theme="0"/>
        <rFont val="Calibri"/>
        <family val="2"/>
      </rPr>
      <t>1.89</t>
    </r>
  </si>
  <si>
    <t>610 x 178 x 92</t>
  </si>
  <si>
    <r>
      <rPr>
        <sz val="11"/>
        <color theme="0"/>
        <rFont val="Calibri"/>
        <family val="2"/>
      </rPr>
      <t>1.88</t>
    </r>
  </si>
  <si>
    <t>610 x 178 x 82</t>
  </si>
  <si>
    <r>
      <rPr>
        <sz val="11"/>
        <color theme="0"/>
        <rFont val="Calibri"/>
        <family val="2"/>
      </rPr>
      <t>1.87</t>
    </r>
  </si>
  <si>
    <t>533 x 312 x 273</t>
  </si>
  <si>
    <r>
      <rPr>
        <sz val="11"/>
        <color theme="0"/>
        <rFont val="Calibri"/>
        <family val="2"/>
      </rPr>
      <t>2.37</t>
    </r>
  </si>
  <si>
    <t>533 x 312 x 219</t>
  </si>
  <si>
    <t>533 x 312 x 182</t>
  </si>
  <si>
    <r>
      <rPr>
        <sz val="11"/>
        <color theme="0"/>
        <rFont val="Calibri"/>
        <family val="2"/>
      </rPr>
      <t>2.31</t>
    </r>
  </si>
  <si>
    <t>533 x 312 x 151</t>
  </si>
  <si>
    <r>
      <rPr>
        <sz val="11"/>
        <color theme="0"/>
        <rFont val="Calibri"/>
        <family val="2"/>
      </rPr>
      <t>2.29</t>
    </r>
  </si>
  <si>
    <t>533 x 210 x 138</t>
  </si>
  <si>
    <r>
      <rPr>
        <sz val="11"/>
        <color theme="0"/>
        <rFont val="Calibri"/>
        <family val="2"/>
      </rPr>
      <t>1.90</t>
    </r>
  </si>
  <si>
    <t>533 x 210 x 122</t>
  </si>
  <si>
    <t>533 x 210 x 109</t>
  </si>
  <si>
    <t>533 x 210 x 101</t>
  </si>
  <si>
    <t>533 x 210 x 92</t>
  </si>
  <si>
    <r>
      <rPr>
        <sz val="11"/>
        <color theme="0"/>
        <rFont val="Calibri"/>
        <family val="2"/>
      </rPr>
      <t>1.86</t>
    </r>
  </si>
  <si>
    <t>533 x 210 x 82</t>
  </si>
  <si>
    <r>
      <rPr>
        <sz val="11"/>
        <color theme="0"/>
        <rFont val="Calibri"/>
        <family val="2"/>
      </rPr>
      <t>1.85</t>
    </r>
  </si>
  <si>
    <t>533 x 165 x 85</t>
  </si>
  <si>
    <r>
      <rPr>
        <sz val="11"/>
        <color theme="0"/>
        <rFont val="Calibri"/>
        <family val="2"/>
      </rPr>
      <t>1.69</t>
    </r>
  </si>
  <si>
    <t>533 x 165 x 75</t>
  </si>
  <si>
    <r>
      <rPr>
        <sz val="11"/>
        <color theme="0"/>
        <rFont val="Calibri"/>
        <family val="2"/>
      </rPr>
      <t>1.68</t>
    </r>
  </si>
  <si>
    <t>533 x 165 x 66</t>
  </si>
  <si>
    <r>
      <rPr>
        <sz val="11"/>
        <color theme="0"/>
        <rFont val="Calibri"/>
        <family val="2"/>
      </rPr>
      <t>1.67</t>
    </r>
  </si>
  <si>
    <t>457 x 191 x 161</t>
  </si>
  <si>
    <r>
      <rPr>
        <sz val="11"/>
        <color theme="0"/>
        <rFont val="Calibri"/>
        <family val="2"/>
      </rPr>
      <t>1.73</t>
    </r>
  </si>
  <si>
    <t>457 x 191 x 133</t>
  </si>
  <si>
    <r>
      <rPr>
        <sz val="11"/>
        <color theme="0"/>
        <rFont val="Calibri"/>
        <family val="2"/>
      </rPr>
      <t>1.70</t>
    </r>
  </si>
  <si>
    <t>457 x 191 x 106</t>
  </si>
  <si>
    <t>457 x 191 x 98</t>
  </si>
  <si>
    <t>457 x 191 x 89</t>
  </si>
  <si>
    <r>
      <rPr>
        <sz val="11"/>
        <color theme="0"/>
        <rFont val="Calibri"/>
        <family val="2"/>
      </rPr>
      <t>1.66</t>
    </r>
  </si>
  <si>
    <t>457 x 191 x 82</t>
  </si>
  <si>
    <r>
      <rPr>
        <sz val="11"/>
        <color theme="0"/>
        <rFont val="Calibri"/>
        <family val="2"/>
      </rPr>
      <t>1.65</t>
    </r>
  </si>
  <si>
    <t>457 x 191 x 74</t>
  </si>
  <si>
    <r>
      <rPr>
        <sz val="11"/>
        <color theme="0"/>
        <rFont val="Calibri"/>
        <family val="2"/>
      </rPr>
      <t>1.64</t>
    </r>
  </si>
  <si>
    <t>457 x 191 x 67</t>
  </si>
  <si>
    <r>
      <rPr>
        <sz val="11"/>
        <color theme="0"/>
        <rFont val="Calibri"/>
        <family val="2"/>
      </rPr>
      <t>1.63</t>
    </r>
  </si>
  <si>
    <t>457 x 152 x 82</t>
  </si>
  <si>
    <r>
      <rPr>
        <sz val="11"/>
        <color theme="0"/>
        <rFont val="Calibri"/>
        <family val="2"/>
      </rPr>
      <t>1.51</t>
    </r>
  </si>
  <si>
    <t>457 x 152 x 74</t>
  </si>
  <si>
    <r>
      <rPr>
        <sz val="11"/>
        <color theme="0"/>
        <rFont val="Calibri"/>
        <family val="2"/>
      </rPr>
      <t>1.50</t>
    </r>
  </si>
  <si>
    <t>457 x 152 x 67</t>
  </si>
  <si>
    <t>457 x 152 x 60</t>
  </si>
  <si>
    <r>
      <rPr>
        <sz val="11"/>
        <color theme="0"/>
        <rFont val="Calibri"/>
        <family val="2"/>
      </rPr>
      <t>1.49</t>
    </r>
  </si>
  <si>
    <t>457 x 152 x 52</t>
  </si>
  <si>
    <r>
      <rPr>
        <sz val="11"/>
        <color theme="0"/>
        <rFont val="Calibri"/>
        <family val="2"/>
      </rPr>
      <t>1.48</t>
    </r>
  </si>
  <si>
    <t>406 x 178 x 85</t>
  </si>
  <si>
    <r>
      <rPr>
        <sz val="11"/>
        <color theme="0"/>
        <rFont val="Calibri"/>
        <family val="2"/>
      </rPr>
      <t>1.52</t>
    </r>
  </si>
  <si>
    <t>406 x 178 x 74</t>
  </si>
  <si>
    <t>406 x 178 x 67</t>
  </si>
  <si>
    <t>406 x 178 x 60</t>
  </si>
  <si>
    <t>406 x 178 x 54</t>
  </si>
  <si>
    <t>406 x 140 x 53</t>
  </si>
  <si>
    <r>
      <rPr>
        <sz val="11"/>
        <color theme="0"/>
        <rFont val="Calibri"/>
        <family val="2"/>
      </rPr>
      <t>1.35</t>
    </r>
  </si>
  <si>
    <t>406 x 140 x 46</t>
  </si>
  <si>
    <r>
      <rPr>
        <sz val="11"/>
        <color theme="0"/>
        <rFont val="Calibri"/>
        <family val="2"/>
      </rPr>
      <t>1.34</t>
    </r>
  </si>
  <si>
    <t>406 x 140 x 39</t>
  </si>
  <si>
    <r>
      <rPr>
        <sz val="11"/>
        <color theme="0"/>
        <rFont val="Calibri"/>
        <family val="2"/>
      </rPr>
      <t>1.33</t>
    </r>
  </si>
  <si>
    <t>356 x 171 x 67</t>
  </si>
  <si>
    <r>
      <rPr>
        <sz val="11"/>
        <color theme="0"/>
        <rFont val="Calibri"/>
        <family val="2"/>
      </rPr>
      <t>1.38</t>
    </r>
  </si>
  <si>
    <t>356 x 171 x 57</t>
  </si>
  <si>
    <r>
      <rPr>
        <sz val="11"/>
        <color theme="0"/>
        <rFont val="Calibri"/>
        <family val="2"/>
      </rPr>
      <t>1.37</t>
    </r>
  </si>
  <si>
    <t>356 x 171 x 51</t>
  </si>
  <si>
    <r>
      <rPr>
        <sz val="11"/>
        <color theme="0"/>
        <rFont val="Calibri"/>
        <family val="2"/>
      </rPr>
      <t>1.36</t>
    </r>
  </si>
  <si>
    <t>356 x 171 x 45</t>
  </si>
  <si>
    <t>356 x 127 x 39</t>
  </si>
  <si>
    <r>
      <rPr>
        <sz val="11"/>
        <color theme="0"/>
        <rFont val="Calibri"/>
        <family val="2"/>
      </rPr>
      <t>1.18</t>
    </r>
  </si>
  <si>
    <t>356 x 127 x 33</t>
  </si>
  <si>
    <r>
      <rPr>
        <sz val="11"/>
        <color theme="0"/>
        <rFont val="Calibri"/>
        <family val="2"/>
      </rPr>
      <t>1.17</t>
    </r>
  </si>
  <si>
    <t>305 x 165 x 54</t>
  </si>
  <si>
    <r>
      <rPr>
        <sz val="11"/>
        <color theme="0"/>
        <rFont val="Calibri"/>
        <family val="2"/>
      </rPr>
      <t>1.26</t>
    </r>
  </si>
  <si>
    <t>305 x 165 x 46</t>
  </si>
  <si>
    <r>
      <rPr>
        <sz val="11"/>
        <color theme="0"/>
        <rFont val="Calibri"/>
        <family val="2"/>
      </rPr>
      <t>1.25</t>
    </r>
  </si>
  <si>
    <t>305 x 165 x 40</t>
  </si>
  <si>
    <r>
      <rPr>
        <sz val="11"/>
        <color theme="0"/>
        <rFont val="Calibri"/>
        <family val="2"/>
      </rPr>
      <t>1.24</t>
    </r>
  </si>
  <si>
    <t>305 x 127 x 48</t>
  </si>
  <si>
    <r>
      <rPr>
        <sz val="11"/>
        <color theme="0"/>
        <rFont val="Calibri"/>
        <family val="2"/>
      </rPr>
      <t>1.09</t>
    </r>
  </si>
  <si>
    <t>305 x 127 x 42</t>
  </si>
  <si>
    <r>
      <rPr>
        <sz val="11"/>
        <color theme="0"/>
        <rFont val="Calibri"/>
        <family val="2"/>
      </rPr>
      <t>1.08</t>
    </r>
  </si>
  <si>
    <t>305 x 127 x 37</t>
  </si>
  <si>
    <r>
      <rPr>
        <sz val="11"/>
        <color theme="0"/>
        <rFont val="Calibri"/>
        <family val="2"/>
      </rPr>
      <t>1.07</t>
    </r>
  </si>
  <si>
    <t>305 x 102 x 33</t>
  </si>
  <si>
    <r>
      <rPr>
        <sz val="11"/>
        <color theme="0"/>
        <rFont val="Calibri"/>
        <family val="2"/>
      </rPr>
      <t>1.01</t>
    </r>
  </si>
  <si>
    <t>305 x 102 x 28</t>
  </si>
  <si>
    <r>
      <rPr>
        <sz val="11"/>
        <color theme="0"/>
        <rFont val="Calibri"/>
        <family val="2"/>
      </rPr>
      <t>1.00</t>
    </r>
  </si>
  <si>
    <t>305 x 102 x 25</t>
  </si>
  <si>
    <r>
      <rPr>
        <sz val="11"/>
        <color theme="0"/>
        <rFont val="Calibri"/>
        <family val="2"/>
      </rPr>
      <t>0.992</t>
    </r>
  </si>
  <si>
    <t>254 x 146 x 43</t>
  </si>
  <si>
    <t>254 x 146 x 37</t>
  </si>
  <si>
    <t>254 x 146 x 31</t>
  </si>
  <si>
    <r>
      <rPr>
        <sz val="11"/>
        <color theme="0"/>
        <rFont val="Calibri"/>
        <family val="2"/>
      </rPr>
      <t>1.06</t>
    </r>
  </si>
  <si>
    <t>254 x 102 x 28</t>
  </si>
  <si>
    <r>
      <rPr>
        <sz val="11"/>
        <color theme="0"/>
        <rFont val="Calibri"/>
        <family val="2"/>
      </rPr>
      <t>0.904</t>
    </r>
  </si>
  <si>
    <t>254 x 102 x 25</t>
  </si>
  <si>
    <r>
      <rPr>
        <sz val="11"/>
        <color theme="0"/>
        <rFont val="Calibri"/>
        <family val="2"/>
      </rPr>
      <t>0.897</t>
    </r>
  </si>
  <si>
    <t>254 x 102 x 22</t>
  </si>
  <si>
    <r>
      <rPr>
        <sz val="11"/>
        <color theme="0"/>
        <rFont val="Calibri"/>
        <family val="2"/>
      </rPr>
      <t>0.890</t>
    </r>
  </si>
  <si>
    <t>203 x 133 x 30</t>
  </si>
  <si>
    <r>
      <rPr>
        <sz val="11"/>
        <color theme="0"/>
        <rFont val="Calibri"/>
        <family val="2"/>
      </rPr>
      <t>0.923</t>
    </r>
  </si>
  <si>
    <t>203 x 133 x 25</t>
  </si>
  <si>
    <r>
      <rPr>
        <sz val="11"/>
        <color theme="0"/>
        <rFont val="Calibri"/>
        <family val="2"/>
      </rPr>
      <t>0.915</t>
    </r>
  </si>
  <si>
    <t>203 x 102 x 23</t>
  </si>
  <si>
    <r>
      <rPr>
        <sz val="11"/>
        <color theme="0"/>
        <rFont val="Calibri"/>
        <family val="2"/>
      </rPr>
      <t>0.790</t>
    </r>
  </si>
  <si>
    <t>178 x 102 x 19</t>
  </si>
  <si>
    <r>
      <rPr>
        <sz val="11"/>
        <color theme="0"/>
        <rFont val="Calibri"/>
        <family val="2"/>
      </rPr>
      <t>0.738</t>
    </r>
  </si>
  <si>
    <t>152 x 89 x 16</t>
  </si>
  <si>
    <r>
      <rPr>
        <sz val="11"/>
        <color theme="0"/>
        <rFont val="Calibri"/>
        <family val="2"/>
      </rPr>
      <t>0.638</t>
    </r>
  </si>
  <si>
    <t>127 x 76 x 13</t>
  </si>
  <si>
    <r>
      <rPr>
        <sz val="11"/>
        <color theme="0"/>
        <rFont val="Calibri"/>
        <family val="2"/>
      </rPr>
      <t>0.537</t>
    </r>
  </si>
  <si>
    <t>LETI Targets</t>
  </si>
  <si>
    <t>A1-A5, Whole Building</t>
  </si>
  <si>
    <t>A1-A5, Structure only</t>
  </si>
  <si>
    <t>2020 Target</t>
  </si>
  <si>
    <t>2030 Target</t>
  </si>
  <si>
    <t>AECOM KPIs</t>
  </si>
  <si>
    <t>A-C, Whole Building</t>
  </si>
  <si>
    <r>
      <t>NB All figures are given in kgCO</t>
    </r>
    <r>
      <rPr>
        <sz val="9"/>
        <color theme="0"/>
        <rFont val="Calibri"/>
        <family val="2"/>
      </rPr>
      <t>₂</t>
    </r>
    <r>
      <rPr>
        <sz val="9"/>
        <color theme="0"/>
        <rFont val="Arial"/>
        <family val="2"/>
      </rPr>
      <t>e/m</t>
    </r>
    <r>
      <rPr>
        <sz val="9"/>
        <color theme="0"/>
        <rFont val="Calibri"/>
        <family val="2"/>
      </rPr>
      <t>²</t>
    </r>
    <r>
      <rPr>
        <sz val="9"/>
        <color theme="0"/>
        <rFont val="Arial"/>
        <family val="2"/>
      </rPr>
      <t xml:space="preserve"> GIA</t>
    </r>
  </si>
  <si>
    <t>Basement Design</t>
  </si>
  <si>
    <t>GROUND FLOOR RC SLAB</t>
  </si>
  <si>
    <t>Structural Zone</t>
  </si>
  <si>
    <t>Rebar</t>
  </si>
  <si>
    <t>kg/m²</t>
  </si>
  <si>
    <t>BASEMENT RC SLAB</t>
  </si>
  <si>
    <r>
      <t>f</t>
    </r>
    <r>
      <rPr>
        <vertAlign val="subscript"/>
        <sz val="9"/>
        <color theme="0"/>
        <rFont val="Arial"/>
        <family val="2"/>
      </rPr>
      <t>ck</t>
    </r>
  </si>
  <si>
    <r>
      <t>N/mm</t>
    </r>
    <r>
      <rPr>
        <vertAlign val="superscript"/>
        <sz val="9"/>
        <color theme="0"/>
        <rFont val="Arial"/>
        <family val="2"/>
      </rPr>
      <t>2</t>
    </r>
  </si>
  <si>
    <t>Cover</t>
  </si>
  <si>
    <t>Main bars</t>
  </si>
  <si>
    <r>
      <t>f</t>
    </r>
    <r>
      <rPr>
        <vertAlign val="subscript"/>
        <sz val="9"/>
        <color theme="0"/>
        <rFont val="Arial"/>
        <family val="2"/>
      </rPr>
      <t>yd</t>
    </r>
  </si>
  <si>
    <r>
      <t>f</t>
    </r>
    <r>
      <rPr>
        <vertAlign val="subscript"/>
        <sz val="9"/>
        <color theme="0"/>
        <rFont val="Arial"/>
        <family val="2"/>
      </rPr>
      <t>ctm</t>
    </r>
  </si>
  <si>
    <r>
      <t>f</t>
    </r>
    <r>
      <rPr>
        <vertAlign val="subscript"/>
        <sz val="9"/>
        <color theme="0"/>
        <rFont val="Arial"/>
        <family val="2"/>
      </rPr>
      <t>yk</t>
    </r>
  </si>
  <si>
    <t>Grid x (m)</t>
  </si>
  <si>
    <t>Grid y (m)</t>
  </si>
  <si>
    <t>Basement Formation</t>
  </si>
  <si>
    <t>mGL</t>
  </si>
  <si>
    <t>Hydrostatic presure applied?</t>
  </si>
  <si>
    <t>Hydrostatic</t>
  </si>
  <si>
    <r>
      <t>kN/m</t>
    </r>
    <r>
      <rPr>
        <vertAlign val="superscript"/>
        <sz val="9"/>
        <color theme="0"/>
        <rFont val="Arial"/>
        <family val="2"/>
      </rPr>
      <t>2</t>
    </r>
  </si>
  <si>
    <t>Slab Selfweight</t>
  </si>
  <si>
    <t>Hogging</t>
  </si>
  <si>
    <t>Slab Thickness (m)</t>
  </si>
  <si>
    <r>
      <t>ULS UDL (kN/m</t>
    </r>
    <r>
      <rPr>
        <b/>
        <vertAlign val="superscript"/>
        <sz val="9"/>
        <color theme="0"/>
        <rFont val="Arial"/>
        <family val="2"/>
      </rPr>
      <t>2</t>
    </r>
    <r>
      <rPr>
        <b/>
        <sz val="9"/>
        <color theme="0"/>
        <rFont val="Arial"/>
        <family val="2"/>
      </rPr>
      <t>)</t>
    </r>
  </si>
  <si>
    <t>M (kNm)</t>
  </si>
  <si>
    <t>d (mm)</t>
  </si>
  <si>
    <t>b (mm)</t>
  </si>
  <si>
    <t>K</t>
  </si>
  <si>
    <t>z</t>
  </si>
  <si>
    <t>0.95d</t>
  </si>
  <si>
    <r>
      <t>As</t>
    </r>
    <r>
      <rPr>
        <b/>
        <vertAlign val="subscript"/>
        <sz val="9"/>
        <color theme="0"/>
        <rFont val="Arial"/>
        <family val="2"/>
      </rPr>
      <t>req</t>
    </r>
  </si>
  <si>
    <r>
      <t>As</t>
    </r>
    <r>
      <rPr>
        <b/>
        <vertAlign val="subscript"/>
        <sz val="9"/>
        <color theme="0"/>
        <rFont val="Arial"/>
        <family val="2"/>
      </rPr>
      <t>prov</t>
    </r>
  </si>
  <si>
    <t>Actual l/d</t>
  </si>
  <si>
    <t>Basic l/d</t>
  </si>
  <si>
    <t>F3</t>
  </si>
  <si>
    <t>Basic l/d x F3</t>
  </si>
  <si>
    <r>
      <t>M</t>
    </r>
    <r>
      <rPr>
        <vertAlign val="subscript"/>
        <sz val="9"/>
        <color theme="0"/>
        <rFont val="Arial"/>
        <family val="2"/>
      </rPr>
      <t>yy,col</t>
    </r>
  </si>
  <si>
    <r>
      <t>M</t>
    </r>
    <r>
      <rPr>
        <vertAlign val="subscript"/>
        <sz val="9"/>
        <color theme="0"/>
        <rFont val="Arial"/>
        <family val="2"/>
      </rPr>
      <t>yy,mid</t>
    </r>
  </si>
  <si>
    <r>
      <t>M</t>
    </r>
    <r>
      <rPr>
        <vertAlign val="subscript"/>
        <sz val="9"/>
        <color theme="0"/>
        <rFont val="Arial"/>
        <family val="2"/>
      </rPr>
      <t>xx,col</t>
    </r>
  </si>
  <si>
    <r>
      <t>M</t>
    </r>
    <r>
      <rPr>
        <vertAlign val="subscript"/>
        <sz val="9"/>
        <color theme="0"/>
        <rFont val="Arial"/>
        <family val="2"/>
      </rPr>
      <t>xx,mid</t>
    </r>
  </si>
  <si>
    <r>
      <t>ρ</t>
    </r>
    <r>
      <rPr>
        <vertAlign val="subscript"/>
        <sz val="10"/>
        <color theme="0"/>
        <rFont val="Arial"/>
        <family val="2"/>
      </rPr>
      <t>0</t>
    </r>
  </si>
  <si>
    <r>
      <t>ρ</t>
    </r>
    <r>
      <rPr>
        <sz val="10"/>
        <rFont val="Arial"/>
        <family val="2"/>
      </rPr>
      <t/>
    </r>
  </si>
  <si>
    <t>If ρ ≤ ρ0 Basic l/d</t>
  </si>
  <si>
    <t>If ρ &gt; ρ0 Basic l/d</t>
  </si>
  <si>
    <t>ρ'</t>
  </si>
  <si>
    <r>
      <t>As</t>
    </r>
    <r>
      <rPr>
        <b/>
        <vertAlign val="subscript"/>
        <sz val="9"/>
        <color theme="0"/>
        <rFont val="Arial"/>
        <family val="2"/>
      </rPr>
      <t>prov</t>
    </r>
    <r>
      <rPr>
        <b/>
        <sz val="9"/>
        <color theme="0"/>
        <rFont val="Arial"/>
        <family val="2"/>
      </rPr>
      <t xml:space="preserve"> 2</t>
    </r>
  </si>
  <si>
    <t>Deflection Check</t>
  </si>
  <si>
    <r>
      <t>As</t>
    </r>
    <r>
      <rPr>
        <b/>
        <vertAlign val="subscript"/>
        <sz val="9"/>
        <color theme="0"/>
        <rFont val="Arial"/>
        <family val="2"/>
      </rPr>
      <t>prov</t>
    </r>
    <r>
      <rPr>
        <b/>
        <sz val="9"/>
        <color theme="0"/>
        <rFont val="Arial"/>
        <family val="2"/>
      </rPr>
      <t xml:space="preserve"> (mm</t>
    </r>
    <r>
      <rPr>
        <b/>
        <vertAlign val="superscript"/>
        <sz val="9"/>
        <color theme="0"/>
        <rFont val="Arial"/>
        <family val="2"/>
      </rPr>
      <t>2</t>
    </r>
    <r>
      <rPr>
        <b/>
        <sz val="9"/>
        <color theme="0"/>
        <rFont val="Arial"/>
        <family val="2"/>
      </rPr>
      <t>/m)</t>
    </r>
  </si>
  <si>
    <t>Sagging</t>
  </si>
  <si>
    <r>
      <t>A</t>
    </r>
    <r>
      <rPr>
        <b/>
        <vertAlign val="subscript"/>
        <sz val="9"/>
        <color theme="0"/>
        <rFont val="Arial"/>
        <family val="2"/>
      </rPr>
      <t>sprov</t>
    </r>
  </si>
  <si>
    <r>
      <t>A</t>
    </r>
    <r>
      <rPr>
        <b/>
        <vertAlign val="subscript"/>
        <sz val="9"/>
        <color theme="0"/>
        <rFont val="Arial"/>
        <family val="2"/>
      </rPr>
      <t>s,min</t>
    </r>
  </si>
  <si>
    <t>RC LINING WALL</t>
  </si>
  <si>
    <t>L</t>
  </si>
  <si>
    <t>GWL above formation</t>
  </si>
  <si>
    <t>t</t>
  </si>
  <si>
    <t>W</t>
  </si>
  <si>
    <t>kN/m</t>
  </si>
  <si>
    <t>M</t>
  </si>
  <si>
    <t>kNm</t>
  </si>
  <si>
    <t>Mean value of concrete tensile strength</t>
  </si>
  <si>
    <r>
      <t>f</t>
    </r>
    <r>
      <rPr>
        <vertAlign val="subscript"/>
        <sz val="9"/>
        <color theme="0"/>
        <rFont val="Arial"/>
        <family val="2"/>
      </rPr>
      <t xml:space="preserve">ct.eff </t>
    </r>
  </si>
  <si>
    <t>Wall thickness</t>
  </si>
  <si>
    <t>Reinforcement ratio</t>
  </si>
  <si>
    <r>
      <rPr>
        <sz val="9"/>
        <color theme="0"/>
        <rFont val="Calibri"/>
        <family val="2"/>
      </rPr>
      <t>ρ</t>
    </r>
    <r>
      <rPr>
        <vertAlign val="subscript"/>
        <sz val="9"/>
        <color theme="0"/>
        <rFont val="Arial"/>
        <family val="2"/>
      </rPr>
      <t>p.eff</t>
    </r>
  </si>
  <si>
    <t>Bending moment due to hydrostatic</t>
  </si>
  <si>
    <t>kNM/m</t>
  </si>
  <si>
    <t>Modular ratio</t>
  </si>
  <si>
    <r>
      <t>α</t>
    </r>
    <r>
      <rPr>
        <vertAlign val="subscript"/>
        <sz val="9"/>
        <color theme="0"/>
        <rFont val="Calibri"/>
        <family val="2"/>
      </rPr>
      <t>e</t>
    </r>
  </si>
  <si>
    <t>Effective depth</t>
  </si>
  <si>
    <t>d</t>
  </si>
  <si>
    <t>Bond property coefficient</t>
  </si>
  <si>
    <r>
      <t>k</t>
    </r>
    <r>
      <rPr>
        <vertAlign val="subscript"/>
        <sz val="9"/>
        <color theme="0"/>
        <rFont val="Arial"/>
        <family val="2"/>
      </rPr>
      <t>1</t>
    </r>
  </si>
  <si>
    <t>b</t>
  </si>
  <si>
    <t>Strain distribution coefficient</t>
  </si>
  <si>
    <r>
      <t>k</t>
    </r>
    <r>
      <rPr>
        <vertAlign val="subscript"/>
        <sz val="9"/>
        <color theme="0"/>
        <rFont val="Arial"/>
        <family val="2"/>
      </rPr>
      <t xml:space="preserve">2 </t>
    </r>
  </si>
  <si>
    <r>
      <t>k</t>
    </r>
    <r>
      <rPr>
        <vertAlign val="subscript"/>
        <sz val="9"/>
        <color theme="0"/>
        <rFont val="Arial"/>
        <family val="2"/>
      </rPr>
      <t>3</t>
    </r>
  </si>
  <si>
    <r>
      <t>k</t>
    </r>
    <r>
      <rPr>
        <vertAlign val="subscript"/>
        <sz val="9"/>
        <color theme="0"/>
        <rFont val="Arial"/>
        <family val="2"/>
      </rPr>
      <t>4</t>
    </r>
  </si>
  <si>
    <t>Maximum crack spacing - exp.7.11</t>
  </si>
  <si>
    <r>
      <t>s</t>
    </r>
    <r>
      <rPr>
        <vertAlign val="subscript"/>
        <sz val="9"/>
        <color theme="0"/>
        <rFont val="Arial"/>
        <family val="2"/>
      </rPr>
      <t>r,max</t>
    </r>
  </si>
  <si>
    <r>
      <t>A</t>
    </r>
    <r>
      <rPr>
        <vertAlign val="subscript"/>
        <sz val="9"/>
        <color theme="0"/>
        <rFont val="Arial"/>
        <family val="2"/>
      </rPr>
      <t>sreq</t>
    </r>
  </si>
  <si>
    <t>Maximum crack width - exp.7.8</t>
  </si>
  <si>
    <r>
      <t>w</t>
    </r>
    <r>
      <rPr>
        <vertAlign val="subscript"/>
        <sz val="9"/>
        <color theme="0"/>
        <rFont val="Arial"/>
        <family val="2"/>
      </rPr>
      <t>k</t>
    </r>
  </si>
  <si>
    <r>
      <t>A</t>
    </r>
    <r>
      <rPr>
        <vertAlign val="subscript"/>
        <sz val="9"/>
        <color theme="0"/>
        <rFont val="Arial"/>
        <family val="2"/>
      </rPr>
      <t>sprov</t>
    </r>
  </si>
  <si>
    <t>mm²/m</t>
  </si>
  <si>
    <t>Tensile stress in reinforcement</t>
  </si>
  <si>
    <r>
      <rPr>
        <sz val="9"/>
        <color theme="0"/>
        <rFont val="Calibri"/>
        <family val="2"/>
      </rPr>
      <t>σ</t>
    </r>
    <r>
      <rPr>
        <vertAlign val="subscript"/>
        <sz val="9"/>
        <color theme="0"/>
        <rFont val="Arial"/>
        <family val="2"/>
      </rPr>
      <t>s</t>
    </r>
  </si>
  <si>
    <t>N/mm²</t>
  </si>
  <si>
    <t>Limiting crack width</t>
  </si>
  <si>
    <r>
      <t>w</t>
    </r>
    <r>
      <rPr>
        <vertAlign val="subscript"/>
        <sz val="9"/>
        <color theme="0"/>
        <rFont val="Arial"/>
        <family val="2"/>
      </rPr>
      <t>max</t>
    </r>
  </si>
  <si>
    <t xml:space="preserve">Variable load factor </t>
  </si>
  <si>
    <r>
      <t>ψ</t>
    </r>
    <r>
      <rPr>
        <vertAlign val="subscript"/>
        <sz val="9"/>
        <color theme="0"/>
        <rFont val="Arial"/>
        <family val="2"/>
      </rPr>
      <t>2</t>
    </r>
  </si>
  <si>
    <t>Serviceability bending moment</t>
  </si>
  <si>
    <r>
      <t>M</t>
    </r>
    <r>
      <rPr>
        <vertAlign val="subscript"/>
        <sz val="9"/>
        <color theme="0"/>
        <rFont val="Arial"/>
        <family val="2"/>
      </rPr>
      <t>sls</t>
    </r>
  </si>
  <si>
    <t>Load duration</t>
  </si>
  <si>
    <t>Long term</t>
  </si>
  <si>
    <t>Load duration factor</t>
  </si>
  <si>
    <r>
      <t>k</t>
    </r>
    <r>
      <rPr>
        <vertAlign val="subscript"/>
        <sz val="9"/>
        <color theme="0"/>
        <rFont val="Arial"/>
        <family val="2"/>
      </rPr>
      <t>t</t>
    </r>
    <r>
      <rPr>
        <sz val="9"/>
        <color theme="0"/>
        <rFont val="Arial"/>
        <family val="2"/>
      </rPr>
      <t xml:space="preserve"> </t>
    </r>
  </si>
  <si>
    <t>Effective area of concrete in tension</t>
  </si>
  <si>
    <r>
      <t>A</t>
    </r>
    <r>
      <rPr>
        <vertAlign val="subscript"/>
        <sz val="9"/>
        <color theme="0"/>
        <rFont val="Arial"/>
        <family val="2"/>
      </rPr>
      <t>c.eff</t>
    </r>
  </si>
  <si>
    <t>RC COLUMN DESIGNS</t>
  </si>
  <si>
    <t>RC Grade</t>
  </si>
  <si>
    <t>C32/40</t>
  </si>
  <si>
    <t>% Reinforcement</t>
  </si>
  <si>
    <t>Storey Height</t>
  </si>
  <si>
    <t>No. corner</t>
  </si>
  <si>
    <t>No. edge</t>
  </si>
  <si>
    <t>No. internal</t>
  </si>
  <si>
    <t>Plan Area</t>
  </si>
  <si>
    <t>m²</t>
  </si>
  <si>
    <t>Fire Rating</t>
  </si>
  <si>
    <t>mins</t>
  </si>
  <si>
    <r>
      <t>N</t>
    </r>
    <r>
      <rPr>
        <b/>
        <vertAlign val="subscript"/>
        <sz val="9"/>
        <color rgb="FFAECC53"/>
        <rFont val="Arial"/>
        <family val="2"/>
      </rPr>
      <t>Ed</t>
    </r>
    <r>
      <rPr>
        <b/>
        <sz val="9"/>
        <color rgb="FFAECC53"/>
        <rFont val="Arial"/>
        <family val="2"/>
      </rPr>
      <t xml:space="preserve">
(kN)</t>
    </r>
  </si>
  <si>
    <t>Min D
(mm)</t>
  </si>
  <si>
    <t>D
(mm)</t>
  </si>
  <si>
    <r>
      <t>C/S Area (mm</t>
    </r>
    <r>
      <rPr>
        <b/>
        <sz val="9"/>
        <color rgb="FFAECC53"/>
        <rFont val="Calibri"/>
        <family val="2"/>
      </rPr>
      <t>²</t>
    </r>
    <r>
      <rPr>
        <b/>
        <sz val="9"/>
        <color rgb="FFAECC53"/>
        <rFont val="Arial"/>
        <family val="2"/>
      </rPr>
      <t>)</t>
    </r>
  </si>
  <si>
    <r>
      <t>Concrete
(kg/m</t>
    </r>
    <r>
      <rPr>
        <b/>
        <sz val="9"/>
        <color rgb="FFAECC53"/>
        <rFont val="Calibri"/>
        <family val="2"/>
      </rPr>
      <t>²</t>
    </r>
    <r>
      <rPr>
        <b/>
        <sz val="9"/>
        <color rgb="FFAECC53"/>
        <rFont val="Arial"/>
        <family val="2"/>
      </rPr>
      <t>)</t>
    </r>
  </si>
  <si>
    <r>
      <t>Rebar
(kg/m</t>
    </r>
    <r>
      <rPr>
        <b/>
        <sz val="9"/>
        <color rgb="FFAECC53"/>
        <rFont val="Calibri"/>
        <family val="2"/>
      </rPr>
      <t>²</t>
    </r>
    <r>
      <rPr>
        <b/>
        <sz val="9"/>
        <color rgb="FFAECC53"/>
        <rFont val="Arial"/>
        <family val="2"/>
      </rPr>
      <t>)</t>
    </r>
  </si>
  <si>
    <t>Column S/W (kN)</t>
  </si>
  <si>
    <r>
      <t>Concrete Volume (m</t>
    </r>
    <r>
      <rPr>
        <b/>
        <sz val="9"/>
        <color rgb="FFAECC53"/>
        <rFont val="Calibri"/>
        <family val="2"/>
      </rPr>
      <t>³</t>
    </r>
    <r>
      <rPr>
        <b/>
        <sz val="9"/>
        <color rgb="FFAECC53"/>
        <rFont val="Arial"/>
        <family val="2"/>
      </rPr>
      <t>)</t>
    </r>
  </si>
  <si>
    <t>Rebar
(Tonnes)</t>
  </si>
  <si>
    <r>
      <t>Formwork (m</t>
    </r>
    <r>
      <rPr>
        <b/>
        <sz val="9"/>
        <color rgb="FFAECC53"/>
        <rFont val="Calibri"/>
        <family val="2"/>
      </rPr>
      <t>²</t>
    </r>
    <r>
      <rPr>
        <b/>
        <sz val="9"/>
        <color rgb="FFAECC53"/>
        <rFont val="Arial"/>
        <family val="2"/>
      </rPr>
      <t>)</t>
    </r>
  </si>
  <si>
    <t>EMBEDDED RETAINING WALL</t>
  </si>
  <si>
    <t>Pile Length Conditions</t>
  </si>
  <si>
    <t>Propped - Yes</t>
  </si>
  <si>
    <t>Propped - No</t>
  </si>
  <si>
    <t>Perimeter (m)</t>
  </si>
  <si>
    <t>Ratio of Pile Length In : Out of the Ground</t>
  </si>
  <si>
    <t>1 : 1</t>
  </si>
  <si>
    <t>2 : 1</t>
  </si>
  <si>
    <t>Retained Strata</t>
  </si>
  <si>
    <t>Conditions</t>
  </si>
  <si>
    <t>Cohesive</t>
  </si>
  <si>
    <t>Granular</t>
  </si>
  <si>
    <t>GW &gt; Excavation Depth</t>
  </si>
  <si>
    <t>Contiguous Wall</t>
  </si>
  <si>
    <t>GW &lt; Excavation Depth</t>
  </si>
  <si>
    <t>Secant Pile Wall</t>
  </si>
  <si>
    <t>Primary Information taken from ground model</t>
  </si>
  <si>
    <t>Contiguous</t>
  </si>
  <si>
    <t xml:space="preserve">Selected </t>
  </si>
  <si>
    <t>Retained Soil Type</t>
  </si>
  <si>
    <t>Depth of clay below basement floor (if present) (m)</t>
  </si>
  <si>
    <t>Depth of clay below calculated Secondary (Male) pile length (m)</t>
  </si>
  <si>
    <t xml:space="preserve">Clear spacing of contiguous piles (mm) </t>
  </si>
  <si>
    <t>Diameter
(mm)</t>
  </si>
  <si>
    <t>Spacing (mm)</t>
  </si>
  <si>
    <t>Total length (m)</t>
  </si>
  <si>
    <t>Calculations</t>
  </si>
  <si>
    <t>Wall Type</t>
  </si>
  <si>
    <t>Significant GW Control Required?</t>
  </si>
  <si>
    <t>Secant</t>
  </si>
  <si>
    <t>Length of pile (m)</t>
  </si>
  <si>
    <t>Secondary (Male) Secant Pile</t>
  </si>
  <si>
    <t>Adjusted Secondary (Male) Secant Pile</t>
  </si>
  <si>
    <t>Primary (Female) Secant Pile</t>
  </si>
  <si>
    <t>Male</t>
  </si>
  <si>
    <t>Female</t>
  </si>
  <si>
    <t>Vol??</t>
  </si>
  <si>
    <t>No. of piles required</t>
  </si>
  <si>
    <r>
      <t>Volume of concrete (m</t>
    </r>
    <r>
      <rPr>
        <b/>
        <vertAlign val="superscript"/>
        <sz val="9"/>
        <color theme="0"/>
        <rFont val="Arial"/>
        <family val="2"/>
      </rPr>
      <t>3</t>
    </r>
    <r>
      <rPr>
        <b/>
        <sz val="9"/>
        <color theme="0"/>
        <rFont val="Arial"/>
        <family val="2"/>
      </rPr>
      <t>)</t>
    </r>
  </si>
  <si>
    <t>No. Secondary</t>
  </si>
  <si>
    <t>PILE LOADS</t>
  </si>
  <si>
    <r>
      <t>G</t>
    </r>
    <r>
      <rPr>
        <b/>
        <vertAlign val="subscript"/>
        <sz val="9"/>
        <color rgb="FFAECC53"/>
        <rFont val="Arial"/>
        <family val="2"/>
      </rPr>
      <t xml:space="preserve">k
</t>
    </r>
    <r>
      <rPr>
        <b/>
        <sz val="9"/>
        <color rgb="FFAECC53"/>
        <rFont val="Arial"/>
        <family val="2"/>
      </rPr>
      <t>(kN)</t>
    </r>
  </si>
  <si>
    <r>
      <t>Q</t>
    </r>
    <r>
      <rPr>
        <b/>
        <vertAlign val="subscript"/>
        <sz val="9"/>
        <color rgb="FFAECC53"/>
        <rFont val="Arial"/>
        <family val="2"/>
      </rPr>
      <t xml:space="preserve">k
</t>
    </r>
    <r>
      <rPr>
        <b/>
        <sz val="9"/>
        <color rgb="FFAECC53"/>
        <rFont val="Arial"/>
        <family val="2"/>
      </rPr>
      <t>(kN)</t>
    </r>
  </si>
  <si>
    <t>No. Internal Columns</t>
  </si>
  <si>
    <t>No. Edge Columns</t>
  </si>
  <si>
    <t>No. Corner Columns</t>
  </si>
  <si>
    <t>Inputs</t>
  </si>
  <si>
    <t>Ground Model Inputs</t>
  </si>
  <si>
    <t>Average surface level (m AOD)</t>
  </si>
  <si>
    <t>Groundwater (Depth m bgl)</t>
  </si>
  <si>
    <t>Linear Strength Profile Required?</t>
  </si>
  <si>
    <t>If no ground model is currently available, obtain an approximate ground model using:</t>
  </si>
  <si>
    <t>http://mapapps.bgs.ac.uk/geologyofbritain/home.html</t>
  </si>
  <si>
    <t>Building Inputs</t>
  </si>
  <si>
    <t>Building Geometries</t>
  </si>
  <si>
    <t>Pad/Raft Foundation Requirements</t>
  </si>
  <si>
    <t>Length of floor plan (m)</t>
  </si>
  <si>
    <t>Pad Foundation Thickness (m)</t>
  </si>
  <si>
    <t>Width of floor plan (m)</t>
  </si>
  <si>
    <t>Thickness of Raft (m)</t>
  </si>
  <si>
    <t>Basement Requirements</t>
  </si>
  <si>
    <t>Pile Foundation Requirements</t>
  </si>
  <si>
    <t>Are vibration issues a concern with driven piles?</t>
  </si>
  <si>
    <t>Basement Depth (Formation Level) (m bgl)</t>
  </si>
  <si>
    <t>Pile Installation Method</t>
  </si>
  <si>
    <t>Basement Pile Wall Props Required?</t>
  </si>
  <si>
    <t>Concrete Type for Piles</t>
  </si>
  <si>
    <t>Basement Wall Pile Diameter (mm)</t>
  </si>
  <si>
    <t>Loadings</t>
  </si>
  <si>
    <t>DA2-C2</t>
  </si>
  <si>
    <t>Column Type</t>
  </si>
  <si>
    <t>Characteristic Permanent Loading (kN)</t>
  </si>
  <si>
    <t>Characteristic Variable Loading (kN)</t>
  </si>
  <si>
    <t>Number Required</t>
  </si>
  <si>
    <t>DA1-C1</t>
  </si>
  <si>
    <t>SLS Case</t>
  </si>
  <si>
    <t>1 PILE</t>
  </si>
  <si>
    <t>2 PILE</t>
  </si>
  <si>
    <t>3 PILE</t>
  </si>
  <si>
    <t>4 PILE</t>
  </si>
  <si>
    <t>Central Column</t>
  </si>
  <si>
    <t>Edge Column</t>
  </si>
  <si>
    <t>Corner Column</t>
  </si>
  <si>
    <t>Permanent Loading (kN)</t>
  </si>
  <si>
    <t>Variable Loading (kN)</t>
  </si>
  <si>
    <t>Typology 12</t>
  </si>
  <si>
    <t>Pile Ground Model and Calculations</t>
  </si>
  <si>
    <t>Pile Ground Model</t>
  </si>
  <si>
    <t>Pile Design Ground Model for Vertical Capacity - BS EN 1997-1:2004</t>
  </si>
  <si>
    <t>Design Formulae</t>
  </si>
  <si>
    <r>
      <t>q</t>
    </r>
    <r>
      <rPr>
        <vertAlign val="subscript"/>
        <sz val="10"/>
        <rFont val="Arial"/>
        <family val="2"/>
      </rPr>
      <t>s.k</t>
    </r>
    <r>
      <rPr>
        <sz val="10"/>
        <rFont val="Arial"/>
        <family val="2"/>
      </rPr>
      <t>=</t>
    </r>
    <r>
      <rPr>
        <sz val="10"/>
        <rFont val="Symbol"/>
        <family val="1"/>
        <charset val="2"/>
      </rPr>
      <t>t</t>
    </r>
    <r>
      <rPr>
        <sz val="10"/>
        <rFont val="Arial"/>
        <family val="2"/>
      </rPr>
      <t>sf.</t>
    </r>
    <r>
      <rPr>
        <sz val="10"/>
        <rFont val="Symbol"/>
        <family val="1"/>
        <charset val="2"/>
      </rPr>
      <t>s</t>
    </r>
    <r>
      <rPr>
        <sz val="10"/>
        <rFont val="Arial"/>
        <family val="2"/>
      </rPr>
      <t>'</t>
    </r>
    <r>
      <rPr>
        <vertAlign val="subscript"/>
        <sz val="10"/>
        <rFont val="Arial"/>
        <family val="2"/>
      </rPr>
      <t>v(Av.)</t>
    </r>
    <r>
      <rPr>
        <sz val="10"/>
        <rFont val="Arial"/>
        <family val="2"/>
      </rPr>
      <t/>
    </r>
  </si>
  <si>
    <t>(Characteristic shaft resistance of piles - chalk)</t>
  </si>
  <si>
    <r>
      <t>q</t>
    </r>
    <r>
      <rPr>
        <vertAlign val="subscript"/>
        <sz val="10"/>
        <rFont val="Arial"/>
        <family val="2"/>
      </rPr>
      <t>s.k</t>
    </r>
    <r>
      <rPr>
        <sz val="10"/>
        <rFont val="Arial"/>
        <family val="2"/>
      </rPr>
      <t>=</t>
    </r>
    <r>
      <rPr>
        <sz val="10"/>
        <rFont val="Symbol"/>
        <family val="1"/>
        <charset val="2"/>
      </rPr>
      <t>a</t>
    </r>
    <r>
      <rPr>
        <sz val="10"/>
        <rFont val="Arial"/>
        <family val="2"/>
      </rPr>
      <t>.Cu</t>
    </r>
    <r>
      <rPr>
        <vertAlign val="subscript"/>
        <sz val="10"/>
        <rFont val="Arial"/>
        <family val="2"/>
      </rPr>
      <t>(Av.)</t>
    </r>
  </si>
  <si>
    <t>(Characteristic shaft resistance of piles - cohesive)</t>
  </si>
  <si>
    <r>
      <t>q</t>
    </r>
    <r>
      <rPr>
        <vertAlign val="subscript"/>
        <sz val="10"/>
        <rFont val="Arial"/>
        <family val="2"/>
      </rPr>
      <t>s.k</t>
    </r>
    <r>
      <rPr>
        <sz val="10"/>
        <rFont val="Arial"/>
        <family val="2"/>
      </rPr>
      <t>=K</t>
    </r>
    <r>
      <rPr>
        <sz val="10"/>
        <rFont val="Symbol"/>
        <family val="1"/>
        <charset val="2"/>
      </rPr>
      <t>s</t>
    </r>
    <r>
      <rPr>
        <sz val="10"/>
        <rFont val="Arial"/>
        <family val="2"/>
      </rPr>
      <t>'</t>
    </r>
    <r>
      <rPr>
        <vertAlign val="subscript"/>
        <sz val="10"/>
        <rFont val="Arial"/>
        <family val="2"/>
      </rPr>
      <t>v(Av.)</t>
    </r>
    <r>
      <rPr>
        <sz val="10"/>
        <rFont val="Arial"/>
        <family val="2"/>
      </rPr>
      <t>tan</t>
    </r>
    <r>
      <rPr>
        <sz val="10"/>
        <rFont val="Symbol"/>
        <family val="1"/>
        <charset val="2"/>
      </rPr>
      <t>d</t>
    </r>
    <r>
      <rPr>
        <sz val="10"/>
        <rFont val="Arial"/>
        <family val="2"/>
      </rPr>
      <t>'</t>
    </r>
  </si>
  <si>
    <t>(Characterisic shaft resistance of piles - granular)</t>
  </si>
  <si>
    <r>
      <t>q</t>
    </r>
    <r>
      <rPr>
        <vertAlign val="subscript"/>
        <sz val="10"/>
        <rFont val="Arial"/>
        <family val="2"/>
      </rPr>
      <t>u</t>
    </r>
  </si>
  <si>
    <t>(Characteristic base resistance of piles - chalk)</t>
  </si>
  <si>
    <r>
      <t>q</t>
    </r>
    <r>
      <rPr>
        <vertAlign val="subscript"/>
        <sz val="10"/>
        <rFont val="Arial"/>
        <family val="2"/>
      </rPr>
      <t>b.k</t>
    </r>
    <r>
      <rPr>
        <sz val="10"/>
        <rFont val="Arial"/>
        <family val="2"/>
      </rPr>
      <t>=N</t>
    </r>
    <r>
      <rPr>
        <vertAlign val="subscript"/>
        <sz val="10"/>
        <rFont val="Arial"/>
        <family val="2"/>
      </rPr>
      <t>c</t>
    </r>
    <r>
      <rPr>
        <sz val="10"/>
        <rFont val="Arial"/>
        <family val="2"/>
      </rPr>
      <t>.C</t>
    </r>
    <r>
      <rPr>
        <vertAlign val="subscript"/>
        <sz val="10"/>
        <rFont val="Arial"/>
        <family val="2"/>
      </rPr>
      <t>ub</t>
    </r>
  </si>
  <si>
    <t>(Characteristic base resistance of piles - cohesive)</t>
  </si>
  <si>
    <r>
      <t>q</t>
    </r>
    <r>
      <rPr>
        <vertAlign val="subscript"/>
        <sz val="10"/>
        <rFont val="Arial"/>
        <family val="2"/>
      </rPr>
      <t>b.k</t>
    </r>
    <r>
      <rPr>
        <sz val="10"/>
        <rFont val="Arial"/>
        <family val="2"/>
      </rPr>
      <t>=N</t>
    </r>
    <r>
      <rPr>
        <vertAlign val="subscript"/>
        <sz val="10"/>
        <rFont val="Arial"/>
        <family val="2"/>
      </rPr>
      <t>q</t>
    </r>
    <r>
      <rPr>
        <sz val="10"/>
        <rFont val="Arial"/>
        <family val="2"/>
      </rPr>
      <t>.</t>
    </r>
    <r>
      <rPr>
        <sz val="10"/>
        <rFont val="Symbol"/>
        <family val="1"/>
        <charset val="2"/>
      </rPr>
      <t>s</t>
    </r>
    <r>
      <rPr>
        <vertAlign val="subscript"/>
        <sz val="10"/>
        <rFont val="Arial"/>
        <family val="2"/>
      </rPr>
      <t>v'</t>
    </r>
  </si>
  <si>
    <t>(Characteristic base resistance of piles - granular)</t>
  </si>
  <si>
    <t xml:space="preserve">GROUND MODELS </t>
  </si>
  <si>
    <t>Type of Pile</t>
  </si>
  <si>
    <t>Bored Cast in Place Concrete</t>
  </si>
  <si>
    <t>Layer</t>
  </si>
  <si>
    <t>Stratum</t>
  </si>
  <si>
    <t>Level of top of stratum</t>
  </si>
  <si>
    <t>Thickness of strata</t>
  </si>
  <si>
    <t>Unit weight of material</t>
  </si>
  <si>
    <t>Design Parameters</t>
  </si>
  <si>
    <t>mAOD</t>
  </si>
  <si>
    <t>kN/m³</t>
  </si>
  <si>
    <t>COHESIVE</t>
  </si>
  <si>
    <t>GRANULAR</t>
  </si>
  <si>
    <t>CHALK</t>
  </si>
  <si>
    <t>ROCK</t>
  </si>
  <si>
    <t>Cu at top (kN/m2)</t>
  </si>
  <si>
    <t>Cu at bottom (kN/m2)</t>
  </si>
  <si>
    <r>
      <t xml:space="preserve">Adhesion factor, </t>
    </r>
    <r>
      <rPr>
        <sz val="8"/>
        <rFont val="Symbol"/>
        <family val="1"/>
        <charset val="2"/>
      </rPr>
      <t>a</t>
    </r>
  </si>
  <si>
    <t>Nc</t>
  </si>
  <si>
    <t>Nq</t>
  </si>
  <si>
    <r>
      <t>K.tan</t>
    </r>
    <r>
      <rPr>
        <sz val="8"/>
        <rFont val="Symbol"/>
        <family val="1"/>
        <charset val="2"/>
      </rPr>
      <t>d</t>
    </r>
  </si>
  <si>
    <t>Tsf β value</t>
  </si>
  <si>
    <t>0.1qc (kN/m2)</t>
  </si>
  <si>
    <t>200'N'</t>
  </si>
  <si>
    <t>Limit on design shaft stress (kN/m²)</t>
  </si>
  <si>
    <t>Limit on characteristic shaft stress (kN/m²)</t>
  </si>
  <si>
    <t>Limit on design base stress (kN/m²)</t>
  </si>
  <si>
    <t>Limit on characteristic base stress (kN/m²)</t>
  </si>
  <si>
    <t>Groundwater Level mAOD</t>
  </si>
  <si>
    <t>Driven Precast Concrete (Solid)</t>
  </si>
  <si>
    <t>Tsf  β value</t>
  </si>
  <si>
    <t>300'N'</t>
  </si>
  <si>
    <t>Continuous Flight Auger (CFA)</t>
  </si>
  <si>
    <t>Pile Calculations</t>
  </si>
  <si>
    <t>Bored Cast in Place Concrete Piles</t>
  </si>
  <si>
    <t>Ground Model Info</t>
  </si>
  <si>
    <t>Ground Stress Conditions</t>
  </si>
  <si>
    <t>Cohesive Values</t>
  </si>
  <si>
    <t>Granular Values</t>
  </si>
  <si>
    <t>Chalk Values</t>
  </si>
  <si>
    <t>Stress Calculations</t>
  </si>
  <si>
    <t>450mm Pile Resistances</t>
  </si>
  <si>
    <t>600mm Pile Resistances</t>
  </si>
  <si>
    <t>750mm Pile Resistances</t>
  </si>
  <si>
    <t>900mm Pile Resistances</t>
  </si>
  <si>
    <t>1050mm Pile Resistances</t>
  </si>
  <si>
    <t>1200mm Pile Resistances</t>
  </si>
  <si>
    <t>Pile Toe</t>
  </si>
  <si>
    <t>Total Stress at Base</t>
  </si>
  <si>
    <t>Water Pressure at Base</t>
  </si>
  <si>
    <t>Effective Stress at Base</t>
  </si>
  <si>
    <t xml:space="preserve">Average Effective Stress </t>
  </si>
  <si>
    <r>
      <t>C</t>
    </r>
    <r>
      <rPr>
        <vertAlign val="subscript"/>
        <sz val="10"/>
        <color theme="1"/>
        <rFont val="Arial Narrow"/>
        <family val="2"/>
      </rPr>
      <t>u</t>
    </r>
    <r>
      <rPr>
        <sz val="10"/>
        <color theme="1"/>
        <rFont val="Arial Narrow"/>
        <family val="2"/>
      </rPr>
      <t xml:space="preserve"> at Base</t>
    </r>
  </si>
  <si>
    <r>
      <t>Average C</t>
    </r>
    <r>
      <rPr>
        <vertAlign val="subscript"/>
        <sz val="10"/>
        <color theme="1"/>
        <rFont val="Arial Narrow"/>
        <family val="2"/>
      </rPr>
      <t>u</t>
    </r>
  </si>
  <si>
    <t>Alpha</t>
  </si>
  <si>
    <r>
      <t>K</t>
    </r>
    <r>
      <rPr>
        <vertAlign val="subscript"/>
        <sz val="10"/>
        <color theme="1"/>
        <rFont val="Arial Narrow"/>
        <family val="2"/>
      </rPr>
      <t>S</t>
    </r>
    <r>
      <rPr>
        <sz val="10"/>
        <color theme="1"/>
        <rFont val="Arial Narrow"/>
        <family val="2"/>
      </rPr>
      <t>tan(</t>
    </r>
    <r>
      <rPr>
        <sz val="10"/>
        <color theme="1"/>
        <rFont val="Calibri"/>
        <family val="2"/>
      </rPr>
      <t>δ')</t>
    </r>
  </si>
  <si>
    <t>0.1qc</t>
  </si>
  <si>
    <t>200 x N Value</t>
  </si>
  <si>
    <t>Characteristinc Shaft Stress</t>
  </si>
  <si>
    <t>Limit on Characteristic Shaft Stress</t>
  </si>
  <si>
    <t>Adopted Characteristic  Shaft Stress</t>
  </si>
  <si>
    <t>Characteristinc Base Stress</t>
  </si>
  <si>
    <t>Limit on Characteristic Base Stress</t>
  </si>
  <si>
    <t>Adopted Characteristic Base Stress</t>
  </si>
  <si>
    <t>Pile Diameter</t>
  </si>
  <si>
    <t>Shaft Surface area in Material (m2)</t>
  </si>
  <si>
    <t>Base area (m2)</t>
  </si>
  <si>
    <t>Char. Shaft Resist. in Stratum, Rs.k (kN)</t>
  </si>
  <si>
    <t>Limit on Design Shaft resist. (kN)</t>
  </si>
  <si>
    <t>Adopted design shaft resist., Rs.d (kN)</t>
  </si>
  <si>
    <t>Total Design Shaft Resist. Rs.d (kN)</t>
  </si>
  <si>
    <t>Char. base resist., Rs.k (kN)</t>
  </si>
  <si>
    <t>Limit on Design base resist. (kN)</t>
  </si>
  <si>
    <t>Adopted design base resist., Rs.d (kN/m2)</t>
  </si>
  <si>
    <t>Total Design Base Resist. Rs.d (kN)</t>
  </si>
  <si>
    <t>Total Design Resist., Rd (kN)</t>
  </si>
  <si>
    <t>Structural Capacity, Nr.d (kN)</t>
  </si>
  <si>
    <t>Recommended Design Resist (kN)</t>
  </si>
  <si>
    <t>Length of Pile</t>
  </si>
  <si>
    <t>Resistance of Pile 450</t>
  </si>
  <si>
    <t>Resistance of Pile 600</t>
  </si>
  <si>
    <t>Resistance of Pile 750</t>
  </si>
  <si>
    <t>Resistance of Pile 900</t>
  </si>
  <si>
    <t>Resistance of Pile 1050</t>
  </si>
  <si>
    <t>Resistance of Pile 1200</t>
  </si>
  <si>
    <r>
      <t>kN/m</t>
    </r>
    <r>
      <rPr>
        <vertAlign val="superscript"/>
        <sz val="10"/>
        <color theme="1"/>
        <rFont val="Arial Narrow"/>
        <family val="2"/>
      </rPr>
      <t>2</t>
    </r>
  </si>
  <si>
    <t>(mm)</t>
  </si>
  <si>
    <t>Driven Precast Piles</t>
  </si>
  <si>
    <t>300 x N Value</t>
  </si>
  <si>
    <t>Char. Shaft Resist. in Stratum, Rs.k (kN) (Factored)</t>
  </si>
  <si>
    <t>Pile Length</t>
  </si>
  <si>
    <t>Pile Diameter too big</t>
  </si>
  <si>
    <t>Pile Diameter too Big</t>
  </si>
  <si>
    <t xml:space="preserve">Continuous Flight Auger (CFA Piles) </t>
  </si>
  <si>
    <t>Pile Results Screening</t>
  </si>
  <si>
    <t>Typology 1</t>
  </si>
  <si>
    <t>Typology 2</t>
  </si>
  <si>
    <t>Typology 3</t>
  </si>
  <si>
    <t>Typology 4</t>
  </si>
  <si>
    <t>Typology 5</t>
  </si>
  <si>
    <t>Typology 6</t>
  </si>
  <si>
    <t>Typology 7</t>
  </si>
  <si>
    <t>Typology 8</t>
  </si>
  <si>
    <t>Typology 9</t>
  </si>
  <si>
    <t>Typology 10</t>
  </si>
  <si>
    <t>Typology 11</t>
  </si>
  <si>
    <t>Central Column Results</t>
  </si>
  <si>
    <t>Pile Lengths without conditional checks</t>
  </si>
  <si>
    <t>Pile Lengths with Conditional Checks</t>
  </si>
  <si>
    <t>Concrete Volume Required for Central Columns</t>
  </si>
  <si>
    <t>No of Piles per column</t>
  </si>
  <si>
    <t>Pile Diameter (mm)</t>
  </si>
  <si>
    <t>No. of Piles for Central Columns</t>
  </si>
  <si>
    <t>Bored Cast in Place</t>
  </si>
  <si>
    <t>Driven Precast Concrete</t>
  </si>
  <si>
    <t>Continuous Flight Auger</t>
  </si>
  <si>
    <t>Edge Column Results</t>
  </si>
  <si>
    <t>Concrete Volume Required</t>
  </si>
  <si>
    <t>Corner Column Results</t>
  </si>
  <si>
    <t>PT Flat Slab</t>
  </si>
  <si>
    <t>Two-way Slab</t>
  </si>
  <si>
    <t>One-Way Spanning X</t>
  </si>
  <si>
    <t>Rolled Steel Beams with CLT Panels</t>
  </si>
  <si>
    <t>Glulam Beams with CLT Panels</t>
  </si>
  <si>
    <t>Minimum Values with respect to concrete volume and no. of piles</t>
  </si>
  <si>
    <t>Volumes</t>
  </si>
  <si>
    <t xml:space="preserve">Piles Per Column </t>
  </si>
  <si>
    <t>No of Piles</t>
  </si>
  <si>
    <t>Pile Volume</t>
  </si>
  <si>
    <t>CFA</t>
  </si>
  <si>
    <t>External</t>
  </si>
  <si>
    <t>Driven</t>
  </si>
  <si>
    <t>Bored</t>
  </si>
  <si>
    <t>Pile CSA</t>
  </si>
  <si>
    <t>Area Rebar H16@200</t>
  </si>
  <si>
    <r>
      <t>Area Rebar A</t>
    </r>
    <r>
      <rPr>
        <vertAlign val="subscript"/>
        <sz val="10"/>
        <rFont val="Arial"/>
        <family val="2"/>
      </rPr>
      <t>s,min</t>
    </r>
  </si>
  <si>
    <t>Area Rebar Each</t>
  </si>
  <si>
    <r>
      <t>m</t>
    </r>
    <r>
      <rPr>
        <vertAlign val="superscript"/>
        <sz val="10"/>
        <rFont val="Calibri"/>
        <family val="2"/>
      </rPr>
      <t>²</t>
    </r>
  </si>
  <si>
    <r>
      <t>mm</t>
    </r>
    <r>
      <rPr>
        <vertAlign val="superscript"/>
        <sz val="10"/>
        <rFont val="Arial"/>
        <family val="2"/>
      </rPr>
      <t>2</t>
    </r>
    <r>
      <rPr>
        <sz val="10"/>
        <rFont val="Arial"/>
        <family val="2"/>
      </rPr>
      <t>/m</t>
    </r>
  </si>
  <si>
    <t xml:space="preserve">Edge </t>
  </si>
  <si>
    <t>Diameter, mm</t>
  </si>
  <si>
    <t>Depth, m</t>
  </si>
  <si>
    <t>Adjustment for Walls</t>
  </si>
  <si>
    <t>Rebar Tonnes Each</t>
  </si>
  <si>
    <t>Rebar Tonnes Total</t>
  </si>
  <si>
    <t>Diameter Ref</t>
  </si>
  <si>
    <t>PC Vol Each</t>
  </si>
  <si>
    <t>Concrete Vol.</t>
  </si>
  <si>
    <t>Rebar Weight, Tonnes</t>
  </si>
  <si>
    <t>£/m</t>
  </si>
  <si>
    <t>Piles and Pile Caps</t>
  </si>
  <si>
    <t>Pile Diameter, mm</t>
  </si>
  <si>
    <t>Pile Quantity</t>
  </si>
  <si>
    <t>Total Pile Length,
m</t>
  </si>
  <si>
    <r>
      <t>Concrete Volume,
m</t>
    </r>
    <r>
      <rPr>
        <b/>
        <sz val="8"/>
        <color rgb="FF00B5E2"/>
        <rFont val="Calibri"/>
        <family val="2"/>
      </rPr>
      <t>³</t>
    </r>
  </si>
  <si>
    <t>Cost, Concrete</t>
  </si>
  <si>
    <t>Cost, Rebar</t>
  </si>
  <si>
    <t>Cost, Excavation</t>
  </si>
  <si>
    <t>Cost, Total</t>
  </si>
  <si>
    <t>Concrete
(kg/m²)</t>
  </si>
  <si>
    <t>Rebar
(kg/m²)</t>
  </si>
  <si>
    <t>Precast Hollowcore with In-situ RC Beams</t>
  </si>
  <si>
    <t>Live</t>
  </si>
  <si>
    <t>Load</t>
  </si>
  <si>
    <t>Input</t>
  </si>
  <si>
    <t>Output</t>
  </si>
  <si>
    <t>Info</t>
  </si>
  <si>
    <t>Geometry</t>
  </si>
  <si>
    <t>Engineering Inputs</t>
  </si>
  <si>
    <t xml:space="preserve">Basement </t>
  </si>
  <si>
    <t>Façade</t>
  </si>
  <si>
    <t>EC Intensity, Modules A1-A5 (kgCO₂e/m²)</t>
  </si>
  <si>
    <t>Cost (£)</t>
  </si>
  <si>
    <t>Grid X (m)</t>
  </si>
  <si>
    <t>Grid Y (m)</t>
  </si>
  <si>
    <t>Floor to Ceiling (m)</t>
  </si>
  <si>
    <t>Steel Manufacture Method</t>
  </si>
  <si>
    <t>Stratum Type, Layer 1</t>
  </si>
  <si>
    <t>Stratum Thickness, Layer 1 (m)</t>
  </si>
  <si>
    <t>Stratum Type, Layer 2</t>
  </si>
  <si>
    <t>Stratum Thickness, Layer 2 (m)</t>
  </si>
  <si>
    <t>Stratum Type, Layer 3</t>
  </si>
  <si>
    <t>Stratum Thickness, Layer 3 (m)</t>
  </si>
  <si>
    <t>Stratum Type, Layer 4</t>
  </si>
  <si>
    <t>Stratum Thickness, Layer 4 (m)</t>
  </si>
  <si>
    <t>Average Surface Level (m)</t>
  </si>
  <si>
    <t>Groundwater Level (m)</t>
  </si>
  <si>
    <t>Included</t>
  </si>
  <si>
    <t>Slab Depth (m)</t>
  </si>
  <si>
    <r>
      <t>Rebar Rate (kg/m³</t>
    </r>
    <r>
      <rPr>
        <b/>
        <sz val="7.2"/>
        <color rgb="FF008768"/>
        <rFont val="Arial"/>
        <family val="2"/>
      </rPr>
      <t>)</t>
    </r>
  </si>
  <si>
    <t>Depth to Formation Level (m)</t>
  </si>
  <si>
    <r>
      <t>GIA (m</t>
    </r>
    <r>
      <rPr>
        <b/>
        <sz val="9"/>
        <color rgb="FF008768"/>
        <rFont val="Calibri"/>
        <family val="2"/>
      </rPr>
      <t>²</t>
    </r>
    <r>
      <rPr>
        <b/>
        <sz val="9"/>
        <color rgb="FF008768"/>
        <rFont val="Arial"/>
        <family val="2"/>
      </rPr>
      <t>)</t>
    </r>
  </si>
  <si>
    <t>Ref</t>
  </si>
  <si>
    <t>C9</t>
  </si>
  <si>
    <t>C13</t>
  </si>
  <si>
    <t>C14</t>
  </si>
  <si>
    <t>C15</t>
  </si>
  <si>
    <t>C16</t>
  </si>
  <si>
    <t>C17</t>
  </si>
  <si>
    <t>C18</t>
  </si>
  <si>
    <t>F8</t>
  </si>
  <si>
    <t>F9</t>
  </si>
  <si>
    <t>F10</t>
  </si>
  <si>
    <t>F14</t>
  </si>
  <si>
    <t>G14</t>
  </si>
  <si>
    <t>F15</t>
  </si>
  <si>
    <t>G15</t>
  </si>
  <si>
    <t>F16</t>
  </si>
  <si>
    <t>G16</t>
  </si>
  <si>
    <t>F17</t>
  </si>
  <si>
    <t>G17</t>
  </si>
  <si>
    <t>F19</t>
  </si>
  <si>
    <t>F20</t>
  </si>
  <si>
    <t>J8</t>
  </si>
  <si>
    <t>J9</t>
  </si>
  <si>
    <t>J10</t>
  </si>
  <si>
    <t>J13</t>
  </si>
  <si>
    <t>J14</t>
  </si>
  <si>
    <t>J15</t>
  </si>
  <si>
    <t>J19</t>
  </si>
  <si>
    <t>C19</t>
  </si>
  <si>
    <t>C38</t>
  </si>
  <si>
    <t>C39</t>
  </si>
  <si>
    <t>C40</t>
  </si>
  <si>
    <t>C41</t>
  </si>
  <si>
    <t>C42</t>
  </si>
  <si>
    <t>C43</t>
  </si>
  <si>
    <t>C44</t>
  </si>
  <si>
    <t>C45</t>
  </si>
  <si>
    <t>C46</t>
  </si>
  <si>
    <t>C47</t>
  </si>
  <si>
    <t>C48</t>
  </si>
  <si>
    <t>D76</t>
  </si>
  <si>
    <t>D77</t>
  </si>
  <si>
    <t>D78</t>
  </si>
  <si>
    <t>D79</t>
  </si>
  <si>
    <t>D80</t>
  </si>
  <si>
    <t>D81</t>
  </si>
  <si>
    <t>D82</t>
  </si>
  <si>
    <t>D83</t>
  </si>
  <si>
    <t>D84</t>
  </si>
  <si>
    <t>D85</t>
  </si>
  <si>
    <t>D86</t>
  </si>
  <si>
    <t>Const</t>
  </si>
  <si>
    <t>BU1</t>
  </si>
  <si>
    <t>GE1</t>
  </si>
  <si>
    <t>GE2</t>
  </si>
  <si>
    <t>GE3</t>
  </si>
  <si>
    <t>GE4</t>
  </si>
  <si>
    <t>GE5</t>
  </si>
  <si>
    <t>GE6</t>
  </si>
  <si>
    <t>EI1</t>
  </si>
  <si>
    <t>EI2</t>
  </si>
  <si>
    <t>EI3</t>
  </si>
  <si>
    <t>GM1</t>
  </si>
  <si>
    <t>GM2</t>
  </si>
  <si>
    <t>GM3</t>
  </si>
  <si>
    <t>GM4</t>
  </si>
  <si>
    <t>GM5</t>
  </si>
  <si>
    <t>GM6</t>
  </si>
  <si>
    <t>GM7</t>
  </si>
  <si>
    <t>GM8</t>
  </si>
  <si>
    <t>GM9</t>
  </si>
  <si>
    <t>GM10</t>
  </si>
  <si>
    <t>TR1</t>
  </si>
  <si>
    <t>TR2</t>
  </si>
  <si>
    <t>TR3</t>
  </si>
  <si>
    <t>BA1</t>
  </si>
  <si>
    <t>BA2</t>
  </si>
  <si>
    <t>BA3</t>
  </si>
  <si>
    <t>FA1</t>
  </si>
  <si>
    <t>GE7</t>
  </si>
  <si>
    <t>EC1</t>
  </si>
  <si>
    <t>EC2</t>
  </si>
  <si>
    <t>EC3</t>
  </si>
  <si>
    <t>EC4</t>
  </si>
  <si>
    <t>EC5</t>
  </si>
  <si>
    <t>EC6</t>
  </si>
  <si>
    <t>EC7</t>
  </si>
  <si>
    <t>EC8</t>
  </si>
  <si>
    <t>EC9</t>
  </si>
  <si>
    <t>EC10</t>
  </si>
  <si>
    <t>EC11</t>
  </si>
  <si>
    <t>CO1</t>
  </si>
  <si>
    <t>CO2</t>
  </si>
  <si>
    <t>CO3</t>
  </si>
  <si>
    <t>CO4</t>
  </si>
  <si>
    <t>CO5</t>
  </si>
  <si>
    <t>CO6</t>
  </si>
  <si>
    <t>CO7</t>
  </si>
  <si>
    <t>CO8</t>
  </si>
  <si>
    <t>CO9</t>
  </si>
  <si>
    <t>CO10</t>
  </si>
  <si>
    <t>CO11</t>
  </si>
  <si>
    <t>Baseline</t>
  </si>
  <si>
    <t>Basic Oxygen Furnace</t>
  </si>
  <si>
    <t>None</t>
  </si>
  <si>
    <t>Yes</t>
  </si>
  <si>
    <t>Cavity Wall</t>
  </si>
  <si>
    <t>Basement Removed</t>
  </si>
  <si>
    <t>Column Grids Reduced</t>
  </si>
  <si>
    <t>Transfer Deck Removed</t>
  </si>
  <si>
    <t>No. Storeys Reduced</t>
  </si>
  <si>
    <t>Low Carbon Materials
Specified</t>
  </si>
  <si>
    <t>Favourable Ground
Conditions Assumed</t>
  </si>
  <si>
    <t>Dense Sand/Gravel</t>
  </si>
  <si>
    <t>Note: Text in red to be hidden</t>
  </si>
  <si>
    <t>No. Corner</t>
  </si>
  <si>
    <t>No. Edge</t>
  </si>
  <si>
    <t>No. Internal</t>
  </si>
  <si>
    <t>Storey Height (m)</t>
  </si>
  <si>
    <t>Column Loads Per Storey</t>
  </si>
  <si>
    <t>Façade Load (kN/m)</t>
  </si>
  <si>
    <t>Internal Column</t>
  </si>
  <si>
    <t>RC Column</t>
  </si>
  <si>
    <t>Steel Column</t>
  </si>
  <si>
    <t>Structural Zone (m)</t>
  </si>
  <si>
    <t>Floor Zone (m)</t>
  </si>
  <si>
    <r>
      <t>Concrete (kg/m</t>
    </r>
    <r>
      <rPr>
        <b/>
        <vertAlign val="superscript"/>
        <sz val="8"/>
        <color rgb="FF00B5E2"/>
        <rFont val="Calibri"/>
        <family val="2"/>
      </rPr>
      <t>²</t>
    </r>
    <r>
      <rPr>
        <b/>
        <sz val="8"/>
        <color rgb="FF00B5E2"/>
        <rFont val="Arial"/>
        <family val="2"/>
      </rPr>
      <t>)</t>
    </r>
  </si>
  <si>
    <r>
      <t>Rebar (kg/m</t>
    </r>
    <r>
      <rPr>
        <b/>
        <vertAlign val="superscript"/>
        <sz val="8"/>
        <color rgb="FF00B5E2"/>
        <rFont val="Calibri"/>
        <family val="2"/>
      </rPr>
      <t>²</t>
    </r>
    <r>
      <rPr>
        <b/>
        <sz val="8"/>
        <color rgb="FF00B5E2"/>
        <rFont val="Arial"/>
        <family val="2"/>
      </rPr>
      <t>)</t>
    </r>
  </si>
  <si>
    <r>
      <t>Precast (kg/m</t>
    </r>
    <r>
      <rPr>
        <b/>
        <vertAlign val="superscript"/>
        <sz val="8"/>
        <color rgb="FF00B5E2"/>
        <rFont val="Calibri"/>
        <family val="2"/>
      </rPr>
      <t>²</t>
    </r>
    <r>
      <rPr>
        <b/>
        <sz val="8"/>
        <color rgb="FF00B5E2"/>
        <rFont val="Arial"/>
        <family val="2"/>
      </rPr>
      <t>)</t>
    </r>
  </si>
  <si>
    <r>
      <t>Steelwork (kg/m</t>
    </r>
    <r>
      <rPr>
        <b/>
        <vertAlign val="superscript"/>
        <sz val="8"/>
        <color rgb="FF00B5E2"/>
        <rFont val="Calibri"/>
        <family val="2"/>
      </rPr>
      <t>²</t>
    </r>
    <r>
      <rPr>
        <b/>
        <sz val="8"/>
        <color rgb="FF00B5E2"/>
        <rFont val="Arial"/>
        <family val="2"/>
      </rPr>
      <t>)</t>
    </r>
  </si>
  <si>
    <r>
      <t>Glulam (kg/m</t>
    </r>
    <r>
      <rPr>
        <b/>
        <vertAlign val="superscript"/>
        <sz val="8"/>
        <color rgb="FF00B5E2"/>
        <rFont val="Calibri"/>
        <family val="2"/>
      </rPr>
      <t>²</t>
    </r>
    <r>
      <rPr>
        <b/>
        <sz val="8"/>
        <color rgb="FF00B5E2"/>
        <rFont val="Arial"/>
        <family val="2"/>
      </rPr>
      <t>)</t>
    </r>
  </si>
  <si>
    <r>
      <t>CLT (kg/m</t>
    </r>
    <r>
      <rPr>
        <b/>
        <vertAlign val="superscript"/>
        <sz val="8"/>
        <color rgb="FF00B5E2"/>
        <rFont val="Calibri"/>
        <family val="2"/>
      </rPr>
      <t>²</t>
    </r>
    <r>
      <rPr>
        <b/>
        <sz val="8"/>
        <color rgb="FF00B5E2"/>
        <rFont val="Arial"/>
        <family val="2"/>
      </rPr>
      <t>)</t>
    </r>
  </si>
  <si>
    <t>Steelwork - Primary Beam</t>
  </si>
  <si>
    <t>Steelwork - Secondary Beam</t>
  </si>
  <si>
    <t xml:space="preserve">RC, Glulam - Beam Depth x (m) </t>
  </si>
  <si>
    <t xml:space="preserve">RC, Glulam - Beam Depth y (m) </t>
  </si>
  <si>
    <t xml:space="preserve">RC, Glulam - Beam Width x (m) </t>
  </si>
  <si>
    <t xml:space="preserve">RC, Glulam - Beam Width y (m) </t>
  </si>
  <si>
    <r>
      <t>G</t>
    </r>
    <r>
      <rPr>
        <b/>
        <vertAlign val="subscript"/>
        <sz val="8"/>
        <color rgb="FF00B5E2"/>
        <rFont val="Arial"/>
        <family val="2"/>
      </rPr>
      <t>k</t>
    </r>
    <r>
      <rPr>
        <b/>
        <sz val="8"/>
        <color rgb="FF00B5E2"/>
        <rFont val="Arial"/>
        <family val="2"/>
      </rPr>
      <t xml:space="preserve">
(kN)</t>
    </r>
  </si>
  <si>
    <r>
      <t>Q</t>
    </r>
    <r>
      <rPr>
        <b/>
        <vertAlign val="subscript"/>
        <sz val="8"/>
        <color rgb="FF00B5E2"/>
        <rFont val="Arial"/>
        <family val="2"/>
      </rPr>
      <t xml:space="preserve">k
</t>
    </r>
    <r>
      <rPr>
        <b/>
        <sz val="8"/>
        <color rgb="FF00B5E2"/>
        <rFont val="Arial"/>
        <family val="2"/>
      </rPr>
      <t>(kN)</t>
    </r>
  </si>
  <si>
    <r>
      <t>G</t>
    </r>
    <r>
      <rPr>
        <b/>
        <vertAlign val="subscript"/>
        <sz val="8"/>
        <color rgb="FF00B5E2"/>
        <rFont val="Arial"/>
        <family val="2"/>
      </rPr>
      <t xml:space="preserve">k
</t>
    </r>
    <r>
      <rPr>
        <b/>
        <sz val="8"/>
        <color rgb="FF00B5E2"/>
        <rFont val="Arial"/>
        <family val="2"/>
      </rPr>
      <t>(kN)</t>
    </r>
  </si>
  <si>
    <t>Corner
(mm x mm)</t>
  </si>
  <si>
    <t>Edge
(mm x mm)</t>
  </si>
  <si>
    <t>Internal
(mm x mm)</t>
  </si>
  <si>
    <t>Intenal</t>
  </si>
  <si>
    <t>Steel (kg/m2)</t>
  </si>
  <si>
    <r>
      <t>Concrete (kg/m</t>
    </r>
    <r>
      <rPr>
        <b/>
        <vertAlign val="superscript"/>
        <sz val="8"/>
        <color rgb="FF00B5E2"/>
        <rFont val="Arial"/>
        <family val="2"/>
      </rPr>
      <t>2</t>
    </r>
    <r>
      <rPr>
        <b/>
        <sz val="8"/>
        <color rgb="FF00B5E2"/>
        <rFont val="Arial"/>
        <family val="2"/>
      </rPr>
      <t>)</t>
    </r>
  </si>
  <si>
    <r>
      <t>Rebar (kg/m</t>
    </r>
    <r>
      <rPr>
        <b/>
        <vertAlign val="superscript"/>
        <sz val="8"/>
        <color rgb="FF00B5E2"/>
        <rFont val="Arial"/>
        <family val="2"/>
      </rPr>
      <t>2</t>
    </r>
    <r>
      <rPr>
        <b/>
        <sz val="8"/>
        <color rgb="FF00B5E2"/>
        <rFont val="Arial"/>
        <family val="2"/>
      </rPr>
      <t>)</t>
    </r>
  </si>
  <si>
    <r>
      <t>Precast (kg/m</t>
    </r>
    <r>
      <rPr>
        <b/>
        <vertAlign val="superscript"/>
        <sz val="8"/>
        <color rgb="FF00B5E2"/>
        <rFont val="Arial"/>
        <family val="2"/>
      </rPr>
      <t>2</t>
    </r>
    <r>
      <rPr>
        <b/>
        <sz val="8"/>
        <color rgb="FF00B5E2"/>
        <rFont val="Arial"/>
        <family val="2"/>
      </rPr>
      <t>)</t>
    </r>
  </si>
  <si>
    <r>
      <t>Steelwork (kg/m</t>
    </r>
    <r>
      <rPr>
        <b/>
        <vertAlign val="superscript"/>
        <sz val="8"/>
        <color rgb="FF00B5E2"/>
        <rFont val="Arial"/>
        <family val="2"/>
      </rPr>
      <t>2</t>
    </r>
    <r>
      <rPr>
        <b/>
        <sz val="8"/>
        <color rgb="FF00B5E2"/>
        <rFont val="Arial"/>
        <family val="2"/>
      </rPr>
      <t>)</t>
    </r>
  </si>
  <si>
    <r>
      <t>Glulam (kg/m</t>
    </r>
    <r>
      <rPr>
        <b/>
        <vertAlign val="superscript"/>
        <sz val="8"/>
        <color rgb="FF00B5E2"/>
        <rFont val="Arial"/>
        <family val="2"/>
      </rPr>
      <t>2</t>
    </r>
    <r>
      <rPr>
        <b/>
        <sz val="8"/>
        <color rgb="FF00B5E2"/>
        <rFont val="Arial"/>
        <family val="2"/>
      </rPr>
      <t>)</t>
    </r>
  </si>
  <si>
    <r>
      <t>CLT (kg/m</t>
    </r>
    <r>
      <rPr>
        <b/>
        <vertAlign val="superscript"/>
        <sz val="8"/>
        <color rgb="FF00B5E2"/>
        <rFont val="Arial"/>
        <family val="2"/>
      </rPr>
      <t>2</t>
    </r>
    <r>
      <rPr>
        <b/>
        <sz val="8"/>
        <color rgb="FF00B5E2"/>
        <rFont val="Arial"/>
        <family val="2"/>
      </rPr>
      <t>)</t>
    </r>
  </si>
  <si>
    <r>
      <t>CLT(kg/m</t>
    </r>
    <r>
      <rPr>
        <b/>
        <vertAlign val="superscript"/>
        <sz val="8"/>
        <color rgb="FF00B5E2"/>
        <rFont val="Arial"/>
        <family val="2"/>
      </rPr>
      <t>2</t>
    </r>
    <r>
      <rPr>
        <b/>
        <sz val="8"/>
        <color rgb="FF00B5E2"/>
        <rFont val="Arial"/>
        <family val="2"/>
      </rPr>
      <t>)</t>
    </r>
  </si>
  <si>
    <t xml:space="preserve"> 610 x 178 x 92</t>
  </si>
  <si>
    <t>1016 x 305 x 22</t>
  </si>
  <si>
    <t>914 x 305 x 313</t>
  </si>
  <si>
    <t>686 x 254x 170</t>
  </si>
  <si>
    <t>457 x 152 x52</t>
  </si>
  <si>
    <t>CARBON FACTORS</t>
  </si>
  <si>
    <t>Material - Type - Specification</t>
  </si>
  <si>
    <r>
      <t>A1-A3
[kgCO</t>
    </r>
    <r>
      <rPr>
        <b/>
        <sz val="9"/>
        <color rgb="FFAECC53"/>
        <rFont val="Calibri"/>
        <family val="2"/>
      </rPr>
      <t>₂</t>
    </r>
    <r>
      <rPr>
        <b/>
        <sz val="9"/>
        <color rgb="FFAECC53"/>
        <rFont val="Arial"/>
        <family val="2"/>
      </rPr>
      <t>e/kg]</t>
    </r>
  </si>
  <si>
    <t>A4
[kgCO₂e/kg]</t>
  </si>
  <si>
    <t>WF</t>
  </si>
  <si>
    <t>C2
[kgCO₂e/kg]</t>
  </si>
  <si>
    <t>C3 / C4
[kgCO₂e/kg]</t>
  </si>
  <si>
    <t>C2 to C4
[kgCO₂e/kg]</t>
  </si>
  <si>
    <t>D
[kgCO₂e/kg]</t>
  </si>
  <si>
    <t>Total A1-A5w
[kgCO₂e/kg]</t>
  </si>
  <si>
    <t>Total A-C
[kgCO₂e/kg]</t>
  </si>
  <si>
    <t>Sequestration
[kgCO₂e/kg]</t>
  </si>
  <si>
    <t>ICE Database v3.0</t>
  </si>
  <si>
    <t>How to Calculate Embodied Carbon v1.0 (2020)</t>
  </si>
  <si>
    <t>Concrete - Generic - C16/20 - CEM I (OPC)</t>
  </si>
  <si>
    <t>Concrete - Mortar_screed - 1:4 cement:sand mix CEM I</t>
  </si>
  <si>
    <t>Concrete - Precast_concrete - C40/50 avg UK cement mix</t>
  </si>
  <si>
    <t>How to Calculate Embodied Carbon v1.0 (2020) Ref. 17</t>
  </si>
  <si>
    <t>Steel - Rebar - Worldwide: world avg</t>
  </si>
  <si>
    <t>Steel - PT_strands - UK: UK CARES Avg EPD</t>
  </si>
  <si>
    <t>Steel - PT_strands - Worldwide: world avg</t>
  </si>
  <si>
    <t>Steel - Structural_sections - UK open sections</t>
  </si>
  <si>
    <t>Steel - Structural_sections - UK hollow sections</t>
  </si>
  <si>
    <t>Steel - Structural_sections - Europe avg EPD</t>
  </si>
  <si>
    <t>Steel - Structural_sections - World avg</t>
  </si>
  <si>
    <t xml:space="preserve">Steel - Plate - </t>
  </si>
  <si>
    <t xml:space="preserve">Steel - Hot Rolled Galvanised - </t>
  </si>
  <si>
    <t>How to Calculate Embodied Carbon v2.0 (2022)</t>
  </si>
  <si>
    <t>Timber - Studwork_framing_flooring - Softwood</t>
  </si>
  <si>
    <t>Timber - Studwork_framing_flooring - Hardwood</t>
  </si>
  <si>
    <t>Timber - Sheet_materials - Plywood</t>
  </si>
  <si>
    <t>Other - Brickwork - Engineering clay brick</t>
  </si>
  <si>
    <t>Other - Brickwork - Brick wall with mortar 1:4 CEM I cement:sand mix</t>
  </si>
  <si>
    <t>Other - Blockwork - PCC Lightweight (AAC) blocks</t>
  </si>
  <si>
    <t>Other - Blockwork - PCC Dense blocks</t>
  </si>
  <si>
    <t>Other - Stone - Granite</t>
  </si>
  <si>
    <t>Other - Stone - Limestone</t>
  </si>
  <si>
    <t>Other - Stone - Sandstone</t>
  </si>
  <si>
    <t>Other - Glass - General</t>
  </si>
  <si>
    <t>Other - Glass - Toughened</t>
  </si>
  <si>
    <t>ICE Database v3.0 for A1-A3, other modules set to same as concrete.</t>
  </si>
  <si>
    <t>Other - Aluminium - Sheet - European - 31% recycled content</t>
  </si>
  <si>
    <t>HTCEC v1.0 (2020) for A1-A4, other values set to same as steel</t>
  </si>
  <si>
    <t>C30/37, UK average, (35% cement replacement)</t>
  </si>
  <si>
    <t>Other - Aluminium - Extruded profile - European - 31% recycled content</t>
  </si>
  <si>
    <t>Aluminium</t>
  </si>
  <si>
    <t>C32/40, 25% GGBS cement replacement</t>
  </si>
  <si>
    <t>Other - Aluminium - Extruded profile - Worldwide - 31% recycled content</t>
  </si>
  <si>
    <t>C32/40, 50% GGBS cement replacement</t>
  </si>
  <si>
    <t>Other - Plasterboard - Partitioning / ceilings (min 60% recycled content)</t>
  </si>
  <si>
    <t>Plasterboard</t>
  </si>
  <si>
    <t>C32/40, 70% GGBS cement replacement</t>
  </si>
  <si>
    <t>Other - Intumescent_paint - Amotherm Steel WB EPD</t>
  </si>
  <si>
    <t>Ground Model Results</t>
  </si>
  <si>
    <t>Groundmodel Output Information</t>
  </si>
  <si>
    <t>Ground Model from Surface Level</t>
  </si>
  <si>
    <t>Layer 1 (Top Layer)</t>
  </si>
  <si>
    <t>Layer 4 (Bottom Layer)</t>
  </si>
  <si>
    <t>Symbol</t>
  </si>
  <si>
    <t>Units</t>
  </si>
  <si>
    <t>-</t>
  </si>
  <si>
    <t>Level  of Top of Stratum</t>
  </si>
  <si>
    <t>Level of Bottom of Stratum</t>
  </si>
  <si>
    <t>Thickness of Stratum</t>
  </si>
  <si>
    <t>Saturated Unit Weight</t>
  </si>
  <si>
    <r>
      <t>γ</t>
    </r>
    <r>
      <rPr>
        <b/>
        <vertAlign val="subscript"/>
        <sz val="10"/>
        <rFont val="Arial"/>
        <family val="2"/>
      </rPr>
      <t>(sat)</t>
    </r>
  </si>
  <si>
    <r>
      <t>kN/m</t>
    </r>
    <r>
      <rPr>
        <vertAlign val="superscript"/>
        <sz val="10"/>
        <rFont val="Arial"/>
        <family val="2"/>
      </rPr>
      <t>3</t>
    </r>
  </si>
  <si>
    <t>Dry Unit Weight</t>
  </si>
  <si>
    <r>
      <t>γ</t>
    </r>
    <r>
      <rPr>
        <b/>
        <vertAlign val="subscript"/>
        <sz val="10"/>
        <rFont val="Arial"/>
        <family val="2"/>
      </rPr>
      <t>(dry)</t>
    </r>
  </si>
  <si>
    <t>Constant or Linear Strength?</t>
  </si>
  <si>
    <t>Linear Strength Equation</t>
  </si>
  <si>
    <r>
      <t>kN/m</t>
    </r>
    <r>
      <rPr>
        <vertAlign val="superscript"/>
        <sz val="10"/>
        <rFont val="Arial"/>
        <family val="2"/>
      </rPr>
      <t>2</t>
    </r>
  </si>
  <si>
    <t>Undrained Shear Strength (Top)</t>
  </si>
  <si>
    <r>
      <t>C</t>
    </r>
    <r>
      <rPr>
        <b/>
        <vertAlign val="subscript"/>
        <sz val="10"/>
        <rFont val="Arial"/>
        <family val="2"/>
      </rPr>
      <t>u</t>
    </r>
  </si>
  <si>
    <t>Undrained Shear Strength (Bottom)</t>
  </si>
  <si>
    <t>Internal Angle of Friction</t>
  </si>
  <si>
    <t>⁰</t>
  </si>
  <si>
    <t>Uniaxial Compressive Strength</t>
  </si>
  <si>
    <r>
      <t>σ</t>
    </r>
    <r>
      <rPr>
        <b/>
        <vertAlign val="subscript"/>
        <sz val="10"/>
        <rFont val="Arial"/>
        <family val="2"/>
      </rPr>
      <t>c0</t>
    </r>
  </si>
  <si>
    <t>Unconfined Compressive Strength (Dry Chalk)</t>
  </si>
  <si>
    <r>
      <t>q</t>
    </r>
    <r>
      <rPr>
        <b/>
        <vertAlign val="subscript"/>
        <sz val="10"/>
        <rFont val="Arial"/>
        <family val="2"/>
      </rPr>
      <t>c (dry)</t>
    </r>
  </si>
  <si>
    <t>Unconfined Compressive Strength (Saturated Chalk)</t>
  </si>
  <si>
    <r>
      <t>q</t>
    </r>
    <r>
      <rPr>
        <b/>
        <vertAlign val="subscript"/>
        <sz val="10"/>
        <rFont val="Arial"/>
        <family val="2"/>
      </rPr>
      <t>c (sat)</t>
    </r>
  </si>
  <si>
    <t>SPT N Value for Chalk</t>
  </si>
  <si>
    <t>N Value</t>
  </si>
  <si>
    <t>m bgl</t>
  </si>
  <si>
    <t>m AoD</t>
  </si>
  <si>
    <t>Ground Model from Basement Floor</t>
  </si>
  <si>
    <t>γ(sat)</t>
  </si>
  <si>
    <t>kN/m3</t>
  </si>
  <si>
    <t>γ(dry)</t>
  </si>
  <si>
    <t>kN/m2</t>
  </si>
  <si>
    <t>Cu</t>
  </si>
  <si>
    <t>σc0</t>
  </si>
  <si>
    <t>qc (dry)</t>
  </si>
  <si>
    <t>qc (sat)</t>
  </si>
  <si>
    <t>Geological Model Drawing Table</t>
  </si>
  <si>
    <t>Water Table</t>
  </si>
  <si>
    <t>Geology</t>
  </si>
  <si>
    <t>Pile Wall</t>
  </si>
  <si>
    <t>^This Table is to hide - Used to produce Ground Model in chart</t>
  </si>
  <si>
    <t>Steel Column Designs</t>
  </si>
  <si>
    <t>COLUMN LOADS</t>
  </si>
  <si>
    <r>
      <t xml:space="preserve">PILE LOADS </t>
    </r>
    <r>
      <rPr>
        <b/>
        <sz val="9"/>
        <color rgb="FFAECC53"/>
        <rFont val="Arial"/>
        <family val="2"/>
      </rPr>
      <t>(EXCLUDES PILE LOADS)</t>
    </r>
  </si>
  <si>
    <r>
      <t>N</t>
    </r>
    <r>
      <rPr>
        <b/>
        <vertAlign val="subscript"/>
        <sz val="8"/>
        <color rgb="FFAECC53"/>
        <rFont val="Arial"/>
        <family val="2"/>
      </rPr>
      <t>Ed</t>
    </r>
    <r>
      <rPr>
        <b/>
        <sz val="8"/>
        <color rgb="FFAECC53"/>
        <rFont val="Arial"/>
        <family val="2"/>
      </rPr>
      <t xml:space="preserve">
(kN)</t>
    </r>
  </si>
  <si>
    <t>COLUMN DESIGNS</t>
  </si>
  <si>
    <t>Stories</t>
  </si>
  <si>
    <t>Reference Column</t>
  </si>
  <si>
    <t>NEd (kN)</t>
  </si>
  <si>
    <t>Weight
(kg/m)</t>
  </si>
  <si>
    <r>
      <t>Weight
(kg/m</t>
    </r>
    <r>
      <rPr>
        <b/>
        <sz val="9"/>
        <color rgb="FFAECC53"/>
        <rFont val="Calibri"/>
        <family val="2"/>
      </rPr>
      <t>²</t>
    </r>
    <r>
      <rPr>
        <b/>
        <sz val="9"/>
        <color rgb="FFAECC53"/>
        <rFont val="Arial"/>
        <family val="2"/>
      </rPr>
      <t>)</t>
    </r>
  </si>
  <si>
    <t>Column S/W</t>
  </si>
  <si>
    <t>Steel s/w
(Tonnes)</t>
  </si>
  <si>
    <t>Ref Row</t>
  </si>
  <si>
    <r>
      <t>Surface Area (m</t>
    </r>
    <r>
      <rPr>
        <b/>
        <sz val="9"/>
        <color rgb="FFAECC53"/>
        <rFont val="Calibri"/>
        <family val="2"/>
      </rPr>
      <t>²</t>
    </r>
    <r>
      <rPr>
        <b/>
        <sz val="9"/>
        <color rgb="FFAECC53"/>
        <rFont val="Arial"/>
        <family val="2"/>
      </rPr>
      <t>)</t>
    </r>
  </si>
  <si>
    <t>RC Column Designs</t>
  </si>
  <si>
    <r>
      <t xml:space="preserve">PILE LOADS </t>
    </r>
    <r>
      <rPr>
        <sz val="9"/>
        <color rgb="FFAECC53"/>
        <rFont val="Arial"/>
        <family val="2"/>
      </rPr>
      <t>(EXCLUDES PILE LOADS)</t>
    </r>
  </si>
  <si>
    <t>PCC Beams and Planks</t>
  </si>
  <si>
    <t>Storey Height / Column Ref</t>
  </si>
  <si>
    <t>Eurocode 3 (in accordance with the UK National Annex) (BS EN 1993-1-1: 2005+A1: 2014, BS EN 10365: 2017)</t>
  </si>
  <si>
    <t>Universal columns (UC), Axial compression with S355</t>
  </si>
  <si>
    <t>Section designation</t>
  </si>
  <si>
    <t/>
  </si>
  <si>
    <t>Compression resistance Nb,y,Rd, Nb,z,Rd, Nb,T,Rd (kN) for buckling lengths (m)</t>
  </si>
  <si>
    <t>Nb,Rd</t>
  </si>
  <si>
    <t>Mb,Rd</t>
  </si>
  <si>
    <t>Typ 7</t>
  </si>
  <si>
    <t>Typ 8</t>
  </si>
  <si>
    <t>Typ 9</t>
  </si>
  <si>
    <t>Typ 10</t>
  </si>
  <si>
    <t>Typ 11</t>
  </si>
  <si>
    <t>Axis</t>
  </si>
  <si>
    <t>kN</t>
  </si>
  <si>
    <t>Unity, Nb,Rd</t>
  </si>
  <si>
    <t>Unity, Mb,Rd</t>
  </si>
  <si>
    <t>Unity</t>
  </si>
  <si>
    <t>356 x 406</t>
  </si>
  <si>
    <t>x 1299</t>
  </si>
  <si>
    <t>Nb,z,Rd</t>
  </si>
  <si>
    <t>2.22</t>
  </si>
  <si>
    <t>x 1202</t>
  </si>
  <si>
    <t>2.35</t>
  </si>
  <si>
    <t>x 1086</t>
  </si>
  <si>
    <t>2.55</t>
  </si>
  <si>
    <t>x 990</t>
  </si>
  <si>
    <t>2.75</t>
  </si>
  <si>
    <t>x 900</t>
  </si>
  <si>
    <t>2.97</t>
  </si>
  <si>
    <t>x 818</t>
  </si>
  <si>
    <t>3.22</t>
  </si>
  <si>
    <t>x 744</t>
  </si>
  <si>
    <t>3.48</t>
  </si>
  <si>
    <t>x 677</t>
  </si>
  <si>
    <t>3.77</t>
  </si>
  <si>
    <t>x 634</t>
  </si>
  <si>
    <t>3.98</t>
  </si>
  <si>
    <t>x 592</t>
  </si>
  <si>
    <t>4.22</t>
  </si>
  <si>
    <t>x 551</t>
  </si>
  <si>
    <t>4.49</t>
  </si>
  <si>
    <t>x 509</t>
  </si>
  <si>
    <t>4.81</t>
  </si>
  <si>
    <t>x 467</t>
  </si>
  <si>
    <t>5.18</t>
  </si>
  <si>
    <t>x 393</t>
  </si>
  <si>
    <t>6.06</t>
  </si>
  <si>
    <t>x 340</t>
  </si>
  <si>
    <t>6.91</t>
  </si>
  <si>
    <t>x 287</t>
  </si>
  <si>
    <t>8.05</t>
  </si>
  <si>
    <t>x 235</t>
  </si>
  <si>
    <t>9.70</t>
  </si>
  <si>
    <t>356 x 368</t>
  </si>
  <si>
    <t>x 202</t>
  </si>
  <si>
    <t>10.8</t>
  </si>
  <si>
    <t>x 177</t>
  </si>
  <si>
    <t>12.3</t>
  </si>
  <si>
    <t>x 153</t>
  </si>
  <si>
    <t>14.1</t>
  </si>
  <si>
    <t>x 129</t>
  </si>
  <si>
    <t>16.6</t>
  </si>
  <si>
    <t>305 x 305</t>
  </si>
  <si>
    <t>x 283</t>
  </si>
  <si>
    <t>6.86</t>
  </si>
  <si>
    <t>x 240</t>
  </si>
  <si>
    <t>7.96</t>
  </si>
  <si>
    <t>x 198</t>
  </si>
  <si>
    <t>9.44</t>
  </si>
  <si>
    <t>x 158</t>
  </si>
  <si>
    <t>11.6</t>
  </si>
  <si>
    <t>x 137</t>
  </si>
  <si>
    <t>13.3</t>
  </si>
  <si>
    <t>x 118</t>
  </si>
  <si>
    <t>15.4</t>
  </si>
  <si>
    <t>x 97</t>
  </si>
  <si>
    <t>18.5</t>
  </si>
  <si>
    <t>254 x 254</t>
  </si>
  <si>
    <t>x 167</t>
  </si>
  <si>
    <t>9.46</t>
  </si>
  <si>
    <t>x 132</t>
  </si>
  <si>
    <t>11.7</t>
  </si>
  <si>
    <t>x 107</t>
  </si>
  <si>
    <t>14.2</t>
  </si>
  <si>
    <t>x 89</t>
  </si>
  <si>
    <t>16.9</t>
  </si>
  <si>
    <t>x 73</t>
  </si>
  <si>
    <t>20.4</t>
  </si>
  <si>
    <t>203 x 203</t>
  </si>
  <si>
    <t>x 127</t>
  </si>
  <si>
    <t>10.0</t>
  </si>
  <si>
    <t>x 113</t>
  </si>
  <si>
    <t>11.2</t>
  </si>
  <si>
    <t>x 100</t>
  </si>
  <si>
    <t>12.6</t>
  </si>
  <si>
    <t>x 86</t>
  </si>
  <si>
    <t>14.4</t>
  </si>
  <si>
    <t>x 71</t>
  </si>
  <si>
    <t>17.2</t>
  </si>
  <si>
    <t>x 60</t>
  </si>
  <si>
    <t>20.2</t>
  </si>
  <si>
    <t>x 52</t>
  </si>
  <si>
    <t>23.1</t>
  </si>
  <si>
    <t>x 46</t>
  </si>
  <si>
    <t>25.8</t>
  </si>
  <si>
    <t>152 x 152</t>
  </si>
  <si>
    <t>x 51</t>
  </si>
  <si>
    <t>18.3</t>
  </si>
  <si>
    <t>x 44</t>
  </si>
  <si>
    <t>21.0</t>
  </si>
  <si>
    <t>x 37</t>
  </si>
  <si>
    <t>24.6</t>
  </si>
  <si>
    <t>x 30</t>
  </si>
  <si>
    <t>30.0</t>
  </si>
  <si>
    <t>x 23</t>
  </si>
  <si>
    <t>38.7</t>
  </si>
  <si>
    <t>Row ref</t>
  </si>
  <si>
    <t>+ These sections are in addition to the range of BS EN 10365 sections</t>
  </si>
  <si>
    <t>∗ The section may be Class 4 under axial compression</t>
  </si>
  <si>
    <t>Values in italic type indicate that the section is a Class 4 section in pure compression and allowance has been made in calculating the resistance</t>
  </si>
  <si>
    <t>For values of the compression cross-sectional resistance, Nc,Rd, see values of Npl,Rd in tables for axial force and bending</t>
  </si>
  <si>
    <t xml:space="preserve">This data was downloaded from the Steel for Life Blue Book website (http://www.steelforlifebluebook.co.uk/uc/ec3-ukna/compression-s355/) on 19/11/2020 at 11:02:59 </t>
  </si>
  <si>
    <t>© 2020, SCI. This data is subject to the same terms as defined by the Steel for Life Blue Book website (http://www.steelforlifebluebook.co.uk/about/)</t>
  </si>
  <si>
    <t>Universal columns (UC), Buckling resistance moment with S355</t>
  </si>
  <si>
    <t>Buckling Resistance Moment Mb,Rd (kNm) for length between lateral restraints (m)</t>
  </si>
  <si>
    <t>Cross-section Reference</t>
  </si>
  <si>
    <t>1.0</t>
  </si>
  <si>
    <t>1.5</t>
  </si>
  <si>
    <t>2.0</t>
  </si>
  <si>
    <t>2.5</t>
  </si>
  <si>
    <t>3.0</t>
  </si>
  <si>
    <t>3.5</t>
  </si>
  <si>
    <t>4.0</t>
  </si>
  <si>
    <t>5.0</t>
  </si>
  <si>
    <t>6.0</t>
  </si>
  <si>
    <t>7.0</t>
  </si>
  <si>
    <t>8.0</t>
  </si>
  <si>
    <t>9.0</t>
  </si>
  <si>
    <t>11.0</t>
  </si>
  <si>
    <t>12.0</t>
  </si>
  <si>
    <t>13.0</t>
  </si>
  <si>
    <t>14.0</t>
  </si>
  <si>
    <t>cm4</t>
  </si>
  <si>
    <t>1.00</t>
  </si>
  <si>
    <t>9810</t>
  </si>
  <si>
    <t>9770</t>
  </si>
  <si>
    <t>9700</t>
  </si>
  <si>
    <t>9630</t>
  </si>
  <si>
    <t>9560</t>
  </si>
  <si>
    <t>755000</t>
  </si>
  <si>
    <t>8860</t>
  </si>
  <si>
    <t>8850</t>
  </si>
  <si>
    <t>8780</t>
  </si>
  <si>
    <t>8720</t>
  </si>
  <si>
    <t>8650</t>
  </si>
  <si>
    <t>8590</t>
  </si>
  <si>
    <t>664000</t>
  </si>
  <si>
    <t>8030</t>
  </si>
  <si>
    <t>7960</t>
  </si>
  <si>
    <t>7900</t>
  </si>
  <si>
    <t>7830</t>
  </si>
  <si>
    <t>7770</t>
  </si>
  <si>
    <t>7710</t>
  </si>
  <si>
    <t>596000</t>
  </si>
  <si>
    <t>7160</t>
  </si>
  <si>
    <t>7130</t>
  </si>
  <si>
    <t>7060</t>
  </si>
  <si>
    <t>7000</t>
  </si>
  <si>
    <t>6940</t>
  </si>
  <si>
    <t>6880</t>
  </si>
  <si>
    <t>6820</t>
  </si>
  <si>
    <t>519000</t>
  </si>
  <si>
    <t>6380</t>
  </si>
  <si>
    <t>6310</t>
  </si>
  <si>
    <t>6250</t>
  </si>
  <si>
    <t>6190</t>
  </si>
  <si>
    <t>6130</t>
  </si>
  <si>
    <t>6080</t>
  </si>
  <si>
    <t>6020</t>
  </si>
  <si>
    <t>450000</t>
  </si>
  <si>
    <t>6070</t>
  </si>
  <si>
    <t>6000</t>
  </si>
  <si>
    <t>5930</t>
  </si>
  <si>
    <t>5860</t>
  </si>
  <si>
    <t>5800</t>
  </si>
  <si>
    <t>5740</t>
  </si>
  <si>
    <t>5680</t>
  </si>
  <si>
    <t>5620</t>
  </si>
  <si>
    <t>392000</t>
  </si>
  <si>
    <t>5410</t>
  </si>
  <si>
    <t>5380</t>
  </si>
  <si>
    <t>5310</t>
  </si>
  <si>
    <t>5250</t>
  </si>
  <si>
    <t>5180</t>
  </si>
  <si>
    <t>5130</t>
  </si>
  <si>
    <t>5070</t>
  </si>
  <si>
    <t>5010</t>
  </si>
  <si>
    <t>4960</t>
  </si>
  <si>
    <t>342000</t>
  </si>
  <si>
    <t>4840</t>
  </si>
  <si>
    <t>4780</t>
  </si>
  <si>
    <t>4720</t>
  </si>
  <si>
    <t>4660</t>
  </si>
  <si>
    <t>4600</t>
  </si>
  <si>
    <t>4540</t>
  </si>
  <si>
    <t>4490</t>
  </si>
  <si>
    <t>4440</t>
  </si>
  <si>
    <t>4380</t>
  </si>
  <si>
    <t>300000</t>
  </si>
  <si>
    <t>4620</t>
  </si>
  <si>
    <t>4530</t>
  </si>
  <si>
    <t>4460</t>
  </si>
  <si>
    <t>4400</t>
  </si>
  <si>
    <t>4340</t>
  </si>
  <si>
    <t>4290</t>
  </si>
  <si>
    <t>4230</t>
  </si>
  <si>
    <t>4180</t>
  </si>
  <si>
    <t>4120</t>
  </si>
  <si>
    <t>275000</t>
  </si>
  <si>
    <t>4270</t>
  </si>
  <si>
    <t>4240</t>
  </si>
  <si>
    <t>4170</t>
  </si>
  <si>
    <t>4110</t>
  </si>
  <si>
    <t>4050</t>
  </si>
  <si>
    <t>3990</t>
  </si>
  <si>
    <t>3940</t>
  </si>
  <si>
    <t>3880</t>
  </si>
  <si>
    <t>3830</t>
  </si>
  <si>
    <t>3780</t>
  </si>
  <si>
    <t>250000</t>
  </si>
  <si>
    <t>3930</t>
  </si>
  <si>
    <t>3820</t>
  </si>
  <si>
    <t>3760</t>
  </si>
  <si>
    <t>3700</t>
  </si>
  <si>
    <t>3650</t>
  </si>
  <si>
    <t>3590</t>
  </si>
  <si>
    <t>3540</t>
  </si>
  <si>
    <t>3490</t>
  </si>
  <si>
    <t>3440</t>
  </si>
  <si>
    <t>227000</t>
  </si>
  <si>
    <t>3690</t>
  </si>
  <si>
    <t>3620</t>
  </si>
  <si>
    <t>3560</t>
  </si>
  <si>
    <t>3500</t>
  </si>
  <si>
    <t>3380</t>
  </si>
  <si>
    <t>3330</t>
  </si>
  <si>
    <t>3270</t>
  </si>
  <si>
    <t>3220</t>
  </si>
  <si>
    <t>3170</t>
  </si>
  <si>
    <t>204000</t>
  </si>
  <si>
    <t>3350</t>
  </si>
  <si>
    <t>3260</t>
  </si>
  <si>
    <t>3200</t>
  </si>
  <si>
    <t>3140</t>
  </si>
  <si>
    <t>3090</t>
  </si>
  <si>
    <t>3030</t>
  </si>
  <si>
    <t>2980</t>
  </si>
  <si>
    <t>2930</t>
  </si>
  <si>
    <t>2880</t>
  </si>
  <si>
    <t>2830</t>
  </si>
  <si>
    <t>183000</t>
  </si>
  <si>
    <t>2750</t>
  </si>
  <si>
    <t>2710</t>
  </si>
  <si>
    <t>2650</t>
  </si>
  <si>
    <t>2590</t>
  </si>
  <si>
    <t>2540</t>
  </si>
  <si>
    <t>2480</t>
  </si>
  <si>
    <t>2430</t>
  </si>
  <si>
    <t>2380</t>
  </si>
  <si>
    <t>2340</t>
  </si>
  <si>
    <t>2290</t>
  </si>
  <si>
    <t>2240</t>
  </si>
  <si>
    <t>147000</t>
  </si>
  <si>
    <t>2230</t>
  </si>
  <si>
    <t>2180</t>
  </si>
  <si>
    <t>2120</t>
  </si>
  <si>
    <t>2080</t>
  </si>
  <si>
    <t>2030</t>
  </si>
  <si>
    <t>1980</t>
  </si>
  <si>
    <t>1930</t>
  </si>
  <si>
    <t>1890</t>
  </si>
  <si>
    <t>1840</t>
  </si>
  <si>
    <t>123000</t>
  </si>
  <si>
    <t>2000</t>
  </si>
  <si>
    <t>1990</t>
  </si>
  <si>
    <t>1880</t>
  </si>
  <si>
    <t>1820</t>
  </si>
  <si>
    <t>1770</t>
  </si>
  <si>
    <t>1720</t>
  </si>
  <si>
    <t>1670</t>
  </si>
  <si>
    <t>1620</t>
  </si>
  <si>
    <t>1570</t>
  </si>
  <si>
    <t>1530</t>
  </si>
  <si>
    <t>1480</t>
  </si>
  <si>
    <t>99900</t>
  </si>
  <si>
    <t>1600</t>
  </si>
  <si>
    <t>1540</t>
  </si>
  <si>
    <t>1490</t>
  </si>
  <si>
    <t>1440</t>
  </si>
  <si>
    <t>1390</t>
  </si>
  <si>
    <t>1340</t>
  </si>
  <si>
    <t>1290</t>
  </si>
  <si>
    <t>1250</t>
  </si>
  <si>
    <t>1200</t>
  </si>
  <si>
    <t>1160</t>
  </si>
  <si>
    <t>1120</t>
  </si>
  <si>
    <t>79100</t>
  </si>
  <si>
    <t>1370</t>
  </si>
  <si>
    <t>1360</t>
  </si>
  <si>
    <t>1240</t>
  </si>
  <si>
    <t>1190</t>
  </si>
  <si>
    <t>1140</t>
  </si>
  <si>
    <t>1090</t>
  </si>
  <si>
    <t>1050</t>
  </si>
  <si>
    <t>1000</t>
  </si>
  <si>
    <t>960</t>
  </si>
  <si>
    <t>919</t>
  </si>
  <si>
    <t>881</t>
  </si>
  <si>
    <t>66300</t>
  </si>
  <si>
    <t>1180</t>
  </si>
  <si>
    <t>1110</t>
  </si>
  <si>
    <t>1060</t>
  </si>
  <si>
    <t>1020</t>
  </si>
  <si>
    <t>971</t>
  </si>
  <si>
    <t>925</t>
  </si>
  <si>
    <t>880</t>
  </si>
  <si>
    <t>838</t>
  </si>
  <si>
    <t>798</t>
  </si>
  <si>
    <t>760</t>
  </si>
  <si>
    <t>724</t>
  </si>
  <si>
    <t>57100</t>
  </si>
  <si>
    <t>1010</t>
  </si>
  <si>
    <t>989</t>
  </si>
  <si>
    <t>945</t>
  </si>
  <si>
    <t>901</t>
  </si>
  <si>
    <t>856</t>
  </si>
  <si>
    <t>812</t>
  </si>
  <si>
    <t>768</t>
  </si>
  <si>
    <t>726</t>
  </si>
  <si>
    <t>686</t>
  </si>
  <si>
    <t>649</t>
  </si>
  <si>
    <t>614</t>
  </si>
  <si>
    <t>582</t>
  </si>
  <si>
    <t>48600</t>
  </si>
  <si>
    <t>780</t>
  </si>
  <si>
    <t>775</t>
  </si>
  <si>
    <t>759</t>
  </si>
  <si>
    <t>725</t>
  </si>
  <si>
    <t>690</t>
  </si>
  <si>
    <t>655</t>
  </si>
  <si>
    <t>620</t>
  </si>
  <si>
    <t>585</t>
  </si>
  <si>
    <t>551</t>
  </si>
  <si>
    <t>519</t>
  </si>
  <si>
    <t>488</t>
  </si>
  <si>
    <t>460</t>
  </si>
  <si>
    <t>435</t>
  </si>
  <si>
    <t>40200</t>
  </si>
  <si>
    <t>1710</t>
  </si>
  <si>
    <t>1680</t>
  </si>
  <si>
    <t>1640</t>
  </si>
  <si>
    <t>1560</t>
  </si>
  <si>
    <t>1520</t>
  </si>
  <si>
    <t>1400</t>
  </si>
  <si>
    <t>1330</t>
  </si>
  <si>
    <t>1300</t>
  </si>
  <si>
    <t>78900</t>
  </si>
  <si>
    <t>1470</t>
  </si>
  <si>
    <t>1450</t>
  </si>
  <si>
    <t>1430</t>
  </si>
  <si>
    <t>1380</t>
  </si>
  <si>
    <t>1260</t>
  </si>
  <si>
    <t>1220</t>
  </si>
  <si>
    <t>1150</t>
  </si>
  <si>
    <t>1080</t>
  </si>
  <si>
    <t>1040</t>
  </si>
  <si>
    <t>64200</t>
  </si>
  <si>
    <t>1100</t>
  </si>
  <si>
    <t>982</t>
  </si>
  <si>
    <t>946</t>
  </si>
  <si>
    <t>911</t>
  </si>
  <si>
    <t>877</t>
  </si>
  <si>
    <t>844</t>
  </si>
  <si>
    <t>813</t>
  </si>
  <si>
    <t>783</t>
  </si>
  <si>
    <t>50900</t>
  </si>
  <si>
    <t>918</t>
  </si>
  <si>
    <t>897</t>
  </si>
  <si>
    <t>801</t>
  </si>
  <si>
    <t>764</t>
  </si>
  <si>
    <t>729</t>
  </si>
  <si>
    <t>695</t>
  </si>
  <si>
    <t>662</t>
  </si>
  <si>
    <t>631</t>
  </si>
  <si>
    <t>602</t>
  </si>
  <si>
    <t>574</t>
  </si>
  <si>
    <t>549</t>
  </si>
  <si>
    <t>38700</t>
  </si>
  <si>
    <t>794</t>
  </si>
  <si>
    <t>784</t>
  </si>
  <si>
    <t>765</t>
  </si>
  <si>
    <t>747</t>
  </si>
  <si>
    <t>710</t>
  </si>
  <si>
    <t>673</t>
  </si>
  <si>
    <t>638</t>
  </si>
  <si>
    <t>604</t>
  </si>
  <si>
    <t>571</t>
  </si>
  <si>
    <t>540</t>
  </si>
  <si>
    <t>511</t>
  </si>
  <si>
    <t>484</t>
  </si>
  <si>
    <t>459</t>
  </si>
  <si>
    <t>436</t>
  </si>
  <si>
    <t>32800</t>
  </si>
  <si>
    <t>676</t>
  </si>
  <si>
    <t>666</t>
  </si>
  <si>
    <t>648</t>
  </si>
  <si>
    <t>597</t>
  </si>
  <si>
    <t>562</t>
  </si>
  <si>
    <t>528</t>
  </si>
  <si>
    <t>495</t>
  </si>
  <si>
    <t>464</t>
  </si>
  <si>
    <t>408</t>
  </si>
  <si>
    <t>384</t>
  </si>
  <si>
    <t>362</t>
  </si>
  <si>
    <t>342</t>
  </si>
  <si>
    <t>27700</t>
  </si>
  <si>
    <t>515</t>
  </si>
  <si>
    <t>507</t>
  </si>
  <si>
    <t>494</t>
  </si>
  <si>
    <t>480</t>
  </si>
  <si>
    <t>452</t>
  </si>
  <si>
    <t>424</t>
  </si>
  <si>
    <t>396</t>
  </si>
  <si>
    <t>368</t>
  </si>
  <si>
    <t>318</t>
  </si>
  <si>
    <t>297</t>
  </si>
  <si>
    <t>277</t>
  </si>
  <si>
    <t>260</t>
  </si>
  <si>
    <t>244</t>
  </si>
  <si>
    <t>22200</t>
  </si>
  <si>
    <t>835</t>
  </si>
  <si>
    <t>825</t>
  </si>
  <si>
    <t>808</t>
  </si>
  <si>
    <t>793</t>
  </si>
  <si>
    <t>737</t>
  </si>
  <si>
    <t>712</t>
  </si>
  <si>
    <t>687</t>
  </si>
  <si>
    <t>639</t>
  </si>
  <si>
    <t>616</t>
  </si>
  <si>
    <t>594</t>
  </si>
  <si>
    <t>572</t>
  </si>
  <si>
    <t>552</t>
  </si>
  <si>
    <t>30000</t>
  </si>
  <si>
    <t>645</t>
  </si>
  <si>
    <t>630</t>
  </si>
  <si>
    <t>615</t>
  </si>
  <si>
    <t>601</t>
  </si>
  <si>
    <t>525</t>
  </si>
  <si>
    <t>501</t>
  </si>
  <si>
    <t>479</t>
  </si>
  <si>
    <t>457</t>
  </si>
  <si>
    <t>417</t>
  </si>
  <si>
    <t>399</t>
  </si>
  <si>
    <t>381</t>
  </si>
  <si>
    <t>22500</t>
  </si>
  <si>
    <t>493</t>
  </si>
  <si>
    <t>467</t>
  </si>
  <si>
    <t>442</t>
  </si>
  <si>
    <t>418</t>
  </si>
  <si>
    <t>395</t>
  </si>
  <si>
    <t>373</t>
  </si>
  <si>
    <t>353</t>
  </si>
  <si>
    <t>333</t>
  </si>
  <si>
    <t>315</t>
  </si>
  <si>
    <t>298</t>
  </si>
  <si>
    <t>283</t>
  </si>
  <si>
    <t>269</t>
  </si>
  <si>
    <t>17500</t>
  </si>
  <si>
    <t>421</t>
  </si>
  <si>
    <t>416</t>
  </si>
  <si>
    <t>404</t>
  </si>
  <si>
    <t>392</t>
  </si>
  <si>
    <t>380</t>
  </si>
  <si>
    <t>356</t>
  </si>
  <si>
    <t>311</t>
  </si>
  <si>
    <t>290</t>
  </si>
  <si>
    <t>271</t>
  </si>
  <si>
    <t>254</t>
  </si>
  <si>
    <t>238</t>
  </si>
  <si>
    <t>224</t>
  </si>
  <si>
    <t>211</t>
  </si>
  <si>
    <t>199</t>
  </si>
  <si>
    <t>14300</t>
  </si>
  <si>
    <t>352</t>
  </si>
  <si>
    <t>345</t>
  </si>
  <si>
    <t>334</t>
  </si>
  <si>
    <t>322</t>
  </si>
  <si>
    <t>288</t>
  </si>
  <si>
    <t>265</t>
  </si>
  <si>
    <t>243</t>
  </si>
  <si>
    <t>223</t>
  </si>
  <si>
    <t>205</t>
  </si>
  <si>
    <t>189</t>
  </si>
  <si>
    <t>176</t>
  </si>
  <si>
    <t>164</t>
  </si>
  <si>
    <t>153</t>
  </si>
  <si>
    <t>144</t>
  </si>
  <si>
    <t>11400</t>
  </si>
  <si>
    <t>524</t>
  </si>
  <si>
    <t>520</t>
  </si>
  <si>
    <t>509</t>
  </si>
  <si>
    <t>498</t>
  </si>
  <si>
    <t>489</t>
  </si>
  <si>
    <t>470</t>
  </si>
  <si>
    <t>453</t>
  </si>
  <si>
    <t>420</t>
  </si>
  <si>
    <t>388</t>
  </si>
  <si>
    <t>359</t>
  </si>
  <si>
    <t>332</t>
  </si>
  <si>
    <t>15400</t>
  </si>
  <si>
    <t>441</t>
  </si>
  <si>
    <t>432</t>
  </si>
  <si>
    <t>422</t>
  </si>
  <si>
    <t>405</t>
  </si>
  <si>
    <t>372</t>
  </si>
  <si>
    <t>341</t>
  </si>
  <si>
    <t>326</t>
  </si>
  <si>
    <t>313</t>
  </si>
  <si>
    <t>299</t>
  </si>
  <si>
    <t>287</t>
  </si>
  <si>
    <t>275</t>
  </si>
  <si>
    <t>13300</t>
  </si>
  <si>
    <t>397</t>
  </si>
  <si>
    <t>378</t>
  </si>
  <si>
    <t>369</t>
  </si>
  <si>
    <t>360</t>
  </si>
  <si>
    <t>343</t>
  </si>
  <si>
    <t>327</t>
  </si>
  <si>
    <t>296</t>
  </si>
  <si>
    <t>282</t>
  </si>
  <si>
    <t>268</t>
  </si>
  <si>
    <t>256</t>
  </si>
  <si>
    <t>232</t>
  </si>
  <si>
    <t>222</t>
  </si>
  <si>
    <t>11300</t>
  </si>
  <si>
    <t>337</t>
  </si>
  <si>
    <t>309</t>
  </si>
  <si>
    <t>300</t>
  </si>
  <si>
    <t>284</t>
  </si>
  <si>
    <t>240</t>
  </si>
  <si>
    <t>226</t>
  </si>
  <si>
    <t>214</t>
  </si>
  <si>
    <t>203</t>
  </si>
  <si>
    <t>192</t>
  </si>
  <si>
    <t>182</t>
  </si>
  <si>
    <t>173</t>
  </si>
  <si>
    <t>9450</t>
  </si>
  <si>
    <t>276</t>
  </si>
  <si>
    <t>274</t>
  </si>
  <si>
    <t>248</t>
  </si>
  <si>
    <t>209</t>
  </si>
  <si>
    <t>196</t>
  </si>
  <si>
    <t>183</t>
  </si>
  <si>
    <t>171</t>
  </si>
  <si>
    <t>160</t>
  </si>
  <si>
    <t>150</t>
  </si>
  <si>
    <t>141</t>
  </si>
  <si>
    <t>133</t>
  </si>
  <si>
    <t>126</t>
  </si>
  <si>
    <t>7620</t>
  </si>
  <si>
    <t>233</t>
  </si>
  <si>
    <t>230</t>
  </si>
  <si>
    <t>221</t>
  </si>
  <si>
    <t>213</t>
  </si>
  <si>
    <t>204</t>
  </si>
  <si>
    <t>181</t>
  </si>
  <si>
    <t>166</t>
  </si>
  <si>
    <t>152</t>
  </si>
  <si>
    <t>140</t>
  </si>
  <si>
    <t>129</t>
  </si>
  <si>
    <t>120</t>
  </si>
  <si>
    <t>112</t>
  </si>
  <si>
    <t>104</t>
  </si>
  <si>
    <t>97.8</t>
  </si>
  <si>
    <t>92.1</t>
  </si>
  <si>
    <t>6120</t>
  </si>
  <si>
    <t>201</t>
  </si>
  <si>
    <t>198</t>
  </si>
  <si>
    <t>190</t>
  </si>
  <si>
    <t>174</t>
  </si>
  <si>
    <t>167</t>
  </si>
  <si>
    <t>151</t>
  </si>
  <si>
    <t>137</t>
  </si>
  <si>
    <t>125</t>
  </si>
  <si>
    <t>114</t>
  </si>
  <si>
    <t>95.8</t>
  </si>
  <si>
    <t>88.7</t>
  </si>
  <si>
    <t>82.6</t>
  </si>
  <si>
    <t>77.2</t>
  </si>
  <si>
    <t>71.9</t>
  </si>
  <si>
    <t>5260</t>
  </si>
  <si>
    <t>158</t>
  </si>
  <si>
    <t>143</t>
  </si>
  <si>
    <t>115</t>
  </si>
  <si>
    <t>93.6</t>
  </si>
  <si>
    <t>85.1</t>
  </si>
  <si>
    <t>77.9</t>
  </si>
  <si>
    <t>71.8</t>
  </si>
  <si>
    <t>66.6</t>
  </si>
  <si>
    <t>61.2</t>
  </si>
  <si>
    <t>56.5</t>
  </si>
  <si>
    <t>4570</t>
  </si>
  <si>
    <t>155</t>
  </si>
  <si>
    <t>149</t>
  </si>
  <si>
    <t>138</t>
  </si>
  <si>
    <t>128</t>
  </si>
  <si>
    <t>119</t>
  </si>
  <si>
    <t>110</t>
  </si>
  <si>
    <t>102</t>
  </si>
  <si>
    <t>94.3</t>
  </si>
  <si>
    <t>87.7</t>
  </si>
  <si>
    <t>81.8</t>
  </si>
  <si>
    <t>76.6</t>
  </si>
  <si>
    <t>67.7</t>
  </si>
  <si>
    <t>64.0</t>
  </si>
  <si>
    <t>3230</t>
  </si>
  <si>
    <t>132</t>
  </si>
  <si>
    <t>131</t>
  </si>
  <si>
    <t>105</t>
  </si>
  <si>
    <t>96.2</t>
  </si>
  <si>
    <t>88.0</t>
  </si>
  <si>
    <t>80.6</t>
  </si>
  <si>
    <t>74.1</t>
  </si>
  <si>
    <t>68.4</t>
  </si>
  <si>
    <t>63.4</t>
  </si>
  <si>
    <t>59.1</t>
  </si>
  <si>
    <t>55.2</t>
  </si>
  <si>
    <t>51.9</t>
  </si>
  <si>
    <t>48.7</t>
  </si>
  <si>
    <t>2700</t>
  </si>
  <si>
    <t>108</t>
  </si>
  <si>
    <t>103</t>
  </si>
  <si>
    <t>98.1</t>
  </si>
  <si>
    <t>93.2</t>
  </si>
  <si>
    <t>88.4</t>
  </si>
  <si>
    <t>83.8</t>
  </si>
  <si>
    <t>75.3</t>
  </si>
  <si>
    <t>55.7</t>
  </si>
  <si>
    <t>51.0</t>
  </si>
  <si>
    <t>47.0</t>
  </si>
  <si>
    <t>43.5</t>
  </si>
  <si>
    <t>40.4</t>
  </si>
  <si>
    <t>37.2</t>
  </si>
  <si>
    <t>34.5</t>
  </si>
  <si>
    <t>2210</t>
  </si>
  <si>
    <t>86.4</t>
  </si>
  <si>
    <t>81.7</t>
  </si>
  <si>
    <t>77.1</t>
  </si>
  <si>
    <t>72.5</t>
  </si>
  <si>
    <t>68.0</t>
  </si>
  <si>
    <t>63.7</t>
  </si>
  <si>
    <t>55.8</t>
  </si>
  <si>
    <t>49.1</t>
  </si>
  <si>
    <t>43.7</t>
  </si>
  <si>
    <t>39.3</t>
  </si>
  <si>
    <t>35.6</t>
  </si>
  <si>
    <t>32.5</t>
  </si>
  <si>
    <t>29.4</t>
  </si>
  <si>
    <t>26.8</t>
  </si>
  <si>
    <t>24.7</t>
  </si>
  <si>
    <t>22.8</t>
  </si>
  <si>
    <t>1750</t>
  </si>
  <si>
    <t>58.2</t>
  </si>
  <si>
    <t>57.2</t>
  </si>
  <si>
    <t>54.0</t>
  </si>
  <si>
    <t>50.7</t>
  </si>
  <si>
    <t>47.3</t>
  </si>
  <si>
    <t>43.9</t>
  </si>
  <si>
    <t>40.6</t>
  </si>
  <si>
    <t>34.8</t>
  </si>
  <si>
    <t>30.1</t>
  </si>
  <si>
    <t>26.4</t>
  </si>
  <si>
    <t>23.4</t>
  </si>
  <si>
    <t>20.9</t>
  </si>
  <si>
    <t>18.6</t>
  </si>
  <si>
    <t>16.8</t>
  </si>
  <si>
    <t>15.3</t>
  </si>
  <si>
    <t>12.9</t>
  </si>
  <si>
    <t>Foundation and Basement Results</t>
  </si>
  <si>
    <t>Recommended Shallow Foundation Options</t>
  </si>
  <si>
    <t>Foundation Suitability</t>
  </si>
  <si>
    <t>Typology 01</t>
  </si>
  <si>
    <t>Typology 02</t>
  </si>
  <si>
    <t>Typology 03</t>
  </si>
  <si>
    <t>Typology 04</t>
  </si>
  <si>
    <t>Typology 05</t>
  </si>
  <si>
    <t>Typology 06</t>
  </si>
  <si>
    <t>Typology 07</t>
  </si>
  <si>
    <t>Typology 08</t>
  </si>
  <si>
    <t>Typology 09</t>
  </si>
  <si>
    <t>Recommended Raft Foundation Options</t>
  </si>
  <si>
    <t xml:space="preserve">Typology </t>
  </si>
  <si>
    <t>Tension Piles Required?</t>
  </si>
  <si>
    <t>Recommended Piled Foundation Options</t>
  </si>
  <si>
    <t>Assess piles by minimum:</t>
  </si>
  <si>
    <t>Concrete Volume</t>
  </si>
  <si>
    <t>Central Columns</t>
  </si>
  <si>
    <t>Edge Columns</t>
  </si>
  <si>
    <t>Corner Columns</t>
  </si>
  <si>
    <t>Retaining Wall Type</t>
  </si>
  <si>
    <t>Groundwater Control Required</t>
  </si>
  <si>
    <t>Number of Piles Required</t>
  </si>
  <si>
    <r>
      <t>Volume of Concrete Required (m</t>
    </r>
    <r>
      <rPr>
        <b/>
        <vertAlign val="superscript"/>
        <sz val="11"/>
        <color theme="1"/>
        <rFont val="Calibri"/>
        <family val="2"/>
        <scheme val="minor"/>
      </rPr>
      <t>3</t>
    </r>
    <r>
      <rPr>
        <b/>
        <sz val="11"/>
        <color theme="1"/>
        <rFont val="Calibri"/>
        <family val="2"/>
        <scheme val="minor"/>
      </rPr>
      <t>)</t>
    </r>
  </si>
  <si>
    <t>LOADING - FAÇADE</t>
  </si>
  <si>
    <r>
      <t>g</t>
    </r>
    <r>
      <rPr>
        <b/>
        <vertAlign val="subscript"/>
        <sz val="8"/>
        <color rgb="FFAECC53"/>
        <rFont val="Arial"/>
        <family val="2"/>
      </rPr>
      <t>k</t>
    </r>
    <r>
      <rPr>
        <b/>
        <sz val="8"/>
        <color rgb="FFAECC53"/>
        <rFont val="Arial"/>
        <family val="2"/>
      </rPr>
      <t xml:space="preserve"> (kN/m</t>
    </r>
    <r>
      <rPr>
        <b/>
        <vertAlign val="superscript"/>
        <sz val="8"/>
        <color rgb="FFAECC53"/>
        <rFont val="Arial"/>
        <family val="2"/>
      </rPr>
      <t>2</t>
    </r>
    <r>
      <rPr>
        <b/>
        <sz val="8"/>
        <color rgb="FFAECC53"/>
        <rFont val="Arial"/>
        <family val="2"/>
      </rPr>
      <t>)</t>
    </r>
  </si>
  <si>
    <t>Lightweight Cladding</t>
  </si>
  <si>
    <t>Timber Cladding</t>
  </si>
  <si>
    <t>PC Cladding</t>
  </si>
  <si>
    <t>LOADING - FLOOR PLATE</t>
  </si>
  <si>
    <r>
      <t>g</t>
    </r>
    <r>
      <rPr>
        <b/>
        <vertAlign val="subscript"/>
        <sz val="8"/>
        <color rgb="FFAECC53"/>
        <rFont val="Arial"/>
        <family val="2"/>
      </rPr>
      <t>k</t>
    </r>
    <r>
      <rPr>
        <b/>
        <sz val="8"/>
        <color rgb="FFAECC53"/>
        <rFont val="Arial"/>
        <family val="2"/>
      </rPr>
      <t xml:space="preserve"> (kN/m</t>
    </r>
    <r>
      <rPr>
        <b/>
        <sz val="8"/>
        <color rgb="FFAECC53"/>
        <rFont val="Calibri"/>
        <family val="2"/>
      </rPr>
      <t>²</t>
    </r>
    <r>
      <rPr>
        <b/>
        <sz val="8"/>
        <color rgb="FFAECC53"/>
        <rFont val="Arial"/>
        <family val="2"/>
      </rPr>
      <t>)</t>
    </r>
  </si>
  <si>
    <r>
      <t>q</t>
    </r>
    <r>
      <rPr>
        <b/>
        <vertAlign val="subscript"/>
        <sz val="8"/>
        <color rgb="FFAECC53"/>
        <rFont val="Arial"/>
        <family val="2"/>
      </rPr>
      <t xml:space="preserve">k </t>
    </r>
    <r>
      <rPr>
        <b/>
        <sz val="8"/>
        <color rgb="FFAECC53"/>
        <rFont val="Arial"/>
        <family val="2"/>
      </rPr>
      <t>(kN/m</t>
    </r>
    <r>
      <rPr>
        <b/>
        <sz val="8"/>
        <color rgb="FFAECC53"/>
        <rFont val="Calibri"/>
        <family val="2"/>
      </rPr>
      <t>²</t>
    </r>
    <r>
      <rPr>
        <b/>
        <sz val="8"/>
        <color rgb="FFAECC53"/>
        <rFont val="Arial"/>
        <family val="2"/>
      </rPr>
      <t>)</t>
    </r>
  </si>
  <si>
    <t>Carpet</t>
  </si>
  <si>
    <t>Office areas B1</t>
  </si>
  <si>
    <t>Raised Floor</t>
  </si>
  <si>
    <t>Lightweight Partitions</t>
  </si>
  <si>
    <t>Suspended Ceiling</t>
  </si>
  <si>
    <t>Services</t>
  </si>
  <si>
    <t>Residential A1</t>
  </si>
  <si>
    <t>Floating Floor</t>
  </si>
  <si>
    <t>Classrooms C13</t>
  </si>
  <si>
    <t>Flooring</t>
  </si>
  <si>
    <t>Screed</t>
  </si>
  <si>
    <t>FLOOR FINISHES &amp; SERVICE ZONES</t>
  </si>
  <si>
    <t>Zone(mm)</t>
  </si>
  <si>
    <t>CHANGE LOG</t>
  </si>
  <si>
    <t>Date</t>
  </si>
  <si>
    <t>Author</t>
  </si>
  <si>
    <t>First Draft. Superimposed Permanent loads from Concrete Buildings Scheme Design Manual. Variable loads to EC2.</t>
  </si>
  <si>
    <t>JLB</t>
  </si>
  <si>
    <t>Floor finishes &amp; service zones added.</t>
  </si>
  <si>
    <t>Input Data</t>
  </si>
  <si>
    <t>Terrain category</t>
  </si>
  <si>
    <t>Single Bar Areas</t>
  </si>
  <si>
    <t>Wall Thickness</t>
  </si>
  <si>
    <r>
      <t>Z</t>
    </r>
    <r>
      <rPr>
        <b/>
        <vertAlign val="subscript"/>
        <sz val="9"/>
        <color rgb="FFAECC53"/>
        <rFont val="Arial"/>
        <family val="2"/>
      </rPr>
      <t>0</t>
    </r>
  </si>
  <si>
    <r>
      <t>Z</t>
    </r>
    <r>
      <rPr>
        <b/>
        <vertAlign val="subscript"/>
        <sz val="9"/>
        <color rgb="FFAECC53"/>
        <rFont val="Arial"/>
        <family val="2"/>
      </rPr>
      <t>min</t>
    </r>
  </si>
  <si>
    <t>Bar Size</t>
  </si>
  <si>
    <t>As (mm²)</t>
  </si>
  <si>
    <t>Building Height</t>
  </si>
  <si>
    <t>h/d</t>
  </si>
  <si>
    <r>
      <t>c</t>
    </r>
    <r>
      <rPr>
        <b/>
        <vertAlign val="subscript"/>
        <sz val="9"/>
        <color theme="0"/>
        <rFont val="Arial"/>
        <family val="2"/>
      </rPr>
      <t>pe</t>
    </r>
  </si>
  <si>
    <t>Grid x</t>
  </si>
  <si>
    <t>H10</t>
  </si>
  <si>
    <t>Grid y</t>
  </si>
  <si>
    <t>H12</t>
  </si>
  <si>
    <t>H16</t>
  </si>
  <si>
    <t>H20</t>
  </si>
  <si>
    <t>H25</t>
  </si>
  <si>
    <t>Services &amp; Finishes Zone</t>
  </si>
  <si>
    <t>phe</t>
  </si>
  <si>
    <t>Storey height, Hs</t>
  </si>
  <si>
    <t>Overall building height, h</t>
  </si>
  <si>
    <t>Site altitude, A</t>
  </si>
  <si>
    <t>Design Life</t>
  </si>
  <si>
    <t>years</t>
  </si>
  <si>
    <r>
      <t>v</t>
    </r>
    <r>
      <rPr>
        <b/>
        <vertAlign val="subscript"/>
        <sz val="9"/>
        <color theme="1" tint="0.34998626667073579"/>
        <rFont val="Arial"/>
        <family val="2"/>
      </rPr>
      <t>b,0</t>
    </r>
  </si>
  <si>
    <t>m/s</t>
  </si>
  <si>
    <r>
      <t>c</t>
    </r>
    <r>
      <rPr>
        <b/>
        <vertAlign val="subscript"/>
        <sz val="9"/>
        <color theme="1" tint="0.34998626667073579"/>
        <rFont val="Arial"/>
        <family val="2"/>
      </rPr>
      <t>prob</t>
    </r>
  </si>
  <si>
    <r>
      <t>c</t>
    </r>
    <r>
      <rPr>
        <b/>
        <vertAlign val="subscript"/>
        <sz val="9"/>
        <color theme="1" tint="0.34998626667073579"/>
        <rFont val="Arial"/>
        <family val="2"/>
      </rPr>
      <t>dir</t>
    </r>
  </si>
  <si>
    <r>
      <t>c</t>
    </r>
    <r>
      <rPr>
        <b/>
        <vertAlign val="subscript"/>
        <sz val="9"/>
        <color theme="1" tint="0.34998626667073579"/>
        <rFont val="Arial"/>
        <family val="2"/>
      </rPr>
      <t>sea</t>
    </r>
  </si>
  <si>
    <r>
      <t>c</t>
    </r>
    <r>
      <rPr>
        <b/>
        <vertAlign val="subscript"/>
        <sz val="9"/>
        <color theme="1" tint="0.34998626667073579"/>
        <rFont val="Arial"/>
        <family val="2"/>
      </rPr>
      <t>alt</t>
    </r>
  </si>
  <si>
    <r>
      <t>Basic wind velocity, v</t>
    </r>
    <r>
      <rPr>
        <b/>
        <vertAlign val="subscript"/>
        <sz val="9"/>
        <color theme="1" tint="0.34998626667073579"/>
        <rFont val="Arial"/>
        <family val="2"/>
      </rPr>
      <t>b</t>
    </r>
  </si>
  <si>
    <r>
      <t>Roughness length, Z</t>
    </r>
    <r>
      <rPr>
        <b/>
        <vertAlign val="subscript"/>
        <sz val="9"/>
        <color theme="1" tint="0.34998626667073579"/>
        <rFont val="Arial"/>
        <family val="2"/>
      </rPr>
      <t>0 (m)</t>
    </r>
  </si>
  <si>
    <r>
      <t>Minimum height, Z</t>
    </r>
    <r>
      <rPr>
        <b/>
        <vertAlign val="subscript"/>
        <sz val="9"/>
        <color theme="1" tint="0.34998626667073579"/>
        <rFont val="Arial"/>
        <family val="2"/>
      </rPr>
      <t>min (m)</t>
    </r>
  </si>
  <si>
    <r>
      <t>Z</t>
    </r>
    <r>
      <rPr>
        <b/>
        <vertAlign val="subscript"/>
        <sz val="9"/>
        <color theme="1" tint="0.34998626667073579"/>
        <rFont val="Arial"/>
        <family val="2"/>
      </rPr>
      <t>011 (m)</t>
    </r>
  </si>
  <si>
    <r>
      <t>Terrain factor, K</t>
    </r>
    <r>
      <rPr>
        <b/>
        <vertAlign val="subscript"/>
        <sz val="9"/>
        <color theme="1" tint="0.34998626667073579"/>
        <rFont val="Arial"/>
        <family val="2"/>
      </rPr>
      <t>r</t>
    </r>
  </si>
  <si>
    <r>
      <t>Orography factor, C</t>
    </r>
    <r>
      <rPr>
        <b/>
        <vertAlign val="subscript"/>
        <sz val="9"/>
        <color theme="1" tint="0.34998626667073579"/>
        <rFont val="Arial"/>
        <family val="2"/>
      </rPr>
      <t>o</t>
    </r>
  </si>
  <si>
    <r>
      <t>Roughness factor, C</t>
    </r>
    <r>
      <rPr>
        <b/>
        <vertAlign val="subscript"/>
        <sz val="9"/>
        <color theme="1" tint="0.34998626667073579"/>
        <rFont val="Arial"/>
        <family val="2"/>
      </rPr>
      <t>r</t>
    </r>
  </si>
  <si>
    <t>Turbulence factor, K1</t>
  </si>
  <si>
    <t xml:space="preserve">Air density,ρ </t>
  </si>
  <si>
    <r>
      <t>Mean wind velocity,V</t>
    </r>
    <r>
      <rPr>
        <b/>
        <vertAlign val="subscript"/>
        <sz val="9"/>
        <color theme="1" tint="0.34998626667073579"/>
        <rFont val="Arial"/>
        <family val="2"/>
      </rPr>
      <t xml:space="preserve">m(Z) </t>
    </r>
  </si>
  <si>
    <r>
      <t>N/m</t>
    </r>
    <r>
      <rPr>
        <vertAlign val="superscript"/>
        <sz val="9"/>
        <color theme="1" tint="0.34998626667073579"/>
        <rFont val="Arial"/>
        <family val="2"/>
      </rPr>
      <t>2</t>
    </r>
  </si>
  <si>
    <r>
      <t>Basic velocity pressure, q</t>
    </r>
    <r>
      <rPr>
        <b/>
        <vertAlign val="subscript"/>
        <sz val="9"/>
        <color theme="1" tint="0.34998626667073579"/>
        <rFont val="Arial"/>
        <family val="2"/>
      </rPr>
      <t>b</t>
    </r>
  </si>
  <si>
    <t xml:space="preserve">Wind turbulence,Iv (Z) </t>
  </si>
  <si>
    <r>
      <t>Standard deviation of turbulence, σ</t>
    </r>
    <r>
      <rPr>
        <b/>
        <vertAlign val="subscript"/>
        <sz val="9"/>
        <color theme="1" tint="0.34998626667073579"/>
        <rFont val="Arial"/>
        <family val="2"/>
      </rPr>
      <t>v</t>
    </r>
  </si>
  <si>
    <r>
      <t>Peak velocity pressure,q</t>
    </r>
    <r>
      <rPr>
        <b/>
        <vertAlign val="subscript"/>
        <sz val="9"/>
        <color theme="1" tint="0.34998626667073579"/>
        <rFont val="Arial"/>
        <family val="2"/>
      </rPr>
      <t>p,z</t>
    </r>
  </si>
  <si>
    <t>h/b</t>
  </si>
  <si>
    <r>
      <t>c</t>
    </r>
    <r>
      <rPr>
        <b/>
        <vertAlign val="subscript"/>
        <sz val="9"/>
        <color theme="0"/>
        <rFont val="Arial"/>
        <family val="2"/>
      </rPr>
      <t>pe,10</t>
    </r>
    <r>
      <rPr>
        <b/>
        <sz val="9"/>
        <color theme="0"/>
        <rFont val="Arial"/>
        <family val="2"/>
      </rPr>
      <t xml:space="preserve"> x</t>
    </r>
  </si>
  <si>
    <r>
      <t>c</t>
    </r>
    <r>
      <rPr>
        <b/>
        <vertAlign val="subscript"/>
        <sz val="9"/>
        <color theme="0"/>
        <rFont val="Arial"/>
        <family val="2"/>
      </rPr>
      <t>pe,10</t>
    </r>
    <r>
      <rPr>
        <b/>
        <sz val="9"/>
        <color theme="0"/>
        <rFont val="Arial"/>
        <family val="2"/>
      </rPr>
      <t xml:space="preserve"> y</t>
    </r>
  </si>
  <si>
    <r>
      <t>c</t>
    </r>
    <r>
      <rPr>
        <b/>
        <vertAlign val="subscript"/>
        <sz val="9"/>
        <color theme="0"/>
        <rFont val="Arial"/>
        <family val="2"/>
      </rPr>
      <t>s</t>
    </r>
    <r>
      <rPr>
        <b/>
        <sz val="9"/>
        <color theme="0"/>
        <rFont val="Arial"/>
        <family val="2"/>
      </rPr>
      <t>c</t>
    </r>
    <r>
      <rPr>
        <b/>
        <vertAlign val="subscript"/>
        <sz val="9"/>
        <color theme="0"/>
        <rFont val="Arial"/>
        <family val="2"/>
      </rPr>
      <t>d</t>
    </r>
  </si>
  <si>
    <r>
      <t>F</t>
    </r>
    <r>
      <rPr>
        <b/>
        <vertAlign val="subscript"/>
        <sz val="9"/>
        <color theme="0"/>
        <rFont val="Arial"/>
        <family val="2"/>
      </rPr>
      <t>w,x</t>
    </r>
  </si>
  <si>
    <t>Fw,y</t>
  </si>
  <si>
    <r>
      <t>h</t>
    </r>
    <r>
      <rPr>
        <b/>
        <vertAlign val="subscript"/>
        <sz val="9"/>
        <color theme="0"/>
        <rFont val="Arial"/>
        <family val="2"/>
      </rPr>
      <t>dis</t>
    </r>
  </si>
  <si>
    <t>hdis</t>
  </si>
  <si>
    <r>
      <t>δ</t>
    </r>
    <r>
      <rPr>
        <b/>
        <vertAlign val="subscript"/>
        <sz val="9"/>
        <color theme="0"/>
        <rFont val="Arial"/>
        <family val="2"/>
      </rPr>
      <t>s</t>
    </r>
  </si>
  <si>
    <t>Overall building height</t>
  </si>
  <si>
    <t>Max wall spacing, x</t>
  </si>
  <si>
    <t>Shear wall spacing, x</t>
  </si>
  <si>
    <t>No. shear walls, x</t>
  </si>
  <si>
    <t>Shear wall length</t>
  </si>
  <si>
    <t>Shear wall thickness, t</t>
  </si>
  <si>
    <t>Columns removed (each wall)</t>
  </si>
  <si>
    <t>Ratio, wall to grid y</t>
  </si>
  <si>
    <t>No. shear walls &gt; internal columns?</t>
  </si>
  <si>
    <t>Internal column, Gk</t>
  </si>
  <si>
    <t>Internal column, Qk</t>
  </si>
  <si>
    <t>gk</t>
  </si>
  <si>
    <t>qk</t>
  </si>
  <si>
    <t>N</t>
  </si>
  <si>
    <r>
      <t>Min A</t>
    </r>
    <r>
      <rPr>
        <vertAlign val="subscript"/>
        <sz val="9"/>
        <color theme="0"/>
        <rFont val="Arial"/>
        <family val="2"/>
      </rPr>
      <t>s,v</t>
    </r>
  </si>
  <si>
    <r>
      <t>M</t>
    </r>
    <r>
      <rPr>
        <b/>
        <vertAlign val="subscript"/>
        <sz val="9"/>
        <color theme="0"/>
        <rFont val="Arial"/>
        <family val="2"/>
      </rPr>
      <t>Ed</t>
    </r>
  </si>
  <si>
    <r>
      <t>Max A</t>
    </r>
    <r>
      <rPr>
        <vertAlign val="subscript"/>
        <sz val="9"/>
        <color theme="0"/>
        <rFont val="Arial"/>
        <family val="2"/>
      </rPr>
      <t>s,v</t>
    </r>
  </si>
  <si>
    <r>
      <t>f</t>
    </r>
    <r>
      <rPr>
        <b/>
        <vertAlign val="subscript"/>
        <sz val="9"/>
        <color theme="0"/>
        <rFont val="Arial"/>
        <family val="2"/>
      </rPr>
      <t>t</t>
    </r>
  </si>
  <si>
    <t>As</t>
  </si>
  <si>
    <t>each face</t>
  </si>
  <si>
    <t>As,t</t>
  </si>
  <si>
    <t>Total concrete</t>
  </si>
  <si>
    <t>Total rebar</t>
  </si>
  <si>
    <t>Vertical component of wind couple</t>
  </si>
  <si>
    <t>Total load on wall</t>
  </si>
  <si>
    <t>Reference Internal Column Load</t>
  </si>
  <si>
    <t>No. piles / internal column</t>
  </si>
  <si>
    <t>Additional piles for walls</t>
  </si>
  <si>
    <t>Additional piles for wall</t>
  </si>
  <si>
    <t>Additional Pile Concrete Volume</t>
  </si>
  <si>
    <r>
      <t>m</t>
    </r>
    <r>
      <rPr>
        <sz val="9"/>
        <color theme="0"/>
        <rFont val="Calibri"/>
        <family val="2"/>
      </rPr>
      <t>³</t>
    </r>
  </si>
  <si>
    <t>Additional Pile Rebar</t>
  </si>
  <si>
    <t>tonnes</t>
  </si>
  <si>
    <t>Additional Pile Cap Concrete Volume</t>
  </si>
  <si>
    <t>Additional Pile Cap Rebar</t>
  </si>
  <si>
    <t>Max wall spacing, y</t>
  </si>
  <si>
    <t>Shear wall spacing, y</t>
  </si>
  <si>
    <t>No. shear walls, y</t>
  </si>
  <si>
    <t>Ratio, wall to grid x</t>
  </si>
  <si>
    <t>Additional Cap Pile Rebar</t>
  </si>
  <si>
    <t>Formwork Area</t>
  </si>
  <si>
    <t>Database</t>
  </si>
  <si>
    <t xml:space="preserve">This is a database of parameters for each of the 24 soil and rock types below. </t>
  </si>
  <si>
    <t>Rock or Soil Type</t>
  </si>
  <si>
    <t>Type of Material</t>
  </si>
  <si>
    <t xml:space="preserve">Unit Weight Saturated </t>
  </si>
  <si>
    <t xml:space="preserve">Unit Weight Dry </t>
  </si>
  <si>
    <t>Undrained Shear Strength</t>
  </si>
  <si>
    <r>
      <t>kN/m</t>
    </r>
    <r>
      <rPr>
        <b/>
        <vertAlign val="superscript"/>
        <sz val="11"/>
        <rFont val="Calibri"/>
        <family val="2"/>
        <scheme val="minor"/>
      </rPr>
      <t>3</t>
    </r>
  </si>
  <si>
    <r>
      <t>kN/m</t>
    </r>
    <r>
      <rPr>
        <b/>
        <vertAlign val="superscript"/>
        <sz val="11"/>
        <rFont val="Calibri"/>
        <family val="2"/>
        <scheme val="minor"/>
      </rPr>
      <t>2</t>
    </r>
  </si>
  <si>
    <t>Very Soft Clay</t>
  </si>
  <si>
    <t>Soft Clay</t>
  </si>
  <si>
    <t>Stiff Clay</t>
  </si>
  <si>
    <t>Hard Clay</t>
  </si>
  <si>
    <t>Silt</t>
  </si>
  <si>
    <t>Loose Sand/Gravel</t>
  </si>
  <si>
    <t>Low Density Chalk</t>
  </si>
  <si>
    <t>Chalk</t>
  </si>
  <si>
    <t>Medium Density Chalk</t>
  </si>
  <si>
    <t>High Density Chalk</t>
  </si>
  <si>
    <t>Extremely Weak Rock</t>
  </si>
  <si>
    <t>Rock</t>
  </si>
  <si>
    <t>Very Weak Rock</t>
  </si>
  <si>
    <t>Weak Rock</t>
  </si>
  <si>
    <t>Medium Strong Rock</t>
  </si>
  <si>
    <t>Strong Rock</t>
  </si>
  <si>
    <t>Very Strong Rock</t>
  </si>
  <si>
    <t>Extremely Strong Rock</t>
  </si>
  <si>
    <t>Thickness List</t>
  </si>
  <si>
    <t>Long List</t>
  </si>
  <si>
    <t>Short List</t>
  </si>
  <si>
    <t>Additional Data and Eurocode Factors</t>
  </si>
  <si>
    <t>Eurocode Partial Factors for Pile Parameters (DA1 - 2)</t>
  </si>
  <si>
    <t>Partial Factors from: BS EN 1997-1:2004 Table A.NA.4</t>
  </si>
  <si>
    <t>Factor Type</t>
  </si>
  <si>
    <t>For Pile Shaft</t>
  </si>
  <si>
    <t>Angle of shearing resistance</t>
  </si>
  <si>
    <t>Ks Values for Interpolation, do not delete</t>
  </si>
  <si>
    <t>Effective Cohesion (Currently not used in this spreadsheet)</t>
  </si>
  <si>
    <t>q2/q1</t>
  </si>
  <si>
    <t>Phi</t>
  </si>
  <si>
    <t>Ks</t>
  </si>
  <si>
    <t>Unconfined Strength</t>
  </si>
  <si>
    <t>Eurocode Partial Factors for Pile Shafts and Bases (DA1-2)</t>
  </si>
  <si>
    <t>CFA/Bored Piles Partial Factors: R4 (without explicit verification of SLS)</t>
  </si>
  <si>
    <t>For Pile Base</t>
  </si>
  <si>
    <t>Model Factor (no load test)</t>
  </si>
  <si>
    <t>Partial Resistance Factor (no load test)</t>
  </si>
  <si>
    <t>Driven Piles Partial Factors: R4 (without explicit verification of SLS)</t>
  </si>
  <si>
    <r>
      <t>Suggested values of K</t>
    </r>
    <r>
      <rPr>
        <b/>
        <vertAlign val="subscript"/>
        <sz val="11"/>
        <color theme="1"/>
        <rFont val="Arial"/>
        <family val="2"/>
      </rPr>
      <t>δ</t>
    </r>
    <r>
      <rPr>
        <b/>
        <sz val="11"/>
        <color theme="1"/>
        <rFont val="Arial"/>
        <family val="2"/>
      </rPr>
      <t xml:space="preserve"> and K</t>
    </r>
    <r>
      <rPr>
        <b/>
        <vertAlign val="subscript"/>
        <sz val="11"/>
        <color theme="1"/>
        <rFont val="Arial"/>
        <family val="2"/>
      </rPr>
      <t>s</t>
    </r>
    <r>
      <rPr>
        <b/>
        <sz val="11"/>
        <color theme="1"/>
        <rFont val="Arial"/>
        <family val="2"/>
      </rPr>
      <t xml:space="preserve"> for piles installed in coarse soils</t>
    </r>
  </si>
  <si>
    <t>Pile Type</t>
  </si>
  <si>
    <t>Soil Type</t>
  </si>
  <si>
    <r>
      <t>K</t>
    </r>
    <r>
      <rPr>
        <b/>
        <vertAlign val="subscript"/>
        <sz val="11"/>
        <color theme="1"/>
        <rFont val="Arial"/>
        <family val="2"/>
      </rPr>
      <t>δ</t>
    </r>
  </si>
  <si>
    <r>
      <t>K</t>
    </r>
    <r>
      <rPr>
        <b/>
        <vertAlign val="subscript"/>
        <sz val="11"/>
        <color theme="1"/>
        <rFont val="Arial"/>
        <family val="2"/>
      </rPr>
      <t>S</t>
    </r>
  </si>
  <si>
    <t>Conitinuous Flight Auger (CFA)</t>
  </si>
  <si>
    <t>Sand</t>
  </si>
  <si>
    <t>Driven Precast Concrete (solid)</t>
  </si>
  <si>
    <t>Reference: BS 8004:2015 Page 52 and 53 Tables 8 &amp; 9</t>
  </si>
  <si>
    <r>
      <t xml:space="preserve">Structural Capacity of each Diameter Pile - </t>
    </r>
    <r>
      <rPr>
        <b/>
        <sz val="11"/>
        <color rgb="FFFF0000"/>
        <rFont val="Arial"/>
        <family val="2"/>
      </rPr>
      <t>Presumed Eurocode Standards By Structures Team</t>
    </r>
  </si>
  <si>
    <t>Pile Dia.</t>
  </si>
  <si>
    <r>
      <t>d</t>
    </r>
    <r>
      <rPr>
        <b/>
        <vertAlign val="subscript"/>
        <sz val="9"/>
        <color theme="1"/>
        <rFont val="Arial"/>
        <family val="2"/>
      </rPr>
      <t>nom</t>
    </r>
  </si>
  <si>
    <r>
      <t>N</t>
    </r>
    <r>
      <rPr>
        <b/>
        <vertAlign val="subscript"/>
        <sz val="9"/>
        <color theme="1"/>
        <rFont val="Arial"/>
        <family val="2"/>
      </rPr>
      <t>R,d</t>
    </r>
  </si>
  <si>
    <t>Concrete Types with associated Cylinder Strengths</t>
  </si>
  <si>
    <t>Concrete Type</t>
  </si>
  <si>
    <t>Cylindrical Strength (kPa)</t>
  </si>
  <si>
    <t>C20/25</t>
  </si>
  <si>
    <t>C25/30</t>
  </si>
  <si>
    <t>C28/35</t>
  </si>
  <si>
    <t>C35/45</t>
  </si>
  <si>
    <t>C40/50</t>
  </si>
  <si>
    <t>Lightweight C40</t>
  </si>
  <si>
    <t>The design approach adopted by NA to BS EN 1997-1 is Approach 1</t>
  </si>
  <si>
    <t>Action</t>
  </si>
  <si>
    <t>Resistance</t>
  </si>
  <si>
    <t>Combination 1</t>
  </si>
  <si>
    <t>Set A1</t>
  </si>
  <si>
    <t>Set M1</t>
  </si>
  <si>
    <t>Set R1</t>
  </si>
  <si>
    <t>Combination 2</t>
  </si>
  <si>
    <t>Set A2</t>
  </si>
  <si>
    <t>Set M2</t>
  </si>
  <si>
    <r>
      <t>A.3.1 Partial factors on actions (</t>
    </r>
    <r>
      <rPr>
        <b/>
        <sz val="10"/>
        <color indexed="56"/>
        <rFont val="Arial"/>
        <family val="2"/>
      </rPr>
      <t>g</t>
    </r>
    <r>
      <rPr>
        <b/>
        <vertAlign val="subscript"/>
        <sz val="10"/>
        <color indexed="56"/>
        <rFont val="Arial"/>
        <family val="2"/>
      </rPr>
      <t>F</t>
    </r>
    <r>
      <rPr>
        <b/>
        <sz val="10"/>
        <color indexed="56"/>
        <rFont val="Arial"/>
        <family val="2"/>
      </rPr>
      <t>) or the effects of actions (g</t>
    </r>
    <r>
      <rPr>
        <b/>
        <vertAlign val="subscript"/>
        <sz val="10"/>
        <color indexed="56"/>
        <rFont val="Arial"/>
        <family val="2"/>
      </rPr>
      <t>E</t>
    </r>
    <r>
      <rPr>
        <b/>
        <sz val="10"/>
        <color indexed="56"/>
        <rFont val="Arial"/>
        <family val="2"/>
      </rPr>
      <t>)</t>
    </r>
  </si>
  <si>
    <t>Tables NA.A1.2(B) in the NA to BS EN 1990:2002 - Design values of actions (STR/GEO) (Set B)</t>
  </si>
  <si>
    <t>Tables NA.A1.2(C)in the NA to BS EN 1990:2002 - Design values of actions (STR/GEO) (Set C)</t>
  </si>
  <si>
    <t>Permanent</t>
  </si>
  <si>
    <r>
      <t>g</t>
    </r>
    <r>
      <rPr>
        <vertAlign val="subscript"/>
        <sz val="10"/>
        <rFont val="Arial"/>
        <family val="2"/>
      </rPr>
      <t>G(unfav)</t>
    </r>
  </si>
  <si>
    <t>unfav</t>
  </si>
  <si>
    <r>
      <t>g</t>
    </r>
    <r>
      <rPr>
        <vertAlign val="subscript"/>
        <sz val="10"/>
        <rFont val="Arial"/>
        <family val="2"/>
      </rPr>
      <t>G(fav)</t>
    </r>
  </si>
  <si>
    <t>fav</t>
  </si>
  <si>
    <t>Variable</t>
  </si>
  <si>
    <r>
      <t>g</t>
    </r>
    <r>
      <rPr>
        <vertAlign val="subscript"/>
        <sz val="10"/>
        <rFont val="Arial"/>
        <family val="2"/>
      </rPr>
      <t>Q(unfav)</t>
    </r>
  </si>
  <si>
    <r>
      <t>g</t>
    </r>
    <r>
      <rPr>
        <vertAlign val="subscript"/>
        <sz val="10"/>
        <rFont val="Arial"/>
        <family val="2"/>
      </rPr>
      <t>Q(fav)</t>
    </r>
  </si>
  <si>
    <r>
      <t>A.3.2 Partial factors for soil parameters (</t>
    </r>
    <r>
      <rPr>
        <b/>
        <sz val="10"/>
        <color indexed="56"/>
        <rFont val="Arial"/>
        <family val="2"/>
      </rPr>
      <t>g</t>
    </r>
    <r>
      <rPr>
        <b/>
        <vertAlign val="subscript"/>
        <sz val="10"/>
        <color indexed="56"/>
        <rFont val="Arial"/>
        <family val="2"/>
      </rPr>
      <t>M</t>
    </r>
    <r>
      <rPr>
        <b/>
        <sz val="10"/>
        <color indexed="56"/>
        <rFont val="Arial"/>
        <family val="2"/>
      </rPr>
      <t>)</t>
    </r>
  </si>
  <si>
    <r>
      <t>Table A.NA.4 - Partial factors for soil parameters (g</t>
    </r>
    <r>
      <rPr>
        <vertAlign val="subscript"/>
        <sz val="10"/>
        <rFont val="Arial"/>
        <family val="2"/>
      </rPr>
      <t>M</t>
    </r>
    <r>
      <rPr>
        <sz val="10"/>
        <rFont val="Arial"/>
        <family val="2"/>
      </rPr>
      <t>) for the STR and GEO limit states</t>
    </r>
  </si>
  <si>
    <r>
      <t>g</t>
    </r>
    <r>
      <rPr>
        <vertAlign val="subscript"/>
        <sz val="10"/>
        <rFont val="Arial"/>
        <family val="2"/>
      </rPr>
      <t>f'</t>
    </r>
  </si>
  <si>
    <t>Effective cohesion</t>
  </si>
  <si>
    <r>
      <t>g</t>
    </r>
    <r>
      <rPr>
        <vertAlign val="subscript"/>
        <sz val="10"/>
        <rFont val="Arial"/>
        <family val="2"/>
      </rPr>
      <t>c'</t>
    </r>
  </si>
  <si>
    <t>Undrained shear strength</t>
  </si>
  <si>
    <r>
      <t>g</t>
    </r>
    <r>
      <rPr>
        <vertAlign val="subscript"/>
        <sz val="10"/>
        <rFont val="Arial"/>
        <family val="2"/>
      </rPr>
      <t>cu</t>
    </r>
  </si>
  <si>
    <t>Unconfined strength</t>
  </si>
  <si>
    <r>
      <t>g</t>
    </r>
    <r>
      <rPr>
        <vertAlign val="subscript"/>
        <sz val="10"/>
        <rFont val="Arial"/>
        <family val="2"/>
      </rPr>
      <t>qu</t>
    </r>
  </si>
  <si>
    <t>Density</t>
  </si>
  <si>
    <r>
      <t>g</t>
    </r>
    <r>
      <rPr>
        <vertAlign val="subscript"/>
        <sz val="10"/>
        <rFont val="Arial"/>
        <family val="2"/>
      </rPr>
      <t>g</t>
    </r>
  </si>
  <si>
    <r>
      <t>A.3.3.1 Partial resistance factors (</t>
    </r>
    <r>
      <rPr>
        <b/>
        <sz val="10"/>
        <color indexed="56"/>
        <rFont val="Arial"/>
        <family val="2"/>
      </rPr>
      <t>g</t>
    </r>
    <r>
      <rPr>
        <b/>
        <vertAlign val="subscript"/>
        <sz val="10"/>
        <color indexed="56"/>
        <rFont val="Arial"/>
        <family val="2"/>
      </rPr>
      <t>r</t>
    </r>
    <r>
      <rPr>
        <b/>
        <sz val="10"/>
        <color indexed="56"/>
        <rFont val="Arial"/>
        <family val="2"/>
      </rPr>
      <t>) for spread foundations</t>
    </r>
  </si>
  <si>
    <t>Table A.NA.5 - Partial resistance factors for spread footings for the STR and GEO limit states</t>
  </si>
  <si>
    <t>Set R2</t>
  </si>
  <si>
    <t>Set R3</t>
  </si>
  <si>
    <t>Bearing Capacity</t>
  </si>
  <si>
    <r>
      <t>g</t>
    </r>
    <r>
      <rPr>
        <vertAlign val="subscript"/>
        <sz val="10"/>
        <rFont val="Arial"/>
        <family val="2"/>
      </rPr>
      <t>R;v</t>
    </r>
  </si>
  <si>
    <t>Sliding Resistance</t>
  </si>
  <si>
    <r>
      <t>g</t>
    </r>
    <r>
      <rPr>
        <vertAlign val="subscript"/>
        <sz val="10"/>
        <rFont val="Arial"/>
        <family val="2"/>
      </rPr>
      <t>R;h</t>
    </r>
  </si>
  <si>
    <t>References</t>
  </si>
  <si>
    <t>Ground Model</t>
  </si>
  <si>
    <t>Pile Foundations</t>
  </si>
  <si>
    <t>BS5930</t>
  </si>
  <si>
    <t>Shallow Foundations</t>
  </si>
  <si>
    <t>Don't consider depth of foundation / overburden</t>
  </si>
  <si>
    <t>Clay</t>
  </si>
  <si>
    <t>To Annex D.3.1 BS EN 1997-1:2004</t>
  </si>
  <si>
    <t>To Annex D.4.1 BS EN 1997-1:2004</t>
  </si>
  <si>
    <t>OR (but not used)</t>
  </si>
  <si>
    <t>R / A' =</t>
  </si>
  <si>
    <r>
      <t>(</t>
    </r>
    <r>
      <rPr>
        <b/>
        <sz val="8.5"/>
        <color indexed="8"/>
        <rFont val="Symbol"/>
        <family val="1"/>
        <charset val="2"/>
      </rPr>
      <t xml:space="preserve">p </t>
    </r>
    <r>
      <rPr>
        <b/>
        <sz val="8.5"/>
        <color indexed="8"/>
        <rFont val="Arial"/>
        <family val="2"/>
      </rPr>
      <t xml:space="preserve">+ 2) </t>
    </r>
    <r>
      <rPr>
        <b/>
        <sz val="10"/>
        <color indexed="8"/>
        <rFont val="Arial"/>
        <family val="2"/>
      </rPr>
      <t>C</t>
    </r>
    <r>
      <rPr>
        <b/>
        <vertAlign val="subscript"/>
        <sz val="10"/>
        <color indexed="8"/>
        <rFont val="Arial"/>
        <family val="2"/>
      </rPr>
      <t>u</t>
    </r>
    <r>
      <rPr>
        <b/>
        <sz val="10"/>
        <color indexed="8"/>
        <rFont val="Arial"/>
        <family val="2"/>
      </rPr>
      <t xml:space="preserve"> s</t>
    </r>
    <r>
      <rPr>
        <b/>
        <vertAlign val="subscript"/>
        <sz val="10"/>
        <color indexed="8"/>
        <rFont val="Arial"/>
        <family val="2"/>
      </rPr>
      <t>c</t>
    </r>
    <r>
      <rPr>
        <b/>
        <sz val="10"/>
        <color indexed="8"/>
        <rFont val="Arial"/>
        <family val="2"/>
      </rPr>
      <t xml:space="preserve"> b</t>
    </r>
    <r>
      <rPr>
        <b/>
        <vertAlign val="subscript"/>
        <sz val="10"/>
        <color indexed="8"/>
        <rFont val="Arial"/>
        <family val="2"/>
      </rPr>
      <t>c</t>
    </r>
    <r>
      <rPr>
        <b/>
        <sz val="10"/>
        <color indexed="8"/>
        <rFont val="Arial"/>
        <family val="2"/>
      </rPr>
      <t xml:space="preserve"> i</t>
    </r>
    <r>
      <rPr>
        <b/>
        <vertAlign val="subscript"/>
        <sz val="10"/>
        <color indexed="8"/>
        <rFont val="Arial"/>
        <family val="2"/>
      </rPr>
      <t>c</t>
    </r>
    <r>
      <rPr>
        <b/>
        <sz val="10"/>
        <color theme="1"/>
        <rFont val="Arial"/>
        <family val="2"/>
      </rPr>
      <t xml:space="preserve"> + q</t>
    </r>
  </si>
  <si>
    <r>
      <t>c' N</t>
    </r>
    <r>
      <rPr>
        <b/>
        <vertAlign val="subscript"/>
        <sz val="10"/>
        <color indexed="8"/>
        <rFont val="Arial"/>
        <family val="2"/>
      </rPr>
      <t>c</t>
    </r>
    <r>
      <rPr>
        <b/>
        <sz val="10"/>
        <color indexed="8"/>
        <rFont val="Arial"/>
        <family val="2"/>
      </rPr>
      <t xml:space="preserve"> s</t>
    </r>
    <r>
      <rPr>
        <b/>
        <vertAlign val="subscript"/>
        <sz val="10"/>
        <color indexed="8"/>
        <rFont val="Arial"/>
        <family val="2"/>
      </rPr>
      <t>c</t>
    </r>
    <r>
      <rPr>
        <b/>
        <sz val="10"/>
        <color indexed="8"/>
        <rFont val="Arial"/>
        <family val="2"/>
      </rPr>
      <t xml:space="preserve"> b</t>
    </r>
    <r>
      <rPr>
        <b/>
        <vertAlign val="subscript"/>
        <sz val="10"/>
        <color indexed="8"/>
        <rFont val="Arial"/>
        <family val="2"/>
      </rPr>
      <t>c</t>
    </r>
    <r>
      <rPr>
        <b/>
        <sz val="10"/>
        <color indexed="8"/>
        <rFont val="Arial"/>
        <family val="2"/>
      </rPr>
      <t xml:space="preserve"> i</t>
    </r>
    <r>
      <rPr>
        <b/>
        <vertAlign val="subscript"/>
        <sz val="10"/>
        <color indexed="8"/>
        <rFont val="Arial"/>
        <family val="2"/>
      </rPr>
      <t>c</t>
    </r>
  </si>
  <si>
    <t>+</t>
  </si>
  <si>
    <r>
      <t>q' N</t>
    </r>
    <r>
      <rPr>
        <b/>
        <vertAlign val="subscript"/>
        <sz val="10"/>
        <color indexed="8"/>
        <rFont val="Arial"/>
        <family val="2"/>
      </rPr>
      <t>q</t>
    </r>
    <r>
      <rPr>
        <b/>
        <sz val="10"/>
        <color indexed="8"/>
        <rFont val="Arial"/>
        <family val="2"/>
      </rPr>
      <t xml:space="preserve"> s</t>
    </r>
    <r>
      <rPr>
        <b/>
        <vertAlign val="subscript"/>
        <sz val="10"/>
        <color indexed="8"/>
        <rFont val="Arial"/>
        <family val="2"/>
      </rPr>
      <t>q</t>
    </r>
    <r>
      <rPr>
        <b/>
        <sz val="10"/>
        <color indexed="8"/>
        <rFont val="Arial"/>
        <family val="2"/>
      </rPr>
      <t xml:space="preserve"> b</t>
    </r>
    <r>
      <rPr>
        <b/>
        <vertAlign val="subscript"/>
        <sz val="10"/>
        <color indexed="8"/>
        <rFont val="Arial"/>
        <family val="2"/>
      </rPr>
      <t>q</t>
    </r>
    <r>
      <rPr>
        <b/>
        <sz val="10"/>
        <color indexed="8"/>
        <rFont val="Arial"/>
        <family val="2"/>
      </rPr>
      <t xml:space="preserve"> i</t>
    </r>
    <r>
      <rPr>
        <b/>
        <vertAlign val="subscript"/>
        <sz val="10"/>
        <color indexed="8"/>
        <rFont val="Arial"/>
        <family val="2"/>
      </rPr>
      <t>q</t>
    </r>
  </si>
  <si>
    <r>
      <t xml:space="preserve">0.5 </t>
    </r>
    <r>
      <rPr>
        <b/>
        <sz val="10"/>
        <color indexed="8"/>
        <rFont val="Symbol"/>
        <family val="1"/>
        <charset val="2"/>
      </rPr>
      <t>g</t>
    </r>
    <r>
      <rPr>
        <b/>
        <sz val="10"/>
        <color indexed="8"/>
        <rFont val="Arial"/>
        <family val="2"/>
      </rPr>
      <t>' B N</t>
    </r>
    <r>
      <rPr>
        <b/>
        <sz val="10"/>
        <color indexed="8"/>
        <rFont val="Symbol"/>
        <family val="1"/>
        <charset val="2"/>
      </rPr>
      <t>g</t>
    </r>
    <r>
      <rPr>
        <b/>
        <sz val="10"/>
        <color indexed="8"/>
        <rFont val="Arial"/>
        <family val="2"/>
      </rPr>
      <t xml:space="preserve"> s</t>
    </r>
    <r>
      <rPr>
        <b/>
        <sz val="10"/>
        <color indexed="8"/>
        <rFont val="Symbol"/>
        <family val="1"/>
        <charset val="2"/>
      </rPr>
      <t>g</t>
    </r>
    <r>
      <rPr>
        <b/>
        <sz val="10"/>
        <color indexed="8"/>
        <rFont val="Arial"/>
        <family val="2"/>
      </rPr>
      <t xml:space="preserve"> b</t>
    </r>
    <r>
      <rPr>
        <b/>
        <sz val="10"/>
        <color indexed="8"/>
        <rFont val="Symbol"/>
        <family val="1"/>
        <charset val="2"/>
      </rPr>
      <t>g</t>
    </r>
    <r>
      <rPr>
        <b/>
        <sz val="10"/>
        <color indexed="8"/>
        <rFont val="Arial"/>
        <family val="2"/>
      </rPr>
      <t xml:space="preserve"> i</t>
    </r>
    <r>
      <rPr>
        <b/>
        <sz val="10"/>
        <color indexed="8"/>
        <rFont val="Symbol"/>
        <family val="1"/>
        <charset val="2"/>
      </rPr>
      <t>g</t>
    </r>
  </si>
  <si>
    <t>Ref: BS 8004:2015</t>
  </si>
  <si>
    <t>phi', c', gamma, B, L</t>
  </si>
  <si>
    <t>Cu, B, L</t>
  </si>
  <si>
    <t xml:space="preserve">alpha = </t>
  </si>
  <si>
    <t>0 (no inclination)</t>
  </si>
  <si>
    <t xml:space="preserve">so </t>
  </si>
  <si>
    <t>bq = bgamma = 1 = bc</t>
  </si>
  <si>
    <t xml:space="preserve">bc = </t>
  </si>
  <si>
    <t>1 (no inclination)</t>
  </si>
  <si>
    <t xml:space="preserve">q' = </t>
  </si>
  <si>
    <t xml:space="preserve">sc = </t>
  </si>
  <si>
    <t>1 + 0.2*(B / L)</t>
  </si>
  <si>
    <t>B / L = 1, so sc = 1.2</t>
  </si>
  <si>
    <t>igamma = iq = ic = 1</t>
  </si>
  <si>
    <t>(no H load)</t>
  </si>
  <si>
    <t>Formula for N gamma not used, assuming foundation has a rough base so use formula from Eurocode</t>
  </si>
  <si>
    <t xml:space="preserve">ic = </t>
  </si>
  <si>
    <t>1 (no H load)</t>
  </si>
  <si>
    <t xml:space="preserve">Generally there is no consensus for N gamma (Bond  &amp; Harris (2008) 'Decoding Eurocode 7'). </t>
  </si>
  <si>
    <t xml:space="preserve">q = </t>
  </si>
  <si>
    <t>0 (no overburden)</t>
  </si>
  <si>
    <t>Reduced Design Bearing Resistance Equation in this spreadsheet (DA1-C1)</t>
  </si>
  <si>
    <t xml:space="preserve">Formulas for shape factors not used. Tan(phi) approx = sin(phi) for small phi. Use Eurocode instead. </t>
  </si>
  <si>
    <t>R/A' =</t>
  </si>
  <si>
    <t>c' * Nc * sc + 0.5 * gamma' * B * Ngamma * sgamma</t>
  </si>
  <si>
    <t>This standard also uses:</t>
  </si>
  <si>
    <t>ground inclination factors (= 1 because no ground inclination)</t>
  </si>
  <si>
    <r>
      <t>(</t>
    </r>
    <r>
      <rPr>
        <b/>
        <sz val="8.5"/>
        <color indexed="8"/>
        <rFont val="Symbol"/>
        <family val="1"/>
        <charset val="2"/>
      </rPr>
      <t xml:space="preserve">p </t>
    </r>
    <r>
      <rPr>
        <b/>
        <sz val="8.5"/>
        <color indexed="8"/>
        <rFont val="Arial"/>
        <family val="2"/>
      </rPr>
      <t xml:space="preserve">+ 2) </t>
    </r>
    <r>
      <rPr>
        <b/>
        <sz val="10"/>
        <color indexed="8"/>
        <rFont val="Arial"/>
        <family val="2"/>
      </rPr>
      <t>C</t>
    </r>
    <r>
      <rPr>
        <b/>
        <vertAlign val="subscript"/>
        <sz val="10"/>
        <color indexed="8"/>
        <rFont val="Arial"/>
        <family val="2"/>
      </rPr>
      <t>u</t>
    </r>
    <r>
      <rPr>
        <b/>
        <sz val="10"/>
        <color indexed="8"/>
        <rFont val="Arial"/>
        <family val="2"/>
      </rPr>
      <t xml:space="preserve"> s</t>
    </r>
    <r>
      <rPr>
        <b/>
        <vertAlign val="subscript"/>
        <sz val="10"/>
        <color indexed="8"/>
        <rFont val="Arial"/>
        <family val="2"/>
      </rPr>
      <t>c</t>
    </r>
    <r>
      <rPr>
        <b/>
        <sz val="10"/>
        <color indexed="8"/>
        <rFont val="Arial"/>
        <family val="2"/>
      </rPr>
      <t xml:space="preserve"> </t>
    </r>
  </si>
  <si>
    <t>depth factors (= 1 because no embedment)</t>
  </si>
  <si>
    <t>=</t>
  </si>
  <si>
    <r>
      <t>(</t>
    </r>
    <r>
      <rPr>
        <b/>
        <sz val="8.5"/>
        <color indexed="8"/>
        <rFont val="Symbol"/>
        <family val="1"/>
        <charset val="2"/>
      </rPr>
      <t xml:space="preserve">p </t>
    </r>
    <r>
      <rPr>
        <b/>
        <sz val="8.5"/>
        <color indexed="8"/>
        <rFont val="Arial"/>
        <family val="2"/>
      </rPr>
      <t xml:space="preserve">+ 2) * </t>
    </r>
    <r>
      <rPr>
        <b/>
        <sz val="10"/>
        <color indexed="8"/>
        <rFont val="Arial"/>
        <family val="2"/>
      </rPr>
      <t>C</t>
    </r>
    <r>
      <rPr>
        <b/>
        <vertAlign val="subscript"/>
        <sz val="10"/>
        <color indexed="8"/>
        <rFont val="Arial"/>
        <family val="2"/>
      </rPr>
      <t>u</t>
    </r>
    <r>
      <rPr>
        <b/>
        <sz val="10"/>
        <color indexed="8"/>
        <rFont val="Arial"/>
        <family val="2"/>
      </rPr>
      <t xml:space="preserve"> * 1.2</t>
    </r>
  </si>
  <si>
    <t>rigidity factors (not used in this spreadsheet, not mentioned in Eurocode)</t>
  </si>
  <si>
    <t>Reduced Design Bearing Resistance Equation in this spreadsheet (DA1-C2)</t>
  </si>
  <si>
    <r>
      <t>(</t>
    </r>
    <r>
      <rPr>
        <b/>
        <sz val="8.5"/>
        <color indexed="8"/>
        <rFont val="Symbol"/>
        <family val="1"/>
        <charset val="2"/>
      </rPr>
      <t xml:space="preserve">p </t>
    </r>
    <r>
      <rPr>
        <b/>
        <sz val="8.5"/>
        <color indexed="8"/>
        <rFont val="Arial"/>
        <family val="2"/>
      </rPr>
      <t xml:space="preserve">+ 2) </t>
    </r>
    <r>
      <rPr>
        <b/>
        <sz val="10"/>
        <color indexed="8"/>
        <rFont val="Arial"/>
        <family val="2"/>
      </rPr>
      <t>C</t>
    </r>
    <r>
      <rPr>
        <b/>
        <vertAlign val="subscript"/>
        <sz val="10"/>
        <color indexed="8"/>
        <rFont val="Arial"/>
        <family val="2"/>
      </rPr>
      <t>u</t>
    </r>
    <r>
      <rPr>
        <b/>
        <sz val="10"/>
        <color indexed="8"/>
        <rFont val="Arial"/>
        <family val="2"/>
      </rPr>
      <t xml:space="preserve"> s</t>
    </r>
    <r>
      <rPr>
        <b/>
        <vertAlign val="subscript"/>
        <sz val="10"/>
        <color indexed="8"/>
        <rFont val="Arial"/>
        <family val="2"/>
      </rPr>
      <t>c</t>
    </r>
    <r>
      <rPr>
        <b/>
        <sz val="10"/>
        <color indexed="8"/>
        <rFont val="Arial"/>
        <family val="2"/>
      </rPr>
      <t xml:space="preserve"> </t>
    </r>
    <r>
      <rPr>
        <b/>
        <sz val="10"/>
        <color theme="1"/>
        <rFont val="Arial"/>
        <family val="2"/>
      </rPr>
      <t>/ gamma cu</t>
    </r>
  </si>
  <si>
    <t>sq = 1 + sin(phi')(B/L) = 1 + sin(phi')</t>
  </si>
  <si>
    <t>Assuming foundation has a rough base</t>
  </si>
  <si>
    <r>
      <t>(</t>
    </r>
    <r>
      <rPr>
        <b/>
        <sz val="8.5"/>
        <color indexed="8"/>
        <rFont val="Symbol"/>
        <family val="1"/>
        <charset val="2"/>
      </rPr>
      <t xml:space="preserve">p </t>
    </r>
    <r>
      <rPr>
        <b/>
        <sz val="8.5"/>
        <color indexed="8"/>
        <rFont val="Arial"/>
        <family val="2"/>
      </rPr>
      <t xml:space="preserve">+ 2) * </t>
    </r>
    <r>
      <rPr>
        <b/>
        <sz val="10"/>
        <color indexed="8"/>
        <rFont val="Arial"/>
        <family val="2"/>
      </rPr>
      <t>C</t>
    </r>
    <r>
      <rPr>
        <b/>
        <vertAlign val="subscript"/>
        <sz val="10"/>
        <color indexed="8"/>
        <rFont val="Arial"/>
        <family val="2"/>
      </rPr>
      <t>u</t>
    </r>
    <r>
      <rPr>
        <b/>
        <sz val="10"/>
        <color indexed="8"/>
        <rFont val="Arial"/>
        <family val="2"/>
      </rPr>
      <t xml:space="preserve"> * 1.2 </t>
    </r>
    <r>
      <rPr>
        <b/>
        <sz val="10"/>
        <color theme="1"/>
        <rFont val="Arial"/>
        <family val="2"/>
      </rPr>
      <t>/ 1.4</t>
    </r>
  </si>
  <si>
    <t>sc = (sq*Nq - 1) / (Nq - 1)</t>
  </si>
  <si>
    <t>sgamma = 1 - 0.3(B'/L') = 0.7</t>
  </si>
  <si>
    <t>SLS check</t>
  </si>
  <si>
    <t>to work out the value of gamma'</t>
  </si>
  <si>
    <t>Check not carried out as part of this high-level design</t>
  </si>
  <si>
    <t>if GW level =&lt; 0 (no embedment), gamma' = gamma (sat) - 10</t>
  </si>
  <si>
    <t>if GW level =&lt; 2B, gamma' = (gamma*GW level) + (gamma - 10)*(2B - GW level))/(2B)</t>
  </si>
  <si>
    <t>if GW level &gt;= 2B, gamma' = gamma</t>
  </si>
  <si>
    <t xml:space="preserve">Not developed. </t>
  </si>
  <si>
    <t>C574</t>
  </si>
  <si>
    <t>Replace phi' with tan-1(tan(phi' / gamma phi')) and c' with c' / gamma c'</t>
  </si>
  <si>
    <t>Type of chalk</t>
  </si>
  <si>
    <t>qy (kN/m2) allowable</t>
  </si>
  <si>
    <t>qy (kN/m2) allowable (based on test data)</t>
  </si>
  <si>
    <t>Limits on shaft/base stress:</t>
  </si>
  <si>
    <t>Low density / loose / weak chalk</t>
  </si>
  <si>
    <t>Grades B, C (and Dc)</t>
  </si>
  <si>
    <t>240-500 (225-500)</t>
  </si>
  <si>
    <t>Medium density chalk</t>
  </si>
  <si>
    <t>Grades B and C</t>
  </si>
  <si>
    <t>300-500</t>
  </si>
  <si>
    <t>Limit for base stress for cohesive materials:</t>
  </si>
  <si>
    <t>Limit for base stress for granular materials:</t>
  </si>
  <si>
    <t>Limit for base stress for chalk:</t>
  </si>
  <si>
    <t>Dense / hard chalk</t>
  </si>
  <si>
    <t>Grades B and C (and A)</t>
  </si>
  <si>
    <t>300-500 (could be as high as 1600-2400)</t>
  </si>
  <si>
    <t>No info found</t>
  </si>
  <si>
    <t>P179 Tomlinson - no piling method specified</t>
  </si>
  <si>
    <t>P201 Tomlinson</t>
  </si>
  <si>
    <t xml:space="preserve">The design of shallow foundations in chalk, as for most shallow foundations, is settlement dependent. </t>
  </si>
  <si>
    <t>Limit for shaft stress for cohesive materials:</t>
  </si>
  <si>
    <t>P161 Tomlinson - for bored piles</t>
  </si>
  <si>
    <t>Two layered system</t>
  </si>
  <si>
    <t>Ca term is zero as c1= 0 (for sand)</t>
  </si>
  <si>
    <t>Limit = 700kN/m2 low density chalk, 1000kN/m2 medium density chalk, 1400kN/m2 high density chalk</t>
  </si>
  <si>
    <t>D=0</t>
  </si>
  <si>
    <t>H = thickness of sand</t>
  </si>
  <si>
    <t>Limit for shaft stress for chalk:</t>
  </si>
  <si>
    <t>B = width of foundation</t>
  </si>
  <si>
    <t>P245 C574</t>
  </si>
  <si>
    <t>need to draw on the properties for both the sand layer and the clay layer</t>
  </si>
  <si>
    <t>c1 = 0, ca = 0, phi2 = 0, Ngamma2 = 0, Nq2 = 1, sq2 = 1, Nc2 = 2 + pi, sc2 = 1.2</t>
  </si>
  <si>
    <t>Limit = 100kN/m2 (but Aliki has recommended 110kN/m2, not sure of the reference for that value)</t>
  </si>
  <si>
    <r>
      <t>Top: q</t>
    </r>
    <r>
      <rPr>
        <vertAlign val="subscript"/>
        <sz val="11"/>
        <color theme="1"/>
        <rFont val="Calibri"/>
        <family val="2"/>
        <scheme val="minor"/>
      </rPr>
      <t>1</t>
    </r>
    <r>
      <rPr>
        <sz val="11"/>
        <color theme="1"/>
        <rFont val="Calibri"/>
        <family val="2"/>
        <scheme val="minor"/>
      </rPr>
      <t>=c</t>
    </r>
    <r>
      <rPr>
        <vertAlign val="subscript"/>
        <sz val="11"/>
        <color theme="1"/>
        <rFont val="Calibri"/>
        <family val="2"/>
        <scheme val="minor"/>
      </rPr>
      <t>1</t>
    </r>
    <r>
      <rPr>
        <sz val="11"/>
        <color theme="1"/>
        <rFont val="Calibri"/>
        <family val="2"/>
        <scheme val="minor"/>
      </rPr>
      <t>N</t>
    </r>
    <r>
      <rPr>
        <vertAlign val="subscript"/>
        <sz val="11"/>
        <color theme="1"/>
        <rFont val="Calibri"/>
        <family val="2"/>
        <scheme val="minor"/>
      </rPr>
      <t>c1</t>
    </r>
    <r>
      <rPr>
        <sz val="11"/>
        <color theme="1"/>
        <rFont val="Calibri"/>
        <family val="2"/>
        <scheme val="minor"/>
      </rPr>
      <t>+0.5.</t>
    </r>
    <r>
      <rPr>
        <sz val="11"/>
        <color theme="1"/>
        <rFont val="Symbol"/>
        <family val="1"/>
        <charset val="2"/>
      </rPr>
      <t>g</t>
    </r>
    <r>
      <rPr>
        <vertAlign val="subscript"/>
        <sz val="11"/>
        <color theme="1"/>
        <rFont val="Calibri"/>
        <family val="2"/>
        <scheme val="minor"/>
      </rPr>
      <t>1</t>
    </r>
    <r>
      <rPr>
        <sz val="11"/>
        <color theme="1"/>
        <rFont val="Calibri"/>
        <family val="2"/>
        <scheme val="minor"/>
      </rPr>
      <t>.B.N</t>
    </r>
    <r>
      <rPr>
        <vertAlign val="subscript"/>
        <sz val="11"/>
        <color theme="1"/>
        <rFont val="Symbol"/>
        <family val="1"/>
        <charset val="2"/>
      </rPr>
      <t>g</t>
    </r>
    <r>
      <rPr>
        <vertAlign val="subscript"/>
        <sz val="11"/>
        <color theme="1"/>
        <rFont val="Calibri"/>
        <family val="2"/>
        <scheme val="minor"/>
      </rPr>
      <t>1</t>
    </r>
    <r>
      <rPr>
        <sz val="11"/>
        <color theme="1"/>
        <rFont val="Calibri"/>
        <family val="2"/>
        <scheme val="minor"/>
      </rPr>
      <t>=</t>
    </r>
  </si>
  <si>
    <r>
      <t>Bot: q</t>
    </r>
    <r>
      <rPr>
        <vertAlign val="subscript"/>
        <sz val="11"/>
        <color theme="1"/>
        <rFont val="Calibri"/>
        <family val="2"/>
        <scheme val="minor"/>
      </rPr>
      <t>2</t>
    </r>
    <r>
      <rPr>
        <sz val="11"/>
        <color theme="1"/>
        <rFont val="Calibri"/>
        <family val="2"/>
        <scheme val="minor"/>
      </rPr>
      <t>=c</t>
    </r>
    <r>
      <rPr>
        <vertAlign val="subscript"/>
        <sz val="11"/>
        <color theme="1"/>
        <rFont val="Calibri"/>
        <family val="2"/>
        <scheme val="minor"/>
      </rPr>
      <t>2</t>
    </r>
    <r>
      <rPr>
        <sz val="11"/>
        <color theme="1"/>
        <rFont val="Calibri"/>
        <family val="2"/>
        <scheme val="minor"/>
      </rPr>
      <t>N</t>
    </r>
    <r>
      <rPr>
        <vertAlign val="subscript"/>
        <sz val="11"/>
        <color theme="1"/>
        <rFont val="Calibri"/>
        <family val="2"/>
        <scheme val="minor"/>
      </rPr>
      <t>c2</t>
    </r>
    <r>
      <rPr>
        <sz val="11"/>
        <color theme="1"/>
        <rFont val="Calibri"/>
        <family val="2"/>
        <scheme val="minor"/>
      </rPr>
      <t>+0.5.</t>
    </r>
    <r>
      <rPr>
        <sz val="11"/>
        <color theme="1"/>
        <rFont val="Symbol"/>
        <family val="1"/>
        <charset val="2"/>
      </rPr>
      <t>g</t>
    </r>
    <r>
      <rPr>
        <vertAlign val="subscript"/>
        <sz val="11"/>
        <color theme="1"/>
        <rFont val="Symbol"/>
        <family val="1"/>
        <charset val="2"/>
      </rPr>
      <t>2</t>
    </r>
    <r>
      <rPr>
        <sz val="11"/>
        <color theme="1"/>
        <rFont val="Calibri"/>
        <family val="2"/>
        <scheme val="minor"/>
      </rPr>
      <t>.B.N</t>
    </r>
    <r>
      <rPr>
        <vertAlign val="subscript"/>
        <sz val="11"/>
        <color theme="1"/>
        <rFont val="Symbol"/>
        <family val="1"/>
        <charset val="2"/>
      </rPr>
      <t>g2</t>
    </r>
    <r>
      <rPr>
        <sz val="11"/>
        <color theme="1"/>
        <rFont val="Calibri"/>
        <family val="2"/>
        <scheme val="minor"/>
      </rPr>
      <t>=</t>
    </r>
  </si>
  <si>
    <t xml:space="preserve">q2/q1 = </t>
  </si>
  <si>
    <t xml:space="preserve">Ks (read from chart) = </t>
  </si>
  <si>
    <r>
      <t>q</t>
    </r>
    <r>
      <rPr>
        <vertAlign val="subscript"/>
        <sz val="11"/>
        <color theme="1"/>
        <rFont val="Calibri"/>
        <family val="2"/>
        <scheme val="minor"/>
      </rPr>
      <t>t</t>
    </r>
    <r>
      <rPr>
        <sz val="11"/>
        <color theme="1"/>
        <rFont val="Calibri"/>
        <family val="2"/>
        <scheme val="minor"/>
      </rPr>
      <t>=c</t>
    </r>
    <r>
      <rPr>
        <vertAlign val="subscript"/>
        <sz val="11"/>
        <color theme="1"/>
        <rFont val="Calibri"/>
        <family val="2"/>
        <scheme val="minor"/>
      </rPr>
      <t>1</t>
    </r>
    <r>
      <rPr>
        <sz val="11"/>
        <color theme="1"/>
        <rFont val="Calibri"/>
        <family val="2"/>
        <scheme val="minor"/>
      </rPr>
      <t>N</t>
    </r>
    <r>
      <rPr>
        <vertAlign val="subscript"/>
        <sz val="11"/>
        <color theme="1"/>
        <rFont val="Calibri"/>
        <family val="2"/>
        <scheme val="minor"/>
      </rPr>
      <t>c1</t>
    </r>
    <r>
      <rPr>
        <sz val="11"/>
        <color theme="1"/>
        <rFont val="Calibri"/>
        <family val="2"/>
        <scheme val="minor"/>
      </rPr>
      <t>S</t>
    </r>
    <r>
      <rPr>
        <vertAlign val="subscript"/>
        <sz val="11"/>
        <color theme="1"/>
        <rFont val="Calibri"/>
        <family val="2"/>
        <scheme val="minor"/>
      </rPr>
      <t>c1</t>
    </r>
    <r>
      <rPr>
        <sz val="11"/>
        <color theme="1"/>
        <rFont val="Calibri"/>
        <family val="2"/>
        <scheme val="minor"/>
      </rPr>
      <t>+</t>
    </r>
    <r>
      <rPr>
        <sz val="11"/>
        <color theme="1"/>
        <rFont val="Symbol"/>
        <family val="1"/>
        <charset val="2"/>
      </rPr>
      <t>g</t>
    </r>
    <r>
      <rPr>
        <vertAlign val="subscript"/>
        <sz val="11"/>
        <color theme="1"/>
        <rFont val="Calibri"/>
        <family val="2"/>
        <scheme val="minor"/>
      </rPr>
      <t>1</t>
    </r>
    <r>
      <rPr>
        <sz val="11"/>
        <color theme="1"/>
        <rFont val="Calibri"/>
        <family val="2"/>
        <scheme val="minor"/>
      </rPr>
      <t>DN</t>
    </r>
    <r>
      <rPr>
        <vertAlign val="subscript"/>
        <sz val="11"/>
        <color theme="1"/>
        <rFont val="Calibri"/>
        <family val="2"/>
        <scheme val="minor"/>
      </rPr>
      <t>q1</t>
    </r>
    <r>
      <rPr>
        <sz val="11"/>
        <color theme="1"/>
        <rFont val="Calibri"/>
        <family val="2"/>
        <scheme val="minor"/>
      </rPr>
      <t>S</t>
    </r>
    <r>
      <rPr>
        <vertAlign val="subscript"/>
        <sz val="11"/>
        <color theme="1"/>
        <rFont val="Calibri"/>
        <family val="2"/>
        <scheme val="minor"/>
      </rPr>
      <t>q1</t>
    </r>
    <r>
      <rPr>
        <sz val="11"/>
        <color theme="1"/>
        <rFont val="Calibri"/>
        <family val="2"/>
        <scheme val="minor"/>
      </rPr>
      <t>+0.5.</t>
    </r>
    <r>
      <rPr>
        <sz val="11"/>
        <color theme="1"/>
        <rFont val="Symbol"/>
        <family val="1"/>
        <charset val="2"/>
      </rPr>
      <t>g</t>
    </r>
    <r>
      <rPr>
        <vertAlign val="subscript"/>
        <sz val="11"/>
        <color theme="1"/>
        <rFont val="Calibri"/>
        <family val="2"/>
        <scheme val="minor"/>
      </rPr>
      <t>1</t>
    </r>
    <r>
      <rPr>
        <sz val="11"/>
        <color theme="1"/>
        <rFont val="Calibri"/>
        <family val="2"/>
        <scheme val="minor"/>
      </rPr>
      <t>.B.N</t>
    </r>
    <r>
      <rPr>
        <sz val="11"/>
        <color theme="1"/>
        <rFont val="Symbol"/>
        <family val="1"/>
        <charset val="2"/>
      </rPr>
      <t>g</t>
    </r>
    <r>
      <rPr>
        <vertAlign val="subscript"/>
        <sz val="11"/>
        <color theme="1"/>
        <rFont val="Symbol"/>
        <family val="1"/>
        <charset val="2"/>
      </rPr>
      <t>1</t>
    </r>
    <r>
      <rPr>
        <sz val="11"/>
        <color theme="1"/>
        <rFont val="Calibri"/>
        <family val="2"/>
        <scheme val="minor"/>
      </rPr>
      <t>S</t>
    </r>
    <r>
      <rPr>
        <vertAlign val="subscript"/>
        <sz val="11"/>
        <color theme="1"/>
        <rFont val="Symbol"/>
        <family val="1"/>
        <charset val="2"/>
      </rPr>
      <t>g1</t>
    </r>
    <r>
      <rPr>
        <sz val="11"/>
        <color theme="1"/>
        <rFont val="Calibri"/>
        <family val="2"/>
        <scheme val="minor"/>
      </rPr>
      <t>=</t>
    </r>
  </si>
  <si>
    <r>
      <t>q</t>
    </r>
    <r>
      <rPr>
        <vertAlign val="subscript"/>
        <sz val="11"/>
        <color theme="1"/>
        <rFont val="Calibri"/>
        <family val="2"/>
        <scheme val="minor"/>
      </rPr>
      <t>b</t>
    </r>
    <r>
      <rPr>
        <sz val="11"/>
        <color theme="1"/>
        <rFont val="Calibri"/>
        <family val="2"/>
        <scheme val="minor"/>
      </rPr>
      <t>=c</t>
    </r>
    <r>
      <rPr>
        <vertAlign val="subscript"/>
        <sz val="11"/>
        <color theme="1"/>
        <rFont val="Calibri"/>
        <family val="2"/>
        <scheme val="minor"/>
      </rPr>
      <t>2</t>
    </r>
    <r>
      <rPr>
        <sz val="11"/>
        <color theme="1"/>
        <rFont val="Calibri"/>
        <family val="2"/>
        <scheme val="minor"/>
      </rPr>
      <t>N</t>
    </r>
    <r>
      <rPr>
        <vertAlign val="subscript"/>
        <sz val="11"/>
        <color theme="1"/>
        <rFont val="Calibri"/>
        <family val="2"/>
        <scheme val="minor"/>
      </rPr>
      <t>c2</t>
    </r>
    <r>
      <rPr>
        <sz val="11"/>
        <color theme="1"/>
        <rFont val="Calibri"/>
        <family val="2"/>
        <scheme val="minor"/>
      </rPr>
      <t>S</t>
    </r>
    <r>
      <rPr>
        <vertAlign val="subscript"/>
        <sz val="11"/>
        <color theme="1"/>
        <rFont val="Calibri"/>
        <family val="2"/>
        <scheme val="minor"/>
      </rPr>
      <t>c2</t>
    </r>
    <r>
      <rPr>
        <sz val="11"/>
        <color theme="1"/>
        <rFont val="Calibri"/>
        <family val="2"/>
        <scheme val="minor"/>
      </rPr>
      <t>+</t>
    </r>
    <r>
      <rPr>
        <sz val="11"/>
        <color theme="1"/>
        <rFont val="Symbol"/>
        <family val="1"/>
        <charset val="2"/>
      </rPr>
      <t>g</t>
    </r>
    <r>
      <rPr>
        <vertAlign val="subscript"/>
        <sz val="11"/>
        <color theme="1"/>
        <rFont val="Calibri"/>
        <family val="2"/>
        <scheme val="minor"/>
      </rPr>
      <t>1</t>
    </r>
    <r>
      <rPr>
        <sz val="11"/>
        <color theme="1"/>
        <rFont val="Calibri"/>
        <family val="2"/>
        <scheme val="minor"/>
      </rPr>
      <t>(D+H)N</t>
    </r>
    <r>
      <rPr>
        <vertAlign val="subscript"/>
        <sz val="11"/>
        <color theme="1"/>
        <rFont val="Calibri"/>
        <family val="2"/>
        <scheme val="minor"/>
      </rPr>
      <t>q2</t>
    </r>
    <r>
      <rPr>
        <sz val="11"/>
        <color theme="1"/>
        <rFont val="Calibri"/>
        <family val="2"/>
        <scheme val="minor"/>
      </rPr>
      <t>S</t>
    </r>
    <r>
      <rPr>
        <vertAlign val="subscript"/>
        <sz val="11"/>
        <color theme="1"/>
        <rFont val="Calibri"/>
        <family val="2"/>
        <scheme val="minor"/>
      </rPr>
      <t>q2</t>
    </r>
    <r>
      <rPr>
        <sz val="11"/>
        <color theme="1"/>
        <rFont val="Calibri"/>
        <family val="2"/>
        <scheme val="minor"/>
      </rPr>
      <t>+0.5.</t>
    </r>
    <r>
      <rPr>
        <sz val="11"/>
        <color theme="1"/>
        <rFont val="Symbol"/>
        <family val="1"/>
        <charset val="2"/>
      </rPr>
      <t>g</t>
    </r>
    <r>
      <rPr>
        <vertAlign val="subscript"/>
        <sz val="11"/>
        <color theme="1"/>
        <rFont val="Symbol"/>
        <family val="1"/>
        <charset val="2"/>
      </rPr>
      <t>2</t>
    </r>
    <r>
      <rPr>
        <sz val="11"/>
        <color theme="1"/>
        <rFont val="Calibri"/>
        <family val="2"/>
        <scheme val="minor"/>
      </rPr>
      <t>.B.N</t>
    </r>
    <r>
      <rPr>
        <sz val="11"/>
        <color theme="1"/>
        <rFont val="Symbol"/>
        <family val="1"/>
        <charset val="2"/>
      </rPr>
      <t>g</t>
    </r>
    <r>
      <rPr>
        <vertAlign val="subscript"/>
        <sz val="11"/>
        <color theme="1"/>
        <rFont val="Symbol"/>
        <family val="1"/>
        <charset val="2"/>
      </rPr>
      <t>2</t>
    </r>
    <r>
      <rPr>
        <sz val="11"/>
        <color theme="1"/>
        <rFont val="Calibri"/>
        <family val="2"/>
        <scheme val="minor"/>
      </rPr>
      <t>S</t>
    </r>
    <r>
      <rPr>
        <vertAlign val="subscript"/>
        <sz val="11"/>
        <color theme="1"/>
        <rFont val="Symbol"/>
        <family val="1"/>
        <charset val="2"/>
      </rPr>
      <t>g2</t>
    </r>
    <r>
      <rPr>
        <sz val="11"/>
        <color theme="1"/>
        <rFont val="Calibri"/>
        <family val="2"/>
        <scheme val="minor"/>
      </rPr>
      <t>=</t>
    </r>
  </si>
  <si>
    <t>Eq.1</t>
  </si>
  <si>
    <r>
      <t>S</t>
    </r>
    <r>
      <rPr>
        <vertAlign val="subscript"/>
        <sz val="11"/>
        <color theme="1"/>
        <rFont val="Calibri"/>
        <family val="2"/>
        <scheme val="minor"/>
      </rPr>
      <t>c</t>
    </r>
    <r>
      <rPr>
        <vertAlign val="subscript"/>
        <sz val="11"/>
        <color theme="1"/>
        <rFont val="Symbol"/>
        <family val="1"/>
        <charset val="2"/>
      </rPr>
      <t>2</t>
    </r>
    <r>
      <rPr>
        <sz val="11"/>
        <color theme="1"/>
        <rFont val="Symbol"/>
        <family val="1"/>
        <charset val="2"/>
      </rPr>
      <t>g</t>
    </r>
    <r>
      <rPr>
        <vertAlign val="subscript"/>
        <sz val="11"/>
        <color theme="1"/>
        <rFont val="Calibri"/>
        <family val="2"/>
        <scheme val="minor"/>
      </rPr>
      <t>1</t>
    </r>
    <r>
      <rPr>
        <sz val="11"/>
        <color theme="1"/>
        <rFont val="Calibri"/>
        <family val="2"/>
        <scheme val="minor"/>
      </rPr>
      <t>H</t>
    </r>
    <r>
      <rPr>
        <vertAlign val="superscript"/>
        <sz val="11"/>
        <color theme="1"/>
        <rFont val="Calibri"/>
        <family val="2"/>
        <scheme val="minor"/>
      </rPr>
      <t>2</t>
    </r>
    <r>
      <rPr>
        <sz val="11"/>
        <color theme="1"/>
        <rFont val="Calibri"/>
        <family val="2"/>
        <scheme val="minor"/>
      </rPr>
      <t>(1+2D/H)(Kstan</t>
    </r>
    <r>
      <rPr>
        <sz val="11"/>
        <color theme="1"/>
        <rFont val="Symbol"/>
        <family val="1"/>
        <charset val="2"/>
      </rPr>
      <t>f</t>
    </r>
    <r>
      <rPr>
        <vertAlign val="subscript"/>
        <sz val="11"/>
        <color theme="1"/>
        <rFont val="Calibri"/>
        <family val="2"/>
        <scheme val="minor"/>
      </rPr>
      <t>1</t>
    </r>
    <r>
      <rPr>
        <sz val="11"/>
        <color theme="1"/>
        <rFont val="Calibri"/>
        <family val="2"/>
        <scheme val="minor"/>
      </rPr>
      <t>/B)-</t>
    </r>
    <r>
      <rPr>
        <sz val="11"/>
        <color theme="1"/>
        <rFont val="Symbol"/>
        <family val="1"/>
        <charset val="2"/>
      </rPr>
      <t>g</t>
    </r>
    <r>
      <rPr>
        <vertAlign val="subscript"/>
        <sz val="11"/>
        <color theme="1"/>
        <rFont val="Calibri"/>
        <family val="2"/>
        <scheme val="minor"/>
      </rPr>
      <t>1</t>
    </r>
    <r>
      <rPr>
        <sz val="11"/>
        <color theme="1"/>
        <rFont val="Calibri"/>
        <family val="2"/>
        <scheme val="minor"/>
      </rPr>
      <t>H=</t>
    </r>
  </si>
  <si>
    <t>Eq.2</t>
  </si>
  <si>
    <t>Limit = 15MN/m2</t>
  </si>
  <si>
    <t>chracteristic</t>
  </si>
  <si>
    <r>
      <t>Note Ca=0 thus q</t>
    </r>
    <r>
      <rPr>
        <vertAlign val="subscript"/>
        <sz val="11"/>
        <color theme="1"/>
        <rFont val="Calibri"/>
        <family val="2"/>
        <scheme val="minor"/>
      </rPr>
      <t>u</t>
    </r>
    <r>
      <rPr>
        <sz val="11"/>
        <color theme="1"/>
        <rFont val="Calibri"/>
        <family val="2"/>
        <scheme val="minor"/>
      </rPr>
      <t>=Eq.1+Eq2=</t>
    </r>
  </si>
  <si>
    <t>2 layer system present if qu &gt; qt</t>
  </si>
  <si>
    <t>Limit for shaft stress for granular materials:</t>
  </si>
  <si>
    <t>check qu &gt; max load</t>
  </si>
  <si>
    <t>P177 Tomlinson</t>
  </si>
  <si>
    <t>Limit = 0.12MN/m2</t>
  </si>
  <si>
    <t>Limit = 200kN/m2</t>
  </si>
  <si>
    <t>Raft Foundations</t>
  </si>
  <si>
    <t>Basements</t>
  </si>
  <si>
    <t>Global Capacity (Local Capacity same method but with different inputs)</t>
  </si>
  <si>
    <t>Uplift</t>
  </si>
  <si>
    <t>BS EN 1997-1:2004</t>
  </si>
  <si>
    <t>Water pressure the same for all soil types.</t>
  </si>
  <si>
    <t>Include water pressure if raft is below the GW level</t>
  </si>
  <si>
    <t>Not including heave for clay</t>
  </si>
  <si>
    <t>Rd = 0</t>
  </si>
  <si>
    <t>Gdst;d = permanent destabilising force</t>
  </si>
  <si>
    <t xml:space="preserve">gamma G;dst = </t>
  </si>
  <si>
    <t xml:space="preserve">Qdst;d = variable destabilising force = 0 </t>
  </si>
  <si>
    <t>depth factors (not used in this spreadsheet, not mentioned in Eurocode)</t>
  </si>
  <si>
    <t xml:space="preserve">gamma Q;dst = </t>
  </si>
  <si>
    <t>c' * Nc * sc + q' * Nq * sq + 0.5 * gamma' * B * Ngamma * sgamma</t>
  </si>
  <si>
    <t>Gstb;d = weight of slab</t>
  </si>
  <si>
    <t xml:space="preserve">gamma G;stb = </t>
  </si>
  <si>
    <t>using gamma' formula to calculate q</t>
  </si>
  <si>
    <t>water pressure &lt; weight of slab</t>
  </si>
  <si>
    <t>weight of slab = volume of slab x concrete density</t>
  </si>
  <si>
    <t>water pressure = permanent + variable destabilising force</t>
  </si>
  <si>
    <t>variable force = 0</t>
  </si>
  <si>
    <t xml:space="preserve">sq = 1 + sin(phi')(B/L) </t>
  </si>
  <si>
    <t>permanent force = 10*(depth of raft - GW level bgl)</t>
  </si>
  <si>
    <t>Secant Pile Wall Spacing</t>
  </si>
  <si>
    <t>sgamma = 1 - 0.3(B'/L')</t>
  </si>
  <si>
    <t>Only considered for global check, not local</t>
  </si>
  <si>
    <t>Assuming hard/firm piles with CFA piling</t>
  </si>
  <si>
    <t>interlock (mm) = 20 x depth of female pile (m bgl) + 50</t>
  </si>
  <si>
    <t>if GW level =&lt; D, gamma' = gamma - 10</t>
  </si>
  <si>
    <t>male - male spacing (mm) = 2 x male diameter (mm) - 2 x interlock (mm)</t>
  </si>
  <si>
    <t>if GW level =&lt; 2B + D, gamma' = (gamma*(GW level-D)) + (gamma - 10)*(2B + D - GW level))/(2B)</t>
  </si>
  <si>
    <t>if GW level &gt;= 2B + D, gamma' = gamma</t>
  </si>
  <si>
    <t>National Annex</t>
  </si>
  <si>
    <r>
      <t>(</t>
    </r>
    <r>
      <rPr>
        <b/>
        <sz val="8.5"/>
        <color indexed="8"/>
        <rFont val="Symbol"/>
        <family val="1"/>
        <charset val="2"/>
      </rPr>
      <t xml:space="preserve">p </t>
    </r>
    <r>
      <rPr>
        <b/>
        <sz val="8.5"/>
        <color indexed="8"/>
        <rFont val="Arial"/>
        <family val="2"/>
      </rPr>
      <t xml:space="preserve">+ 2) </t>
    </r>
    <r>
      <rPr>
        <b/>
        <sz val="10"/>
        <color indexed="8"/>
        <rFont val="Arial"/>
        <family val="2"/>
      </rPr>
      <t>C</t>
    </r>
    <r>
      <rPr>
        <b/>
        <vertAlign val="subscript"/>
        <sz val="10"/>
        <color indexed="8"/>
        <rFont val="Arial"/>
        <family val="2"/>
      </rPr>
      <t>u</t>
    </r>
    <r>
      <rPr>
        <b/>
        <sz val="10"/>
        <color indexed="8"/>
        <rFont val="Arial"/>
        <family val="2"/>
      </rPr>
      <t xml:space="preserve"> s</t>
    </r>
    <r>
      <rPr>
        <b/>
        <vertAlign val="subscript"/>
        <sz val="10"/>
        <color indexed="8"/>
        <rFont val="Arial"/>
        <family val="2"/>
      </rPr>
      <t>c</t>
    </r>
    <r>
      <rPr>
        <b/>
        <sz val="10"/>
        <color indexed="8"/>
        <rFont val="Arial"/>
        <family val="2"/>
      </rPr>
      <t xml:space="preserve"> </t>
    </r>
    <r>
      <rPr>
        <b/>
        <sz val="10"/>
        <color theme="1"/>
        <rFont val="Arial"/>
        <family val="2"/>
      </rPr>
      <t>+ q</t>
    </r>
  </si>
  <si>
    <r>
      <t>(</t>
    </r>
    <r>
      <rPr>
        <b/>
        <sz val="8.5"/>
        <color indexed="8"/>
        <rFont val="Symbol"/>
        <family val="1"/>
        <charset val="2"/>
      </rPr>
      <t xml:space="preserve">p </t>
    </r>
    <r>
      <rPr>
        <b/>
        <sz val="8.5"/>
        <color indexed="8"/>
        <rFont val="Arial"/>
        <family val="2"/>
      </rPr>
      <t xml:space="preserve">+ 2) * </t>
    </r>
    <r>
      <rPr>
        <b/>
        <sz val="10"/>
        <color indexed="8"/>
        <rFont val="Arial"/>
        <family val="2"/>
      </rPr>
      <t>C</t>
    </r>
    <r>
      <rPr>
        <b/>
        <vertAlign val="subscript"/>
        <sz val="10"/>
        <color indexed="8"/>
        <rFont val="Arial"/>
        <family val="2"/>
      </rPr>
      <t>u</t>
    </r>
    <r>
      <rPr>
        <b/>
        <sz val="10"/>
        <color indexed="8"/>
        <rFont val="Arial"/>
        <family val="2"/>
      </rPr>
      <t xml:space="preserve"> * (1 + 0.2*(B / L))</t>
    </r>
    <r>
      <rPr>
        <b/>
        <sz val="10"/>
        <color theme="1"/>
        <rFont val="Arial"/>
        <family val="2"/>
      </rPr>
      <t xml:space="preserve"> + gamma * D</t>
    </r>
  </si>
  <si>
    <r>
      <t>((</t>
    </r>
    <r>
      <rPr>
        <b/>
        <sz val="8.5"/>
        <color indexed="8"/>
        <rFont val="Symbol"/>
        <family val="1"/>
        <charset val="2"/>
      </rPr>
      <t xml:space="preserve">p </t>
    </r>
    <r>
      <rPr>
        <b/>
        <sz val="8.5"/>
        <color indexed="8"/>
        <rFont val="Arial"/>
        <family val="2"/>
      </rPr>
      <t xml:space="preserve">+ 2) </t>
    </r>
    <r>
      <rPr>
        <b/>
        <sz val="10"/>
        <color indexed="8"/>
        <rFont val="Arial"/>
        <family val="2"/>
      </rPr>
      <t>C</t>
    </r>
    <r>
      <rPr>
        <b/>
        <vertAlign val="subscript"/>
        <sz val="10"/>
        <color indexed="8"/>
        <rFont val="Arial"/>
        <family val="2"/>
      </rPr>
      <t>u</t>
    </r>
    <r>
      <rPr>
        <b/>
        <sz val="10"/>
        <color indexed="8"/>
        <rFont val="Arial"/>
        <family val="2"/>
      </rPr>
      <t xml:space="preserve"> s</t>
    </r>
    <r>
      <rPr>
        <b/>
        <vertAlign val="subscript"/>
        <sz val="10"/>
        <color indexed="8"/>
        <rFont val="Arial"/>
        <family val="2"/>
      </rPr>
      <t>c</t>
    </r>
    <r>
      <rPr>
        <b/>
        <sz val="10"/>
        <color indexed="8"/>
        <rFont val="Arial"/>
        <family val="2"/>
      </rPr>
      <t xml:space="preserve"> </t>
    </r>
    <r>
      <rPr>
        <b/>
        <sz val="10"/>
        <color theme="1"/>
        <rFont val="Arial"/>
        <family val="2"/>
      </rPr>
      <t>/ gamma cu ) + q</t>
    </r>
  </si>
  <si>
    <r>
      <t>((</t>
    </r>
    <r>
      <rPr>
        <b/>
        <sz val="8.5"/>
        <color indexed="8"/>
        <rFont val="Symbol"/>
        <family val="1"/>
        <charset val="2"/>
      </rPr>
      <t xml:space="preserve">p </t>
    </r>
    <r>
      <rPr>
        <b/>
        <sz val="8.5"/>
        <color indexed="8"/>
        <rFont val="Arial"/>
        <family val="2"/>
      </rPr>
      <t xml:space="preserve">+ 2) * </t>
    </r>
    <r>
      <rPr>
        <b/>
        <sz val="10"/>
        <color indexed="8"/>
        <rFont val="Arial"/>
        <family val="2"/>
      </rPr>
      <t>C</t>
    </r>
    <r>
      <rPr>
        <b/>
        <vertAlign val="subscript"/>
        <sz val="10"/>
        <color indexed="8"/>
        <rFont val="Arial"/>
        <family val="2"/>
      </rPr>
      <t>u</t>
    </r>
    <r>
      <rPr>
        <b/>
        <sz val="10"/>
        <color indexed="8"/>
        <rFont val="Arial"/>
        <family val="2"/>
      </rPr>
      <t xml:space="preserve"> * (1 + 0.2*(B / L)) </t>
    </r>
    <r>
      <rPr>
        <b/>
        <sz val="10"/>
        <color theme="1"/>
        <rFont val="Arial"/>
        <family val="2"/>
      </rPr>
      <t>/ 1.4 ) + gamma * D</t>
    </r>
  </si>
  <si>
    <t>Copy over from shallow foundations sheet when condensed/info received from Aliki</t>
  </si>
  <si>
    <t>qy (kN/m2) unfactored</t>
  </si>
  <si>
    <t>qy (kN/m2) unfactored (based on test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</si>
</sst>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quot;£&quot;* #,##0.00_-;\-&quot;£&quot;* #,##0.00_-;_-&quot;£&quot;* &quot;-&quot;??_-;_-@_-"/>
    <numFmt numFmtId="164" formatCode="0.0"/>
    <numFmt numFmtId="165" formatCode="&quot;£&quot;#,##0.00"/>
    <numFmt numFmtId="166" formatCode="&quot;£&quot;#,##0"/>
    <numFmt numFmtId="167" formatCode="0.0000"/>
    <numFmt numFmtId="168" formatCode="\ "/>
    <numFmt numFmtId="169" formatCode="0.000"/>
    <numFmt numFmtId="170" formatCode="0.0E+00"/>
    <numFmt numFmtId="171" formatCode="0&quot;mm&quot;"/>
    <numFmt numFmtId="172" formatCode="#,##0_ ;\-#,##0\ "/>
    <numFmt numFmtId="173" formatCode="#,##0.0"/>
    <numFmt numFmtId="174" formatCode="0&quot;kg&quot;"/>
  </numFmts>
  <fonts count="177">
    <font>
      <sz val="11"/>
      <color theme="1"/>
      <name val="Calibri"/>
      <family val="2"/>
      <scheme val="minor"/>
    </font>
    <font>
      <sz val="8"/>
      <color rgb="FFFF0000"/>
      <name val="Arial"/>
      <family val="2"/>
    </font>
    <font>
      <sz val="8"/>
      <color rgb="FF00B5E2"/>
      <name val="Arial"/>
      <family val="2"/>
    </font>
    <font>
      <sz val="8"/>
      <name val="Arial"/>
      <family val="2"/>
    </font>
    <font>
      <b/>
      <sz val="8"/>
      <color rgb="FF00B5E2"/>
      <name val="Arial"/>
      <family val="2"/>
    </font>
    <font>
      <b/>
      <u/>
      <sz val="8"/>
      <color rgb="FF00B5E2"/>
      <name val="Arial"/>
      <family val="2"/>
    </font>
    <font>
      <b/>
      <vertAlign val="superscript"/>
      <sz val="8"/>
      <color rgb="FF00B5E2"/>
      <name val="Arial"/>
      <family val="2"/>
    </font>
    <font>
      <b/>
      <vertAlign val="subscript"/>
      <sz val="8"/>
      <color rgb="FF00B5E2"/>
      <name val="Arial"/>
      <family val="2"/>
    </font>
    <font>
      <sz val="8"/>
      <color theme="1"/>
      <name val="Arial"/>
      <family val="2"/>
    </font>
    <font>
      <sz val="8"/>
      <color rgb="FF000000"/>
      <name val="Arial"/>
      <family val="2"/>
    </font>
    <font>
      <sz val="11"/>
      <color rgb="FF3F3F76"/>
      <name val="Calibri"/>
      <family val="2"/>
      <scheme val="minor"/>
    </font>
    <font>
      <sz val="11"/>
      <color rgb="FFFA7D00"/>
      <name val="Calibri"/>
      <family val="2"/>
      <scheme val="minor"/>
    </font>
    <font>
      <i/>
      <sz val="11"/>
      <color rgb="FF7F7F7F"/>
      <name val="Calibri"/>
      <family val="2"/>
      <scheme val="minor"/>
    </font>
    <font>
      <sz val="9"/>
      <name val="Arial"/>
      <family val="2"/>
    </font>
    <font>
      <sz val="9"/>
      <color theme="1"/>
      <name val="Arial"/>
      <family val="2"/>
    </font>
    <font>
      <sz val="8"/>
      <color theme="0"/>
      <name val="Arial"/>
      <family val="2"/>
    </font>
    <font>
      <sz val="8"/>
      <color theme="1"/>
      <name val="Calibri"/>
      <family val="2"/>
      <scheme val="minor"/>
    </font>
    <font>
      <u/>
      <sz val="11"/>
      <color theme="1"/>
      <name val="Calibri"/>
      <family val="2"/>
      <scheme val="minor"/>
    </font>
    <font>
      <sz val="6"/>
      <name val="Arial"/>
      <family val="2"/>
    </font>
    <font>
      <b/>
      <vertAlign val="superscript"/>
      <sz val="8"/>
      <color rgb="FF00B5E2"/>
      <name val="Calibri"/>
      <family val="2"/>
    </font>
    <font>
      <b/>
      <sz val="9"/>
      <color rgb="FF00B5E2"/>
      <name val="Arial"/>
      <family val="2"/>
    </font>
    <font>
      <sz val="9"/>
      <color theme="0"/>
      <name val="Arial"/>
      <family val="2"/>
    </font>
    <font>
      <b/>
      <sz val="8"/>
      <color rgb="FF00B5E2"/>
      <name val="Calibri"/>
      <family val="2"/>
    </font>
    <font>
      <b/>
      <sz val="8"/>
      <color theme="0"/>
      <name val="Arial"/>
      <family val="2"/>
    </font>
    <font>
      <sz val="8"/>
      <name val="Calibri"/>
      <family val="2"/>
      <scheme val="minor"/>
    </font>
    <font>
      <b/>
      <sz val="8"/>
      <name val="Arial"/>
      <family val="2"/>
    </font>
    <font>
      <b/>
      <sz val="9"/>
      <color theme="0"/>
      <name val="Arial"/>
      <family val="2"/>
    </font>
    <font>
      <b/>
      <sz val="9"/>
      <color theme="1"/>
      <name val="Arial"/>
      <family val="2"/>
    </font>
    <font>
      <i/>
      <sz val="8"/>
      <color theme="0"/>
      <name val="Arial"/>
      <family val="2"/>
    </font>
    <font>
      <sz val="11"/>
      <color rgb="FFFF0000"/>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48"/>
      <color theme="1"/>
      <name val="Arial"/>
      <family val="2"/>
    </font>
    <font>
      <sz val="11"/>
      <color theme="1"/>
      <name val="Arial"/>
      <family val="2"/>
    </font>
    <font>
      <b/>
      <sz val="22"/>
      <color theme="1"/>
      <name val="Arial"/>
      <family val="2"/>
    </font>
    <font>
      <b/>
      <sz val="11"/>
      <color theme="1"/>
      <name val="Arial"/>
      <family val="2"/>
    </font>
    <font>
      <b/>
      <sz val="11"/>
      <color rgb="FFFF0000"/>
      <name val="Arial"/>
      <family val="2"/>
    </font>
    <font>
      <i/>
      <sz val="11"/>
      <color theme="1"/>
      <name val="Arial"/>
      <family val="2"/>
    </font>
    <font>
      <u/>
      <sz val="11"/>
      <color theme="10"/>
      <name val="Arial"/>
      <family val="2"/>
    </font>
    <font>
      <b/>
      <sz val="12"/>
      <name val="Arial"/>
      <family val="2"/>
    </font>
    <font>
      <b/>
      <sz val="12"/>
      <color theme="1"/>
      <name val="Arial"/>
      <family val="2"/>
    </font>
    <font>
      <sz val="11"/>
      <name val="Arial"/>
      <family val="2"/>
    </font>
    <font>
      <b/>
      <sz val="48"/>
      <color theme="1"/>
      <name val="Calibri"/>
      <family val="2"/>
      <scheme val="minor"/>
    </font>
    <font>
      <b/>
      <sz val="11"/>
      <color rgb="FFFF0000"/>
      <name val="Calibri"/>
      <family val="2"/>
      <scheme val="minor"/>
    </font>
    <font>
      <i/>
      <sz val="11"/>
      <color theme="1"/>
      <name val="Calibri"/>
      <family val="2"/>
      <scheme val="minor"/>
    </font>
    <font>
      <sz val="11"/>
      <name val="Calibri"/>
      <family val="2"/>
      <scheme val="minor"/>
    </font>
    <font>
      <b/>
      <sz val="10"/>
      <color rgb="FFFF0000"/>
      <name val="Calibri"/>
      <family val="2"/>
      <scheme val="minor"/>
    </font>
    <font>
      <b/>
      <sz val="14"/>
      <color theme="1"/>
      <name val="Calibri"/>
      <family val="2"/>
      <scheme val="minor"/>
    </font>
    <font>
      <b/>
      <vertAlign val="superscript"/>
      <sz val="11"/>
      <color theme="1"/>
      <name val="Calibri"/>
      <family val="2"/>
      <scheme val="minor"/>
    </font>
    <font>
      <b/>
      <sz val="20"/>
      <color theme="1"/>
      <name val="Calibri"/>
      <family val="2"/>
      <scheme val="minor"/>
    </font>
    <font>
      <b/>
      <i/>
      <u/>
      <sz val="10"/>
      <name val="Arial"/>
      <family val="2"/>
    </font>
    <font>
      <b/>
      <sz val="10"/>
      <name val="Arial"/>
      <family val="2"/>
    </font>
    <font>
      <sz val="10"/>
      <name val="Arial"/>
      <family val="2"/>
    </font>
    <font>
      <vertAlign val="subscript"/>
      <sz val="10"/>
      <name val="Arial"/>
      <family val="2"/>
    </font>
    <font>
      <b/>
      <sz val="18"/>
      <color theme="1"/>
      <name val="Calibri"/>
      <family val="2"/>
      <scheme val="minor"/>
    </font>
    <font>
      <vertAlign val="superscript"/>
      <sz val="10"/>
      <name val="Calibri"/>
      <family val="2"/>
    </font>
    <font>
      <b/>
      <sz val="48"/>
      <name val="Arial"/>
      <family val="2"/>
    </font>
    <font>
      <b/>
      <sz val="20"/>
      <name val="Arial"/>
      <family val="2"/>
    </font>
    <font>
      <b/>
      <sz val="12"/>
      <name val="Calibri"/>
      <family val="2"/>
      <scheme val="minor"/>
    </font>
    <font>
      <i/>
      <sz val="12"/>
      <color rgb="FFFF0000"/>
      <name val="Calibri"/>
      <family val="2"/>
      <scheme val="minor"/>
    </font>
    <font>
      <sz val="12"/>
      <name val="Calibri"/>
      <family val="2"/>
      <scheme val="minor"/>
    </font>
    <font>
      <b/>
      <sz val="11"/>
      <name val="Calibri"/>
      <family val="2"/>
      <scheme val="minor"/>
    </font>
    <font>
      <b/>
      <vertAlign val="superscript"/>
      <sz val="11"/>
      <name val="Calibri"/>
      <family val="2"/>
      <scheme val="minor"/>
    </font>
    <font>
      <b/>
      <sz val="16"/>
      <name val="Calibri"/>
      <family val="2"/>
    </font>
    <font>
      <sz val="12"/>
      <name val="Arial"/>
      <family val="2"/>
    </font>
    <font>
      <sz val="12"/>
      <name val="Arial Narrow"/>
      <family val="2"/>
    </font>
    <font>
      <b/>
      <vertAlign val="subscript"/>
      <sz val="11"/>
      <color theme="1"/>
      <name val="Arial"/>
      <family val="2"/>
    </font>
    <font>
      <b/>
      <vertAlign val="subscript"/>
      <sz val="9"/>
      <color theme="1"/>
      <name val="Arial"/>
      <family val="2"/>
    </font>
    <font>
      <b/>
      <sz val="10"/>
      <color theme="3"/>
      <name val="Arial"/>
      <family val="2"/>
    </font>
    <font>
      <b/>
      <vertAlign val="subscript"/>
      <sz val="10"/>
      <color indexed="56"/>
      <name val="Arial"/>
      <family val="2"/>
    </font>
    <font>
      <b/>
      <sz val="10"/>
      <color indexed="56"/>
      <name val="Arial"/>
      <family val="2"/>
    </font>
    <font>
      <sz val="20"/>
      <color theme="1"/>
      <name val="Calibri"/>
      <family val="2"/>
      <scheme val="minor"/>
    </font>
    <font>
      <b/>
      <i/>
      <sz val="10"/>
      <color theme="1"/>
      <name val="Arial"/>
      <family val="2"/>
    </font>
    <font>
      <sz val="10"/>
      <color theme="1"/>
      <name val="Arial"/>
      <family val="2"/>
    </font>
    <font>
      <b/>
      <sz val="10"/>
      <color theme="1"/>
      <name val="Arial"/>
      <family val="2"/>
    </font>
    <font>
      <b/>
      <sz val="8.5"/>
      <color indexed="8"/>
      <name val="Symbol"/>
      <family val="1"/>
      <charset val="2"/>
    </font>
    <font>
      <b/>
      <sz val="8.5"/>
      <color indexed="8"/>
      <name val="Arial"/>
      <family val="2"/>
    </font>
    <font>
      <b/>
      <sz val="10"/>
      <color indexed="8"/>
      <name val="Arial"/>
      <family val="2"/>
    </font>
    <font>
      <b/>
      <vertAlign val="subscript"/>
      <sz val="10"/>
      <color indexed="8"/>
      <name val="Arial"/>
      <family val="2"/>
    </font>
    <font>
      <b/>
      <sz val="10"/>
      <color indexed="8"/>
      <name val="Symbol"/>
      <family val="1"/>
      <charset val="2"/>
    </font>
    <font>
      <b/>
      <i/>
      <sz val="11"/>
      <color theme="1"/>
      <name val="Calibri"/>
      <family val="2"/>
      <scheme val="minor"/>
    </font>
    <font>
      <i/>
      <sz val="11"/>
      <color rgb="FFFF0000"/>
      <name val="Calibri"/>
      <family val="2"/>
      <scheme val="minor"/>
    </font>
    <font>
      <b/>
      <u/>
      <sz val="14"/>
      <color theme="1"/>
      <name val="Calibri"/>
      <family val="2"/>
      <scheme val="minor"/>
    </font>
    <font>
      <vertAlign val="subscript"/>
      <sz val="11"/>
      <color theme="1"/>
      <name val="Calibri"/>
      <family val="2"/>
      <scheme val="minor"/>
    </font>
    <font>
      <sz val="11"/>
      <color theme="1"/>
      <name val="Symbol"/>
      <family val="1"/>
      <charset val="2"/>
    </font>
    <font>
      <vertAlign val="subscript"/>
      <sz val="11"/>
      <color theme="1"/>
      <name val="Symbol"/>
      <family val="1"/>
      <charset val="2"/>
    </font>
    <font>
      <vertAlign val="superscript"/>
      <sz val="11"/>
      <color theme="1"/>
      <name val="Calibri"/>
      <family val="2"/>
      <scheme val="minor"/>
    </font>
    <font>
      <b/>
      <u/>
      <sz val="11"/>
      <color theme="1"/>
      <name val="Calibri"/>
      <family val="2"/>
      <scheme val="minor"/>
    </font>
    <font>
      <i/>
      <sz val="11"/>
      <name val="Calibri"/>
      <family val="2"/>
      <scheme val="minor"/>
    </font>
    <font>
      <b/>
      <sz val="10"/>
      <color rgb="FFFF0000"/>
      <name val="Arial"/>
      <family val="2"/>
    </font>
    <font>
      <sz val="11"/>
      <color rgb="FFFF0000"/>
      <name val="Arial"/>
      <family val="2"/>
    </font>
    <font>
      <b/>
      <sz val="20"/>
      <color theme="1"/>
      <name val="Arial"/>
      <family val="2"/>
    </font>
    <font>
      <b/>
      <sz val="24"/>
      <color theme="1"/>
      <name val="Arial"/>
      <family val="2"/>
    </font>
    <font>
      <b/>
      <sz val="18"/>
      <color theme="1"/>
      <name val="Arial"/>
      <family val="2"/>
    </font>
    <font>
      <b/>
      <sz val="20"/>
      <color rgb="FFFF0000"/>
      <name val="Arial"/>
      <family val="2"/>
    </font>
    <font>
      <b/>
      <vertAlign val="subscript"/>
      <sz val="10"/>
      <name val="Arial"/>
      <family val="2"/>
    </font>
    <font>
      <vertAlign val="superscript"/>
      <sz val="10"/>
      <name val="Arial"/>
      <family val="2"/>
    </font>
    <font>
      <sz val="10"/>
      <color theme="1"/>
      <name val="Arial Narrow"/>
      <family val="2"/>
    </font>
    <font>
      <b/>
      <sz val="10"/>
      <color theme="1"/>
      <name val="Calibri"/>
      <family val="2"/>
      <scheme val="minor"/>
    </font>
    <font>
      <b/>
      <sz val="10"/>
      <color theme="0"/>
      <name val="Arial"/>
      <family val="2"/>
    </font>
    <font>
      <b/>
      <u/>
      <sz val="8"/>
      <color theme="0"/>
      <name val="Arial"/>
      <family val="2"/>
    </font>
    <font>
      <b/>
      <sz val="10"/>
      <color rgb="FFAECC53"/>
      <name val="Arial"/>
      <family val="2"/>
    </font>
    <font>
      <sz val="8"/>
      <color rgb="FFAECC53"/>
      <name val="Arial"/>
      <family val="2"/>
    </font>
    <font>
      <b/>
      <sz val="8"/>
      <color rgb="FFAECC53"/>
      <name val="Arial"/>
      <family val="2"/>
    </font>
    <font>
      <b/>
      <vertAlign val="subscript"/>
      <sz val="8"/>
      <color rgb="FFAECC53"/>
      <name val="Arial"/>
      <family val="2"/>
    </font>
    <font>
      <b/>
      <sz val="8"/>
      <color rgb="FFAECC53"/>
      <name val="Calibri"/>
      <family val="2"/>
    </font>
    <font>
      <b/>
      <vertAlign val="superscript"/>
      <sz val="8"/>
      <color rgb="FFAECC53"/>
      <name val="Arial"/>
      <family val="2"/>
    </font>
    <font>
      <b/>
      <sz val="14"/>
      <color rgb="FFAECC53"/>
      <name val="Arial"/>
      <family val="2"/>
    </font>
    <font>
      <vertAlign val="subscript"/>
      <sz val="9"/>
      <color theme="0"/>
      <name val="Arial"/>
      <family val="2"/>
    </font>
    <font>
      <vertAlign val="superscript"/>
      <sz val="9"/>
      <color theme="0"/>
      <name val="Arial"/>
      <family val="2"/>
    </font>
    <font>
      <b/>
      <vertAlign val="subscript"/>
      <sz val="9"/>
      <color theme="0"/>
      <name val="Arial"/>
      <family val="2"/>
    </font>
    <font>
      <b/>
      <vertAlign val="superscript"/>
      <sz val="9"/>
      <color theme="0"/>
      <name val="Arial"/>
      <family val="2"/>
    </font>
    <font>
      <b/>
      <u/>
      <sz val="9"/>
      <color theme="0"/>
      <name val="Arial"/>
      <family val="2"/>
    </font>
    <font>
      <sz val="10"/>
      <color theme="0"/>
      <name val="Arial"/>
      <family val="2"/>
    </font>
    <font>
      <vertAlign val="subscript"/>
      <sz val="10"/>
      <color theme="0"/>
      <name val="Arial"/>
      <family val="2"/>
    </font>
    <font>
      <sz val="9"/>
      <color rgb="FFAECC53"/>
      <name val="Arial"/>
      <family val="2"/>
    </font>
    <font>
      <sz val="9"/>
      <color rgb="FF00353E"/>
      <name val="Arial"/>
      <family val="2"/>
    </font>
    <font>
      <sz val="9"/>
      <color theme="0"/>
      <name val="Calibri"/>
      <family val="2"/>
    </font>
    <font>
      <vertAlign val="subscript"/>
      <sz val="9"/>
      <color theme="0"/>
      <name val="Calibri"/>
      <family val="2"/>
    </font>
    <font>
      <sz val="11"/>
      <color theme="0"/>
      <name val="Arial"/>
      <family val="2"/>
    </font>
    <font>
      <b/>
      <sz val="11"/>
      <color rgb="FFAECC53"/>
      <name val="Arial"/>
      <family val="2"/>
    </font>
    <font>
      <b/>
      <sz val="9"/>
      <color rgb="FFAECC53"/>
      <name val="Arial"/>
      <family val="2"/>
    </font>
    <font>
      <b/>
      <vertAlign val="subscript"/>
      <sz val="9"/>
      <color rgb="FFAECC53"/>
      <name val="Arial"/>
      <family val="2"/>
    </font>
    <font>
      <b/>
      <sz val="9"/>
      <color rgb="FFAECC53"/>
      <name val="Calibri"/>
      <family val="2"/>
    </font>
    <font>
      <sz val="8"/>
      <color rgb="FF00353E"/>
      <name val="Arial"/>
      <family val="2"/>
    </font>
    <font>
      <sz val="9"/>
      <color rgb="FFFF0000"/>
      <name val="Arial"/>
      <family val="2"/>
    </font>
    <font>
      <sz val="12"/>
      <color theme="0"/>
      <name val="Adobe Thai"/>
      <family val="1"/>
    </font>
    <font>
      <b/>
      <sz val="28"/>
      <color theme="0"/>
      <name val="Adobe Thai"/>
      <family val="1"/>
    </font>
    <font>
      <sz val="11"/>
      <color theme="1"/>
      <name val="Calibri"/>
      <family val="2"/>
      <scheme val="minor"/>
    </font>
    <font>
      <b/>
      <sz val="14"/>
      <color theme="0"/>
      <name val="Arial"/>
      <family val="2"/>
    </font>
    <font>
      <b/>
      <sz val="12"/>
      <color rgb="FFAECC53"/>
      <name val="Arial"/>
      <family val="2"/>
    </font>
    <font>
      <sz val="9"/>
      <color theme="0"/>
      <name val="Calibri"/>
      <family val="2"/>
      <scheme val="minor"/>
    </font>
    <font>
      <b/>
      <sz val="12"/>
      <color rgb="FF00353E"/>
      <name val="Arial"/>
      <family val="2"/>
    </font>
    <font>
      <b/>
      <sz val="8"/>
      <color rgb="FF00353E"/>
      <name val="Arial"/>
      <family val="2"/>
    </font>
    <font>
      <sz val="8"/>
      <color rgb="FF00353E"/>
      <name val="Wingdings"/>
      <charset val="2"/>
    </font>
    <font>
      <sz val="8"/>
      <color theme="1"/>
      <name val="Calibri"/>
      <family val="2"/>
    </font>
    <font>
      <sz val="12"/>
      <color theme="0"/>
      <name val="Arial"/>
      <family val="2"/>
    </font>
    <font>
      <b/>
      <sz val="16"/>
      <color rgb="FFAECC53"/>
      <name val="Arial"/>
      <family val="2"/>
    </font>
    <font>
      <b/>
      <sz val="18"/>
      <color rgb="FFAECC53"/>
      <name val="Arial"/>
      <family val="2"/>
    </font>
    <font>
      <sz val="8"/>
      <color theme="0"/>
      <name val="Calibri"/>
      <family val="2"/>
      <scheme val="minor"/>
    </font>
    <font>
      <sz val="12"/>
      <color theme="2"/>
      <name val="Arial"/>
      <family val="2"/>
    </font>
    <font>
      <b/>
      <sz val="12"/>
      <color theme="2"/>
      <name val="Arial"/>
      <family val="2"/>
    </font>
    <font>
      <sz val="12"/>
      <color rgb="FF00353E"/>
      <name val="Arial"/>
      <family val="2"/>
    </font>
    <font>
      <sz val="10"/>
      <color rgb="FF00353E"/>
      <name val="Arial"/>
      <family val="2"/>
    </font>
    <font>
      <vertAlign val="superscript"/>
      <sz val="10"/>
      <color theme="0"/>
      <name val="Arial"/>
      <family val="2"/>
    </font>
    <font>
      <sz val="10"/>
      <color theme="0"/>
      <name val="Calibri"/>
      <family val="2"/>
    </font>
    <font>
      <b/>
      <sz val="36"/>
      <color theme="0"/>
      <name val="Adobe Thai"/>
      <family val="1"/>
    </font>
    <font>
      <b/>
      <sz val="10"/>
      <color theme="2"/>
      <name val="Arial"/>
      <family val="2"/>
    </font>
    <font>
      <b/>
      <sz val="9"/>
      <color theme="1" tint="0.34998626667073579"/>
      <name val="Arial"/>
      <family val="2"/>
    </font>
    <font>
      <sz val="9"/>
      <color theme="1" tint="0.34998626667073579"/>
      <name val="Arial"/>
      <family val="2"/>
    </font>
    <font>
      <b/>
      <vertAlign val="subscript"/>
      <sz val="9"/>
      <color theme="1" tint="0.34998626667073579"/>
      <name val="Arial"/>
      <family val="2"/>
    </font>
    <font>
      <vertAlign val="superscript"/>
      <sz val="9"/>
      <color theme="1" tint="0.34998626667073579"/>
      <name val="Arial"/>
      <family val="2"/>
    </font>
    <font>
      <sz val="9"/>
      <color indexed="81"/>
      <name val="Arial"/>
      <family val="2"/>
    </font>
    <font>
      <i/>
      <sz val="10"/>
      <color rgb="FF00353E"/>
      <name val="Arial"/>
      <family val="2"/>
    </font>
    <font>
      <sz val="10"/>
      <name val="Symbol"/>
      <family val="1"/>
      <charset val="2"/>
    </font>
    <font>
      <b/>
      <i/>
      <u/>
      <sz val="11"/>
      <color theme="1"/>
      <name val="Calibri"/>
      <family val="2"/>
      <scheme val="minor"/>
    </font>
    <font>
      <sz val="8"/>
      <name val="Arial Narrow"/>
      <family val="2"/>
    </font>
    <font>
      <sz val="11"/>
      <name val="Arial Narrow"/>
      <family val="2"/>
    </font>
    <font>
      <sz val="8"/>
      <color theme="1"/>
      <name val="Arial Narrow"/>
      <family val="2"/>
    </font>
    <font>
      <sz val="8"/>
      <name val="Symbol"/>
      <family val="1"/>
      <charset val="2"/>
    </font>
    <font>
      <sz val="8"/>
      <color rgb="FFFF0000"/>
      <name val="Arial Narrow"/>
      <family val="2"/>
    </font>
    <font>
      <b/>
      <sz val="24"/>
      <color theme="1"/>
      <name val="Calibri"/>
      <family val="2"/>
      <scheme val="minor"/>
    </font>
    <font>
      <sz val="20"/>
      <color rgb="FFFF0000"/>
      <name val="Calibri"/>
      <family val="2"/>
      <scheme val="minor"/>
    </font>
    <font>
      <sz val="16"/>
      <color rgb="FFFF0000"/>
      <name val="Calibri"/>
      <family val="2"/>
      <scheme val="minor"/>
    </font>
    <font>
      <vertAlign val="subscript"/>
      <sz val="10"/>
      <color theme="1"/>
      <name val="Arial Narrow"/>
      <family val="2"/>
    </font>
    <font>
      <sz val="10"/>
      <color theme="1"/>
      <name val="Calibri"/>
      <family val="2"/>
    </font>
    <font>
      <vertAlign val="superscript"/>
      <sz val="10"/>
      <color theme="1"/>
      <name val="Arial Narrow"/>
      <family val="2"/>
    </font>
    <font>
      <b/>
      <sz val="26"/>
      <color theme="1"/>
      <name val="Calibri"/>
      <family val="2"/>
      <scheme val="minor"/>
    </font>
    <font>
      <b/>
      <sz val="22"/>
      <color theme="1"/>
      <name val="Calibri"/>
      <family val="2"/>
      <scheme val="minor"/>
    </font>
    <font>
      <b/>
      <sz val="9"/>
      <color rgb="FFFF0000"/>
      <name val="Arial"/>
      <family val="2"/>
    </font>
    <font>
      <b/>
      <sz val="9"/>
      <color rgb="FF008768"/>
      <name val="Arial"/>
      <family val="2"/>
    </font>
    <font>
      <b/>
      <sz val="7.2"/>
      <color rgb="FF008768"/>
      <name val="Arial"/>
      <family val="2"/>
    </font>
    <font>
      <b/>
      <sz val="9"/>
      <color rgb="FF008768"/>
      <name val="Calibri"/>
      <family val="2"/>
    </font>
    <font>
      <sz val="9"/>
      <color rgb="FFE52713"/>
      <name val="Arial"/>
      <family val="2"/>
    </font>
    <font>
      <sz val="11"/>
      <color theme="0"/>
      <name val="Calibri"/>
      <family val="2"/>
    </font>
    <font>
      <sz val="8"/>
      <color theme="0"/>
      <name val="Calibri"/>
      <family val="2"/>
    </font>
  </fonts>
  <fills count="24">
    <fill>
      <patternFill patternType="none"/>
    </fill>
    <fill>
      <patternFill patternType="gray125"/>
    </fill>
    <fill>
      <patternFill patternType="solid">
        <fgColor theme="0"/>
        <bgColor indexed="64"/>
      </patternFill>
    </fill>
    <fill>
      <patternFill patternType="solid">
        <fgColor rgb="FFFFCC99"/>
      </patternFill>
    </fill>
    <fill>
      <patternFill patternType="solid">
        <fgColor theme="2" tint="-9.9978637043366805E-2"/>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2"/>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4.9989318521683403E-2"/>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rgb="FFF8F8F8"/>
        <bgColor indexed="64"/>
      </patternFill>
    </fill>
    <fill>
      <patternFill patternType="solid">
        <fgColor theme="4" tint="0.79998168889431442"/>
        <bgColor indexed="64"/>
      </patternFill>
    </fill>
    <fill>
      <patternFill patternType="solid">
        <fgColor rgb="FFFFFF00"/>
        <bgColor indexed="64"/>
      </patternFill>
    </fill>
    <fill>
      <patternFill patternType="solid">
        <fgColor rgb="FF00353E"/>
        <bgColor indexed="64"/>
      </patternFill>
    </fill>
    <fill>
      <patternFill patternType="solid">
        <fgColor rgb="FF00353E"/>
        <bgColor rgb="FF000000"/>
      </patternFill>
    </fill>
    <fill>
      <patternFill patternType="solid">
        <fgColor rgb="FFAECC53"/>
        <bgColor indexed="64"/>
      </patternFill>
    </fill>
    <fill>
      <patternFill patternType="solid">
        <fgColor rgb="FFFFFFFF"/>
        <bgColor rgb="FF000000"/>
      </patternFill>
    </fill>
  </fills>
  <borders count="90">
    <border>
      <left/>
      <right/>
      <top/>
      <bottom/>
      <diagonal/>
    </border>
    <border>
      <left/>
      <right/>
      <top/>
      <bottom style="medium">
        <color rgb="FF00B5E2"/>
      </bottom>
      <diagonal/>
    </border>
    <border>
      <left style="thin">
        <color indexed="64"/>
      </left>
      <right/>
      <top/>
      <bottom/>
      <diagonal/>
    </border>
    <border>
      <left style="thin">
        <color indexed="64"/>
      </left>
      <right/>
      <top/>
      <bottom style="medium">
        <color rgb="FF00B5E2"/>
      </bottom>
      <diagonal/>
    </border>
    <border>
      <left/>
      <right style="thin">
        <color indexed="64"/>
      </right>
      <top/>
      <bottom/>
      <diagonal/>
    </border>
    <border>
      <left/>
      <right style="thin">
        <color indexed="64"/>
      </right>
      <top/>
      <bottom style="medium">
        <color rgb="FF00B5E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indexed="64"/>
      </left>
      <right style="thin">
        <color indexed="64"/>
      </right>
      <top/>
      <bottom/>
      <diagonal/>
    </border>
    <border>
      <left style="thin">
        <color indexed="64"/>
      </left>
      <right style="thin">
        <color indexed="64"/>
      </right>
      <top/>
      <bottom style="medium">
        <color rgb="FF00B5E2"/>
      </bottom>
      <diagonal/>
    </border>
    <border>
      <left/>
      <right/>
      <top style="thin">
        <color auto="1"/>
      </top>
      <bottom/>
      <diagonal/>
    </border>
    <border>
      <left/>
      <right style="thin">
        <color indexed="64"/>
      </right>
      <top style="medium">
        <color rgb="FF00B5E2"/>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top/>
      <bottom style="thin">
        <color rgb="FFAECC53"/>
      </bottom>
      <diagonal/>
    </border>
    <border>
      <left/>
      <right/>
      <top style="thin">
        <color rgb="FFAECC53"/>
      </top>
      <bottom/>
      <diagonal/>
    </border>
    <border>
      <left/>
      <right/>
      <top/>
      <bottom style="medium">
        <color rgb="FFAECC53"/>
      </bottom>
      <diagonal/>
    </border>
    <border>
      <left/>
      <right/>
      <top/>
      <bottom style="medium">
        <color rgb="FF008768"/>
      </bottom>
      <diagonal/>
    </border>
    <border>
      <left style="thin">
        <color rgb="FFAECC53"/>
      </left>
      <right style="thin">
        <color rgb="FFAECC53"/>
      </right>
      <top style="thin">
        <color rgb="FFAECC53"/>
      </top>
      <bottom style="thin">
        <color rgb="FFAECC53"/>
      </bottom>
      <diagonal/>
    </border>
    <border>
      <left/>
      <right/>
      <top/>
      <bottom style="medium">
        <color rgb="FF009A9B"/>
      </bottom>
      <diagonal/>
    </border>
    <border>
      <left/>
      <right/>
      <top/>
      <bottom style="thin">
        <color rgb="FF00353E"/>
      </bottom>
      <diagonal/>
    </border>
    <border>
      <left/>
      <right/>
      <top/>
      <bottom style="thick">
        <color rgb="FF008768"/>
      </bottom>
      <diagonal/>
    </border>
    <border>
      <left style="thin">
        <color rgb="FFAECC53"/>
      </left>
      <right style="thin">
        <color rgb="FFAECC53"/>
      </right>
      <top/>
      <bottom style="thin">
        <color rgb="FFAECC53"/>
      </bottom>
      <diagonal/>
    </border>
    <border>
      <left/>
      <right style="thin">
        <color rgb="FF008768"/>
      </right>
      <top/>
      <bottom/>
      <diagonal/>
    </border>
    <border>
      <left/>
      <right style="thin">
        <color rgb="FF008768"/>
      </right>
      <top/>
      <bottom style="medium">
        <color rgb="FF008768"/>
      </bottom>
      <diagonal/>
    </border>
    <border>
      <left style="thin">
        <color rgb="FF008768"/>
      </left>
      <right style="thin">
        <color rgb="FF008768"/>
      </right>
      <top/>
      <bottom/>
      <diagonal/>
    </border>
    <border>
      <left style="thin">
        <color rgb="FF008768"/>
      </left>
      <right/>
      <top/>
      <bottom/>
      <diagonal/>
    </border>
    <border>
      <left/>
      <right/>
      <top style="medium">
        <color rgb="FF008768"/>
      </top>
      <bottom/>
      <diagonal/>
    </border>
    <border>
      <left/>
      <right style="thin">
        <color rgb="FF008768"/>
      </right>
      <top style="medium">
        <color rgb="FF008768"/>
      </top>
      <bottom/>
      <diagonal/>
    </border>
    <border>
      <left style="thin">
        <color rgb="FF008768"/>
      </left>
      <right style="thin">
        <color rgb="FF008768"/>
      </right>
      <top style="medium">
        <color rgb="FF008768"/>
      </top>
      <bottom/>
      <diagonal/>
    </border>
    <border>
      <left style="thin">
        <color rgb="FF008768"/>
      </left>
      <right style="thin">
        <color rgb="FF008768"/>
      </right>
      <top/>
      <bottom style="medium">
        <color rgb="FF008768"/>
      </bottom>
      <diagonal/>
    </border>
    <border>
      <left/>
      <right/>
      <top style="medium">
        <color rgb="FFAECC53"/>
      </top>
      <bottom style="thin">
        <color rgb="FFAECC53"/>
      </bottom>
      <diagonal/>
    </border>
    <border>
      <left style="thin">
        <color indexed="64"/>
      </left>
      <right style="thin">
        <color indexed="64"/>
      </right>
      <top/>
      <bottom style="medium">
        <color rgb="FFAECC53"/>
      </bottom>
      <diagonal/>
    </border>
    <border>
      <left style="thin">
        <color indexed="64"/>
      </left>
      <right style="thin">
        <color indexed="64"/>
      </right>
      <top style="medium">
        <color rgb="FFAECC53"/>
      </top>
      <bottom style="thin">
        <color rgb="FFAECC53"/>
      </bottom>
      <diagonal/>
    </border>
    <border>
      <left style="thin">
        <color indexed="64"/>
      </left>
      <right style="thin">
        <color indexed="64"/>
      </right>
      <top/>
      <bottom style="thin">
        <color rgb="FFAECC53"/>
      </bottom>
      <diagonal/>
    </border>
    <border>
      <left/>
      <right/>
      <top style="thin">
        <color rgb="FFAECC53"/>
      </top>
      <bottom style="thin">
        <color rgb="FFAECC53"/>
      </bottom>
      <diagonal/>
    </border>
    <border>
      <left style="thin">
        <color indexed="64"/>
      </left>
      <right style="thin">
        <color indexed="64"/>
      </right>
      <top style="thin">
        <color rgb="FFAECC53"/>
      </top>
      <bottom style="thin">
        <color rgb="FFAECC53"/>
      </bottom>
      <diagonal/>
    </border>
    <border>
      <left/>
      <right style="thin">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thin">
        <color indexed="64"/>
      </bottom>
      <diagonal/>
    </border>
  </borders>
  <cellStyleXfs count="7">
    <xf numFmtId="0" fontId="0" fillId="0" borderId="0"/>
    <xf numFmtId="0" fontId="10" fillId="3" borderId="6" applyNumberFormat="0" applyAlignment="0" applyProtection="0"/>
    <xf numFmtId="0" fontId="11" fillId="0" borderId="7" applyNumberFormat="0" applyFill="0" applyAlignment="0" applyProtection="0"/>
    <xf numFmtId="0" fontId="12" fillId="0" borderId="0" applyNumberFormat="0" applyFill="0" applyBorder="0" applyAlignment="0" applyProtection="0"/>
    <xf numFmtId="0" fontId="32" fillId="0" borderId="0" applyNumberFormat="0" applyFill="0" applyBorder="0" applyAlignment="0" applyProtection="0"/>
    <xf numFmtId="0" fontId="53" fillId="0" borderId="0"/>
    <xf numFmtId="44" fontId="129" fillId="0" borderId="0" applyFont="0" applyFill="0" applyBorder="0" applyAlignment="0" applyProtection="0"/>
  </cellStyleXfs>
  <cellXfs count="1407">
    <xf numFmtId="0" fontId="0" fillId="0" borderId="0" xfId="0"/>
    <xf numFmtId="0" fontId="0" fillId="0" borderId="0" xfId="0" applyAlignment="1">
      <alignment horizontal="center"/>
    </xf>
    <xf numFmtId="0" fontId="0" fillId="0" borderId="0" xfId="0" applyAlignment="1">
      <alignment textRotation="90"/>
    </xf>
    <xf numFmtId="0" fontId="30" fillId="0" borderId="0" xfId="0" applyFont="1"/>
    <xf numFmtId="0" fontId="0" fillId="0" borderId="0" xfId="0" applyAlignment="1">
      <alignment vertical="center"/>
    </xf>
    <xf numFmtId="0" fontId="59" fillId="0" borderId="0" xfId="5" applyFont="1" applyAlignment="1">
      <alignment vertical="center" wrapText="1"/>
    </xf>
    <xf numFmtId="0" fontId="60" fillId="0" borderId="0" xfId="0" applyFont="1" applyAlignment="1">
      <alignment vertical="center"/>
    </xf>
    <xf numFmtId="0" fontId="61" fillId="0" borderId="0" xfId="0" applyFont="1" applyAlignment="1">
      <alignment vertical="center"/>
    </xf>
    <xf numFmtId="0" fontId="62" fillId="6" borderId="30" xfId="0" applyFont="1" applyFill="1" applyBorder="1" applyAlignment="1">
      <alignment horizontal="center" textRotation="90"/>
    </xf>
    <xf numFmtId="0" fontId="30" fillId="6" borderId="30" xfId="0" applyFont="1" applyFill="1" applyBorder="1" applyAlignment="1">
      <alignment horizontal="center" textRotation="90"/>
    </xf>
    <xf numFmtId="0" fontId="62" fillId="6" borderId="30" xfId="0" applyFont="1" applyFill="1" applyBorder="1" applyAlignment="1">
      <alignment horizontal="center" textRotation="90" wrapText="1"/>
    </xf>
    <xf numFmtId="0" fontId="30" fillId="6" borderId="30" xfId="0" applyFont="1" applyFill="1" applyBorder="1" applyAlignment="1">
      <alignment horizontal="center" textRotation="90" wrapText="1"/>
    </xf>
    <xf numFmtId="0" fontId="29" fillId="6" borderId="30" xfId="0" applyFont="1" applyFill="1" applyBorder="1" applyAlignment="1">
      <alignment horizontal="center"/>
    </xf>
    <xf numFmtId="0" fontId="62" fillId="6" borderId="31" xfId="0" applyFont="1" applyFill="1" applyBorder="1" applyAlignment="1">
      <alignment horizontal="center" vertical="center" wrapText="1"/>
    </xf>
    <xf numFmtId="0" fontId="62" fillId="6" borderId="31" xfId="0" applyFont="1" applyFill="1" applyBorder="1" applyAlignment="1">
      <alignment horizontal="center"/>
    </xf>
    <xf numFmtId="0" fontId="64" fillId="6" borderId="22" xfId="0" applyFont="1" applyFill="1" applyBorder="1" applyAlignment="1">
      <alignment horizontal="center" vertical="center" wrapText="1"/>
    </xf>
    <xf numFmtId="0" fontId="30" fillId="6" borderId="35" xfId="0" applyFont="1" applyFill="1" applyBorder="1" applyAlignment="1">
      <alignment horizontal="center" wrapText="1"/>
    </xf>
    <xf numFmtId="168" fontId="61" fillId="0" borderId="0" xfId="5" applyNumberFormat="1" applyFont="1" applyAlignment="1">
      <alignment vertical="center"/>
    </xf>
    <xf numFmtId="0" fontId="59" fillId="0" borderId="0" xfId="5" applyFont="1" applyAlignment="1">
      <alignment horizontal="center" vertical="center"/>
    </xf>
    <xf numFmtId="0" fontId="61" fillId="0" borderId="0" xfId="5" applyFont="1" applyAlignment="1">
      <alignment horizontal="center" vertical="center"/>
    </xf>
    <xf numFmtId="0" fontId="62" fillId="6" borderId="41" xfId="0" applyFont="1" applyFill="1" applyBorder="1"/>
    <xf numFmtId="0" fontId="46" fillId="6" borderId="31" xfId="0" applyFont="1" applyFill="1" applyBorder="1"/>
    <xf numFmtId="0" fontId="46" fillId="12" borderId="31" xfId="0" applyFont="1" applyFill="1" applyBorder="1" applyAlignment="1">
      <alignment horizontal="center"/>
    </xf>
    <xf numFmtId="0" fontId="46" fillId="12" borderId="22" xfId="0" applyFont="1" applyFill="1" applyBorder="1" applyAlignment="1">
      <alignment horizontal="center"/>
    </xf>
    <xf numFmtId="0" fontId="46" fillId="12" borderId="22" xfId="0" quotePrefix="1" applyFont="1" applyFill="1" applyBorder="1" applyAlignment="1">
      <alignment horizontal="center"/>
    </xf>
    <xf numFmtId="0" fontId="0" fillId="12" borderId="23" xfId="0" applyFill="1" applyBorder="1" applyAlignment="1">
      <alignment horizontal="center"/>
    </xf>
    <xf numFmtId="0" fontId="40" fillId="0" borderId="0" xfId="5" applyFont="1" applyAlignment="1">
      <alignment vertical="center"/>
    </xf>
    <xf numFmtId="0" fontId="62" fillId="6" borderId="39" xfId="0" applyFont="1" applyFill="1" applyBorder="1"/>
    <xf numFmtId="0" fontId="46" fillId="6" borderId="35" xfId="0" applyFont="1" applyFill="1" applyBorder="1"/>
    <xf numFmtId="0" fontId="46" fillId="12" borderId="35" xfId="0" applyFont="1" applyFill="1" applyBorder="1" applyAlignment="1">
      <alignment horizontal="center"/>
    </xf>
    <xf numFmtId="0" fontId="46" fillId="12" borderId="23" xfId="0" applyFont="1" applyFill="1" applyBorder="1" applyAlignment="1">
      <alignment horizontal="center"/>
    </xf>
    <xf numFmtId="0" fontId="46" fillId="12" borderId="0" xfId="0" applyFont="1" applyFill="1" applyAlignment="1">
      <alignment horizontal="center"/>
    </xf>
    <xf numFmtId="0" fontId="0" fillId="12" borderId="25" xfId="0" applyFill="1" applyBorder="1" applyAlignment="1">
      <alignment horizontal="center"/>
    </xf>
    <xf numFmtId="0" fontId="61" fillId="0" borderId="0" xfId="5" applyFont="1" applyAlignment="1">
      <alignment vertical="center"/>
    </xf>
    <xf numFmtId="0" fontId="46" fillId="12" borderId="25" xfId="0" applyFont="1" applyFill="1" applyBorder="1" applyAlignment="1">
      <alignment horizontal="center"/>
    </xf>
    <xf numFmtId="0" fontId="65" fillId="0" borderId="0" xfId="5" applyFont="1" applyAlignment="1">
      <alignment vertical="center"/>
    </xf>
    <xf numFmtId="0" fontId="66" fillId="0" borderId="0" xfId="5" applyFont="1" applyAlignment="1">
      <alignment vertical="center"/>
    </xf>
    <xf numFmtId="1" fontId="46" fillId="12" borderId="35" xfId="0" applyNumberFormat="1" applyFont="1" applyFill="1" applyBorder="1" applyAlignment="1">
      <alignment horizontal="center"/>
    </xf>
    <xf numFmtId="0" fontId="46" fillId="12" borderId="28" xfId="0" applyFont="1" applyFill="1" applyBorder="1" applyAlignment="1">
      <alignment horizontal="center"/>
    </xf>
    <xf numFmtId="164" fontId="0" fillId="12" borderId="25" xfId="0" applyNumberFormat="1" applyFill="1" applyBorder="1" applyAlignment="1">
      <alignment horizontal="center"/>
    </xf>
    <xf numFmtId="0" fontId="29" fillId="0" borderId="0" xfId="0" applyFont="1" applyAlignment="1">
      <alignment horizontal="center"/>
    </xf>
    <xf numFmtId="0" fontId="31" fillId="0" borderId="0" xfId="0" applyFont="1" applyAlignment="1">
      <alignment horizontal="center"/>
    </xf>
    <xf numFmtId="0" fontId="46" fillId="12" borderId="34" xfId="0" applyFont="1" applyFill="1" applyBorder="1" applyAlignment="1">
      <alignment horizontal="center"/>
    </xf>
    <xf numFmtId="0" fontId="31" fillId="0" borderId="0" xfId="0" applyFont="1" applyAlignment="1">
      <alignment horizontal="center" textRotation="90" wrapText="1"/>
    </xf>
    <xf numFmtId="164" fontId="46" fillId="12" borderId="31" xfId="0" applyNumberFormat="1" applyFont="1" applyFill="1" applyBorder="1" applyAlignment="1">
      <alignment horizontal="center"/>
    </xf>
    <xf numFmtId="2" fontId="46" fillId="12" borderId="21" xfId="0" applyNumberFormat="1" applyFont="1" applyFill="1" applyBorder="1" applyAlignment="1">
      <alignment horizontal="center"/>
    </xf>
    <xf numFmtId="0" fontId="0" fillId="12" borderId="35" xfId="0" applyFill="1" applyBorder="1" applyAlignment="1">
      <alignment horizontal="center"/>
    </xf>
    <xf numFmtId="0" fontId="31" fillId="0" borderId="0" xfId="0" applyFont="1" applyAlignment="1">
      <alignment horizontal="center" wrapText="1"/>
    </xf>
    <xf numFmtId="164" fontId="46" fillId="12" borderId="35" xfId="0" applyNumberFormat="1" applyFont="1" applyFill="1" applyBorder="1" applyAlignment="1">
      <alignment horizontal="center"/>
    </xf>
    <xf numFmtId="2" fontId="46" fillId="12" borderId="24" xfId="0" applyNumberFormat="1" applyFont="1" applyFill="1" applyBorder="1" applyAlignment="1">
      <alignment horizontal="center"/>
    </xf>
    <xf numFmtId="164" fontId="46" fillId="12" borderId="34" xfId="0" applyNumberFormat="1" applyFont="1" applyFill="1" applyBorder="1" applyAlignment="1">
      <alignment horizontal="center"/>
    </xf>
    <xf numFmtId="2" fontId="46" fillId="12" borderId="26" xfId="0" applyNumberFormat="1" applyFont="1" applyFill="1" applyBorder="1" applyAlignment="1">
      <alignment horizontal="center"/>
    </xf>
    <xf numFmtId="0" fontId="46" fillId="12" borderId="27" xfId="0" applyFont="1" applyFill="1" applyBorder="1" applyAlignment="1">
      <alignment horizontal="center"/>
    </xf>
    <xf numFmtId="0" fontId="62" fillId="6" borderId="34" xfId="0" applyFont="1" applyFill="1" applyBorder="1"/>
    <xf numFmtId="0" fontId="0" fillId="6" borderId="34" xfId="0" applyFill="1" applyBorder="1"/>
    <xf numFmtId="0" fontId="46" fillId="12" borderId="26" xfId="0" applyFont="1" applyFill="1" applyBorder="1" applyAlignment="1">
      <alignment horizontal="center"/>
    </xf>
    <xf numFmtId="0" fontId="0" fillId="12" borderId="0" xfId="0" applyFill="1" applyAlignment="1">
      <alignment horizontal="center"/>
    </xf>
    <xf numFmtId="2" fontId="46" fillId="12" borderId="0" xfId="0" applyNumberFormat="1" applyFont="1" applyFill="1" applyAlignment="1">
      <alignment horizontal="center"/>
    </xf>
    <xf numFmtId="3" fontId="46" fillId="12" borderId="35" xfId="0" applyNumberFormat="1" applyFont="1" applyFill="1" applyBorder="1" applyAlignment="1">
      <alignment horizontal="center"/>
    </xf>
    <xf numFmtId="0" fontId="62" fillId="6" borderId="40" xfId="0" applyFont="1" applyFill="1" applyBorder="1"/>
    <xf numFmtId="0" fontId="46" fillId="6" borderId="34" xfId="0" applyFont="1" applyFill="1" applyBorder="1"/>
    <xf numFmtId="0" fontId="0" fillId="12" borderId="28" xfId="0" applyFill="1" applyBorder="1" applyAlignment="1">
      <alignment horizontal="center"/>
    </xf>
    <xf numFmtId="0" fontId="62" fillId="6" borderId="0" xfId="0" applyFont="1" applyFill="1"/>
    <xf numFmtId="0" fontId="46" fillId="6" borderId="0" xfId="0" applyFont="1" applyFill="1"/>
    <xf numFmtId="2" fontId="31" fillId="0" borderId="0" xfId="0" applyNumberFormat="1" applyFont="1" applyAlignment="1">
      <alignment horizontal="center"/>
    </xf>
    <xf numFmtId="0" fontId="31" fillId="0" borderId="0" xfId="0" applyFont="1" applyAlignment="1">
      <alignment horizontal="center" textRotation="90"/>
    </xf>
    <xf numFmtId="0" fontId="48" fillId="0" borderId="0" xfId="0" applyFont="1" applyAlignment="1">
      <alignment horizontal="center"/>
    </xf>
    <xf numFmtId="0" fontId="15" fillId="20" borderId="0" xfId="0" applyFont="1" applyFill="1" applyAlignment="1" applyProtection="1">
      <alignment horizontal="left" vertical="center"/>
      <protection hidden="1"/>
    </xf>
    <xf numFmtId="0" fontId="3" fillId="20" borderId="0" xfId="0" applyFont="1" applyFill="1" applyAlignment="1" applyProtection="1">
      <alignment horizontal="center" vertical="center"/>
      <protection hidden="1"/>
    </xf>
    <xf numFmtId="0" fontId="3" fillId="20" borderId="0" xfId="0" applyFont="1" applyFill="1" applyAlignment="1" applyProtection="1">
      <alignment vertical="center"/>
      <protection hidden="1"/>
    </xf>
    <xf numFmtId="0" fontId="24" fillId="20" borderId="0" xfId="0" applyFont="1" applyFill="1" applyAlignment="1" applyProtection="1">
      <alignment vertical="center"/>
      <protection hidden="1"/>
    </xf>
    <xf numFmtId="0" fontId="131" fillId="20" borderId="0" xfId="0" applyFont="1" applyFill="1" applyAlignment="1" applyProtection="1">
      <alignment horizontal="left" vertical="center"/>
      <protection hidden="1"/>
    </xf>
    <xf numFmtId="0" fontId="122" fillId="20" borderId="64" xfId="0" applyFont="1" applyFill="1" applyBorder="1" applyAlignment="1" applyProtection="1">
      <alignment horizontal="center" vertical="center" wrapText="1"/>
      <protection hidden="1"/>
    </xf>
    <xf numFmtId="0" fontId="21" fillId="20" borderId="0" xfId="0" applyFont="1" applyFill="1" applyAlignment="1" applyProtection="1">
      <alignment horizontal="center" vertical="center"/>
      <protection hidden="1"/>
    </xf>
    <xf numFmtId="0" fontId="21" fillId="20" borderId="0" xfId="0" applyFont="1" applyFill="1" applyAlignment="1" applyProtection="1">
      <alignment vertical="center"/>
      <protection hidden="1"/>
    </xf>
    <xf numFmtId="0" fontId="132" fillId="20" borderId="0" xfId="0" applyFont="1" applyFill="1" applyAlignment="1" applyProtection="1">
      <alignment vertical="center"/>
      <protection hidden="1"/>
    </xf>
    <xf numFmtId="2" fontId="3" fillId="20" borderId="0" xfId="0" applyNumberFormat="1" applyFont="1" applyFill="1" applyAlignment="1" applyProtection="1">
      <alignment vertical="center"/>
      <protection hidden="1"/>
    </xf>
    <xf numFmtId="2" fontId="25" fillId="20" borderId="0" xfId="0" applyNumberFormat="1" applyFont="1" applyFill="1" applyAlignment="1" applyProtection="1">
      <alignment horizontal="center" vertical="center" wrapText="1"/>
      <protection hidden="1"/>
    </xf>
    <xf numFmtId="1" fontId="3" fillId="20" borderId="0" xfId="0" applyNumberFormat="1" applyFont="1" applyFill="1" applyAlignment="1" applyProtection="1">
      <alignment vertical="center"/>
      <protection hidden="1"/>
    </xf>
    <xf numFmtId="0" fontId="3" fillId="20" borderId="0" xfId="0" applyFont="1" applyFill="1" applyAlignment="1" applyProtection="1">
      <alignment horizontal="center" vertical="center" wrapText="1"/>
      <protection hidden="1"/>
    </xf>
    <xf numFmtId="0" fontId="24" fillId="20" borderId="0" xfId="0" applyFont="1" applyFill="1" applyAlignment="1" applyProtection="1">
      <alignment horizontal="center" vertical="center" wrapText="1"/>
      <protection hidden="1"/>
    </xf>
    <xf numFmtId="0" fontId="21" fillId="20" borderId="0" xfId="0" applyFont="1" applyFill="1" applyAlignment="1" applyProtection="1">
      <alignment horizontal="left" vertical="center"/>
      <protection hidden="1"/>
    </xf>
    <xf numFmtId="1" fontId="21" fillId="20" borderId="0" xfId="0" applyNumberFormat="1" applyFont="1" applyFill="1" applyAlignment="1" applyProtection="1">
      <alignment horizontal="left" vertical="center"/>
      <protection hidden="1"/>
    </xf>
    <xf numFmtId="0" fontId="3" fillId="20" borderId="67" xfId="0" applyFont="1" applyFill="1" applyBorder="1" applyAlignment="1" applyProtection="1">
      <alignment vertical="center"/>
      <protection hidden="1"/>
    </xf>
    <xf numFmtId="0" fontId="3" fillId="20" borderId="67" xfId="0" applyFont="1" applyFill="1" applyBorder="1" applyAlignment="1" applyProtection="1">
      <alignment horizontal="center" vertical="center"/>
      <protection hidden="1"/>
    </xf>
    <xf numFmtId="0" fontId="21" fillId="20" borderId="0" xfId="0" applyFont="1" applyFill="1" applyAlignment="1" applyProtection="1">
      <alignment horizontal="right" vertical="center"/>
      <protection hidden="1"/>
    </xf>
    <xf numFmtId="2" fontId="21" fillId="20" borderId="0" xfId="0" applyNumberFormat="1" applyFont="1" applyFill="1" applyAlignment="1" applyProtection="1">
      <alignment horizontal="right" vertical="center"/>
      <protection hidden="1"/>
    </xf>
    <xf numFmtId="165" fontId="26" fillId="20" borderId="0" xfId="0" applyNumberFormat="1" applyFont="1" applyFill="1" applyAlignment="1" applyProtection="1">
      <alignment horizontal="left" vertical="center"/>
      <protection hidden="1"/>
    </xf>
    <xf numFmtId="0" fontId="117" fillId="20" borderId="0" xfId="0" applyFont="1" applyFill="1" applyAlignment="1" applyProtection="1">
      <alignment vertical="center"/>
      <protection hidden="1"/>
    </xf>
    <xf numFmtId="1" fontId="21" fillId="20" borderId="0" xfId="0" applyNumberFormat="1" applyFont="1" applyFill="1" applyAlignment="1" applyProtection="1">
      <alignment vertical="center"/>
      <protection hidden="1"/>
    </xf>
    <xf numFmtId="1" fontId="132" fillId="20" borderId="0" xfId="0" applyNumberFormat="1" applyFont="1" applyFill="1" applyAlignment="1" applyProtection="1">
      <alignment vertical="center"/>
      <protection hidden="1"/>
    </xf>
    <xf numFmtId="2" fontId="122" fillId="20" borderId="0" xfId="0" applyNumberFormat="1" applyFont="1" applyFill="1" applyAlignment="1" applyProtection="1">
      <alignment horizontal="right" vertical="center" wrapText="1"/>
      <protection hidden="1"/>
    </xf>
    <xf numFmtId="1" fontId="24" fillId="20" borderId="0" xfId="0" applyNumberFormat="1" applyFont="1" applyFill="1" applyAlignment="1" applyProtection="1">
      <alignment vertical="center"/>
      <protection hidden="1"/>
    </xf>
    <xf numFmtId="0" fontId="15" fillId="20" borderId="0" xfId="0" applyFont="1" applyFill="1" applyAlignment="1" applyProtection="1">
      <alignment vertical="center"/>
      <protection hidden="1"/>
    </xf>
    <xf numFmtId="0" fontId="137" fillId="20" borderId="0" xfId="0" applyFont="1" applyFill="1" applyAlignment="1" applyProtection="1">
      <alignment vertical="center"/>
      <protection hidden="1"/>
    </xf>
    <xf numFmtId="1" fontId="15" fillId="20" borderId="0" xfId="0" applyNumberFormat="1" applyFont="1" applyFill="1" applyAlignment="1" applyProtection="1">
      <alignment vertical="center"/>
      <protection hidden="1"/>
    </xf>
    <xf numFmtId="1" fontId="140" fillId="20" borderId="0" xfId="0" applyNumberFormat="1" applyFont="1" applyFill="1" applyAlignment="1" applyProtection="1">
      <alignment vertical="center"/>
      <protection hidden="1"/>
    </xf>
    <xf numFmtId="0" fontId="125" fillId="20" borderId="0" xfId="0" applyFont="1" applyFill="1" applyAlignment="1" applyProtection="1">
      <alignment vertical="center"/>
      <protection hidden="1"/>
    </xf>
    <xf numFmtId="0" fontId="108" fillId="20" borderId="0" xfId="0" applyFont="1" applyFill="1" applyAlignment="1" applyProtection="1">
      <alignment horizontal="left" vertical="center" indent="1"/>
      <protection hidden="1"/>
    </xf>
    <xf numFmtId="0" fontId="103" fillId="20" borderId="0" xfId="0" applyFont="1" applyFill="1" applyAlignment="1" applyProtection="1">
      <alignment vertical="center"/>
      <protection hidden="1"/>
    </xf>
    <xf numFmtId="0" fontId="139" fillId="20" borderId="0" xfId="0" applyFont="1" applyFill="1" applyAlignment="1" applyProtection="1">
      <alignment horizontal="left" vertical="center" indent="1"/>
      <protection hidden="1"/>
    </xf>
    <xf numFmtId="0" fontId="15" fillId="20" borderId="0" xfId="0" applyFont="1" applyFill="1" applyAlignment="1" applyProtection="1">
      <alignment horizontal="center" vertical="center"/>
      <protection hidden="1"/>
    </xf>
    <xf numFmtId="0" fontId="140" fillId="20" borderId="0" xfId="0" applyFont="1" applyFill="1" applyAlignment="1" applyProtection="1">
      <alignment vertical="center"/>
      <protection hidden="1"/>
    </xf>
    <xf numFmtId="2" fontId="15" fillId="20" borderId="0" xfId="0" applyNumberFormat="1" applyFont="1" applyFill="1" applyAlignment="1" applyProtection="1">
      <alignment horizontal="right" vertical="center"/>
      <protection hidden="1"/>
    </xf>
    <xf numFmtId="0" fontId="65" fillId="20" borderId="0" xfId="0" applyFont="1" applyFill="1" applyAlignment="1" applyProtection="1">
      <alignment vertical="center"/>
      <protection hidden="1"/>
    </xf>
    <xf numFmtId="0" fontId="143" fillId="20" borderId="0" xfId="0" applyFont="1" applyFill="1" applyAlignment="1" applyProtection="1">
      <alignment vertical="center"/>
      <protection hidden="1"/>
    </xf>
    <xf numFmtId="0" fontId="137" fillId="20" borderId="0" xfId="0" applyFont="1" applyFill="1" applyAlignment="1" applyProtection="1">
      <alignment horizontal="center" vertical="center" wrapText="1"/>
      <protection hidden="1"/>
    </xf>
    <xf numFmtId="1" fontId="133" fillId="20" borderId="0" xfId="0" applyNumberFormat="1" applyFont="1" applyFill="1" applyAlignment="1" applyProtection="1">
      <alignment horizontal="left" vertical="center" indent="1"/>
      <protection hidden="1"/>
    </xf>
    <xf numFmtId="174" fontId="143" fillId="20" borderId="0" xfId="0" applyNumberFormat="1" applyFont="1" applyFill="1" applyAlignment="1" applyProtection="1">
      <alignment horizontal="left" vertical="center"/>
      <protection hidden="1"/>
    </xf>
    <xf numFmtId="1" fontId="133" fillId="20" borderId="0" xfId="0" applyNumberFormat="1" applyFont="1" applyFill="1" applyAlignment="1" applyProtection="1">
      <alignment horizontal="left" vertical="center"/>
      <protection hidden="1"/>
    </xf>
    <xf numFmtId="0" fontId="114" fillId="20" borderId="0" xfId="0" applyFont="1" applyFill="1" applyAlignment="1" applyProtection="1">
      <alignment vertical="center"/>
      <protection hidden="1"/>
    </xf>
    <xf numFmtId="0" fontId="114" fillId="20" borderId="0" xfId="0" applyFont="1" applyFill="1" applyAlignment="1" applyProtection="1">
      <alignment horizontal="left" vertical="center"/>
      <protection hidden="1"/>
    </xf>
    <xf numFmtId="0" fontId="100" fillId="20" borderId="0" xfId="0" applyFont="1" applyFill="1" applyAlignment="1" applyProtection="1">
      <alignment vertical="center"/>
      <protection hidden="1"/>
    </xf>
    <xf numFmtId="0" fontId="114" fillId="20" borderId="0" xfId="0" applyFont="1" applyFill="1" applyAlignment="1" applyProtection="1">
      <alignment horizontal="right" vertical="center" indent="1"/>
      <protection hidden="1"/>
    </xf>
    <xf numFmtId="2" fontId="114" fillId="20" borderId="0" xfId="0" applyNumberFormat="1" applyFont="1" applyFill="1" applyAlignment="1" applyProtection="1">
      <alignment vertical="center"/>
      <protection hidden="1"/>
    </xf>
    <xf numFmtId="0" fontId="144" fillId="20" borderId="0" xfId="0" applyFont="1" applyFill="1" applyAlignment="1" applyProtection="1">
      <alignment vertical="center"/>
      <protection hidden="1"/>
    </xf>
    <xf numFmtId="0" fontId="114" fillId="20" borderId="0" xfId="1" applyFont="1" applyFill="1" applyBorder="1" applyAlignment="1" applyProtection="1">
      <alignment horizontal="left" vertical="center"/>
      <protection hidden="1"/>
    </xf>
    <xf numFmtId="0" fontId="144" fillId="20" borderId="0" xfId="0" applyFont="1" applyFill="1" applyAlignment="1" applyProtection="1">
      <alignment horizontal="center" vertical="center"/>
      <protection hidden="1"/>
    </xf>
    <xf numFmtId="0" fontId="100" fillId="20" borderId="0" xfId="0" applyFont="1" applyFill="1" applyAlignment="1" applyProtection="1">
      <alignment horizontal="left" vertical="center"/>
      <protection hidden="1"/>
    </xf>
    <xf numFmtId="0" fontId="1" fillId="20" borderId="0" xfId="0" applyFont="1" applyFill="1" applyAlignment="1" applyProtection="1">
      <alignment vertical="center"/>
      <protection hidden="1"/>
    </xf>
    <xf numFmtId="0" fontId="138" fillId="20" borderId="0" xfId="0" applyFont="1" applyFill="1" applyAlignment="1" applyProtection="1">
      <alignment horizontal="left" vertical="center"/>
      <protection hidden="1"/>
    </xf>
    <xf numFmtId="0" fontId="114" fillId="20" borderId="68" xfId="0" applyFont="1" applyFill="1" applyBorder="1" applyAlignment="1" applyProtection="1">
      <alignment vertical="center"/>
      <protection hidden="1"/>
    </xf>
    <xf numFmtId="164" fontId="114" fillId="20" borderId="66" xfId="1" applyNumberFormat="1" applyFont="1" applyFill="1" applyBorder="1" applyAlignment="1" applyProtection="1">
      <alignment horizontal="left" vertical="center"/>
      <protection locked="0"/>
    </xf>
    <xf numFmtId="0" fontId="100" fillId="20" borderId="0" xfId="0" applyFont="1" applyFill="1" applyAlignment="1" applyProtection="1">
      <alignment horizontal="center" wrapText="1"/>
      <protection hidden="1"/>
    </xf>
    <xf numFmtId="0" fontId="114" fillId="20" borderId="66" xfId="1" applyFont="1" applyFill="1" applyBorder="1" applyAlignment="1" applyProtection="1">
      <alignment horizontal="center" vertical="center"/>
      <protection locked="0"/>
    </xf>
    <xf numFmtId="0" fontId="114" fillId="20" borderId="0" xfId="0" applyFont="1" applyFill="1" applyAlignment="1" applyProtection="1">
      <alignment horizontal="center" vertical="center"/>
      <protection hidden="1"/>
    </xf>
    <xf numFmtId="0" fontId="3" fillId="0" borderId="0" xfId="0" applyFont="1" applyAlignment="1" applyProtection="1">
      <alignment vertical="center"/>
      <protection hidden="1"/>
    </xf>
    <xf numFmtId="0" fontId="125" fillId="20" borderId="67" xfId="0" applyFont="1" applyFill="1" applyBorder="1" applyAlignment="1" applyProtection="1">
      <alignment vertical="center"/>
      <protection hidden="1"/>
    </xf>
    <xf numFmtId="0" fontId="108" fillId="20" borderId="0" xfId="0" applyFont="1" applyFill="1" applyAlignment="1" applyProtection="1">
      <alignment vertical="center"/>
      <protection hidden="1"/>
    </xf>
    <xf numFmtId="0" fontId="138" fillId="20" borderId="0" xfId="0" applyFont="1" applyFill="1" applyAlignment="1" applyProtection="1">
      <alignment horizontal="left" vertical="top"/>
      <protection hidden="1"/>
    </xf>
    <xf numFmtId="0" fontId="114" fillId="20" borderId="0" xfId="0" applyFont="1" applyFill="1" applyAlignment="1" applyProtection="1">
      <alignment horizontal="right" vertical="center"/>
      <protection hidden="1"/>
    </xf>
    <xf numFmtId="0" fontId="114" fillId="20" borderId="0" xfId="0" applyFont="1" applyFill="1" applyAlignment="1" applyProtection="1">
      <alignment horizontal="right" vertical="center" indent="2"/>
      <protection hidden="1"/>
    </xf>
    <xf numFmtId="0" fontId="144" fillId="20" borderId="0" xfId="0" applyFont="1" applyFill="1" applyAlignment="1" applyProtection="1">
      <alignment horizontal="right" vertical="center" indent="2"/>
      <protection hidden="1"/>
    </xf>
    <xf numFmtId="0" fontId="154" fillId="20" borderId="0" xfId="3" applyFont="1" applyFill="1" applyAlignment="1" applyProtection="1">
      <alignment horizontal="left" vertical="center"/>
      <protection hidden="1"/>
    </xf>
    <xf numFmtId="0" fontId="125" fillId="20" borderId="0" xfId="0" applyFont="1" applyFill="1" applyAlignment="1" applyProtection="1">
      <alignment horizontal="center" vertical="center"/>
      <protection hidden="1"/>
    </xf>
    <xf numFmtId="0" fontId="126" fillId="20" borderId="0" xfId="0" applyFont="1" applyFill="1" applyAlignment="1" applyProtection="1">
      <alignment horizontal="left" vertical="center"/>
      <protection hidden="1"/>
    </xf>
    <xf numFmtId="0" fontId="3" fillId="20" borderId="62" xfId="0" applyFont="1" applyFill="1" applyBorder="1" applyAlignment="1" applyProtection="1">
      <alignment horizontal="center" vertical="center"/>
      <protection hidden="1"/>
    </xf>
    <xf numFmtId="165" fontId="21" fillId="20" borderId="0" xfId="0" applyNumberFormat="1" applyFont="1" applyFill="1" applyAlignment="1" applyProtection="1">
      <alignment horizontal="left" vertical="center"/>
      <protection hidden="1"/>
    </xf>
    <xf numFmtId="0" fontId="131" fillId="20" borderId="0" xfId="0" applyFont="1" applyFill="1" applyAlignment="1" applyProtection="1">
      <alignment horizontal="left" vertical="center" indent="3"/>
      <protection hidden="1"/>
    </xf>
    <xf numFmtId="0" fontId="3" fillId="20" borderId="0" xfId="0" applyFont="1" applyFill="1" applyProtection="1">
      <protection hidden="1"/>
    </xf>
    <xf numFmtId="0" fontId="3" fillId="20" borderId="0" xfId="0" applyFont="1" applyFill="1" applyAlignment="1" applyProtection="1">
      <alignment horizontal="center"/>
      <protection hidden="1"/>
    </xf>
    <xf numFmtId="0" fontId="24" fillId="20" borderId="0" xfId="0" applyFont="1" applyFill="1" applyProtection="1">
      <protection hidden="1"/>
    </xf>
    <xf numFmtId="0" fontId="114" fillId="20" borderId="70" xfId="1" applyFont="1" applyFill="1" applyBorder="1" applyAlignment="1" applyProtection="1">
      <alignment horizontal="left" vertical="center"/>
      <protection locked="0"/>
    </xf>
    <xf numFmtId="0" fontId="100" fillId="20" borderId="0" xfId="0" applyFont="1" applyFill="1" applyAlignment="1" applyProtection="1">
      <alignment horizontal="left"/>
      <protection hidden="1"/>
    </xf>
    <xf numFmtId="0" fontId="100" fillId="20" borderId="62" xfId="0" applyFont="1" applyFill="1" applyBorder="1" applyAlignment="1" applyProtection="1">
      <alignment horizontal="right" vertical="top" wrapText="1" indent="1"/>
      <protection hidden="1"/>
    </xf>
    <xf numFmtId="0" fontId="100" fillId="20" borderId="62" xfId="0" applyFont="1" applyFill="1" applyBorder="1" applyAlignment="1" applyProtection="1">
      <alignment horizontal="left" vertical="top" wrapText="1"/>
      <protection hidden="1"/>
    </xf>
    <xf numFmtId="166" fontId="114" fillId="20" borderId="0" xfId="0" applyNumberFormat="1" applyFont="1" applyFill="1" applyAlignment="1" applyProtection="1">
      <alignment horizontal="left" vertical="center" indent="1"/>
      <protection hidden="1"/>
    </xf>
    <xf numFmtId="0" fontId="100" fillId="20" borderId="62" xfId="0" applyFont="1" applyFill="1" applyBorder="1" applyAlignment="1" applyProtection="1">
      <alignment horizontal="left" vertical="top" indent="1"/>
      <protection hidden="1"/>
    </xf>
    <xf numFmtId="167" fontId="117" fillId="20" borderId="0" xfId="0" applyNumberFormat="1" applyFont="1" applyFill="1" applyAlignment="1" applyProtection="1">
      <alignment horizontal="center"/>
      <protection hidden="1"/>
    </xf>
    <xf numFmtId="0" fontId="147" fillId="20" borderId="0" xfId="0" applyFont="1" applyFill="1" applyAlignment="1" applyProtection="1">
      <alignment vertical="center"/>
      <protection hidden="1"/>
    </xf>
    <xf numFmtId="0" fontId="21" fillId="20" borderId="0" xfId="0" applyFont="1" applyFill="1" applyProtection="1">
      <protection hidden="1"/>
    </xf>
    <xf numFmtId="1" fontId="21" fillId="20" borderId="0" xfId="0" applyNumberFormat="1" applyFont="1" applyFill="1" applyAlignment="1" applyProtection="1">
      <alignment horizontal="center"/>
      <protection hidden="1"/>
    </xf>
    <xf numFmtId="0" fontId="21" fillId="20" borderId="0" xfId="0" applyFont="1" applyFill="1" applyAlignment="1" applyProtection="1">
      <alignment horizontal="center"/>
      <protection hidden="1"/>
    </xf>
    <xf numFmtId="0" fontId="128" fillId="20" borderId="67" xfId="0" applyFont="1" applyFill="1" applyBorder="1" applyAlignment="1" applyProtection="1">
      <alignment vertical="center"/>
      <protection hidden="1"/>
    </xf>
    <xf numFmtId="0" fontId="21" fillId="20" borderId="67" xfId="0" applyFont="1" applyFill="1" applyBorder="1" applyProtection="1">
      <protection hidden="1"/>
    </xf>
    <xf numFmtId="1" fontId="117" fillId="20" borderId="67" xfId="0" applyNumberFormat="1" applyFont="1" applyFill="1" applyBorder="1" applyAlignment="1" applyProtection="1">
      <alignment horizontal="center"/>
      <protection hidden="1"/>
    </xf>
    <xf numFmtId="1" fontId="21" fillId="20" borderId="67" xfId="0" applyNumberFormat="1" applyFont="1" applyFill="1" applyBorder="1" applyAlignment="1" applyProtection="1">
      <alignment horizontal="center"/>
      <protection hidden="1"/>
    </xf>
    <xf numFmtId="0" fontId="21" fillId="20" borderId="67" xfId="0" applyFont="1" applyFill="1" applyBorder="1" applyAlignment="1" applyProtection="1">
      <alignment horizontal="center"/>
      <protection hidden="1"/>
    </xf>
    <xf numFmtId="0" fontId="148" fillId="20" borderId="0" xfId="0" applyFont="1" applyFill="1" applyProtection="1">
      <protection hidden="1"/>
    </xf>
    <xf numFmtId="0" fontId="148" fillId="20" borderId="0" xfId="0" applyFont="1" applyFill="1" applyAlignment="1" applyProtection="1">
      <alignment horizontal="left"/>
      <protection hidden="1"/>
    </xf>
    <xf numFmtId="0" fontId="114" fillId="20" borderId="0" xfId="1" applyFont="1" applyFill="1" applyBorder="1" applyAlignment="1" applyProtection="1">
      <alignment vertical="center"/>
      <protection hidden="1"/>
    </xf>
    <xf numFmtId="0" fontId="114" fillId="20" borderId="63" xfId="1" applyFont="1" applyFill="1" applyBorder="1" applyAlignment="1" applyProtection="1">
      <alignment horizontal="left" vertical="center"/>
      <protection hidden="1"/>
    </xf>
    <xf numFmtId="0" fontId="144" fillId="20" borderId="0" xfId="1" applyFont="1" applyFill="1" applyBorder="1" applyAlignment="1" applyProtection="1">
      <alignment vertical="center"/>
      <protection hidden="1"/>
    </xf>
    <xf numFmtId="0" fontId="142" fillId="20" borderId="0" xfId="0" applyFont="1" applyFill="1" applyAlignment="1" applyProtection="1">
      <alignment wrapText="1"/>
      <protection hidden="1"/>
    </xf>
    <xf numFmtId="0" fontId="21" fillId="20" borderId="0" xfId="0" applyFont="1" applyFill="1" applyAlignment="1" applyProtection="1">
      <alignment vertical="top"/>
      <protection hidden="1"/>
    </xf>
    <xf numFmtId="0" fontId="21" fillId="20" borderId="0" xfId="1" applyFont="1" applyFill="1" applyBorder="1" applyAlignment="1" applyProtection="1">
      <alignment horizontal="left" vertical="center"/>
      <protection hidden="1"/>
    </xf>
    <xf numFmtId="0" fontId="21" fillId="20" borderId="0" xfId="0" applyFont="1" applyFill="1" applyAlignment="1" applyProtection="1">
      <alignment horizontal="left" vertical="center" wrapText="1"/>
      <protection hidden="1"/>
    </xf>
    <xf numFmtId="0" fontId="21" fillId="20" borderId="0" xfId="0" applyFont="1" applyFill="1" applyAlignment="1" applyProtection="1">
      <alignment horizontal="left" wrapText="1"/>
      <protection hidden="1"/>
    </xf>
    <xf numFmtId="3" fontId="138" fillId="20" borderId="0" xfId="0" applyNumberFormat="1" applyFont="1" applyFill="1" applyAlignment="1" applyProtection="1">
      <alignment horizontal="left"/>
      <protection hidden="1"/>
    </xf>
    <xf numFmtId="3" fontId="138" fillId="20" borderId="0" xfId="0" applyNumberFormat="1" applyFont="1" applyFill="1" applyAlignment="1" applyProtection="1">
      <alignment horizontal="left" vertical="center"/>
      <protection hidden="1"/>
    </xf>
    <xf numFmtId="0" fontId="128" fillId="20" borderId="0" xfId="0" applyFont="1" applyFill="1" applyAlignment="1" applyProtection="1">
      <alignment vertical="center"/>
      <protection hidden="1"/>
    </xf>
    <xf numFmtId="0" fontId="128" fillId="20" borderId="65" xfId="0" applyFont="1" applyFill="1" applyBorder="1" applyAlignment="1" applyProtection="1">
      <alignment vertical="center"/>
      <protection hidden="1"/>
    </xf>
    <xf numFmtId="0" fontId="21" fillId="20" borderId="65" xfId="0" applyFont="1" applyFill="1" applyBorder="1" applyProtection="1">
      <protection hidden="1"/>
    </xf>
    <xf numFmtId="1" fontId="21" fillId="20" borderId="65" xfId="0" applyNumberFormat="1" applyFont="1" applyFill="1" applyBorder="1" applyAlignment="1" applyProtection="1">
      <alignment horizontal="center"/>
      <protection hidden="1"/>
    </xf>
    <xf numFmtId="0" fontId="21" fillId="20" borderId="65" xfId="0" applyFont="1" applyFill="1" applyBorder="1" applyAlignment="1" applyProtection="1">
      <alignment horizontal="center"/>
      <protection hidden="1"/>
    </xf>
    <xf numFmtId="0" fontId="122" fillId="20" borderId="64" xfId="0" applyFont="1" applyFill="1" applyBorder="1" applyAlignment="1" applyProtection="1">
      <alignment vertical="center" wrapText="1"/>
      <protection hidden="1"/>
    </xf>
    <xf numFmtId="0" fontId="122" fillId="20" borderId="64" xfId="0" applyFont="1" applyFill="1" applyBorder="1" applyAlignment="1" applyProtection="1">
      <alignment horizontal="center" wrapText="1"/>
      <protection hidden="1"/>
    </xf>
    <xf numFmtId="0" fontId="14" fillId="20" borderId="0" xfId="0" applyFont="1" applyFill="1" applyProtection="1">
      <protection hidden="1"/>
    </xf>
    <xf numFmtId="164" fontId="21" fillId="20" borderId="0" xfId="0" applyNumberFormat="1" applyFont="1" applyFill="1" applyAlignment="1" applyProtection="1">
      <alignment horizontal="center"/>
      <protection hidden="1"/>
    </xf>
    <xf numFmtId="0" fontId="21" fillId="20" borderId="62" xfId="0" applyFont="1" applyFill="1" applyBorder="1" applyProtection="1">
      <protection hidden="1"/>
    </xf>
    <xf numFmtId="1" fontId="21" fillId="20" borderId="62" xfId="0" applyNumberFormat="1" applyFont="1" applyFill="1" applyBorder="1" applyAlignment="1" applyProtection="1">
      <alignment horizontal="center"/>
      <protection hidden="1"/>
    </xf>
    <xf numFmtId="164" fontId="21" fillId="20" borderId="62" xfId="0" applyNumberFormat="1" applyFont="1" applyFill="1" applyBorder="1" applyAlignment="1" applyProtection="1">
      <alignment horizontal="center"/>
      <protection hidden="1"/>
    </xf>
    <xf numFmtId="0" fontId="21" fillId="20" borderId="0" xfId="0" applyFont="1" applyFill="1" applyAlignment="1" applyProtection="1">
      <alignment horizontal="left"/>
      <protection hidden="1"/>
    </xf>
    <xf numFmtId="0" fontId="21" fillId="20" borderId="62" xfId="0" applyFont="1" applyFill="1" applyBorder="1" applyAlignment="1" applyProtection="1">
      <alignment horizontal="left"/>
      <protection hidden="1"/>
    </xf>
    <xf numFmtId="0" fontId="21" fillId="20" borderId="62" xfId="0" applyFont="1" applyFill="1" applyBorder="1" applyAlignment="1" applyProtection="1">
      <alignment horizontal="center"/>
      <protection hidden="1"/>
    </xf>
    <xf numFmtId="1" fontId="26" fillId="20" borderId="0" xfId="0" applyNumberFormat="1" applyFont="1" applyFill="1" applyAlignment="1" applyProtection="1">
      <alignment horizontal="center"/>
      <protection hidden="1"/>
    </xf>
    <xf numFmtId="1" fontId="26" fillId="20" borderId="65" xfId="0" applyNumberFormat="1" applyFont="1" applyFill="1" applyBorder="1" applyAlignment="1" applyProtection="1">
      <alignment horizontal="center"/>
      <protection hidden="1"/>
    </xf>
    <xf numFmtId="0" fontId="126" fillId="20" borderId="0" xfId="0" applyFont="1" applyFill="1" applyProtection="1">
      <protection hidden="1"/>
    </xf>
    <xf numFmtId="0" fontId="126" fillId="20" borderId="0" xfId="0" applyFont="1" applyFill="1" applyAlignment="1" applyProtection="1">
      <alignment horizontal="center"/>
      <protection hidden="1"/>
    </xf>
    <xf numFmtId="0" fontId="127" fillId="20" borderId="0" xfId="0" applyFont="1" applyFill="1" applyProtection="1">
      <protection hidden="1"/>
    </xf>
    <xf numFmtId="0" fontId="117" fillId="20" borderId="0" xfId="0" applyFont="1" applyFill="1" applyProtection="1">
      <protection hidden="1"/>
    </xf>
    <xf numFmtId="165" fontId="26" fillId="20" borderId="0" xfId="0" applyNumberFormat="1" applyFont="1" applyFill="1" applyAlignment="1" applyProtection="1">
      <alignment horizontal="center" vertical="center"/>
      <protection hidden="1"/>
    </xf>
    <xf numFmtId="0" fontId="14" fillId="20" borderId="0" xfId="0" applyFont="1" applyFill="1" applyAlignment="1" applyProtection="1">
      <alignment horizontal="center" vertical="center"/>
      <protection hidden="1"/>
    </xf>
    <xf numFmtId="0" fontId="21" fillId="20" borderId="65" xfId="0" applyFont="1" applyFill="1" applyBorder="1" applyAlignment="1" applyProtection="1">
      <alignment horizontal="center" vertical="center"/>
      <protection hidden="1"/>
    </xf>
    <xf numFmtId="165" fontId="26" fillId="20" borderId="65" xfId="0" applyNumberFormat="1" applyFont="1" applyFill="1" applyBorder="1" applyAlignment="1" applyProtection="1">
      <alignment horizontal="center" vertical="center"/>
      <protection hidden="1"/>
    </xf>
    <xf numFmtId="165" fontId="27" fillId="20" borderId="0" xfId="0" applyNumberFormat="1" applyFont="1" applyFill="1" applyAlignment="1" applyProtection="1">
      <alignment horizontal="center" vertical="center"/>
      <protection hidden="1"/>
    </xf>
    <xf numFmtId="165" fontId="14" fillId="20" borderId="0" xfId="0" applyNumberFormat="1" applyFont="1" applyFill="1" applyAlignment="1" applyProtection="1">
      <alignment horizontal="center" vertical="center"/>
      <protection hidden="1"/>
    </xf>
    <xf numFmtId="165" fontId="122" fillId="20" borderId="64" xfId="0" applyNumberFormat="1" applyFont="1" applyFill="1" applyBorder="1" applyAlignment="1" applyProtection="1">
      <alignment horizontal="center" vertical="center" wrapText="1"/>
      <protection hidden="1"/>
    </xf>
    <xf numFmtId="1" fontId="21" fillId="20" borderId="0" xfId="0" applyNumberFormat="1" applyFont="1" applyFill="1" applyAlignment="1" applyProtection="1">
      <alignment horizontal="center" vertical="center"/>
      <protection hidden="1"/>
    </xf>
    <xf numFmtId="165" fontId="21" fillId="20" borderId="0" xfId="0" applyNumberFormat="1" applyFont="1" applyFill="1" applyAlignment="1" applyProtection="1">
      <alignment horizontal="center" vertical="center"/>
      <protection hidden="1"/>
    </xf>
    <xf numFmtId="0" fontId="21" fillId="20" borderId="62" xfId="0" applyFont="1" applyFill="1" applyBorder="1" applyAlignment="1" applyProtection="1">
      <alignment horizontal="center" vertical="center"/>
      <protection hidden="1"/>
    </xf>
    <xf numFmtId="1" fontId="21" fillId="20" borderId="62" xfId="0" applyNumberFormat="1" applyFont="1" applyFill="1" applyBorder="1" applyAlignment="1" applyProtection="1">
      <alignment horizontal="center" vertical="center"/>
      <protection hidden="1"/>
    </xf>
    <xf numFmtId="165" fontId="21" fillId="20" borderId="62" xfId="0" applyNumberFormat="1" applyFont="1" applyFill="1" applyBorder="1" applyAlignment="1" applyProtection="1">
      <alignment horizontal="center" vertical="center"/>
      <protection hidden="1"/>
    </xf>
    <xf numFmtId="165" fontId="26" fillId="20" borderId="62" xfId="0" applyNumberFormat="1" applyFont="1" applyFill="1" applyBorder="1" applyAlignment="1" applyProtection="1">
      <alignment horizontal="center" vertical="center"/>
      <protection hidden="1"/>
    </xf>
    <xf numFmtId="165" fontId="21" fillId="20" borderId="0" xfId="0" applyNumberFormat="1" applyFont="1" applyFill="1" applyAlignment="1" applyProtection="1">
      <alignment horizontal="center"/>
      <protection hidden="1"/>
    </xf>
    <xf numFmtId="0" fontId="27" fillId="20" borderId="0" xfId="0" applyFont="1" applyFill="1" applyProtection="1">
      <protection hidden="1"/>
    </xf>
    <xf numFmtId="165" fontId="21" fillId="20" borderId="62" xfId="0" applyNumberFormat="1" applyFont="1" applyFill="1" applyBorder="1" applyAlignment="1" applyProtection="1">
      <alignment horizontal="center"/>
      <protection hidden="1"/>
    </xf>
    <xf numFmtId="172" fontId="21" fillId="20" borderId="0" xfId="6" applyNumberFormat="1" applyFont="1" applyFill="1" applyBorder="1" applyProtection="1">
      <protection hidden="1"/>
    </xf>
    <xf numFmtId="1" fontId="21" fillId="20" borderId="65" xfId="0" applyNumberFormat="1" applyFont="1" applyFill="1" applyBorder="1" applyAlignment="1" applyProtection="1">
      <alignment horizontal="center" vertical="center"/>
      <protection hidden="1"/>
    </xf>
    <xf numFmtId="165" fontId="21" fillId="20" borderId="65" xfId="0" applyNumberFormat="1" applyFont="1" applyFill="1" applyBorder="1" applyAlignment="1" applyProtection="1">
      <alignment horizontal="center" vertical="center"/>
      <protection hidden="1"/>
    </xf>
    <xf numFmtId="0" fontId="14" fillId="20" borderId="65" xfId="0" applyFont="1" applyFill="1" applyBorder="1" applyProtection="1">
      <protection hidden="1"/>
    </xf>
    <xf numFmtId="0" fontId="122" fillId="20" borderId="64" xfId="0" applyFont="1" applyFill="1" applyBorder="1" applyAlignment="1" applyProtection="1">
      <alignment horizontal="right" vertical="center" wrapText="1" indent="1"/>
      <protection hidden="1"/>
    </xf>
    <xf numFmtId="0" fontId="122" fillId="20" borderId="64" xfId="0" applyFont="1" applyFill="1" applyBorder="1" applyAlignment="1" applyProtection="1">
      <alignment horizontal="center"/>
      <protection hidden="1"/>
    </xf>
    <xf numFmtId="0" fontId="21" fillId="20" borderId="0" xfId="0" applyFont="1" applyFill="1" applyAlignment="1" applyProtection="1">
      <alignment horizontal="right" indent="1"/>
      <protection hidden="1"/>
    </xf>
    <xf numFmtId="2" fontId="21" fillId="20" borderId="0" xfId="0" applyNumberFormat="1" applyFont="1" applyFill="1" applyAlignment="1" applyProtection="1">
      <alignment horizontal="center" vertical="center"/>
      <protection hidden="1"/>
    </xf>
    <xf numFmtId="172" fontId="21" fillId="20" borderId="0" xfId="6" applyNumberFormat="1" applyFont="1" applyFill="1" applyBorder="1" applyAlignment="1" applyProtection="1">
      <alignment horizontal="center"/>
      <protection hidden="1"/>
    </xf>
    <xf numFmtId="0" fontId="130" fillId="20" borderId="0" xfId="0" applyFont="1" applyFill="1" applyAlignment="1" applyProtection="1">
      <alignment vertical="center"/>
      <protection hidden="1"/>
    </xf>
    <xf numFmtId="0" fontId="26" fillId="20" borderId="0" xfId="0" applyFont="1" applyFill="1" applyProtection="1">
      <protection hidden="1"/>
    </xf>
    <xf numFmtId="166" fontId="21" fillId="20" borderId="0" xfId="0" applyNumberFormat="1" applyFont="1" applyFill="1" applyProtection="1">
      <protection hidden="1"/>
    </xf>
    <xf numFmtId="2" fontId="21" fillId="20" borderId="0" xfId="0" applyNumberFormat="1" applyFont="1" applyFill="1" applyProtection="1">
      <protection hidden="1"/>
    </xf>
    <xf numFmtId="0" fontId="100" fillId="20" borderId="0" xfId="0" applyFont="1" applyFill="1" applyAlignment="1" applyProtection="1">
      <alignment horizontal="center"/>
      <protection hidden="1"/>
    </xf>
    <xf numFmtId="167" fontId="117" fillId="20" borderId="0" xfId="0" applyNumberFormat="1" applyFont="1" applyFill="1" applyProtection="1">
      <protection hidden="1"/>
    </xf>
    <xf numFmtId="0" fontId="126" fillId="20" borderId="0" xfId="0" applyFont="1" applyFill="1" applyAlignment="1" applyProtection="1">
      <alignment horizontal="center" vertical="center"/>
      <protection hidden="1"/>
    </xf>
    <xf numFmtId="165" fontId="126" fillId="20" borderId="0" xfId="0" applyNumberFormat="1" applyFont="1" applyFill="1" applyAlignment="1" applyProtection="1">
      <alignment horizontal="center" vertical="center"/>
      <protection hidden="1"/>
    </xf>
    <xf numFmtId="165" fontId="170" fillId="20" borderId="0" xfId="0" applyNumberFormat="1" applyFont="1" applyFill="1" applyAlignment="1" applyProtection="1">
      <alignment horizontal="center" vertical="center"/>
      <protection hidden="1"/>
    </xf>
    <xf numFmtId="0" fontId="126" fillId="20" borderId="0" xfId="0" applyFont="1" applyFill="1" applyAlignment="1" applyProtection="1">
      <alignment horizontal="left"/>
      <protection hidden="1"/>
    </xf>
    <xf numFmtId="0" fontId="170" fillId="20" borderId="0" xfId="0" applyFont="1" applyFill="1" applyAlignment="1" applyProtection="1">
      <alignment horizontal="center" vertical="center"/>
      <protection hidden="1"/>
    </xf>
    <xf numFmtId="0" fontId="126" fillId="20" borderId="0" xfId="0" applyFont="1" applyFill="1" applyAlignment="1" applyProtection="1">
      <alignment horizontal="right"/>
      <protection hidden="1"/>
    </xf>
    <xf numFmtId="4" fontId="26" fillId="20" borderId="0" xfId="0" applyNumberFormat="1" applyFont="1" applyFill="1" applyAlignment="1" applyProtection="1">
      <alignment horizontal="center" vertical="center"/>
      <protection hidden="1"/>
    </xf>
    <xf numFmtId="0" fontId="26" fillId="20" borderId="0" xfId="0" applyFont="1" applyFill="1" applyAlignment="1" applyProtection="1">
      <alignment horizontal="left" vertical="center"/>
      <protection hidden="1"/>
    </xf>
    <xf numFmtId="166" fontId="21" fillId="20" borderId="0" xfId="0" applyNumberFormat="1" applyFont="1" applyFill="1" applyAlignment="1" applyProtection="1">
      <alignment horizontal="left" vertical="center"/>
      <protection hidden="1"/>
    </xf>
    <xf numFmtId="165" fontId="21" fillId="20" borderId="0" xfId="0" applyNumberFormat="1" applyFont="1" applyFill="1" applyProtection="1">
      <protection hidden="1"/>
    </xf>
    <xf numFmtId="166" fontId="126" fillId="20" borderId="0" xfId="0" applyNumberFormat="1" applyFont="1" applyFill="1" applyProtection="1">
      <protection hidden="1"/>
    </xf>
    <xf numFmtId="0" fontId="21" fillId="20" borderId="0" xfId="0" applyFont="1" applyFill="1" applyAlignment="1" applyProtection="1">
      <alignment horizontal="right" vertical="center" wrapText="1" indent="1"/>
      <protection hidden="1"/>
    </xf>
    <xf numFmtId="0" fontId="21" fillId="20" borderId="0" xfId="0" applyFont="1" applyFill="1" applyAlignment="1" applyProtection="1">
      <alignment horizontal="right" vertical="center" indent="1"/>
      <protection hidden="1"/>
    </xf>
    <xf numFmtId="0" fontId="14" fillId="20" borderId="0" xfId="0" applyFont="1" applyFill="1" applyAlignment="1" applyProtection="1">
      <alignment horizontal="right" indent="1"/>
      <protection hidden="1"/>
    </xf>
    <xf numFmtId="0" fontId="126" fillId="20" borderId="0" xfId="0" applyFont="1" applyFill="1" applyAlignment="1" applyProtection="1">
      <alignment horizontal="right" indent="1"/>
      <protection hidden="1"/>
    </xf>
    <xf numFmtId="0" fontId="15" fillId="20" borderId="0" xfId="0" applyFont="1" applyFill="1" applyProtection="1">
      <protection hidden="1"/>
    </xf>
    <xf numFmtId="0" fontId="15" fillId="20" borderId="62" xfId="0" applyFont="1" applyFill="1" applyBorder="1" applyAlignment="1" applyProtection="1">
      <alignment horizontal="left" indent="1"/>
      <protection hidden="1"/>
    </xf>
    <xf numFmtId="0" fontId="15" fillId="20" borderId="0" xfId="0" applyFont="1" applyFill="1" applyAlignment="1" applyProtection="1">
      <alignment horizontal="left" indent="1"/>
      <protection hidden="1"/>
    </xf>
    <xf numFmtId="0" fontId="15" fillId="20" borderId="0" xfId="0" applyFont="1" applyFill="1" applyAlignment="1" applyProtection="1">
      <alignment horizontal="left" indent="2"/>
      <protection hidden="1"/>
    </xf>
    <xf numFmtId="0" fontId="15" fillId="20" borderId="0" xfId="0" applyFont="1" applyFill="1" applyAlignment="1" applyProtection="1">
      <alignment horizontal="left"/>
      <protection hidden="1"/>
    </xf>
    <xf numFmtId="0" fontId="15" fillId="20" borderId="62" xfId="0" applyFont="1" applyFill="1" applyBorder="1" applyAlignment="1" applyProtection="1">
      <alignment horizontal="left" indent="2"/>
      <protection hidden="1"/>
    </xf>
    <xf numFmtId="0" fontId="15" fillId="20" borderId="83" xfId="0" applyFont="1" applyFill="1" applyBorder="1" applyAlignment="1" applyProtection="1">
      <alignment horizontal="left"/>
      <protection hidden="1"/>
    </xf>
    <xf numFmtId="0" fontId="15" fillId="20" borderId="62" xfId="0" applyFont="1" applyFill="1" applyBorder="1" applyAlignment="1" applyProtection="1">
      <alignment horizontal="left"/>
      <protection hidden="1"/>
    </xf>
    <xf numFmtId="0" fontId="122" fillId="20" borderId="0" xfId="0" applyFont="1" applyFill="1" applyAlignment="1" applyProtection="1">
      <alignment horizontal="center" vertical="center" wrapText="1"/>
      <protection hidden="1"/>
    </xf>
    <xf numFmtId="0" fontId="116" fillId="20" borderId="0" xfId="0" applyFont="1" applyFill="1" applyProtection="1">
      <protection hidden="1"/>
    </xf>
    <xf numFmtId="0" fontId="104" fillId="20" borderId="0" xfId="0" applyFont="1" applyFill="1" applyAlignment="1" applyProtection="1">
      <alignment horizontal="center"/>
      <protection hidden="1"/>
    </xf>
    <xf numFmtId="0" fontId="116" fillId="20" borderId="62" xfId="0" applyFont="1" applyFill="1" applyBorder="1" applyProtection="1">
      <protection hidden="1"/>
    </xf>
    <xf numFmtId="0" fontId="122" fillId="20" borderId="62" xfId="0" applyFont="1" applyFill="1" applyBorder="1" applyAlignment="1" applyProtection="1">
      <alignment horizontal="right"/>
      <protection hidden="1"/>
    </xf>
    <xf numFmtId="0" fontId="104" fillId="20" borderId="62" xfId="0" applyFont="1" applyFill="1" applyBorder="1" applyAlignment="1" applyProtection="1">
      <alignment horizontal="center" wrapText="1"/>
      <protection hidden="1"/>
    </xf>
    <xf numFmtId="0" fontId="122" fillId="20" borderId="62" xfId="0" applyFont="1" applyFill="1" applyBorder="1" applyAlignment="1" applyProtection="1">
      <alignment horizontal="center" wrapText="1"/>
      <protection hidden="1"/>
    </xf>
    <xf numFmtId="0" fontId="21" fillId="20" borderId="0" xfId="0" applyFont="1" applyFill="1" applyAlignment="1" applyProtection="1">
      <alignment horizontal="right"/>
      <protection hidden="1"/>
    </xf>
    <xf numFmtId="164" fontId="21" fillId="20" borderId="0" xfId="0" applyNumberFormat="1" applyFont="1" applyFill="1" applyAlignment="1" applyProtection="1">
      <alignment horizontal="center" vertical="center"/>
      <protection hidden="1"/>
    </xf>
    <xf numFmtId="0" fontId="21" fillId="20" borderId="63" xfId="0" applyFont="1" applyFill="1" applyBorder="1" applyAlignment="1" applyProtection="1">
      <alignment horizontal="center" vertical="center"/>
      <protection hidden="1"/>
    </xf>
    <xf numFmtId="0" fontId="21" fillId="20" borderId="0" xfId="2" applyFont="1" applyFill="1" applyBorder="1" applyAlignment="1" applyProtection="1">
      <alignment horizontal="left" indent="1"/>
      <protection hidden="1"/>
    </xf>
    <xf numFmtId="0" fontId="21" fillId="20" borderId="0" xfId="0" applyFont="1" applyFill="1" applyAlignment="1" applyProtection="1">
      <alignment horizontal="left" indent="1"/>
      <protection hidden="1"/>
    </xf>
    <xf numFmtId="0" fontId="121" fillId="20" borderId="0" xfId="0" applyFont="1" applyFill="1" applyAlignment="1" applyProtection="1">
      <alignment vertical="center"/>
      <protection hidden="1"/>
    </xf>
    <xf numFmtId="0" fontId="122" fillId="20" borderId="0" xfId="0" applyFont="1" applyFill="1" applyAlignment="1" applyProtection="1">
      <alignment horizontal="right"/>
      <protection hidden="1"/>
    </xf>
    <xf numFmtId="0" fontId="122" fillId="20" borderId="0" xfId="0" applyFont="1" applyFill="1" applyAlignment="1" applyProtection="1">
      <alignment horizontal="center"/>
      <protection hidden="1"/>
    </xf>
    <xf numFmtId="0" fontId="122" fillId="20" borderId="0" xfId="0" applyFont="1" applyFill="1" applyAlignment="1" applyProtection="1">
      <alignment horizontal="center" wrapText="1"/>
      <protection hidden="1"/>
    </xf>
    <xf numFmtId="0" fontId="170" fillId="20" borderId="0" xfId="0" applyFont="1" applyFill="1" applyProtection="1">
      <protection hidden="1"/>
    </xf>
    <xf numFmtId="0" fontId="26" fillId="20" borderId="62" xfId="0" applyFont="1" applyFill="1" applyBorder="1" applyProtection="1">
      <protection hidden="1"/>
    </xf>
    <xf numFmtId="0" fontId="26" fillId="20" borderId="62" xfId="0" applyFont="1" applyFill="1" applyBorder="1" applyAlignment="1" applyProtection="1">
      <alignment horizontal="center"/>
      <protection hidden="1"/>
    </xf>
    <xf numFmtId="0" fontId="26" fillId="20" borderId="62" xfId="0" applyFont="1" applyFill="1" applyBorder="1" applyAlignment="1" applyProtection="1">
      <alignment horizontal="center" wrapText="1"/>
      <protection hidden="1"/>
    </xf>
    <xf numFmtId="0" fontId="26" fillId="20" borderId="0" xfId="0" applyFont="1" applyFill="1" applyAlignment="1" applyProtection="1">
      <alignment horizontal="center"/>
      <protection hidden="1"/>
    </xf>
    <xf numFmtId="0" fontId="26" fillId="20" borderId="0" xfId="0" applyFont="1" applyFill="1" applyAlignment="1" applyProtection="1">
      <alignment horizontal="center" wrapText="1"/>
      <protection hidden="1"/>
    </xf>
    <xf numFmtId="0" fontId="21" fillId="20" borderId="0" xfId="0" applyFont="1" applyFill="1" applyAlignment="1" applyProtection="1">
      <alignment textRotation="90"/>
      <protection hidden="1"/>
    </xf>
    <xf numFmtId="0" fontId="21" fillId="20" borderId="0" xfId="0" applyFont="1" applyFill="1" applyAlignment="1" applyProtection="1">
      <alignment horizontal="center" textRotation="90"/>
      <protection hidden="1"/>
    </xf>
    <xf numFmtId="0" fontId="116" fillId="20" borderId="0" xfId="0" applyFont="1" applyFill="1" applyAlignment="1" applyProtection="1">
      <alignment horizontal="center"/>
      <protection hidden="1"/>
    </xf>
    <xf numFmtId="2" fontId="21" fillId="20" borderId="65" xfId="0" applyNumberFormat="1" applyFont="1" applyFill="1" applyBorder="1" applyProtection="1">
      <protection hidden="1"/>
    </xf>
    <xf numFmtId="0" fontId="122" fillId="20" borderId="62" xfId="0" applyFont="1" applyFill="1" applyBorder="1" applyAlignment="1" applyProtection="1">
      <alignment horizontal="left" wrapText="1"/>
      <protection hidden="1"/>
    </xf>
    <xf numFmtId="0" fontId="21" fillId="20" borderId="0" xfId="1" applyFont="1" applyFill="1" applyBorder="1" applyAlignment="1" applyProtection="1">
      <alignment horizontal="left"/>
      <protection hidden="1"/>
    </xf>
    <xf numFmtId="9" fontId="21" fillId="20" borderId="0" xfId="1" applyNumberFormat="1" applyFont="1" applyFill="1" applyBorder="1" applyAlignment="1" applyProtection="1">
      <alignment horizontal="left"/>
      <protection hidden="1"/>
    </xf>
    <xf numFmtId="0" fontId="21" fillId="20" borderId="0" xfId="2" applyFont="1" applyFill="1" applyBorder="1" applyAlignment="1" applyProtection="1">
      <alignment horizontal="left"/>
      <protection hidden="1"/>
    </xf>
    <xf numFmtId="0" fontId="125" fillId="22" borderId="6" xfId="1" applyFont="1" applyFill="1" applyAlignment="1" applyProtection="1">
      <alignment horizontal="left"/>
      <protection hidden="1"/>
    </xf>
    <xf numFmtId="2" fontId="122" fillId="20" borderId="0" xfId="0" applyNumberFormat="1" applyFont="1" applyFill="1" applyAlignment="1" applyProtection="1">
      <alignment horizontal="center" wrapText="1"/>
      <protection hidden="1"/>
    </xf>
    <xf numFmtId="11" fontId="21" fillId="20" borderId="0" xfId="0" applyNumberFormat="1" applyFont="1" applyFill="1" applyAlignment="1" applyProtection="1">
      <alignment horizontal="center"/>
      <protection hidden="1"/>
    </xf>
    <xf numFmtId="0" fontId="21" fillId="20" borderId="62" xfId="0" applyFont="1" applyFill="1" applyBorder="1" applyAlignment="1" applyProtection="1">
      <alignment horizontal="center" textRotation="90"/>
      <protection hidden="1"/>
    </xf>
    <xf numFmtId="0" fontId="21" fillId="20" borderId="62" xfId="0" applyFont="1" applyFill="1" applyBorder="1" applyAlignment="1" applyProtection="1">
      <alignment horizontal="right"/>
      <protection hidden="1"/>
    </xf>
    <xf numFmtId="11" fontId="21" fillId="20" borderId="62" xfId="0" applyNumberFormat="1" applyFont="1" applyFill="1" applyBorder="1" applyAlignment="1" applyProtection="1">
      <alignment horizontal="center"/>
      <protection hidden="1"/>
    </xf>
    <xf numFmtId="9" fontId="21" fillId="20" borderId="0" xfId="0" applyNumberFormat="1" applyFont="1" applyFill="1" applyAlignment="1" applyProtection="1">
      <alignment horizontal="center"/>
      <protection hidden="1"/>
    </xf>
    <xf numFmtId="9" fontId="21" fillId="20" borderId="62" xfId="0" applyNumberFormat="1" applyFont="1" applyFill="1" applyBorder="1" applyAlignment="1" applyProtection="1">
      <alignment horizontal="center"/>
      <protection hidden="1"/>
    </xf>
    <xf numFmtId="2" fontId="21" fillId="20" borderId="0" xfId="0" applyNumberFormat="1" applyFont="1" applyFill="1" applyAlignment="1" applyProtection="1">
      <alignment horizontal="center"/>
      <protection hidden="1"/>
    </xf>
    <xf numFmtId="0" fontId="34" fillId="0" borderId="0" xfId="0" applyFont="1" applyProtection="1">
      <protection hidden="1"/>
    </xf>
    <xf numFmtId="0" fontId="36" fillId="0" borderId="42" xfId="0" applyFont="1" applyBorder="1" applyAlignment="1" applyProtection="1">
      <alignment horizontal="center"/>
      <protection hidden="1"/>
    </xf>
    <xf numFmtId="0" fontId="36" fillId="0" borderId="43" xfId="0" applyFont="1" applyBorder="1" applyAlignment="1" applyProtection="1">
      <alignment horizontal="center"/>
      <protection hidden="1"/>
    </xf>
    <xf numFmtId="0" fontId="36" fillId="0" borderId="45" xfId="0" applyFont="1" applyBorder="1" applyAlignment="1" applyProtection="1">
      <alignment horizontal="center"/>
      <protection hidden="1"/>
    </xf>
    <xf numFmtId="0" fontId="36" fillId="0" borderId="89" xfId="0" applyFont="1" applyBorder="1" applyAlignment="1" applyProtection="1">
      <alignment horizontal="center"/>
      <protection hidden="1"/>
    </xf>
    <xf numFmtId="0" fontId="36" fillId="0" borderId="44" xfId="0" applyFont="1" applyBorder="1" applyAlignment="1" applyProtection="1">
      <alignment horizontal="center"/>
      <protection hidden="1"/>
    </xf>
    <xf numFmtId="0" fontId="36" fillId="0" borderId="52" xfId="0" applyFont="1" applyBorder="1" applyAlignment="1" applyProtection="1">
      <alignment horizontal="center"/>
      <protection hidden="1"/>
    </xf>
    <xf numFmtId="0" fontId="36" fillId="0" borderId="50" xfId="0" applyFont="1" applyBorder="1" applyAlignment="1" applyProtection="1">
      <alignment horizontal="center"/>
      <protection hidden="1"/>
    </xf>
    <xf numFmtId="0" fontId="36" fillId="0" borderId="50" xfId="0" applyFont="1" applyBorder="1" applyAlignment="1" applyProtection="1">
      <alignment horizontal="center" wrapText="1"/>
      <protection hidden="1"/>
    </xf>
    <xf numFmtId="0" fontId="36" fillId="0" borderId="53" xfId="0" applyFont="1" applyBorder="1" applyAlignment="1" applyProtection="1">
      <alignment horizontal="center"/>
      <protection hidden="1"/>
    </xf>
    <xf numFmtId="0" fontId="36" fillId="0" borderId="59" xfId="0" applyFont="1" applyBorder="1" applyAlignment="1" applyProtection="1">
      <alignment horizontal="center"/>
      <protection hidden="1"/>
    </xf>
    <xf numFmtId="0" fontId="36" fillId="0" borderId="52" xfId="0" applyFont="1" applyBorder="1" applyAlignment="1" applyProtection="1">
      <alignment horizontal="center" wrapText="1"/>
      <protection hidden="1"/>
    </xf>
    <xf numFmtId="0" fontId="36" fillId="0" borderId="51" xfId="0" applyFont="1" applyBorder="1" applyAlignment="1" applyProtection="1">
      <alignment horizontal="center"/>
      <protection hidden="1"/>
    </xf>
    <xf numFmtId="0" fontId="36" fillId="0" borderId="59" xfId="0" applyFont="1" applyBorder="1" applyAlignment="1" applyProtection="1">
      <alignment horizontal="center" wrapText="1"/>
      <protection hidden="1"/>
    </xf>
    <xf numFmtId="1" fontId="34" fillId="0" borderId="0" xfId="0" applyNumberFormat="1" applyFont="1" applyProtection="1">
      <protection hidden="1"/>
    </xf>
    <xf numFmtId="0" fontId="34" fillId="0" borderId="24" xfId="0" applyFont="1" applyBorder="1" applyAlignment="1" applyProtection="1">
      <alignment horizontal="center"/>
      <protection hidden="1"/>
    </xf>
    <xf numFmtId="0" fontId="34" fillId="0" borderId="0" xfId="0" applyFont="1" applyAlignment="1" applyProtection="1">
      <alignment horizontal="center"/>
      <protection hidden="1"/>
    </xf>
    <xf numFmtId="0" fontId="34" fillId="0" borderId="25" xfId="0" applyFont="1" applyBorder="1" applyAlignment="1" applyProtection="1">
      <alignment horizontal="center"/>
      <protection hidden="1"/>
    </xf>
    <xf numFmtId="0" fontId="34" fillId="0" borderId="4" xfId="0" applyFont="1" applyBorder="1" applyAlignment="1" applyProtection="1">
      <alignment horizontal="center"/>
      <protection hidden="1"/>
    </xf>
    <xf numFmtId="0" fontId="34" fillId="0" borderId="26" xfId="0" applyFont="1" applyBorder="1" applyAlignment="1" applyProtection="1">
      <alignment horizontal="center"/>
      <protection hidden="1"/>
    </xf>
    <xf numFmtId="0" fontId="34" fillId="0" borderId="27" xfId="0" applyFont="1" applyBorder="1" applyAlignment="1" applyProtection="1">
      <alignment horizontal="center"/>
      <protection hidden="1"/>
    </xf>
    <xf numFmtId="0" fontId="34" fillId="0" borderId="28" xfId="0" applyFont="1" applyBorder="1" applyAlignment="1" applyProtection="1">
      <alignment horizontal="center"/>
      <protection hidden="1"/>
    </xf>
    <xf numFmtId="0" fontId="34" fillId="0" borderId="85" xfId="0" applyFont="1" applyBorder="1" applyAlignment="1" applyProtection="1">
      <alignment horizontal="center"/>
      <protection hidden="1"/>
    </xf>
    <xf numFmtId="0" fontId="43" fillId="0" borderId="0" xfId="0" applyFont="1" applyProtection="1">
      <protection hidden="1"/>
    </xf>
    <xf numFmtId="0" fontId="0" fillId="0" borderId="0" xfId="0" applyProtection="1">
      <protection hidden="1"/>
    </xf>
    <xf numFmtId="0" fontId="50" fillId="6" borderId="0" xfId="0" applyFont="1" applyFill="1" applyProtection="1">
      <protection hidden="1"/>
    </xf>
    <xf numFmtId="0" fontId="0" fillId="6" borderId="0" xfId="0" applyFill="1" applyProtection="1">
      <protection hidden="1"/>
    </xf>
    <xf numFmtId="0" fontId="40" fillId="2" borderId="19" xfId="0" applyFont="1" applyFill="1" applyBorder="1" applyProtection="1">
      <protection hidden="1"/>
    </xf>
    <xf numFmtId="0" fontId="40" fillId="2" borderId="10" xfId="0" applyFont="1" applyFill="1" applyBorder="1" applyProtection="1">
      <protection hidden="1"/>
    </xf>
    <xf numFmtId="0" fontId="0" fillId="2" borderId="10" xfId="0" applyFill="1" applyBorder="1" applyProtection="1">
      <protection hidden="1"/>
    </xf>
    <xf numFmtId="0" fontId="0" fillId="2" borderId="0" xfId="0" applyFill="1" applyProtection="1">
      <protection hidden="1"/>
    </xf>
    <xf numFmtId="0" fontId="40" fillId="2" borderId="0" xfId="0" applyFont="1" applyFill="1" applyProtection="1">
      <protection hidden="1"/>
    </xf>
    <xf numFmtId="0" fontId="30" fillId="2" borderId="0" xfId="0" applyFont="1" applyFill="1" applyProtection="1">
      <protection hidden="1"/>
    </xf>
    <xf numFmtId="0" fontId="40" fillId="2" borderId="2" xfId="0" applyFont="1" applyFill="1" applyBorder="1" applyProtection="1">
      <protection hidden="1"/>
    </xf>
    <xf numFmtId="0" fontId="51" fillId="2" borderId="2" xfId="0" applyFont="1" applyFill="1" applyBorder="1" applyProtection="1">
      <protection hidden="1"/>
    </xf>
    <xf numFmtId="0" fontId="51" fillId="2" borderId="0" xfId="0" applyFont="1" applyFill="1" applyProtection="1">
      <protection hidden="1"/>
    </xf>
    <xf numFmtId="0" fontId="52" fillId="2" borderId="0" xfId="0" applyFont="1" applyFill="1" applyProtection="1">
      <protection hidden="1"/>
    </xf>
    <xf numFmtId="0" fontId="53" fillId="2" borderId="2" xfId="0" applyFont="1" applyFill="1" applyBorder="1" applyProtection="1">
      <protection hidden="1"/>
    </xf>
    <xf numFmtId="0" fontId="53" fillId="2" borderId="0" xfId="0" applyFont="1" applyFill="1" applyProtection="1">
      <protection hidden="1"/>
    </xf>
    <xf numFmtId="0" fontId="0" fillId="2" borderId="4" xfId="0" applyFill="1" applyBorder="1" applyProtection="1">
      <protection hidden="1"/>
    </xf>
    <xf numFmtId="0" fontId="52" fillId="2" borderId="37" xfId="0" applyFont="1" applyFill="1" applyBorder="1" applyProtection="1">
      <protection hidden="1"/>
    </xf>
    <xf numFmtId="0" fontId="52" fillId="2" borderId="15" xfId="0" applyFont="1" applyFill="1" applyBorder="1" applyProtection="1">
      <protection hidden="1"/>
    </xf>
    <xf numFmtId="0" fontId="0" fillId="2" borderId="15" xfId="0" applyFill="1" applyBorder="1" applyProtection="1">
      <protection hidden="1"/>
    </xf>
    <xf numFmtId="0" fontId="0" fillId="2" borderId="16" xfId="0" applyFill="1" applyBorder="1" applyProtection="1">
      <protection hidden="1"/>
    </xf>
    <xf numFmtId="0" fontId="156" fillId="2" borderId="2" xfId="0" applyFont="1" applyFill="1" applyBorder="1" applyProtection="1">
      <protection hidden="1"/>
    </xf>
    <xf numFmtId="0" fontId="156" fillId="2" borderId="0" xfId="0" applyFont="1" applyFill="1" applyProtection="1">
      <protection hidden="1"/>
    </xf>
    <xf numFmtId="2" fontId="52" fillId="7" borderId="13" xfId="0" applyNumberFormat="1" applyFont="1" applyFill="1" applyBorder="1" applyAlignment="1" applyProtection="1">
      <alignment horizontal="left"/>
      <protection hidden="1"/>
    </xf>
    <xf numFmtId="2" fontId="52" fillId="7" borderId="17" xfId="0" applyNumberFormat="1" applyFont="1" applyFill="1" applyBorder="1" applyAlignment="1" applyProtection="1">
      <alignment horizontal="left"/>
      <protection hidden="1"/>
    </xf>
    <xf numFmtId="2" fontId="52" fillId="7" borderId="18" xfId="0" applyNumberFormat="1" applyFont="1" applyFill="1" applyBorder="1" applyAlignment="1" applyProtection="1">
      <alignment horizontal="left"/>
      <protection hidden="1"/>
    </xf>
    <xf numFmtId="164" fontId="0" fillId="2" borderId="0" xfId="0" applyNumberFormat="1" applyFill="1" applyProtection="1">
      <protection hidden="1"/>
    </xf>
    <xf numFmtId="1" fontId="52" fillId="2" borderId="0" xfId="0" applyNumberFormat="1" applyFont="1" applyFill="1" applyProtection="1">
      <protection hidden="1"/>
    </xf>
    <xf numFmtId="0" fontId="0" fillId="2" borderId="20" xfId="0" applyFill="1" applyBorder="1" applyAlignment="1" applyProtection="1">
      <alignment horizontal="center"/>
      <protection hidden="1"/>
    </xf>
    <xf numFmtId="0" fontId="157" fillId="2" borderId="20" xfId="0" applyFont="1" applyFill="1" applyBorder="1" applyAlignment="1" applyProtection="1">
      <alignment horizontal="center" vertical="top" wrapText="1"/>
      <protection hidden="1"/>
    </xf>
    <xf numFmtId="0" fontId="157" fillId="2" borderId="19" xfId="0" applyFont="1" applyFill="1" applyBorder="1" applyAlignment="1" applyProtection="1">
      <alignment horizontal="center" vertical="top" wrapText="1"/>
      <protection hidden="1"/>
    </xf>
    <xf numFmtId="0" fontId="157" fillId="0" borderId="13" xfId="0" applyFont="1" applyBorder="1" applyAlignment="1" applyProtection="1">
      <alignment horizontal="center" vertical="top" wrapText="1"/>
      <protection hidden="1"/>
    </xf>
    <xf numFmtId="0" fontId="157" fillId="2" borderId="10" xfId="0" applyFont="1" applyFill="1" applyBorder="1" applyAlignment="1" applyProtection="1">
      <alignment horizontal="center" vertical="top" wrapText="1"/>
      <protection hidden="1"/>
    </xf>
    <xf numFmtId="0" fontId="157" fillId="2" borderId="14" xfId="0" applyFont="1" applyFill="1" applyBorder="1" applyAlignment="1" applyProtection="1">
      <alignment horizontal="center" vertical="top" wrapText="1"/>
      <protection hidden="1"/>
    </xf>
    <xf numFmtId="0" fontId="158" fillId="2" borderId="8" xfId="0" applyFont="1" applyFill="1" applyBorder="1" applyAlignment="1" applyProtection="1">
      <alignment horizontal="center" vertical="top" wrapText="1"/>
      <protection hidden="1"/>
    </xf>
    <xf numFmtId="0" fontId="157" fillId="2" borderId="8" xfId="0" applyFont="1" applyFill="1" applyBorder="1" applyAlignment="1" applyProtection="1">
      <alignment horizontal="center" vertical="top" wrapText="1"/>
      <protection hidden="1"/>
    </xf>
    <xf numFmtId="0" fontId="0" fillId="2" borderId="2" xfId="0" applyFill="1" applyBorder="1" applyAlignment="1" applyProtection="1">
      <alignment horizontal="center" vertical="top" wrapText="1"/>
      <protection hidden="1"/>
    </xf>
    <xf numFmtId="0" fontId="157" fillId="2" borderId="13" xfId="0" applyFont="1" applyFill="1" applyBorder="1" applyAlignment="1" applyProtection="1">
      <alignment horizontal="center" vertical="top" wrapText="1"/>
      <protection hidden="1"/>
    </xf>
    <xf numFmtId="0" fontId="157" fillId="2" borderId="17" xfId="0" applyFont="1" applyFill="1" applyBorder="1" applyAlignment="1" applyProtection="1">
      <alignment horizontal="center" vertical="top" wrapText="1"/>
      <protection hidden="1"/>
    </xf>
    <xf numFmtId="0" fontId="0" fillId="2" borderId="18" xfId="0" applyFill="1" applyBorder="1" applyAlignment="1" applyProtection="1">
      <alignment horizontal="center" vertical="top" wrapText="1"/>
      <protection hidden="1"/>
    </xf>
    <xf numFmtId="0" fontId="159" fillId="2" borderId="17" xfId="0" applyFont="1" applyFill="1" applyBorder="1" applyAlignment="1" applyProtection="1">
      <alignment horizontal="center" vertical="top" wrapText="1"/>
      <protection hidden="1"/>
    </xf>
    <xf numFmtId="0" fontId="0" fillId="2" borderId="17" xfId="0" applyFill="1" applyBorder="1" applyAlignment="1" applyProtection="1">
      <alignment horizontal="center" vertical="top" wrapText="1"/>
      <protection hidden="1"/>
    </xf>
    <xf numFmtId="0" fontId="157" fillId="2" borderId="18" xfId="0" applyFont="1" applyFill="1" applyBorder="1" applyAlignment="1" applyProtection="1">
      <alignment horizontal="center" vertical="top" wrapText="1"/>
      <protection hidden="1"/>
    </xf>
    <xf numFmtId="0" fontId="157" fillId="2" borderId="32" xfId="0" applyFont="1" applyFill="1" applyBorder="1" applyAlignment="1" applyProtection="1">
      <alignment horizontal="center" vertical="top" wrapText="1"/>
      <protection hidden="1"/>
    </xf>
    <xf numFmtId="0" fontId="0" fillId="2" borderId="37" xfId="0" applyFill="1" applyBorder="1" applyAlignment="1" applyProtection="1">
      <alignment horizontal="center" vertical="top" wrapText="1"/>
      <protection hidden="1"/>
    </xf>
    <xf numFmtId="0" fontId="157" fillId="0" borderId="20" xfId="0" applyFont="1" applyBorder="1" applyAlignment="1" applyProtection="1">
      <alignment horizontal="center" vertical="top" wrapText="1"/>
      <protection hidden="1"/>
    </xf>
    <xf numFmtId="0" fontId="157" fillId="0" borderId="8" xfId="0" applyFont="1" applyBorder="1" applyAlignment="1" applyProtection="1">
      <alignment horizontal="center" vertical="top" wrapText="1"/>
      <protection hidden="1"/>
    </xf>
    <xf numFmtId="0" fontId="157" fillId="0" borderId="12" xfId="0" applyFont="1" applyBorder="1" applyAlignment="1" applyProtection="1">
      <alignment vertical="top" wrapText="1"/>
      <protection hidden="1"/>
    </xf>
    <xf numFmtId="164" fontId="157" fillId="10" borderId="12" xfId="0" applyNumberFormat="1" applyFont="1" applyFill="1" applyBorder="1" applyAlignment="1" applyProtection="1">
      <alignment horizontal="center"/>
      <protection hidden="1"/>
    </xf>
    <xf numFmtId="164" fontId="159" fillId="10" borderId="12" xfId="0" applyNumberFormat="1" applyFont="1" applyFill="1" applyBorder="1" applyAlignment="1" applyProtection="1">
      <alignment horizontal="center"/>
      <protection hidden="1"/>
    </xf>
    <xf numFmtId="164" fontId="161" fillId="10" borderId="13" xfId="0" applyNumberFormat="1" applyFont="1" applyFill="1" applyBorder="1" applyAlignment="1" applyProtection="1">
      <alignment horizontal="center"/>
      <protection hidden="1"/>
    </xf>
    <xf numFmtId="2" fontId="159" fillId="10" borderId="12" xfId="0" applyNumberFormat="1" applyFont="1" applyFill="1" applyBorder="1" applyAlignment="1" applyProtection="1">
      <alignment horizontal="center"/>
      <protection hidden="1"/>
    </xf>
    <xf numFmtId="164" fontId="159" fillId="10" borderId="12" xfId="0" applyNumberFormat="1" applyFont="1" applyFill="1" applyBorder="1" applyProtection="1">
      <protection hidden="1"/>
    </xf>
    <xf numFmtId="164" fontId="157" fillId="10" borderId="20" xfId="0" applyNumberFormat="1" applyFont="1" applyFill="1" applyBorder="1" applyAlignment="1" applyProtection="1">
      <alignment horizontal="center"/>
      <protection hidden="1"/>
    </xf>
    <xf numFmtId="164" fontId="159" fillId="10" borderId="20" xfId="0" applyNumberFormat="1" applyFont="1" applyFill="1" applyBorder="1" applyAlignment="1" applyProtection="1">
      <alignment horizontal="center"/>
      <protection hidden="1"/>
    </xf>
    <xf numFmtId="164" fontId="159" fillId="10" borderId="19" xfId="0" applyNumberFormat="1" applyFont="1" applyFill="1" applyBorder="1" applyAlignment="1" applyProtection="1">
      <alignment horizontal="center"/>
      <protection hidden="1"/>
    </xf>
    <xf numFmtId="164" fontId="159" fillId="10" borderId="20" xfId="0" applyNumberFormat="1" applyFont="1" applyFill="1" applyBorder="1" applyProtection="1">
      <protection hidden="1"/>
    </xf>
    <xf numFmtId="0" fontId="157" fillId="2" borderId="10" xfId="0" applyFont="1" applyFill="1" applyBorder="1" applyAlignment="1" applyProtection="1">
      <alignment horizontal="center"/>
      <protection hidden="1"/>
    </xf>
    <xf numFmtId="0" fontId="157" fillId="11" borderId="12" xfId="0" applyFont="1" applyFill="1" applyBorder="1" applyAlignment="1" applyProtection="1">
      <alignment horizontal="center"/>
      <protection hidden="1"/>
    </xf>
    <xf numFmtId="164" fontId="157" fillId="2" borderId="10" xfId="0" applyNumberFormat="1" applyFont="1" applyFill="1" applyBorder="1" applyAlignment="1" applyProtection="1">
      <alignment horizontal="center"/>
      <protection hidden="1"/>
    </xf>
    <xf numFmtId="0" fontId="157" fillId="2" borderId="10" xfId="0" applyFont="1" applyFill="1" applyBorder="1" applyProtection="1">
      <protection hidden="1"/>
    </xf>
    <xf numFmtId="0" fontId="157" fillId="2" borderId="0" xfId="0" applyFont="1" applyFill="1" applyAlignment="1" applyProtection="1">
      <alignment horizontal="center"/>
      <protection hidden="1"/>
    </xf>
    <xf numFmtId="164" fontId="157" fillId="2" borderId="0" xfId="0" applyNumberFormat="1" applyFont="1" applyFill="1" applyAlignment="1" applyProtection="1">
      <alignment horizontal="center"/>
      <protection hidden="1"/>
    </xf>
    <xf numFmtId="0" fontId="157" fillId="2" borderId="0" xfId="0" applyFont="1" applyFill="1" applyProtection="1">
      <protection hidden="1"/>
    </xf>
    <xf numFmtId="2" fontId="52" fillId="2" borderId="0" xfId="0" applyNumberFormat="1" applyFont="1" applyFill="1" applyProtection="1">
      <protection hidden="1"/>
    </xf>
    <xf numFmtId="2" fontId="52" fillId="7" borderId="17" xfId="0" applyNumberFormat="1" applyFont="1" applyFill="1" applyBorder="1" applyAlignment="1" applyProtection="1">
      <alignment horizontal="center"/>
      <protection hidden="1"/>
    </xf>
    <xf numFmtId="2" fontId="52" fillId="7" borderId="18" xfId="0" applyNumberFormat="1" applyFont="1" applyFill="1" applyBorder="1" applyAlignment="1" applyProtection="1">
      <alignment horizontal="center"/>
      <protection hidden="1"/>
    </xf>
    <xf numFmtId="164" fontId="161" fillId="10" borderId="12" xfId="0" applyNumberFormat="1" applyFont="1" applyFill="1" applyBorder="1" applyAlignment="1" applyProtection="1">
      <alignment horizontal="center"/>
      <protection hidden="1"/>
    </xf>
    <xf numFmtId="164" fontId="161" fillId="10" borderId="12" xfId="0" applyNumberFormat="1" applyFont="1" applyFill="1" applyBorder="1" applyProtection="1">
      <protection hidden="1"/>
    </xf>
    <xf numFmtId="2" fontId="161" fillId="10" borderId="12" xfId="0" applyNumberFormat="1" applyFont="1" applyFill="1" applyBorder="1" applyAlignment="1" applyProtection="1">
      <alignment horizontal="center"/>
      <protection hidden="1"/>
    </xf>
    <xf numFmtId="0" fontId="157" fillId="2" borderId="0" xfId="0" applyFont="1" applyFill="1" applyAlignment="1" applyProtection="1">
      <alignment horizontal="center" vertical="top" wrapText="1"/>
      <protection hidden="1"/>
    </xf>
    <xf numFmtId="0" fontId="41" fillId="2" borderId="0" xfId="0" applyFont="1" applyFill="1" applyProtection="1">
      <protection hidden="1"/>
    </xf>
    <xf numFmtId="0" fontId="162" fillId="0" borderId="0" xfId="0" applyFont="1" applyAlignment="1" applyProtection="1">
      <alignment horizontal="left"/>
      <protection hidden="1"/>
    </xf>
    <xf numFmtId="0" fontId="55" fillId="0" borderId="0" xfId="0" applyFont="1" applyAlignment="1" applyProtection="1">
      <alignment horizontal="center"/>
      <protection hidden="1"/>
    </xf>
    <xf numFmtId="0" fontId="29" fillId="0" borderId="0" xfId="0" applyFont="1" applyProtection="1">
      <protection hidden="1"/>
    </xf>
    <xf numFmtId="2" fontId="0" fillId="0" borderId="0" xfId="0" applyNumberFormat="1" applyProtection="1">
      <protection hidden="1"/>
    </xf>
    <xf numFmtId="0" fontId="163" fillId="2" borderId="29" xfId="0" applyFont="1" applyFill="1" applyBorder="1" applyProtection="1">
      <protection hidden="1"/>
    </xf>
    <xf numFmtId="0" fontId="0" fillId="2" borderId="36" xfId="0" applyFill="1" applyBorder="1" applyProtection="1">
      <protection hidden="1"/>
    </xf>
    <xf numFmtId="0" fontId="163" fillId="2" borderId="36" xfId="0" applyFont="1" applyFill="1" applyBorder="1" applyProtection="1">
      <protection hidden="1"/>
    </xf>
    <xf numFmtId="0" fontId="0" fillId="2" borderId="33" xfId="0" applyFill="1" applyBorder="1" applyProtection="1">
      <protection hidden="1"/>
    </xf>
    <xf numFmtId="0" fontId="29" fillId="2" borderId="36" xfId="0" applyFont="1" applyFill="1" applyBorder="1" applyProtection="1">
      <protection hidden="1"/>
    </xf>
    <xf numFmtId="0" fontId="29" fillId="2" borderId="33" xfId="0" applyFont="1" applyFill="1" applyBorder="1" applyProtection="1">
      <protection hidden="1"/>
    </xf>
    <xf numFmtId="2" fontId="164" fillId="2" borderId="29" xfId="0" applyNumberFormat="1" applyFont="1" applyFill="1" applyBorder="1" applyAlignment="1" applyProtection="1">
      <alignment horizontal="left"/>
      <protection hidden="1"/>
    </xf>
    <xf numFmtId="2" fontId="0" fillId="2" borderId="36" xfId="0" applyNumberFormat="1" applyFill="1" applyBorder="1" applyAlignment="1" applyProtection="1">
      <alignment horizontal="center"/>
      <protection hidden="1"/>
    </xf>
    <xf numFmtId="2" fontId="0" fillId="2" borderId="33" xfId="0" applyNumberFormat="1" applyFill="1" applyBorder="1" applyAlignment="1" applyProtection="1">
      <alignment horizontal="center"/>
      <protection hidden="1"/>
    </xf>
    <xf numFmtId="0" fontId="0" fillId="2" borderId="36" xfId="0" applyFill="1" applyBorder="1" applyAlignment="1" applyProtection="1">
      <alignment horizontal="center"/>
      <protection hidden="1"/>
    </xf>
    <xf numFmtId="0" fontId="0" fillId="2" borderId="33" xfId="0" applyFill="1" applyBorder="1" applyAlignment="1" applyProtection="1">
      <alignment horizontal="center"/>
      <protection hidden="1"/>
    </xf>
    <xf numFmtId="0" fontId="0" fillId="0" borderId="0" xfId="0" applyAlignment="1" applyProtection="1">
      <alignment horizontal="center" textRotation="90" wrapText="1"/>
      <protection hidden="1"/>
    </xf>
    <xf numFmtId="0" fontId="98" fillId="0" borderId="0" xfId="0" applyFont="1" applyAlignment="1" applyProtection="1">
      <alignment horizontal="center" textRotation="90" wrapText="1"/>
      <protection hidden="1"/>
    </xf>
    <xf numFmtId="2" fontId="98" fillId="0" borderId="21" xfId="0" applyNumberFormat="1" applyFont="1" applyBorder="1" applyAlignment="1" applyProtection="1">
      <alignment horizontal="center" textRotation="90" wrapText="1"/>
      <protection hidden="1"/>
    </xf>
    <xf numFmtId="2" fontId="0" fillId="0" borderId="22" xfId="0" applyNumberFormat="1" applyBorder="1" applyAlignment="1" applyProtection="1">
      <alignment textRotation="90" wrapText="1"/>
      <protection hidden="1"/>
    </xf>
    <xf numFmtId="2" fontId="0" fillId="0" borderId="23" xfId="0" applyNumberFormat="1" applyBorder="1" applyAlignment="1" applyProtection="1">
      <alignment textRotation="90" wrapText="1"/>
      <protection hidden="1"/>
    </xf>
    <xf numFmtId="2" fontId="0" fillId="0" borderId="0" xfId="0" applyNumberFormat="1" applyAlignment="1" applyProtection="1">
      <alignment textRotation="90" wrapText="1"/>
      <protection hidden="1"/>
    </xf>
    <xf numFmtId="0" fontId="0" fillId="0" borderId="0" xfId="0" applyAlignment="1" applyProtection="1">
      <alignment horizontal="center"/>
      <protection hidden="1"/>
    </xf>
    <xf numFmtId="0" fontId="98" fillId="0" borderId="0" xfId="0" applyFont="1" applyAlignment="1" applyProtection="1">
      <alignment horizontal="center"/>
      <protection hidden="1"/>
    </xf>
    <xf numFmtId="2" fontId="98" fillId="0" borderId="24" xfId="0" applyNumberFormat="1" applyFont="1" applyBorder="1" applyAlignment="1" applyProtection="1">
      <alignment horizontal="center"/>
      <protection hidden="1"/>
    </xf>
    <xf numFmtId="2" fontId="0" fillId="0" borderId="25" xfId="0" applyNumberFormat="1" applyBorder="1" applyProtection="1">
      <protection hidden="1"/>
    </xf>
    <xf numFmtId="0" fontId="0" fillId="10" borderId="0" xfId="0" applyFill="1" applyAlignment="1" applyProtection="1">
      <alignment horizontal="center"/>
      <protection hidden="1"/>
    </xf>
    <xf numFmtId="0" fontId="98" fillId="10" borderId="0" xfId="0" applyFont="1" applyFill="1" applyAlignment="1" applyProtection="1">
      <alignment horizontal="center"/>
      <protection hidden="1"/>
    </xf>
    <xf numFmtId="164" fontId="98" fillId="10" borderId="0" xfId="0" applyNumberFormat="1" applyFont="1" applyFill="1" applyAlignment="1" applyProtection="1">
      <alignment horizontal="center"/>
      <protection hidden="1"/>
    </xf>
    <xf numFmtId="2" fontId="98" fillId="10" borderId="0" xfId="0" applyNumberFormat="1" applyFont="1" applyFill="1" applyAlignment="1" applyProtection="1">
      <alignment horizontal="center"/>
      <protection hidden="1"/>
    </xf>
    <xf numFmtId="0" fontId="98" fillId="10" borderId="0" xfId="0" applyFont="1" applyFill="1" applyProtection="1">
      <protection hidden="1"/>
    </xf>
    <xf numFmtId="2" fontId="98" fillId="10" borderId="0" xfId="0" applyNumberFormat="1" applyFont="1" applyFill="1" applyProtection="1">
      <protection hidden="1"/>
    </xf>
    <xf numFmtId="2" fontId="0" fillId="10" borderId="0" xfId="0" applyNumberFormat="1" applyFill="1" applyProtection="1">
      <protection hidden="1"/>
    </xf>
    <xf numFmtId="2" fontId="0" fillId="10" borderId="24" xfId="0" applyNumberFormat="1" applyFill="1" applyBorder="1" applyProtection="1">
      <protection hidden="1"/>
    </xf>
    <xf numFmtId="2" fontId="0" fillId="10" borderId="25" xfId="0" applyNumberFormat="1" applyFill="1" applyBorder="1" applyProtection="1">
      <protection hidden="1"/>
    </xf>
    <xf numFmtId="164" fontId="0" fillId="10" borderId="0" xfId="0" applyNumberFormat="1" applyFill="1" applyProtection="1">
      <protection hidden="1"/>
    </xf>
    <xf numFmtId="0" fontId="0" fillId="10" borderId="0" xfId="0" applyFill="1" applyProtection="1">
      <protection hidden="1"/>
    </xf>
    <xf numFmtId="164" fontId="98" fillId="0" borderId="0" xfId="0" applyNumberFormat="1" applyFont="1" applyAlignment="1" applyProtection="1">
      <alignment horizontal="center"/>
      <protection hidden="1"/>
    </xf>
    <xf numFmtId="2" fontId="98" fillId="0" borderId="0" xfId="0" applyNumberFormat="1" applyFont="1" applyAlignment="1" applyProtection="1">
      <alignment horizontal="center"/>
      <protection hidden="1"/>
    </xf>
    <xf numFmtId="0" fontId="98" fillId="0" borderId="0" xfId="0" applyFont="1" applyProtection="1">
      <protection hidden="1"/>
    </xf>
    <xf numFmtId="2" fontId="98" fillId="0" borderId="0" xfId="0" applyNumberFormat="1" applyFont="1" applyProtection="1">
      <protection hidden="1"/>
    </xf>
    <xf numFmtId="2" fontId="0" fillId="0" borderId="24" xfId="0" applyNumberFormat="1" applyBorder="1" applyProtection="1">
      <protection hidden="1"/>
    </xf>
    <xf numFmtId="164" fontId="0" fillId="0" borderId="0" xfId="0" applyNumberFormat="1" applyProtection="1">
      <protection hidden="1"/>
    </xf>
    <xf numFmtId="0" fontId="30" fillId="0" borderId="0" xfId="0" applyFont="1" applyProtection="1">
      <protection hidden="1"/>
    </xf>
    <xf numFmtId="2" fontId="0" fillId="0" borderId="26" xfId="0" applyNumberFormat="1" applyBorder="1" applyProtection="1">
      <protection hidden="1"/>
    </xf>
    <xf numFmtId="2" fontId="0" fillId="0" borderId="27" xfId="0" applyNumberFormat="1" applyBorder="1" applyProtection="1">
      <protection hidden="1"/>
    </xf>
    <xf numFmtId="2" fontId="0" fillId="0" borderId="28" xfId="0" applyNumberFormat="1" applyBorder="1" applyProtection="1">
      <protection hidden="1"/>
    </xf>
    <xf numFmtId="2" fontId="98" fillId="0" borderId="0" xfId="0" applyNumberFormat="1" applyFont="1" applyAlignment="1" applyProtection="1">
      <alignment horizontal="center" textRotation="90" wrapText="1"/>
      <protection hidden="1"/>
    </xf>
    <xf numFmtId="0" fontId="168" fillId="0" borderId="0" xfId="0" applyFont="1" applyAlignment="1" applyProtection="1">
      <alignment horizontal="left" vertical="center"/>
      <protection hidden="1"/>
    </xf>
    <xf numFmtId="2" fontId="98" fillId="0" borderId="24" xfId="0" applyNumberFormat="1" applyFont="1" applyBorder="1" applyAlignment="1" applyProtection="1">
      <alignment horizontal="center" textRotation="90" wrapText="1"/>
      <protection hidden="1"/>
    </xf>
    <xf numFmtId="2" fontId="0" fillId="0" borderId="25" xfId="0" applyNumberFormat="1" applyBorder="1" applyAlignment="1" applyProtection="1">
      <alignment textRotation="90" wrapText="1"/>
      <protection hidden="1"/>
    </xf>
    <xf numFmtId="2" fontId="29" fillId="10" borderId="0" xfId="0" applyNumberFormat="1" applyFont="1" applyFill="1" applyProtection="1">
      <protection hidden="1"/>
    </xf>
    <xf numFmtId="2" fontId="29" fillId="0" borderId="0" xfId="0" applyNumberFormat="1" applyFont="1" applyProtection="1">
      <protection hidden="1"/>
    </xf>
    <xf numFmtId="2" fontId="29" fillId="0" borderId="27" xfId="0" applyNumberFormat="1" applyFont="1" applyBorder="1" applyProtection="1">
      <protection hidden="1"/>
    </xf>
    <xf numFmtId="0" fontId="0" fillId="0" borderId="0" xfId="0" applyAlignment="1" applyProtection="1">
      <alignment vertical="center"/>
      <protection hidden="1"/>
    </xf>
    <xf numFmtId="0" fontId="169" fillId="0" borderId="0" xfId="0" applyFont="1" applyAlignment="1" applyProtection="1">
      <alignment horizontal="left" vertical="center"/>
      <protection hidden="1"/>
    </xf>
    <xf numFmtId="0" fontId="74" fillId="0" borderId="0" xfId="0" applyFont="1" applyAlignment="1" applyProtection="1">
      <alignment horizontal="center"/>
      <protection hidden="1"/>
    </xf>
    <xf numFmtId="2" fontId="74" fillId="0" borderId="0" xfId="0" applyNumberFormat="1" applyFont="1" applyAlignment="1" applyProtection="1">
      <alignment horizontal="center"/>
      <protection hidden="1"/>
    </xf>
    <xf numFmtId="0" fontId="74" fillId="0" borderId="0" xfId="0" applyFont="1" applyProtection="1">
      <protection hidden="1"/>
    </xf>
    <xf numFmtId="2" fontId="34" fillId="0" borderId="0" xfId="0" applyNumberFormat="1" applyFont="1" applyProtection="1">
      <protection hidden="1"/>
    </xf>
    <xf numFmtId="2" fontId="74" fillId="0" borderId="0" xfId="0" applyNumberFormat="1" applyFont="1" applyProtection="1">
      <protection hidden="1"/>
    </xf>
    <xf numFmtId="0" fontId="92" fillId="6" borderId="0" xfId="0" applyFont="1" applyFill="1" applyProtection="1">
      <protection hidden="1"/>
    </xf>
    <xf numFmtId="0" fontId="34" fillId="6" borderId="0" xfId="0" applyFont="1" applyFill="1" applyProtection="1">
      <protection hidden="1"/>
    </xf>
    <xf numFmtId="2" fontId="34" fillId="6" borderId="0" xfId="0" applyNumberFormat="1" applyFont="1" applyFill="1" applyProtection="1">
      <protection hidden="1"/>
    </xf>
    <xf numFmtId="2" fontId="74" fillId="6" borderId="0" xfId="0" applyNumberFormat="1" applyFont="1" applyFill="1" applyProtection="1">
      <protection hidden="1"/>
    </xf>
    <xf numFmtId="0" fontId="74" fillId="6" borderId="0" xfId="0" applyFont="1" applyFill="1" applyProtection="1">
      <protection hidden="1"/>
    </xf>
    <xf numFmtId="0" fontId="95" fillId="12" borderId="0" xfId="0" applyFont="1" applyFill="1" applyProtection="1">
      <protection hidden="1"/>
    </xf>
    <xf numFmtId="2" fontId="95" fillId="12" borderId="0" xfId="0" applyNumberFormat="1" applyFont="1" applyFill="1" applyProtection="1">
      <protection hidden="1"/>
    </xf>
    <xf numFmtId="0" fontId="94" fillId="0" borderId="0" xfId="0" applyFont="1" applyProtection="1">
      <protection hidden="1"/>
    </xf>
    <xf numFmtId="0" fontId="36" fillId="6" borderId="21" xfId="0" applyFont="1" applyFill="1" applyBorder="1" applyProtection="1">
      <protection hidden="1"/>
    </xf>
    <xf numFmtId="0" fontId="34" fillId="6" borderId="22" xfId="0" applyFont="1" applyFill="1" applyBorder="1" applyProtection="1">
      <protection hidden="1"/>
    </xf>
    <xf numFmtId="0" fontId="34" fillId="6" borderId="23" xfId="0" applyFont="1" applyFill="1" applyBorder="1" applyProtection="1">
      <protection hidden="1"/>
    </xf>
    <xf numFmtId="0" fontId="36" fillId="6" borderId="29" xfId="0" applyFont="1" applyFill="1" applyBorder="1" applyProtection="1">
      <protection hidden="1"/>
    </xf>
    <xf numFmtId="0" fontId="36" fillId="6" borderId="30" xfId="0" applyFont="1" applyFill="1" applyBorder="1" applyAlignment="1" applyProtection="1">
      <alignment textRotation="90"/>
      <protection hidden="1"/>
    </xf>
    <xf numFmtId="0" fontId="36" fillId="6" borderId="36" xfId="0" applyFont="1" applyFill="1" applyBorder="1" applyAlignment="1" applyProtection="1">
      <alignment horizontal="center" textRotation="90"/>
      <protection hidden="1"/>
    </xf>
    <xf numFmtId="0" fontId="36" fillId="6" borderId="33" xfId="0" applyFont="1" applyFill="1" applyBorder="1" applyAlignment="1" applyProtection="1">
      <alignment horizontal="center" textRotation="90"/>
      <protection hidden="1"/>
    </xf>
    <xf numFmtId="0" fontId="36" fillId="6" borderId="29" xfId="0" applyFont="1" applyFill="1" applyBorder="1" applyAlignment="1" applyProtection="1">
      <alignment horizontal="center" textRotation="90"/>
      <protection hidden="1"/>
    </xf>
    <xf numFmtId="0" fontId="36" fillId="6" borderId="21" xfId="0" applyFont="1" applyFill="1" applyBorder="1" applyAlignment="1" applyProtection="1">
      <alignment horizontal="center" textRotation="90"/>
      <protection hidden="1"/>
    </xf>
    <xf numFmtId="0" fontId="36" fillId="6" borderId="22" xfId="0" applyFont="1" applyFill="1" applyBorder="1" applyAlignment="1" applyProtection="1">
      <alignment horizontal="center" textRotation="90"/>
      <protection hidden="1"/>
    </xf>
    <xf numFmtId="0" fontId="36" fillId="6" borderId="23" xfId="0" applyFont="1" applyFill="1" applyBorder="1" applyAlignment="1" applyProtection="1">
      <alignment horizontal="center" textRotation="90"/>
      <protection hidden="1"/>
    </xf>
    <xf numFmtId="0" fontId="36" fillId="13" borderId="31" xfId="0" applyFont="1" applyFill="1" applyBorder="1" applyAlignment="1" applyProtection="1">
      <alignment horizontal="center"/>
      <protection hidden="1"/>
    </xf>
    <xf numFmtId="0" fontId="75" fillId="10" borderId="38" xfId="0" applyFont="1" applyFill="1" applyBorder="1" applyProtection="1">
      <protection hidden="1"/>
    </xf>
    <xf numFmtId="0" fontId="34" fillId="13" borderId="35" xfId="0" applyFont="1" applyFill="1" applyBorder="1" applyProtection="1">
      <protection hidden="1"/>
    </xf>
    <xf numFmtId="2" fontId="16" fillId="13" borderId="0" xfId="0" applyNumberFormat="1" applyFont="1" applyFill="1" applyAlignment="1" applyProtection="1">
      <alignment horizontal="center"/>
      <protection hidden="1"/>
    </xf>
    <xf numFmtId="2" fontId="16" fillId="13" borderId="25" xfId="0" applyNumberFormat="1" applyFont="1" applyFill="1" applyBorder="1" applyAlignment="1" applyProtection="1">
      <alignment horizontal="center"/>
      <protection hidden="1"/>
    </xf>
    <xf numFmtId="2" fontId="16" fillId="13" borderId="21" xfId="0" applyNumberFormat="1" applyFont="1" applyFill="1" applyBorder="1" applyAlignment="1" applyProtection="1">
      <alignment horizontal="center"/>
      <protection hidden="1"/>
    </xf>
    <xf numFmtId="2" fontId="16" fillId="13" borderId="22" xfId="0" applyNumberFormat="1" applyFont="1" applyFill="1" applyBorder="1" applyAlignment="1" applyProtection="1">
      <alignment horizontal="center"/>
      <protection hidden="1"/>
    </xf>
    <xf numFmtId="2" fontId="16" fillId="13" borderId="23" xfId="0" applyNumberFormat="1" applyFont="1" applyFill="1" applyBorder="1" applyAlignment="1" applyProtection="1">
      <alignment horizontal="center"/>
      <protection hidden="1"/>
    </xf>
    <xf numFmtId="1" fontId="136" fillId="0" borderId="0" xfId="0" applyNumberFormat="1" applyFont="1" applyAlignment="1" applyProtection="1">
      <alignment horizontal="center"/>
      <protection hidden="1"/>
    </xf>
    <xf numFmtId="1" fontId="16" fillId="0" borderId="0" xfId="0" applyNumberFormat="1" applyFont="1" applyAlignment="1" applyProtection="1">
      <alignment horizontal="center"/>
      <protection hidden="1"/>
    </xf>
    <xf numFmtId="0" fontId="30" fillId="13" borderId="31" xfId="0" applyFont="1" applyFill="1" applyBorder="1" applyAlignment="1" applyProtection="1">
      <alignment horizontal="center"/>
      <protection hidden="1"/>
    </xf>
    <xf numFmtId="0" fontId="99" fillId="10" borderId="38" xfId="0" applyFont="1" applyFill="1" applyBorder="1" applyProtection="1">
      <protection hidden="1"/>
    </xf>
    <xf numFmtId="0" fontId="0" fillId="13" borderId="35" xfId="0" applyFill="1" applyBorder="1" applyProtection="1">
      <protection hidden="1"/>
    </xf>
    <xf numFmtId="1" fontId="16" fillId="0" borderId="0" xfId="0" applyNumberFormat="1" applyFont="1" applyProtection="1">
      <protection hidden="1"/>
    </xf>
    <xf numFmtId="164" fontId="16" fillId="13" borderId="21" xfId="0" applyNumberFormat="1" applyFont="1" applyFill="1" applyBorder="1" applyAlignment="1" applyProtection="1">
      <alignment horizontal="center"/>
      <protection hidden="1"/>
    </xf>
    <xf numFmtId="164" fontId="16" fillId="13" borderId="22" xfId="0" applyNumberFormat="1" applyFont="1" applyFill="1" applyBorder="1" applyAlignment="1" applyProtection="1">
      <alignment horizontal="center"/>
      <protection hidden="1"/>
    </xf>
    <xf numFmtId="164" fontId="16" fillId="13" borderId="23" xfId="0" applyNumberFormat="1" applyFont="1" applyFill="1" applyBorder="1" applyAlignment="1" applyProtection="1">
      <alignment horizontal="center"/>
      <protection hidden="1"/>
    </xf>
    <xf numFmtId="0" fontId="36" fillId="13" borderId="35" xfId="0" applyFont="1" applyFill="1" applyBorder="1" applyAlignment="1" applyProtection="1">
      <alignment horizontal="center"/>
      <protection hidden="1"/>
    </xf>
    <xf numFmtId="0" fontId="75" fillId="10" borderId="39" xfId="0" applyFont="1" applyFill="1" applyBorder="1" applyProtection="1">
      <protection hidden="1"/>
    </xf>
    <xf numFmtId="2" fontId="16" fillId="13" borderId="24" xfId="0" applyNumberFormat="1" applyFont="1" applyFill="1" applyBorder="1" applyAlignment="1" applyProtection="1">
      <alignment horizontal="center"/>
      <protection hidden="1"/>
    </xf>
    <xf numFmtId="0" fontId="30" fillId="13" borderId="35" xfId="0" applyFont="1" applyFill="1" applyBorder="1" applyAlignment="1" applyProtection="1">
      <alignment horizontal="center"/>
      <protection hidden="1"/>
    </xf>
    <xf numFmtId="0" fontId="99" fillId="10" borderId="39" xfId="0" applyFont="1" applyFill="1" applyBorder="1" applyProtection="1">
      <protection hidden="1"/>
    </xf>
    <xf numFmtId="164" fontId="16" fillId="13" borderId="24" xfId="0" applyNumberFormat="1" applyFont="1" applyFill="1" applyBorder="1" applyAlignment="1" applyProtection="1">
      <alignment horizontal="center"/>
      <protection hidden="1"/>
    </xf>
    <xf numFmtId="164" fontId="16" fillId="13" borderId="0" xfId="0" applyNumberFormat="1" applyFont="1" applyFill="1" applyAlignment="1" applyProtection="1">
      <alignment horizontal="center"/>
      <protection hidden="1"/>
    </xf>
    <xf numFmtId="164" fontId="16" fillId="13" borderId="25" xfId="0" applyNumberFormat="1" applyFont="1" applyFill="1" applyBorder="1" applyAlignment="1" applyProtection="1">
      <alignment horizontal="center"/>
      <protection hidden="1"/>
    </xf>
    <xf numFmtId="0" fontId="75" fillId="10" borderId="40" xfId="0" applyFont="1" applyFill="1" applyBorder="1" applyProtection="1">
      <protection hidden="1"/>
    </xf>
    <xf numFmtId="2" fontId="16" fillId="13" borderId="28" xfId="0" applyNumberFormat="1" applyFont="1" applyFill="1" applyBorder="1" applyAlignment="1" applyProtection="1">
      <alignment horizontal="center"/>
      <protection hidden="1"/>
    </xf>
    <xf numFmtId="2" fontId="16" fillId="13" borderId="26" xfId="0" applyNumberFormat="1" applyFont="1" applyFill="1" applyBorder="1" applyAlignment="1" applyProtection="1">
      <alignment horizontal="center"/>
      <protection hidden="1"/>
    </xf>
    <xf numFmtId="2" fontId="16" fillId="13" borderId="27" xfId="0" applyNumberFormat="1" applyFont="1" applyFill="1" applyBorder="1" applyAlignment="1" applyProtection="1">
      <alignment horizontal="center"/>
      <protection hidden="1"/>
    </xf>
    <xf numFmtId="0" fontId="99" fillId="10" borderId="40" xfId="0" applyFont="1" applyFill="1" applyBorder="1" applyProtection="1">
      <protection hidden="1"/>
    </xf>
    <xf numFmtId="164" fontId="16" fillId="13" borderId="26" xfId="0" applyNumberFormat="1" applyFont="1" applyFill="1" applyBorder="1" applyAlignment="1" applyProtection="1">
      <alignment horizontal="center"/>
      <protection hidden="1"/>
    </xf>
    <xf numFmtId="164" fontId="16" fillId="13" borderId="27" xfId="0" applyNumberFormat="1" applyFont="1" applyFill="1" applyBorder="1" applyAlignment="1" applyProtection="1">
      <alignment horizontal="center"/>
      <protection hidden="1"/>
    </xf>
    <xf numFmtId="164" fontId="16" fillId="13" borderId="28" xfId="0" applyNumberFormat="1" applyFont="1" applyFill="1" applyBorder="1" applyAlignment="1" applyProtection="1">
      <alignment horizontal="center"/>
      <protection hidden="1"/>
    </xf>
    <xf numFmtId="0" fontId="36" fillId="7" borderId="35" xfId="0" applyFont="1" applyFill="1" applyBorder="1" applyAlignment="1" applyProtection="1">
      <alignment horizontal="center"/>
      <protection hidden="1"/>
    </xf>
    <xf numFmtId="0" fontId="75" fillId="10" borderId="41" xfId="0" applyFont="1" applyFill="1" applyBorder="1" applyProtection="1">
      <protection hidden="1"/>
    </xf>
    <xf numFmtId="0" fontId="34" fillId="7" borderId="31" xfId="0" applyFont="1" applyFill="1" applyBorder="1" applyProtection="1">
      <protection hidden="1"/>
    </xf>
    <xf numFmtId="2" fontId="16" fillId="7" borderId="22" xfId="0" applyNumberFormat="1" applyFont="1" applyFill="1" applyBorder="1" applyAlignment="1" applyProtection="1">
      <alignment horizontal="center"/>
      <protection hidden="1"/>
    </xf>
    <xf numFmtId="2" fontId="16" fillId="7" borderId="23" xfId="0" applyNumberFormat="1" applyFont="1" applyFill="1" applyBorder="1" applyAlignment="1" applyProtection="1">
      <alignment horizontal="center"/>
      <protection hidden="1"/>
    </xf>
    <xf numFmtId="2" fontId="16" fillId="7" borderId="21" xfId="0" applyNumberFormat="1" applyFont="1" applyFill="1" applyBorder="1" applyAlignment="1" applyProtection="1">
      <alignment horizontal="center"/>
      <protection hidden="1"/>
    </xf>
    <xf numFmtId="0" fontId="30" fillId="7" borderId="35" xfId="0" applyFont="1" applyFill="1" applyBorder="1" applyAlignment="1" applyProtection="1">
      <alignment horizontal="center"/>
      <protection hidden="1"/>
    </xf>
    <xf numFmtId="0" fontId="99" fillId="10" borderId="41" xfId="0" applyFont="1" applyFill="1" applyBorder="1" applyProtection="1">
      <protection hidden="1"/>
    </xf>
    <xf numFmtId="0" fontId="0" fillId="7" borderId="31" xfId="0" applyFill="1" applyBorder="1" applyProtection="1">
      <protection hidden="1"/>
    </xf>
    <xf numFmtId="164" fontId="16" fillId="7" borderId="21" xfId="0" applyNumberFormat="1" applyFont="1" applyFill="1" applyBorder="1" applyAlignment="1" applyProtection="1">
      <alignment horizontal="center"/>
      <protection hidden="1"/>
    </xf>
    <xf numFmtId="164" fontId="16" fillId="7" borderId="22" xfId="0" applyNumberFormat="1" applyFont="1" applyFill="1" applyBorder="1" applyAlignment="1" applyProtection="1">
      <alignment horizontal="center"/>
      <protection hidden="1"/>
    </xf>
    <xf numFmtId="164" fontId="16" fillId="7" borderId="23" xfId="0" applyNumberFormat="1" applyFont="1" applyFill="1" applyBorder="1" applyAlignment="1" applyProtection="1">
      <alignment horizontal="center"/>
      <protection hidden="1"/>
    </xf>
    <xf numFmtId="0" fontId="34" fillId="7" borderId="35" xfId="0" applyFont="1" applyFill="1" applyBorder="1" applyProtection="1">
      <protection hidden="1"/>
    </xf>
    <xf numFmtId="2" fontId="16" fillId="7" borderId="0" xfId="0" applyNumberFormat="1" applyFont="1" applyFill="1" applyAlignment="1" applyProtection="1">
      <alignment horizontal="center"/>
      <protection hidden="1"/>
    </xf>
    <xf numFmtId="2" fontId="16" fillId="7" borderId="25" xfId="0" applyNumberFormat="1" applyFont="1" applyFill="1" applyBorder="1" applyAlignment="1" applyProtection="1">
      <alignment horizontal="center"/>
      <protection hidden="1"/>
    </xf>
    <xf numFmtId="2" fontId="16" fillId="7" borderId="24" xfId="0" applyNumberFormat="1" applyFont="1" applyFill="1" applyBorder="1" applyAlignment="1" applyProtection="1">
      <alignment horizontal="center"/>
      <protection hidden="1"/>
    </xf>
    <xf numFmtId="0" fontId="0" fillId="7" borderId="35" xfId="0" applyFill="1" applyBorder="1" applyProtection="1">
      <protection hidden="1"/>
    </xf>
    <xf numFmtId="164" fontId="16" fillId="7" borderId="24" xfId="0" applyNumberFormat="1" applyFont="1" applyFill="1" applyBorder="1" applyAlignment="1" applyProtection="1">
      <alignment horizontal="center"/>
      <protection hidden="1"/>
    </xf>
    <xf numFmtId="164" fontId="16" fillId="7" borderId="0" xfId="0" applyNumberFormat="1" applyFont="1" applyFill="1" applyAlignment="1" applyProtection="1">
      <alignment horizontal="center"/>
      <protection hidden="1"/>
    </xf>
    <xf numFmtId="164" fontId="16" fillId="7" borderId="25" xfId="0" applyNumberFormat="1" applyFont="1" applyFill="1" applyBorder="1" applyAlignment="1" applyProtection="1">
      <alignment horizontal="center"/>
      <protection hidden="1"/>
    </xf>
    <xf numFmtId="2" fontId="16" fillId="7" borderId="27" xfId="0" applyNumberFormat="1" applyFont="1" applyFill="1" applyBorder="1" applyAlignment="1" applyProtection="1">
      <alignment horizontal="center"/>
      <protection hidden="1"/>
    </xf>
    <xf numFmtId="2" fontId="16" fillId="7" borderId="28" xfId="0" applyNumberFormat="1" applyFont="1" applyFill="1" applyBorder="1" applyAlignment="1" applyProtection="1">
      <alignment horizontal="center"/>
      <protection hidden="1"/>
    </xf>
    <xf numFmtId="2" fontId="16" fillId="7" borderId="26" xfId="0" applyNumberFormat="1" applyFont="1" applyFill="1" applyBorder="1" applyAlignment="1" applyProtection="1">
      <alignment horizontal="center"/>
      <protection hidden="1"/>
    </xf>
    <xf numFmtId="164" fontId="16" fillId="7" borderId="26" xfId="0" applyNumberFormat="1" applyFont="1" applyFill="1" applyBorder="1" applyAlignment="1" applyProtection="1">
      <alignment horizontal="center"/>
      <protection hidden="1"/>
    </xf>
    <xf numFmtId="164" fontId="16" fillId="7" borderId="27" xfId="0" applyNumberFormat="1" applyFont="1" applyFill="1" applyBorder="1" applyAlignment="1" applyProtection="1">
      <alignment horizontal="center"/>
      <protection hidden="1"/>
    </xf>
    <xf numFmtId="164" fontId="16" fillId="7" borderId="28" xfId="0" applyNumberFormat="1" applyFont="1" applyFill="1" applyBorder="1" applyAlignment="1" applyProtection="1">
      <alignment horizontal="center"/>
      <protection hidden="1"/>
    </xf>
    <xf numFmtId="0" fontId="36" fillId="14" borderId="35" xfId="0" applyFont="1" applyFill="1" applyBorder="1" applyAlignment="1" applyProtection="1">
      <alignment horizontal="center"/>
      <protection hidden="1"/>
    </xf>
    <xf numFmtId="0" fontId="34" fillId="14" borderId="31" xfId="0" applyFont="1" applyFill="1" applyBorder="1" applyProtection="1">
      <protection hidden="1"/>
    </xf>
    <xf numFmtId="2" fontId="16" fillId="14" borderId="22" xfId="0" applyNumberFormat="1" applyFont="1" applyFill="1" applyBorder="1" applyAlignment="1" applyProtection="1">
      <alignment horizontal="center"/>
      <protection hidden="1"/>
    </xf>
    <xf numFmtId="2" fontId="16" fillId="14" borderId="23" xfId="0" applyNumberFormat="1" applyFont="1" applyFill="1" applyBorder="1" applyAlignment="1" applyProtection="1">
      <alignment horizontal="center"/>
      <protection hidden="1"/>
    </xf>
    <xf numFmtId="2" fontId="16" fillId="14" borderId="21" xfId="0" applyNumberFormat="1" applyFont="1" applyFill="1" applyBorder="1" applyAlignment="1" applyProtection="1">
      <alignment horizontal="center"/>
      <protection hidden="1"/>
    </xf>
    <xf numFmtId="0" fontId="30" fillId="14" borderId="35" xfId="0" applyFont="1" applyFill="1" applyBorder="1" applyAlignment="1" applyProtection="1">
      <alignment horizontal="center"/>
      <protection hidden="1"/>
    </xf>
    <xf numFmtId="0" fontId="0" fillId="14" borderId="31" xfId="0" applyFill="1" applyBorder="1" applyProtection="1">
      <protection hidden="1"/>
    </xf>
    <xf numFmtId="164" fontId="16" fillId="14" borderId="21" xfId="0" applyNumberFormat="1" applyFont="1" applyFill="1" applyBorder="1" applyAlignment="1" applyProtection="1">
      <alignment horizontal="center"/>
      <protection hidden="1"/>
    </xf>
    <xf numFmtId="164" fontId="16" fillId="14" borderId="22" xfId="0" applyNumberFormat="1" applyFont="1" applyFill="1" applyBorder="1" applyAlignment="1" applyProtection="1">
      <alignment horizontal="center"/>
      <protection hidden="1"/>
    </xf>
    <xf numFmtId="164" fontId="16" fillId="14" borderId="23" xfId="0" applyNumberFormat="1" applyFont="1" applyFill="1" applyBorder="1" applyAlignment="1" applyProtection="1">
      <alignment horizontal="center"/>
      <protection hidden="1"/>
    </xf>
    <xf numFmtId="0" fontId="34" fillId="14" borderId="35" xfId="0" applyFont="1" applyFill="1" applyBorder="1" applyProtection="1">
      <protection hidden="1"/>
    </xf>
    <xf numFmtId="2" fontId="16" fillId="14" borderId="0" xfId="0" applyNumberFormat="1" applyFont="1" applyFill="1" applyAlignment="1" applyProtection="1">
      <alignment horizontal="center"/>
      <protection hidden="1"/>
    </xf>
    <xf numFmtId="2" fontId="16" fillId="14" borderId="25" xfId="0" applyNumberFormat="1" applyFont="1" applyFill="1" applyBorder="1" applyAlignment="1" applyProtection="1">
      <alignment horizontal="center"/>
      <protection hidden="1"/>
    </xf>
    <xf numFmtId="2" fontId="16" fillId="14" borderId="24" xfId="0" applyNumberFormat="1" applyFont="1" applyFill="1" applyBorder="1" applyAlignment="1" applyProtection="1">
      <alignment horizontal="center"/>
      <protection hidden="1"/>
    </xf>
    <xf numFmtId="0" fontId="0" fillId="14" borderId="35" xfId="0" applyFill="1" applyBorder="1" applyProtection="1">
      <protection hidden="1"/>
    </xf>
    <xf numFmtId="164" fontId="16" fillId="14" borderId="24" xfId="0" applyNumberFormat="1" applyFont="1" applyFill="1" applyBorder="1" applyAlignment="1" applyProtection="1">
      <alignment horizontal="center"/>
      <protection hidden="1"/>
    </xf>
    <xf numFmtId="164" fontId="16" fillId="14" borderId="0" xfId="0" applyNumberFormat="1" applyFont="1" applyFill="1" applyAlignment="1" applyProtection="1">
      <alignment horizontal="center"/>
      <protection hidden="1"/>
    </xf>
    <xf numFmtId="164" fontId="16" fillId="14" borderId="25" xfId="0" applyNumberFormat="1" applyFont="1" applyFill="1" applyBorder="1" applyAlignment="1" applyProtection="1">
      <alignment horizontal="center"/>
      <protection hidden="1"/>
    </xf>
    <xf numFmtId="2" fontId="16" fillId="14" borderId="27" xfId="0" applyNumberFormat="1" applyFont="1" applyFill="1" applyBorder="1" applyAlignment="1" applyProtection="1">
      <alignment horizontal="center"/>
      <protection hidden="1"/>
    </xf>
    <xf numFmtId="2" fontId="16" fillId="14" borderId="28" xfId="0" applyNumberFormat="1" applyFont="1" applyFill="1" applyBorder="1" applyAlignment="1" applyProtection="1">
      <alignment horizontal="center"/>
      <protection hidden="1"/>
    </xf>
    <xf numFmtId="2" fontId="16" fillId="14" borderId="26" xfId="0" applyNumberFormat="1" applyFont="1" applyFill="1" applyBorder="1" applyAlignment="1" applyProtection="1">
      <alignment horizontal="center"/>
      <protection hidden="1"/>
    </xf>
    <xf numFmtId="164" fontId="16" fillId="14" borderId="26" xfId="0" applyNumberFormat="1" applyFont="1" applyFill="1" applyBorder="1" applyAlignment="1" applyProtection="1">
      <alignment horizontal="center"/>
      <protection hidden="1"/>
    </xf>
    <xf numFmtId="164" fontId="16" fillId="14" borderId="27" xfId="0" applyNumberFormat="1" applyFont="1" applyFill="1" applyBorder="1" applyAlignment="1" applyProtection="1">
      <alignment horizontal="center"/>
      <protection hidden="1"/>
    </xf>
    <xf numFmtId="164" fontId="16" fillId="14" borderId="28" xfId="0" applyNumberFormat="1" applyFont="1" applyFill="1" applyBorder="1" applyAlignment="1" applyProtection="1">
      <alignment horizontal="center"/>
      <protection hidden="1"/>
    </xf>
    <xf numFmtId="0" fontId="36" fillId="15" borderId="35" xfId="0" applyFont="1" applyFill="1" applyBorder="1" applyAlignment="1" applyProtection="1">
      <alignment horizontal="center"/>
      <protection hidden="1"/>
    </xf>
    <xf numFmtId="0" fontId="34" fillId="15" borderId="31" xfId="0" applyFont="1" applyFill="1" applyBorder="1" applyProtection="1">
      <protection hidden="1"/>
    </xf>
    <xf numFmtId="2" fontId="16" fillId="15" borderId="22" xfId="0" applyNumberFormat="1" applyFont="1" applyFill="1" applyBorder="1" applyAlignment="1" applyProtection="1">
      <alignment horizontal="center"/>
      <protection hidden="1"/>
    </xf>
    <xf numFmtId="2" fontId="16" fillId="15" borderId="23" xfId="0" applyNumberFormat="1" applyFont="1" applyFill="1" applyBorder="1" applyAlignment="1" applyProtection="1">
      <alignment horizontal="center"/>
      <protection hidden="1"/>
    </xf>
    <xf numFmtId="2" fontId="16" fillId="15" borderId="21" xfId="0" applyNumberFormat="1" applyFont="1" applyFill="1" applyBorder="1" applyAlignment="1" applyProtection="1">
      <alignment horizontal="center"/>
      <protection hidden="1"/>
    </xf>
    <xf numFmtId="0" fontId="30" fillId="15" borderId="35" xfId="0" applyFont="1" applyFill="1" applyBorder="1" applyAlignment="1" applyProtection="1">
      <alignment horizontal="center"/>
      <protection hidden="1"/>
    </xf>
    <xf numFmtId="0" fontId="0" fillId="15" borderId="31" xfId="0" applyFill="1" applyBorder="1" applyProtection="1">
      <protection hidden="1"/>
    </xf>
    <xf numFmtId="164" fontId="16" fillId="15" borderId="21" xfId="0" applyNumberFormat="1" applyFont="1" applyFill="1" applyBorder="1" applyAlignment="1" applyProtection="1">
      <alignment horizontal="center"/>
      <protection hidden="1"/>
    </xf>
    <xf numFmtId="164" fontId="16" fillId="15" borderId="22" xfId="0" applyNumberFormat="1" applyFont="1" applyFill="1" applyBorder="1" applyAlignment="1" applyProtection="1">
      <alignment horizontal="center"/>
      <protection hidden="1"/>
    </xf>
    <xf numFmtId="164" fontId="16" fillId="15" borderId="23" xfId="0" applyNumberFormat="1" applyFont="1" applyFill="1" applyBorder="1" applyAlignment="1" applyProtection="1">
      <alignment horizontal="center"/>
      <protection hidden="1"/>
    </xf>
    <xf numFmtId="0" fontId="34" fillId="15" borderId="35" xfId="0" applyFont="1" applyFill="1" applyBorder="1" applyProtection="1">
      <protection hidden="1"/>
    </xf>
    <xf numFmtId="2" fontId="16" fillId="15" borderId="0" xfId="0" applyNumberFormat="1" applyFont="1" applyFill="1" applyAlignment="1" applyProtection="1">
      <alignment horizontal="center"/>
      <protection hidden="1"/>
    </xf>
    <xf numFmtId="2" fontId="16" fillId="15" borderId="25" xfId="0" applyNumberFormat="1" applyFont="1" applyFill="1" applyBorder="1" applyAlignment="1" applyProtection="1">
      <alignment horizontal="center"/>
      <protection hidden="1"/>
    </xf>
    <xf numFmtId="2" fontId="16" fillId="15" borderId="24" xfId="0" applyNumberFormat="1" applyFont="1" applyFill="1" applyBorder="1" applyAlignment="1" applyProtection="1">
      <alignment horizontal="center"/>
      <protection hidden="1"/>
    </xf>
    <xf numFmtId="0" fontId="0" fillId="15" borderId="35" xfId="0" applyFill="1" applyBorder="1" applyProtection="1">
      <protection hidden="1"/>
    </xf>
    <xf numFmtId="164" fontId="16" fillId="15" borderId="24" xfId="0" applyNumberFormat="1" applyFont="1" applyFill="1" applyBorder="1" applyAlignment="1" applyProtection="1">
      <alignment horizontal="center"/>
      <protection hidden="1"/>
    </xf>
    <xf numFmtId="164" fontId="16" fillId="15" borderId="0" xfId="0" applyNumberFormat="1" applyFont="1" applyFill="1" applyAlignment="1" applyProtection="1">
      <alignment horizontal="center"/>
      <protection hidden="1"/>
    </xf>
    <xf numFmtId="164" fontId="16" fillId="15" borderId="25" xfId="0" applyNumberFormat="1" applyFont="1" applyFill="1" applyBorder="1" applyAlignment="1" applyProtection="1">
      <alignment horizontal="center"/>
      <protection hidden="1"/>
    </xf>
    <xf numFmtId="0" fontId="36" fillId="15" borderId="34" xfId="0" applyFont="1" applyFill="1" applyBorder="1" applyAlignment="1" applyProtection="1">
      <alignment horizontal="center"/>
      <protection hidden="1"/>
    </xf>
    <xf numFmtId="0" fontId="34" fillId="15" borderId="34" xfId="0" applyFont="1" applyFill="1" applyBorder="1" applyProtection="1">
      <protection hidden="1"/>
    </xf>
    <xf numFmtId="2" fontId="16" fillId="15" borderId="27" xfId="0" applyNumberFormat="1" applyFont="1" applyFill="1" applyBorder="1" applyAlignment="1" applyProtection="1">
      <alignment horizontal="center"/>
      <protection hidden="1"/>
    </xf>
    <xf numFmtId="2" fontId="16" fillId="15" borderId="28" xfId="0" applyNumberFormat="1" applyFont="1" applyFill="1" applyBorder="1" applyAlignment="1" applyProtection="1">
      <alignment horizontal="center"/>
      <protection hidden="1"/>
    </xf>
    <xf numFmtId="2" fontId="16" fillId="15" borderId="26" xfId="0" applyNumberFormat="1" applyFont="1" applyFill="1" applyBorder="1" applyAlignment="1" applyProtection="1">
      <alignment horizontal="center"/>
      <protection hidden="1"/>
    </xf>
    <xf numFmtId="0" fontId="30" fillId="15" borderId="34" xfId="0" applyFont="1" applyFill="1" applyBorder="1" applyAlignment="1" applyProtection="1">
      <alignment horizontal="center"/>
      <protection hidden="1"/>
    </xf>
    <xf numFmtId="0" fontId="0" fillId="15" borderId="34" xfId="0" applyFill="1" applyBorder="1" applyProtection="1">
      <protection hidden="1"/>
    </xf>
    <xf numFmtId="164" fontId="16" fillId="15" borderId="26" xfId="0" applyNumberFormat="1" applyFont="1" applyFill="1" applyBorder="1" applyAlignment="1" applyProtection="1">
      <alignment horizontal="center"/>
      <protection hidden="1"/>
    </xf>
    <xf numFmtId="164" fontId="16" fillId="15" borderId="27" xfId="0" applyNumberFormat="1" applyFont="1" applyFill="1" applyBorder="1" applyAlignment="1" applyProtection="1">
      <alignment horizontal="center"/>
      <protection hidden="1"/>
    </xf>
    <xf numFmtId="164" fontId="16" fillId="15" borderId="28" xfId="0" applyNumberFormat="1" applyFont="1" applyFill="1" applyBorder="1" applyAlignment="1" applyProtection="1">
      <alignment horizontal="center"/>
      <protection hidden="1"/>
    </xf>
    <xf numFmtId="0" fontId="16" fillId="0" borderId="0" xfId="0" applyFont="1" applyProtection="1">
      <protection hidden="1"/>
    </xf>
    <xf numFmtId="0" fontId="55" fillId="0" borderId="0" xfId="0" applyFont="1" applyProtection="1">
      <protection hidden="1"/>
    </xf>
    <xf numFmtId="2" fontId="16" fillId="0" borderId="0" xfId="0" applyNumberFormat="1" applyFont="1" applyProtection="1">
      <protection hidden="1"/>
    </xf>
    <xf numFmtId="0" fontId="30" fillId="6" borderId="21" xfId="0" applyFont="1" applyFill="1" applyBorder="1" applyProtection="1">
      <protection hidden="1"/>
    </xf>
    <xf numFmtId="0" fontId="0" fillId="6" borderId="22" xfId="0" applyFill="1" applyBorder="1" applyProtection="1">
      <protection hidden="1"/>
    </xf>
    <xf numFmtId="0" fontId="0" fillId="6" borderId="23" xfId="0" applyFill="1" applyBorder="1" applyProtection="1">
      <protection hidden="1"/>
    </xf>
    <xf numFmtId="0" fontId="30" fillId="6" borderId="36" xfId="0" applyFont="1" applyFill="1" applyBorder="1" applyAlignment="1" applyProtection="1">
      <alignment horizontal="center" textRotation="90"/>
      <protection hidden="1"/>
    </xf>
    <xf numFmtId="0" fontId="30" fillId="6" borderId="33" xfId="0" applyFont="1" applyFill="1" applyBorder="1" applyAlignment="1" applyProtection="1">
      <alignment horizontal="center" textRotation="90"/>
      <protection hidden="1"/>
    </xf>
    <xf numFmtId="0" fontId="30" fillId="6" borderId="29" xfId="0" applyFont="1" applyFill="1" applyBorder="1" applyAlignment="1" applyProtection="1">
      <alignment horizontal="center" textRotation="90"/>
      <protection hidden="1"/>
    </xf>
    <xf numFmtId="0" fontId="30" fillId="6" borderId="29" xfId="0" applyFont="1" applyFill="1" applyBorder="1" applyProtection="1">
      <protection hidden="1"/>
    </xf>
    <xf numFmtId="0" fontId="30" fillId="6" borderId="30" xfId="0" applyFont="1" applyFill="1" applyBorder="1" applyAlignment="1" applyProtection="1">
      <alignment textRotation="90"/>
      <protection hidden="1"/>
    </xf>
    <xf numFmtId="0" fontId="30" fillId="6" borderId="21" xfId="0" applyFont="1" applyFill="1" applyBorder="1" applyAlignment="1" applyProtection="1">
      <alignment horizontal="center" textRotation="90"/>
      <protection hidden="1"/>
    </xf>
    <xf numFmtId="0" fontId="30" fillId="6" borderId="22" xfId="0" applyFont="1" applyFill="1" applyBorder="1" applyAlignment="1" applyProtection="1">
      <alignment horizontal="center" textRotation="90"/>
      <protection hidden="1"/>
    </xf>
    <xf numFmtId="0" fontId="30" fillId="6" borderId="23" xfId="0" applyFont="1" applyFill="1" applyBorder="1" applyAlignment="1" applyProtection="1">
      <alignment horizontal="center" textRotation="90"/>
      <protection hidden="1"/>
    </xf>
    <xf numFmtId="0" fontId="36" fillId="0" borderId="0" xfId="0" applyFont="1" applyAlignment="1" applyProtection="1">
      <alignment horizontal="center"/>
      <protection hidden="1"/>
    </xf>
    <xf numFmtId="0" fontId="8" fillId="0" borderId="0" xfId="0" applyFont="1" applyProtection="1">
      <protection hidden="1"/>
    </xf>
    <xf numFmtId="2" fontId="8" fillId="0" borderId="0" xfId="0" applyNumberFormat="1" applyFont="1" applyAlignment="1" applyProtection="1">
      <alignment horizontal="center"/>
      <protection hidden="1"/>
    </xf>
    <xf numFmtId="2" fontId="16" fillId="0" borderId="0" xfId="0" applyNumberFormat="1" applyFont="1" applyAlignment="1" applyProtection="1">
      <alignment horizontal="center"/>
      <protection hidden="1"/>
    </xf>
    <xf numFmtId="0" fontId="36" fillId="6" borderId="36" xfId="0" applyFont="1" applyFill="1" applyBorder="1" applyAlignment="1" applyProtection="1">
      <alignment textRotation="90"/>
      <protection hidden="1"/>
    </xf>
    <xf numFmtId="0" fontId="36" fillId="6" borderId="33" xfId="0" applyFont="1" applyFill="1" applyBorder="1" applyAlignment="1" applyProtection="1">
      <alignment textRotation="90"/>
      <protection hidden="1"/>
    </xf>
    <xf numFmtId="0" fontId="36" fillId="6" borderId="29" xfId="0" applyFont="1" applyFill="1" applyBorder="1" applyAlignment="1" applyProtection="1">
      <alignment textRotation="90"/>
      <protection hidden="1"/>
    </xf>
    <xf numFmtId="0" fontId="36" fillId="6" borderId="21" xfId="0" applyFont="1" applyFill="1" applyBorder="1" applyAlignment="1" applyProtection="1">
      <alignment textRotation="90"/>
      <protection hidden="1"/>
    </xf>
    <xf numFmtId="0" fontId="36" fillId="6" borderId="22" xfId="0" applyFont="1" applyFill="1" applyBorder="1" applyAlignment="1" applyProtection="1">
      <alignment textRotation="90"/>
      <protection hidden="1"/>
    </xf>
    <xf numFmtId="0" fontId="36" fillId="6" borderId="23" xfId="0" applyFont="1" applyFill="1" applyBorder="1" applyAlignment="1" applyProtection="1">
      <alignment textRotation="90"/>
      <protection hidden="1"/>
    </xf>
    <xf numFmtId="0" fontId="30" fillId="6" borderId="36" xfId="0" applyFont="1" applyFill="1" applyBorder="1" applyAlignment="1" applyProtection="1">
      <alignment textRotation="90"/>
      <protection hidden="1"/>
    </xf>
    <xf numFmtId="0" fontId="30" fillId="6" borderId="33" xfId="0" applyFont="1" applyFill="1" applyBorder="1" applyAlignment="1" applyProtection="1">
      <alignment textRotation="90"/>
      <protection hidden="1"/>
    </xf>
    <xf numFmtId="0" fontId="30" fillId="6" borderId="29" xfId="0" applyFont="1" applyFill="1" applyBorder="1" applyAlignment="1" applyProtection="1">
      <alignment textRotation="90"/>
      <protection hidden="1"/>
    </xf>
    <xf numFmtId="0" fontId="30" fillId="6" borderId="21" xfId="0" applyFont="1" applyFill="1" applyBorder="1" applyAlignment="1" applyProtection="1">
      <alignment textRotation="90"/>
      <protection hidden="1"/>
    </xf>
    <xf numFmtId="0" fontId="30" fillId="6" borderId="22" xfId="0" applyFont="1" applyFill="1" applyBorder="1" applyAlignment="1" applyProtection="1">
      <alignment textRotation="90"/>
      <protection hidden="1"/>
    </xf>
    <xf numFmtId="0" fontId="30" fillId="6" borderId="23" xfId="0" applyFont="1" applyFill="1" applyBorder="1" applyAlignment="1" applyProtection="1">
      <alignment textRotation="90"/>
      <protection hidden="1"/>
    </xf>
    <xf numFmtId="2" fontId="94" fillId="0" borderId="0" xfId="0" applyNumberFormat="1" applyFont="1" applyProtection="1">
      <protection hidden="1"/>
    </xf>
    <xf numFmtId="0" fontId="36" fillId="0" borderId="0" xfId="0" applyFont="1" applyProtection="1">
      <protection hidden="1"/>
    </xf>
    <xf numFmtId="0" fontId="91" fillId="0" borderId="0" xfId="0" applyFont="1" applyProtection="1">
      <protection hidden="1"/>
    </xf>
    <xf numFmtId="0" fontId="37" fillId="0" borderId="0" xfId="0" applyFont="1" applyProtection="1">
      <protection hidden="1"/>
    </xf>
    <xf numFmtId="0" fontId="37" fillId="0" borderId="0" xfId="0" applyFont="1" applyAlignment="1" applyProtection="1">
      <alignment horizontal="center"/>
      <protection hidden="1"/>
    </xf>
    <xf numFmtId="0" fontId="34" fillId="0" borderId="21" xfId="0" applyFont="1" applyBorder="1" applyProtection="1">
      <protection hidden="1"/>
    </xf>
    <xf numFmtId="2" fontId="34" fillId="0" borderId="22" xfId="0" applyNumberFormat="1" applyFont="1" applyBorder="1" applyAlignment="1" applyProtection="1">
      <alignment horizontal="center" vertical="center"/>
      <protection hidden="1"/>
    </xf>
    <xf numFmtId="0" fontId="34" fillId="0" borderId="22" xfId="0" applyFont="1" applyBorder="1" applyProtection="1">
      <protection hidden="1"/>
    </xf>
    <xf numFmtId="0" fontId="34" fillId="0" borderId="23" xfId="0" applyFont="1" applyBorder="1" applyProtection="1">
      <protection hidden="1"/>
    </xf>
    <xf numFmtId="2" fontId="34" fillId="0" borderId="0" xfId="0" applyNumberFormat="1" applyFont="1" applyAlignment="1" applyProtection="1">
      <alignment horizontal="center" vertical="center"/>
      <protection hidden="1"/>
    </xf>
    <xf numFmtId="0" fontId="34" fillId="0" borderId="0" xfId="0" applyFont="1" applyAlignment="1" applyProtection="1">
      <alignment horizontal="right"/>
      <protection hidden="1"/>
    </xf>
    <xf numFmtId="0" fontId="34" fillId="0" borderId="24" xfId="0" applyFont="1" applyBorder="1" applyProtection="1">
      <protection hidden="1"/>
    </xf>
    <xf numFmtId="0" fontId="34" fillId="0" borderId="25" xfId="0" applyFont="1" applyBorder="1" applyProtection="1">
      <protection hidden="1"/>
    </xf>
    <xf numFmtId="0" fontId="34" fillId="16" borderId="24" xfId="0" applyFont="1" applyFill="1" applyBorder="1" applyAlignment="1" applyProtection="1">
      <alignment horizontal="center" vertical="center"/>
      <protection hidden="1"/>
    </xf>
    <xf numFmtId="2" fontId="34" fillId="16" borderId="0" xfId="0" applyNumberFormat="1" applyFont="1" applyFill="1" applyAlignment="1" applyProtection="1">
      <alignment horizontal="center" vertical="center"/>
      <protection hidden="1"/>
    </xf>
    <xf numFmtId="0" fontId="34" fillId="16" borderId="0" xfId="0" applyFont="1" applyFill="1" applyAlignment="1" applyProtection="1">
      <alignment horizontal="center" vertical="center"/>
      <protection hidden="1"/>
    </xf>
    <xf numFmtId="0" fontId="34" fillId="16" borderId="0" xfId="0" applyFont="1" applyFill="1" applyAlignment="1" applyProtection="1">
      <alignment horizontal="center"/>
      <protection hidden="1"/>
    </xf>
    <xf numFmtId="2" fontId="34" fillId="22" borderId="25" xfId="0" applyNumberFormat="1" applyFont="1" applyFill="1" applyBorder="1" applyAlignment="1" applyProtection="1">
      <alignment horizontal="center" vertical="center"/>
      <protection hidden="1"/>
    </xf>
    <xf numFmtId="2" fontId="36" fillId="0" borderId="0" xfId="0" applyNumberFormat="1" applyFont="1" applyAlignment="1" applyProtection="1">
      <alignment horizontal="left"/>
      <protection hidden="1"/>
    </xf>
    <xf numFmtId="1" fontId="34" fillId="0" borderId="0" xfId="0" applyNumberFormat="1" applyFont="1" applyAlignment="1" applyProtection="1">
      <alignment horizontal="center" vertical="center"/>
      <protection hidden="1"/>
    </xf>
    <xf numFmtId="0" fontId="34" fillId="0" borderId="0" xfId="0" applyFont="1" applyAlignment="1" applyProtection="1">
      <alignment horizontal="center" vertical="center"/>
      <protection hidden="1"/>
    </xf>
    <xf numFmtId="0" fontId="34" fillId="16" borderId="21" xfId="0" applyFont="1" applyFill="1" applyBorder="1" applyAlignment="1" applyProtection="1">
      <alignment horizontal="center" vertical="center"/>
      <protection hidden="1"/>
    </xf>
    <xf numFmtId="0" fontId="34" fillId="16" borderId="22" xfId="0" applyFont="1" applyFill="1" applyBorder="1" applyAlignment="1" applyProtection="1">
      <alignment horizontal="center" vertical="center"/>
      <protection hidden="1"/>
    </xf>
    <xf numFmtId="2" fontId="34" fillId="16" borderId="23" xfId="0" applyNumberFormat="1" applyFont="1" applyFill="1" applyBorder="1" applyAlignment="1" applyProtection="1">
      <alignment horizontal="center" vertical="center"/>
      <protection hidden="1"/>
    </xf>
    <xf numFmtId="1" fontId="34" fillId="16" borderId="21" xfId="0" applyNumberFormat="1" applyFont="1" applyFill="1" applyBorder="1" applyAlignment="1" applyProtection="1">
      <alignment horizontal="center" vertical="center"/>
      <protection hidden="1"/>
    </xf>
    <xf numFmtId="1" fontId="34" fillId="16" borderId="22" xfId="0" applyNumberFormat="1" applyFont="1" applyFill="1" applyBorder="1" applyAlignment="1" applyProtection="1">
      <alignment horizontal="center" vertical="center"/>
      <protection hidden="1"/>
    </xf>
    <xf numFmtId="1" fontId="34" fillId="16" borderId="23" xfId="0" applyNumberFormat="1" applyFont="1" applyFill="1" applyBorder="1" applyAlignment="1" applyProtection="1">
      <alignment horizontal="center" vertical="center"/>
      <protection hidden="1"/>
    </xf>
    <xf numFmtId="2" fontId="34" fillId="16" borderId="25" xfId="0" applyNumberFormat="1" applyFont="1" applyFill="1" applyBorder="1" applyAlignment="1" applyProtection="1">
      <alignment horizontal="center" vertical="center"/>
      <protection hidden="1"/>
    </xf>
    <xf numFmtId="0" fontId="36" fillId="0" borderId="0" xfId="0" applyFont="1" applyAlignment="1" applyProtection="1">
      <alignment horizontal="left"/>
      <protection hidden="1"/>
    </xf>
    <xf numFmtId="0" fontId="34" fillId="16" borderId="24" xfId="0" applyFont="1" applyFill="1" applyBorder="1" applyAlignment="1" applyProtection="1">
      <alignment horizontal="center"/>
      <protection hidden="1"/>
    </xf>
    <xf numFmtId="2" fontId="34" fillId="22" borderId="25" xfId="0" applyNumberFormat="1" applyFont="1" applyFill="1" applyBorder="1" applyAlignment="1" applyProtection="1">
      <alignment horizontal="center"/>
      <protection hidden="1"/>
    </xf>
    <xf numFmtId="0" fontId="34" fillId="0" borderId="0" xfId="0" applyFont="1" applyAlignment="1" applyProtection="1">
      <alignment horizontal="left"/>
      <protection hidden="1"/>
    </xf>
    <xf numFmtId="1" fontId="34" fillId="0" borderId="0" xfId="0" applyNumberFormat="1" applyFont="1" applyAlignment="1" applyProtection="1">
      <alignment horizontal="center"/>
      <protection hidden="1"/>
    </xf>
    <xf numFmtId="2" fontId="34" fillId="0" borderId="0" xfId="0" applyNumberFormat="1" applyFont="1" applyAlignment="1" applyProtection="1">
      <alignment horizontal="center"/>
      <protection hidden="1"/>
    </xf>
    <xf numFmtId="2" fontId="34" fillId="16" borderId="25" xfId="0" applyNumberFormat="1" applyFont="1" applyFill="1" applyBorder="1" applyAlignment="1" applyProtection="1">
      <alignment horizontal="center"/>
      <protection hidden="1"/>
    </xf>
    <xf numFmtId="1" fontId="34" fillId="16" borderId="24" xfId="0" applyNumberFormat="1" applyFont="1" applyFill="1" applyBorder="1" applyAlignment="1" applyProtection="1">
      <alignment horizontal="center"/>
      <protection hidden="1"/>
    </xf>
    <xf numFmtId="1" fontId="34" fillId="16" borderId="0" xfId="0" applyNumberFormat="1" applyFont="1" applyFill="1" applyAlignment="1" applyProtection="1">
      <alignment horizontal="center" vertical="center"/>
      <protection hidden="1"/>
    </xf>
    <xf numFmtId="1" fontId="34" fillId="16" borderId="0" xfId="0" applyNumberFormat="1" applyFont="1" applyFill="1" applyAlignment="1" applyProtection="1">
      <alignment horizontal="center"/>
      <protection hidden="1"/>
    </xf>
    <xf numFmtId="1" fontId="34" fillId="16" borderId="25" xfId="0" applyNumberFormat="1" applyFont="1" applyFill="1" applyBorder="1" applyAlignment="1" applyProtection="1">
      <alignment horizontal="center"/>
      <protection hidden="1"/>
    </xf>
    <xf numFmtId="1" fontId="34" fillId="0" borderId="24" xfId="0" applyNumberFormat="1" applyFont="1" applyBorder="1" applyAlignment="1" applyProtection="1">
      <alignment horizontal="center"/>
      <protection hidden="1"/>
    </xf>
    <xf numFmtId="1" fontId="34" fillId="0" borderId="25" xfId="0" applyNumberFormat="1" applyFont="1" applyBorder="1" applyAlignment="1" applyProtection="1">
      <alignment horizontal="center"/>
      <protection hidden="1"/>
    </xf>
    <xf numFmtId="1" fontId="34" fillId="16" borderId="24" xfId="0" applyNumberFormat="1" applyFont="1" applyFill="1" applyBorder="1" applyAlignment="1" applyProtection="1">
      <alignment horizontal="center" vertical="center"/>
      <protection hidden="1"/>
    </xf>
    <xf numFmtId="1" fontId="34" fillId="16" borderId="25" xfId="0" applyNumberFormat="1" applyFont="1" applyFill="1" applyBorder="1" applyAlignment="1" applyProtection="1">
      <alignment horizontal="center" vertical="center"/>
      <protection hidden="1"/>
    </xf>
    <xf numFmtId="0" fontId="34" fillId="16" borderId="26" xfId="0" applyFont="1" applyFill="1" applyBorder="1" applyAlignment="1" applyProtection="1">
      <alignment horizontal="center"/>
      <protection hidden="1"/>
    </xf>
    <xf numFmtId="2" fontId="34" fillId="16" borderId="27" xfId="0" applyNumberFormat="1" applyFont="1" applyFill="1" applyBorder="1" applyAlignment="1" applyProtection="1">
      <alignment horizontal="center" vertical="center"/>
      <protection hidden="1"/>
    </xf>
    <xf numFmtId="0" fontId="34" fillId="16" borderId="27" xfId="0" applyFont="1" applyFill="1" applyBorder="1" applyAlignment="1" applyProtection="1">
      <alignment horizontal="center"/>
      <protection hidden="1"/>
    </xf>
    <xf numFmtId="2" fontId="34" fillId="22" borderId="28" xfId="0" applyNumberFormat="1" applyFont="1" applyFill="1" applyBorder="1" applyAlignment="1" applyProtection="1">
      <alignment horizontal="center"/>
      <protection hidden="1"/>
    </xf>
    <xf numFmtId="2" fontId="34" fillId="16" borderId="28" xfId="0" applyNumberFormat="1" applyFont="1" applyFill="1" applyBorder="1" applyAlignment="1" applyProtection="1">
      <alignment horizontal="center"/>
      <protection hidden="1"/>
    </xf>
    <xf numFmtId="1" fontId="34" fillId="16" borderId="26" xfId="0" applyNumberFormat="1" applyFont="1" applyFill="1" applyBorder="1" applyAlignment="1" applyProtection="1">
      <alignment horizontal="center"/>
      <protection hidden="1"/>
    </xf>
    <xf numFmtId="1" fontId="34" fillId="16" borderId="27" xfId="0" applyNumberFormat="1" applyFont="1" applyFill="1" applyBorder="1" applyAlignment="1" applyProtection="1">
      <alignment horizontal="center" vertical="center"/>
      <protection hidden="1"/>
    </xf>
    <xf numFmtId="1" fontId="34" fillId="16" borderId="27" xfId="0" applyNumberFormat="1" applyFont="1" applyFill="1" applyBorder="1" applyAlignment="1" applyProtection="1">
      <alignment horizontal="center"/>
      <protection hidden="1"/>
    </xf>
    <xf numFmtId="1" fontId="34" fillId="16" borderId="28" xfId="0" applyNumberFormat="1" applyFont="1" applyFill="1" applyBorder="1" applyAlignment="1" applyProtection="1">
      <alignment horizontal="center"/>
      <protection hidden="1"/>
    </xf>
    <xf numFmtId="0" fontId="75" fillId="0" borderId="0" xfId="0" applyFont="1" applyAlignment="1" applyProtection="1">
      <alignment horizontal="left"/>
      <protection hidden="1"/>
    </xf>
    <xf numFmtId="0" fontId="75" fillId="0" borderId="0" xfId="0" applyFont="1" applyAlignment="1" applyProtection="1">
      <alignment horizontal="center"/>
      <protection hidden="1"/>
    </xf>
    <xf numFmtId="2" fontId="53" fillId="0" borderId="31" xfId="0" applyNumberFormat="1" applyFont="1" applyBorder="1" applyAlignment="1" applyProtection="1">
      <alignment horizontal="center" vertical="center"/>
      <protection hidden="1"/>
    </xf>
    <xf numFmtId="0" fontId="53" fillId="2" borderId="31" xfId="0" applyFont="1" applyFill="1" applyBorder="1" applyAlignment="1" applyProtection="1">
      <alignment horizontal="center" vertical="center" wrapText="1"/>
      <protection hidden="1"/>
    </xf>
    <xf numFmtId="0" fontId="90" fillId="0" borderId="0" xfId="0" applyFont="1" applyAlignment="1" applyProtection="1">
      <alignment horizontal="center"/>
      <protection hidden="1"/>
    </xf>
    <xf numFmtId="2" fontId="53" fillId="0" borderId="34" xfId="0" applyNumberFormat="1" applyFont="1" applyBorder="1" applyAlignment="1" applyProtection="1">
      <alignment horizontal="center" vertical="center"/>
      <protection hidden="1"/>
    </xf>
    <xf numFmtId="0" fontId="53" fillId="2" borderId="34" xfId="0" applyFont="1" applyFill="1" applyBorder="1" applyAlignment="1" applyProtection="1">
      <alignment horizontal="center" vertical="center"/>
      <protection hidden="1"/>
    </xf>
    <xf numFmtId="0" fontId="74" fillId="0" borderId="30" xfId="0" applyFont="1" applyBorder="1" applyAlignment="1" applyProtection="1">
      <alignment horizontal="center"/>
      <protection hidden="1"/>
    </xf>
    <xf numFmtId="2" fontId="74" fillId="0" borderId="30" xfId="0" applyNumberFormat="1" applyFont="1" applyBorder="1" applyAlignment="1" applyProtection="1">
      <alignment horizontal="center" vertical="center"/>
      <protection hidden="1"/>
    </xf>
    <xf numFmtId="2" fontId="53" fillId="0" borderId="35" xfId="0" applyNumberFormat="1" applyFont="1" applyBorder="1" applyAlignment="1" applyProtection="1">
      <alignment horizontal="center" vertical="center"/>
      <protection hidden="1"/>
    </xf>
    <xf numFmtId="0" fontId="74" fillId="0" borderId="35" xfId="0" applyFont="1" applyBorder="1" applyAlignment="1" applyProtection="1">
      <alignment horizontal="center"/>
      <protection hidden="1"/>
    </xf>
    <xf numFmtId="3" fontId="74" fillId="0" borderId="0" xfId="0" applyNumberFormat="1" applyFont="1" applyAlignment="1" applyProtection="1">
      <alignment horizontal="left"/>
      <protection hidden="1"/>
    </xf>
    <xf numFmtId="0" fontId="74" fillId="0" borderId="31" xfId="0" applyFont="1" applyBorder="1" applyAlignment="1" applyProtection="1">
      <alignment horizontal="center"/>
      <protection hidden="1"/>
    </xf>
    <xf numFmtId="3" fontId="74" fillId="16" borderId="35" xfId="0" applyNumberFormat="1" applyFont="1" applyFill="1" applyBorder="1" applyAlignment="1" applyProtection="1">
      <alignment horizontal="center" vertical="center"/>
      <protection hidden="1"/>
    </xf>
    <xf numFmtId="3" fontId="74" fillId="22" borderId="35" xfId="0" applyNumberFormat="1" applyFont="1" applyFill="1" applyBorder="1" applyAlignment="1" applyProtection="1">
      <alignment horizontal="center" vertical="center"/>
      <protection hidden="1"/>
    </xf>
    <xf numFmtId="0" fontId="74" fillId="0" borderId="0" xfId="0" applyFont="1" applyAlignment="1" applyProtection="1">
      <alignment horizontal="left"/>
      <protection hidden="1"/>
    </xf>
    <xf numFmtId="3" fontId="74" fillId="0" borderId="35" xfId="0" applyNumberFormat="1" applyFont="1" applyBorder="1" applyAlignment="1" applyProtection="1">
      <alignment horizontal="center"/>
      <protection hidden="1"/>
    </xf>
    <xf numFmtId="3" fontId="74" fillId="0" borderId="35" xfId="0" applyNumberFormat="1" applyFont="1" applyBorder="1" applyAlignment="1" applyProtection="1">
      <alignment horizontal="center" vertical="center"/>
      <protection hidden="1"/>
    </xf>
    <xf numFmtId="0" fontId="53" fillId="0" borderId="30" xfId="0" applyFont="1" applyBorder="1" applyAlignment="1" applyProtection="1">
      <alignment horizontal="center" wrapText="1"/>
      <protection hidden="1"/>
    </xf>
    <xf numFmtId="0" fontId="53" fillId="0" borderId="35" xfId="0" applyFont="1" applyBorder="1" applyAlignment="1" applyProtection="1">
      <alignment horizontal="center"/>
      <protection hidden="1"/>
    </xf>
    <xf numFmtId="164" fontId="53" fillId="0" borderId="35" xfId="0" applyNumberFormat="1" applyFont="1" applyBorder="1" applyAlignment="1" applyProtection="1">
      <alignment horizontal="center"/>
      <protection hidden="1"/>
    </xf>
    <xf numFmtId="164" fontId="53" fillId="0" borderId="31" xfId="0" applyNumberFormat="1" applyFont="1" applyBorder="1" applyAlignment="1" applyProtection="1">
      <alignment horizontal="center"/>
      <protection hidden="1"/>
    </xf>
    <xf numFmtId="3" fontId="74" fillId="16" borderId="34" xfId="0" applyNumberFormat="1" applyFont="1" applyFill="1" applyBorder="1" applyAlignment="1" applyProtection="1">
      <alignment horizontal="center" vertical="center"/>
      <protection hidden="1"/>
    </xf>
    <xf numFmtId="3" fontId="74" fillId="22" borderId="34" xfId="0" applyNumberFormat="1" applyFont="1" applyFill="1" applyBorder="1" applyAlignment="1" applyProtection="1">
      <alignment horizontal="center" vertical="center"/>
      <protection hidden="1"/>
    </xf>
    <xf numFmtId="0" fontId="74" fillId="0" borderId="36" xfId="0" applyFont="1" applyBorder="1" applyAlignment="1" applyProtection="1">
      <alignment horizontal="center"/>
      <protection hidden="1"/>
    </xf>
    <xf numFmtId="0" fontId="74" fillId="0" borderId="27" xfId="0" applyFont="1" applyBorder="1" applyAlignment="1" applyProtection="1">
      <alignment horizontal="center"/>
      <protection hidden="1"/>
    </xf>
    <xf numFmtId="2" fontId="74" fillId="0" borderId="31" xfId="0" applyNumberFormat="1" applyFont="1" applyBorder="1" applyAlignment="1" applyProtection="1">
      <alignment horizontal="center" vertical="center"/>
      <protection hidden="1"/>
    </xf>
    <xf numFmtId="0" fontId="53" fillId="0" borderId="34" xfId="0" applyFont="1" applyBorder="1" applyAlignment="1" applyProtection="1">
      <alignment horizontal="center"/>
      <protection hidden="1"/>
    </xf>
    <xf numFmtId="164" fontId="53" fillId="0" borderId="34" xfId="0" applyNumberFormat="1" applyFont="1" applyBorder="1" applyAlignment="1" applyProtection="1">
      <alignment horizontal="center"/>
      <protection hidden="1"/>
    </xf>
    <xf numFmtId="0" fontId="74" fillId="19" borderId="0" xfId="0" applyFont="1" applyFill="1" applyProtection="1">
      <protection hidden="1"/>
    </xf>
    <xf numFmtId="0" fontId="74" fillId="19" borderId="0" xfId="0" applyFont="1" applyFill="1" applyAlignment="1" applyProtection="1">
      <alignment horizontal="center"/>
      <protection hidden="1"/>
    </xf>
    <xf numFmtId="3" fontId="74" fillId="19" borderId="35" xfId="0" applyNumberFormat="1" applyFont="1" applyFill="1" applyBorder="1" applyAlignment="1" applyProtection="1">
      <alignment horizontal="center" vertical="center"/>
      <protection hidden="1"/>
    </xf>
    <xf numFmtId="0" fontId="74" fillId="19" borderId="0" xfId="0" applyFont="1" applyFill="1" applyAlignment="1" applyProtection="1">
      <alignment horizontal="left"/>
      <protection hidden="1"/>
    </xf>
    <xf numFmtId="0" fontId="34" fillId="19" borderId="0" xfId="0" applyFont="1" applyFill="1" applyProtection="1">
      <protection hidden="1"/>
    </xf>
    <xf numFmtId="3" fontId="74" fillId="0" borderId="0" xfId="0" applyNumberFormat="1" applyFont="1" applyProtection="1">
      <protection hidden="1"/>
    </xf>
    <xf numFmtId="1" fontId="74" fillId="0" borderId="0" xfId="0" applyNumberFormat="1" applyFont="1" applyAlignment="1" applyProtection="1">
      <alignment horizontal="center"/>
      <protection hidden="1"/>
    </xf>
    <xf numFmtId="3" fontId="74" fillId="0" borderId="0" xfId="0" applyNumberFormat="1" applyFont="1" applyAlignment="1" applyProtection="1">
      <alignment horizontal="center"/>
      <protection hidden="1"/>
    </xf>
    <xf numFmtId="3" fontId="36" fillId="0" borderId="0" xfId="0" applyNumberFormat="1" applyFont="1" applyProtection="1">
      <protection hidden="1"/>
    </xf>
    <xf numFmtId="0" fontId="74" fillId="19" borderId="30" xfId="0" applyFont="1" applyFill="1" applyBorder="1" applyAlignment="1" applyProtection="1">
      <alignment horizontal="center"/>
      <protection hidden="1"/>
    </xf>
    <xf numFmtId="0" fontId="74" fillId="19" borderId="30" xfId="0" applyFont="1" applyFill="1" applyBorder="1" applyAlignment="1" applyProtection="1">
      <alignment horizontal="center" vertical="center"/>
      <protection hidden="1"/>
    </xf>
    <xf numFmtId="2" fontId="74" fillId="19" borderId="30" xfId="0" applyNumberFormat="1" applyFont="1" applyFill="1" applyBorder="1" applyAlignment="1" applyProtection="1">
      <alignment horizontal="center" vertical="center"/>
      <protection hidden="1"/>
    </xf>
    <xf numFmtId="0" fontId="74" fillId="0" borderId="30" xfId="0" applyFont="1" applyBorder="1" applyAlignment="1" applyProtection="1">
      <alignment horizontal="center" vertical="center"/>
      <protection hidden="1"/>
    </xf>
    <xf numFmtId="0" fontId="74" fillId="0" borderId="35" xfId="0" applyFont="1" applyBorder="1" applyAlignment="1" applyProtection="1">
      <alignment horizontal="center" vertical="center"/>
      <protection hidden="1"/>
    </xf>
    <xf numFmtId="3" fontId="74" fillId="0" borderId="34" xfId="0" applyNumberFormat="1" applyFont="1" applyBorder="1" applyAlignment="1" applyProtection="1">
      <alignment horizontal="center"/>
      <protection hidden="1"/>
    </xf>
    <xf numFmtId="0" fontId="74" fillId="0" borderId="34" xfId="0" applyFont="1" applyBorder="1" applyAlignment="1" applyProtection="1">
      <alignment horizontal="center" vertical="center"/>
      <protection hidden="1"/>
    </xf>
    <xf numFmtId="3" fontId="74" fillId="19" borderId="34" xfId="0" applyNumberFormat="1" applyFont="1" applyFill="1" applyBorder="1" applyAlignment="1" applyProtection="1">
      <alignment horizontal="center"/>
      <protection hidden="1"/>
    </xf>
    <xf numFmtId="0" fontId="74" fillId="19" borderId="34" xfId="0" applyFont="1" applyFill="1" applyBorder="1" applyAlignment="1" applyProtection="1">
      <alignment horizontal="center" vertical="center"/>
      <protection hidden="1"/>
    </xf>
    <xf numFmtId="0" fontId="74" fillId="0" borderId="30" xfId="0" applyFont="1" applyBorder="1" applyAlignment="1" applyProtection="1">
      <alignment horizontal="center" vertical="center" wrapText="1"/>
      <protection hidden="1"/>
    </xf>
    <xf numFmtId="0" fontId="4" fillId="0" borderId="1" xfId="0" applyFont="1" applyBorder="1" applyAlignment="1" applyProtection="1">
      <alignment horizontal="center" wrapText="1"/>
      <protection hidden="1"/>
    </xf>
    <xf numFmtId="3" fontId="74" fillId="0" borderId="34" xfId="0" applyNumberFormat="1" applyFont="1" applyBorder="1" applyAlignment="1" applyProtection="1">
      <alignment horizontal="center" vertical="center"/>
      <protection hidden="1"/>
    </xf>
    <xf numFmtId="0" fontId="74" fillId="0" borderId="34" xfId="0" applyFont="1" applyBorder="1" applyAlignment="1" applyProtection="1">
      <alignment horizontal="center"/>
      <protection hidden="1"/>
    </xf>
    <xf numFmtId="0" fontId="8" fillId="0" borderId="0" xfId="0" applyFont="1" applyAlignment="1" applyProtection="1">
      <alignment horizontal="center"/>
      <protection hidden="1"/>
    </xf>
    <xf numFmtId="0" fontId="8" fillId="0" borderId="0" xfId="0" applyFont="1" applyAlignment="1" applyProtection="1">
      <alignment horizontal="left" vertical="center"/>
      <protection hidden="1"/>
    </xf>
    <xf numFmtId="0" fontId="8" fillId="0" borderId="4" xfId="0" applyFont="1" applyBorder="1" applyAlignment="1" applyProtection="1">
      <alignment horizontal="left" vertical="center"/>
      <protection hidden="1"/>
    </xf>
    <xf numFmtId="0" fontId="4" fillId="0" borderId="0" xfId="0" applyFont="1" applyAlignment="1" applyProtection="1">
      <alignment vertical="center"/>
      <protection hidden="1"/>
    </xf>
    <xf numFmtId="0" fontId="4" fillId="0" borderId="4" xfId="0" applyFont="1" applyBorder="1" applyAlignment="1" applyProtection="1">
      <alignment vertical="center"/>
      <protection hidden="1"/>
    </xf>
    <xf numFmtId="0" fontId="4" fillId="0" borderId="2" xfId="0" applyFont="1" applyBorder="1" applyAlignment="1" applyProtection="1">
      <alignment vertical="center"/>
      <protection hidden="1"/>
    </xf>
    <xf numFmtId="0" fontId="4" fillId="0" borderId="5" xfId="0" applyFont="1" applyBorder="1" applyAlignment="1" applyProtection="1">
      <alignment horizontal="right" vertical="center" wrapText="1"/>
      <protection hidden="1"/>
    </xf>
    <xf numFmtId="0" fontId="4" fillId="0" borderId="5" xfId="0" applyFont="1" applyBorder="1" applyAlignment="1" applyProtection="1">
      <alignment horizontal="left" vertical="center" wrapText="1"/>
      <protection hidden="1"/>
    </xf>
    <xf numFmtId="0" fontId="4" fillId="0" borderId="5" xfId="0" applyFont="1" applyBorder="1" applyAlignment="1" applyProtection="1">
      <alignment horizontal="left" vertical="center"/>
      <protection hidden="1"/>
    </xf>
    <xf numFmtId="0" fontId="4" fillId="0" borderId="9" xfId="0" applyFont="1" applyBorder="1" applyAlignment="1" applyProtection="1">
      <alignment horizontal="left" vertical="center" wrapText="1"/>
      <protection hidden="1"/>
    </xf>
    <xf numFmtId="0" fontId="4" fillId="0" borderId="9" xfId="0" applyFont="1" applyBorder="1" applyAlignment="1" applyProtection="1">
      <alignment horizontal="left" vertical="center"/>
      <protection hidden="1"/>
    </xf>
    <xf numFmtId="0" fontId="4" fillId="0" borderId="4" xfId="0" applyFont="1" applyBorder="1" applyAlignment="1" applyProtection="1">
      <alignment horizontal="right" vertical="center" wrapText="1"/>
      <protection hidden="1"/>
    </xf>
    <xf numFmtId="0" fontId="4" fillId="0" borderId="4" xfId="0" applyFont="1" applyBorder="1" applyAlignment="1" applyProtection="1">
      <alignment horizontal="left" vertical="center" wrapText="1"/>
      <protection hidden="1"/>
    </xf>
    <xf numFmtId="0" fontId="4" fillId="0" borderId="4" xfId="0" applyFont="1" applyBorder="1" applyAlignment="1" applyProtection="1">
      <alignment horizontal="left" vertical="center"/>
      <protection hidden="1"/>
    </xf>
    <xf numFmtId="0" fontId="4" fillId="0" borderId="8" xfId="0" applyFont="1" applyBorder="1" applyAlignment="1" applyProtection="1">
      <alignment horizontal="left" vertical="center" wrapText="1"/>
      <protection hidden="1"/>
    </xf>
    <xf numFmtId="0" fontId="4" fillId="0" borderId="8" xfId="0" applyFont="1" applyBorder="1" applyAlignment="1" applyProtection="1">
      <alignment horizontal="left" vertical="center"/>
      <protection hidden="1"/>
    </xf>
    <xf numFmtId="2" fontId="8" fillId="0" borderId="4" xfId="0" applyNumberFormat="1" applyFont="1" applyBorder="1" applyAlignment="1" applyProtection="1">
      <alignment horizontal="right" vertical="center"/>
      <protection hidden="1"/>
    </xf>
    <xf numFmtId="3" fontId="0" fillId="0" borderId="0" xfId="0" applyNumberFormat="1" applyAlignment="1" applyProtection="1">
      <alignment vertical="center"/>
      <protection hidden="1"/>
    </xf>
    <xf numFmtId="1" fontId="8" fillId="0" borderId="4" xfId="0" applyNumberFormat="1" applyFont="1" applyBorder="1" applyAlignment="1" applyProtection="1">
      <alignment horizontal="left" vertical="center"/>
      <protection hidden="1"/>
    </xf>
    <xf numFmtId="3" fontId="8" fillId="0" borderId="4" xfId="0" applyNumberFormat="1" applyFont="1" applyBorder="1" applyAlignment="1" applyProtection="1">
      <alignment horizontal="left" vertical="center"/>
      <protection hidden="1"/>
    </xf>
    <xf numFmtId="165" fontId="8" fillId="0" borderId="4" xfId="0" applyNumberFormat="1" applyFont="1" applyBorder="1" applyAlignment="1" applyProtection="1">
      <alignment horizontal="left" vertical="center"/>
      <protection hidden="1"/>
    </xf>
    <xf numFmtId="164" fontId="8" fillId="0" borderId="8" xfId="0" applyNumberFormat="1" applyFont="1" applyBorder="1" applyAlignment="1" applyProtection="1">
      <alignment horizontal="left" vertical="center"/>
      <protection hidden="1"/>
    </xf>
    <xf numFmtId="0" fontId="8" fillId="0" borderId="8" xfId="0" applyFont="1" applyBorder="1" applyAlignment="1" applyProtection="1">
      <alignment horizontal="left" vertical="center"/>
      <protection hidden="1"/>
    </xf>
    <xf numFmtId="165" fontId="8" fillId="0" borderId="8" xfId="0" applyNumberFormat="1" applyFont="1" applyBorder="1" applyAlignment="1" applyProtection="1">
      <alignment horizontal="left" vertical="center"/>
      <protection hidden="1"/>
    </xf>
    <xf numFmtId="3" fontId="34" fillId="0" borderId="8" xfId="0" applyNumberFormat="1" applyFont="1" applyBorder="1" applyProtection="1">
      <protection hidden="1"/>
    </xf>
    <xf numFmtId="0" fontId="34" fillId="0" borderId="8" xfId="0" applyFont="1" applyBorder="1" applyProtection="1">
      <protection hidden="1"/>
    </xf>
    <xf numFmtId="2" fontId="8" fillId="19" borderId="4" xfId="0" applyNumberFormat="1" applyFont="1" applyFill="1" applyBorder="1" applyAlignment="1" applyProtection="1">
      <alignment horizontal="right" vertical="center"/>
      <protection hidden="1"/>
    </xf>
    <xf numFmtId="0" fontId="0" fillId="19" borderId="0" xfId="0" applyFill="1" applyAlignment="1" applyProtection="1">
      <alignment vertical="center"/>
      <protection hidden="1"/>
    </xf>
    <xf numFmtId="3" fontId="0" fillId="19" borderId="0" xfId="0" applyNumberFormat="1" applyFill="1" applyAlignment="1" applyProtection="1">
      <alignment vertical="center"/>
      <protection hidden="1"/>
    </xf>
    <xf numFmtId="3" fontId="8" fillId="19" borderId="4" xfId="0" applyNumberFormat="1" applyFont="1" applyFill="1" applyBorder="1" applyAlignment="1" applyProtection="1">
      <alignment horizontal="left" vertical="center"/>
      <protection hidden="1"/>
    </xf>
    <xf numFmtId="0" fontId="8" fillId="19" borderId="4" xfId="0" applyFont="1" applyFill="1" applyBorder="1" applyAlignment="1" applyProtection="1">
      <alignment horizontal="left" vertical="center"/>
      <protection hidden="1"/>
    </xf>
    <xf numFmtId="164" fontId="8" fillId="19" borderId="8" xfId="0" applyNumberFormat="1" applyFont="1" applyFill="1" applyBorder="1" applyAlignment="1" applyProtection="1">
      <alignment horizontal="left" vertical="center"/>
      <protection hidden="1"/>
    </xf>
    <xf numFmtId="0" fontId="8" fillId="19" borderId="8" xfId="0" applyFont="1" applyFill="1" applyBorder="1" applyAlignment="1" applyProtection="1">
      <alignment horizontal="left" vertical="center"/>
      <protection hidden="1"/>
    </xf>
    <xf numFmtId="165" fontId="8" fillId="19" borderId="8" xfId="0" applyNumberFormat="1" applyFont="1" applyFill="1" applyBorder="1" applyAlignment="1" applyProtection="1">
      <alignment horizontal="left" vertical="center"/>
      <protection hidden="1"/>
    </xf>
    <xf numFmtId="3" fontId="34" fillId="19" borderId="8" xfId="0" applyNumberFormat="1" applyFont="1" applyFill="1" applyBorder="1" applyProtection="1">
      <protection hidden="1"/>
    </xf>
    <xf numFmtId="0" fontId="34" fillId="19" borderId="8" xfId="0" applyFont="1" applyFill="1" applyBorder="1" applyProtection="1">
      <protection hidden="1"/>
    </xf>
    <xf numFmtId="2" fontId="34" fillId="0" borderId="0" xfId="0" applyNumberFormat="1" applyFont="1" applyAlignment="1" applyProtection="1">
      <alignment horizontal="left"/>
      <protection hidden="1"/>
    </xf>
    <xf numFmtId="164" fontId="34" fillId="0" borderId="0" xfId="0" applyNumberFormat="1" applyFont="1" applyAlignment="1" applyProtection="1">
      <alignment horizontal="center" vertical="center"/>
      <protection hidden="1"/>
    </xf>
    <xf numFmtId="1" fontId="34" fillId="0" borderId="0" xfId="0" applyNumberFormat="1" applyFont="1" applyAlignment="1" applyProtection="1">
      <alignment horizontal="left"/>
      <protection hidden="1"/>
    </xf>
    <xf numFmtId="2" fontId="34" fillId="0" borderId="0" xfId="0" applyNumberFormat="1" applyFont="1" applyAlignment="1" applyProtection="1">
      <alignment horizontal="right"/>
      <protection hidden="1"/>
    </xf>
    <xf numFmtId="1" fontId="34" fillId="0" borderId="0" xfId="0" applyNumberFormat="1" applyFont="1" applyAlignment="1" applyProtection="1">
      <alignment horizontal="left" vertical="center"/>
      <protection hidden="1"/>
    </xf>
    <xf numFmtId="0" fontId="3" fillId="20" borderId="0" xfId="0" applyFont="1" applyFill="1" applyAlignment="1" applyProtection="1">
      <alignment vertical="top"/>
      <protection hidden="1"/>
    </xf>
    <xf numFmtId="0" fontId="3" fillId="20" borderId="0" xfId="0" applyFont="1" applyFill="1" applyAlignment="1" applyProtection="1">
      <alignment horizontal="center" vertical="top"/>
      <protection hidden="1"/>
    </xf>
    <xf numFmtId="0" fontId="13" fillId="20" borderId="0" xfId="0" applyFont="1" applyFill="1" applyAlignment="1" applyProtection="1">
      <alignment vertical="top"/>
      <protection hidden="1"/>
    </xf>
    <xf numFmtId="0" fontId="13" fillId="20" borderId="0" xfId="0" applyFont="1" applyFill="1" applyProtection="1">
      <protection hidden="1"/>
    </xf>
    <xf numFmtId="0" fontId="122" fillId="20" borderId="64" xfId="0" applyFont="1" applyFill="1" applyBorder="1" applyAlignment="1" applyProtection="1">
      <alignment horizontal="left" wrapText="1"/>
      <protection hidden="1"/>
    </xf>
    <xf numFmtId="0" fontId="3" fillId="20" borderId="0" xfId="0" applyFont="1" applyFill="1" applyAlignment="1" applyProtection="1">
      <alignment wrapText="1"/>
      <protection hidden="1"/>
    </xf>
    <xf numFmtId="0" fontId="13" fillId="20" borderId="0" xfId="0" applyFont="1" applyFill="1" applyAlignment="1" applyProtection="1">
      <alignment wrapText="1"/>
      <protection hidden="1"/>
    </xf>
    <xf numFmtId="169" fontId="21" fillId="20" borderId="0" xfId="0" applyNumberFormat="1" applyFont="1" applyFill="1" applyAlignment="1" applyProtection="1">
      <alignment horizontal="center"/>
      <protection locked="0" hidden="1"/>
    </xf>
    <xf numFmtId="169" fontId="21" fillId="20" borderId="0" xfId="0" applyNumberFormat="1" applyFont="1" applyFill="1" applyAlignment="1" applyProtection="1">
      <alignment horizontal="center"/>
      <protection hidden="1"/>
    </xf>
    <xf numFmtId="2" fontId="21" fillId="20" borderId="0" xfId="0" applyNumberFormat="1" applyFont="1" applyFill="1" applyAlignment="1" applyProtection="1">
      <alignment horizontal="center"/>
      <protection locked="0" hidden="1"/>
    </xf>
    <xf numFmtId="0" fontId="21" fillId="20" borderId="0" xfId="0" applyFont="1" applyFill="1" applyAlignment="1" applyProtection="1">
      <alignment horizontal="left" indent="1"/>
      <protection locked="0" hidden="1"/>
    </xf>
    <xf numFmtId="0" fontId="21" fillId="20" borderId="0" xfId="0" applyFont="1" applyFill="1" applyAlignment="1" applyProtection="1">
      <alignment horizontal="center" vertical="top"/>
      <protection hidden="1"/>
    </xf>
    <xf numFmtId="169" fontId="21" fillId="20" borderId="0" xfId="0" applyNumberFormat="1" applyFont="1" applyFill="1" applyAlignment="1" applyProtection="1">
      <alignment horizontal="center" vertical="top"/>
      <protection hidden="1"/>
    </xf>
    <xf numFmtId="0" fontId="21" fillId="20" borderId="0" xfId="0" applyFont="1" applyFill="1" applyAlignment="1" applyProtection="1">
      <alignment horizontal="left" vertical="top" indent="1"/>
      <protection hidden="1"/>
    </xf>
    <xf numFmtId="0" fontId="3" fillId="20" borderId="0" xfId="0" applyFont="1" applyFill="1" applyAlignment="1" applyProtection="1">
      <alignment vertical="top" wrapText="1"/>
      <protection hidden="1"/>
    </xf>
    <xf numFmtId="49" fontId="14" fillId="20" borderId="0" xfId="0" applyNumberFormat="1" applyFont="1" applyFill="1" applyProtection="1">
      <protection hidden="1"/>
    </xf>
    <xf numFmtId="169" fontId="14" fillId="20" borderId="0" xfId="0" applyNumberFormat="1" applyFont="1" applyFill="1" applyProtection="1">
      <protection locked="0" hidden="1"/>
    </xf>
    <xf numFmtId="169" fontId="14" fillId="20" borderId="0" xfId="0" applyNumberFormat="1" applyFont="1" applyFill="1" applyProtection="1">
      <protection hidden="1"/>
    </xf>
    <xf numFmtId="2" fontId="14" fillId="20" borderId="0" xfId="0" applyNumberFormat="1" applyFont="1" applyFill="1" applyProtection="1">
      <protection locked="0" hidden="1"/>
    </xf>
    <xf numFmtId="0" fontId="14" fillId="20" borderId="0" xfId="0" applyFont="1" applyFill="1" applyAlignment="1" applyProtection="1">
      <alignment horizontal="left" indent="1"/>
      <protection locked="0" hidden="1"/>
    </xf>
    <xf numFmtId="0" fontId="121" fillId="20" borderId="0" xfId="0" applyFont="1" applyFill="1" applyAlignment="1" applyProtection="1">
      <alignment horizontal="left" vertical="center" indent="1"/>
      <protection hidden="1"/>
    </xf>
    <xf numFmtId="164" fontId="21" fillId="20" borderId="0" xfId="0" applyNumberFormat="1" applyFont="1" applyFill="1" applyAlignment="1" applyProtection="1">
      <alignment horizontal="left" indent="1"/>
      <protection hidden="1"/>
    </xf>
    <xf numFmtId="0" fontId="26" fillId="20" borderId="0" xfId="0" applyFont="1" applyFill="1" applyAlignment="1" applyProtection="1">
      <alignment horizontal="right"/>
      <protection hidden="1"/>
    </xf>
    <xf numFmtId="0" fontId="122" fillId="20" borderId="0" xfId="0" applyFont="1" applyFill="1" applyAlignment="1" applyProtection="1">
      <alignment wrapText="1"/>
      <protection hidden="1"/>
    </xf>
    <xf numFmtId="0" fontId="26" fillId="20" borderId="0" xfId="0" applyFont="1" applyFill="1" applyAlignment="1" applyProtection="1">
      <alignment horizontal="right" vertical="center" wrapText="1"/>
      <protection hidden="1"/>
    </xf>
    <xf numFmtId="1" fontId="21" fillId="20" borderId="0" xfId="0" applyNumberFormat="1" applyFont="1" applyFill="1" applyAlignment="1" applyProtection="1">
      <alignment horizontal="left" indent="1"/>
      <protection hidden="1"/>
    </xf>
    <xf numFmtId="0" fontId="21" fillId="20" borderId="0" xfId="0" applyFont="1" applyFill="1" applyAlignment="1" applyProtection="1">
      <alignment wrapText="1"/>
      <protection hidden="1"/>
    </xf>
    <xf numFmtId="171" fontId="21" fillId="20" borderId="0" xfId="0" applyNumberFormat="1" applyFont="1" applyFill="1" applyAlignment="1" applyProtection="1">
      <alignment horizontal="center"/>
      <protection hidden="1"/>
    </xf>
    <xf numFmtId="0" fontId="26" fillId="20" borderId="0" xfId="0" applyFont="1" applyFill="1" applyAlignment="1" applyProtection="1">
      <alignment horizontal="right" vertical="center"/>
      <protection hidden="1"/>
    </xf>
    <xf numFmtId="0" fontId="21" fillId="20" borderId="0" xfId="0" applyFont="1" applyFill="1" applyAlignment="1" applyProtection="1">
      <alignment horizontal="left" wrapText="1" indent="1"/>
      <protection hidden="1"/>
    </xf>
    <xf numFmtId="2" fontId="108" fillId="20" borderId="0" xfId="0" applyNumberFormat="1" applyFont="1" applyFill="1" applyAlignment="1" applyProtection="1">
      <alignment vertical="center"/>
      <protection hidden="1"/>
    </xf>
    <xf numFmtId="0" fontId="149" fillId="20" borderId="0" xfId="0" applyFont="1" applyFill="1" applyAlignment="1" applyProtection="1">
      <alignment horizontal="right" vertical="center"/>
      <protection hidden="1"/>
    </xf>
    <xf numFmtId="164" fontId="150" fillId="20" borderId="0" xfId="0" applyNumberFormat="1" applyFont="1" applyFill="1" applyAlignment="1" applyProtection="1">
      <alignment horizontal="left" indent="1"/>
      <protection hidden="1"/>
    </xf>
    <xf numFmtId="0" fontId="150" fillId="20" borderId="0" xfId="0" applyFont="1" applyFill="1" applyProtection="1">
      <protection hidden="1"/>
    </xf>
    <xf numFmtId="0" fontId="149" fillId="20" borderId="0" xfId="0" applyFont="1" applyFill="1" applyAlignment="1" applyProtection="1">
      <alignment horizontal="right"/>
      <protection hidden="1"/>
    </xf>
    <xf numFmtId="164" fontId="117" fillId="22" borderId="0" xfId="0" applyNumberFormat="1" applyFont="1" applyFill="1" applyAlignment="1" applyProtection="1">
      <alignment horizontal="left" indent="1"/>
      <protection hidden="1"/>
    </xf>
    <xf numFmtId="164" fontId="21" fillId="20" borderId="0" xfId="0" applyNumberFormat="1" applyFont="1" applyFill="1" applyProtection="1">
      <protection hidden="1"/>
    </xf>
    <xf numFmtId="0" fontId="104" fillId="20" borderId="0" xfId="0" applyFont="1" applyFill="1" applyAlignment="1" applyProtection="1">
      <alignment horizontal="center" wrapText="1"/>
      <protection hidden="1"/>
    </xf>
    <xf numFmtId="0" fontId="50" fillId="0" borderId="0" xfId="0" applyFont="1" applyProtection="1">
      <protection hidden="1"/>
    </xf>
    <xf numFmtId="0" fontId="72" fillId="6" borderId="19" xfId="0" applyFont="1" applyFill="1" applyBorder="1" applyProtection="1">
      <protection hidden="1"/>
    </xf>
    <xf numFmtId="0" fontId="72" fillId="6" borderId="10" xfId="0" applyFont="1" applyFill="1" applyBorder="1" applyProtection="1">
      <protection hidden="1"/>
    </xf>
    <xf numFmtId="0" fontId="0" fillId="0" borderId="10" xfId="0" applyBorder="1" applyProtection="1">
      <protection hidden="1"/>
    </xf>
    <xf numFmtId="0" fontId="0" fillId="0" borderId="14" xfId="0" applyBorder="1" applyProtection="1">
      <protection hidden="1"/>
    </xf>
    <xf numFmtId="0" fontId="0" fillId="0" borderId="2" xfId="0" applyBorder="1" applyProtection="1">
      <protection hidden="1"/>
    </xf>
    <xf numFmtId="0" fontId="0" fillId="0" borderId="4" xfId="0" applyBorder="1" applyProtection="1">
      <protection hidden="1"/>
    </xf>
    <xf numFmtId="0" fontId="0" fillId="0" borderId="37" xfId="0" applyBorder="1" applyProtection="1">
      <protection hidden="1"/>
    </xf>
    <xf numFmtId="0" fontId="0" fillId="0" borderId="15" xfId="0" applyBorder="1" applyProtection="1">
      <protection hidden="1"/>
    </xf>
    <xf numFmtId="0" fontId="0" fillId="0" borderId="16" xfId="0" applyBorder="1" applyProtection="1">
      <protection hidden="1"/>
    </xf>
    <xf numFmtId="0" fontId="72" fillId="0" borderId="2" xfId="0" applyFont="1" applyBorder="1" applyProtection="1">
      <protection hidden="1"/>
    </xf>
    <xf numFmtId="0" fontId="72" fillId="0" borderId="0" xfId="0" applyFont="1" applyProtection="1">
      <protection hidden="1"/>
    </xf>
    <xf numFmtId="0" fontId="17" fillId="0" borderId="0" xfId="0" applyFont="1" applyProtection="1">
      <protection hidden="1"/>
    </xf>
    <xf numFmtId="0" fontId="17" fillId="0" borderId="2" xfId="0" applyFont="1" applyBorder="1" applyProtection="1">
      <protection hidden="1"/>
    </xf>
    <xf numFmtId="0" fontId="73" fillId="0" borderId="0" xfId="0" applyFont="1" applyAlignment="1" applyProtection="1">
      <alignment horizontal="left" vertical="center"/>
      <protection hidden="1"/>
    </xf>
    <xf numFmtId="0" fontId="69" fillId="0" borderId="0" xfId="0" applyFont="1" applyAlignment="1" applyProtection="1">
      <alignment horizontal="left" vertical="center"/>
      <protection hidden="1"/>
    </xf>
    <xf numFmtId="0" fontId="74" fillId="0" borderId="0" xfId="0" applyFont="1" applyAlignment="1" applyProtection="1">
      <alignment horizontal="left" vertical="center"/>
      <protection hidden="1"/>
    </xf>
    <xf numFmtId="0" fontId="73" fillId="0" borderId="2" xfId="0" applyFont="1" applyBorder="1" applyAlignment="1" applyProtection="1">
      <alignment horizontal="left" vertical="center"/>
      <protection hidden="1"/>
    </xf>
    <xf numFmtId="0" fontId="75" fillId="0" borderId="0" xfId="0" applyFont="1" applyAlignment="1" applyProtection="1">
      <alignment horizontal="left" vertical="center"/>
      <protection hidden="1"/>
    </xf>
    <xf numFmtId="0" fontId="75" fillId="0" borderId="13" xfId="0" applyFont="1" applyBorder="1" applyAlignment="1" applyProtection="1">
      <alignment horizontal="left" vertical="center"/>
      <protection hidden="1"/>
    </xf>
    <xf numFmtId="0" fontId="75" fillId="0" borderId="18" xfId="0" applyFont="1" applyBorder="1" applyAlignment="1" applyProtection="1">
      <alignment horizontal="left" vertical="center"/>
      <protection hidden="1"/>
    </xf>
    <xf numFmtId="0" fontId="75" fillId="0" borderId="2" xfId="0" applyFont="1" applyBorder="1" applyAlignment="1" applyProtection="1">
      <alignment horizontal="left" vertical="center"/>
      <protection hidden="1"/>
    </xf>
    <xf numFmtId="0" fontId="75" fillId="0" borderId="0" xfId="0" quotePrefix="1" applyFont="1" applyAlignment="1" applyProtection="1">
      <alignment horizontal="left" vertical="center"/>
      <protection hidden="1"/>
    </xf>
    <xf numFmtId="0" fontId="45" fillId="0" borderId="0" xfId="0" applyFont="1" applyProtection="1">
      <protection hidden="1"/>
    </xf>
    <xf numFmtId="0" fontId="0" fillId="0" borderId="18" xfId="0" applyBorder="1" applyProtection="1">
      <protection hidden="1"/>
    </xf>
    <xf numFmtId="0" fontId="81" fillId="0" borderId="0" xfId="0" applyFont="1" applyProtection="1">
      <protection hidden="1"/>
    </xf>
    <xf numFmtId="0" fontId="45" fillId="0" borderId="2" xfId="0" applyFont="1" applyBorder="1" applyProtection="1">
      <protection hidden="1"/>
    </xf>
    <xf numFmtId="0" fontId="82" fillId="0" borderId="0" xfId="0" applyFont="1" applyProtection="1">
      <protection hidden="1"/>
    </xf>
    <xf numFmtId="0" fontId="83" fillId="0" borderId="2" xfId="0" applyFont="1" applyBorder="1" applyProtection="1">
      <protection hidden="1"/>
    </xf>
    <xf numFmtId="0" fontId="0" fillId="0" borderId="12" xfId="0" applyBorder="1" applyAlignment="1" applyProtection="1">
      <alignment horizontal="left"/>
      <protection hidden="1"/>
    </xf>
    <xf numFmtId="0" fontId="81" fillId="0" borderId="2" xfId="0" applyFont="1" applyBorder="1" applyProtection="1">
      <protection hidden="1"/>
    </xf>
    <xf numFmtId="0" fontId="0" fillId="0" borderId="0" xfId="0" applyAlignment="1" applyProtection="1">
      <alignment wrapText="1"/>
      <protection hidden="1"/>
    </xf>
    <xf numFmtId="0" fontId="0" fillId="0" borderId="2" xfId="0" applyBorder="1" applyAlignment="1" applyProtection="1">
      <alignment wrapText="1"/>
      <protection hidden="1"/>
    </xf>
    <xf numFmtId="0" fontId="44" fillId="0" borderId="0" xfId="0" applyFont="1" applyProtection="1">
      <protection hidden="1"/>
    </xf>
    <xf numFmtId="0" fontId="0" fillId="0" borderId="2" xfId="0" applyBorder="1" applyAlignment="1" applyProtection="1">
      <alignment horizontal="left"/>
      <protection hidden="1"/>
    </xf>
    <xf numFmtId="164" fontId="0" fillId="0" borderId="2" xfId="0" applyNumberFormat="1" applyBorder="1" applyAlignment="1" applyProtection="1">
      <alignment horizontal="center"/>
      <protection hidden="1"/>
    </xf>
    <xf numFmtId="164" fontId="0" fillId="0" borderId="0" xfId="0" applyNumberFormat="1" applyAlignment="1" applyProtection="1">
      <alignment horizontal="center"/>
      <protection hidden="1"/>
    </xf>
    <xf numFmtId="0" fontId="55" fillId="0" borderId="2" xfId="0" applyFont="1" applyBorder="1" applyProtection="1">
      <protection hidden="1"/>
    </xf>
    <xf numFmtId="0" fontId="88" fillId="0" borderId="2" xfId="0" applyFont="1" applyBorder="1" applyProtection="1">
      <protection hidden="1"/>
    </xf>
    <xf numFmtId="0" fontId="88" fillId="0" borderId="0" xfId="0" applyFont="1" applyProtection="1">
      <protection hidden="1"/>
    </xf>
    <xf numFmtId="0" fontId="0" fillId="18" borderId="0" xfId="0" applyFill="1" applyProtection="1">
      <protection hidden="1"/>
    </xf>
    <xf numFmtId="0" fontId="46" fillId="0" borderId="0" xfId="0" applyFont="1" applyProtection="1">
      <protection hidden="1"/>
    </xf>
    <xf numFmtId="0" fontId="89" fillId="0" borderId="0" xfId="0" applyFont="1" applyProtection="1">
      <protection hidden="1"/>
    </xf>
    <xf numFmtId="0" fontId="45" fillId="18" borderId="0" xfId="0" applyFont="1" applyFill="1" applyProtection="1">
      <protection hidden="1"/>
    </xf>
    <xf numFmtId="0" fontId="0" fillId="0" borderId="2" xfId="0" applyBorder="1" applyAlignment="1" applyProtection="1">
      <alignment horizontal="center"/>
      <protection hidden="1"/>
    </xf>
    <xf numFmtId="0" fontId="0" fillId="0" borderId="12" xfId="0" applyBorder="1" applyProtection="1">
      <protection hidden="1"/>
    </xf>
    <xf numFmtId="0" fontId="0" fillId="0" borderId="15" xfId="0" applyBorder="1" applyAlignment="1" applyProtection="1">
      <alignment wrapText="1"/>
      <protection hidden="1"/>
    </xf>
    <xf numFmtId="0" fontId="133" fillId="2" borderId="0" xfId="0" applyFont="1" applyFill="1" applyAlignment="1" applyProtection="1">
      <alignment horizontal="left" vertical="center"/>
      <protection hidden="1"/>
    </xf>
    <xf numFmtId="0" fontId="125" fillId="2" borderId="0" xfId="0" applyFont="1" applyFill="1" applyAlignment="1" applyProtection="1">
      <alignment horizontal="right"/>
      <protection hidden="1"/>
    </xf>
    <xf numFmtId="0" fontId="134" fillId="2" borderId="5" xfId="0" applyFont="1" applyFill="1" applyBorder="1" applyAlignment="1" applyProtection="1">
      <alignment horizontal="right" vertical="center"/>
      <protection hidden="1"/>
    </xf>
    <xf numFmtId="2" fontId="134" fillId="2" borderId="1" xfId="0" applyNumberFormat="1" applyFont="1" applyFill="1" applyBorder="1" applyAlignment="1" applyProtection="1">
      <alignment horizontal="center" vertical="center" wrapText="1"/>
      <protection hidden="1"/>
    </xf>
    <xf numFmtId="1" fontId="125" fillId="2" borderId="0" xfId="0" applyNumberFormat="1" applyFont="1" applyFill="1" applyAlignment="1" applyProtection="1">
      <alignment horizontal="right"/>
      <protection hidden="1"/>
    </xf>
    <xf numFmtId="1" fontId="125" fillId="2" borderId="2" xfId="0" applyNumberFormat="1" applyFont="1" applyFill="1" applyBorder="1" applyAlignment="1" applyProtection="1">
      <alignment horizontal="center"/>
      <protection hidden="1"/>
    </xf>
    <xf numFmtId="0" fontId="125" fillId="2" borderId="0" xfId="0" applyFont="1" applyFill="1" applyAlignment="1" applyProtection="1">
      <alignment horizontal="center"/>
      <protection hidden="1"/>
    </xf>
    <xf numFmtId="164" fontId="125" fillId="2" borderId="0" xfId="0" applyNumberFormat="1" applyFont="1" applyFill="1" applyAlignment="1" applyProtection="1">
      <alignment horizontal="right"/>
      <protection hidden="1"/>
    </xf>
    <xf numFmtId="0" fontId="125" fillId="2" borderId="0" xfId="0" applyFont="1" applyFill="1" applyAlignment="1" applyProtection="1">
      <alignment horizontal="left"/>
      <protection hidden="1"/>
    </xf>
    <xf numFmtId="2" fontId="134" fillId="2" borderId="0" xfId="0" applyNumberFormat="1" applyFont="1" applyFill="1" applyAlignment="1" applyProtection="1">
      <alignment horizontal="right" vertical="center" wrapText="1"/>
      <protection hidden="1"/>
    </xf>
    <xf numFmtId="0" fontId="135" fillId="2" borderId="0" xfId="0" applyFont="1" applyFill="1" applyAlignment="1" applyProtection="1">
      <alignment horizontal="right"/>
      <protection hidden="1"/>
    </xf>
    <xf numFmtId="0" fontId="125" fillId="2" borderId="4" xfId="0" applyFont="1" applyFill="1" applyBorder="1" applyAlignment="1" applyProtection="1">
      <alignment horizontal="right"/>
      <protection hidden="1"/>
    </xf>
    <xf numFmtId="2" fontId="134" fillId="2" borderId="0" xfId="0" applyNumberFormat="1" applyFont="1" applyFill="1" applyAlignment="1" applyProtection="1">
      <alignment vertical="center" wrapText="1"/>
      <protection hidden="1"/>
    </xf>
    <xf numFmtId="2" fontId="134" fillId="2" borderId="4" xfId="0" applyNumberFormat="1" applyFont="1" applyFill="1" applyBorder="1" applyAlignment="1" applyProtection="1">
      <alignment vertical="center" wrapText="1"/>
      <protection hidden="1"/>
    </xf>
    <xf numFmtId="2" fontId="134" fillId="2" borderId="5" xfId="0" applyNumberFormat="1" applyFont="1" applyFill="1" applyBorder="1" applyAlignment="1" applyProtection="1">
      <alignment horizontal="center" vertical="center" wrapText="1"/>
      <protection hidden="1"/>
    </xf>
    <xf numFmtId="0" fontId="134" fillId="2" borderId="0" xfId="0" applyFont="1" applyFill="1" applyAlignment="1" applyProtection="1">
      <alignment horizontal="right" vertical="center"/>
      <protection hidden="1"/>
    </xf>
    <xf numFmtId="2" fontId="134" fillId="2" borderId="3" xfId="0" applyNumberFormat="1" applyFont="1" applyFill="1" applyBorder="1" applyAlignment="1" applyProtection="1">
      <alignment horizontal="center" vertical="center" wrapText="1"/>
      <protection hidden="1"/>
    </xf>
    <xf numFmtId="2" fontId="134" fillId="2" borderId="0" xfId="0" applyNumberFormat="1" applyFont="1" applyFill="1" applyAlignment="1" applyProtection="1">
      <alignment horizontal="center" vertical="center" wrapText="1"/>
      <protection hidden="1"/>
    </xf>
    <xf numFmtId="1" fontId="125" fillId="2" borderId="4" xfId="0" applyNumberFormat="1" applyFont="1" applyFill="1" applyBorder="1" applyAlignment="1" applyProtection="1">
      <alignment horizontal="center" vertical="center"/>
      <protection hidden="1"/>
    </xf>
    <xf numFmtId="164" fontId="125" fillId="2" borderId="4" xfId="0" applyNumberFormat="1" applyFont="1" applyFill="1" applyBorder="1" applyAlignment="1" applyProtection="1">
      <alignment horizontal="center" vertical="center"/>
      <protection hidden="1"/>
    </xf>
    <xf numFmtId="164" fontId="125" fillId="2" borderId="0" xfId="0" applyNumberFormat="1" applyFont="1" applyFill="1" applyAlignment="1" applyProtection="1">
      <alignment horizontal="center" vertical="center"/>
      <protection hidden="1"/>
    </xf>
    <xf numFmtId="164" fontId="125" fillId="2" borderId="2" xfId="0" applyNumberFormat="1" applyFont="1" applyFill="1" applyBorder="1" applyAlignment="1" applyProtection="1">
      <alignment horizontal="center" vertical="center"/>
      <protection hidden="1"/>
    </xf>
    <xf numFmtId="164" fontId="125" fillId="2" borderId="4" xfId="0" applyNumberFormat="1" applyFont="1" applyFill="1" applyBorder="1" applyAlignment="1" applyProtection="1">
      <alignment horizontal="center"/>
      <protection hidden="1"/>
    </xf>
    <xf numFmtId="164" fontId="125" fillId="2" borderId="0" xfId="0" applyNumberFormat="1" applyFont="1" applyFill="1" applyAlignment="1" applyProtection="1">
      <alignment horizontal="center"/>
      <protection hidden="1"/>
    </xf>
    <xf numFmtId="0" fontId="135" fillId="2" borderId="0" xfId="0" applyFont="1" applyFill="1" applyAlignment="1" applyProtection="1">
      <alignment horizontal="left"/>
      <protection hidden="1"/>
    </xf>
    <xf numFmtId="1" fontId="125" fillId="2" borderId="0" xfId="0" applyNumberFormat="1" applyFont="1" applyFill="1" applyAlignment="1" applyProtection="1">
      <alignment horizontal="center"/>
      <protection hidden="1"/>
    </xf>
    <xf numFmtId="0" fontId="134" fillId="2" borderId="0" xfId="0" applyFont="1" applyFill="1" applyAlignment="1" applyProtection="1">
      <alignment horizontal="left"/>
      <protection hidden="1"/>
    </xf>
    <xf numFmtId="2" fontId="125" fillId="2" borderId="0" xfId="0" applyNumberFormat="1" applyFont="1" applyFill="1" applyAlignment="1" applyProtection="1">
      <alignment horizontal="right"/>
      <protection hidden="1"/>
    </xf>
    <xf numFmtId="3" fontId="125" fillId="2" borderId="0" xfId="0" applyNumberFormat="1" applyFont="1" applyFill="1" applyAlignment="1" applyProtection="1">
      <alignment horizontal="right"/>
      <protection hidden="1"/>
    </xf>
    <xf numFmtId="0" fontId="8" fillId="20" borderId="0" xfId="0" applyFont="1" applyFill="1" applyAlignment="1" applyProtection="1">
      <alignment horizontal="center"/>
      <protection hidden="1"/>
    </xf>
    <xf numFmtId="0" fontId="8" fillId="20" borderId="0" xfId="0" applyFont="1" applyFill="1" applyProtection="1">
      <protection hidden="1"/>
    </xf>
    <xf numFmtId="0" fontId="125" fillId="20" borderId="0" xfId="0" applyFont="1" applyFill="1" applyAlignment="1" applyProtection="1">
      <alignment horizontal="center"/>
      <protection hidden="1"/>
    </xf>
    <xf numFmtId="0" fontId="104" fillId="20" borderId="64" xfId="0" applyFont="1" applyFill="1" applyBorder="1" applyAlignment="1" applyProtection="1">
      <alignment horizontal="left"/>
      <protection hidden="1"/>
    </xf>
    <xf numFmtId="0" fontId="104" fillId="20" borderId="64" xfId="0" applyFont="1" applyFill="1" applyBorder="1" applyAlignment="1" applyProtection="1">
      <alignment horizontal="center"/>
      <protection hidden="1"/>
    </xf>
    <xf numFmtId="0" fontId="104" fillId="20" borderId="64" xfId="0" applyFont="1" applyFill="1" applyBorder="1" applyProtection="1">
      <protection hidden="1"/>
    </xf>
    <xf numFmtId="0" fontId="104" fillId="20" borderId="80" xfId="0" applyFont="1" applyFill="1" applyBorder="1" applyAlignment="1" applyProtection="1">
      <alignment horizontal="center" wrapText="1"/>
      <protection hidden="1"/>
    </xf>
    <xf numFmtId="0" fontId="104" fillId="20" borderId="79" xfId="0" applyFont="1" applyFill="1" applyBorder="1" applyAlignment="1" applyProtection="1">
      <alignment horizontal="center"/>
      <protection hidden="1"/>
    </xf>
    <xf numFmtId="0" fontId="104" fillId="20" borderId="79" xfId="0" applyFont="1" applyFill="1" applyBorder="1" applyProtection="1">
      <protection hidden="1"/>
    </xf>
    <xf numFmtId="0" fontId="15" fillId="20" borderId="81" xfId="0" applyFont="1" applyFill="1" applyBorder="1" applyAlignment="1" applyProtection="1">
      <alignment horizontal="center"/>
      <protection hidden="1"/>
    </xf>
    <xf numFmtId="2" fontId="15" fillId="20" borderId="8" xfId="0" applyNumberFormat="1" applyFont="1" applyFill="1" applyBorder="1" applyAlignment="1" applyProtection="1">
      <alignment horizontal="center"/>
      <protection hidden="1"/>
    </xf>
    <xf numFmtId="0" fontId="15" fillId="20" borderId="8" xfId="0" applyFont="1" applyFill="1" applyBorder="1" applyAlignment="1" applyProtection="1">
      <alignment horizontal="center"/>
      <protection hidden="1"/>
    </xf>
    <xf numFmtId="0" fontId="15" fillId="20" borderId="62" xfId="0" applyFont="1" applyFill="1" applyBorder="1" applyProtection="1">
      <protection hidden="1"/>
    </xf>
    <xf numFmtId="2" fontId="15" fillId="20" borderId="82" xfId="0" applyNumberFormat="1" applyFont="1" applyFill="1" applyBorder="1" applyAlignment="1" applyProtection="1">
      <alignment horizontal="center"/>
      <protection hidden="1"/>
    </xf>
    <xf numFmtId="0" fontId="15" fillId="20" borderId="0" xfId="0" applyFont="1" applyFill="1" applyAlignment="1" applyProtection="1">
      <alignment horizontal="center"/>
      <protection hidden="1"/>
    </xf>
    <xf numFmtId="0" fontId="8" fillId="20" borderId="62" xfId="0" applyFont="1" applyFill="1" applyBorder="1" applyAlignment="1" applyProtection="1">
      <alignment horizontal="center"/>
      <protection hidden="1"/>
    </xf>
    <xf numFmtId="0" fontId="15" fillId="20" borderId="82" xfId="0" applyFont="1" applyFill="1" applyBorder="1" applyAlignment="1" applyProtection="1">
      <alignment horizontal="center"/>
      <protection hidden="1"/>
    </xf>
    <xf numFmtId="164" fontId="15" fillId="20" borderId="82" xfId="0" applyNumberFormat="1" applyFont="1" applyFill="1" applyBorder="1" applyAlignment="1" applyProtection="1">
      <alignment horizontal="center"/>
      <protection hidden="1"/>
    </xf>
    <xf numFmtId="0" fontId="15" fillId="20" borderId="83" xfId="0" applyFont="1" applyFill="1" applyBorder="1" applyProtection="1">
      <protection hidden="1"/>
    </xf>
    <xf numFmtId="0" fontId="15" fillId="20" borderId="84" xfId="0" applyFont="1" applyFill="1" applyBorder="1" applyAlignment="1" applyProtection="1">
      <alignment horizontal="center"/>
      <protection hidden="1"/>
    </xf>
    <xf numFmtId="3" fontId="15" fillId="20" borderId="8" xfId="0" applyNumberFormat="1" applyFont="1" applyFill="1" applyBorder="1" applyAlignment="1" applyProtection="1">
      <alignment horizontal="center"/>
      <protection hidden="1"/>
    </xf>
    <xf numFmtId="3" fontId="15" fillId="20" borderId="82" xfId="0" applyNumberFormat="1" applyFont="1" applyFill="1" applyBorder="1" applyAlignment="1" applyProtection="1">
      <alignment horizontal="center"/>
      <protection hidden="1"/>
    </xf>
    <xf numFmtId="164" fontId="15" fillId="20" borderId="8" xfId="0" applyNumberFormat="1" applyFont="1" applyFill="1" applyBorder="1" applyAlignment="1" applyProtection="1">
      <alignment horizontal="center"/>
      <protection hidden="1"/>
    </xf>
    <xf numFmtId="0" fontId="75" fillId="0" borderId="69" xfId="0" applyFont="1" applyBorder="1" applyAlignment="1" applyProtection="1">
      <alignment horizontal="left" vertical="top"/>
      <protection hidden="1"/>
    </xf>
    <xf numFmtId="0" fontId="74" fillId="0" borderId="0" xfId="0" applyFont="1" applyAlignment="1" applyProtection="1">
      <alignment horizontal="left" vertical="top"/>
      <protection hidden="1"/>
    </xf>
    <xf numFmtId="0" fontId="74" fillId="0" borderId="0" xfId="0" applyFont="1" applyAlignment="1" applyProtection="1">
      <alignment horizontal="left" vertical="top" wrapText="1"/>
      <protection hidden="1"/>
    </xf>
    <xf numFmtId="0" fontId="122" fillId="20" borderId="0" xfId="0" applyFont="1" applyFill="1" applyProtection="1">
      <protection hidden="1"/>
    </xf>
    <xf numFmtId="0" fontId="122" fillId="20" borderId="2" xfId="0" applyFont="1" applyFill="1" applyBorder="1" applyAlignment="1" applyProtection="1">
      <alignment horizontal="center"/>
      <protection hidden="1"/>
    </xf>
    <xf numFmtId="0" fontId="122" fillId="20" borderId="4" xfId="0" applyFont="1" applyFill="1" applyBorder="1" applyAlignment="1" applyProtection="1">
      <alignment horizontal="center" wrapText="1"/>
      <protection hidden="1"/>
    </xf>
    <xf numFmtId="164" fontId="21" fillId="20" borderId="2" xfId="0" applyNumberFormat="1" applyFont="1" applyFill="1" applyBorder="1" applyAlignment="1" applyProtection="1">
      <alignment horizontal="center"/>
      <protection hidden="1"/>
    </xf>
    <xf numFmtId="164" fontId="21" fillId="20" borderId="4" xfId="0" applyNumberFormat="1" applyFont="1" applyFill="1" applyBorder="1" applyAlignment="1" applyProtection="1">
      <alignment horizontal="center"/>
      <protection hidden="1"/>
    </xf>
    <xf numFmtId="164" fontId="21" fillId="20" borderId="37" xfId="0" applyNumberFormat="1" applyFont="1" applyFill="1" applyBorder="1" applyAlignment="1" applyProtection="1">
      <alignment horizontal="center"/>
      <protection hidden="1"/>
    </xf>
    <xf numFmtId="164" fontId="21" fillId="20" borderId="15" xfId="0" applyNumberFormat="1" applyFont="1" applyFill="1" applyBorder="1" applyAlignment="1" applyProtection="1">
      <alignment horizontal="center"/>
      <protection hidden="1"/>
    </xf>
    <xf numFmtId="164" fontId="21" fillId="20" borderId="16" xfId="0" applyNumberFormat="1" applyFont="1" applyFill="1" applyBorder="1" applyAlignment="1" applyProtection="1">
      <alignment horizontal="center"/>
      <protection hidden="1"/>
    </xf>
    <xf numFmtId="0" fontId="31" fillId="20" borderId="0" xfId="0" applyFont="1" applyFill="1" applyProtection="1">
      <protection hidden="1"/>
    </xf>
    <xf numFmtId="0" fontId="15" fillId="0" borderId="0" xfId="0" applyFont="1" applyProtection="1">
      <protection hidden="1"/>
    </xf>
    <xf numFmtId="0" fontId="15" fillId="20" borderId="65" xfId="0" applyFont="1" applyFill="1" applyBorder="1" applyProtection="1">
      <protection hidden="1"/>
    </xf>
    <xf numFmtId="0" fontId="114" fillId="20" borderId="0" xfId="0" applyFont="1" applyFill="1" applyProtection="1">
      <protection hidden="1"/>
    </xf>
    <xf numFmtId="2" fontId="114" fillId="20" borderId="0" xfId="0" applyNumberFormat="1" applyFont="1" applyFill="1" applyAlignment="1" applyProtection="1">
      <alignment horizontal="left"/>
      <protection hidden="1"/>
    </xf>
    <xf numFmtId="0" fontId="26" fillId="20" borderId="0" xfId="0" applyFont="1" applyFill="1" applyAlignment="1" applyProtection="1">
      <alignment vertical="center" wrapText="1"/>
      <protection hidden="1"/>
    </xf>
    <xf numFmtId="0" fontId="23" fillId="20" borderId="0" xfId="0" applyFont="1" applyFill="1" applyAlignment="1" applyProtection="1">
      <alignment horizontal="center" vertical="center" wrapText="1"/>
      <protection hidden="1"/>
    </xf>
    <xf numFmtId="0" fontId="23" fillId="20" borderId="0" xfId="0" applyFont="1" applyFill="1" applyAlignment="1" applyProtection="1">
      <alignment horizontal="left" vertical="center"/>
      <protection hidden="1"/>
    </xf>
    <xf numFmtId="0" fontId="23" fillId="0" borderId="0" xfId="0" applyFont="1" applyAlignment="1" applyProtection="1">
      <alignment horizontal="center" vertical="center" wrapText="1"/>
      <protection hidden="1"/>
    </xf>
    <xf numFmtId="0" fontId="23" fillId="0" borderId="0" xfId="0" applyFont="1" applyAlignment="1" applyProtection="1">
      <alignment vertical="center" wrapText="1"/>
      <protection hidden="1"/>
    </xf>
    <xf numFmtId="0" fontId="21" fillId="0" borderId="0" xfId="0" applyFont="1" applyAlignment="1" applyProtection="1">
      <alignment horizontal="left" vertical="center"/>
      <protection hidden="1"/>
    </xf>
    <xf numFmtId="0" fontId="15" fillId="20" borderId="0" xfId="0" applyFont="1" applyFill="1" applyAlignment="1" applyProtection="1">
      <alignment vertical="top" wrapText="1"/>
      <protection hidden="1"/>
    </xf>
    <xf numFmtId="0" fontId="15" fillId="0" borderId="0" xfId="0" applyFont="1" applyAlignment="1" applyProtection="1">
      <alignment horizontal="center" vertical="top"/>
      <protection hidden="1"/>
    </xf>
    <xf numFmtId="0" fontId="15" fillId="20" borderId="0" xfId="0" applyFont="1" applyFill="1" applyAlignment="1" applyProtection="1">
      <alignment horizontal="left" vertical="center" wrapText="1"/>
      <protection hidden="1"/>
    </xf>
    <xf numFmtId="0" fontId="113" fillId="20" borderId="0" xfId="0" applyFont="1" applyFill="1" applyAlignment="1" applyProtection="1">
      <alignment horizontal="left" vertical="center" wrapText="1"/>
      <protection hidden="1"/>
    </xf>
    <xf numFmtId="2" fontId="21" fillId="20" borderId="0" xfId="0" applyNumberFormat="1" applyFont="1" applyFill="1" applyAlignment="1" applyProtection="1">
      <alignment horizontal="left" vertical="center"/>
      <protection hidden="1"/>
    </xf>
    <xf numFmtId="164" fontId="21" fillId="20" borderId="0" xfId="0" applyNumberFormat="1" applyFont="1" applyFill="1" applyAlignment="1" applyProtection="1">
      <alignment horizontal="left" vertical="center"/>
      <protection hidden="1"/>
    </xf>
    <xf numFmtId="0" fontId="21" fillId="20" borderId="0" xfId="0" applyFont="1" applyFill="1" applyAlignment="1" applyProtection="1">
      <alignment vertical="center" wrapText="1"/>
      <protection hidden="1"/>
    </xf>
    <xf numFmtId="0" fontId="23" fillId="20" borderId="0" xfId="0" applyFont="1" applyFill="1" applyAlignment="1" applyProtection="1">
      <alignment horizontal="left" vertical="center" wrapText="1"/>
      <protection hidden="1"/>
    </xf>
    <xf numFmtId="0" fontId="23" fillId="20" borderId="0" xfId="0" applyFont="1" applyFill="1" applyAlignment="1" applyProtection="1">
      <alignment vertical="center" wrapText="1"/>
      <protection hidden="1"/>
    </xf>
    <xf numFmtId="164" fontId="21" fillId="20" borderId="0" xfId="0" applyNumberFormat="1" applyFont="1" applyFill="1" applyAlignment="1" applyProtection="1">
      <alignment horizontal="left"/>
      <protection hidden="1"/>
    </xf>
    <xf numFmtId="0" fontId="26" fillId="20" borderId="0" xfId="0" applyFont="1" applyFill="1" applyAlignment="1" applyProtection="1">
      <alignment horizontal="left" vertical="center" wrapText="1"/>
      <protection hidden="1"/>
    </xf>
    <xf numFmtId="2" fontId="21" fillId="20" borderId="0" xfId="0" applyNumberFormat="1" applyFont="1" applyFill="1" applyAlignment="1" applyProtection="1">
      <alignment horizontal="left" vertical="center" indent="1"/>
      <protection hidden="1"/>
    </xf>
    <xf numFmtId="2" fontId="114" fillId="20" borderId="0" xfId="0" applyNumberFormat="1" applyFont="1" applyFill="1" applyAlignment="1" applyProtection="1">
      <alignment horizontal="left" vertical="center"/>
      <protection hidden="1"/>
    </xf>
    <xf numFmtId="0" fontId="21" fillId="20" borderId="0" xfId="0" applyFont="1" applyFill="1" applyAlignment="1" applyProtection="1">
      <alignment horizontal="left" vertical="center" indent="1"/>
      <protection hidden="1"/>
    </xf>
    <xf numFmtId="2" fontId="114" fillId="20" borderId="0" xfId="0" applyNumberFormat="1" applyFont="1" applyFill="1" applyAlignment="1" applyProtection="1">
      <alignment horizontal="center" vertical="center"/>
      <protection hidden="1"/>
    </xf>
    <xf numFmtId="2" fontId="114" fillId="0" borderId="0" xfId="0" applyNumberFormat="1" applyFont="1" applyAlignment="1" applyProtection="1">
      <alignment horizontal="center" vertical="center"/>
      <protection hidden="1"/>
    </xf>
    <xf numFmtId="2" fontId="21" fillId="0" borderId="0" xfId="0" applyNumberFormat="1" applyFont="1" applyAlignment="1" applyProtection="1">
      <alignment horizontal="left" vertical="center"/>
      <protection hidden="1"/>
    </xf>
    <xf numFmtId="0" fontId="21" fillId="20" borderId="62" xfId="0" applyFont="1" applyFill="1" applyBorder="1" applyAlignment="1" applyProtection="1">
      <alignment horizontal="left" vertical="center" indent="1"/>
      <protection hidden="1"/>
    </xf>
    <xf numFmtId="0" fontId="21" fillId="20" borderId="62" xfId="0" applyFont="1" applyFill="1" applyBorder="1" applyAlignment="1" applyProtection="1">
      <alignment horizontal="left" vertical="center"/>
      <protection hidden="1"/>
    </xf>
    <xf numFmtId="2" fontId="21" fillId="20" borderId="62" xfId="0" applyNumberFormat="1" applyFont="1" applyFill="1" applyBorder="1" applyAlignment="1" applyProtection="1">
      <alignment horizontal="left" vertical="center"/>
      <protection hidden="1"/>
    </xf>
    <xf numFmtId="0" fontId="26" fillId="20" borderId="0" xfId="0" applyFont="1" applyFill="1" applyAlignment="1" applyProtection="1">
      <alignment horizontal="left" vertical="center" wrapText="1" indent="1"/>
      <protection hidden="1"/>
    </xf>
    <xf numFmtId="0" fontId="26" fillId="0" borderId="0" xfId="0" applyFont="1" applyAlignment="1" applyProtection="1">
      <alignment vertical="center" wrapText="1"/>
      <protection hidden="1"/>
    </xf>
    <xf numFmtId="0" fontId="21" fillId="20" borderId="65" xfId="0" applyFont="1" applyFill="1" applyBorder="1" applyAlignment="1" applyProtection="1">
      <alignment horizontal="left" vertical="center"/>
      <protection hidden="1"/>
    </xf>
    <xf numFmtId="0" fontId="1" fillId="20" borderId="0" xfId="0" applyFont="1" applyFill="1" applyProtection="1">
      <protection hidden="1"/>
    </xf>
    <xf numFmtId="1" fontId="21" fillId="20" borderId="0" xfId="0" applyNumberFormat="1" applyFont="1" applyFill="1" applyAlignment="1" applyProtection="1">
      <alignment horizontal="left"/>
      <protection hidden="1"/>
    </xf>
    <xf numFmtId="169" fontId="21" fillId="20" borderId="0" xfId="0" applyNumberFormat="1" applyFont="1" applyFill="1" applyAlignment="1" applyProtection="1">
      <alignment horizontal="left"/>
      <protection hidden="1"/>
    </xf>
    <xf numFmtId="0" fontId="117" fillId="20" borderId="0" xfId="0" applyFont="1" applyFill="1" applyAlignment="1" applyProtection="1">
      <alignment horizontal="left"/>
      <protection hidden="1"/>
    </xf>
    <xf numFmtId="0" fontId="15" fillId="0" borderId="0" xfId="0" applyFont="1" applyAlignment="1" applyProtection="1">
      <alignment wrapText="1"/>
      <protection hidden="1"/>
    </xf>
    <xf numFmtId="0" fontId="15" fillId="20" borderId="0" xfId="0" applyFont="1" applyFill="1" applyAlignment="1" applyProtection="1">
      <alignment wrapText="1"/>
      <protection hidden="1"/>
    </xf>
    <xf numFmtId="0" fontId="118" fillId="20" borderId="0" xfId="0" applyFont="1" applyFill="1" applyProtection="1">
      <protection hidden="1"/>
    </xf>
    <xf numFmtId="2" fontId="21" fillId="20" borderId="0" xfId="0" applyNumberFormat="1" applyFont="1" applyFill="1" applyAlignment="1" applyProtection="1">
      <alignment horizontal="left"/>
      <protection hidden="1"/>
    </xf>
    <xf numFmtId="170" fontId="21" fillId="20" borderId="0" xfId="0" applyNumberFormat="1" applyFont="1" applyFill="1" applyAlignment="1" applyProtection="1">
      <alignment horizontal="center"/>
      <protection hidden="1"/>
    </xf>
    <xf numFmtId="0" fontId="120" fillId="20" borderId="0" xfId="0" applyFont="1" applyFill="1" applyAlignment="1" applyProtection="1">
      <alignment textRotation="90"/>
      <protection hidden="1"/>
    </xf>
    <xf numFmtId="0" fontId="120" fillId="20" borderId="62" xfId="0" applyFont="1" applyFill="1" applyBorder="1" applyAlignment="1" applyProtection="1">
      <alignment horizontal="center" textRotation="90"/>
      <protection hidden="1"/>
    </xf>
    <xf numFmtId="170" fontId="21" fillId="20" borderId="62" xfId="0" applyNumberFormat="1" applyFont="1" applyFill="1" applyBorder="1" applyAlignment="1" applyProtection="1">
      <alignment horizontal="center"/>
      <protection hidden="1"/>
    </xf>
    <xf numFmtId="164" fontId="15" fillId="20" borderId="0" xfId="0" applyNumberFormat="1" applyFont="1" applyFill="1" applyProtection="1">
      <protection hidden="1"/>
    </xf>
    <xf numFmtId="2" fontId="21" fillId="20" borderId="62" xfId="0" applyNumberFormat="1" applyFont="1" applyFill="1" applyBorder="1" applyAlignment="1" applyProtection="1">
      <alignment horizontal="center"/>
      <protection hidden="1"/>
    </xf>
    <xf numFmtId="0" fontId="28" fillId="20" borderId="0" xfId="0" applyFont="1" applyFill="1" applyProtection="1">
      <protection hidden="1"/>
    </xf>
    <xf numFmtId="0" fontId="21" fillId="20" borderId="0" xfId="0" applyFont="1" applyFill="1" applyAlignment="1" applyProtection="1">
      <alignment horizontal="center" wrapText="1"/>
      <protection hidden="1"/>
    </xf>
    <xf numFmtId="49" fontId="1" fillId="20" borderId="0" xfId="0" applyNumberFormat="1" applyFont="1" applyFill="1" applyProtection="1">
      <protection hidden="1"/>
    </xf>
    <xf numFmtId="0" fontId="26" fillId="20" borderId="62" xfId="0" applyFont="1" applyFill="1" applyBorder="1" applyAlignment="1" applyProtection="1">
      <alignment horizontal="center" vertical="center" wrapText="1"/>
      <protection hidden="1"/>
    </xf>
    <xf numFmtId="0" fontId="21" fillId="20" borderId="62" xfId="0" applyFont="1" applyFill="1" applyBorder="1" applyAlignment="1" applyProtection="1">
      <alignment horizontal="center" wrapText="1"/>
      <protection hidden="1"/>
    </xf>
    <xf numFmtId="0" fontId="26" fillId="20" borderId="62" xfId="0" applyFont="1" applyFill="1" applyBorder="1" applyAlignment="1" applyProtection="1">
      <alignment horizontal="center" vertical="center"/>
      <protection hidden="1"/>
    </xf>
    <xf numFmtId="1" fontId="1" fillId="20" borderId="0" xfId="0" applyNumberFormat="1" applyFont="1" applyFill="1" applyAlignment="1" applyProtection="1">
      <alignment horizontal="center"/>
      <protection hidden="1"/>
    </xf>
    <xf numFmtId="0" fontId="1" fillId="20" borderId="0" xfId="0" applyFont="1" applyFill="1" applyAlignment="1" applyProtection="1">
      <alignment horizontal="center"/>
      <protection hidden="1"/>
    </xf>
    <xf numFmtId="0" fontId="23" fillId="20" borderId="65" xfId="0" applyFont="1" applyFill="1" applyBorder="1" applyAlignment="1" applyProtection="1">
      <alignment horizontal="center" vertical="center" wrapText="1"/>
      <protection hidden="1"/>
    </xf>
    <xf numFmtId="0" fontId="1" fillId="20" borderId="65" xfId="0" applyFont="1" applyFill="1" applyBorder="1" applyProtection="1">
      <protection hidden="1"/>
    </xf>
    <xf numFmtId="0" fontId="122" fillId="20" borderId="62" xfId="0" applyFont="1" applyFill="1" applyBorder="1" applyAlignment="1" applyProtection="1">
      <alignment horizontal="right" wrapText="1"/>
      <protection hidden="1"/>
    </xf>
    <xf numFmtId="0" fontId="21" fillId="20" borderId="65" xfId="0" applyFont="1" applyFill="1" applyBorder="1" applyAlignment="1" applyProtection="1">
      <alignment horizontal="right"/>
      <protection hidden="1"/>
    </xf>
    <xf numFmtId="164" fontId="21" fillId="20" borderId="65" xfId="0" applyNumberFormat="1" applyFont="1" applyFill="1" applyBorder="1" applyAlignment="1" applyProtection="1">
      <alignment horizontal="center"/>
      <protection hidden="1"/>
    </xf>
    <xf numFmtId="0" fontId="34" fillId="2" borderId="24" xfId="0" applyFont="1" applyFill="1" applyBorder="1" applyProtection="1">
      <protection hidden="1"/>
    </xf>
    <xf numFmtId="0" fontId="34" fillId="2" borderId="0" xfId="0" applyFont="1" applyFill="1" applyProtection="1">
      <protection hidden="1"/>
    </xf>
    <xf numFmtId="0" fontId="34" fillId="2" borderId="36" xfId="0" applyFont="1" applyFill="1" applyBorder="1" applyProtection="1">
      <protection hidden="1"/>
    </xf>
    <xf numFmtId="0" fontId="34" fillId="2" borderId="22" xfId="0" applyFont="1" applyFill="1" applyBorder="1" applyProtection="1">
      <protection hidden="1"/>
    </xf>
    <xf numFmtId="0" fontId="34" fillId="7" borderId="30" xfId="0" applyFont="1" applyFill="1" applyBorder="1" applyAlignment="1" applyProtection="1">
      <alignment horizontal="center"/>
      <protection hidden="1"/>
    </xf>
    <xf numFmtId="0" fontId="34" fillId="2" borderId="0" xfId="0" applyFont="1" applyFill="1" applyAlignment="1" applyProtection="1">
      <alignment horizontal="center"/>
      <protection hidden="1"/>
    </xf>
    <xf numFmtId="0" fontId="36" fillId="2" borderId="0" xfId="0" applyFont="1" applyFill="1" applyAlignment="1" applyProtection="1">
      <alignment horizontal="center"/>
      <protection hidden="1"/>
    </xf>
    <xf numFmtId="0" fontId="36" fillId="6" borderId="30" xfId="0" applyFont="1" applyFill="1" applyBorder="1" applyAlignment="1" applyProtection="1">
      <alignment horizontal="left"/>
      <protection hidden="1"/>
    </xf>
    <xf numFmtId="0" fontId="34" fillId="0" borderId="0" xfId="0" applyFont="1" applyAlignment="1" applyProtection="1">
      <alignment textRotation="90"/>
      <protection hidden="1"/>
    </xf>
    <xf numFmtId="0" fontId="36" fillId="6" borderId="30" xfId="0" applyFont="1" applyFill="1" applyBorder="1" applyAlignment="1" applyProtection="1">
      <alignment horizontal="center" vertical="center"/>
      <protection hidden="1"/>
    </xf>
    <xf numFmtId="0" fontId="36" fillId="6" borderId="31" xfId="0" applyFont="1" applyFill="1" applyBorder="1" applyAlignment="1" applyProtection="1">
      <alignment horizontal="center" vertical="center" wrapText="1"/>
      <protection hidden="1"/>
    </xf>
    <xf numFmtId="0" fontId="36" fillId="6" borderId="21" xfId="0" applyFont="1" applyFill="1" applyBorder="1" applyAlignment="1" applyProtection="1">
      <alignment horizontal="center" vertical="center" wrapText="1"/>
      <protection hidden="1"/>
    </xf>
    <xf numFmtId="0" fontId="34" fillId="7" borderId="32" xfId="0" applyFont="1" applyFill="1" applyBorder="1" applyAlignment="1" applyProtection="1">
      <alignment horizontal="left"/>
      <protection hidden="1"/>
    </xf>
    <xf numFmtId="0" fontId="34" fillId="7" borderId="32" xfId="0" applyFont="1" applyFill="1" applyBorder="1" applyAlignment="1" applyProtection="1">
      <alignment horizontal="center"/>
      <protection hidden="1"/>
    </xf>
    <xf numFmtId="0" fontId="34" fillId="7" borderId="12" xfId="0" applyFont="1" applyFill="1" applyBorder="1" applyAlignment="1" applyProtection="1">
      <alignment horizontal="center"/>
      <protection hidden="1"/>
    </xf>
    <xf numFmtId="0" fontId="34" fillId="0" borderId="12" xfId="0" applyFont="1" applyBorder="1" applyAlignment="1" applyProtection="1">
      <alignment horizontal="center"/>
      <protection hidden="1"/>
    </xf>
    <xf numFmtId="2" fontId="34" fillId="0" borderId="12" xfId="0" applyNumberFormat="1" applyFont="1" applyBorder="1" applyAlignment="1" applyProtection="1">
      <alignment horizontal="center"/>
      <protection hidden="1"/>
    </xf>
    <xf numFmtId="0" fontId="37" fillId="8" borderId="0" xfId="0" applyFont="1" applyFill="1" applyProtection="1">
      <protection hidden="1"/>
    </xf>
    <xf numFmtId="0" fontId="34" fillId="2" borderId="0" xfId="0" applyFont="1" applyFill="1" applyAlignment="1" applyProtection="1">
      <alignment horizontal="center" textRotation="90" wrapText="1"/>
      <protection hidden="1"/>
    </xf>
    <xf numFmtId="0" fontId="34" fillId="0" borderId="0" xfId="0" applyFont="1" applyAlignment="1" applyProtection="1">
      <alignment horizontal="center" textRotation="90" wrapText="1"/>
      <protection hidden="1"/>
    </xf>
    <xf numFmtId="0" fontId="38" fillId="2" borderId="24" xfId="0" applyFont="1" applyFill="1" applyBorder="1" applyAlignment="1" applyProtection="1">
      <alignment horizontal="left"/>
      <protection hidden="1"/>
    </xf>
    <xf numFmtId="0" fontId="39" fillId="2" borderId="24" xfId="4" applyFont="1" applyFill="1" applyBorder="1" applyAlignment="1" applyProtection="1">
      <alignment horizontal="left"/>
      <protection hidden="1"/>
    </xf>
    <xf numFmtId="0" fontId="38" fillId="2" borderId="0" xfId="0" applyFont="1" applyFill="1" applyAlignment="1" applyProtection="1">
      <alignment horizontal="left"/>
      <protection hidden="1"/>
    </xf>
    <xf numFmtId="0" fontId="34" fillId="2" borderId="0" xfId="0" applyFont="1" applyFill="1" applyAlignment="1" applyProtection="1">
      <alignment horizontal="left"/>
      <protection hidden="1"/>
    </xf>
    <xf numFmtId="0" fontId="36" fillId="2" borderId="0" xfId="0" applyFont="1" applyFill="1" applyProtection="1">
      <protection hidden="1"/>
    </xf>
    <xf numFmtId="0" fontId="34" fillId="2" borderId="27" xfId="0" applyFont="1" applyFill="1" applyBorder="1" applyAlignment="1" applyProtection="1">
      <alignment horizontal="center"/>
      <protection hidden="1"/>
    </xf>
    <xf numFmtId="0" fontId="34" fillId="2" borderId="22" xfId="0" applyFont="1" applyFill="1" applyBorder="1" applyAlignment="1" applyProtection="1">
      <alignment horizontal="center"/>
      <protection hidden="1"/>
    </xf>
    <xf numFmtId="0" fontId="40" fillId="6" borderId="29" xfId="0" applyFont="1" applyFill="1" applyBorder="1" applyProtection="1">
      <protection hidden="1"/>
    </xf>
    <xf numFmtId="0" fontId="36" fillId="6" borderId="33" xfId="0" applyFont="1" applyFill="1" applyBorder="1" applyAlignment="1" applyProtection="1">
      <alignment horizontal="center"/>
      <protection hidden="1"/>
    </xf>
    <xf numFmtId="0" fontId="41" fillId="6" borderId="29" xfId="0" applyFont="1" applyFill="1" applyBorder="1" applyProtection="1">
      <protection hidden="1"/>
    </xf>
    <xf numFmtId="0" fontId="34" fillId="6" borderId="33" xfId="0" applyFont="1" applyFill="1" applyBorder="1" applyAlignment="1" applyProtection="1">
      <alignment horizontal="center"/>
      <protection hidden="1"/>
    </xf>
    <xf numFmtId="0" fontId="34" fillId="6" borderId="26" xfId="0" applyFont="1" applyFill="1" applyBorder="1" applyProtection="1">
      <protection hidden="1"/>
    </xf>
    <xf numFmtId="0" fontId="34" fillId="9" borderId="34" xfId="0" applyFont="1" applyFill="1" applyBorder="1" applyAlignment="1" applyProtection="1">
      <alignment horizontal="center"/>
      <protection hidden="1"/>
    </xf>
    <xf numFmtId="0" fontId="34" fillId="6" borderId="29" xfId="0" applyFont="1" applyFill="1" applyBorder="1" applyProtection="1">
      <protection hidden="1"/>
    </xf>
    <xf numFmtId="0" fontId="34" fillId="9" borderId="30" xfId="0" applyFont="1" applyFill="1" applyBorder="1" applyAlignment="1" applyProtection="1">
      <alignment horizontal="center"/>
      <protection hidden="1"/>
    </xf>
    <xf numFmtId="0" fontId="34" fillId="6" borderId="33" xfId="0" applyFont="1" applyFill="1" applyBorder="1" applyProtection="1">
      <protection hidden="1"/>
    </xf>
    <xf numFmtId="0" fontId="34" fillId="6" borderId="21" xfId="0" applyFont="1" applyFill="1" applyBorder="1" applyAlignment="1" applyProtection="1">
      <alignment horizontal="left"/>
      <protection hidden="1"/>
    </xf>
    <xf numFmtId="0" fontId="34" fillId="6" borderId="35" xfId="0" applyFont="1" applyFill="1" applyBorder="1" applyProtection="1">
      <protection hidden="1"/>
    </xf>
    <xf numFmtId="0" fontId="34" fillId="6" borderId="21" xfId="0" applyFont="1" applyFill="1" applyBorder="1" applyProtection="1">
      <protection hidden="1"/>
    </xf>
    <xf numFmtId="0" fontId="34" fillId="6" borderId="30" xfId="0" applyFont="1" applyFill="1" applyBorder="1" applyAlignment="1" applyProtection="1">
      <alignment horizontal="left"/>
      <protection hidden="1"/>
    </xf>
    <xf numFmtId="0" fontId="42" fillId="6" borderId="30" xfId="0" applyFont="1" applyFill="1" applyBorder="1" applyAlignment="1" applyProtection="1">
      <alignment horizontal="left"/>
      <protection hidden="1"/>
    </xf>
    <xf numFmtId="0" fontId="34" fillId="6" borderId="36" xfId="0" applyFont="1" applyFill="1" applyBorder="1" applyProtection="1">
      <protection hidden="1"/>
    </xf>
    <xf numFmtId="0" fontId="34" fillId="6" borderId="36" xfId="0" applyFont="1" applyFill="1" applyBorder="1" applyAlignment="1" applyProtection="1">
      <alignment horizontal="center"/>
      <protection hidden="1"/>
    </xf>
    <xf numFmtId="0" fontId="34" fillId="0" borderId="0" xfId="0" applyFont="1" applyAlignment="1" applyProtection="1">
      <alignment horizontal="center" textRotation="90"/>
      <protection hidden="1"/>
    </xf>
    <xf numFmtId="0" fontId="36" fillId="6" borderId="34" xfId="0" applyFont="1" applyFill="1" applyBorder="1" applyAlignment="1" applyProtection="1">
      <alignment horizontal="center"/>
      <protection hidden="1"/>
    </xf>
    <xf numFmtId="0" fontId="36" fillId="6" borderId="24" xfId="0" applyFont="1" applyFill="1" applyBorder="1" applyAlignment="1" applyProtection="1">
      <alignment horizontal="center"/>
      <protection hidden="1"/>
    </xf>
    <xf numFmtId="0" fontId="36" fillId="6" borderId="35" xfId="0" applyFont="1" applyFill="1" applyBorder="1" applyAlignment="1" applyProtection="1">
      <alignment horizontal="center"/>
      <protection hidden="1"/>
    </xf>
    <xf numFmtId="0" fontId="36" fillId="6" borderId="26" xfId="0" applyFont="1" applyFill="1" applyBorder="1" applyAlignment="1" applyProtection="1">
      <alignment horizontal="center"/>
      <protection hidden="1"/>
    </xf>
    <xf numFmtId="0" fontId="36" fillId="6" borderId="28" xfId="0" applyFont="1" applyFill="1" applyBorder="1" applyAlignment="1" applyProtection="1">
      <alignment horizontal="center"/>
      <protection hidden="1"/>
    </xf>
    <xf numFmtId="0" fontId="34" fillId="0" borderId="31" xfId="0" applyFont="1" applyBorder="1" applyProtection="1">
      <protection hidden="1"/>
    </xf>
    <xf numFmtId="164" fontId="34" fillId="9" borderId="29" xfId="0" applyNumberFormat="1" applyFont="1" applyFill="1" applyBorder="1" applyAlignment="1" applyProtection="1">
      <alignment horizontal="center"/>
      <protection hidden="1"/>
    </xf>
    <xf numFmtId="0" fontId="34" fillId="6" borderId="29" xfId="0" applyFont="1" applyFill="1" applyBorder="1" applyAlignment="1" applyProtection="1">
      <alignment horizontal="center"/>
      <protection hidden="1"/>
    </xf>
    <xf numFmtId="0" fontId="34" fillId="6" borderId="30" xfId="0" applyFont="1" applyFill="1" applyBorder="1" applyAlignment="1" applyProtection="1">
      <alignment horizontal="center"/>
      <protection hidden="1"/>
    </xf>
    <xf numFmtId="0" fontId="34" fillId="0" borderId="30" xfId="0" applyFont="1" applyBorder="1" applyProtection="1">
      <protection hidden="1"/>
    </xf>
    <xf numFmtId="164" fontId="34" fillId="9" borderId="24" xfId="0" applyNumberFormat="1" applyFont="1" applyFill="1" applyBorder="1" applyAlignment="1" applyProtection="1">
      <alignment horizontal="center"/>
      <protection hidden="1"/>
    </xf>
    <xf numFmtId="164" fontId="34" fillId="9" borderId="35" xfId="0" applyNumberFormat="1" applyFont="1" applyFill="1" applyBorder="1" applyAlignment="1" applyProtection="1">
      <alignment horizontal="center"/>
      <protection hidden="1"/>
    </xf>
    <xf numFmtId="0" fontId="34" fillId="9" borderId="33" xfId="0" applyFont="1" applyFill="1" applyBorder="1" applyAlignment="1" applyProtection="1">
      <alignment horizontal="center"/>
      <protection hidden="1"/>
    </xf>
    <xf numFmtId="0" fontId="34" fillId="6" borderId="0" xfId="0" applyFont="1" applyFill="1" applyAlignment="1" applyProtection="1">
      <alignment horizontal="center"/>
      <protection hidden="1"/>
    </xf>
    <xf numFmtId="0" fontId="34" fillId="6" borderId="35" xfId="0" applyFont="1" applyFill="1" applyBorder="1" applyAlignment="1" applyProtection="1">
      <alignment horizontal="center"/>
      <protection hidden="1"/>
    </xf>
    <xf numFmtId="0" fontId="34" fillId="0" borderId="34" xfId="0" applyFont="1" applyBorder="1" applyProtection="1">
      <protection hidden="1"/>
    </xf>
    <xf numFmtId="164" fontId="34" fillId="9" borderId="30" xfId="0" applyNumberFormat="1" applyFont="1" applyFill="1" applyBorder="1" applyAlignment="1" applyProtection="1">
      <alignment horizontal="center"/>
      <protection hidden="1"/>
    </xf>
    <xf numFmtId="0" fontId="42" fillId="2" borderId="0" xfId="0" applyFont="1" applyFill="1" applyProtection="1">
      <protection hidden="1"/>
    </xf>
    <xf numFmtId="0" fontId="42" fillId="2" borderId="22" xfId="0" applyFont="1" applyFill="1" applyBorder="1" applyAlignment="1" applyProtection="1">
      <alignment horizontal="center"/>
      <protection hidden="1"/>
    </xf>
    <xf numFmtId="0" fontId="42" fillId="0" borderId="0" xfId="0" applyFont="1" applyAlignment="1" applyProtection="1">
      <alignment horizontal="center"/>
      <protection hidden="1"/>
    </xf>
    <xf numFmtId="0" fontId="42" fillId="2" borderId="27" xfId="0" applyFont="1" applyFill="1" applyBorder="1" applyAlignment="1" applyProtection="1">
      <alignment horizontal="center"/>
      <protection hidden="1"/>
    </xf>
    <xf numFmtId="0" fontId="42" fillId="2" borderId="22" xfId="0" applyFont="1" applyFill="1" applyBorder="1" applyProtection="1">
      <protection hidden="1"/>
    </xf>
    <xf numFmtId="0" fontId="42" fillId="0" borderId="0" xfId="0" applyFont="1" applyProtection="1">
      <protection hidden="1"/>
    </xf>
    <xf numFmtId="0" fontId="42" fillId="2" borderId="27" xfId="0" applyFont="1" applyFill="1" applyBorder="1" applyProtection="1">
      <protection hidden="1"/>
    </xf>
    <xf numFmtId="164" fontId="36" fillId="6" borderId="35" xfId="0" applyNumberFormat="1" applyFont="1" applyFill="1" applyBorder="1" applyAlignment="1" applyProtection="1">
      <alignment horizontal="center"/>
      <protection hidden="1"/>
    </xf>
    <xf numFmtId="164" fontId="36" fillId="6" borderId="24" xfId="0" applyNumberFormat="1" applyFont="1" applyFill="1" applyBorder="1" applyAlignment="1" applyProtection="1">
      <alignment horizontal="center"/>
      <protection hidden="1"/>
    </xf>
    <xf numFmtId="0" fontId="34" fillId="9" borderId="29" xfId="0" applyFont="1" applyFill="1" applyBorder="1" applyAlignment="1" applyProtection="1">
      <alignment horizontal="center"/>
      <protection hidden="1"/>
    </xf>
    <xf numFmtId="0" fontId="34" fillId="9" borderId="24" xfId="0" applyFont="1" applyFill="1" applyBorder="1" applyAlignment="1" applyProtection="1">
      <alignment horizontal="center"/>
      <protection hidden="1"/>
    </xf>
    <xf numFmtId="0" fontId="34" fillId="9" borderId="35" xfId="0" applyFont="1" applyFill="1" applyBorder="1" applyAlignment="1" applyProtection="1">
      <alignment horizontal="center"/>
      <protection hidden="1"/>
    </xf>
    <xf numFmtId="0" fontId="14" fillId="0" borderId="0" xfId="0" applyFont="1" applyAlignment="1" applyProtection="1">
      <alignment horizontal="center" vertical="center" wrapText="1"/>
      <protection hidden="1"/>
    </xf>
    <xf numFmtId="0" fontId="171" fillId="0" borderId="0" xfId="0" applyFont="1" applyAlignment="1" applyProtection="1">
      <alignment horizontal="center" vertical="center" wrapText="1"/>
      <protection hidden="1"/>
    </xf>
    <xf numFmtId="0" fontId="14" fillId="0" borderId="71" xfId="0" applyFont="1" applyBorder="1" applyAlignment="1" applyProtection="1">
      <alignment horizontal="center" vertical="center" wrapText="1"/>
      <protection hidden="1"/>
    </xf>
    <xf numFmtId="0" fontId="171" fillId="0" borderId="73" xfId="0" applyFont="1" applyBorder="1" applyAlignment="1" applyProtection="1">
      <alignment horizontal="center" vertical="center" wrapText="1"/>
      <protection hidden="1"/>
    </xf>
    <xf numFmtId="0" fontId="171" fillId="0" borderId="78" xfId="0" applyFont="1" applyBorder="1" applyAlignment="1" applyProtection="1">
      <alignment horizontal="center" vertical="center" wrapText="1"/>
      <protection hidden="1"/>
    </xf>
    <xf numFmtId="0" fontId="171" fillId="0" borderId="65" xfId="0" applyFont="1" applyBorder="1" applyAlignment="1" applyProtection="1">
      <alignment horizontal="center" vertical="center" wrapText="1"/>
      <protection hidden="1"/>
    </xf>
    <xf numFmtId="0" fontId="171" fillId="0" borderId="72" xfId="0" applyFont="1" applyBorder="1" applyAlignment="1" applyProtection="1">
      <alignment horizontal="center" vertical="center" wrapText="1"/>
      <protection hidden="1"/>
    </xf>
    <xf numFmtId="0" fontId="171" fillId="0" borderId="71" xfId="0" applyFont="1" applyBorder="1" applyAlignment="1" applyProtection="1">
      <alignment horizontal="right" vertical="center" wrapText="1"/>
      <protection hidden="1"/>
    </xf>
    <xf numFmtId="0" fontId="171" fillId="0" borderId="76" xfId="0" applyFont="1" applyBorder="1" applyAlignment="1" applyProtection="1">
      <alignment horizontal="center" vertical="center" wrapText="1"/>
      <protection hidden="1"/>
    </xf>
    <xf numFmtId="0" fontId="171" fillId="0" borderId="75" xfId="0" applyFont="1" applyBorder="1" applyAlignment="1" applyProtection="1">
      <alignment horizontal="center" vertical="center" wrapText="1"/>
      <protection hidden="1"/>
    </xf>
    <xf numFmtId="0" fontId="171" fillId="0" borderId="77" xfId="0" applyFont="1" applyBorder="1" applyAlignment="1" applyProtection="1">
      <alignment horizontal="center" vertical="center" wrapText="1"/>
      <protection hidden="1"/>
    </xf>
    <xf numFmtId="0" fontId="14" fillId="0" borderId="0" xfId="0" applyFont="1" applyAlignment="1" applyProtection="1">
      <alignment horizontal="center"/>
      <protection hidden="1"/>
    </xf>
    <xf numFmtId="0" fontId="171" fillId="0" borderId="78" xfId="0" applyFont="1" applyBorder="1" applyAlignment="1" applyProtection="1">
      <alignment horizontal="center"/>
      <protection hidden="1"/>
    </xf>
    <xf numFmtId="0" fontId="171" fillId="0" borderId="65" xfId="0" applyFont="1" applyBorder="1" applyAlignment="1" applyProtection="1">
      <alignment horizontal="center"/>
      <protection hidden="1"/>
    </xf>
    <xf numFmtId="0" fontId="171" fillId="0" borderId="72" xfId="0" applyFont="1" applyBorder="1" applyAlignment="1" applyProtection="1">
      <alignment horizontal="center"/>
      <protection hidden="1"/>
    </xf>
    <xf numFmtId="0" fontId="14" fillId="0" borderId="71" xfId="0" applyFont="1" applyBorder="1" applyAlignment="1" applyProtection="1">
      <alignment horizontal="right" vertical="center" wrapText="1"/>
      <protection hidden="1"/>
    </xf>
    <xf numFmtId="0" fontId="14" fillId="0" borderId="73" xfId="0" applyFont="1" applyBorder="1" applyAlignment="1" applyProtection="1">
      <alignment horizontal="center" vertical="center" wrapText="1"/>
      <protection hidden="1"/>
    </xf>
    <xf numFmtId="1" fontId="14" fillId="0" borderId="0" xfId="0" applyNumberFormat="1" applyFont="1" applyAlignment="1" applyProtection="1">
      <alignment horizontal="center" vertical="center" wrapText="1"/>
      <protection hidden="1"/>
    </xf>
    <xf numFmtId="1" fontId="14" fillId="0" borderId="71" xfId="0" applyNumberFormat="1" applyFont="1" applyBorder="1" applyAlignment="1" applyProtection="1">
      <alignment horizontal="center" vertical="center" wrapText="1"/>
      <protection hidden="1"/>
    </xf>
    <xf numFmtId="3" fontId="14" fillId="0" borderId="0" xfId="0" applyNumberFormat="1" applyFont="1" applyAlignment="1" applyProtection="1">
      <alignment horizontal="center" vertical="center" wrapText="1"/>
      <protection hidden="1"/>
    </xf>
    <xf numFmtId="3" fontId="14" fillId="0" borderId="71" xfId="0" applyNumberFormat="1" applyFont="1" applyBorder="1" applyAlignment="1" applyProtection="1">
      <alignment horizontal="center" vertical="center" wrapText="1"/>
      <protection hidden="1"/>
    </xf>
    <xf numFmtId="0" fontId="3" fillId="2" borderId="0" xfId="0" applyFont="1" applyFill="1" applyAlignment="1" applyProtection="1">
      <alignment horizontal="left" vertical="center"/>
      <protection hidden="1"/>
    </xf>
    <xf numFmtId="0" fontId="2" fillId="2" borderId="0" xfId="0" applyFont="1" applyFill="1" applyAlignment="1" applyProtection="1">
      <alignment horizontal="left" vertical="center"/>
      <protection hidden="1"/>
    </xf>
    <xf numFmtId="0" fontId="1" fillId="2" borderId="0" xfId="0" applyFont="1" applyFill="1" applyAlignment="1" applyProtection="1">
      <alignment horizontal="left" vertical="center"/>
      <protection hidden="1"/>
    </xf>
    <xf numFmtId="0" fontId="4" fillId="2" borderId="0" xfId="0" applyFont="1" applyFill="1" applyAlignment="1" applyProtection="1">
      <alignment horizontal="right" vertical="center" wrapText="1"/>
      <protection hidden="1"/>
    </xf>
    <xf numFmtId="2" fontId="3" fillId="2" borderId="0" xfId="0" applyNumberFormat="1" applyFont="1" applyFill="1" applyAlignment="1" applyProtection="1">
      <alignment horizontal="left" vertical="center"/>
      <protection hidden="1"/>
    </xf>
    <xf numFmtId="0" fontId="4" fillId="2" borderId="0" xfId="0" applyFont="1" applyFill="1" applyAlignment="1" applyProtection="1">
      <alignment horizontal="right" vertical="center"/>
      <protection hidden="1"/>
    </xf>
    <xf numFmtId="0" fontId="5" fillId="2" borderId="0" xfId="0" applyFont="1" applyFill="1" applyAlignment="1" applyProtection="1">
      <alignment horizontal="left"/>
      <protection hidden="1"/>
    </xf>
    <xf numFmtId="0" fontId="4" fillId="2" borderId="0" xfId="0" applyFont="1" applyFill="1" applyAlignment="1" applyProtection="1">
      <alignment horizontal="left" vertical="center"/>
      <protection hidden="1"/>
    </xf>
    <xf numFmtId="0" fontId="3" fillId="2" borderId="4" xfId="0" applyFont="1" applyFill="1" applyBorder="1" applyAlignment="1" applyProtection="1">
      <alignment horizontal="left" vertical="center"/>
      <protection hidden="1"/>
    </xf>
    <xf numFmtId="0" fontId="4" fillId="2" borderId="0" xfId="0" applyFont="1" applyFill="1" applyAlignment="1" applyProtection="1">
      <alignment vertical="center"/>
      <protection hidden="1"/>
    </xf>
    <xf numFmtId="0" fontId="4" fillId="2" borderId="1" xfId="0" applyFont="1" applyFill="1" applyBorder="1" applyAlignment="1" applyProtection="1">
      <alignment horizontal="center" wrapText="1"/>
      <protection hidden="1"/>
    </xf>
    <xf numFmtId="0" fontId="4" fillId="2" borderId="1" xfId="0" applyFont="1" applyFill="1" applyBorder="1" applyAlignment="1" applyProtection="1">
      <alignment wrapText="1"/>
      <protection hidden="1"/>
    </xf>
    <xf numFmtId="0" fontId="4" fillId="2" borderId="1" xfId="0" applyFont="1" applyFill="1" applyBorder="1" applyAlignment="1" applyProtection="1">
      <alignment horizontal="left" wrapText="1"/>
      <protection hidden="1"/>
    </xf>
    <xf numFmtId="0" fontId="4" fillId="2" borderId="1" xfId="0" applyFont="1" applyFill="1" applyBorder="1" applyAlignment="1" applyProtection="1">
      <alignment horizontal="center"/>
      <protection hidden="1"/>
    </xf>
    <xf numFmtId="0" fontId="4" fillId="2" borderId="5" xfId="0" applyFont="1" applyFill="1" applyBorder="1" applyAlignment="1" applyProtection="1">
      <alignment horizontal="center" wrapText="1"/>
      <protection hidden="1"/>
    </xf>
    <xf numFmtId="0" fontId="4" fillId="2" borderId="0" xfId="0" applyFont="1" applyFill="1" applyAlignment="1" applyProtection="1">
      <alignment horizontal="left" vertical="center" wrapText="1"/>
      <protection hidden="1"/>
    </xf>
    <xf numFmtId="0" fontId="3" fillId="2" borderId="2" xfId="0" applyFont="1" applyFill="1" applyBorder="1" applyAlignment="1" applyProtection="1">
      <alignment horizontal="left" vertical="center"/>
      <protection hidden="1"/>
    </xf>
    <xf numFmtId="0" fontId="3" fillId="2" borderId="0" xfId="0" applyFont="1" applyFill="1" applyAlignment="1" applyProtection="1">
      <alignment horizontal="right" vertical="center"/>
      <protection hidden="1"/>
    </xf>
    <xf numFmtId="2" fontId="3" fillId="2" borderId="0" xfId="0" applyNumberFormat="1" applyFont="1" applyFill="1" applyAlignment="1" applyProtection="1">
      <alignment horizontal="center" vertical="center"/>
      <protection hidden="1"/>
    </xf>
    <xf numFmtId="0" fontId="3" fillId="2" borderId="0" xfId="0" applyFont="1" applyFill="1" applyAlignment="1" applyProtection="1">
      <alignment horizontal="center" vertical="center"/>
      <protection hidden="1"/>
    </xf>
    <xf numFmtId="164" fontId="3" fillId="2" borderId="0" xfId="0" applyNumberFormat="1" applyFont="1" applyFill="1" applyAlignment="1" applyProtection="1">
      <alignment horizontal="center" vertical="center"/>
      <protection hidden="1"/>
    </xf>
    <xf numFmtId="0" fontId="3" fillId="2" borderId="4" xfId="0" applyFont="1" applyFill="1" applyBorder="1" applyAlignment="1" applyProtection="1">
      <alignment horizontal="center" vertical="center"/>
      <protection hidden="1"/>
    </xf>
    <xf numFmtId="2" fontId="3" fillId="2" borderId="11" xfId="0" applyNumberFormat="1" applyFont="1" applyFill="1" applyBorder="1" applyAlignment="1" applyProtection="1">
      <alignment horizontal="left" vertical="center"/>
      <protection hidden="1"/>
    </xf>
    <xf numFmtId="2" fontId="3" fillId="0" borderId="0" xfId="0" applyNumberFormat="1" applyFont="1" applyAlignment="1" applyProtection="1">
      <alignment horizontal="center" vertical="center"/>
      <protection hidden="1"/>
    </xf>
    <xf numFmtId="0" fontId="3" fillId="0" borderId="0" xfId="0" applyFont="1" applyAlignment="1" applyProtection="1">
      <alignment horizontal="center" vertical="center"/>
      <protection hidden="1"/>
    </xf>
    <xf numFmtId="164" fontId="3" fillId="0" borderId="0" xfId="0" applyNumberFormat="1" applyFont="1" applyAlignment="1" applyProtection="1">
      <alignment horizontal="center" vertical="center"/>
      <protection hidden="1"/>
    </xf>
    <xf numFmtId="2" fontId="3" fillId="2" borderId="4" xfId="0" applyNumberFormat="1" applyFont="1" applyFill="1" applyBorder="1" applyAlignment="1" applyProtection="1">
      <alignment horizontal="left" vertical="center"/>
      <protection hidden="1"/>
    </xf>
    <xf numFmtId="0" fontId="18" fillId="2" borderId="0" xfId="0" applyFont="1" applyFill="1" applyAlignment="1" applyProtection="1">
      <alignment horizontal="center" vertical="center"/>
      <protection hidden="1"/>
    </xf>
    <xf numFmtId="2" fontId="3" fillId="2" borderId="4" xfId="0" applyNumberFormat="1" applyFont="1" applyFill="1" applyBorder="1" applyAlignment="1" applyProtection="1">
      <alignment horizontal="center" vertical="center"/>
      <protection hidden="1"/>
    </xf>
    <xf numFmtId="0" fontId="2" fillId="0" borderId="0" xfId="0" applyFont="1" applyAlignment="1" applyProtection="1">
      <alignment horizontal="left" vertical="center"/>
      <protection hidden="1"/>
    </xf>
    <xf numFmtId="0" fontId="3" fillId="0" borderId="0" xfId="0" applyFont="1" applyAlignment="1" applyProtection="1">
      <alignment horizontal="left" vertical="center"/>
      <protection hidden="1"/>
    </xf>
    <xf numFmtId="0" fontId="3" fillId="0" borderId="0" xfId="0" applyFont="1" applyAlignment="1" applyProtection="1">
      <alignment horizontal="right" vertical="center"/>
      <protection hidden="1"/>
    </xf>
    <xf numFmtId="0" fontId="18" fillId="0" borderId="0" xfId="0" applyFont="1" applyAlignment="1" applyProtection="1">
      <alignment horizontal="center" vertical="center"/>
      <protection hidden="1"/>
    </xf>
    <xf numFmtId="2" fontId="3" fillId="0" borderId="4" xfId="0" applyNumberFormat="1" applyFont="1" applyBorder="1" applyAlignment="1" applyProtection="1">
      <alignment horizontal="center" vertical="center"/>
      <protection hidden="1"/>
    </xf>
    <xf numFmtId="2" fontId="3" fillId="0" borderId="0" xfId="0" applyNumberFormat="1" applyFont="1" applyAlignment="1" applyProtection="1">
      <alignment horizontal="left" vertical="center"/>
      <protection hidden="1"/>
    </xf>
    <xf numFmtId="2" fontId="3" fillId="0" borderId="4" xfId="0" applyNumberFormat="1" applyFont="1" applyBorder="1" applyAlignment="1" applyProtection="1">
      <alignment horizontal="left" vertical="center"/>
      <protection hidden="1"/>
    </xf>
    <xf numFmtId="0" fontId="3" fillId="0" borderId="2" xfId="0" applyFont="1" applyBorder="1" applyAlignment="1" applyProtection="1">
      <alignment horizontal="left" vertical="center"/>
      <protection hidden="1"/>
    </xf>
    <xf numFmtId="0" fontId="4" fillId="2" borderId="2" xfId="0" applyFont="1" applyFill="1" applyBorder="1" applyAlignment="1" applyProtection="1">
      <alignment horizontal="center" vertical="center"/>
      <protection hidden="1"/>
    </xf>
    <xf numFmtId="0" fontId="4" fillId="2" borderId="0" xfId="0" applyFont="1" applyFill="1" applyAlignment="1" applyProtection="1">
      <alignment horizontal="center" vertical="center"/>
      <protection hidden="1"/>
    </xf>
    <xf numFmtId="0" fontId="4" fillId="2" borderId="4" xfId="0" applyFont="1" applyFill="1" applyBorder="1" applyAlignment="1" applyProtection="1">
      <alignment horizontal="center" vertical="center"/>
      <protection hidden="1"/>
    </xf>
    <xf numFmtId="0" fontId="4" fillId="2" borderId="1" xfId="0" applyFont="1" applyFill="1" applyBorder="1" applyAlignment="1" applyProtection="1">
      <alignment horizontal="left" vertical="center" wrapText="1"/>
      <protection hidden="1"/>
    </xf>
    <xf numFmtId="0" fontId="4" fillId="2" borderId="3" xfId="0" applyFont="1" applyFill="1" applyBorder="1" applyAlignment="1" applyProtection="1">
      <alignment horizontal="center" vertical="center" wrapText="1"/>
      <protection hidden="1"/>
    </xf>
    <xf numFmtId="0" fontId="4" fillId="2" borderId="1" xfId="0" applyFont="1" applyFill="1" applyBorder="1" applyAlignment="1" applyProtection="1">
      <alignment horizontal="center" vertical="center" wrapText="1"/>
      <protection hidden="1"/>
    </xf>
    <xf numFmtId="0" fontId="4" fillId="2" borderId="5" xfId="0" applyFont="1" applyFill="1" applyBorder="1" applyAlignment="1" applyProtection="1">
      <alignment horizontal="center" vertical="center" wrapText="1"/>
      <protection hidden="1"/>
    </xf>
    <xf numFmtId="0" fontId="4" fillId="2" borderId="2" xfId="0" applyFont="1" applyFill="1" applyBorder="1" applyAlignment="1" applyProtection="1">
      <alignment horizontal="center" vertical="center" wrapText="1"/>
      <protection hidden="1"/>
    </xf>
    <xf numFmtId="0" fontId="4" fillId="2" borderId="0" xfId="0" applyFont="1" applyFill="1" applyAlignment="1" applyProtection="1">
      <alignment horizontal="center" vertical="center" wrapText="1"/>
      <protection hidden="1"/>
    </xf>
    <xf numFmtId="0" fontId="3" fillId="2" borderId="0" xfId="0" applyFont="1" applyFill="1" applyAlignment="1" applyProtection="1">
      <alignment horizontal="left" vertical="center" wrapText="1"/>
      <protection hidden="1"/>
    </xf>
    <xf numFmtId="0" fontId="9" fillId="2" borderId="0" xfId="0" applyFont="1" applyFill="1" applyProtection="1">
      <protection hidden="1"/>
    </xf>
    <xf numFmtId="164" fontId="3" fillId="2" borderId="0" xfId="0" applyNumberFormat="1" applyFont="1" applyFill="1" applyAlignment="1" applyProtection="1">
      <alignment horizontal="left" vertical="center"/>
      <protection hidden="1"/>
    </xf>
    <xf numFmtId="164" fontId="9" fillId="2" borderId="0" xfId="0" applyNumberFormat="1" applyFont="1" applyFill="1" applyProtection="1">
      <protection hidden="1"/>
    </xf>
    <xf numFmtId="164" fontId="3" fillId="23" borderId="0" xfId="0" applyNumberFormat="1" applyFont="1" applyFill="1" applyAlignment="1" applyProtection="1">
      <alignment horizontal="center" vertical="center"/>
      <protection hidden="1"/>
    </xf>
    <xf numFmtId="2" fontId="3" fillId="23" borderId="0" xfId="0" applyNumberFormat="1" applyFont="1" applyFill="1" applyAlignment="1" applyProtection="1">
      <alignment horizontal="center" vertical="center"/>
      <protection hidden="1"/>
    </xf>
    <xf numFmtId="0" fontId="3" fillId="23" borderId="0" xfId="0" applyFont="1" applyFill="1" applyAlignment="1" applyProtection="1">
      <alignment horizontal="center" vertical="center"/>
      <protection hidden="1"/>
    </xf>
    <xf numFmtId="164" fontId="3" fillId="23" borderId="71" xfId="0" applyNumberFormat="1" applyFont="1" applyFill="1" applyBorder="1" applyAlignment="1" applyProtection="1">
      <alignment horizontal="center" vertical="center"/>
      <protection hidden="1"/>
    </xf>
    <xf numFmtId="169" fontId="9" fillId="0" borderId="0" xfId="0" applyNumberFormat="1" applyFont="1" applyProtection="1">
      <protection hidden="1"/>
    </xf>
    <xf numFmtId="164" fontId="9" fillId="0" borderId="0" xfId="0" applyNumberFormat="1" applyFont="1" applyProtection="1">
      <protection hidden="1"/>
    </xf>
    <xf numFmtId="0" fontId="3" fillId="2" borderId="2" xfId="0" applyFont="1" applyFill="1" applyBorder="1" applyAlignment="1" applyProtection="1">
      <alignment horizontal="left" vertical="center" wrapText="1"/>
      <protection hidden="1"/>
    </xf>
    <xf numFmtId="1" fontId="3" fillId="2" borderId="0" xfId="0" applyNumberFormat="1" applyFont="1" applyFill="1" applyAlignment="1" applyProtection="1">
      <alignment horizontal="left" vertical="center"/>
      <protection hidden="1"/>
    </xf>
    <xf numFmtId="0" fontId="8" fillId="19" borderId="0" xfId="0" applyFont="1" applyFill="1" applyProtection="1">
      <protection hidden="1"/>
    </xf>
    <xf numFmtId="0" fontId="93" fillId="5" borderId="0" xfId="0" applyFont="1" applyFill="1" applyProtection="1">
      <protection hidden="1"/>
    </xf>
    <xf numFmtId="0" fontId="34" fillId="5" borderId="0" xfId="0" applyFont="1" applyFill="1" applyProtection="1">
      <protection hidden="1"/>
    </xf>
    <xf numFmtId="0" fontId="36" fillId="6" borderId="30" xfId="0" applyFont="1" applyFill="1" applyBorder="1" applyAlignment="1" applyProtection="1">
      <alignment vertical="center"/>
      <protection hidden="1"/>
    </xf>
    <xf numFmtId="0" fontId="75" fillId="6" borderId="29" xfId="0" applyFont="1" applyFill="1" applyBorder="1" applyProtection="1">
      <protection hidden="1"/>
    </xf>
    <xf numFmtId="0" fontId="74" fillId="6" borderId="36" xfId="0" applyFont="1" applyFill="1" applyBorder="1" applyProtection="1">
      <protection hidden="1"/>
    </xf>
    <xf numFmtId="0" fontId="74" fillId="6" borderId="29" xfId="0" applyFont="1" applyFill="1" applyBorder="1" applyAlignment="1" applyProtection="1">
      <alignment horizontal="center"/>
      <protection hidden="1"/>
    </xf>
    <xf numFmtId="0" fontId="74" fillId="6" borderId="30" xfId="0" applyFont="1" applyFill="1" applyBorder="1" applyAlignment="1" applyProtection="1">
      <alignment horizontal="center"/>
      <protection hidden="1"/>
    </xf>
    <xf numFmtId="0" fontId="74" fillId="6" borderId="33" xfId="0" applyFont="1" applyFill="1" applyBorder="1" applyAlignment="1" applyProtection="1">
      <alignment horizontal="center"/>
      <protection hidden="1"/>
    </xf>
    <xf numFmtId="0" fontId="52" fillId="6" borderId="29" xfId="0" applyFont="1" applyFill="1" applyBorder="1" applyProtection="1">
      <protection hidden="1"/>
    </xf>
    <xf numFmtId="0" fontId="52" fillId="6" borderId="36" xfId="0" applyFont="1" applyFill="1" applyBorder="1" applyAlignment="1" applyProtection="1">
      <alignment horizontal="center"/>
      <protection hidden="1"/>
    </xf>
    <xf numFmtId="0" fontId="52" fillId="6" borderId="30" xfId="0" applyFont="1" applyFill="1" applyBorder="1" applyAlignment="1" applyProtection="1">
      <alignment horizontal="center"/>
      <protection hidden="1"/>
    </xf>
    <xf numFmtId="0" fontId="52" fillId="6" borderId="25" xfId="0" applyFont="1" applyFill="1" applyBorder="1" applyAlignment="1" applyProtection="1">
      <alignment horizontal="center"/>
      <protection hidden="1"/>
    </xf>
    <xf numFmtId="0" fontId="52" fillId="6" borderId="42" xfId="0" applyFont="1" applyFill="1" applyBorder="1" applyProtection="1">
      <protection hidden="1"/>
    </xf>
    <xf numFmtId="0" fontId="53" fillId="17" borderId="43" xfId="0" applyFont="1" applyFill="1" applyBorder="1" applyAlignment="1" applyProtection="1">
      <alignment horizontal="center"/>
      <protection hidden="1"/>
    </xf>
    <xf numFmtId="0" fontId="53" fillId="17" borderId="44" xfId="0" applyFont="1" applyFill="1" applyBorder="1" applyAlignment="1" applyProtection="1">
      <alignment horizontal="center" vertical="center"/>
      <protection hidden="1"/>
    </xf>
    <xf numFmtId="164" fontId="53" fillId="17" borderId="42" xfId="0" applyNumberFormat="1" applyFont="1" applyFill="1" applyBorder="1" applyAlignment="1" applyProtection="1">
      <alignment horizontal="center"/>
      <protection hidden="1"/>
    </xf>
    <xf numFmtId="164" fontId="53" fillId="17" borderId="43" xfId="0" applyNumberFormat="1" applyFont="1" applyFill="1" applyBorder="1" applyAlignment="1" applyProtection="1">
      <alignment horizontal="center"/>
      <protection hidden="1"/>
    </xf>
    <xf numFmtId="164" fontId="53" fillId="17" borderId="45" xfId="0" applyNumberFormat="1" applyFont="1" applyFill="1" applyBorder="1" applyAlignment="1" applyProtection="1">
      <alignment horizontal="center"/>
      <protection hidden="1"/>
    </xf>
    <xf numFmtId="0" fontId="74" fillId="2" borderId="0" xfId="0" applyFont="1" applyFill="1" applyProtection="1">
      <protection hidden="1"/>
    </xf>
    <xf numFmtId="0" fontId="52" fillId="6" borderId="46" xfId="0" applyFont="1" applyFill="1" applyBorder="1" applyProtection="1">
      <protection hidden="1"/>
    </xf>
    <xf numFmtId="0" fontId="53" fillId="0" borderId="12" xfId="0" applyFont="1" applyBorder="1" applyAlignment="1" applyProtection="1">
      <alignment horizontal="center"/>
      <protection hidden="1"/>
    </xf>
    <xf numFmtId="0" fontId="53" fillId="0" borderId="13" xfId="0" applyFont="1" applyBorder="1" applyAlignment="1" applyProtection="1">
      <alignment horizontal="center" vertical="center"/>
      <protection hidden="1"/>
    </xf>
    <xf numFmtId="164" fontId="53" fillId="0" borderId="46" xfId="0" applyNumberFormat="1" applyFont="1" applyBorder="1" applyAlignment="1" applyProtection="1">
      <alignment horizontal="center"/>
      <protection hidden="1"/>
    </xf>
    <xf numFmtId="164" fontId="53" fillId="0" borderId="12" xfId="0" applyNumberFormat="1" applyFont="1" applyBorder="1" applyAlignment="1" applyProtection="1">
      <alignment horizontal="center"/>
      <protection hidden="1"/>
    </xf>
    <xf numFmtId="164" fontId="53" fillId="0" borderId="47" xfId="0" applyNumberFormat="1" applyFont="1" applyBorder="1" applyAlignment="1" applyProtection="1">
      <alignment horizontal="center"/>
      <protection hidden="1"/>
    </xf>
    <xf numFmtId="0" fontId="53" fillId="17" borderId="12" xfId="0" applyFont="1" applyFill="1" applyBorder="1" applyAlignment="1" applyProtection="1">
      <alignment horizontal="center"/>
      <protection hidden="1"/>
    </xf>
    <xf numFmtId="0" fontId="53" fillId="17" borderId="13" xfId="0" applyFont="1" applyFill="1" applyBorder="1" applyAlignment="1" applyProtection="1">
      <alignment horizontal="center" vertical="center"/>
      <protection hidden="1"/>
    </xf>
    <xf numFmtId="164" fontId="53" fillId="17" borderId="46" xfId="0" applyNumberFormat="1" applyFont="1" applyFill="1" applyBorder="1" applyAlignment="1" applyProtection="1">
      <alignment horizontal="center"/>
      <protection hidden="1"/>
    </xf>
    <xf numFmtId="164" fontId="53" fillId="17" borderId="12" xfId="0" applyNumberFormat="1" applyFont="1" applyFill="1" applyBorder="1" applyAlignment="1" applyProtection="1">
      <alignment horizontal="center"/>
      <protection hidden="1"/>
    </xf>
    <xf numFmtId="164" fontId="53" fillId="17" borderId="47" xfId="0" applyNumberFormat="1" applyFont="1" applyFill="1" applyBorder="1" applyAlignment="1" applyProtection="1">
      <alignment horizontal="center"/>
      <protection hidden="1"/>
    </xf>
    <xf numFmtId="0" fontId="52" fillId="17" borderId="12" xfId="0" applyFont="1" applyFill="1" applyBorder="1" applyAlignment="1" applyProtection="1">
      <alignment horizontal="center"/>
      <protection hidden="1"/>
    </xf>
    <xf numFmtId="0" fontId="52" fillId="0" borderId="12" xfId="0" applyFont="1" applyBorder="1" applyAlignment="1" applyProtection="1">
      <alignment horizontal="center"/>
      <protection hidden="1"/>
    </xf>
    <xf numFmtId="0" fontId="52" fillId="6" borderId="12" xfId="0" applyFont="1" applyFill="1" applyBorder="1" applyProtection="1">
      <protection hidden="1"/>
    </xf>
    <xf numFmtId="0" fontId="52" fillId="0" borderId="20" xfId="0" applyFont="1" applyBorder="1" applyAlignment="1" applyProtection="1">
      <alignment horizontal="center"/>
      <protection hidden="1"/>
    </xf>
    <xf numFmtId="0" fontId="53" fillId="0" borderId="19" xfId="0" applyFont="1" applyBorder="1" applyAlignment="1" applyProtection="1">
      <alignment horizontal="center" vertical="center"/>
      <protection hidden="1"/>
    </xf>
    <xf numFmtId="164" fontId="53" fillId="0" borderId="48" xfId="0" applyNumberFormat="1" applyFont="1" applyBorder="1" applyAlignment="1" applyProtection="1">
      <alignment horizontal="center"/>
      <protection hidden="1"/>
    </xf>
    <xf numFmtId="164" fontId="53" fillId="0" borderId="20" xfId="0" applyNumberFormat="1" applyFont="1" applyBorder="1" applyAlignment="1" applyProtection="1">
      <alignment horizontal="center"/>
      <protection hidden="1"/>
    </xf>
    <xf numFmtId="164" fontId="53" fillId="0" borderId="49" xfId="0" applyNumberFormat="1" applyFont="1" applyBorder="1" applyAlignment="1" applyProtection="1">
      <alignment horizontal="center"/>
      <protection hidden="1"/>
    </xf>
    <xf numFmtId="0" fontId="52" fillId="17" borderId="50" xfId="0" applyFont="1" applyFill="1" applyBorder="1" applyAlignment="1" applyProtection="1">
      <alignment horizontal="center"/>
      <protection hidden="1"/>
    </xf>
    <xf numFmtId="0" fontId="53" fillId="17" borderId="51" xfId="0" applyFont="1" applyFill="1" applyBorder="1" applyAlignment="1" applyProtection="1">
      <alignment horizontal="center" vertical="center"/>
      <protection hidden="1"/>
    </xf>
    <xf numFmtId="164" fontId="74" fillId="17" borderId="52" xfId="0" applyNumberFormat="1" applyFont="1" applyFill="1" applyBorder="1" applyAlignment="1" applyProtection="1">
      <alignment horizontal="center"/>
      <protection hidden="1"/>
    </xf>
    <xf numFmtId="164" fontId="74" fillId="17" borderId="50" xfId="0" applyNumberFormat="1" applyFont="1" applyFill="1" applyBorder="1" applyAlignment="1" applyProtection="1">
      <alignment horizontal="center"/>
      <protection hidden="1"/>
    </xf>
    <xf numFmtId="164" fontId="74" fillId="17" borderId="53" xfId="0" applyNumberFormat="1" applyFont="1" applyFill="1" applyBorder="1" applyAlignment="1" applyProtection="1">
      <alignment horizontal="center"/>
      <protection hidden="1"/>
    </xf>
    <xf numFmtId="0" fontId="75" fillId="9" borderId="54" xfId="0" applyFont="1" applyFill="1" applyBorder="1" applyAlignment="1" applyProtection="1">
      <alignment horizontal="center" vertical="center"/>
      <protection hidden="1"/>
    </xf>
    <xf numFmtId="0" fontId="75" fillId="9" borderId="8" xfId="0" applyFont="1" applyFill="1" applyBorder="1" applyAlignment="1" applyProtection="1">
      <alignment horizontal="center"/>
      <protection hidden="1"/>
    </xf>
    <xf numFmtId="0" fontId="75" fillId="9" borderId="55" xfId="0" applyFont="1" applyFill="1" applyBorder="1" applyAlignment="1" applyProtection="1">
      <alignment horizontal="center" vertical="center"/>
      <protection hidden="1"/>
    </xf>
    <xf numFmtId="0" fontId="75" fillId="9" borderId="56" xfId="0" applyFont="1" applyFill="1" applyBorder="1" applyAlignment="1" applyProtection="1">
      <alignment horizontal="center" vertical="center"/>
      <protection hidden="1"/>
    </xf>
    <xf numFmtId="0" fontId="74" fillId="0" borderId="33" xfId="0" applyFont="1" applyBorder="1" applyAlignment="1" applyProtection="1">
      <alignment horizontal="center"/>
      <protection hidden="1"/>
    </xf>
    <xf numFmtId="0" fontId="52" fillId="6" borderId="22" xfId="0" applyFont="1" applyFill="1" applyBorder="1" applyAlignment="1" applyProtection="1">
      <alignment horizontal="center"/>
      <protection hidden="1"/>
    </xf>
    <xf numFmtId="0" fontId="52" fillId="6" borderId="31" xfId="0" applyFont="1" applyFill="1" applyBorder="1" applyAlignment="1" applyProtection="1">
      <alignment horizontal="center"/>
      <protection hidden="1"/>
    </xf>
    <xf numFmtId="0" fontId="52" fillId="6" borderId="57" xfId="0" applyFont="1" applyFill="1" applyBorder="1" applyProtection="1">
      <protection hidden="1"/>
    </xf>
    <xf numFmtId="0" fontId="74" fillId="17" borderId="42" xfId="0" applyFont="1" applyFill="1" applyBorder="1" applyAlignment="1" applyProtection="1">
      <alignment horizontal="center"/>
      <protection hidden="1"/>
    </xf>
    <xf numFmtId="0" fontId="74" fillId="17" borderId="43" xfId="0" applyFont="1" applyFill="1" applyBorder="1" applyAlignment="1" applyProtection="1">
      <alignment horizontal="center"/>
      <protection hidden="1"/>
    </xf>
    <xf numFmtId="164" fontId="74" fillId="17" borderId="43" xfId="0" applyNumberFormat="1" applyFont="1" applyFill="1" applyBorder="1" applyAlignment="1" applyProtection="1">
      <alignment horizontal="center" vertical="center"/>
      <protection hidden="1"/>
    </xf>
    <xf numFmtId="164" fontId="74" fillId="17" borderId="45" xfId="0" applyNumberFormat="1" applyFont="1" applyFill="1" applyBorder="1" applyAlignment="1" applyProtection="1">
      <alignment horizontal="center" vertical="center"/>
      <protection hidden="1"/>
    </xf>
    <xf numFmtId="0" fontId="52" fillId="6" borderId="58" xfId="0" applyFont="1" applyFill="1" applyBorder="1" applyProtection="1">
      <protection hidden="1"/>
    </xf>
    <xf numFmtId="0" fontId="74" fillId="0" borderId="46" xfId="0" applyFont="1" applyBorder="1" applyAlignment="1" applyProtection="1">
      <alignment horizontal="center"/>
      <protection hidden="1"/>
    </xf>
    <xf numFmtId="0" fontId="74" fillId="0" borderId="12" xfId="0" applyFont="1" applyBorder="1" applyAlignment="1" applyProtection="1">
      <alignment horizontal="center"/>
      <protection hidden="1"/>
    </xf>
    <xf numFmtId="164" fontId="74" fillId="0" borderId="12" xfId="0" applyNumberFormat="1" applyFont="1" applyBorder="1" applyAlignment="1" applyProtection="1">
      <alignment horizontal="center" vertical="center"/>
      <protection hidden="1"/>
    </xf>
    <xf numFmtId="164" fontId="74" fillId="0" borderId="47" xfId="0" applyNumberFormat="1" applyFont="1" applyBorder="1" applyAlignment="1" applyProtection="1">
      <alignment horizontal="center" vertical="center"/>
      <protection hidden="1"/>
    </xf>
    <xf numFmtId="0" fontId="74" fillId="17" borderId="46" xfId="0" applyFont="1" applyFill="1" applyBorder="1" applyAlignment="1" applyProtection="1">
      <alignment horizontal="center"/>
      <protection hidden="1"/>
    </xf>
    <xf numFmtId="0" fontId="74" fillId="17" borderId="12" xfId="0" applyFont="1" applyFill="1" applyBorder="1" applyAlignment="1" applyProtection="1">
      <alignment horizontal="center"/>
      <protection hidden="1"/>
    </xf>
    <xf numFmtId="164" fontId="74" fillId="17" borderId="12" xfId="0" applyNumberFormat="1" applyFont="1" applyFill="1" applyBorder="1" applyAlignment="1" applyProtection="1">
      <alignment horizontal="center" vertical="center"/>
      <protection hidden="1"/>
    </xf>
    <xf numFmtId="164" fontId="74" fillId="17" borderId="47" xfId="0" applyNumberFormat="1" applyFont="1" applyFill="1" applyBorder="1" applyAlignment="1" applyProtection="1">
      <alignment horizontal="center" vertical="center"/>
      <protection hidden="1"/>
    </xf>
    <xf numFmtId="0" fontId="74" fillId="0" borderId="18" xfId="0" applyFont="1" applyBorder="1" applyAlignment="1" applyProtection="1">
      <alignment horizontal="center"/>
      <protection hidden="1"/>
    </xf>
    <xf numFmtId="0" fontId="74" fillId="17" borderId="59" xfId="0" applyFont="1" applyFill="1" applyBorder="1" applyAlignment="1" applyProtection="1">
      <alignment horizontal="center"/>
      <protection hidden="1"/>
    </xf>
    <xf numFmtId="0" fontId="74" fillId="17" borderId="50" xfId="0" applyFont="1" applyFill="1" applyBorder="1" applyAlignment="1" applyProtection="1">
      <alignment horizontal="center"/>
      <protection hidden="1"/>
    </xf>
    <xf numFmtId="164" fontId="74" fillId="17" borderId="50" xfId="0" applyNumberFormat="1" applyFont="1" applyFill="1" applyBorder="1" applyAlignment="1" applyProtection="1">
      <alignment horizontal="center" vertical="center"/>
      <protection hidden="1"/>
    </xf>
    <xf numFmtId="164" fontId="74" fillId="17" borderId="53" xfId="0" applyNumberFormat="1" applyFont="1" applyFill="1" applyBorder="1" applyAlignment="1" applyProtection="1">
      <alignment horizontal="center" vertical="center"/>
      <protection hidden="1"/>
    </xf>
    <xf numFmtId="0" fontId="36" fillId="0" borderId="31" xfId="0" applyFont="1" applyBorder="1" applyAlignment="1" applyProtection="1">
      <alignment horizontal="center"/>
      <protection hidden="1"/>
    </xf>
    <xf numFmtId="0" fontId="34" fillId="0" borderId="35" xfId="0" applyFont="1" applyBorder="1" applyAlignment="1" applyProtection="1">
      <alignment horizontal="center"/>
      <protection hidden="1"/>
    </xf>
    <xf numFmtId="0" fontId="34" fillId="0" borderId="35" xfId="0" applyFont="1" applyBorder="1" applyProtection="1">
      <protection hidden="1"/>
    </xf>
    <xf numFmtId="0" fontId="34" fillId="0" borderId="34" xfId="0" applyFont="1" applyBorder="1" applyAlignment="1" applyProtection="1">
      <alignment horizontal="center"/>
      <protection hidden="1"/>
    </xf>
    <xf numFmtId="164" fontId="34" fillId="0" borderId="34" xfId="0" applyNumberFormat="1" applyFont="1" applyBorder="1" applyAlignment="1" applyProtection="1">
      <alignment horizontal="center"/>
      <protection hidden="1"/>
    </xf>
    <xf numFmtId="0" fontId="43" fillId="2" borderId="27" xfId="0" applyFont="1" applyFill="1" applyBorder="1" applyAlignment="1" applyProtection="1">
      <alignment horizontal="left" vertical="center"/>
      <protection hidden="1"/>
    </xf>
    <xf numFmtId="0" fontId="43" fillId="2" borderId="0" xfId="0" applyFont="1" applyFill="1" applyProtection="1">
      <protection hidden="1"/>
    </xf>
    <xf numFmtId="0" fontId="35" fillId="5" borderId="27" xfId="0" applyFont="1" applyFill="1" applyBorder="1" applyAlignment="1" applyProtection="1">
      <alignment vertical="center"/>
      <protection hidden="1"/>
    </xf>
    <xf numFmtId="0" fontId="0" fillId="5" borderId="27" xfId="0" applyFill="1" applyBorder="1" applyProtection="1">
      <protection hidden="1"/>
    </xf>
    <xf numFmtId="0" fontId="35" fillId="2" borderId="0" xfId="0" applyFont="1" applyFill="1" applyAlignment="1" applyProtection="1">
      <alignment vertical="center"/>
      <protection hidden="1"/>
    </xf>
    <xf numFmtId="0" fontId="30" fillId="6" borderId="30" xfId="0" applyFont="1" applyFill="1" applyBorder="1" applyProtection="1">
      <protection hidden="1"/>
    </xf>
    <xf numFmtId="0" fontId="36" fillId="6" borderId="22" xfId="0" applyFont="1" applyFill="1" applyBorder="1" applyProtection="1">
      <protection hidden="1"/>
    </xf>
    <xf numFmtId="0" fontId="36" fillId="6" borderId="23" xfId="0" applyFont="1" applyFill="1" applyBorder="1" applyProtection="1">
      <protection hidden="1"/>
    </xf>
    <xf numFmtId="0" fontId="0" fillId="0" borderId="31" xfId="0" applyBorder="1" applyProtection="1">
      <protection hidden="1"/>
    </xf>
    <xf numFmtId="0" fontId="0" fillId="2" borderId="35" xfId="0" applyFill="1" applyBorder="1" applyProtection="1">
      <protection hidden="1"/>
    </xf>
    <xf numFmtId="0" fontId="47" fillId="2" borderId="0" xfId="0" applyFont="1" applyFill="1" applyAlignment="1" applyProtection="1">
      <alignment wrapText="1"/>
      <protection hidden="1"/>
    </xf>
    <xf numFmtId="0" fontId="0" fillId="0" borderId="35" xfId="0" applyBorder="1" applyProtection="1">
      <protection hidden="1"/>
    </xf>
    <xf numFmtId="0" fontId="0" fillId="2" borderId="34" xfId="0" applyFill="1" applyBorder="1" applyProtection="1">
      <protection hidden="1"/>
    </xf>
    <xf numFmtId="0" fontId="35" fillId="5" borderId="29" xfId="0" applyFont="1" applyFill="1" applyBorder="1" applyAlignment="1" applyProtection="1">
      <alignment vertical="center"/>
      <protection hidden="1"/>
    </xf>
    <xf numFmtId="0" fontId="0" fillId="5" borderId="36" xfId="0" applyFill="1" applyBorder="1" applyProtection="1">
      <protection hidden="1"/>
    </xf>
    <xf numFmtId="0" fontId="36" fillId="6" borderId="36" xfId="0" applyFont="1" applyFill="1" applyBorder="1" applyProtection="1">
      <protection hidden="1"/>
    </xf>
    <xf numFmtId="0" fontId="36" fillId="6" borderId="33" xfId="0" applyFont="1" applyFill="1" applyBorder="1" applyProtection="1">
      <protection hidden="1"/>
    </xf>
    <xf numFmtId="0" fontId="0" fillId="0" borderId="30" xfId="0" applyBorder="1" applyProtection="1">
      <protection hidden="1"/>
    </xf>
    <xf numFmtId="0" fontId="35" fillId="5" borderId="29" xfId="0" applyFont="1" applyFill="1" applyBorder="1" applyProtection="1">
      <protection hidden="1"/>
    </xf>
    <xf numFmtId="0" fontId="0" fillId="8" borderId="0" xfId="0" applyFill="1" applyProtection="1">
      <protection hidden="1"/>
    </xf>
    <xf numFmtId="0" fontId="30" fillId="6" borderId="30" xfId="0" applyFont="1" applyFill="1" applyBorder="1" applyAlignment="1" applyProtection="1">
      <alignment horizontal="center"/>
      <protection hidden="1"/>
    </xf>
    <xf numFmtId="0" fontId="30" fillId="7" borderId="31" xfId="0" applyFont="1" applyFill="1" applyBorder="1" applyAlignment="1" applyProtection="1">
      <alignment horizontal="center" vertical="center"/>
      <protection hidden="1"/>
    </xf>
    <xf numFmtId="0" fontId="30" fillId="2" borderId="0" xfId="0" applyFont="1" applyFill="1" applyAlignment="1" applyProtection="1">
      <alignment horizontal="center" vertical="center"/>
      <protection hidden="1"/>
    </xf>
    <xf numFmtId="0" fontId="48" fillId="2" borderId="0" xfId="0" applyFont="1" applyFill="1" applyProtection="1">
      <protection hidden="1"/>
    </xf>
    <xf numFmtId="0" fontId="30" fillId="7" borderId="30" xfId="0" applyFont="1" applyFill="1" applyBorder="1" applyProtection="1">
      <protection hidden="1"/>
    </xf>
    <xf numFmtId="0" fontId="30" fillId="6" borderId="29" xfId="0" applyFont="1" applyFill="1" applyBorder="1" applyAlignment="1" applyProtection="1">
      <alignment horizontal="center" vertical="center"/>
      <protection hidden="1"/>
    </xf>
    <xf numFmtId="2" fontId="30" fillId="6" borderId="30" xfId="0" applyNumberFormat="1" applyFont="1" applyFill="1" applyBorder="1" applyAlignment="1" applyProtection="1">
      <alignment horizontal="center" vertical="center"/>
      <protection hidden="1"/>
    </xf>
    <xf numFmtId="0" fontId="30" fillId="6" borderId="30" xfId="0" applyFont="1" applyFill="1" applyBorder="1" applyAlignment="1" applyProtection="1">
      <alignment horizontal="center" vertical="center"/>
      <protection hidden="1"/>
    </xf>
    <xf numFmtId="0" fontId="30" fillId="6" borderId="33" xfId="0" applyFont="1" applyFill="1" applyBorder="1" applyAlignment="1" applyProtection="1">
      <alignment horizontal="center" vertical="center"/>
      <protection hidden="1"/>
    </xf>
    <xf numFmtId="0" fontId="0" fillId="0" borderId="32" xfId="0" applyBorder="1" applyAlignment="1" applyProtection="1">
      <alignment horizontal="center" vertical="center"/>
      <protection hidden="1"/>
    </xf>
    <xf numFmtId="164" fontId="0" fillId="0" borderId="32" xfId="0" applyNumberFormat="1" applyBorder="1" applyAlignment="1" applyProtection="1">
      <alignment horizontal="center" vertical="center"/>
      <protection hidden="1"/>
    </xf>
    <xf numFmtId="0" fontId="0" fillId="0" borderId="12" xfId="0" applyBorder="1" applyAlignment="1" applyProtection="1">
      <alignment horizontal="center" vertical="center"/>
      <protection hidden="1"/>
    </xf>
    <xf numFmtId="164" fontId="0" fillId="0" borderId="12" xfId="0" applyNumberFormat="1" applyBorder="1" applyAlignment="1" applyProtection="1">
      <alignment horizontal="center" vertical="center"/>
      <protection hidden="1"/>
    </xf>
    <xf numFmtId="0" fontId="0" fillId="0" borderId="0" xfId="0" applyAlignment="1" applyProtection="1">
      <alignment horizontal="center" vertical="center"/>
      <protection hidden="1"/>
    </xf>
    <xf numFmtId="164" fontId="0" fillId="0" borderId="0" xfId="0" applyNumberFormat="1" applyAlignment="1" applyProtection="1">
      <alignment horizontal="center" vertical="center"/>
      <protection hidden="1"/>
    </xf>
    <xf numFmtId="0" fontId="0" fillId="2" borderId="0" xfId="0" applyFill="1" applyAlignment="1" applyProtection="1">
      <alignment horizontal="center" vertical="center"/>
      <protection hidden="1"/>
    </xf>
    <xf numFmtId="164" fontId="0" fillId="2" borderId="0" xfId="0" applyNumberFormat="1" applyFill="1" applyAlignment="1" applyProtection="1">
      <alignment horizontal="center" vertical="center"/>
      <protection hidden="1"/>
    </xf>
    <xf numFmtId="0" fontId="0" fillId="0" borderId="20" xfId="0" applyBorder="1" applyAlignment="1" applyProtection="1">
      <alignment horizontal="center" vertical="center"/>
      <protection hidden="1"/>
    </xf>
    <xf numFmtId="164" fontId="0" fillId="0" borderId="20" xfId="0" applyNumberFormat="1" applyBorder="1" applyAlignment="1" applyProtection="1">
      <alignment horizontal="center" vertical="center"/>
      <protection hidden="1"/>
    </xf>
    <xf numFmtId="0" fontId="0" fillId="2" borderId="0" xfId="0" applyFill="1" applyAlignment="1" applyProtection="1">
      <alignment horizontal="right"/>
      <protection hidden="1"/>
    </xf>
    <xf numFmtId="0" fontId="29" fillId="2" borderId="0" xfId="0" applyFont="1" applyFill="1" applyAlignment="1" applyProtection="1">
      <alignment horizontal="right"/>
      <protection hidden="1"/>
    </xf>
    <xf numFmtId="0" fontId="30" fillId="4" borderId="31" xfId="0" applyFont="1" applyFill="1" applyBorder="1" applyProtection="1">
      <protection hidden="1"/>
    </xf>
    <xf numFmtId="0" fontId="30" fillId="4" borderId="30" xfId="0" applyFont="1" applyFill="1" applyBorder="1" applyProtection="1">
      <protection hidden="1"/>
    </xf>
    <xf numFmtId="0" fontId="0" fillId="0" borderId="30" xfId="0" applyBorder="1" applyAlignment="1" applyProtection="1">
      <alignment horizontal="center" vertical="center" wrapText="1"/>
      <protection hidden="1"/>
    </xf>
    <xf numFmtId="1" fontId="0" fillId="0" borderId="30" xfId="0" applyNumberFormat="1" applyBorder="1" applyAlignment="1" applyProtection="1">
      <alignment horizontal="center" vertical="center" wrapText="1"/>
      <protection hidden="1"/>
    </xf>
    <xf numFmtId="0" fontId="33" fillId="6" borderId="0" xfId="0" applyFont="1" applyFill="1" applyProtection="1">
      <protection hidden="1"/>
    </xf>
    <xf numFmtId="0" fontId="36" fillId="10" borderId="29" xfId="0" applyFont="1" applyFill="1" applyBorder="1" applyProtection="1">
      <protection hidden="1"/>
    </xf>
    <xf numFmtId="0" fontId="36" fillId="10" borderId="33" xfId="0" applyFont="1" applyFill="1" applyBorder="1" applyProtection="1">
      <protection hidden="1"/>
    </xf>
    <xf numFmtId="0" fontId="36" fillId="10" borderId="24" xfId="0" applyFont="1" applyFill="1" applyBorder="1" applyProtection="1">
      <protection hidden="1"/>
    </xf>
    <xf numFmtId="0" fontId="36" fillId="10" borderId="35" xfId="0" applyFont="1" applyFill="1" applyBorder="1" applyAlignment="1" applyProtection="1">
      <alignment horizontal="center"/>
      <protection hidden="1"/>
    </xf>
    <xf numFmtId="0" fontId="34" fillId="10" borderId="21" xfId="0" applyFont="1" applyFill="1" applyBorder="1" applyProtection="1">
      <protection hidden="1"/>
    </xf>
    <xf numFmtId="0" fontId="14" fillId="0" borderId="31" xfId="0" applyFont="1" applyBorder="1" applyAlignment="1" applyProtection="1">
      <alignment horizontal="center" vertical="center"/>
      <protection hidden="1"/>
    </xf>
    <xf numFmtId="0" fontId="14" fillId="0" borderId="0" xfId="0" applyFont="1" applyAlignment="1" applyProtection="1">
      <alignment horizontal="center" vertical="center"/>
      <protection hidden="1"/>
    </xf>
    <xf numFmtId="0" fontId="34" fillId="10" borderId="24" xfId="0" applyFont="1" applyFill="1" applyBorder="1" applyProtection="1">
      <protection hidden="1"/>
    </xf>
    <xf numFmtId="164" fontId="14" fillId="0" borderId="35" xfId="0" applyNumberFormat="1" applyFont="1" applyBorder="1" applyAlignment="1" applyProtection="1">
      <alignment horizontal="center" vertical="center" wrapText="1"/>
      <protection hidden="1"/>
    </xf>
    <xf numFmtId="164" fontId="14" fillId="0" borderId="0" xfId="0" applyNumberFormat="1" applyFont="1" applyAlignment="1" applyProtection="1">
      <alignment horizontal="center" vertical="center" wrapText="1"/>
      <protection hidden="1"/>
    </xf>
    <xf numFmtId="0" fontId="34" fillId="10" borderId="26" xfId="0" applyFont="1" applyFill="1" applyBorder="1" applyProtection="1">
      <protection hidden="1"/>
    </xf>
    <xf numFmtId="164" fontId="14" fillId="0" borderId="34" xfId="0" applyNumberFormat="1" applyFont="1" applyBorder="1" applyAlignment="1" applyProtection="1">
      <alignment horizontal="center" vertical="center" wrapText="1"/>
      <protection hidden="1"/>
    </xf>
    <xf numFmtId="0" fontId="36" fillId="10" borderId="36" xfId="0" applyFont="1" applyFill="1" applyBorder="1" applyProtection="1">
      <protection hidden="1"/>
    </xf>
    <xf numFmtId="0" fontId="36" fillId="10" borderId="21" xfId="0" applyFont="1" applyFill="1" applyBorder="1" applyProtection="1">
      <protection hidden="1"/>
    </xf>
    <xf numFmtId="0" fontId="36" fillId="10" borderId="21" xfId="0" applyFont="1" applyFill="1" applyBorder="1" applyAlignment="1" applyProtection="1">
      <alignment horizontal="center"/>
      <protection hidden="1"/>
    </xf>
    <xf numFmtId="0" fontId="36" fillId="10" borderId="23" xfId="0" applyFont="1" applyFill="1" applyBorder="1" applyAlignment="1" applyProtection="1">
      <alignment horizontal="center"/>
      <protection hidden="1"/>
    </xf>
    <xf numFmtId="0" fontId="14" fillId="0" borderId="21" xfId="0" applyFont="1" applyBorder="1" applyAlignment="1" applyProtection="1">
      <alignment horizontal="center" vertical="center"/>
      <protection hidden="1"/>
    </xf>
    <xf numFmtId="0" fontId="14" fillId="0" borderId="23" xfId="0" applyFont="1" applyBorder="1" applyAlignment="1" applyProtection="1">
      <alignment horizontal="center" vertical="center"/>
      <protection hidden="1"/>
    </xf>
    <xf numFmtId="164" fontId="14" fillId="0" borderId="26" xfId="0" applyNumberFormat="1" applyFont="1" applyBorder="1" applyAlignment="1" applyProtection="1">
      <alignment horizontal="center" vertical="center" wrapText="1"/>
      <protection hidden="1"/>
    </xf>
    <xf numFmtId="164" fontId="14" fillId="0" borderId="28" xfId="0" applyNumberFormat="1" applyFont="1" applyBorder="1" applyAlignment="1" applyProtection="1">
      <alignment horizontal="center" vertical="center" wrapText="1"/>
      <protection hidden="1"/>
    </xf>
    <xf numFmtId="0" fontId="36" fillId="10" borderId="29" xfId="0" applyFont="1" applyFill="1" applyBorder="1" applyAlignment="1" applyProtection="1">
      <alignment horizontal="center"/>
      <protection hidden="1"/>
    </xf>
    <xf numFmtId="0" fontId="36" fillId="10" borderId="33" xfId="0" applyFont="1" applyFill="1" applyBorder="1" applyAlignment="1" applyProtection="1">
      <alignment horizontal="center"/>
      <protection hidden="1"/>
    </xf>
    <xf numFmtId="2" fontId="42" fillId="0" borderId="24" xfId="0" applyNumberFormat="1" applyFont="1" applyBorder="1" applyAlignment="1" applyProtection="1">
      <alignment horizontal="center"/>
      <protection hidden="1"/>
    </xf>
    <xf numFmtId="2" fontId="42" fillId="0" borderId="25" xfId="0" applyNumberFormat="1" applyFont="1" applyBorder="1" applyAlignment="1" applyProtection="1">
      <alignment horizontal="center"/>
      <protection hidden="1"/>
    </xf>
    <xf numFmtId="0" fontId="34" fillId="0" borderId="26" xfId="0" applyFont="1" applyBorder="1" applyProtection="1">
      <protection hidden="1"/>
    </xf>
    <xf numFmtId="2" fontId="42" fillId="0" borderId="26" xfId="0" applyNumberFormat="1" applyFont="1" applyBorder="1" applyAlignment="1" applyProtection="1">
      <alignment horizontal="center"/>
      <protection hidden="1"/>
    </xf>
    <xf numFmtId="2" fontId="42" fillId="0" borderId="28" xfId="0" applyNumberFormat="1" applyFont="1" applyBorder="1" applyAlignment="1" applyProtection="1">
      <alignment horizontal="center"/>
      <protection hidden="1"/>
    </xf>
    <xf numFmtId="0" fontId="38" fillId="0" borderId="0" xfId="0" applyFont="1" applyProtection="1">
      <protection hidden="1"/>
    </xf>
    <xf numFmtId="0" fontId="14" fillId="0" borderId="0" xfId="0" applyFont="1" applyProtection="1">
      <protection hidden="1"/>
    </xf>
    <xf numFmtId="0" fontId="27" fillId="10" borderId="29" xfId="0" applyFont="1" applyFill="1" applyBorder="1" applyAlignment="1" applyProtection="1">
      <alignment wrapText="1"/>
      <protection hidden="1"/>
    </xf>
    <xf numFmtId="0" fontId="27" fillId="10" borderId="30" xfId="0" applyFont="1" applyFill="1" applyBorder="1" applyAlignment="1" applyProtection="1">
      <alignment wrapText="1"/>
      <protection hidden="1"/>
    </xf>
    <xf numFmtId="0" fontId="27" fillId="10" borderId="33" xfId="0" applyFont="1" applyFill="1" applyBorder="1" applyAlignment="1" applyProtection="1">
      <alignment wrapText="1"/>
      <protection hidden="1"/>
    </xf>
    <xf numFmtId="0" fontId="20" fillId="0" borderId="0" xfId="0" applyFont="1" applyAlignment="1" applyProtection="1">
      <alignment wrapText="1"/>
      <protection hidden="1"/>
    </xf>
    <xf numFmtId="0" fontId="27" fillId="10" borderId="26" xfId="0" applyFont="1" applyFill="1" applyBorder="1" applyAlignment="1" applyProtection="1">
      <alignment horizontal="left" vertical="center"/>
      <protection hidden="1"/>
    </xf>
    <xf numFmtId="0" fontId="27" fillId="10" borderId="34" xfId="0" applyFont="1" applyFill="1" applyBorder="1" applyAlignment="1" applyProtection="1">
      <alignment horizontal="left" vertical="center"/>
      <protection hidden="1"/>
    </xf>
    <xf numFmtId="0" fontId="27" fillId="10" borderId="28" xfId="0" applyFont="1" applyFill="1" applyBorder="1" applyAlignment="1" applyProtection="1">
      <alignment horizontal="left" vertical="center"/>
      <protection hidden="1"/>
    </xf>
    <xf numFmtId="0" fontId="20" fillId="0" borderId="0" xfId="0" applyFont="1" applyAlignment="1" applyProtection="1">
      <alignment horizontal="left" vertical="center"/>
      <protection hidden="1"/>
    </xf>
    <xf numFmtId="0" fontId="14" fillId="0" borderId="24" xfId="0" applyFont="1" applyBorder="1" applyProtection="1">
      <protection hidden="1"/>
    </xf>
    <xf numFmtId="0" fontId="14" fillId="0" borderId="35" xfId="0" applyFont="1" applyBorder="1" applyProtection="1">
      <protection hidden="1"/>
    </xf>
    <xf numFmtId="0" fontId="14" fillId="0" borderId="25" xfId="0" applyFont="1" applyBorder="1" applyProtection="1">
      <protection hidden="1"/>
    </xf>
    <xf numFmtId="2" fontId="14" fillId="0" borderId="0" xfId="0" applyNumberFormat="1" applyFont="1" applyAlignment="1" applyProtection="1">
      <alignment horizontal="left"/>
      <protection hidden="1"/>
    </xf>
    <xf numFmtId="164" fontId="14" fillId="0" borderId="0" xfId="0" applyNumberFormat="1" applyFont="1" applyAlignment="1" applyProtection="1">
      <alignment horizontal="left"/>
      <protection hidden="1"/>
    </xf>
    <xf numFmtId="1" fontId="14" fillId="0" borderId="0" xfId="0" applyNumberFormat="1" applyFont="1" applyAlignment="1" applyProtection="1">
      <alignment horizontal="left"/>
      <protection hidden="1"/>
    </xf>
    <xf numFmtId="0" fontId="14" fillId="0" borderId="26" xfId="0" applyFont="1" applyBorder="1" applyProtection="1">
      <protection hidden="1"/>
    </xf>
    <xf numFmtId="0" fontId="14" fillId="0" borderId="34" xfId="0" applyFont="1" applyBorder="1" applyProtection="1">
      <protection hidden="1"/>
    </xf>
    <xf numFmtId="0" fontId="14" fillId="0" borderId="28" xfId="0" applyFont="1" applyBorder="1" applyProtection="1">
      <protection hidden="1"/>
    </xf>
    <xf numFmtId="0" fontId="36" fillId="10" borderId="30" xfId="0" applyFont="1" applyFill="1" applyBorder="1" applyProtection="1">
      <protection hidden="1"/>
    </xf>
    <xf numFmtId="0" fontId="13" fillId="2" borderId="60" xfId="0" applyFont="1" applyFill="1" applyBorder="1" applyAlignment="1" applyProtection="1">
      <alignment vertical="center" wrapText="1"/>
      <protection hidden="1"/>
    </xf>
    <xf numFmtId="0" fontId="34" fillId="0" borderId="61" xfId="0" applyFont="1" applyBorder="1" applyProtection="1">
      <protection hidden="1"/>
    </xf>
    <xf numFmtId="0" fontId="13" fillId="2" borderId="46" xfId="0" applyFont="1" applyFill="1" applyBorder="1" applyAlignment="1" applyProtection="1">
      <alignment vertical="center" wrapText="1"/>
      <protection hidden="1"/>
    </xf>
    <xf numFmtId="0" fontId="34" fillId="0" borderId="47" xfId="0" applyFont="1" applyBorder="1" applyProtection="1">
      <protection hidden="1"/>
    </xf>
    <xf numFmtId="0" fontId="13" fillId="2" borderId="52" xfId="0" applyFont="1" applyFill="1" applyBorder="1" applyAlignment="1" applyProtection="1">
      <alignment vertical="center" wrapText="1"/>
      <protection hidden="1"/>
    </xf>
    <xf numFmtId="0" fontId="34" fillId="0" borderId="53" xfId="0" applyFont="1" applyBorder="1" applyProtection="1">
      <protection hidden="1"/>
    </xf>
    <xf numFmtId="0" fontId="69" fillId="0" borderId="0" xfId="0" applyFont="1" applyProtection="1">
      <protection hidden="1"/>
    </xf>
    <xf numFmtId="0" fontId="53" fillId="0" borderId="0" xfId="0" applyFont="1" applyProtection="1">
      <protection hidden="1"/>
    </xf>
    <xf numFmtId="0" fontId="53" fillId="0" borderId="15" xfId="0" applyFont="1" applyBorder="1" applyProtection="1">
      <protection hidden="1"/>
    </xf>
    <xf numFmtId="0" fontId="53" fillId="0" borderId="0" xfId="0" applyFont="1" applyAlignment="1" applyProtection="1">
      <alignment horizontal="left" vertical="center"/>
      <protection hidden="1"/>
    </xf>
    <xf numFmtId="164" fontId="53" fillId="0" borderId="0" xfId="0" applyNumberFormat="1" applyFont="1" applyAlignment="1" applyProtection="1">
      <alignment horizontal="left" vertical="center"/>
      <protection hidden="1"/>
    </xf>
    <xf numFmtId="0" fontId="34" fillId="0" borderId="27" xfId="0" applyFont="1" applyBorder="1" applyProtection="1">
      <protection hidden="1"/>
    </xf>
    <xf numFmtId="0" fontId="34" fillId="0" borderId="28" xfId="0" applyFont="1" applyBorder="1" applyProtection="1">
      <protection hidden="1"/>
    </xf>
    <xf numFmtId="0" fontId="15" fillId="21" borderId="0" xfId="0" applyFont="1" applyFill="1" applyAlignment="1" applyProtection="1">
      <alignment horizontal="left" vertical="center"/>
      <protection hidden="1"/>
    </xf>
    <xf numFmtId="0" fontId="101" fillId="21" borderId="0" xfId="0" applyFont="1" applyFill="1" applyAlignment="1" applyProtection="1">
      <alignment horizontal="left" vertical="center"/>
      <protection hidden="1"/>
    </xf>
    <xf numFmtId="0" fontId="15" fillId="21" borderId="0" xfId="0" applyFont="1" applyFill="1" applyAlignment="1" applyProtection="1">
      <alignment vertical="center"/>
      <protection hidden="1"/>
    </xf>
    <xf numFmtId="0" fontId="104" fillId="21" borderId="62" xfId="0" applyFont="1" applyFill="1" applyBorder="1" applyAlignment="1" applyProtection="1">
      <alignment vertical="center"/>
      <protection hidden="1"/>
    </xf>
    <xf numFmtId="0" fontId="104" fillId="21" borderId="62" xfId="0" applyFont="1" applyFill="1" applyBorder="1" applyAlignment="1" applyProtection="1">
      <alignment horizontal="left" vertical="center" wrapText="1"/>
      <protection hidden="1"/>
    </xf>
    <xf numFmtId="0" fontId="23" fillId="21" borderId="0" xfId="0" applyFont="1" applyFill="1" applyAlignment="1" applyProtection="1">
      <alignment horizontal="left" vertical="center" wrapText="1"/>
      <protection hidden="1"/>
    </xf>
    <xf numFmtId="0" fontId="23" fillId="21" borderId="0" xfId="0" applyFont="1" applyFill="1" applyAlignment="1" applyProtection="1">
      <alignment horizontal="left" vertical="center"/>
      <protection hidden="1"/>
    </xf>
    <xf numFmtId="2" fontId="23" fillId="20" borderId="0" xfId="0" applyNumberFormat="1" applyFont="1" applyFill="1" applyAlignment="1" applyProtection="1">
      <alignment horizontal="left" vertical="center"/>
      <protection hidden="1"/>
    </xf>
    <xf numFmtId="2" fontId="15" fillId="20" borderId="0" xfId="0" applyNumberFormat="1" applyFont="1" applyFill="1" applyAlignment="1" applyProtection="1">
      <alignment horizontal="left" vertical="center"/>
      <protection hidden="1"/>
    </xf>
    <xf numFmtId="0" fontId="103" fillId="20" borderId="0" xfId="0" applyFont="1" applyFill="1" applyAlignment="1" applyProtection="1">
      <alignment horizontal="left" vertical="center"/>
      <protection hidden="1"/>
    </xf>
    <xf numFmtId="0" fontId="102" fillId="20" borderId="0" xfId="0" applyFont="1" applyFill="1" applyAlignment="1" applyProtection="1">
      <alignment vertical="center"/>
      <protection hidden="1"/>
    </xf>
    <xf numFmtId="0" fontId="101" fillId="21" borderId="0" xfId="0" applyFont="1" applyFill="1" applyAlignment="1" applyProtection="1">
      <alignment vertical="center"/>
      <protection hidden="1"/>
    </xf>
    <xf numFmtId="0" fontId="23" fillId="20" borderId="62" xfId="0" applyFont="1" applyFill="1" applyBorder="1" applyAlignment="1" applyProtection="1">
      <alignment horizontal="left" vertical="center"/>
      <protection hidden="1"/>
    </xf>
    <xf numFmtId="14" fontId="15" fillId="20" borderId="0" xfId="0" applyNumberFormat="1" applyFont="1" applyFill="1" applyAlignment="1" applyProtection="1">
      <alignment horizontal="left"/>
      <protection hidden="1"/>
    </xf>
    <xf numFmtId="0" fontId="15" fillId="20" borderId="0" xfId="0" applyFont="1" applyFill="1" applyAlignment="1" applyProtection="1">
      <alignment vertical="center" wrapText="1"/>
      <protection hidden="1"/>
    </xf>
    <xf numFmtId="0" fontId="114" fillId="20" borderId="66" xfId="1" applyFont="1" applyFill="1" applyBorder="1" applyAlignment="1" applyProtection="1">
      <alignment horizontal="left" vertical="center"/>
      <protection locked="0"/>
    </xf>
    <xf numFmtId="3" fontId="21" fillId="20" borderId="0" xfId="0" applyNumberFormat="1" applyFont="1" applyFill="1" applyAlignment="1" applyProtection="1">
      <alignment horizontal="center"/>
      <protection hidden="1"/>
    </xf>
    <xf numFmtId="3" fontId="21" fillId="20" borderId="62" xfId="0" applyNumberFormat="1" applyFont="1" applyFill="1" applyBorder="1" applyAlignment="1" applyProtection="1">
      <alignment horizontal="center"/>
      <protection hidden="1"/>
    </xf>
    <xf numFmtId="3" fontId="126" fillId="20" borderId="0" xfId="0" applyNumberFormat="1" applyFont="1" applyFill="1" applyAlignment="1" applyProtection="1">
      <alignment horizontal="center"/>
      <protection hidden="1"/>
    </xf>
    <xf numFmtId="3" fontId="21" fillId="20" borderId="0" xfId="0" applyNumberFormat="1" applyFont="1" applyFill="1" applyAlignment="1" applyProtection="1">
      <alignment horizontal="center" vertical="center"/>
      <protection hidden="1"/>
    </xf>
    <xf numFmtId="3" fontId="21" fillId="20" borderId="62" xfId="0" applyNumberFormat="1" applyFont="1" applyFill="1" applyBorder="1" applyAlignment="1" applyProtection="1">
      <alignment horizontal="center" vertical="center"/>
      <protection hidden="1"/>
    </xf>
    <xf numFmtId="3" fontId="14" fillId="20" borderId="0" xfId="0" applyNumberFormat="1" applyFont="1" applyFill="1" applyProtection="1">
      <protection hidden="1"/>
    </xf>
    <xf numFmtId="173" fontId="138" fillId="20" borderId="0" xfId="0" applyNumberFormat="1" applyFont="1" applyFill="1" applyAlignment="1" applyProtection="1">
      <alignment horizontal="left" vertical="center"/>
      <protection hidden="1"/>
    </xf>
    <xf numFmtId="0" fontId="114" fillId="20" borderId="66" xfId="1" applyFont="1" applyFill="1" applyBorder="1" applyAlignment="1" applyProtection="1">
      <alignment horizontal="left" vertical="center"/>
      <protection locked="0"/>
    </xf>
    <xf numFmtId="0" fontId="141" fillId="20" borderId="66" xfId="1" applyFont="1" applyFill="1" applyBorder="1" applyAlignment="1" applyProtection="1">
      <alignment horizontal="left" vertical="center"/>
      <protection locked="0"/>
    </xf>
    <xf numFmtId="3" fontId="108" fillId="20" borderId="0" xfId="0" applyNumberFormat="1" applyFont="1" applyFill="1" applyAlignment="1" applyProtection="1">
      <alignment horizontal="left" vertical="center"/>
      <protection hidden="1"/>
    </xf>
    <xf numFmtId="0" fontId="122" fillId="20" borderId="0" xfId="0" applyFont="1" applyFill="1" applyAlignment="1" applyProtection="1">
      <alignment horizontal="center" vertical="center" wrapText="1"/>
      <protection hidden="1"/>
    </xf>
    <xf numFmtId="0" fontId="15" fillId="20" borderId="0" xfId="0" applyFont="1" applyFill="1" applyAlignment="1" applyProtection="1">
      <alignment horizontal="left" wrapText="1"/>
      <protection hidden="1"/>
    </xf>
    <xf numFmtId="0" fontId="15" fillId="20" borderId="0" xfId="0" applyFont="1" applyFill="1" applyAlignment="1" applyProtection="1">
      <alignment horizontal="left" vertical="top" wrapText="1"/>
      <protection hidden="1"/>
    </xf>
    <xf numFmtId="0" fontId="15" fillId="20" borderId="62" xfId="0" applyFont="1" applyFill="1" applyBorder="1" applyAlignment="1" applyProtection="1">
      <alignment horizontal="left" vertical="top" wrapText="1"/>
      <protection hidden="1"/>
    </xf>
    <xf numFmtId="0" fontId="174" fillId="20" borderId="0" xfId="0" applyFont="1" applyFill="1" applyAlignment="1" applyProtection="1">
      <alignment horizontal="left" vertical="center" wrapText="1"/>
      <protection hidden="1"/>
    </xf>
    <xf numFmtId="2" fontId="134" fillId="2" borderId="2" xfId="0" applyNumberFormat="1" applyFont="1" applyFill="1" applyBorder="1" applyAlignment="1" applyProtection="1">
      <alignment horizontal="center" vertical="center" wrapText="1"/>
      <protection hidden="1"/>
    </xf>
    <xf numFmtId="2" fontId="134" fillId="2" borderId="0" xfId="0" applyNumberFormat="1" applyFont="1" applyFill="1" applyAlignment="1" applyProtection="1">
      <alignment horizontal="center" vertical="center" wrapText="1"/>
      <protection hidden="1"/>
    </xf>
    <xf numFmtId="2" fontId="134" fillId="2" borderId="4" xfId="0" applyNumberFormat="1" applyFont="1" applyFill="1" applyBorder="1" applyAlignment="1" applyProtection="1">
      <alignment horizontal="center" vertical="center" wrapText="1"/>
      <protection hidden="1"/>
    </xf>
    <xf numFmtId="0" fontId="134" fillId="2" borderId="3" xfId="0" applyFont="1" applyFill="1" applyBorder="1" applyAlignment="1" applyProtection="1">
      <alignment horizontal="center" vertical="center" wrapText="1"/>
      <protection hidden="1"/>
    </xf>
    <xf numFmtId="0" fontId="134" fillId="2" borderId="1" xfId="0" applyFont="1" applyFill="1" applyBorder="1" applyAlignment="1" applyProtection="1">
      <alignment horizontal="center" vertical="center" wrapText="1"/>
      <protection hidden="1"/>
    </xf>
    <xf numFmtId="164" fontId="125" fillId="2" borderId="0" xfId="0" applyNumberFormat="1" applyFont="1" applyFill="1" applyAlignment="1" applyProtection="1">
      <alignment horizontal="center"/>
      <protection hidden="1"/>
    </xf>
    <xf numFmtId="0" fontId="122" fillId="20" borderId="0" xfId="0" applyFont="1" applyFill="1" applyAlignment="1" applyProtection="1">
      <alignment horizontal="center" wrapText="1"/>
      <protection hidden="1"/>
    </xf>
    <xf numFmtId="0" fontId="122" fillId="20" borderId="0" xfId="0" applyFont="1" applyFill="1" applyAlignment="1" applyProtection="1">
      <alignment horizontal="center"/>
      <protection hidden="1"/>
    </xf>
    <xf numFmtId="0" fontId="122" fillId="20" borderId="19" xfId="0" applyFont="1" applyFill="1" applyBorder="1" applyAlignment="1" applyProtection="1">
      <alignment horizontal="center"/>
      <protection hidden="1"/>
    </xf>
    <xf numFmtId="0" fontId="122" fillId="20" borderId="10" xfId="0" applyFont="1" applyFill="1" applyBorder="1" applyAlignment="1" applyProtection="1">
      <alignment horizontal="center"/>
      <protection hidden="1"/>
    </xf>
    <xf numFmtId="0" fontId="122" fillId="20" borderId="14" xfId="0" applyFont="1" applyFill="1" applyBorder="1" applyAlignment="1" applyProtection="1">
      <alignment horizontal="center"/>
      <protection hidden="1"/>
    </xf>
    <xf numFmtId="0" fontId="21" fillId="20" borderId="0" xfId="0" applyFont="1" applyFill="1" applyAlignment="1" applyProtection="1">
      <alignment horizontal="center" vertical="center"/>
      <protection hidden="1"/>
    </xf>
    <xf numFmtId="0" fontId="21" fillId="20" borderId="0" xfId="0" applyFont="1" applyFill="1" applyAlignment="1" applyProtection="1">
      <alignment horizontal="center"/>
      <protection hidden="1"/>
    </xf>
    <xf numFmtId="0" fontId="26" fillId="20" borderId="0" xfId="0" applyFont="1" applyFill="1" applyAlignment="1" applyProtection="1">
      <alignment horizontal="center" vertical="center" wrapText="1"/>
      <protection hidden="1"/>
    </xf>
    <xf numFmtId="0" fontId="21" fillId="20" borderId="63" xfId="0" applyFont="1" applyFill="1" applyBorder="1" applyAlignment="1" applyProtection="1">
      <alignment horizontal="center" vertical="center"/>
      <protection hidden="1"/>
    </xf>
    <xf numFmtId="0" fontId="122" fillId="20" borderId="0" xfId="0" applyFont="1" applyFill="1" applyAlignment="1" applyProtection="1">
      <alignment horizontal="center" vertical="center"/>
      <protection hidden="1"/>
    </xf>
    <xf numFmtId="0" fontId="26" fillId="20" borderId="62" xfId="0" applyFont="1" applyFill="1" applyBorder="1" applyAlignment="1" applyProtection="1">
      <alignment horizontal="center" vertical="center" wrapText="1"/>
      <protection hidden="1"/>
    </xf>
    <xf numFmtId="1" fontId="21" fillId="20" borderId="0" xfId="0" applyNumberFormat="1" applyFont="1" applyFill="1" applyAlignment="1" applyProtection="1">
      <alignment horizontal="center"/>
      <protection hidden="1"/>
    </xf>
    <xf numFmtId="0" fontId="23" fillId="20" borderId="0" xfId="0" applyFont="1" applyFill="1" applyAlignment="1" applyProtection="1">
      <alignment horizontal="left" vertical="center" wrapText="1"/>
      <protection hidden="1"/>
    </xf>
    <xf numFmtId="0" fontId="26" fillId="20" borderId="62" xfId="0" applyFont="1" applyFill="1" applyBorder="1" applyAlignment="1" applyProtection="1">
      <alignment horizontal="center"/>
      <protection hidden="1"/>
    </xf>
    <xf numFmtId="49" fontId="21" fillId="20" borderId="0" xfId="0" applyNumberFormat="1" applyFont="1" applyFill="1" applyAlignment="1" applyProtection="1">
      <alignment horizontal="center" vertical="center"/>
      <protection hidden="1"/>
    </xf>
    <xf numFmtId="0" fontId="26" fillId="20" borderId="62" xfId="0" applyFont="1" applyFill="1" applyBorder="1" applyAlignment="1" applyProtection="1">
      <alignment horizontal="center" vertical="center"/>
      <protection hidden="1"/>
    </xf>
    <xf numFmtId="0" fontId="26" fillId="20" borderId="0" xfId="0" applyFont="1" applyFill="1" applyAlignment="1" applyProtection="1">
      <alignment horizontal="center" wrapText="1"/>
      <protection hidden="1"/>
    </xf>
    <xf numFmtId="0" fontId="26" fillId="20" borderId="0" xfId="0" applyFont="1" applyFill="1" applyAlignment="1" applyProtection="1">
      <alignment horizontal="center"/>
      <protection hidden="1"/>
    </xf>
    <xf numFmtId="0" fontId="21" fillId="20" borderId="0" xfId="0" applyFont="1" applyFill="1" applyAlignment="1" applyProtection="1">
      <alignment horizontal="center" wrapText="1"/>
      <protection hidden="1"/>
    </xf>
    <xf numFmtId="9" fontId="21" fillId="20" borderId="0" xfId="0" applyNumberFormat="1" applyFont="1" applyFill="1" applyAlignment="1" applyProtection="1">
      <alignment horizontal="center"/>
      <protection hidden="1"/>
    </xf>
    <xf numFmtId="0" fontId="15" fillId="20" borderId="0" xfId="0" applyFont="1" applyFill="1" applyAlignment="1" applyProtection="1">
      <alignment horizontal="left" vertical="center" wrapText="1"/>
      <protection hidden="1"/>
    </xf>
    <xf numFmtId="0" fontId="21" fillId="20" borderId="63" xfId="0" applyFont="1" applyFill="1" applyBorder="1" applyAlignment="1" applyProtection="1">
      <alignment horizontal="center"/>
      <protection hidden="1"/>
    </xf>
    <xf numFmtId="0" fontId="26" fillId="20" borderId="62" xfId="0" applyFont="1" applyFill="1" applyBorder="1" applyAlignment="1" applyProtection="1">
      <alignment horizontal="center" wrapText="1"/>
      <protection hidden="1"/>
    </xf>
    <xf numFmtId="0" fontId="36" fillId="6" borderId="29" xfId="0" applyFont="1" applyFill="1" applyBorder="1" applyAlignment="1" applyProtection="1">
      <alignment horizontal="center"/>
      <protection hidden="1"/>
    </xf>
    <xf numFmtId="0" fontId="36" fillId="6" borderId="36" xfId="0" applyFont="1" applyFill="1" applyBorder="1" applyAlignment="1" applyProtection="1">
      <alignment horizontal="center"/>
      <protection hidden="1"/>
    </xf>
    <xf numFmtId="0" fontId="36" fillId="6" borderId="33" xfId="0" applyFont="1" applyFill="1" applyBorder="1" applyAlignment="1" applyProtection="1">
      <alignment horizontal="center"/>
      <protection hidden="1"/>
    </xf>
    <xf numFmtId="0" fontId="33" fillId="0" borderId="21" xfId="0" applyFont="1" applyBorder="1" applyAlignment="1" applyProtection="1">
      <protection hidden="1"/>
    </xf>
    <xf numFmtId="0" fontId="33" fillId="0" borderId="22" xfId="0" applyFont="1" applyBorder="1" applyAlignment="1" applyProtection="1">
      <protection hidden="1"/>
    </xf>
    <xf numFmtId="0" fontId="33" fillId="0" borderId="24" xfId="0" applyFont="1" applyBorder="1" applyAlignment="1" applyProtection="1">
      <protection hidden="1"/>
    </xf>
    <xf numFmtId="0" fontId="33" fillId="0" borderId="0" xfId="0" applyFont="1" applyAlignment="1" applyProtection="1">
      <protection hidden="1"/>
    </xf>
    <xf numFmtId="0" fontId="33" fillId="0" borderId="26" xfId="0" applyFont="1" applyBorder="1" applyAlignment="1" applyProtection="1">
      <protection hidden="1"/>
    </xf>
    <xf numFmtId="0" fontId="33" fillId="0" borderId="27" xfId="0" applyFont="1" applyBorder="1" applyAlignment="1" applyProtection="1">
      <protection hidden="1"/>
    </xf>
    <xf numFmtId="0" fontId="35" fillId="5" borderId="21" xfId="0" applyFont="1" applyFill="1" applyBorder="1" applyAlignment="1" applyProtection="1">
      <alignment horizontal="left" vertical="center"/>
      <protection hidden="1"/>
    </xf>
    <xf numFmtId="0" fontId="35" fillId="5" borderId="22" xfId="0" applyFont="1" applyFill="1" applyBorder="1" applyAlignment="1" applyProtection="1">
      <alignment horizontal="left" vertical="center"/>
      <protection hidden="1"/>
    </xf>
    <xf numFmtId="0" fontId="35" fillId="5" borderId="23" xfId="0" applyFont="1" applyFill="1" applyBorder="1" applyAlignment="1" applyProtection="1">
      <alignment horizontal="left" vertical="center"/>
      <protection hidden="1"/>
    </xf>
    <xf numFmtId="0" fontId="35" fillId="5" borderId="26" xfId="0" applyFont="1" applyFill="1" applyBorder="1" applyAlignment="1" applyProtection="1">
      <alignment horizontal="left" vertical="center"/>
      <protection hidden="1"/>
    </xf>
    <xf numFmtId="0" fontId="35" fillId="5" borderId="27" xfId="0" applyFont="1" applyFill="1" applyBorder="1" applyAlignment="1" applyProtection="1">
      <alignment horizontal="left" vertical="center"/>
      <protection hidden="1"/>
    </xf>
    <xf numFmtId="0" fontId="35" fillId="5" borderId="28" xfId="0" applyFont="1" applyFill="1" applyBorder="1" applyAlignment="1" applyProtection="1">
      <alignment horizontal="left" vertical="center"/>
      <protection hidden="1"/>
    </xf>
    <xf numFmtId="0" fontId="37" fillId="2" borderId="27" xfId="0" applyFont="1" applyFill="1" applyBorder="1" applyAlignment="1" applyProtection="1">
      <alignment horizontal="center"/>
      <protection hidden="1"/>
    </xf>
    <xf numFmtId="0" fontId="34" fillId="5" borderId="22" xfId="0" applyFont="1" applyFill="1" applyBorder="1" applyAlignment="1" applyProtection="1">
      <alignment horizontal="left" vertical="center"/>
      <protection hidden="1"/>
    </xf>
    <xf numFmtId="0" fontId="34" fillId="5" borderId="23" xfId="0" applyFont="1" applyFill="1" applyBorder="1" applyAlignment="1" applyProtection="1">
      <alignment horizontal="left" vertical="center"/>
      <protection hidden="1"/>
    </xf>
    <xf numFmtId="0" fontId="34" fillId="5" borderId="26" xfId="0" applyFont="1" applyFill="1" applyBorder="1" applyAlignment="1" applyProtection="1">
      <alignment horizontal="left" vertical="center"/>
      <protection hidden="1"/>
    </xf>
    <xf numFmtId="0" fontId="34" fillId="5" borderId="27" xfId="0" applyFont="1" applyFill="1" applyBorder="1" applyAlignment="1" applyProtection="1">
      <alignment horizontal="left" vertical="center"/>
      <protection hidden="1"/>
    </xf>
    <xf numFmtId="0" fontId="34" fillId="5" borderId="28" xfId="0" applyFont="1" applyFill="1" applyBorder="1" applyAlignment="1" applyProtection="1">
      <alignment horizontal="left" vertical="center"/>
      <protection hidden="1"/>
    </xf>
    <xf numFmtId="0" fontId="33" fillId="0" borderId="0" xfId="0" quotePrefix="1" applyFont="1" applyAlignment="1" applyProtection="1">
      <alignment horizontal="left" vertical="center"/>
      <protection hidden="1"/>
    </xf>
    <xf numFmtId="0" fontId="33" fillId="0" borderId="0" xfId="0" applyFont="1" applyAlignment="1" applyProtection="1">
      <alignment horizontal="left" vertical="center"/>
      <protection hidden="1"/>
    </xf>
    <xf numFmtId="0" fontId="57" fillId="0" borderId="20" xfId="5" applyFont="1" applyBorder="1" applyAlignment="1">
      <alignment horizontal="left" vertical="center"/>
    </xf>
    <xf numFmtId="0" fontId="58" fillId="0" borderId="20" xfId="5" applyFont="1" applyBorder="1" applyAlignment="1">
      <alignment horizontal="left" vertical="center"/>
    </xf>
    <xf numFmtId="0" fontId="34" fillId="0" borderId="0" xfId="0" applyFont="1" applyAlignment="1" applyProtection="1">
      <alignment horizontal="center" vertical="center" wrapText="1"/>
      <protection hidden="1"/>
    </xf>
    <xf numFmtId="0" fontId="0" fillId="2" borderId="0" xfId="0" applyFill="1" applyAlignment="1" applyProtection="1">
      <alignment horizontal="right"/>
      <protection hidden="1"/>
    </xf>
    <xf numFmtId="0" fontId="0" fillId="2" borderId="0" xfId="0" applyFill="1" applyAlignment="1" applyProtection="1">
      <protection hidden="1"/>
    </xf>
    <xf numFmtId="14" fontId="0" fillId="2" borderId="0" xfId="0" applyNumberFormat="1" applyFill="1" applyAlignment="1" applyProtection="1">
      <alignment horizontal="right"/>
      <protection hidden="1"/>
    </xf>
    <xf numFmtId="0" fontId="171" fillId="0" borderId="0" xfId="0" applyFont="1" applyAlignment="1" applyProtection="1">
      <alignment horizontal="center" vertical="center" wrapText="1"/>
      <protection hidden="1"/>
    </xf>
    <xf numFmtId="0" fontId="171" fillId="0" borderId="71" xfId="0" applyFont="1" applyBorder="1" applyAlignment="1" applyProtection="1">
      <alignment horizontal="center" vertical="center" wrapText="1"/>
      <protection hidden="1"/>
    </xf>
    <xf numFmtId="0" fontId="171" fillId="0" borderId="74" xfId="0" applyFont="1" applyBorder="1" applyAlignment="1" applyProtection="1">
      <alignment horizontal="center" vertical="center" wrapText="1"/>
      <protection hidden="1"/>
    </xf>
    <xf numFmtId="0" fontId="4" fillId="2" borderId="2" xfId="0" applyFont="1" applyFill="1" applyBorder="1" applyAlignment="1" applyProtection="1">
      <alignment horizontal="center" vertical="center"/>
      <protection hidden="1"/>
    </xf>
    <xf numFmtId="0" fontId="4" fillId="2" borderId="0" xfId="0" applyFont="1" applyFill="1" applyAlignment="1" applyProtection="1">
      <alignment horizontal="center" vertical="center"/>
      <protection hidden="1"/>
    </xf>
    <xf numFmtId="0" fontId="4" fillId="2" borderId="4" xfId="0" applyFont="1" applyFill="1" applyBorder="1" applyAlignment="1" applyProtection="1">
      <alignment horizontal="center" vertical="center"/>
      <protection hidden="1"/>
    </xf>
    <xf numFmtId="0" fontId="4" fillId="0" borderId="2" xfId="0" applyFont="1" applyBorder="1" applyAlignment="1" applyProtection="1">
      <alignment horizontal="center" vertical="center"/>
      <protection hidden="1"/>
    </xf>
    <xf numFmtId="0" fontId="4" fillId="0" borderId="0" xfId="0" applyFont="1" applyAlignment="1" applyProtection="1">
      <alignment horizontal="center" vertical="center"/>
      <protection hidden="1"/>
    </xf>
    <xf numFmtId="0" fontId="4" fillId="0" borderId="4" xfId="0" applyFont="1" applyBorder="1" applyAlignment="1" applyProtection="1">
      <alignment horizontal="center" vertical="center"/>
      <protection hidden="1"/>
    </xf>
    <xf numFmtId="0" fontId="21" fillId="20" borderId="0" xfId="0" applyFont="1" applyFill="1" applyAlignment="1" applyProtection="1">
      <alignment horizontal="center" textRotation="90"/>
      <protection hidden="1"/>
    </xf>
    <xf numFmtId="0" fontId="36" fillId="0" borderId="86" xfId="0" applyFont="1" applyBorder="1" applyAlignment="1" applyProtection="1">
      <alignment horizontal="center"/>
      <protection hidden="1"/>
    </xf>
    <xf numFmtId="0" fontId="36" fillId="0" borderId="87" xfId="0" applyFont="1" applyBorder="1" applyAlignment="1" applyProtection="1">
      <alignment horizontal="center"/>
      <protection hidden="1"/>
    </xf>
    <xf numFmtId="0" fontId="36" fillId="0" borderId="88" xfId="0" applyFont="1" applyBorder="1" applyAlignment="1" applyProtection="1">
      <alignment horizontal="center"/>
      <protection hidden="1"/>
    </xf>
    <xf numFmtId="0" fontId="36" fillId="0" borderId="29" xfId="0" applyFont="1" applyBorder="1" applyAlignment="1" applyProtection="1">
      <alignment horizontal="center"/>
      <protection hidden="1"/>
    </xf>
    <xf numFmtId="0" fontId="36" fillId="0" borderId="36" xfId="0" applyFont="1" applyBorder="1" applyAlignment="1" applyProtection="1">
      <alignment horizontal="center"/>
      <protection hidden="1"/>
    </xf>
    <xf numFmtId="0" fontId="36" fillId="0" borderId="33" xfId="0" applyFont="1" applyBorder="1" applyAlignment="1" applyProtection="1">
      <alignment horizontal="center"/>
      <protection hidden="1"/>
    </xf>
    <xf numFmtId="0" fontId="34" fillId="2" borderId="29" xfId="0" applyFont="1" applyFill="1" applyBorder="1" applyAlignment="1" applyProtection="1">
      <alignment horizontal="center"/>
      <protection hidden="1"/>
    </xf>
    <xf numFmtId="0" fontId="34" fillId="2" borderId="36" xfId="0" applyFont="1" applyFill="1" applyBorder="1" applyAlignment="1" applyProtection="1">
      <alignment horizontal="center"/>
      <protection hidden="1"/>
    </xf>
    <xf numFmtId="0" fontId="34" fillId="2" borderId="33" xfId="0" applyFont="1" applyFill="1" applyBorder="1" applyAlignment="1" applyProtection="1">
      <alignment horizontal="center"/>
      <protection hidden="1"/>
    </xf>
    <xf numFmtId="0" fontId="43" fillId="0" borderId="29" xfId="0" applyFont="1" applyBorder="1" applyAlignment="1" applyProtection="1">
      <alignment horizontal="left" vertical="center"/>
      <protection hidden="1"/>
    </xf>
    <xf numFmtId="0" fontId="43" fillId="0" borderId="36" xfId="0" applyFont="1" applyBorder="1" applyAlignment="1" applyProtection="1">
      <alignment horizontal="left" vertical="center"/>
      <protection hidden="1"/>
    </xf>
    <xf numFmtId="0" fontId="43" fillId="0" borderId="33" xfId="0" applyFont="1" applyBorder="1" applyAlignment="1" applyProtection="1">
      <alignment horizontal="left" vertical="center"/>
      <protection hidden="1"/>
    </xf>
    <xf numFmtId="0" fontId="47" fillId="8" borderId="27" xfId="0" applyFont="1" applyFill="1" applyBorder="1" applyAlignment="1" applyProtection="1">
      <alignment horizontal="center" wrapText="1"/>
      <protection hidden="1"/>
    </xf>
    <xf numFmtId="0" fontId="34" fillId="2" borderId="24" xfId="0" applyFont="1" applyFill="1" applyBorder="1" applyAlignment="1" applyProtection="1">
      <alignment horizontal="center"/>
      <protection hidden="1"/>
    </xf>
    <xf numFmtId="0" fontId="34" fillId="2" borderId="0" xfId="0" applyFont="1" applyFill="1" applyAlignment="1" applyProtection="1">
      <alignment horizontal="center"/>
      <protection hidden="1"/>
    </xf>
    <xf numFmtId="0" fontId="34" fillId="2" borderId="25" xfId="0" applyFont="1" applyFill="1" applyBorder="1" applyAlignment="1" applyProtection="1">
      <alignment horizontal="center"/>
      <protection hidden="1"/>
    </xf>
    <xf numFmtId="0" fontId="34" fillId="0" borderId="29" xfId="0" applyFont="1" applyBorder="1" applyAlignment="1" applyProtection="1">
      <alignment horizontal="center"/>
      <protection hidden="1"/>
    </xf>
    <xf numFmtId="0" fontId="34" fillId="0" borderId="36" xfId="0" applyFont="1" applyBorder="1" applyAlignment="1" applyProtection="1">
      <alignment horizontal="center"/>
      <protection hidden="1"/>
    </xf>
    <xf numFmtId="0" fontId="34" fillId="0" borderId="33" xfId="0" applyFont="1" applyBorder="1" applyAlignment="1" applyProtection="1">
      <alignment horizontal="center"/>
      <protection hidden="1"/>
    </xf>
    <xf numFmtId="0" fontId="15" fillId="21" borderId="0" xfId="0" applyFont="1" applyFill="1" applyAlignment="1" applyProtection="1">
      <alignment horizontal="left" vertical="center"/>
      <protection hidden="1"/>
    </xf>
    <xf numFmtId="2" fontId="104" fillId="20" borderId="0" xfId="0" applyNumberFormat="1" applyFont="1" applyFill="1" applyAlignment="1" applyProtection="1">
      <alignment horizontal="center" vertical="center"/>
      <protection hidden="1"/>
    </xf>
    <xf numFmtId="0" fontId="15" fillId="20" borderId="63" xfId="0" applyFont="1" applyFill="1" applyBorder="1" applyAlignment="1" applyProtection="1">
      <alignment horizontal="left" vertical="top" wrapText="1"/>
      <protection hidden="1"/>
    </xf>
    <xf numFmtId="0" fontId="0" fillId="0" borderId="12" xfId="0" applyBorder="1" applyAlignment="1" applyProtection="1">
      <alignment horizontal="center"/>
      <protection hidden="1"/>
    </xf>
  </cellXfs>
  <cellStyles count="7">
    <cellStyle name="Currency 2" xfId="6" xr:uid="{F8E8612D-A051-43AF-AA7B-40DF42533399}"/>
    <cellStyle name="Explanatory Text" xfId="3" builtinId="53"/>
    <cellStyle name="Hyperlink" xfId="4" builtinId="8"/>
    <cellStyle name="Input" xfId="1" builtinId="20"/>
    <cellStyle name="Linked Cell" xfId="2" builtinId="24"/>
    <cellStyle name="Normal" xfId="0" builtinId="0"/>
    <cellStyle name="Normal 2" xfId="5" xr:uid="{20B39D2F-456F-48AC-A051-3B836F0AEB91}"/>
  </cellStyles>
  <dxfs count="26">
    <dxf>
      <font>
        <b/>
        <i val="0"/>
      </font>
      <fill>
        <patternFill>
          <bgColor rgb="FFFFC000"/>
        </patternFill>
      </fill>
      <border>
        <left style="thin">
          <color auto="1"/>
        </left>
        <right style="thin">
          <color auto="1"/>
        </right>
        <top style="thin">
          <color auto="1"/>
        </top>
        <bottom style="thin">
          <color auto="1"/>
        </bottom>
        <vertical/>
        <horizontal/>
      </border>
    </dxf>
    <dxf>
      <font>
        <b/>
        <i val="0"/>
      </font>
      <fill>
        <patternFill>
          <bgColor rgb="FFFFC000"/>
        </patternFill>
      </fill>
      <border>
        <left style="thin">
          <color auto="1"/>
        </left>
        <right style="thin">
          <color auto="1"/>
        </right>
        <top style="thin">
          <color auto="1"/>
        </top>
        <bottom style="thin">
          <color auto="1"/>
        </bottom>
      </border>
    </dxf>
    <dxf>
      <font>
        <color theme="6" tint="0.79998168889431442"/>
      </font>
      <fill>
        <patternFill>
          <bgColor theme="6" tint="0.79998168889431442"/>
        </patternFill>
      </fill>
      <border>
        <left/>
        <right/>
        <top/>
        <bottom/>
        <vertical/>
        <horizontal/>
      </border>
    </dxf>
    <dxf>
      <fill>
        <patternFill>
          <bgColor theme="0"/>
        </patternFill>
      </fill>
    </dxf>
    <dxf>
      <fill>
        <patternFill>
          <bgColor theme="1" tint="0.34998626667073579"/>
        </patternFill>
      </fill>
    </dxf>
    <dxf>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style="thin">
          <color auto="1"/>
        </top>
        <bottom/>
        <vertical/>
        <horizontal/>
      </border>
    </dxf>
    <dxf>
      <font>
        <color theme="0"/>
      </font>
      <fill>
        <patternFill>
          <bgColor theme="0"/>
        </patternFill>
      </fill>
      <border>
        <left/>
        <right/>
        <top/>
        <bottom/>
        <vertical/>
        <horizontal/>
      </border>
    </dxf>
    <dxf>
      <font>
        <color theme="0"/>
      </font>
      <fill>
        <patternFill>
          <bgColor theme="0"/>
        </patternFill>
      </fill>
      <border>
        <left style="thin">
          <color auto="1"/>
        </left>
        <right style="thin">
          <color auto="1"/>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b/>
        <i val="0"/>
        <color rgb="FFFF0000"/>
      </font>
      <fill>
        <patternFill>
          <bgColor theme="6" tint="0.79998168889431442"/>
        </patternFill>
      </fill>
      <border>
        <left style="thin">
          <color auto="1"/>
        </left>
        <right style="thin">
          <color auto="1"/>
        </right>
        <top style="thin">
          <color auto="1"/>
        </top>
        <bottom style="thin">
          <color auto="1"/>
        </bottom>
        <vertical/>
        <horizontal/>
      </border>
    </dxf>
    <dxf>
      <font>
        <color theme="0"/>
      </font>
      <fill>
        <patternFill patternType="none">
          <bgColor auto="1"/>
        </patternFill>
      </fill>
      <border>
        <left/>
        <right/>
        <top/>
        <bottom/>
        <vertical/>
        <horizontal/>
      </border>
    </dxf>
    <dxf>
      <fill>
        <patternFill>
          <bgColor rgb="FF00353E"/>
        </patternFill>
      </fill>
    </dxf>
    <dxf>
      <font>
        <color rgb="FF00353E"/>
      </font>
    </dxf>
    <dxf>
      <font>
        <color rgb="FF00353E"/>
      </font>
    </dxf>
    <dxf>
      <font>
        <color rgb="FF00353E"/>
      </font>
    </dxf>
    <dxf>
      <font>
        <color rgb="FF9C0006"/>
      </font>
      <fill>
        <patternFill>
          <bgColor rgb="FFFFC7CE"/>
        </patternFill>
      </fill>
    </dxf>
    <dxf>
      <font>
        <color rgb="FF9C0006"/>
      </font>
      <fill>
        <patternFill>
          <bgColor rgb="FFFFC7CE"/>
        </patternFill>
      </fill>
    </dxf>
    <dxf>
      <fill>
        <patternFill>
          <bgColor theme="5" tint="0.79998168889431442"/>
        </patternFill>
      </fill>
      <border>
        <left style="thin">
          <color auto="1"/>
        </left>
        <right style="thin">
          <color auto="1"/>
        </right>
        <top style="thin">
          <color auto="1"/>
        </top>
        <bottom style="thin">
          <color auto="1"/>
        </bottom>
      </border>
    </dxf>
    <dxf>
      <fill>
        <patternFill>
          <bgColor theme="5" tint="0.79998168889431442"/>
        </patternFill>
      </fill>
      <border>
        <left style="thin">
          <color theme="3"/>
        </left>
        <right style="thin">
          <color theme="3"/>
        </right>
        <top style="thin">
          <color theme="3"/>
        </top>
        <bottom style="thin">
          <color theme="3"/>
        </bottom>
        <vertical/>
        <horizontal/>
      </border>
    </dxf>
    <dxf>
      <fill>
        <patternFill>
          <bgColor theme="5" tint="0.79998168889431442"/>
        </patternFill>
      </fill>
      <border>
        <left style="thin">
          <color auto="1"/>
        </left>
        <right style="thin">
          <color auto="1"/>
        </right>
        <top style="thin">
          <color auto="1"/>
        </top>
        <bottom style="thin">
          <color auto="1"/>
        </bottom>
      </border>
    </dxf>
  </dxfs>
  <tableStyles count="0" defaultTableStyle="TableStyleMedium2" defaultPivotStyle="PivotStyleLight16"/>
  <colors>
    <mruColors>
      <color rgb="FFA4CABB"/>
      <color rgb="FF253C44"/>
      <color rgb="FFAECC53"/>
      <color rgb="FF00353E"/>
      <color rgb="FFEEF4DC"/>
      <color rgb="FF008768"/>
      <color rgb="FFE52713"/>
      <color rgb="FFFFCE00"/>
      <color rgb="FFFECC44"/>
      <color rgb="FFFE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026619979500306"/>
          <c:y val="0.14696903317353105"/>
          <c:w val="0.62602870937429123"/>
          <c:h val="0.80489405490980293"/>
        </c:manualLayout>
      </c:layout>
      <c:pieChart>
        <c:varyColors val="1"/>
        <c:dLbls>
          <c:dLblPos val="outEnd"/>
          <c:showLegendKey val="0"/>
          <c:showVal val="1"/>
          <c:showCatName val="0"/>
          <c:showSerName val="0"/>
          <c:showPercent val="0"/>
          <c:showBubbleSize val="0"/>
          <c:showLeaderLines val="0"/>
        </c:dLbls>
        <c:firstSliceAng val="0"/>
      </c:pieChart>
      <c:spPr>
        <a:noFill/>
        <a:ln>
          <a:noFill/>
        </a:ln>
        <a:effectLst/>
      </c:spPr>
    </c:plotArea>
    <c:legend>
      <c:legendPos val="t"/>
      <c:layout>
        <c:manualLayout>
          <c:xMode val="edge"/>
          <c:yMode val="edge"/>
          <c:x val="0.3027920634920635"/>
          <c:y val="9.326892589665986E-2"/>
          <c:w val="0.24861800169715628"/>
          <c:h val="4.1733171339042689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837184306290449E-2"/>
          <c:y val="7.2967242731022258E-2"/>
          <c:w val="0.84219934491338933"/>
          <c:h val="0.46741634568406221"/>
        </c:manualLayout>
      </c:layout>
      <c:barChart>
        <c:barDir val="col"/>
        <c:grouping val="stacked"/>
        <c:varyColors val="0"/>
        <c:ser>
          <c:idx val="0"/>
          <c:order val="0"/>
          <c:tx>
            <c:strRef>
              <c:f>ECData!$B$59</c:f>
              <c:strCache>
                <c:ptCount val="1"/>
                <c:pt idx="0">
                  <c:v>Total A1-A5</c:v>
                </c:pt>
              </c:strCache>
            </c:strRef>
          </c:tx>
          <c:spPr>
            <a:solidFill>
              <a:srgbClr val="AECC53"/>
            </a:solidFill>
            <a:ln>
              <a:noFill/>
            </a:ln>
            <a:effectLst/>
          </c:spPr>
          <c:invertIfNegative val="0"/>
          <c:cat>
            <c:strRef>
              <c:f>ECData!$C$58:$M$58</c:f>
              <c:strCache>
                <c:ptCount val="11"/>
                <c:pt idx="0">
                  <c:v>RC Flat Slab</c:v>
                </c:pt>
                <c:pt idx="1">
                  <c:v>PT RC Flat Slab</c:v>
                </c:pt>
                <c:pt idx="2">
                  <c:v>RC Rib Slab</c:v>
                </c:pt>
                <c:pt idx="3">
                  <c:v>Two-way RC Slab</c:v>
                </c:pt>
                <c:pt idx="4">
                  <c:v>One-Way Spanning RC</c:v>
                </c:pt>
                <c:pt idx="5">
                  <c:v>Precast Hollowcore with In-situ RC Beams</c:v>
                </c:pt>
                <c:pt idx="6">
                  <c:v>Non-Composite Rolled Steel with PCC Planks</c:v>
                </c:pt>
                <c:pt idx="7">
                  <c:v>Composite Rolled Steel with Metal Decking</c:v>
                </c:pt>
                <c:pt idx="8">
                  <c:v>Composite Cell Beams with Metal Decking</c:v>
                </c:pt>
                <c:pt idx="9">
                  <c:v>Steel Frame with CLT Slabs</c:v>
                </c:pt>
                <c:pt idx="10">
                  <c:v>CLT, Glulam and Steel Column Hybrid</c:v>
                </c:pt>
              </c:strCache>
            </c:strRef>
          </c:cat>
          <c:val>
            <c:numRef>
              <c:f>ECData!$C$59:$M$59</c:f>
              <c:numCache>
                <c:formatCode>0</c:formatCode>
                <c:ptCount val="11"/>
                <c:pt idx="0">
                  <c:v>877.38042455207869</c:v>
                </c:pt>
                <c:pt idx="1">
                  <c:v>916.34650279426364</c:v>
                </c:pt>
                <c:pt idx="2">
                  <c:v>880.20287891281635</c:v>
                </c:pt>
                <c:pt idx="3">
                  <c:v>886.99149510103484</c:v>
                </c:pt>
                <c:pt idx="4">
                  <c:v>891.27999340904432</c:v>
                </c:pt>
                <c:pt idx="5">
                  <c:v>1098.2013711750426</c:v>
                </c:pt>
                <c:pt idx="6">
                  <c:v>1027.255596956064</c:v>
                </c:pt>
                <c:pt idx="7">
                  <c:v>1049.9172798525738</c:v>
                </c:pt>
                <c:pt idx="8">
                  <c:v>1243.2910888428853</c:v>
                </c:pt>
                <c:pt idx="9">
                  <c:v>248.80210295993675</c:v>
                </c:pt>
                <c:pt idx="10">
                  <c:v>-54.370027805481527</c:v>
                </c:pt>
              </c:numCache>
            </c:numRef>
          </c:val>
          <c:extLst>
            <c:ext xmlns:c16="http://schemas.microsoft.com/office/drawing/2014/chart" uri="{C3380CC4-5D6E-409C-BE32-E72D297353CC}">
              <c16:uniqueId val="{00000000-AFB3-4D59-94BB-E375A768FD3C}"/>
            </c:ext>
          </c:extLst>
        </c:ser>
        <c:ser>
          <c:idx val="3"/>
          <c:order val="3"/>
          <c:tx>
            <c:strRef>
              <c:f>ECData!$B$61</c:f>
              <c:strCache>
                <c:ptCount val="1"/>
                <c:pt idx="0">
                  <c:v>Sequestration</c:v>
                </c:pt>
              </c:strCache>
            </c:strRef>
          </c:tx>
          <c:spPr>
            <a:pattFill prst="wdUpDiag">
              <a:fgClr>
                <a:srgbClr val="AECC53"/>
              </a:fgClr>
              <a:bgClr>
                <a:srgbClr val="00353E"/>
              </a:bgClr>
            </a:pattFill>
            <a:ln>
              <a:noFill/>
            </a:ln>
            <a:effectLst/>
          </c:spPr>
          <c:invertIfNegative val="0"/>
          <c:val>
            <c:numRef>
              <c:f>ECData!$C$61:$M$61</c:f>
              <c:numCache>
                <c:formatCode>0</c:formatCode>
                <c:ptCount val="11"/>
                <c:pt idx="0">
                  <c:v>0</c:v>
                </c:pt>
                <c:pt idx="1">
                  <c:v>0</c:v>
                </c:pt>
                <c:pt idx="2">
                  <c:v>0</c:v>
                </c:pt>
                <c:pt idx="3">
                  <c:v>0</c:v>
                </c:pt>
                <c:pt idx="4">
                  <c:v>0</c:v>
                </c:pt>
                <c:pt idx="5">
                  <c:v>0</c:v>
                </c:pt>
                <c:pt idx="6">
                  <c:v>0</c:v>
                </c:pt>
                <c:pt idx="7">
                  <c:v>0</c:v>
                </c:pt>
                <c:pt idx="8">
                  <c:v>0</c:v>
                </c:pt>
                <c:pt idx="9">
                  <c:v>529.91999999999996</c:v>
                </c:pt>
                <c:pt idx="10">
                  <c:v>700.18997219451842</c:v>
                </c:pt>
              </c:numCache>
            </c:numRef>
          </c:val>
          <c:extLst>
            <c:ext xmlns:c16="http://schemas.microsoft.com/office/drawing/2014/chart" uri="{C3380CC4-5D6E-409C-BE32-E72D297353CC}">
              <c16:uniqueId val="{00000001-399F-4AF9-9C7E-5B5CBD92E3A0}"/>
            </c:ext>
          </c:extLst>
        </c:ser>
        <c:dLbls>
          <c:showLegendKey val="0"/>
          <c:showVal val="0"/>
          <c:showCatName val="0"/>
          <c:showSerName val="0"/>
          <c:showPercent val="0"/>
          <c:showBubbleSize val="0"/>
        </c:dLbls>
        <c:gapWidth val="150"/>
        <c:overlap val="100"/>
        <c:axId val="1851729103"/>
        <c:axId val="1771287295"/>
        <c:extLst>
          <c:ext xmlns:c15="http://schemas.microsoft.com/office/drawing/2012/chart" uri="{02D57815-91ED-43cb-92C2-25804820EDAC}">
            <c15:filteredBarSeries>
              <c15:ser>
                <c:idx val="1"/>
                <c:order val="1"/>
                <c:tx>
                  <c:strRef>
                    <c:extLst>
                      <c:ext uri="{02D57815-91ED-43cb-92C2-25804820EDAC}">
                        <c15:formulaRef>
                          <c15:sqref>ECData!$B$60</c15:sqref>
                        </c15:formulaRef>
                      </c:ext>
                    </c:extLst>
                    <c:strCache>
                      <c:ptCount val="1"/>
                      <c:pt idx="0">
                        <c:v>Total A-C</c:v>
                      </c:pt>
                    </c:strCache>
                  </c:strRef>
                </c:tx>
                <c:spPr>
                  <a:solidFill>
                    <a:srgbClr val="AECC53"/>
                  </a:solidFill>
                  <a:ln>
                    <a:noFill/>
                  </a:ln>
                  <a:effectLst/>
                </c:spPr>
                <c:invertIfNegative val="0"/>
                <c:cat>
                  <c:strRef>
                    <c:extLst>
                      <c:ext uri="{02D57815-91ED-43cb-92C2-25804820EDAC}">
                        <c15:formulaRef>
                          <c15:sqref>ECData!$C$58:$M$58</c15:sqref>
                        </c15:formulaRef>
                      </c:ext>
                    </c:extLst>
                    <c:strCache>
                      <c:ptCount val="11"/>
                      <c:pt idx="0">
                        <c:v>RC Flat Slab</c:v>
                      </c:pt>
                      <c:pt idx="1">
                        <c:v>PT RC Flat Slab</c:v>
                      </c:pt>
                      <c:pt idx="2">
                        <c:v>RC Rib Slab</c:v>
                      </c:pt>
                      <c:pt idx="3">
                        <c:v>Two-way RC Slab</c:v>
                      </c:pt>
                      <c:pt idx="4">
                        <c:v>One-Way Spanning RC</c:v>
                      </c:pt>
                      <c:pt idx="5">
                        <c:v>Precast Hollowcore with In-situ RC Beams</c:v>
                      </c:pt>
                      <c:pt idx="6">
                        <c:v>Non-Composite Rolled Steel with PCC Planks</c:v>
                      </c:pt>
                      <c:pt idx="7">
                        <c:v>Composite Rolled Steel with Metal Decking</c:v>
                      </c:pt>
                      <c:pt idx="8">
                        <c:v>Composite Cell Beams with Metal Decking</c:v>
                      </c:pt>
                      <c:pt idx="9">
                        <c:v>Steel Frame with CLT Slabs</c:v>
                      </c:pt>
                      <c:pt idx="10">
                        <c:v>CLT, Glulam and Steel Column Hybrid</c:v>
                      </c:pt>
                    </c:strCache>
                  </c:strRef>
                </c:cat>
                <c:val>
                  <c:numRef>
                    <c:extLst>
                      <c:ext uri="{02D57815-91ED-43cb-92C2-25804820EDAC}">
                        <c15:formulaRef>
                          <c15:sqref>ECData!$C$60:$M$60</c15:sqref>
                        </c15:formulaRef>
                      </c:ext>
                    </c:extLst>
                    <c:numCache>
                      <c:formatCode>0</c:formatCode>
                      <c:ptCount val="11"/>
                      <c:pt idx="0">
                        <c:v>995.81736382457814</c:v>
                      </c:pt>
                      <c:pt idx="1">
                        <c:v>1031.9906951231771</c:v>
                      </c:pt>
                      <c:pt idx="2">
                        <c:v>990.39299967185048</c:v>
                      </c:pt>
                      <c:pt idx="3">
                        <c:v>994.4116692369995</c:v>
                      </c:pt>
                      <c:pt idx="4">
                        <c:v>1002.4736166107697</c:v>
                      </c:pt>
                      <c:pt idx="5">
                        <c:v>1229.7415814374542</c:v>
                      </c:pt>
                      <c:pt idx="6">
                        <c:v>1135.7806611453011</c:v>
                      </c:pt>
                      <c:pt idx="7">
                        <c:v>1146.7003330087823</c:v>
                      </c:pt>
                      <c:pt idx="8">
                        <c:v>1342.3839767258091</c:v>
                      </c:pt>
                      <c:pt idx="9">
                        <c:v>853.65448557486059</c:v>
                      </c:pt>
                      <c:pt idx="10">
                        <c:v>776.96638786928531</c:v>
                      </c:pt>
                    </c:numCache>
                  </c:numRef>
                </c:val>
                <c:extLst>
                  <c:ext xmlns:c16="http://schemas.microsoft.com/office/drawing/2014/chart" uri="{C3380CC4-5D6E-409C-BE32-E72D297353CC}">
                    <c16:uniqueId val="{00000001-AFB3-4D59-94BB-E375A768FD3C}"/>
                  </c:ext>
                </c:extLst>
              </c15:ser>
            </c15:filteredBarSeries>
          </c:ext>
        </c:extLst>
      </c:barChart>
      <c:lineChart>
        <c:grouping val="standard"/>
        <c:varyColors val="0"/>
        <c:ser>
          <c:idx val="2"/>
          <c:order val="2"/>
          <c:tx>
            <c:strRef>
              <c:f>ECData!$B$62</c:f>
              <c:strCache>
                <c:ptCount val="1"/>
                <c:pt idx="0">
                  <c:v>Building Height (m)</c:v>
                </c:pt>
              </c:strCache>
            </c:strRef>
          </c:tx>
          <c:spPr>
            <a:ln w="28575" cap="rnd">
              <a:solidFill>
                <a:srgbClr val="E52713"/>
              </a:solidFill>
              <a:round/>
            </a:ln>
            <a:effectLst/>
          </c:spPr>
          <c:marker>
            <c:symbol val="none"/>
          </c:marker>
          <c:cat>
            <c:strRef>
              <c:f>ECData!$C$58:$M$58</c:f>
              <c:strCache>
                <c:ptCount val="11"/>
                <c:pt idx="0">
                  <c:v>RC Flat Slab</c:v>
                </c:pt>
                <c:pt idx="1">
                  <c:v>PT RC Flat Slab</c:v>
                </c:pt>
                <c:pt idx="2">
                  <c:v>RC Rib Slab</c:v>
                </c:pt>
                <c:pt idx="3">
                  <c:v>Two-way RC Slab</c:v>
                </c:pt>
                <c:pt idx="4">
                  <c:v>One-Way Spanning RC</c:v>
                </c:pt>
                <c:pt idx="5">
                  <c:v>Precast Hollowcore with In-situ RC Beams</c:v>
                </c:pt>
                <c:pt idx="6">
                  <c:v>Non-Composite Rolled Steel with PCC Planks</c:v>
                </c:pt>
                <c:pt idx="7">
                  <c:v>Composite Rolled Steel with Metal Decking</c:v>
                </c:pt>
                <c:pt idx="8">
                  <c:v>Composite Cell Beams with Metal Decking</c:v>
                </c:pt>
                <c:pt idx="9">
                  <c:v>Steel Frame with CLT Slabs</c:v>
                </c:pt>
                <c:pt idx="10">
                  <c:v>CLT, Glulam and Steel Column Hybrid</c:v>
                </c:pt>
              </c:strCache>
            </c:strRef>
          </c:cat>
          <c:val>
            <c:numRef>
              <c:f>ECData!$C$62:$M$62</c:f>
              <c:numCache>
                <c:formatCode>0</c:formatCode>
                <c:ptCount val="11"/>
                <c:pt idx="0">
                  <c:v>7.07</c:v>
                </c:pt>
                <c:pt idx="1">
                  <c:v>7.0500000000000007</c:v>
                </c:pt>
                <c:pt idx="2">
                  <c:v>7.25</c:v>
                </c:pt>
                <c:pt idx="3">
                  <c:v>7.2</c:v>
                </c:pt>
                <c:pt idx="4">
                  <c:v>7.3500000000000005</c:v>
                </c:pt>
                <c:pt idx="5">
                  <c:v>7.3500000000000005</c:v>
                </c:pt>
                <c:pt idx="6">
                  <c:v>7.766</c:v>
                </c:pt>
                <c:pt idx="7">
                  <c:v>7.66</c:v>
                </c:pt>
                <c:pt idx="8">
                  <c:v>7.3495200000000001</c:v>
                </c:pt>
                <c:pt idx="9">
                  <c:v>7.5680000000000005</c:v>
                </c:pt>
                <c:pt idx="10">
                  <c:v>7.75</c:v>
                </c:pt>
              </c:numCache>
            </c:numRef>
          </c:val>
          <c:smooth val="0"/>
          <c:extLst>
            <c:ext xmlns:c16="http://schemas.microsoft.com/office/drawing/2014/chart" uri="{C3380CC4-5D6E-409C-BE32-E72D297353CC}">
              <c16:uniqueId val="{00000002-AFB3-4D59-94BB-E375A768FD3C}"/>
            </c:ext>
          </c:extLst>
        </c:ser>
        <c:dLbls>
          <c:showLegendKey val="0"/>
          <c:showVal val="0"/>
          <c:showCatName val="0"/>
          <c:showSerName val="0"/>
          <c:showPercent val="0"/>
          <c:showBubbleSize val="0"/>
        </c:dLbls>
        <c:marker val="1"/>
        <c:smooth val="0"/>
        <c:axId val="472314847"/>
        <c:axId val="1771325983"/>
      </c:lineChart>
      <c:catAx>
        <c:axId val="185172910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771287295"/>
        <c:crosses val="autoZero"/>
        <c:auto val="1"/>
        <c:lblAlgn val="ctr"/>
        <c:lblOffset val="100"/>
        <c:noMultiLvlLbl val="0"/>
      </c:catAx>
      <c:valAx>
        <c:axId val="1771287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r>
                  <a:rPr lang="en-GB" sz="1000" b="0" i="0" baseline="0">
                    <a:solidFill>
                      <a:schemeClr val="bg1"/>
                    </a:solidFill>
                    <a:effectLst/>
                  </a:rPr>
                  <a:t>EC (tCO</a:t>
                </a:r>
                <a:r>
                  <a:rPr lang="en-GB" sz="1000" b="0" i="0" baseline="-25000">
                    <a:solidFill>
                      <a:schemeClr val="bg1"/>
                    </a:solidFill>
                    <a:effectLst/>
                  </a:rPr>
                  <a:t>2</a:t>
                </a:r>
                <a:r>
                  <a:rPr lang="en-GB" sz="1000" b="0" i="0" baseline="0">
                    <a:solidFill>
                      <a:schemeClr val="bg1"/>
                    </a:solidFill>
                    <a:effectLst/>
                  </a:rPr>
                  <a:t>e)</a:t>
                </a:r>
                <a:endParaRPr lang="en-GB" sz="1000" i="0">
                  <a:solidFill>
                    <a:schemeClr val="bg1"/>
                  </a:solidFill>
                  <a:effectLst/>
                </a:endParaRPr>
              </a:p>
            </c:rich>
          </c:tx>
          <c:layout>
            <c:manualLayout>
              <c:xMode val="edge"/>
              <c:yMode val="edge"/>
              <c:x val="6.2090996632617598E-3"/>
              <c:y val="0.2616329776959697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851729103"/>
        <c:crosses val="autoZero"/>
        <c:crossBetween val="between"/>
      </c:valAx>
      <c:valAx>
        <c:axId val="1771325983"/>
        <c:scaling>
          <c:orientation val="minMax"/>
        </c:scaling>
        <c:delete val="0"/>
        <c:axPos val="r"/>
        <c:title>
          <c:tx>
            <c:rich>
              <a:bodyPr rot="-5400000" spcFirstLastPara="1" vertOverflow="ellipsis" vert="horz" wrap="square" anchor="ctr" anchorCtr="1"/>
              <a:lstStyle/>
              <a:p>
                <a:pPr>
                  <a:defRPr sz="1000" b="0" i="1" u="none" strike="noStrike" kern="1200" baseline="0">
                    <a:solidFill>
                      <a:schemeClr val="bg1"/>
                    </a:solidFill>
                    <a:latin typeface="Arial" panose="020B0604020202020204" pitchFamily="34" charset="0"/>
                    <a:ea typeface="+mn-ea"/>
                    <a:cs typeface="Arial" panose="020B0604020202020204" pitchFamily="34" charset="0"/>
                  </a:defRPr>
                </a:pPr>
                <a:r>
                  <a:rPr lang="en-GB" i="1"/>
                  <a:t>Building Height (m)</a:t>
                </a:r>
              </a:p>
            </c:rich>
          </c:tx>
          <c:layout>
            <c:manualLayout>
              <c:xMode val="edge"/>
              <c:yMode val="edge"/>
              <c:x val="0.97202178290327013"/>
              <c:y val="0.21763191464594683"/>
            </c:manualLayout>
          </c:layout>
          <c:overlay val="0"/>
          <c:spPr>
            <a:noFill/>
            <a:ln>
              <a:noFill/>
            </a:ln>
            <a:effectLst/>
          </c:spPr>
          <c:txPr>
            <a:bodyPr rot="-5400000" spcFirstLastPara="1" vertOverflow="ellipsis" vert="horz" wrap="square" anchor="ctr" anchorCtr="1"/>
            <a:lstStyle/>
            <a:p>
              <a:pPr>
                <a:defRPr sz="1000" b="0" i="1"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472314847"/>
        <c:crosses val="max"/>
        <c:crossBetween val="between"/>
      </c:valAx>
      <c:catAx>
        <c:axId val="472314847"/>
        <c:scaling>
          <c:orientation val="minMax"/>
        </c:scaling>
        <c:delete val="1"/>
        <c:axPos val="b"/>
        <c:numFmt formatCode="General" sourceLinked="1"/>
        <c:majorTickMark val="out"/>
        <c:minorTickMark val="none"/>
        <c:tickLblPos val="nextTo"/>
        <c:crossAx val="1771325983"/>
        <c:crosses val="autoZero"/>
        <c:auto val="1"/>
        <c:lblAlgn val="ctr"/>
        <c:lblOffset val="100"/>
        <c:noMultiLvlLbl val="0"/>
      </c:catAx>
      <c:spPr>
        <a:noFill/>
        <a:ln>
          <a:noFill/>
        </a:ln>
        <a:effectLst/>
      </c:spPr>
    </c:plotArea>
    <c:legend>
      <c:legendPos val="r"/>
      <c:layout>
        <c:manualLayout>
          <c:xMode val="edge"/>
          <c:yMode val="edge"/>
          <c:x val="0.79553150718488952"/>
          <c:y val="0.83017350103964282"/>
          <c:w val="0.2020172209614956"/>
          <c:h val="0.14773357875720081"/>
        </c:manualLayout>
      </c:layout>
      <c:overlay val="1"/>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9694647964216362"/>
          <c:y val="0.13362332266011506"/>
          <c:w val="0.53867069124534361"/>
          <c:h val="0.82886602090339734"/>
        </c:manualLayout>
      </c:layout>
      <c:barChart>
        <c:barDir val="bar"/>
        <c:grouping val="clustered"/>
        <c:varyColors val="0"/>
        <c:ser>
          <c:idx val="0"/>
          <c:order val="0"/>
          <c:spPr>
            <a:solidFill>
              <a:srgbClr val="008231"/>
            </a:solidFill>
            <a:ln>
              <a:noFill/>
            </a:ln>
            <a:effectLst/>
          </c:spPr>
          <c:invertIfNegative val="0"/>
          <c:cat>
            <c:strRef>
              <c:f>ECData!$B$8:$B$27</c:f>
              <c:strCache>
                <c:ptCount val="20"/>
                <c:pt idx="0">
                  <c:v>A++</c:v>
                </c:pt>
                <c:pt idx="1">
                  <c:v>A+</c:v>
                </c:pt>
                <c:pt idx="2">
                  <c:v>CLT, Glulam and Steel Column Hybrid</c:v>
                </c:pt>
                <c:pt idx="3">
                  <c:v>Steel Frame with CLT Slabs</c:v>
                </c:pt>
                <c:pt idx="4">
                  <c:v>A</c:v>
                </c:pt>
                <c:pt idx="5">
                  <c:v>RC Flat Slab</c:v>
                </c:pt>
                <c:pt idx="6">
                  <c:v>RC Rib Slab</c:v>
                </c:pt>
                <c:pt idx="7">
                  <c:v>Two-way RC Slab</c:v>
                </c:pt>
                <c:pt idx="8">
                  <c:v>One-Way Spanning RC</c:v>
                </c:pt>
                <c:pt idx="9">
                  <c:v>PT RC Flat Slab</c:v>
                </c:pt>
                <c:pt idx="10">
                  <c:v>Non-Composite Rolled Steel with PCC Planks</c:v>
                </c:pt>
                <c:pt idx="11">
                  <c:v>Composite Rolled Steel with Metal Decking</c:v>
                </c:pt>
                <c:pt idx="12">
                  <c:v>Precast Hollowcore with In-situ RC Beams</c:v>
                </c:pt>
                <c:pt idx="13">
                  <c:v>B</c:v>
                </c:pt>
                <c:pt idx="14">
                  <c:v>Composite Cell Beams with Metal Decking</c:v>
                </c:pt>
                <c:pt idx="15">
                  <c:v>C</c:v>
                </c:pt>
                <c:pt idx="16">
                  <c:v>D</c:v>
                </c:pt>
                <c:pt idx="17">
                  <c:v>E</c:v>
                </c:pt>
                <c:pt idx="18">
                  <c:v>F</c:v>
                </c:pt>
                <c:pt idx="19">
                  <c:v>G</c:v>
                </c:pt>
              </c:strCache>
            </c:strRef>
          </c:cat>
          <c:val>
            <c:numRef>
              <c:f>ECData!$C$8:$C$27</c:f>
              <c:numCache>
                <c:formatCode>0</c:formatCode>
                <c:ptCount val="20"/>
                <c:pt idx="0">
                  <c:v>50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0-8467-4B32-8897-CE1C571A2EFF}"/>
            </c:ext>
          </c:extLst>
        </c:ser>
        <c:ser>
          <c:idx val="1"/>
          <c:order val="1"/>
          <c:spPr>
            <a:solidFill>
              <a:srgbClr val="46AA50"/>
            </a:solidFill>
            <a:ln>
              <a:noFill/>
            </a:ln>
            <a:effectLst/>
          </c:spPr>
          <c:invertIfNegative val="0"/>
          <c:cat>
            <c:strRef>
              <c:f>ECData!$B$8:$B$27</c:f>
              <c:strCache>
                <c:ptCount val="20"/>
                <c:pt idx="0">
                  <c:v>A++</c:v>
                </c:pt>
                <c:pt idx="1">
                  <c:v>A+</c:v>
                </c:pt>
                <c:pt idx="2">
                  <c:v>CLT, Glulam and Steel Column Hybrid</c:v>
                </c:pt>
                <c:pt idx="3">
                  <c:v>Steel Frame with CLT Slabs</c:v>
                </c:pt>
                <c:pt idx="4">
                  <c:v>A</c:v>
                </c:pt>
                <c:pt idx="5">
                  <c:v>RC Flat Slab</c:v>
                </c:pt>
                <c:pt idx="6">
                  <c:v>RC Rib Slab</c:v>
                </c:pt>
                <c:pt idx="7">
                  <c:v>Two-way RC Slab</c:v>
                </c:pt>
                <c:pt idx="8">
                  <c:v>One-Way Spanning RC</c:v>
                </c:pt>
                <c:pt idx="9">
                  <c:v>PT RC Flat Slab</c:v>
                </c:pt>
                <c:pt idx="10">
                  <c:v>Non-Composite Rolled Steel with PCC Planks</c:v>
                </c:pt>
                <c:pt idx="11">
                  <c:v>Composite Rolled Steel with Metal Decking</c:v>
                </c:pt>
                <c:pt idx="12">
                  <c:v>Precast Hollowcore with In-situ RC Beams</c:v>
                </c:pt>
                <c:pt idx="13">
                  <c:v>B</c:v>
                </c:pt>
                <c:pt idx="14">
                  <c:v>Composite Cell Beams with Metal Decking</c:v>
                </c:pt>
                <c:pt idx="15">
                  <c:v>C</c:v>
                </c:pt>
                <c:pt idx="16">
                  <c:v>D</c:v>
                </c:pt>
                <c:pt idx="17">
                  <c:v>E</c:v>
                </c:pt>
                <c:pt idx="18">
                  <c:v>F</c:v>
                </c:pt>
                <c:pt idx="19">
                  <c:v>G</c:v>
                </c:pt>
              </c:strCache>
            </c:strRef>
          </c:cat>
          <c:val>
            <c:numRef>
              <c:f>ECData!$D$8:$D$27</c:f>
              <c:numCache>
                <c:formatCode>0</c:formatCode>
                <c:ptCount val="20"/>
                <c:pt idx="0">
                  <c:v>#N/A</c:v>
                </c:pt>
                <c:pt idx="1">
                  <c:v>100</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1-8467-4B32-8897-CE1C571A2EFF}"/>
            </c:ext>
          </c:extLst>
        </c:ser>
        <c:ser>
          <c:idx val="2"/>
          <c:order val="2"/>
          <c:spPr>
            <a:solidFill>
              <a:srgbClr val="A9C801"/>
            </a:solidFill>
            <a:ln>
              <a:noFill/>
            </a:ln>
            <a:effectLst/>
          </c:spPr>
          <c:invertIfNegative val="0"/>
          <c:cat>
            <c:strRef>
              <c:f>ECData!$B$8:$B$27</c:f>
              <c:strCache>
                <c:ptCount val="20"/>
                <c:pt idx="0">
                  <c:v>A++</c:v>
                </c:pt>
                <c:pt idx="1">
                  <c:v>A+</c:v>
                </c:pt>
                <c:pt idx="2">
                  <c:v>CLT, Glulam and Steel Column Hybrid</c:v>
                </c:pt>
                <c:pt idx="3">
                  <c:v>Steel Frame with CLT Slabs</c:v>
                </c:pt>
                <c:pt idx="4">
                  <c:v>A</c:v>
                </c:pt>
                <c:pt idx="5">
                  <c:v>RC Flat Slab</c:v>
                </c:pt>
                <c:pt idx="6">
                  <c:v>RC Rib Slab</c:v>
                </c:pt>
                <c:pt idx="7">
                  <c:v>Two-way RC Slab</c:v>
                </c:pt>
                <c:pt idx="8">
                  <c:v>One-Way Spanning RC</c:v>
                </c:pt>
                <c:pt idx="9">
                  <c:v>PT RC Flat Slab</c:v>
                </c:pt>
                <c:pt idx="10">
                  <c:v>Non-Composite Rolled Steel with PCC Planks</c:v>
                </c:pt>
                <c:pt idx="11">
                  <c:v>Composite Rolled Steel with Metal Decking</c:v>
                </c:pt>
                <c:pt idx="12">
                  <c:v>Precast Hollowcore with In-situ RC Beams</c:v>
                </c:pt>
                <c:pt idx="13">
                  <c:v>B</c:v>
                </c:pt>
                <c:pt idx="14">
                  <c:v>Composite Cell Beams with Metal Decking</c:v>
                </c:pt>
                <c:pt idx="15">
                  <c:v>C</c:v>
                </c:pt>
                <c:pt idx="16">
                  <c:v>D</c:v>
                </c:pt>
                <c:pt idx="17">
                  <c:v>E</c:v>
                </c:pt>
                <c:pt idx="18">
                  <c:v>F</c:v>
                </c:pt>
                <c:pt idx="19">
                  <c:v>G</c:v>
                </c:pt>
              </c:strCache>
            </c:strRef>
          </c:cat>
          <c:val>
            <c:numRef>
              <c:f>ECData!$E$8:$E$27</c:f>
              <c:numCache>
                <c:formatCode>0</c:formatCode>
                <c:ptCount val="20"/>
                <c:pt idx="0">
                  <c:v>#N/A</c:v>
                </c:pt>
                <c:pt idx="1">
                  <c:v>#N/A</c:v>
                </c:pt>
                <c:pt idx="2">
                  <c:v>121.56075906154834</c:v>
                </c:pt>
                <c:pt idx="3">
                  <c:v>135.19480954165567</c:v>
                </c:pt>
                <c:pt idx="4">
                  <c:v>150</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2-8467-4B32-8897-CE1C571A2EFF}"/>
            </c:ext>
          </c:extLst>
        </c:ser>
        <c:ser>
          <c:idx val="3"/>
          <c:order val="3"/>
          <c:spPr>
            <a:solidFill>
              <a:srgbClr val="FEFF33"/>
            </a:solidFill>
            <a:ln>
              <a:noFill/>
            </a:ln>
            <a:effectLst/>
          </c:spPr>
          <c:invertIfNegative val="0"/>
          <c:cat>
            <c:strRef>
              <c:f>ECData!$B$8:$B$27</c:f>
              <c:strCache>
                <c:ptCount val="20"/>
                <c:pt idx="0">
                  <c:v>A++</c:v>
                </c:pt>
                <c:pt idx="1">
                  <c:v>A+</c:v>
                </c:pt>
                <c:pt idx="2">
                  <c:v>CLT, Glulam and Steel Column Hybrid</c:v>
                </c:pt>
                <c:pt idx="3">
                  <c:v>Steel Frame with CLT Slabs</c:v>
                </c:pt>
                <c:pt idx="4">
                  <c:v>A</c:v>
                </c:pt>
                <c:pt idx="5">
                  <c:v>RC Flat Slab</c:v>
                </c:pt>
                <c:pt idx="6">
                  <c:v>RC Rib Slab</c:v>
                </c:pt>
                <c:pt idx="7">
                  <c:v>Two-way RC Slab</c:v>
                </c:pt>
                <c:pt idx="8">
                  <c:v>One-Way Spanning RC</c:v>
                </c:pt>
                <c:pt idx="9">
                  <c:v>PT RC Flat Slab</c:v>
                </c:pt>
                <c:pt idx="10">
                  <c:v>Non-Composite Rolled Steel with PCC Planks</c:v>
                </c:pt>
                <c:pt idx="11">
                  <c:v>Composite Rolled Steel with Metal Decking</c:v>
                </c:pt>
                <c:pt idx="12">
                  <c:v>Precast Hollowcore with In-situ RC Beams</c:v>
                </c:pt>
                <c:pt idx="13">
                  <c:v>B</c:v>
                </c:pt>
                <c:pt idx="14">
                  <c:v>Composite Cell Beams with Metal Decking</c:v>
                </c:pt>
                <c:pt idx="15">
                  <c:v>C</c:v>
                </c:pt>
                <c:pt idx="16">
                  <c:v>D</c:v>
                </c:pt>
                <c:pt idx="17">
                  <c:v>E</c:v>
                </c:pt>
                <c:pt idx="18">
                  <c:v>F</c:v>
                </c:pt>
                <c:pt idx="19">
                  <c:v>G</c:v>
                </c:pt>
              </c:strCache>
            </c:strRef>
          </c:cat>
          <c:val>
            <c:numRef>
              <c:f>ECData!$F$8:$F$27</c:f>
              <c:numCache>
                <c:formatCode>0</c:formatCode>
                <c:ptCount val="20"/>
                <c:pt idx="0">
                  <c:v>#N/A</c:v>
                </c:pt>
                <c:pt idx="1">
                  <c:v>#N/A</c:v>
                </c:pt>
                <c:pt idx="2">
                  <c:v>#N/A</c:v>
                </c:pt>
                <c:pt idx="3">
                  <c:v>#N/A</c:v>
                </c:pt>
                <c:pt idx="4">
                  <c:v>#N/A</c:v>
                </c:pt>
                <c:pt idx="5">
                  <c:v>152.32299037362478</c:v>
                </c:pt>
                <c:pt idx="6">
                  <c:v>152.81299981125284</c:v>
                </c:pt>
                <c:pt idx="7">
                  <c:v>153.99157901059633</c:v>
                </c:pt>
                <c:pt idx="8">
                  <c:v>154.73610996684798</c:v>
                </c:pt>
                <c:pt idx="9">
                  <c:v>159.08793451289299</c:v>
                </c:pt>
                <c:pt idx="10">
                  <c:v>178.34298558264999</c:v>
                </c:pt>
                <c:pt idx="11">
                  <c:v>182.27730552996073</c:v>
                </c:pt>
                <c:pt idx="12">
                  <c:v>190.65996027344488</c:v>
                </c:pt>
                <c:pt idx="13">
                  <c:v>200</c:v>
                </c:pt>
                <c:pt idx="14">
                  <c:v>#N/A</c:v>
                </c:pt>
                <c:pt idx="15">
                  <c:v>#N/A</c:v>
                </c:pt>
                <c:pt idx="16">
                  <c:v>#N/A</c:v>
                </c:pt>
                <c:pt idx="17">
                  <c:v>#N/A</c:v>
                </c:pt>
                <c:pt idx="18">
                  <c:v>#N/A</c:v>
                </c:pt>
                <c:pt idx="19">
                  <c:v>#N/A</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3-8467-4B32-8897-CE1C571A2EFF}"/>
            </c:ext>
          </c:extLst>
        </c:ser>
        <c:ser>
          <c:idx val="4"/>
          <c:order val="4"/>
          <c:spPr>
            <a:solidFill>
              <a:srgbClr val="FECC44"/>
            </a:solidFill>
            <a:ln>
              <a:noFill/>
            </a:ln>
            <a:effectLst/>
          </c:spPr>
          <c:invertIfNegative val="0"/>
          <c:cat>
            <c:strRef>
              <c:f>ECData!$B$8:$B$27</c:f>
              <c:strCache>
                <c:ptCount val="20"/>
                <c:pt idx="0">
                  <c:v>A++</c:v>
                </c:pt>
                <c:pt idx="1">
                  <c:v>A+</c:v>
                </c:pt>
                <c:pt idx="2">
                  <c:v>CLT, Glulam and Steel Column Hybrid</c:v>
                </c:pt>
                <c:pt idx="3">
                  <c:v>Steel Frame with CLT Slabs</c:v>
                </c:pt>
                <c:pt idx="4">
                  <c:v>A</c:v>
                </c:pt>
                <c:pt idx="5">
                  <c:v>RC Flat Slab</c:v>
                </c:pt>
                <c:pt idx="6">
                  <c:v>RC Rib Slab</c:v>
                </c:pt>
                <c:pt idx="7">
                  <c:v>Two-way RC Slab</c:v>
                </c:pt>
                <c:pt idx="8">
                  <c:v>One-Way Spanning RC</c:v>
                </c:pt>
                <c:pt idx="9">
                  <c:v>PT RC Flat Slab</c:v>
                </c:pt>
                <c:pt idx="10">
                  <c:v>Non-Composite Rolled Steel with PCC Planks</c:v>
                </c:pt>
                <c:pt idx="11">
                  <c:v>Composite Rolled Steel with Metal Decking</c:v>
                </c:pt>
                <c:pt idx="12">
                  <c:v>Precast Hollowcore with In-situ RC Beams</c:v>
                </c:pt>
                <c:pt idx="13">
                  <c:v>B</c:v>
                </c:pt>
                <c:pt idx="14">
                  <c:v>Composite Cell Beams with Metal Decking</c:v>
                </c:pt>
                <c:pt idx="15">
                  <c:v>C</c:v>
                </c:pt>
                <c:pt idx="16">
                  <c:v>D</c:v>
                </c:pt>
                <c:pt idx="17">
                  <c:v>E</c:v>
                </c:pt>
                <c:pt idx="18">
                  <c:v>F</c:v>
                </c:pt>
                <c:pt idx="19">
                  <c:v>G</c:v>
                </c:pt>
              </c:strCache>
            </c:strRef>
          </c:cat>
          <c:val>
            <c:numRef>
              <c:f>ECData!$G$8:$G$27</c:f>
              <c:numCache>
                <c:formatCode>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215.84914736855649</c:v>
                </c:pt>
                <c:pt idx="15">
                  <c:v>250</c:v>
                </c:pt>
                <c:pt idx="16">
                  <c:v>#N/A</c:v>
                </c:pt>
                <c:pt idx="17">
                  <c:v>#N/A</c:v>
                </c:pt>
                <c:pt idx="18">
                  <c:v>#N/A</c:v>
                </c:pt>
                <c:pt idx="19">
                  <c:v>#N/A</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4-8467-4B32-8897-CE1C571A2EFF}"/>
            </c:ext>
          </c:extLst>
        </c:ser>
        <c:ser>
          <c:idx val="5"/>
          <c:order val="5"/>
          <c:spPr>
            <a:solidFill>
              <a:srgbClr val="FF7D01"/>
            </a:solidFill>
            <a:ln>
              <a:noFill/>
            </a:ln>
            <a:effectLst/>
          </c:spPr>
          <c:invertIfNegative val="0"/>
          <c:cat>
            <c:strRef>
              <c:f>ECData!$B$8:$B$27</c:f>
              <c:strCache>
                <c:ptCount val="20"/>
                <c:pt idx="0">
                  <c:v>A++</c:v>
                </c:pt>
                <c:pt idx="1">
                  <c:v>A+</c:v>
                </c:pt>
                <c:pt idx="2">
                  <c:v>CLT, Glulam and Steel Column Hybrid</c:v>
                </c:pt>
                <c:pt idx="3">
                  <c:v>Steel Frame with CLT Slabs</c:v>
                </c:pt>
                <c:pt idx="4">
                  <c:v>A</c:v>
                </c:pt>
                <c:pt idx="5">
                  <c:v>RC Flat Slab</c:v>
                </c:pt>
                <c:pt idx="6">
                  <c:v>RC Rib Slab</c:v>
                </c:pt>
                <c:pt idx="7">
                  <c:v>Two-way RC Slab</c:v>
                </c:pt>
                <c:pt idx="8">
                  <c:v>One-Way Spanning RC</c:v>
                </c:pt>
                <c:pt idx="9">
                  <c:v>PT RC Flat Slab</c:v>
                </c:pt>
                <c:pt idx="10">
                  <c:v>Non-Composite Rolled Steel with PCC Planks</c:v>
                </c:pt>
                <c:pt idx="11">
                  <c:v>Composite Rolled Steel with Metal Decking</c:v>
                </c:pt>
                <c:pt idx="12">
                  <c:v>Precast Hollowcore with In-situ RC Beams</c:v>
                </c:pt>
                <c:pt idx="13">
                  <c:v>B</c:v>
                </c:pt>
                <c:pt idx="14">
                  <c:v>Composite Cell Beams with Metal Decking</c:v>
                </c:pt>
                <c:pt idx="15">
                  <c:v>C</c:v>
                </c:pt>
                <c:pt idx="16">
                  <c:v>D</c:v>
                </c:pt>
                <c:pt idx="17">
                  <c:v>E</c:v>
                </c:pt>
                <c:pt idx="18">
                  <c:v>F</c:v>
                </c:pt>
                <c:pt idx="19">
                  <c:v>G</c:v>
                </c:pt>
              </c:strCache>
            </c:strRef>
          </c:cat>
          <c:val>
            <c:numRef>
              <c:f>ECData!$H$8:$H$27</c:f>
              <c:numCache>
                <c:formatCode>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300</c:v>
                </c:pt>
                <c:pt idx="17">
                  <c:v>#N/A</c:v>
                </c:pt>
                <c:pt idx="18">
                  <c:v>#N/A</c:v>
                </c:pt>
                <c:pt idx="19">
                  <c:v>#N/A</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5-8467-4B32-8897-CE1C571A2EFF}"/>
            </c:ext>
          </c:extLst>
        </c:ser>
        <c:ser>
          <c:idx val="6"/>
          <c:order val="6"/>
          <c:spPr>
            <a:solidFill>
              <a:srgbClr val="FE0000"/>
            </a:solidFill>
            <a:ln>
              <a:noFill/>
            </a:ln>
            <a:effectLst/>
          </c:spPr>
          <c:invertIfNegative val="0"/>
          <c:cat>
            <c:strRef>
              <c:f>ECData!$B$8:$B$27</c:f>
              <c:strCache>
                <c:ptCount val="20"/>
                <c:pt idx="0">
                  <c:v>A++</c:v>
                </c:pt>
                <c:pt idx="1">
                  <c:v>A+</c:v>
                </c:pt>
                <c:pt idx="2">
                  <c:v>CLT, Glulam and Steel Column Hybrid</c:v>
                </c:pt>
                <c:pt idx="3">
                  <c:v>Steel Frame with CLT Slabs</c:v>
                </c:pt>
                <c:pt idx="4">
                  <c:v>A</c:v>
                </c:pt>
                <c:pt idx="5">
                  <c:v>RC Flat Slab</c:v>
                </c:pt>
                <c:pt idx="6">
                  <c:v>RC Rib Slab</c:v>
                </c:pt>
                <c:pt idx="7">
                  <c:v>Two-way RC Slab</c:v>
                </c:pt>
                <c:pt idx="8">
                  <c:v>One-Way Spanning RC</c:v>
                </c:pt>
                <c:pt idx="9">
                  <c:v>PT RC Flat Slab</c:v>
                </c:pt>
                <c:pt idx="10">
                  <c:v>Non-Composite Rolled Steel with PCC Planks</c:v>
                </c:pt>
                <c:pt idx="11">
                  <c:v>Composite Rolled Steel with Metal Decking</c:v>
                </c:pt>
                <c:pt idx="12">
                  <c:v>Precast Hollowcore with In-situ RC Beams</c:v>
                </c:pt>
                <c:pt idx="13">
                  <c:v>B</c:v>
                </c:pt>
                <c:pt idx="14">
                  <c:v>Composite Cell Beams with Metal Decking</c:v>
                </c:pt>
                <c:pt idx="15">
                  <c:v>C</c:v>
                </c:pt>
                <c:pt idx="16">
                  <c:v>D</c:v>
                </c:pt>
                <c:pt idx="17">
                  <c:v>E</c:v>
                </c:pt>
                <c:pt idx="18">
                  <c:v>F</c:v>
                </c:pt>
                <c:pt idx="19">
                  <c:v>G</c:v>
                </c:pt>
              </c:strCache>
            </c:strRef>
          </c:cat>
          <c:val>
            <c:numRef>
              <c:f>ECData!$I$8:$I$27</c:f>
              <c:numCache>
                <c:formatCode>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350</c:v>
                </c:pt>
                <c:pt idx="18">
                  <c:v>#N/A</c:v>
                </c:pt>
                <c:pt idx="19">
                  <c:v>#N/A</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6-8467-4B32-8897-CE1C571A2EFF}"/>
            </c:ext>
          </c:extLst>
        </c:ser>
        <c:ser>
          <c:idx val="7"/>
          <c:order val="7"/>
          <c:spPr>
            <a:solidFill>
              <a:srgbClr val="E00000"/>
            </a:solidFill>
            <a:ln>
              <a:noFill/>
            </a:ln>
            <a:effectLst/>
          </c:spPr>
          <c:invertIfNegative val="0"/>
          <c:cat>
            <c:strRef>
              <c:f>ECData!$B$8:$B$27</c:f>
              <c:strCache>
                <c:ptCount val="20"/>
                <c:pt idx="0">
                  <c:v>A++</c:v>
                </c:pt>
                <c:pt idx="1">
                  <c:v>A+</c:v>
                </c:pt>
                <c:pt idx="2">
                  <c:v>CLT, Glulam and Steel Column Hybrid</c:v>
                </c:pt>
                <c:pt idx="3">
                  <c:v>Steel Frame with CLT Slabs</c:v>
                </c:pt>
                <c:pt idx="4">
                  <c:v>A</c:v>
                </c:pt>
                <c:pt idx="5">
                  <c:v>RC Flat Slab</c:v>
                </c:pt>
                <c:pt idx="6">
                  <c:v>RC Rib Slab</c:v>
                </c:pt>
                <c:pt idx="7">
                  <c:v>Two-way RC Slab</c:v>
                </c:pt>
                <c:pt idx="8">
                  <c:v>One-Way Spanning RC</c:v>
                </c:pt>
                <c:pt idx="9">
                  <c:v>PT RC Flat Slab</c:v>
                </c:pt>
                <c:pt idx="10">
                  <c:v>Non-Composite Rolled Steel with PCC Planks</c:v>
                </c:pt>
                <c:pt idx="11">
                  <c:v>Composite Rolled Steel with Metal Decking</c:v>
                </c:pt>
                <c:pt idx="12">
                  <c:v>Precast Hollowcore with In-situ RC Beams</c:v>
                </c:pt>
                <c:pt idx="13">
                  <c:v>B</c:v>
                </c:pt>
                <c:pt idx="14">
                  <c:v>Composite Cell Beams with Metal Decking</c:v>
                </c:pt>
                <c:pt idx="15">
                  <c:v>C</c:v>
                </c:pt>
                <c:pt idx="16">
                  <c:v>D</c:v>
                </c:pt>
                <c:pt idx="17">
                  <c:v>E</c:v>
                </c:pt>
                <c:pt idx="18">
                  <c:v>F</c:v>
                </c:pt>
                <c:pt idx="19">
                  <c:v>G</c:v>
                </c:pt>
              </c:strCache>
            </c:strRef>
          </c:cat>
          <c:val>
            <c:numRef>
              <c:f>ECData!$J$8:$J$27</c:f>
              <c:numCache>
                <c:formatCode>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400</c:v>
                </c:pt>
                <c:pt idx="19">
                  <c:v>#N/A</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7-8467-4B32-8897-CE1C571A2EFF}"/>
            </c:ext>
          </c:extLst>
        </c:ser>
        <c:ser>
          <c:idx val="8"/>
          <c:order val="8"/>
          <c:spPr>
            <a:solidFill>
              <a:srgbClr val="A70000"/>
            </a:solidFill>
            <a:ln>
              <a:noFill/>
            </a:ln>
            <a:effectLst/>
          </c:spPr>
          <c:invertIfNegative val="0"/>
          <c:cat>
            <c:strRef>
              <c:f>ECData!$B$8:$B$27</c:f>
              <c:strCache>
                <c:ptCount val="20"/>
                <c:pt idx="0">
                  <c:v>A++</c:v>
                </c:pt>
                <c:pt idx="1">
                  <c:v>A+</c:v>
                </c:pt>
                <c:pt idx="2">
                  <c:v>CLT, Glulam and Steel Column Hybrid</c:v>
                </c:pt>
                <c:pt idx="3">
                  <c:v>Steel Frame with CLT Slabs</c:v>
                </c:pt>
                <c:pt idx="4">
                  <c:v>A</c:v>
                </c:pt>
                <c:pt idx="5">
                  <c:v>RC Flat Slab</c:v>
                </c:pt>
                <c:pt idx="6">
                  <c:v>RC Rib Slab</c:v>
                </c:pt>
                <c:pt idx="7">
                  <c:v>Two-way RC Slab</c:v>
                </c:pt>
                <c:pt idx="8">
                  <c:v>One-Way Spanning RC</c:v>
                </c:pt>
                <c:pt idx="9">
                  <c:v>PT RC Flat Slab</c:v>
                </c:pt>
                <c:pt idx="10">
                  <c:v>Non-Composite Rolled Steel with PCC Planks</c:v>
                </c:pt>
                <c:pt idx="11">
                  <c:v>Composite Rolled Steel with Metal Decking</c:v>
                </c:pt>
                <c:pt idx="12">
                  <c:v>Precast Hollowcore with In-situ RC Beams</c:v>
                </c:pt>
                <c:pt idx="13">
                  <c:v>B</c:v>
                </c:pt>
                <c:pt idx="14">
                  <c:v>Composite Cell Beams with Metal Decking</c:v>
                </c:pt>
                <c:pt idx="15">
                  <c:v>C</c:v>
                </c:pt>
                <c:pt idx="16">
                  <c:v>D</c:v>
                </c:pt>
                <c:pt idx="17">
                  <c:v>E</c:v>
                </c:pt>
                <c:pt idx="18">
                  <c:v>F</c:v>
                </c:pt>
                <c:pt idx="19">
                  <c:v>G</c:v>
                </c:pt>
              </c:strCache>
            </c:strRef>
          </c:cat>
          <c:val>
            <c:numRef>
              <c:f>ECData!$K$8:$K$27</c:f>
              <c:numCache>
                <c:formatCode>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450</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8-8467-4B32-8897-CE1C571A2EFF}"/>
            </c:ext>
          </c:extLst>
        </c:ser>
        <c:dLbls>
          <c:showLegendKey val="0"/>
          <c:showVal val="0"/>
          <c:showCatName val="0"/>
          <c:showSerName val="0"/>
          <c:showPercent val="0"/>
          <c:showBubbleSize val="0"/>
        </c:dLbls>
        <c:gapWidth val="219"/>
        <c:overlap val="100"/>
        <c:axId val="2109055775"/>
        <c:axId val="663147887"/>
      </c:barChart>
      <c:catAx>
        <c:axId val="210905577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663147887"/>
        <c:crosses val="autoZero"/>
        <c:auto val="1"/>
        <c:lblAlgn val="ctr"/>
        <c:lblOffset val="100"/>
        <c:noMultiLvlLbl val="0"/>
      </c:catAx>
      <c:valAx>
        <c:axId val="663147887"/>
        <c:scaling>
          <c:orientation val="minMax"/>
        </c:scaling>
        <c:delete val="0"/>
        <c:axPos val="t"/>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r>
                  <a:rPr lang="en-GB" i="0"/>
                  <a:t>EC</a:t>
                </a:r>
                <a:r>
                  <a:rPr lang="en-GB" i="0" baseline="0"/>
                  <a:t> (kgCO</a:t>
                </a:r>
                <a:r>
                  <a:rPr lang="en-GB" i="0" baseline="0">
                    <a:latin typeface="Calibri" panose="020F0502020204030204" pitchFamily="34" charset="0"/>
                    <a:cs typeface="Calibri" panose="020F0502020204030204" pitchFamily="34" charset="0"/>
                  </a:rPr>
                  <a:t>₂e/m</a:t>
                </a:r>
                <a:r>
                  <a:rPr lang="en-GB" i="0" baseline="0">
                    <a:latin typeface="Arial" panose="020B0604020202020204" pitchFamily="34" charset="0"/>
                    <a:cs typeface="Arial" panose="020B0604020202020204" pitchFamily="34" charset="0"/>
                  </a:rPr>
                  <a:t>²)</a:t>
                </a:r>
                <a:endParaRPr lang="en-GB" i="0"/>
              </a:p>
            </c:rich>
          </c:tx>
          <c:layout>
            <c:manualLayout>
              <c:xMode val="edge"/>
              <c:yMode val="edge"/>
              <c:x val="0.57012010214724629"/>
              <c:y val="3.0285522172692276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210905577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Arial" panose="020B0604020202020204" pitchFamily="34" charset="0"/>
                <a:ea typeface="+mn-ea"/>
                <a:cs typeface="Arial" panose="020B0604020202020204" pitchFamily="34" charset="0"/>
              </a:defRPr>
            </a:pPr>
            <a:r>
              <a:rPr lang="en-GB" sz="1000" b="1"/>
              <a:t>Structural Upfront Carbon by Element, A1-A5 (tCO2e)</a:t>
            </a:r>
          </a:p>
        </c:rich>
      </c:tx>
      <c:layout>
        <c:manualLayout>
          <c:xMode val="edge"/>
          <c:yMode val="edge"/>
          <c:x val="0.12659998267948386"/>
          <c:y val="1.60615143352177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9.008487052914177E-2"/>
          <c:y val="0.14548064397819679"/>
          <c:w val="0.65204468693167061"/>
          <c:h val="0.76176196076943503"/>
        </c:manualLayout>
      </c:layout>
      <c:pieChart>
        <c:varyColors val="1"/>
        <c:ser>
          <c:idx val="0"/>
          <c:order val="0"/>
          <c:spPr>
            <a:ln w="6350">
              <a:solidFill>
                <a:srgbClr val="00353E"/>
              </a:solidFill>
            </a:ln>
          </c:spPr>
          <c:dPt>
            <c:idx val="0"/>
            <c:bubble3D val="0"/>
            <c:spPr>
              <a:solidFill>
                <a:srgbClr val="AECC53"/>
              </a:solidFill>
              <a:ln w="6350">
                <a:solidFill>
                  <a:srgbClr val="00353E"/>
                </a:solidFill>
              </a:ln>
              <a:effectLst/>
            </c:spPr>
            <c:extLst>
              <c:ext xmlns:c16="http://schemas.microsoft.com/office/drawing/2014/chart" uri="{C3380CC4-5D6E-409C-BE32-E72D297353CC}">
                <c16:uniqueId val="{00000001-4204-43A1-92AC-133C885ED870}"/>
              </c:ext>
            </c:extLst>
          </c:dPt>
          <c:dPt>
            <c:idx val="1"/>
            <c:bubble3D val="0"/>
            <c:spPr>
              <a:solidFill>
                <a:schemeClr val="accent2"/>
              </a:solidFill>
              <a:ln w="6350">
                <a:solidFill>
                  <a:srgbClr val="00353E"/>
                </a:solidFill>
              </a:ln>
              <a:effectLst/>
            </c:spPr>
            <c:extLst>
              <c:ext xmlns:c16="http://schemas.microsoft.com/office/drawing/2014/chart" uri="{C3380CC4-5D6E-409C-BE32-E72D297353CC}">
                <c16:uniqueId val="{00000003-4204-43A1-92AC-133C885ED870}"/>
              </c:ext>
            </c:extLst>
          </c:dPt>
          <c:dPt>
            <c:idx val="2"/>
            <c:bubble3D val="0"/>
            <c:spPr>
              <a:solidFill>
                <a:srgbClr val="FE0000"/>
              </a:solidFill>
              <a:ln w="6350">
                <a:solidFill>
                  <a:srgbClr val="00353E"/>
                </a:solidFill>
              </a:ln>
              <a:effectLst/>
            </c:spPr>
            <c:extLst>
              <c:ext xmlns:c16="http://schemas.microsoft.com/office/drawing/2014/chart" uri="{C3380CC4-5D6E-409C-BE32-E72D297353CC}">
                <c16:uniqueId val="{00000005-523F-49B0-BF7F-C6E7C06DA7F6}"/>
              </c:ext>
            </c:extLst>
          </c:dPt>
          <c:dLbls>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ECData!$B$74:$B$76</c:f>
              <c:strCache>
                <c:ptCount val="3"/>
                <c:pt idx="0">
                  <c:v>Superstructure</c:v>
                </c:pt>
                <c:pt idx="1">
                  <c:v>Foundations</c:v>
                </c:pt>
                <c:pt idx="2">
                  <c:v>Basement</c:v>
                </c:pt>
              </c:strCache>
            </c:strRef>
          </c:cat>
          <c:val>
            <c:numRef>
              <c:f>ECData!$C$74:$C$76</c:f>
              <c:numCache>
                <c:formatCode>0</c:formatCode>
                <c:ptCount val="3"/>
                <c:pt idx="0">
                  <c:v>518.25529069653089</c:v>
                </c:pt>
                <c:pt idx="1">
                  <c:v>340.97244181453129</c:v>
                </c:pt>
                <c:pt idx="2">
                  <c:v>0</c:v>
                </c:pt>
              </c:numCache>
            </c:numRef>
          </c:val>
          <c:extLst>
            <c:ext xmlns:c16="http://schemas.microsoft.com/office/drawing/2014/chart" uri="{C3380CC4-5D6E-409C-BE32-E72D297353CC}">
              <c16:uniqueId val="{0000000A-4204-43A1-92AC-133C885ED87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280535585225757E-2"/>
          <c:y val="3.9496703990156638E-2"/>
          <c:w val="0.74806314428087795"/>
          <c:h val="0.78015663496359333"/>
        </c:manualLayout>
      </c:layout>
      <c:barChart>
        <c:barDir val="col"/>
        <c:grouping val="stacked"/>
        <c:varyColors val="0"/>
        <c:ser>
          <c:idx val="0"/>
          <c:order val="0"/>
          <c:tx>
            <c:strRef>
              <c:f>ECData!$C$78</c:f>
              <c:strCache>
                <c:ptCount val="1"/>
                <c:pt idx="0">
                  <c:v>Substructure</c:v>
                </c:pt>
              </c:strCache>
            </c:strRef>
          </c:tx>
          <c:spPr>
            <a:solidFill>
              <a:srgbClr val="FF7D01"/>
            </a:solidFill>
            <a:ln>
              <a:noFill/>
            </a:ln>
            <a:effectLst/>
          </c:spPr>
          <c:invertIfNegative val="0"/>
          <c:cat>
            <c:strRef>
              <c:f>ECData!$B$79:$B$89</c:f>
              <c:strCache>
                <c:ptCount val="11"/>
                <c:pt idx="0">
                  <c:v>CLT, Glulam and Steel Column Hybrid</c:v>
                </c:pt>
                <c:pt idx="1">
                  <c:v>Steel Frame with CLT Slabs</c:v>
                </c:pt>
                <c:pt idx="2">
                  <c:v>Composite Cell Beams with Metal Decking</c:v>
                </c:pt>
                <c:pt idx="3">
                  <c:v>Composite Rolled Steel with Metal Decking</c:v>
                </c:pt>
                <c:pt idx="4">
                  <c:v>Non-Composite Rolled Steel with PCC Planks</c:v>
                </c:pt>
                <c:pt idx="5">
                  <c:v>Precast Hollowcore with In-situ RC Beams</c:v>
                </c:pt>
                <c:pt idx="6">
                  <c:v>One-Way Spanning RC</c:v>
                </c:pt>
                <c:pt idx="7">
                  <c:v>Two-way RC Slab</c:v>
                </c:pt>
                <c:pt idx="8">
                  <c:v>RC Rib Slab</c:v>
                </c:pt>
                <c:pt idx="9">
                  <c:v>PT RC Flat Slab</c:v>
                </c:pt>
                <c:pt idx="10">
                  <c:v>RC Flat Slab</c:v>
                </c:pt>
              </c:strCache>
            </c:strRef>
          </c:cat>
          <c:val>
            <c:numRef>
              <c:f>ECData!$C$79:$C$89</c:f>
              <c:numCache>
                <c:formatCode>#,##0</c:formatCode>
                <c:ptCount val="11"/>
                <c:pt idx="0">
                  <c:v>1150083.321</c:v>
                </c:pt>
                <c:pt idx="1">
                  <c:v>1150083.321</c:v>
                </c:pt>
                <c:pt idx="2">
                  <c:v>1129042.28975</c:v>
                </c:pt>
                <c:pt idx="3">
                  <c:v>1133294.47725</c:v>
                </c:pt>
                <c:pt idx="4">
                  <c:v>1127330.196</c:v>
                </c:pt>
                <c:pt idx="5">
                  <c:v>1131935.821</c:v>
                </c:pt>
                <c:pt idx="6">
                  <c:v>1123768.0085</c:v>
                </c:pt>
                <c:pt idx="7">
                  <c:v>1128020.196</c:v>
                </c:pt>
                <c:pt idx="8">
                  <c:v>1123768.0085</c:v>
                </c:pt>
                <c:pt idx="9">
                  <c:v>1123768.0085</c:v>
                </c:pt>
                <c:pt idx="10">
                  <c:v>1121641.91475</c:v>
                </c:pt>
              </c:numCache>
            </c:numRef>
          </c:val>
          <c:extLst>
            <c:ext xmlns:c16="http://schemas.microsoft.com/office/drawing/2014/chart" uri="{C3380CC4-5D6E-409C-BE32-E72D297353CC}">
              <c16:uniqueId val="{00000000-07AB-4DDD-AF35-96CFAFA030C4}"/>
            </c:ext>
          </c:extLst>
        </c:ser>
        <c:ser>
          <c:idx val="1"/>
          <c:order val="1"/>
          <c:tx>
            <c:strRef>
              <c:f>ECData!$D$78</c:f>
              <c:strCache>
                <c:ptCount val="1"/>
                <c:pt idx="0">
                  <c:v>Superstructure</c:v>
                </c:pt>
              </c:strCache>
            </c:strRef>
          </c:tx>
          <c:spPr>
            <a:solidFill>
              <a:srgbClr val="AECC53"/>
            </a:solidFill>
            <a:ln>
              <a:noFill/>
            </a:ln>
            <a:effectLst/>
          </c:spPr>
          <c:invertIfNegative val="0"/>
          <c:cat>
            <c:strRef>
              <c:f>ECData!$B$79:$B$89</c:f>
              <c:strCache>
                <c:ptCount val="11"/>
                <c:pt idx="0">
                  <c:v>CLT, Glulam and Steel Column Hybrid</c:v>
                </c:pt>
                <c:pt idx="1">
                  <c:v>Steel Frame with CLT Slabs</c:v>
                </c:pt>
                <c:pt idx="2">
                  <c:v>Composite Cell Beams with Metal Decking</c:v>
                </c:pt>
                <c:pt idx="3">
                  <c:v>Composite Rolled Steel with Metal Decking</c:v>
                </c:pt>
                <c:pt idx="4">
                  <c:v>Non-Composite Rolled Steel with PCC Planks</c:v>
                </c:pt>
                <c:pt idx="5">
                  <c:v>Precast Hollowcore with In-situ RC Beams</c:v>
                </c:pt>
                <c:pt idx="6">
                  <c:v>One-Way Spanning RC</c:v>
                </c:pt>
                <c:pt idx="7">
                  <c:v>Two-way RC Slab</c:v>
                </c:pt>
                <c:pt idx="8">
                  <c:v>RC Rib Slab</c:v>
                </c:pt>
                <c:pt idx="9">
                  <c:v>PT RC Flat Slab</c:v>
                </c:pt>
                <c:pt idx="10">
                  <c:v>RC Flat Slab</c:v>
                </c:pt>
              </c:strCache>
            </c:strRef>
          </c:cat>
          <c:val>
            <c:numRef>
              <c:f>ECData!$D$79:$D$89</c:f>
              <c:numCache>
                <c:formatCode>#,##0</c:formatCode>
                <c:ptCount val="11"/>
                <c:pt idx="0">
                  <c:v>1092720.1015796622</c:v>
                </c:pt>
                <c:pt idx="1">
                  <c:v>1126113.4790770609</c:v>
                </c:pt>
                <c:pt idx="2">
                  <c:v>1845129.8975010593</c:v>
                </c:pt>
                <c:pt idx="3">
                  <c:v>1261286.7792180218</c:v>
                </c:pt>
                <c:pt idx="4">
                  <c:v>1379638.5202305417</c:v>
                </c:pt>
                <c:pt idx="5">
                  <c:v>1002154.613576793</c:v>
                </c:pt>
                <c:pt idx="6">
                  <c:v>761496.39127165626</c:v>
                </c:pt>
                <c:pt idx="7">
                  <c:v>634610.86605009274</c:v>
                </c:pt>
                <c:pt idx="8">
                  <c:v>947600.75251453102</c:v>
                </c:pt>
                <c:pt idx="9">
                  <c:v>1069126.4073611295</c:v>
                </c:pt>
                <c:pt idx="10">
                  <c:v>771235.2532392107</c:v>
                </c:pt>
              </c:numCache>
            </c:numRef>
          </c:val>
          <c:extLst>
            <c:ext xmlns:c16="http://schemas.microsoft.com/office/drawing/2014/chart" uri="{C3380CC4-5D6E-409C-BE32-E72D297353CC}">
              <c16:uniqueId val="{00000001-07AB-4DDD-AF35-96CFAFA030C4}"/>
            </c:ext>
          </c:extLst>
        </c:ser>
        <c:ser>
          <c:idx val="2"/>
          <c:order val="2"/>
          <c:tx>
            <c:strRef>
              <c:f>ECData!$E$78</c:f>
              <c:strCache>
                <c:ptCount val="1"/>
                <c:pt idx="0">
                  <c:v>Prelims &amp; Design Development</c:v>
                </c:pt>
              </c:strCache>
            </c:strRef>
          </c:tx>
          <c:spPr>
            <a:solidFill>
              <a:srgbClr val="008768"/>
            </a:solidFill>
            <a:ln>
              <a:noFill/>
            </a:ln>
            <a:effectLst/>
          </c:spPr>
          <c:invertIfNegative val="0"/>
          <c:cat>
            <c:strRef>
              <c:f>ECData!$B$79:$B$89</c:f>
              <c:strCache>
                <c:ptCount val="11"/>
                <c:pt idx="0">
                  <c:v>CLT, Glulam and Steel Column Hybrid</c:v>
                </c:pt>
                <c:pt idx="1">
                  <c:v>Steel Frame with CLT Slabs</c:v>
                </c:pt>
                <c:pt idx="2">
                  <c:v>Composite Cell Beams with Metal Decking</c:v>
                </c:pt>
                <c:pt idx="3">
                  <c:v>Composite Rolled Steel with Metal Decking</c:v>
                </c:pt>
                <c:pt idx="4">
                  <c:v>Non-Composite Rolled Steel with PCC Planks</c:v>
                </c:pt>
                <c:pt idx="5">
                  <c:v>Precast Hollowcore with In-situ RC Beams</c:v>
                </c:pt>
                <c:pt idx="6">
                  <c:v>One-Way Spanning RC</c:v>
                </c:pt>
                <c:pt idx="7">
                  <c:v>Two-way RC Slab</c:v>
                </c:pt>
                <c:pt idx="8">
                  <c:v>RC Rib Slab</c:v>
                </c:pt>
                <c:pt idx="9">
                  <c:v>PT RC Flat Slab</c:v>
                </c:pt>
                <c:pt idx="10">
                  <c:v>RC Flat Slab</c:v>
                </c:pt>
              </c:strCache>
            </c:strRef>
          </c:cat>
          <c:val>
            <c:numRef>
              <c:f>ECData!$E$79:$E$89</c:f>
              <c:numCache>
                <c:formatCode>#,##0</c:formatCode>
                <c:ptCount val="11"/>
                <c:pt idx="0">
                  <c:v>1013487.954354475</c:v>
                </c:pt>
                <c:pt idx="1">
                  <c:v>1025843.5040285125</c:v>
                </c:pt>
                <c:pt idx="2">
                  <c:v>1100443.7092828921</c:v>
                </c:pt>
                <c:pt idx="3">
                  <c:v>885995.06489316816</c:v>
                </c:pt>
                <c:pt idx="4">
                  <c:v>927578.42500530044</c:v>
                </c:pt>
                <c:pt idx="5">
                  <c:v>789613.46079341357</c:v>
                </c:pt>
                <c:pt idx="6">
                  <c:v>697547.82791551296</c:v>
                </c:pt>
                <c:pt idx="7">
                  <c:v>652173.49295853439</c:v>
                </c:pt>
                <c:pt idx="8">
                  <c:v>766406.44157537655</c:v>
                </c:pt>
                <c:pt idx="9">
                  <c:v>811370.93386861787</c:v>
                </c:pt>
                <c:pt idx="10">
                  <c:v>700364.55215600797</c:v>
                </c:pt>
              </c:numCache>
            </c:numRef>
          </c:val>
          <c:extLst>
            <c:ext xmlns:c16="http://schemas.microsoft.com/office/drawing/2014/chart" uri="{C3380CC4-5D6E-409C-BE32-E72D297353CC}">
              <c16:uniqueId val="{00000002-07AB-4DDD-AF35-96CFAFA030C4}"/>
            </c:ext>
          </c:extLst>
        </c:ser>
        <c:dLbls>
          <c:showLegendKey val="0"/>
          <c:showVal val="0"/>
          <c:showCatName val="0"/>
          <c:showSerName val="0"/>
          <c:showPercent val="0"/>
          <c:showBubbleSize val="0"/>
        </c:dLbls>
        <c:gapWidth val="150"/>
        <c:overlap val="100"/>
        <c:axId val="292144"/>
        <c:axId val="319763327"/>
      </c:barChart>
      <c:lineChart>
        <c:grouping val="standard"/>
        <c:varyColors val="0"/>
        <c:ser>
          <c:idx val="3"/>
          <c:order val="3"/>
          <c:tx>
            <c:strRef>
              <c:f>ECData!$G$78</c:f>
              <c:strCache>
                <c:ptCount val="1"/>
                <c:pt idx="0">
                  <c:v>A-C</c:v>
                </c:pt>
              </c:strCache>
            </c:strRef>
          </c:tx>
          <c:spPr>
            <a:ln w="19050" cap="rnd">
              <a:solidFill>
                <a:srgbClr val="E52713"/>
              </a:solidFill>
              <a:round/>
            </a:ln>
            <a:effectLst/>
          </c:spPr>
          <c:marker>
            <c:symbol val="none"/>
          </c:marker>
          <c:val>
            <c:numRef>
              <c:f>ECData!$G$79:$G$89</c:f>
              <c:numCache>
                <c:formatCode>0</c:formatCode>
                <c:ptCount val="11"/>
                <c:pt idx="0">
                  <c:v>134.88999789397315</c:v>
                </c:pt>
                <c:pt idx="1">
                  <c:v>148.20390374563553</c:v>
                </c:pt>
                <c:pt idx="2">
                  <c:v>233.05277373711962</c:v>
                </c:pt>
                <c:pt idx="3">
                  <c:v>199.07991892513581</c:v>
                </c:pt>
                <c:pt idx="4">
                  <c:v>197.1841425599481</c:v>
                </c:pt>
                <c:pt idx="5">
                  <c:v>213.49680233289138</c:v>
                </c:pt>
                <c:pt idx="6">
                  <c:v>174.04055843936973</c:v>
                </c:pt>
                <c:pt idx="7">
                  <c:v>172.64091479809019</c:v>
                </c:pt>
                <c:pt idx="8">
                  <c:v>171.94322910969626</c:v>
                </c:pt>
                <c:pt idx="9">
                  <c:v>179.16505123666269</c:v>
                </c:pt>
                <c:pt idx="10">
                  <c:v>172.8849589973226</c:v>
                </c:pt>
              </c:numCache>
            </c:numRef>
          </c:val>
          <c:smooth val="0"/>
          <c:extLst>
            <c:ext xmlns:c16="http://schemas.microsoft.com/office/drawing/2014/chart" uri="{C3380CC4-5D6E-409C-BE32-E72D297353CC}">
              <c16:uniqueId val="{00000004-07AB-4DDD-AF35-96CFAFA030C4}"/>
            </c:ext>
          </c:extLst>
        </c:ser>
        <c:dLbls>
          <c:showLegendKey val="0"/>
          <c:showVal val="0"/>
          <c:showCatName val="0"/>
          <c:showSerName val="0"/>
          <c:showPercent val="0"/>
          <c:showBubbleSize val="0"/>
        </c:dLbls>
        <c:marker val="1"/>
        <c:smooth val="0"/>
        <c:axId val="2042627759"/>
        <c:axId val="1664510799"/>
      </c:lineChart>
      <c:catAx>
        <c:axId val="29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319763327"/>
        <c:crosses val="autoZero"/>
        <c:auto val="1"/>
        <c:lblAlgn val="ctr"/>
        <c:lblOffset val="100"/>
        <c:noMultiLvlLbl val="0"/>
      </c:catAx>
      <c:valAx>
        <c:axId val="31976332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292144"/>
        <c:crosses val="autoZero"/>
        <c:crossBetween val="between"/>
      </c:valAx>
      <c:valAx>
        <c:axId val="16645107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r>
                  <a:rPr lang="en-GB"/>
                  <a:t>kgCO</a:t>
                </a:r>
                <a:r>
                  <a:rPr lang="en-GB" baseline="-25000"/>
                  <a:t>2</a:t>
                </a:r>
                <a:r>
                  <a:rPr lang="en-GB"/>
                  <a:t>e/m</a:t>
                </a:r>
                <a:r>
                  <a:rPr lang="en-GB" baseline="30000"/>
                  <a:t>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2042627759"/>
        <c:crosses val="max"/>
        <c:crossBetween val="between"/>
      </c:valAx>
      <c:catAx>
        <c:axId val="2042627759"/>
        <c:scaling>
          <c:orientation val="minMax"/>
        </c:scaling>
        <c:delete val="1"/>
        <c:axPos val="b"/>
        <c:majorTickMark val="out"/>
        <c:minorTickMark val="none"/>
        <c:tickLblPos val="nextTo"/>
        <c:crossAx val="166451079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0" i="0" u="none" strike="noStrike" kern="1200" spc="0" baseline="0">
                <a:solidFill>
                  <a:schemeClr val="bg1"/>
                </a:solidFill>
                <a:latin typeface="Arial" panose="020B0604020202020204" pitchFamily="34" charset="0"/>
                <a:ea typeface="+mn-ea"/>
                <a:cs typeface="Arial" panose="020B0604020202020204" pitchFamily="34" charset="0"/>
              </a:defRPr>
            </a:pPr>
            <a:r>
              <a:rPr lang="en-GB" sz="1000" b="1">
                <a:effectLst/>
              </a:rPr>
              <a:t>Structural Embodied Carbon per Module (tCO</a:t>
            </a:r>
            <a:r>
              <a:rPr lang="en-GB" sz="1000" b="1" baseline="-25000">
                <a:effectLst/>
              </a:rPr>
              <a:t>2</a:t>
            </a:r>
            <a:r>
              <a:rPr lang="en-GB" sz="1000" b="1">
                <a:effectLst/>
              </a:rPr>
              <a:t>e):</a:t>
            </a:r>
            <a:endParaRPr lang="en-GB" sz="700" b="1">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9.6403875441495743E-2"/>
          <c:y val="0.14822652376786236"/>
          <c:w val="0.64043517808584505"/>
          <c:h val="0.74833276422455763"/>
        </c:manualLayout>
      </c:layout>
      <c:pieChart>
        <c:varyColors val="1"/>
        <c:ser>
          <c:idx val="0"/>
          <c:order val="0"/>
          <c:spPr>
            <a:ln w="6350">
              <a:solidFill>
                <a:srgbClr val="00353E"/>
              </a:solidFill>
            </a:ln>
          </c:spPr>
          <c:dPt>
            <c:idx val="0"/>
            <c:bubble3D val="0"/>
            <c:spPr>
              <a:solidFill>
                <a:srgbClr val="AECC53"/>
              </a:solidFill>
              <a:ln w="6350">
                <a:solidFill>
                  <a:srgbClr val="00353E"/>
                </a:solidFill>
              </a:ln>
              <a:effectLst/>
            </c:spPr>
            <c:extLst>
              <c:ext xmlns:c16="http://schemas.microsoft.com/office/drawing/2014/chart" uri="{C3380CC4-5D6E-409C-BE32-E72D297353CC}">
                <c16:uniqueId val="{00000001-FE92-4C16-87ED-FED60F954343}"/>
              </c:ext>
            </c:extLst>
          </c:dPt>
          <c:dPt>
            <c:idx val="1"/>
            <c:bubble3D val="0"/>
            <c:spPr>
              <a:solidFill>
                <a:srgbClr val="008768"/>
              </a:solidFill>
              <a:ln w="6350">
                <a:solidFill>
                  <a:srgbClr val="00353E"/>
                </a:solidFill>
              </a:ln>
              <a:effectLst/>
            </c:spPr>
            <c:extLst>
              <c:ext xmlns:c16="http://schemas.microsoft.com/office/drawing/2014/chart" uri="{C3380CC4-5D6E-409C-BE32-E72D297353CC}">
                <c16:uniqueId val="{00000003-FE92-4C16-87ED-FED60F954343}"/>
              </c:ext>
            </c:extLst>
          </c:dPt>
          <c:dPt>
            <c:idx val="2"/>
            <c:bubble3D val="0"/>
            <c:spPr>
              <a:solidFill>
                <a:srgbClr val="FFCE00"/>
              </a:solidFill>
              <a:ln w="6350">
                <a:solidFill>
                  <a:srgbClr val="00353E"/>
                </a:solidFill>
              </a:ln>
              <a:effectLst/>
            </c:spPr>
            <c:extLst>
              <c:ext xmlns:c16="http://schemas.microsoft.com/office/drawing/2014/chart" uri="{C3380CC4-5D6E-409C-BE32-E72D297353CC}">
                <c16:uniqueId val="{00000005-FE92-4C16-87ED-FED60F954343}"/>
              </c:ext>
            </c:extLst>
          </c:dPt>
          <c:dPt>
            <c:idx val="3"/>
            <c:bubble3D val="0"/>
            <c:spPr>
              <a:solidFill>
                <a:srgbClr val="E52713"/>
              </a:solidFill>
              <a:ln w="6350">
                <a:solidFill>
                  <a:srgbClr val="00353E"/>
                </a:solidFill>
              </a:ln>
              <a:effectLst/>
            </c:spPr>
            <c:extLst>
              <c:ext xmlns:c16="http://schemas.microsoft.com/office/drawing/2014/chart" uri="{C3380CC4-5D6E-409C-BE32-E72D297353CC}">
                <c16:uniqueId val="{00000007-FE92-4C16-87ED-FED60F954343}"/>
              </c:ext>
            </c:extLst>
          </c:dPt>
          <c:dLbls>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ECData!$B$65:$B$68</c:f>
              <c:strCache>
                <c:ptCount val="4"/>
                <c:pt idx="0">
                  <c:v>A1-A3</c:v>
                </c:pt>
                <c:pt idx="1">
                  <c:v>A4</c:v>
                </c:pt>
                <c:pt idx="2">
                  <c:v>A5W</c:v>
                </c:pt>
                <c:pt idx="3">
                  <c:v>A5A</c:v>
                </c:pt>
              </c:strCache>
            </c:strRef>
          </c:cat>
          <c:val>
            <c:numRef>
              <c:f>ECData!$C$65:$C$68</c:f>
              <c:numCache>
                <c:formatCode>0</c:formatCode>
                <c:ptCount val="4"/>
                <c:pt idx="0">
                  <c:v>760.5214562222576</c:v>
                </c:pt>
                <c:pt idx="1">
                  <c:v>50.089383366780886</c:v>
                </c:pt>
                <c:pt idx="2">
                  <c:v>48.616892922023681</c:v>
                </c:pt>
                <c:pt idx="3">
                  <c:v>18.152692041016529</c:v>
                </c:pt>
              </c:numCache>
            </c:numRef>
          </c:val>
          <c:extLst>
            <c:ext xmlns:c16="http://schemas.microsoft.com/office/drawing/2014/chart" uri="{C3380CC4-5D6E-409C-BE32-E72D297353CC}">
              <c16:uniqueId val="{00000008-FE92-4C16-87ED-FED60F95434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6687722482325427"/>
          <c:y val="0.42528171728033543"/>
          <c:w val="0.11906984640701201"/>
          <c:h val="0.2135886636946680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353E"/>
    </a:solidFill>
    <a:ln w="9525" cap="flat" cmpd="sng" algn="ctr">
      <a:noFill/>
      <a:round/>
    </a:ln>
    <a:effectLst/>
  </c:spPr>
  <c:txPr>
    <a:bodyPr/>
    <a:lstStyle/>
    <a:p>
      <a:pPr>
        <a:defRPr sz="1000">
          <a:solidFill>
            <a:schemeClr val="bg1"/>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ECData!$C$7</c:f>
              <c:strCache>
                <c:ptCount val="1"/>
                <c:pt idx="0">
                  <c:v>A++</c:v>
                </c:pt>
              </c:strCache>
            </c:strRef>
          </c:tx>
          <c:spPr>
            <a:solidFill>
              <a:schemeClr val="accent1"/>
            </a:solidFill>
            <a:ln>
              <a:noFill/>
            </a:ln>
            <a:effectLst/>
          </c:spPr>
          <c:invertIfNegative val="0"/>
          <c:cat>
            <c:strRef>
              <c:f>ECData!$B$8:$B$19</c:f>
              <c:strCache>
                <c:ptCount val="12"/>
                <c:pt idx="0">
                  <c:v>A++</c:v>
                </c:pt>
                <c:pt idx="1">
                  <c:v>A+</c:v>
                </c:pt>
                <c:pt idx="2">
                  <c:v>CLT, Glulam and Steel Column Hybrid</c:v>
                </c:pt>
                <c:pt idx="3">
                  <c:v>Steel Frame with CLT Slabs</c:v>
                </c:pt>
                <c:pt idx="4">
                  <c:v>A</c:v>
                </c:pt>
                <c:pt idx="5">
                  <c:v>RC Flat Slab</c:v>
                </c:pt>
                <c:pt idx="6">
                  <c:v>RC Rib Slab</c:v>
                </c:pt>
                <c:pt idx="7">
                  <c:v>Two-way RC Slab</c:v>
                </c:pt>
                <c:pt idx="8">
                  <c:v>One-Way Spanning RC</c:v>
                </c:pt>
                <c:pt idx="9">
                  <c:v>PT RC Flat Slab</c:v>
                </c:pt>
                <c:pt idx="10">
                  <c:v>Non-Composite Rolled Steel with PCC Planks</c:v>
                </c:pt>
                <c:pt idx="11">
                  <c:v>Composite Rolled Steel with Metal Decking</c:v>
                </c:pt>
              </c:strCache>
            </c:strRef>
          </c:cat>
          <c:val>
            <c:numRef>
              <c:f>ECData!$C$8:$C$19</c:f>
              <c:numCache>
                <c:formatCode>0</c:formatCode>
                <c:ptCount val="12"/>
                <c:pt idx="0">
                  <c:v>50</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0-751B-4465-BB7C-3F2EACFB1EF0}"/>
            </c:ext>
          </c:extLst>
        </c:ser>
        <c:ser>
          <c:idx val="1"/>
          <c:order val="1"/>
          <c:tx>
            <c:strRef>
              <c:f>ECData!$D$7</c:f>
              <c:strCache>
                <c:ptCount val="1"/>
                <c:pt idx="0">
                  <c:v>A+</c:v>
                </c:pt>
              </c:strCache>
            </c:strRef>
          </c:tx>
          <c:spPr>
            <a:solidFill>
              <a:schemeClr val="accent2"/>
            </a:solidFill>
            <a:ln>
              <a:noFill/>
            </a:ln>
            <a:effectLst/>
          </c:spPr>
          <c:invertIfNegative val="0"/>
          <c:cat>
            <c:strRef>
              <c:f>ECData!$B$8:$B$19</c:f>
              <c:strCache>
                <c:ptCount val="12"/>
                <c:pt idx="0">
                  <c:v>A++</c:v>
                </c:pt>
                <c:pt idx="1">
                  <c:v>A+</c:v>
                </c:pt>
                <c:pt idx="2">
                  <c:v>CLT, Glulam and Steel Column Hybrid</c:v>
                </c:pt>
                <c:pt idx="3">
                  <c:v>Steel Frame with CLT Slabs</c:v>
                </c:pt>
                <c:pt idx="4">
                  <c:v>A</c:v>
                </c:pt>
                <c:pt idx="5">
                  <c:v>RC Flat Slab</c:v>
                </c:pt>
                <c:pt idx="6">
                  <c:v>RC Rib Slab</c:v>
                </c:pt>
                <c:pt idx="7">
                  <c:v>Two-way RC Slab</c:v>
                </c:pt>
                <c:pt idx="8">
                  <c:v>One-Way Spanning RC</c:v>
                </c:pt>
                <c:pt idx="9">
                  <c:v>PT RC Flat Slab</c:v>
                </c:pt>
                <c:pt idx="10">
                  <c:v>Non-Composite Rolled Steel with PCC Planks</c:v>
                </c:pt>
                <c:pt idx="11">
                  <c:v>Composite Rolled Steel with Metal Decking</c:v>
                </c:pt>
              </c:strCache>
            </c:strRef>
          </c:cat>
          <c:val>
            <c:numRef>
              <c:f>ECData!$D$8:$D$19</c:f>
              <c:numCache>
                <c:formatCode>0</c:formatCode>
                <c:ptCount val="12"/>
                <c:pt idx="0">
                  <c:v>#N/A</c:v>
                </c:pt>
                <c:pt idx="1">
                  <c:v>100</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1-751B-4465-BB7C-3F2EACFB1EF0}"/>
            </c:ext>
          </c:extLst>
        </c:ser>
        <c:ser>
          <c:idx val="2"/>
          <c:order val="2"/>
          <c:tx>
            <c:strRef>
              <c:f>ECData!$E$7</c:f>
              <c:strCache>
                <c:ptCount val="1"/>
                <c:pt idx="0">
                  <c:v>A</c:v>
                </c:pt>
              </c:strCache>
            </c:strRef>
          </c:tx>
          <c:spPr>
            <a:solidFill>
              <a:schemeClr val="accent3"/>
            </a:solidFill>
            <a:ln>
              <a:noFill/>
            </a:ln>
            <a:effectLst/>
          </c:spPr>
          <c:invertIfNegative val="0"/>
          <c:cat>
            <c:strRef>
              <c:f>ECData!$B$8:$B$19</c:f>
              <c:strCache>
                <c:ptCount val="12"/>
                <c:pt idx="0">
                  <c:v>A++</c:v>
                </c:pt>
                <c:pt idx="1">
                  <c:v>A+</c:v>
                </c:pt>
                <c:pt idx="2">
                  <c:v>CLT, Glulam and Steel Column Hybrid</c:v>
                </c:pt>
                <c:pt idx="3">
                  <c:v>Steel Frame with CLT Slabs</c:v>
                </c:pt>
                <c:pt idx="4">
                  <c:v>A</c:v>
                </c:pt>
                <c:pt idx="5">
                  <c:v>RC Flat Slab</c:v>
                </c:pt>
                <c:pt idx="6">
                  <c:v>RC Rib Slab</c:v>
                </c:pt>
                <c:pt idx="7">
                  <c:v>Two-way RC Slab</c:v>
                </c:pt>
                <c:pt idx="8">
                  <c:v>One-Way Spanning RC</c:v>
                </c:pt>
                <c:pt idx="9">
                  <c:v>PT RC Flat Slab</c:v>
                </c:pt>
                <c:pt idx="10">
                  <c:v>Non-Composite Rolled Steel with PCC Planks</c:v>
                </c:pt>
                <c:pt idx="11">
                  <c:v>Composite Rolled Steel with Metal Decking</c:v>
                </c:pt>
              </c:strCache>
            </c:strRef>
          </c:cat>
          <c:val>
            <c:numRef>
              <c:f>ECData!$E$8:$E$19</c:f>
              <c:numCache>
                <c:formatCode>0</c:formatCode>
                <c:ptCount val="12"/>
                <c:pt idx="0">
                  <c:v>#N/A</c:v>
                </c:pt>
                <c:pt idx="1">
                  <c:v>#N/A</c:v>
                </c:pt>
                <c:pt idx="2">
                  <c:v>121.56075906154834</c:v>
                </c:pt>
                <c:pt idx="3">
                  <c:v>135.19480954165567</c:v>
                </c:pt>
                <c:pt idx="4">
                  <c:v>150</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2-751B-4465-BB7C-3F2EACFB1EF0}"/>
            </c:ext>
          </c:extLst>
        </c:ser>
        <c:ser>
          <c:idx val="3"/>
          <c:order val="3"/>
          <c:tx>
            <c:strRef>
              <c:f>ECData!$F$7</c:f>
              <c:strCache>
                <c:ptCount val="1"/>
                <c:pt idx="0">
                  <c:v>B</c:v>
                </c:pt>
              </c:strCache>
            </c:strRef>
          </c:tx>
          <c:spPr>
            <a:solidFill>
              <a:schemeClr val="accent4"/>
            </a:solidFill>
            <a:ln>
              <a:noFill/>
            </a:ln>
            <a:effectLst/>
          </c:spPr>
          <c:invertIfNegative val="0"/>
          <c:cat>
            <c:strRef>
              <c:f>ECData!$B$8:$B$19</c:f>
              <c:strCache>
                <c:ptCount val="12"/>
                <c:pt idx="0">
                  <c:v>A++</c:v>
                </c:pt>
                <c:pt idx="1">
                  <c:v>A+</c:v>
                </c:pt>
                <c:pt idx="2">
                  <c:v>CLT, Glulam and Steel Column Hybrid</c:v>
                </c:pt>
                <c:pt idx="3">
                  <c:v>Steel Frame with CLT Slabs</c:v>
                </c:pt>
                <c:pt idx="4">
                  <c:v>A</c:v>
                </c:pt>
                <c:pt idx="5">
                  <c:v>RC Flat Slab</c:v>
                </c:pt>
                <c:pt idx="6">
                  <c:v>RC Rib Slab</c:v>
                </c:pt>
                <c:pt idx="7">
                  <c:v>Two-way RC Slab</c:v>
                </c:pt>
                <c:pt idx="8">
                  <c:v>One-Way Spanning RC</c:v>
                </c:pt>
                <c:pt idx="9">
                  <c:v>PT RC Flat Slab</c:v>
                </c:pt>
                <c:pt idx="10">
                  <c:v>Non-Composite Rolled Steel with PCC Planks</c:v>
                </c:pt>
                <c:pt idx="11">
                  <c:v>Composite Rolled Steel with Metal Decking</c:v>
                </c:pt>
              </c:strCache>
            </c:strRef>
          </c:cat>
          <c:val>
            <c:numRef>
              <c:f>ECData!$F$8:$F$19</c:f>
              <c:numCache>
                <c:formatCode>0</c:formatCode>
                <c:ptCount val="12"/>
                <c:pt idx="0">
                  <c:v>#N/A</c:v>
                </c:pt>
                <c:pt idx="1">
                  <c:v>#N/A</c:v>
                </c:pt>
                <c:pt idx="2">
                  <c:v>#N/A</c:v>
                </c:pt>
                <c:pt idx="3">
                  <c:v>#N/A</c:v>
                </c:pt>
                <c:pt idx="4">
                  <c:v>#N/A</c:v>
                </c:pt>
                <c:pt idx="5">
                  <c:v>152.32299037362478</c:v>
                </c:pt>
                <c:pt idx="6">
                  <c:v>152.81299981125284</c:v>
                </c:pt>
                <c:pt idx="7">
                  <c:v>153.99157901059633</c:v>
                </c:pt>
                <c:pt idx="8">
                  <c:v>154.73610996684798</c:v>
                </c:pt>
                <c:pt idx="9">
                  <c:v>159.08793451289299</c:v>
                </c:pt>
                <c:pt idx="10">
                  <c:v>178.34298558264999</c:v>
                </c:pt>
                <c:pt idx="11">
                  <c:v>182.27730552996073</c:v>
                </c:pt>
              </c:numCache>
            </c:numRef>
          </c:val>
          <c:extLst>
            <c:ext xmlns:c16="http://schemas.microsoft.com/office/drawing/2014/chart" uri="{C3380CC4-5D6E-409C-BE32-E72D297353CC}">
              <c16:uniqueId val="{00000003-751B-4465-BB7C-3F2EACFB1EF0}"/>
            </c:ext>
          </c:extLst>
        </c:ser>
        <c:ser>
          <c:idx val="4"/>
          <c:order val="4"/>
          <c:tx>
            <c:strRef>
              <c:f>ECData!$G$7</c:f>
              <c:strCache>
                <c:ptCount val="1"/>
                <c:pt idx="0">
                  <c:v>C</c:v>
                </c:pt>
              </c:strCache>
            </c:strRef>
          </c:tx>
          <c:spPr>
            <a:solidFill>
              <a:schemeClr val="accent5"/>
            </a:solidFill>
            <a:ln>
              <a:noFill/>
            </a:ln>
            <a:effectLst/>
          </c:spPr>
          <c:invertIfNegative val="0"/>
          <c:cat>
            <c:strRef>
              <c:f>ECData!$B$8:$B$19</c:f>
              <c:strCache>
                <c:ptCount val="12"/>
                <c:pt idx="0">
                  <c:v>A++</c:v>
                </c:pt>
                <c:pt idx="1">
                  <c:v>A+</c:v>
                </c:pt>
                <c:pt idx="2">
                  <c:v>CLT, Glulam and Steel Column Hybrid</c:v>
                </c:pt>
                <c:pt idx="3">
                  <c:v>Steel Frame with CLT Slabs</c:v>
                </c:pt>
                <c:pt idx="4">
                  <c:v>A</c:v>
                </c:pt>
                <c:pt idx="5">
                  <c:v>RC Flat Slab</c:v>
                </c:pt>
                <c:pt idx="6">
                  <c:v>RC Rib Slab</c:v>
                </c:pt>
                <c:pt idx="7">
                  <c:v>Two-way RC Slab</c:v>
                </c:pt>
                <c:pt idx="8">
                  <c:v>One-Way Spanning RC</c:v>
                </c:pt>
                <c:pt idx="9">
                  <c:v>PT RC Flat Slab</c:v>
                </c:pt>
                <c:pt idx="10">
                  <c:v>Non-Composite Rolled Steel with PCC Planks</c:v>
                </c:pt>
                <c:pt idx="11">
                  <c:v>Composite Rolled Steel with Metal Decking</c:v>
                </c:pt>
              </c:strCache>
            </c:strRef>
          </c:cat>
          <c:val>
            <c:numRef>
              <c:f>ECData!$G$8:$G$19</c:f>
              <c:numCache>
                <c:formatCode>0</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4-751B-4465-BB7C-3F2EACFB1EF0}"/>
            </c:ext>
          </c:extLst>
        </c:ser>
        <c:ser>
          <c:idx val="5"/>
          <c:order val="5"/>
          <c:tx>
            <c:strRef>
              <c:f>ECData!$H$7</c:f>
              <c:strCache>
                <c:ptCount val="1"/>
                <c:pt idx="0">
                  <c:v>D</c:v>
                </c:pt>
              </c:strCache>
            </c:strRef>
          </c:tx>
          <c:spPr>
            <a:solidFill>
              <a:schemeClr val="accent6"/>
            </a:solidFill>
            <a:ln>
              <a:noFill/>
            </a:ln>
            <a:effectLst/>
          </c:spPr>
          <c:invertIfNegative val="0"/>
          <c:cat>
            <c:strRef>
              <c:f>ECData!$B$8:$B$19</c:f>
              <c:strCache>
                <c:ptCount val="12"/>
                <c:pt idx="0">
                  <c:v>A++</c:v>
                </c:pt>
                <c:pt idx="1">
                  <c:v>A+</c:v>
                </c:pt>
                <c:pt idx="2">
                  <c:v>CLT, Glulam and Steel Column Hybrid</c:v>
                </c:pt>
                <c:pt idx="3">
                  <c:v>Steel Frame with CLT Slabs</c:v>
                </c:pt>
                <c:pt idx="4">
                  <c:v>A</c:v>
                </c:pt>
                <c:pt idx="5">
                  <c:v>RC Flat Slab</c:v>
                </c:pt>
                <c:pt idx="6">
                  <c:v>RC Rib Slab</c:v>
                </c:pt>
                <c:pt idx="7">
                  <c:v>Two-way RC Slab</c:v>
                </c:pt>
                <c:pt idx="8">
                  <c:v>One-Way Spanning RC</c:v>
                </c:pt>
                <c:pt idx="9">
                  <c:v>PT RC Flat Slab</c:v>
                </c:pt>
                <c:pt idx="10">
                  <c:v>Non-Composite Rolled Steel with PCC Planks</c:v>
                </c:pt>
                <c:pt idx="11">
                  <c:v>Composite Rolled Steel with Metal Decking</c:v>
                </c:pt>
              </c:strCache>
            </c:strRef>
          </c:cat>
          <c:val>
            <c:numRef>
              <c:f>ECData!$H$8:$H$19</c:f>
              <c:numCache>
                <c:formatCode>0</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5-751B-4465-BB7C-3F2EACFB1EF0}"/>
            </c:ext>
          </c:extLst>
        </c:ser>
        <c:ser>
          <c:idx val="6"/>
          <c:order val="6"/>
          <c:tx>
            <c:strRef>
              <c:f>ECData!$I$7</c:f>
              <c:strCache>
                <c:ptCount val="1"/>
                <c:pt idx="0">
                  <c:v>E</c:v>
                </c:pt>
              </c:strCache>
            </c:strRef>
          </c:tx>
          <c:spPr>
            <a:solidFill>
              <a:schemeClr val="accent1">
                <a:lumMod val="60000"/>
              </a:schemeClr>
            </a:solidFill>
            <a:ln>
              <a:noFill/>
            </a:ln>
            <a:effectLst/>
          </c:spPr>
          <c:invertIfNegative val="0"/>
          <c:cat>
            <c:strRef>
              <c:f>ECData!$B$8:$B$19</c:f>
              <c:strCache>
                <c:ptCount val="12"/>
                <c:pt idx="0">
                  <c:v>A++</c:v>
                </c:pt>
                <c:pt idx="1">
                  <c:v>A+</c:v>
                </c:pt>
                <c:pt idx="2">
                  <c:v>CLT, Glulam and Steel Column Hybrid</c:v>
                </c:pt>
                <c:pt idx="3">
                  <c:v>Steel Frame with CLT Slabs</c:v>
                </c:pt>
                <c:pt idx="4">
                  <c:v>A</c:v>
                </c:pt>
                <c:pt idx="5">
                  <c:v>RC Flat Slab</c:v>
                </c:pt>
                <c:pt idx="6">
                  <c:v>RC Rib Slab</c:v>
                </c:pt>
                <c:pt idx="7">
                  <c:v>Two-way RC Slab</c:v>
                </c:pt>
                <c:pt idx="8">
                  <c:v>One-Way Spanning RC</c:v>
                </c:pt>
                <c:pt idx="9">
                  <c:v>PT RC Flat Slab</c:v>
                </c:pt>
                <c:pt idx="10">
                  <c:v>Non-Composite Rolled Steel with PCC Planks</c:v>
                </c:pt>
                <c:pt idx="11">
                  <c:v>Composite Rolled Steel with Metal Decking</c:v>
                </c:pt>
              </c:strCache>
            </c:strRef>
          </c:cat>
          <c:val>
            <c:numRef>
              <c:f>ECData!$I$8:$I$19</c:f>
              <c:numCache>
                <c:formatCode>0</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751B-4465-BB7C-3F2EACFB1EF0}"/>
            </c:ext>
          </c:extLst>
        </c:ser>
        <c:ser>
          <c:idx val="7"/>
          <c:order val="7"/>
          <c:tx>
            <c:strRef>
              <c:f>ECData!$J$7</c:f>
              <c:strCache>
                <c:ptCount val="1"/>
                <c:pt idx="0">
                  <c:v>F</c:v>
                </c:pt>
              </c:strCache>
            </c:strRef>
          </c:tx>
          <c:spPr>
            <a:solidFill>
              <a:schemeClr val="accent2">
                <a:lumMod val="60000"/>
              </a:schemeClr>
            </a:solidFill>
            <a:ln>
              <a:noFill/>
            </a:ln>
            <a:effectLst/>
          </c:spPr>
          <c:invertIfNegative val="0"/>
          <c:cat>
            <c:strRef>
              <c:f>ECData!$B$8:$B$19</c:f>
              <c:strCache>
                <c:ptCount val="12"/>
                <c:pt idx="0">
                  <c:v>A++</c:v>
                </c:pt>
                <c:pt idx="1">
                  <c:v>A+</c:v>
                </c:pt>
                <c:pt idx="2">
                  <c:v>CLT, Glulam and Steel Column Hybrid</c:v>
                </c:pt>
                <c:pt idx="3">
                  <c:v>Steel Frame with CLT Slabs</c:v>
                </c:pt>
                <c:pt idx="4">
                  <c:v>A</c:v>
                </c:pt>
                <c:pt idx="5">
                  <c:v>RC Flat Slab</c:v>
                </c:pt>
                <c:pt idx="6">
                  <c:v>RC Rib Slab</c:v>
                </c:pt>
                <c:pt idx="7">
                  <c:v>Two-way RC Slab</c:v>
                </c:pt>
                <c:pt idx="8">
                  <c:v>One-Way Spanning RC</c:v>
                </c:pt>
                <c:pt idx="9">
                  <c:v>PT RC Flat Slab</c:v>
                </c:pt>
                <c:pt idx="10">
                  <c:v>Non-Composite Rolled Steel with PCC Planks</c:v>
                </c:pt>
                <c:pt idx="11">
                  <c:v>Composite Rolled Steel with Metal Decking</c:v>
                </c:pt>
              </c:strCache>
            </c:strRef>
          </c:cat>
          <c:val>
            <c:numRef>
              <c:f>ECData!$J$8:$J$19</c:f>
              <c:numCache>
                <c:formatCode>0</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751B-4465-BB7C-3F2EACFB1EF0}"/>
            </c:ext>
          </c:extLst>
        </c:ser>
        <c:ser>
          <c:idx val="8"/>
          <c:order val="8"/>
          <c:tx>
            <c:strRef>
              <c:f>ECData!$K$7</c:f>
              <c:strCache>
                <c:ptCount val="1"/>
                <c:pt idx="0">
                  <c:v>G</c:v>
                </c:pt>
              </c:strCache>
            </c:strRef>
          </c:tx>
          <c:spPr>
            <a:solidFill>
              <a:schemeClr val="accent3">
                <a:lumMod val="60000"/>
              </a:schemeClr>
            </a:solidFill>
            <a:ln>
              <a:noFill/>
            </a:ln>
            <a:effectLst/>
          </c:spPr>
          <c:invertIfNegative val="0"/>
          <c:cat>
            <c:strRef>
              <c:f>ECData!$B$8:$B$19</c:f>
              <c:strCache>
                <c:ptCount val="12"/>
                <c:pt idx="0">
                  <c:v>A++</c:v>
                </c:pt>
                <c:pt idx="1">
                  <c:v>A+</c:v>
                </c:pt>
                <c:pt idx="2">
                  <c:v>CLT, Glulam and Steel Column Hybrid</c:v>
                </c:pt>
                <c:pt idx="3">
                  <c:v>Steel Frame with CLT Slabs</c:v>
                </c:pt>
                <c:pt idx="4">
                  <c:v>A</c:v>
                </c:pt>
                <c:pt idx="5">
                  <c:v>RC Flat Slab</c:v>
                </c:pt>
                <c:pt idx="6">
                  <c:v>RC Rib Slab</c:v>
                </c:pt>
                <c:pt idx="7">
                  <c:v>Two-way RC Slab</c:v>
                </c:pt>
                <c:pt idx="8">
                  <c:v>One-Way Spanning RC</c:v>
                </c:pt>
                <c:pt idx="9">
                  <c:v>PT RC Flat Slab</c:v>
                </c:pt>
                <c:pt idx="10">
                  <c:v>Non-Composite Rolled Steel with PCC Planks</c:v>
                </c:pt>
                <c:pt idx="11">
                  <c:v>Composite Rolled Steel with Metal Decking</c:v>
                </c:pt>
              </c:strCache>
            </c:strRef>
          </c:cat>
          <c:val>
            <c:numRef>
              <c:f>ECData!$K$8:$K$19</c:f>
              <c:numCache>
                <c:formatCode>0</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751B-4465-BB7C-3F2EACFB1EF0}"/>
            </c:ext>
          </c:extLst>
        </c:ser>
        <c:dLbls>
          <c:showLegendKey val="0"/>
          <c:showVal val="0"/>
          <c:showCatName val="0"/>
          <c:showSerName val="0"/>
          <c:showPercent val="0"/>
          <c:showBubbleSize val="0"/>
        </c:dLbls>
        <c:gapWidth val="219"/>
        <c:axId val="2109055775"/>
        <c:axId val="663147887"/>
      </c:barChart>
      <c:catAx>
        <c:axId val="210905577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147887"/>
        <c:crosses val="autoZero"/>
        <c:auto val="1"/>
        <c:lblAlgn val="ctr"/>
        <c:lblOffset val="100"/>
        <c:noMultiLvlLbl val="0"/>
      </c:catAx>
      <c:valAx>
        <c:axId val="663147887"/>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9055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400" b="1"/>
              <a:t>Adopted Ground Model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5180073324696454E-2"/>
          <c:y val="0.22052066917202084"/>
          <c:w val="0.96326419803656838"/>
          <c:h val="0.6936181075561606"/>
        </c:manualLayout>
      </c:layout>
      <c:barChart>
        <c:barDir val="col"/>
        <c:grouping val="stacked"/>
        <c:varyColors val="0"/>
        <c:ser>
          <c:idx val="0"/>
          <c:order val="0"/>
          <c:tx>
            <c:strRef>
              <c:f>'Ground Model Results'!$A$96</c:f>
              <c:strCache>
                <c:ptCount val="1"/>
                <c:pt idx="0">
                  <c:v>Loose Sand/Gravel</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1-4E85-4A35-B45D-4D1B23B5C2B8}"/>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'Ground Model Results'!$B$95:$E$95</c:f>
              <c:strCache>
                <c:ptCount val="4"/>
                <c:pt idx="0">
                  <c:v>Water Table</c:v>
                </c:pt>
                <c:pt idx="1">
                  <c:v>Geology</c:v>
                </c:pt>
                <c:pt idx="2">
                  <c:v>Pile Wall</c:v>
                </c:pt>
                <c:pt idx="3">
                  <c:v>Basement</c:v>
                </c:pt>
              </c:strCache>
            </c:strRef>
          </c:cat>
          <c:val>
            <c:numRef>
              <c:f>'Ground Model Results'!$B$96:$E$96</c:f>
              <c:numCache>
                <c:formatCode>General</c:formatCode>
                <c:ptCount val="4"/>
                <c:pt idx="1">
                  <c:v>6</c:v>
                </c:pt>
              </c:numCache>
            </c:numRef>
          </c:val>
          <c:extLst>
            <c:ext xmlns:c16="http://schemas.microsoft.com/office/drawing/2014/chart" uri="{C3380CC4-5D6E-409C-BE32-E72D297353CC}">
              <c16:uniqueId val="{00000002-4E85-4A35-B45D-4D1B23B5C2B8}"/>
            </c:ext>
          </c:extLst>
        </c:ser>
        <c:ser>
          <c:idx val="1"/>
          <c:order val="1"/>
          <c:tx>
            <c:strRef>
              <c:f>'Ground Model Results'!$A$97</c:f>
              <c:strCache>
                <c:ptCount val="1"/>
                <c:pt idx="0">
                  <c:v>Firm Clay</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'Ground Model Results'!$B$95:$E$95</c:f>
              <c:strCache>
                <c:ptCount val="4"/>
                <c:pt idx="0">
                  <c:v>Water Table</c:v>
                </c:pt>
                <c:pt idx="1">
                  <c:v>Geology</c:v>
                </c:pt>
                <c:pt idx="2">
                  <c:v>Pile Wall</c:v>
                </c:pt>
                <c:pt idx="3">
                  <c:v>Basement</c:v>
                </c:pt>
              </c:strCache>
            </c:strRef>
          </c:cat>
          <c:val>
            <c:numRef>
              <c:f>'Ground Model Results'!$B$97:$E$97</c:f>
              <c:numCache>
                <c:formatCode>General</c:formatCode>
                <c:ptCount val="4"/>
                <c:pt idx="1">
                  <c:v>6</c:v>
                </c:pt>
              </c:numCache>
            </c:numRef>
          </c:val>
          <c:extLst>
            <c:ext xmlns:c16="http://schemas.microsoft.com/office/drawing/2014/chart" uri="{C3380CC4-5D6E-409C-BE32-E72D297353CC}">
              <c16:uniqueId val="{00000003-4E85-4A35-B45D-4D1B23B5C2B8}"/>
            </c:ext>
          </c:extLst>
        </c:ser>
        <c:ser>
          <c:idx val="2"/>
          <c:order val="2"/>
          <c:tx>
            <c:strRef>
              <c:f>'Ground Model Results'!$A$98</c:f>
              <c:strCache>
                <c:ptCount val="1"/>
                <c:pt idx="0">
                  <c:v>Medium Sand/Gravel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'Ground Model Results'!$B$95:$E$95</c:f>
              <c:strCache>
                <c:ptCount val="4"/>
                <c:pt idx="0">
                  <c:v>Water Table</c:v>
                </c:pt>
                <c:pt idx="1">
                  <c:v>Geology</c:v>
                </c:pt>
                <c:pt idx="2">
                  <c:v>Pile Wall</c:v>
                </c:pt>
                <c:pt idx="3">
                  <c:v>Basement</c:v>
                </c:pt>
              </c:strCache>
            </c:strRef>
          </c:cat>
          <c:val>
            <c:numRef>
              <c:f>'Ground Model Results'!$B$98:$E$98</c:f>
              <c:numCache>
                <c:formatCode>General</c:formatCode>
                <c:ptCount val="4"/>
                <c:pt idx="1">
                  <c:v>30</c:v>
                </c:pt>
              </c:numCache>
            </c:numRef>
          </c:val>
          <c:extLst>
            <c:ext xmlns:c16="http://schemas.microsoft.com/office/drawing/2014/chart" uri="{C3380CC4-5D6E-409C-BE32-E72D297353CC}">
              <c16:uniqueId val="{00000004-4E85-4A35-B45D-4D1B23B5C2B8}"/>
            </c:ext>
          </c:extLst>
        </c:ser>
        <c:ser>
          <c:idx val="3"/>
          <c:order val="3"/>
          <c:tx>
            <c:strRef>
              <c:f>'Ground Model Results'!$A$99</c:f>
              <c:strCache>
                <c:ptCount val="1"/>
                <c:pt idx="0">
                  <c:v>Medium Density Chalk</c:v>
                </c:pt>
              </c:strCache>
            </c:strRef>
          </c:tx>
          <c:spPr>
            <a:solidFill>
              <a:schemeClr val="accent4"/>
            </a:solidFill>
            <a:ln>
              <a:noFill/>
            </a:ln>
            <a:effectLst/>
          </c:spPr>
          <c:invertIfNegative val="0"/>
          <c:dPt>
            <c:idx val="1"/>
            <c:invertIfNegative val="0"/>
            <c:bubble3D val="0"/>
            <c:spPr>
              <a:solidFill>
                <a:srgbClr val="FFC000"/>
              </a:solidFill>
              <a:ln>
                <a:noFill/>
              </a:ln>
              <a:effectLst/>
            </c:spPr>
            <c:extLst>
              <c:ext xmlns:c16="http://schemas.microsoft.com/office/drawing/2014/chart" uri="{C3380CC4-5D6E-409C-BE32-E72D297353CC}">
                <c16:uniqueId val="{00000006-4E85-4A35-B45D-4D1B23B5C2B8}"/>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'Ground Model Results'!$B$95:$E$95</c:f>
              <c:strCache>
                <c:ptCount val="4"/>
                <c:pt idx="0">
                  <c:v>Water Table</c:v>
                </c:pt>
                <c:pt idx="1">
                  <c:v>Geology</c:v>
                </c:pt>
                <c:pt idx="2">
                  <c:v>Pile Wall</c:v>
                </c:pt>
                <c:pt idx="3">
                  <c:v>Basement</c:v>
                </c:pt>
              </c:strCache>
            </c:strRef>
          </c:cat>
          <c:val>
            <c:numRef>
              <c:f>'Ground Model Results'!$B$99:$E$99</c:f>
              <c:numCache>
                <c:formatCode>General</c:formatCode>
                <c:ptCount val="4"/>
                <c:pt idx="1">
                  <c:v>6</c:v>
                </c:pt>
              </c:numCache>
            </c:numRef>
          </c:val>
          <c:extLst>
            <c:ext xmlns:c16="http://schemas.microsoft.com/office/drawing/2014/chart" uri="{C3380CC4-5D6E-409C-BE32-E72D297353CC}">
              <c16:uniqueId val="{00000007-4E85-4A35-B45D-4D1B23B5C2B8}"/>
            </c:ext>
          </c:extLst>
        </c:ser>
        <c:ser>
          <c:idx val="4"/>
          <c:order val="4"/>
          <c:tx>
            <c:strRef>
              <c:f>'Ground Model Results'!$A$100</c:f>
              <c:strCache>
                <c:ptCount val="1"/>
              </c:strCache>
            </c:strRef>
          </c:tx>
          <c:spPr>
            <a:noFill/>
            <a:ln>
              <a:noFill/>
            </a:ln>
            <a:effectLst/>
          </c:spPr>
          <c:invertIfNegative val="0"/>
          <c:cat>
            <c:strRef>
              <c:f>'Ground Model Results'!$B$95:$E$95</c:f>
              <c:strCache>
                <c:ptCount val="4"/>
                <c:pt idx="0">
                  <c:v>Water Table</c:v>
                </c:pt>
                <c:pt idx="1">
                  <c:v>Geology</c:v>
                </c:pt>
                <c:pt idx="2">
                  <c:v>Pile Wall</c:v>
                </c:pt>
                <c:pt idx="3">
                  <c:v>Basement</c:v>
                </c:pt>
              </c:strCache>
            </c:strRef>
          </c:cat>
          <c:val>
            <c:numRef>
              <c:f>'Ground Model Results'!$B$100:$E$100</c:f>
              <c:numCache>
                <c:formatCode>General</c:formatCode>
                <c:ptCount val="4"/>
                <c:pt idx="0">
                  <c:v>20</c:v>
                </c:pt>
              </c:numCache>
            </c:numRef>
          </c:val>
          <c:extLst>
            <c:ext xmlns:c16="http://schemas.microsoft.com/office/drawing/2014/chart" uri="{C3380CC4-5D6E-409C-BE32-E72D297353CC}">
              <c16:uniqueId val="{00000008-4E85-4A35-B45D-4D1B23B5C2B8}"/>
            </c:ext>
          </c:extLst>
        </c:ser>
        <c:ser>
          <c:idx val="5"/>
          <c:order val="5"/>
          <c:tx>
            <c:strRef>
              <c:f>'Ground Model Results'!$A$101</c:f>
              <c:strCache>
                <c:ptCount val="1"/>
              </c:strCache>
            </c:strRef>
          </c:tx>
          <c:spPr>
            <a:solidFill>
              <a:schemeClr val="tx1">
                <a:lumMod val="50000"/>
                <a:lumOff val="50000"/>
              </a:schemeClr>
            </a:solidFill>
            <a:ln>
              <a:noFill/>
            </a:ln>
            <a:effectLst/>
          </c:spPr>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A-4E85-4A35-B45D-4D1B23B5C2B8}"/>
              </c:ext>
            </c:extLst>
          </c:dPt>
          <c:dLbls>
            <c:dLbl>
              <c:idx val="2"/>
              <c:layout>
                <c:manualLayout>
                  <c:x val="0"/>
                  <c:y val="3.5347138764226911E-2"/>
                </c:manualLayout>
              </c:layout>
              <c:dLblPos val="ctr"/>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E85-4A35-B45D-4D1B23B5C2B8}"/>
                </c:ext>
              </c:extLst>
            </c:dLbl>
            <c:dLbl>
              <c:idx val="3"/>
              <c:layout>
                <c:manualLayout>
                  <c:x val="0"/>
                  <c:y val="6.4466586782984617E-3"/>
                </c:manualLayout>
              </c:layout>
              <c:dLblPos val="ctr"/>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E85-4A35-B45D-4D1B23B5C2B8}"/>
                </c:ext>
              </c:extLst>
            </c:dLbl>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'Ground Model Results'!$B$95:$E$95</c:f>
              <c:strCache>
                <c:ptCount val="4"/>
                <c:pt idx="0">
                  <c:v>Water Table</c:v>
                </c:pt>
                <c:pt idx="1">
                  <c:v>Geology</c:v>
                </c:pt>
                <c:pt idx="2">
                  <c:v>Pile Wall</c:v>
                </c:pt>
                <c:pt idx="3">
                  <c:v>Basement</c:v>
                </c:pt>
              </c:strCache>
            </c:strRef>
          </c:cat>
          <c:val>
            <c:numRef>
              <c:f>'Ground Model Results'!$B$101:$E$101</c:f>
              <c:numCache>
                <c:formatCode>General</c:formatCode>
                <c:ptCount val="4"/>
                <c:pt idx="0" formatCode="0.0">
                  <c:v>28</c:v>
                </c:pt>
                <c:pt idx="2">
                  <c:v>0</c:v>
                </c:pt>
                <c:pt idx="3">
                  <c:v>0</c:v>
                </c:pt>
              </c:numCache>
            </c:numRef>
          </c:val>
          <c:extLst>
            <c:ext xmlns:c16="http://schemas.microsoft.com/office/drawing/2014/chart" uri="{C3380CC4-5D6E-409C-BE32-E72D297353CC}">
              <c16:uniqueId val="{0000000D-4E85-4A35-B45D-4D1B23B5C2B8}"/>
            </c:ext>
          </c:extLst>
        </c:ser>
        <c:dLbls>
          <c:showLegendKey val="0"/>
          <c:showVal val="0"/>
          <c:showCatName val="0"/>
          <c:showSerName val="0"/>
          <c:showPercent val="0"/>
          <c:showBubbleSize val="0"/>
        </c:dLbls>
        <c:gapWidth val="0"/>
        <c:overlap val="100"/>
        <c:axId val="981241184"/>
        <c:axId val="981243808"/>
      </c:barChart>
      <c:catAx>
        <c:axId val="981241184"/>
        <c:scaling>
          <c:orientation val="minMax"/>
        </c:scaling>
        <c:delete val="0"/>
        <c:axPos val="t"/>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981243808"/>
        <c:crosses val="autoZero"/>
        <c:auto val="1"/>
        <c:lblAlgn val="ctr"/>
        <c:lblOffset val="100"/>
        <c:noMultiLvlLbl val="0"/>
      </c:catAx>
      <c:valAx>
        <c:axId val="981243808"/>
        <c:scaling>
          <c:orientation val="maxMin"/>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22225">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241184"/>
        <c:crosses val="autoZero"/>
        <c:crossBetween val="between"/>
      </c:valAx>
      <c:spPr>
        <a:noFill/>
        <a:ln w="19050">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400" b="1"/>
              <a:t>Adopted Ground Model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5180073324696454E-2"/>
          <c:y val="0.22052066917202084"/>
          <c:w val="0.96326419803656838"/>
          <c:h val="0.6936181075561606"/>
        </c:manualLayout>
      </c:layout>
      <c:barChart>
        <c:barDir val="col"/>
        <c:grouping val="stacked"/>
        <c:varyColors val="0"/>
        <c:ser>
          <c:idx val="0"/>
          <c:order val="0"/>
          <c:tx>
            <c:strRef>
              <c:f>'Ground Model Results'!$A$96</c:f>
              <c:strCache>
                <c:ptCount val="1"/>
                <c:pt idx="0">
                  <c:v>Loose Sand/Gravel</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1-9055-489A-9B14-9DB2E3F5ACEB}"/>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'Ground Model Results'!$B$95:$E$95</c:f>
              <c:strCache>
                <c:ptCount val="4"/>
                <c:pt idx="0">
                  <c:v>Water Table</c:v>
                </c:pt>
                <c:pt idx="1">
                  <c:v>Geology</c:v>
                </c:pt>
                <c:pt idx="2">
                  <c:v>Pile Wall</c:v>
                </c:pt>
                <c:pt idx="3">
                  <c:v>Basement</c:v>
                </c:pt>
              </c:strCache>
            </c:strRef>
          </c:cat>
          <c:val>
            <c:numRef>
              <c:f>'Ground Model Results'!$B$96:$E$96</c:f>
              <c:numCache>
                <c:formatCode>General</c:formatCode>
                <c:ptCount val="4"/>
                <c:pt idx="1">
                  <c:v>6</c:v>
                </c:pt>
              </c:numCache>
            </c:numRef>
          </c:val>
          <c:extLst>
            <c:ext xmlns:c16="http://schemas.microsoft.com/office/drawing/2014/chart" uri="{C3380CC4-5D6E-409C-BE32-E72D297353CC}">
              <c16:uniqueId val="{00000002-9055-489A-9B14-9DB2E3F5ACEB}"/>
            </c:ext>
          </c:extLst>
        </c:ser>
        <c:ser>
          <c:idx val="1"/>
          <c:order val="1"/>
          <c:tx>
            <c:strRef>
              <c:f>'Ground Model Results'!$A$97</c:f>
              <c:strCache>
                <c:ptCount val="1"/>
                <c:pt idx="0">
                  <c:v>Firm Clay</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'Ground Model Results'!$B$95:$E$95</c:f>
              <c:strCache>
                <c:ptCount val="4"/>
                <c:pt idx="0">
                  <c:v>Water Table</c:v>
                </c:pt>
                <c:pt idx="1">
                  <c:v>Geology</c:v>
                </c:pt>
                <c:pt idx="2">
                  <c:v>Pile Wall</c:v>
                </c:pt>
                <c:pt idx="3">
                  <c:v>Basement</c:v>
                </c:pt>
              </c:strCache>
            </c:strRef>
          </c:cat>
          <c:val>
            <c:numRef>
              <c:f>'Ground Model Results'!$B$97:$E$97</c:f>
              <c:numCache>
                <c:formatCode>General</c:formatCode>
                <c:ptCount val="4"/>
                <c:pt idx="1">
                  <c:v>6</c:v>
                </c:pt>
              </c:numCache>
            </c:numRef>
          </c:val>
          <c:extLst>
            <c:ext xmlns:c16="http://schemas.microsoft.com/office/drawing/2014/chart" uri="{C3380CC4-5D6E-409C-BE32-E72D297353CC}">
              <c16:uniqueId val="{00000003-9055-489A-9B14-9DB2E3F5ACEB}"/>
            </c:ext>
          </c:extLst>
        </c:ser>
        <c:ser>
          <c:idx val="2"/>
          <c:order val="2"/>
          <c:tx>
            <c:strRef>
              <c:f>'Ground Model Results'!$A$98</c:f>
              <c:strCache>
                <c:ptCount val="1"/>
                <c:pt idx="0">
                  <c:v>Medium Sand/Gravel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'Ground Model Results'!$B$95:$E$95</c:f>
              <c:strCache>
                <c:ptCount val="4"/>
                <c:pt idx="0">
                  <c:v>Water Table</c:v>
                </c:pt>
                <c:pt idx="1">
                  <c:v>Geology</c:v>
                </c:pt>
                <c:pt idx="2">
                  <c:v>Pile Wall</c:v>
                </c:pt>
                <c:pt idx="3">
                  <c:v>Basement</c:v>
                </c:pt>
              </c:strCache>
            </c:strRef>
          </c:cat>
          <c:val>
            <c:numRef>
              <c:f>'Ground Model Results'!$B$98:$E$98</c:f>
              <c:numCache>
                <c:formatCode>General</c:formatCode>
                <c:ptCount val="4"/>
                <c:pt idx="1">
                  <c:v>30</c:v>
                </c:pt>
              </c:numCache>
            </c:numRef>
          </c:val>
          <c:extLst>
            <c:ext xmlns:c16="http://schemas.microsoft.com/office/drawing/2014/chart" uri="{C3380CC4-5D6E-409C-BE32-E72D297353CC}">
              <c16:uniqueId val="{00000004-9055-489A-9B14-9DB2E3F5ACEB}"/>
            </c:ext>
          </c:extLst>
        </c:ser>
        <c:ser>
          <c:idx val="3"/>
          <c:order val="3"/>
          <c:tx>
            <c:strRef>
              <c:f>'Ground Model Results'!$A$99</c:f>
              <c:strCache>
                <c:ptCount val="1"/>
                <c:pt idx="0">
                  <c:v>Medium Density Chalk</c:v>
                </c:pt>
              </c:strCache>
            </c:strRef>
          </c:tx>
          <c:spPr>
            <a:solidFill>
              <a:schemeClr val="accent4"/>
            </a:solidFill>
            <a:ln>
              <a:noFill/>
            </a:ln>
            <a:effectLst/>
          </c:spPr>
          <c:invertIfNegative val="0"/>
          <c:dPt>
            <c:idx val="1"/>
            <c:invertIfNegative val="0"/>
            <c:bubble3D val="0"/>
            <c:spPr>
              <a:solidFill>
                <a:srgbClr val="FFC000"/>
              </a:solidFill>
              <a:ln>
                <a:noFill/>
              </a:ln>
              <a:effectLst/>
            </c:spPr>
            <c:extLst>
              <c:ext xmlns:c16="http://schemas.microsoft.com/office/drawing/2014/chart" uri="{C3380CC4-5D6E-409C-BE32-E72D297353CC}">
                <c16:uniqueId val="{00000006-9055-489A-9B14-9DB2E3F5ACEB}"/>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'Ground Model Results'!$B$95:$E$95</c:f>
              <c:strCache>
                <c:ptCount val="4"/>
                <c:pt idx="0">
                  <c:v>Water Table</c:v>
                </c:pt>
                <c:pt idx="1">
                  <c:v>Geology</c:v>
                </c:pt>
                <c:pt idx="2">
                  <c:v>Pile Wall</c:v>
                </c:pt>
                <c:pt idx="3">
                  <c:v>Basement</c:v>
                </c:pt>
              </c:strCache>
            </c:strRef>
          </c:cat>
          <c:val>
            <c:numRef>
              <c:f>'Ground Model Results'!$B$99:$E$99</c:f>
              <c:numCache>
                <c:formatCode>General</c:formatCode>
                <c:ptCount val="4"/>
                <c:pt idx="1">
                  <c:v>6</c:v>
                </c:pt>
              </c:numCache>
            </c:numRef>
          </c:val>
          <c:extLst>
            <c:ext xmlns:c16="http://schemas.microsoft.com/office/drawing/2014/chart" uri="{C3380CC4-5D6E-409C-BE32-E72D297353CC}">
              <c16:uniqueId val="{00000007-9055-489A-9B14-9DB2E3F5ACEB}"/>
            </c:ext>
          </c:extLst>
        </c:ser>
        <c:ser>
          <c:idx val="4"/>
          <c:order val="4"/>
          <c:tx>
            <c:strRef>
              <c:f>'Ground Model Results'!$A$100</c:f>
              <c:strCache>
                <c:ptCount val="1"/>
              </c:strCache>
            </c:strRef>
          </c:tx>
          <c:spPr>
            <a:noFill/>
            <a:ln>
              <a:noFill/>
            </a:ln>
            <a:effectLst/>
          </c:spPr>
          <c:invertIfNegative val="0"/>
          <c:cat>
            <c:strRef>
              <c:f>'Ground Model Results'!$B$95:$E$95</c:f>
              <c:strCache>
                <c:ptCount val="4"/>
                <c:pt idx="0">
                  <c:v>Water Table</c:v>
                </c:pt>
                <c:pt idx="1">
                  <c:v>Geology</c:v>
                </c:pt>
                <c:pt idx="2">
                  <c:v>Pile Wall</c:v>
                </c:pt>
                <c:pt idx="3">
                  <c:v>Basement</c:v>
                </c:pt>
              </c:strCache>
            </c:strRef>
          </c:cat>
          <c:val>
            <c:numRef>
              <c:f>'Ground Model Results'!$B$100:$E$100</c:f>
              <c:numCache>
                <c:formatCode>General</c:formatCode>
                <c:ptCount val="4"/>
                <c:pt idx="0">
                  <c:v>20</c:v>
                </c:pt>
              </c:numCache>
            </c:numRef>
          </c:val>
          <c:extLst>
            <c:ext xmlns:c16="http://schemas.microsoft.com/office/drawing/2014/chart" uri="{C3380CC4-5D6E-409C-BE32-E72D297353CC}">
              <c16:uniqueId val="{00000008-9055-489A-9B14-9DB2E3F5ACEB}"/>
            </c:ext>
          </c:extLst>
        </c:ser>
        <c:ser>
          <c:idx val="5"/>
          <c:order val="5"/>
          <c:tx>
            <c:strRef>
              <c:f>'Ground Model Results'!$A$101</c:f>
              <c:strCache>
                <c:ptCount val="1"/>
              </c:strCache>
            </c:strRef>
          </c:tx>
          <c:spPr>
            <a:solidFill>
              <a:schemeClr val="tx1">
                <a:lumMod val="50000"/>
                <a:lumOff val="50000"/>
              </a:schemeClr>
            </a:solidFill>
            <a:ln>
              <a:noFill/>
            </a:ln>
            <a:effectLst/>
          </c:spPr>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A-9055-489A-9B14-9DB2E3F5ACEB}"/>
              </c:ext>
            </c:extLst>
          </c:dPt>
          <c:dLbls>
            <c:dLbl>
              <c:idx val="2"/>
              <c:layout>
                <c:manualLayout>
                  <c:x val="0"/>
                  <c:y val="3.5347138764226911E-2"/>
                </c:manualLayout>
              </c:layout>
              <c:dLblPos val="ctr"/>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055-489A-9B14-9DB2E3F5ACEB}"/>
                </c:ext>
              </c:extLst>
            </c:dLbl>
            <c:dLbl>
              <c:idx val="3"/>
              <c:layout>
                <c:manualLayout>
                  <c:x val="0"/>
                  <c:y val="6.4466586782984617E-3"/>
                </c:manualLayout>
              </c:layout>
              <c:dLblPos val="ctr"/>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055-489A-9B14-9DB2E3F5ACEB}"/>
                </c:ext>
              </c:extLst>
            </c:dLbl>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'Ground Model Results'!$B$95:$E$95</c:f>
              <c:strCache>
                <c:ptCount val="4"/>
                <c:pt idx="0">
                  <c:v>Water Table</c:v>
                </c:pt>
                <c:pt idx="1">
                  <c:v>Geology</c:v>
                </c:pt>
                <c:pt idx="2">
                  <c:v>Pile Wall</c:v>
                </c:pt>
                <c:pt idx="3">
                  <c:v>Basement</c:v>
                </c:pt>
              </c:strCache>
            </c:strRef>
          </c:cat>
          <c:val>
            <c:numRef>
              <c:f>'Ground Model Results'!$B$101:$E$101</c:f>
              <c:numCache>
                <c:formatCode>General</c:formatCode>
                <c:ptCount val="4"/>
                <c:pt idx="0" formatCode="0.0">
                  <c:v>28</c:v>
                </c:pt>
                <c:pt idx="2">
                  <c:v>0</c:v>
                </c:pt>
                <c:pt idx="3">
                  <c:v>0</c:v>
                </c:pt>
              </c:numCache>
            </c:numRef>
          </c:val>
          <c:extLst>
            <c:ext xmlns:c16="http://schemas.microsoft.com/office/drawing/2014/chart" uri="{C3380CC4-5D6E-409C-BE32-E72D297353CC}">
              <c16:uniqueId val="{0000000D-9055-489A-9B14-9DB2E3F5ACEB}"/>
            </c:ext>
          </c:extLst>
        </c:ser>
        <c:dLbls>
          <c:showLegendKey val="0"/>
          <c:showVal val="0"/>
          <c:showCatName val="0"/>
          <c:showSerName val="0"/>
          <c:showPercent val="0"/>
          <c:showBubbleSize val="0"/>
        </c:dLbls>
        <c:gapWidth val="0"/>
        <c:overlap val="100"/>
        <c:axId val="981241184"/>
        <c:axId val="981243808"/>
      </c:barChart>
      <c:catAx>
        <c:axId val="981241184"/>
        <c:scaling>
          <c:orientation val="minMax"/>
        </c:scaling>
        <c:delete val="0"/>
        <c:axPos val="t"/>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981243808"/>
        <c:crosses val="autoZero"/>
        <c:auto val="1"/>
        <c:lblAlgn val="ctr"/>
        <c:lblOffset val="100"/>
        <c:noMultiLvlLbl val="0"/>
      </c:catAx>
      <c:valAx>
        <c:axId val="981243808"/>
        <c:scaling>
          <c:orientation val="maxMin"/>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22225">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241184"/>
        <c:crosses val="autoZero"/>
        <c:crossBetween val="between"/>
      </c:valAx>
      <c:spPr>
        <a:noFill/>
        <a:ln w="19050">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395421835011274E-2"/>
          <c:y val="2.528735632183908E-2"/>
          <c:w val="0.91354455551493208"/>
          <c:h val="0.5415939458134994"/>
        </c:manualLayout>
      </c:layout>
      <c:lineChart>
        <c:grouping val="standard"/>
        <c:varyColors val="0"/>
        <c:ser>
          <c:idx val="0"/>
          <c:order val="0"/>
          <c:tx>
            <c:strRef>
              <c:f>ECHarvest!$AD$4</c:f>
              <c:strCache>
                <c:ptCount val="1"/>
                <c:pt idx="0">
                  <c:v>RC Flat Slab</c:v>
                </c:pt>
              </c:strCache>
            </c:strRef>
          </c:tx>
          <c:spPr>
            <a:ln w="28575" cap="rnd">
              <a:solidFill>
                <a:schemeClr val="accent1"/>
              </a:solidFill>
              <a:round/>
            </a:ln>
            <a:effectLst/>
          </c:spPr>
          <c:marker>
            <c:symbol val="none"/>
          </c:marker>
          <c:cat>
            <c:strRef>
              <c:f>ECHarvest!$A$7:$A$13</c:f>
              <c:strCache>
                <c:ptCount val="7"/>
                <c:pt idx="0">
                  <c:v>Baseline</c:v>
                </c:pt>
                <c:pt idx="1">
                  <c:v>Basement Removed</c:v>
                </c:pt>
                <c:pt idx="2">
                  <c:v>Column Grids Reduced</c:v>
                </c:pt>
                <c:pt idx="3">
                  <c:v>Transfer Deck Removed</c:v>
                </c:pt>
                <c:pt idx="4">
                  <c:v>No. Storeys Reduced</c:v>
                </c:pt>
                <c:pt idx="5">
                  <c:v>Low Carbon Materials
Specified</c:v>
                </c:pt>
                <c:pt idx="6">
                  <c:v>Favourable Ground
Conditions Assumed</c:v>
                </c:pt>
              </c:strCache>
            </c:strRef>
          </c:cat>
          <c:val>
            <c:numRef>
              <c:f>ECHarvest!$AD$7:$AD$13</c:f>
              <c:numCache>
                <c:formatCode>0</c:formatCode>
                <c:ptCount val="7"/>
                <c:pt idx="0">
                  <c:v>354.63275354697538</c:v>
                </c:pt>
                <c:pt idx="1">
                  <c:v>303.54070317343763</c:v>
                </c:pt>
                <c:pt idx="2">
                  <c:v>234.26190576675327</c:v>
                </c:pt>
                <c:pt idx="3">
                  <c:v>194.69255998811053</c:v>
                </c:pt>
                <c:pt idx="4">
                  <c:v>183.98104081075525</c:v>
                </c:pt>
                <c:pt idx="5">
                  <c:v>129.09142369612383</c:v>
                </c:pt>
                <c:pt idx="6">
                  <c:v>116.1982911196134</c:v>
                </c:pt>
              </c:numCache>
            </c:numRef>
          </c:val>
          <c:smooth val="0"/>
          <c:extLst>
            <c:ext xmlns:c16="http://schemas.microsoft.com/office/drawing/2014/chart" uri="{C3380CC4-5D6E-409C-BE32-E72D297353CC}">
              <c16:uniqueId val="{00000000-8688-4929-BFFF-1C25E91F2838}"/>
            </c:ext>
          </c:extLst>
        </c:ser>
        <c:ser>
          <c:idx val="1"/>
          <c:order val="1"/>
          <c:tx>
            <c:strRef>
              <c:f>ECHarvest!$AE$4</c:f>
              <c:strCache>
                <c:ptCount val="1"/>
                <c:pt idx="0">
                  <c:v>PT RC Flat Slab</c:v>
                </c:pt>
              </c:strCache>
            </c:strRef>
          </c:tx>
          <c:spPr>
            <a:ln w="28575" cap="rnd">
              <a:solidFill>
                <a:schemeClr val="accent2"/>
              </a:solidFill>
              <a:round/>
            </a:ln>
            <a:effectLst/>
          </c:spPr>
          <c:marker>
            <c:symbol val="none"/>
          </c:marker>
          <c:cat>
            <c:strRef>
              <c:f>ECHarvest!$A$7:$A$13</c:f>
              <c:strCache>
                <c:ptCount val="7"/>
                <c:pt idx="0">
                  <c:v>Baseline</c:v>
                </c:pt>
                <c:pt idx="1">
                  <c:v>Basement Removed</c:v>
                </c:pt>
                <c:pt idx="2">
                  <c:v>Column Grids Reduced</c:v>
                </c:pt>
                <c:pt idx="3">
                  <c:v>Transfer Deck Removed</c:v>
                </c:pt>
                <c:pt idx="4">
                  <c:v>No. Storeys Reduced</c:v>
                </c:pt>
                <c:pt idx="5">
                  <c:v>Low Carbon Materials
Specified</c:v>
                </c:pt>
                <c:pt idx="6">
                  <c:v>Favourable Ground
Conditions Assumed</c:v>
                </c:pt>
              </c:strCache>
            </c:strRef>
          </c:cat>
          <c:val>
            <c:numRef>
              <c:f>ECHarvest!$AE$7:$AE$13</c:f>
              <c:numCache>
                <c:formatCode>0</c:formatCode>
                <c:ptCount val="7"/>
                <c:pt idx="0">
                  <c:v>316.51137648538719</c:v>
                </c:pt>
                <c:pt idx="1">
                  <c:v>256.72353863020442</c:v>
                </c:pt>
                <c:pt idx="2">
                  <c:v>223.55965618236968</c:v>
                </c:pt>
                <c:pt idx="3">
                  <c:v>185.47445392322024</c:v>
                </c:pt>
                <c:pt idx="4">
                  <c:v>174.49993263875754</c:v>
                </c:pt>
                <c:pt idx="5">
                  <c:v>121.63754218870069</c:v>
                </c:pt>
                <c:pt idx="6">
                  <c:v>109.28655617440788</c:v>
                </c:pt>
              </c:numCache>
            </c:numRef>
          </c:val>
          <c:smooth val="0"/>
          <c:extLst>
            <c:ext xmlns:c16="http://schemas.microsoft.com/office/drawing/2014/chart" uri="{C3380CC4-5D6E-409C-BE32-E72D297353CC}">
              <c16:uniqueId val="{00000001-8688-4929-BFFF-1C25E91F2838}"/>
            </c:ext>
          </c:extLst>
        </c:ser>
        <c:ser>
          <c:idx val="2"/>
          <c:order val="2"/>
          <c:tx>
            <c:strRef>
              <c:f>ECHarvest!$AF$4</c:f>
              <c:strCache>
                <c:ptCount val="1"/>
                <c:pt idx="0">
                  <c:v>RC Rib Slab</c:v>
                </c:pt>
              </c:strCache>
            </c:strRef>
          </c:tx>
          <c:spPr>
            <a:ln w="28575" cap="rnd">
              <a:solidFill>
                <a:schemeClr val="accent3"/>
              </a:solidFill>
              <a:round/>
            </a:ln>
            <a:effectLst/>
          </c:spPr>
          <c:marker>
            <c:symbol val="none"/>
          </c:marker>
          <c:cat>
            <c:strRef>
              <c:f>ECHarvest!$A$7:$A$13</c:f>
              <c:strCache>
                <c:ptCount val="7"/>
                <c:pt idx="0">
                  <c:v>Baseline</c:v>
                </c:pt>
                <c:pt idx="1">
                  <c:v>Basement Removed</c:v>
                </c:pt>
                <c:pt idx="2">
                  <c:v>Column Grids Reduced</c:v>
                </c:pt>
                <c:pt idx="3">
                  <c:v>Transfer Deck Removed</c:v>
                </c:pt>
                <c:pt idx="4">
                  <c:v>No. Storeys Reduced</c:v>
                </c:pt>
                <c:pt idx="5">
                  <c:v>Low Carbon Materials
Specified</c:v>
                </c:pt>
                <c:pt idx="6">
                  <c:v>Favourable Ground
Conditions Assumed</c:v>
                </c:pt>
              </c:strCache>
            </c:strRef>
          </c:cat>
          <c:val>
            <c:numRef>
              <c:f>ECHarvest!$AF$7:$AF$13</c:f>
              <c:numCache>
                <c:formatCode>0</c:formatCode>
                <c:ptCount val="7"/>
                <c:pt idx="0">
                  <c:v>329.77713912502497</c:v>
                </c:pt>
                <c:pt idx="1">
                  <c:v>268.77512697779179</c:v>
                </c:pt>
                <c:pt idx="2">
                  <c:v>215.65295922609786</c:v>
                </c:pt>
                <c:pt idx="3">
                  <c:v>176.48015547715988</c:v>
                </c:pt>
                <c:pt idx="4">
                  <c:v>166.21974612097779</c:v>
                </c:pt>
                <c:pt idx="5">
                  <c:v>116.9648279636114</c:v>
                </c:pt>
                <c:pt idx="6">
                  <c:v>104.08663141750461</c:v>
                </c:pt>
              </c:numCache>
            </c:numRef>
          </c:val>
          <c:smooth val="0"/>
          <c:extLst>
            <c:ext xmlns:c16="http://schemas.microsoft.com/office/drawing/2014/chart" uri="{C3380CC4-5D6E-409C-BE32-E72D297353CC}">
              <c16:uniqueId val="{00000002-8688-4929-BFFF-1C25E91F2838}"/>
            </c:ext>
          </c:extLst>
        </c:ser>
        <c:ser>
          <c:idx val="3"/>
          <c:order val="3"/>
          <c:tx>
            <c:strRef>
              <c:f>ECHarvest!$AG$4</c:f>
              <c:strCache>
                <c:ptCount val="1"/>
                <c:pt idx="0">
                  <c:v>Two-way RC Slab</c:v>
                </c:pt>
              </c:strCache>
            </c:strRef>
          </c:tx>
          <c:spPr>
            <a:ln w="28575" cap="rnd">
              <a:solidFill>
                <a:schemeClr val="accent4"/>
              </a:solidFill>
              <a:round/>
            </a:ln>
            <a:effectLst/>
          </c:spPr>
          <c:marker>
            <c:symbol val="none"/>
          </c:marker>
          <c:cat>
            <c:strRef>
              <c:f>ECHarvest!$A$7:$A$13</c:f>
              <c:strCache>
                <c:ptCount val="7"/>
                <c:pt idx="0">
                  <c:v>Baseline</c:v>
                </c:pt>
                <c:pt idx="1">
                  <c:v>Basement Removed</c:v>
                </c:pt>
                <c:pt idx="2">
                  <c:v>Column Grids Reduced</c:v>
                </c:pt>
                <c:pt idx="3">
                  <c:v>Transfer Deck Removed</c:v>
                </c:pt>
                <c:pt idx="4">
                  <c:v>No. Storeys Reduced</c:v>
                </c:pt>
                <c:pt idx="5">
                  <c:v>Low Carbon Materials
Specified</c:v>
                </c:pt>
                <c:pt idx="6">
                  <c:v>Favourable Ground
Conditions Assumed</c:v>
                </c:pt>
              </c:strCache>
            </c:strRef>
          </c:cat>
          <c:val>
            <c:numRef>
              <c:f>ECHarvest!$AG$7:$AG$13</c:f>
              <c:numCache>
                <c:formatCode>0</c:formatCode>
                <c:ptCount val="7"/>
                <c:pt idx="0">
                  <c:v>328.77007043600378</c:v>
                </c:pt>
                <c:pt idx="1">
                  <c:v>267.71668325243814</c:v>
                </c:pt>
                <c:pt idx="2">
                  <c:v>207.10746026813285</c:v>
                </c:pt>
                <c:pt idx="3">
                  <c:v>167.6557867388932</c:v>
                </c:pt>
                <c:pt idx="4">
                  <c:v>162.15004983460975</c:v>
                </c:pt>
                <c:pt idx="5">
                  <c:v>117.03567307795272</c:v>
                </c:pt>
                <c:pt idx="6">
                  <c:v>104.62697296172821</c:v>
                </c:pt>
              </c:numCache>
            </c:numRef>
          </c:val>
          <c:smooth val="0"/>
          <c:extLst>
            <c:ext xmlns:c16="http://schemas.microsoft.com/office/drawing/2014/chart" uri="{C3380CC4-5D6E-409C-BE32-E72D297353CC}">
              <c16:uniqueId val="{00000003-8688-4929-BFFF-1C25E91F2838}"/>
            </c:ext>
          </c:extLst>
        </c:ser>
        <c:ser>
          <c:idx val="4"/>
          <c:order val="4"/>
          <c:tx>
            <c:strRef>
              <c:f>ECHarvest!$AH$4</c:f>
              <c:strCache>
                <c:ptCount val="1"/>
                <c:pt idx="0">
                  <c:v>One-Way Spanning RC</c:v>
                </c:pt>
              </c:strCache>
            </c:strRef>
          </c:tx>
          <c:spPr>
            <a:ln w="28575" cap="rnd">
              <a:solidFill>
                <a:schemeClr val="accent5"/>
              </a:solidFill>
              <a:round/>
            </a:ln>
            <a:effectLst/>
          </c:spPr>
          <c:marker>
            <c:symbol val="none"/>
          </c:marker>
          <c:cat>
            <c:strRef>
              <c:f>ECHarvest!$A$7:$A$13</c:f>
              <c:strCache>
                <c:ptCount val="7"/>
                <c:pt idx="0">
                  <c:v>Baseline</c:v>
                </c:pt>
                <c:pt idx="1">
                  <c:v>Basement Removed</c:v>
                </c:pt>
                <c:pt idx="2">
                  <c:v>Column Grids Reduced</c:v>
                </c:pt>
                <c:pt idx="3">
                  <c:v>Transfer Deck Removed</c:v>
                </c:pt>
                <c:pt idx="4">
                  <c:v>No. Storeys Reduced</c:v>
                </c:pt>
                <c:pt idx="5">
                  <c:v>Low Carbon Materials
Specified</c:v>
                </c:pt>
                <c:pt idx="6">
                  <c:v>Favourable Ground
Conditions Assumed</c:v>
                </c:pt>
              </c:strCache>
            </c:strRef>
          </c:cat>
          <c:val>
            <c:numRef>
              <c:f>ECHarvest!$AH$7:$AH$13</c:f>
              <c:numCache>
                <c:formatCode>0</c:formatCode>
                <c:ptCount val="7"/>
                <c:pt idx="0">
                  <c:v>352.63455993294662</c:v>
                </c:pt>
                <c:pt idx="1">
                  <c:v>299.81746393775359</c:v>
                </c:pt>
                <c:pt idx="2">
                  <c:v>221.06100104234073</c:v>
                </c:pt>
                <c:pt idx="3">
                  <c:v>182.65710849208483</c:v>
                </c:pt>
                <c:pt idx="4">
                  <c:v>172.79326937777671</c:v>
                </c:pt>
                <c:pt idx="5">
                  <c:v>122.06811536791533</c:v>
                </c:pt>
                <c:pt idx="6">
                  <c:v>109.46481003645405</c:v>
                </c:pt>
              </c:numCache>
            </c:numRef>
          </c:val>
          <c:smooth val="0"/>
          <c:extLst>
            <c:ext xmlns:c16="http://schemas.microsoft.com/office/drawing/2014/chart" uri="{C3380CC4-5D6E-409C-BE32-E72D297353CC}">
              <c16:uniqueId val="{00000004-8688-4929-BFFF-1C25E91F2838}"/>
            </c:ext>
          </c:extLst>
        </c:ser>
        <c:ser>
          <c:idx val="5"/>
          <c:order val="5"/>
          <c:tx>
            <c:strRef>
              <c:f>ECHarvest!$AI$4</c:f>
              <c:strCache>
                <c:ptCount val="1"/>
                <c:pt idx="0">
                  <c:v>Precast Hollowcore with In-situ RC Beams</c:v>
                </c:pt>
              </c:strCache>
            </c:strRef>
          </c:tx>
          <c:spPr>
            <a:ln w="28575" cap="rnd">
              <a:solidFill>
                <a:schemeClr val="accent6"/>
              </a:solidFill>
              <a:round/>
            </a:ln>
            <a:effectLst/>
          </c:spPr>
          <c:marker>
            <c:symbol val="none"/>
          </c:marker>
          <c:cat>
            <c:strRef>
              <c:f>ECHarvest!$A$7:$A$13</c:f>
              <c:strCache>
                <c:ptCount val="7"/>
                <c:pt idx="0">
                  <c:v>Baseline</c:v>
                </c:pt>
                <c:pt idx="1">
                  <c:v>Basement Removed</c:v>
                </c:pt>
                <c:pt idx="2">
                  <c:v>Column Grids Reduced</c:v>
                </c:pt>
                <c:pt idx="3">
                  <c:v>Transfer Deck Removed</c:v>
                </c:pt>
                <c:pt idx="4">
                  <c:v>No. Storeys Reduced</c:v>
                </c:pt>
                <c:pt idx="5">
                  <c:v>Low Carbon Materials
Specified</c:v>
                </c:pt>
                <c:pt idx="6">
                  <c:v>Favourable Ground
Conditions Assumed</c:v>
                </c:pt>
              </c:strCache>
            </c:strRef>
          </c:cat>
          <c:val>
            <c:numRef>
              <c:f>ECHarvest!$AI$7:$AI$13</c:f>
              <c:numCache>
                <c:formatCode>0</c:formatCode>
                <c:ptCount val="7"/>
                <c:pt idx="0">
                  <c:v>327.15662264714263</c:v>
                </c:pt>
                <c:pt idx="1">
                  <c:v>267.27578392310676</c:v>
                </c:pt>
                <c:pt idx="2">
                  <c:v>251.38358252116495</c:v>
                </c:pt>
                <c:pt idx="3">
                  <c:v>216.58985009168217</c:v>
                </c:pt>
                <c:pt idx="4">
                  <c:v>204.36324145303337</c:v>
                </c:pt>
                <c:pt idx="5">
                  <c:v>159.89884295670362</c:v>
                </c:pt>
                <c:pt idx="6">
                  <c:v>145.82607831247671</c:v>
                </c:pt>
              </c:numCache>
            </c:numRef>
          </c:val>
          <c:smooth val="0"/>
          <c:extLst>
            <c:ext xmlns:c16="http://schemas.microsoft.com/office/drawing/2014/chart" uri="{C3380CC4-5D6E-409C-BE32-E72D297353CC}">
              <c16:uniqueId val="{00000005-8688-4929-BFFF-1C25E91F2838}"/>
            </c:ext>
          </c:extLst>
        </c:ser>
        <c:ser>
          <c:idx val="6"/>
          <c:order val="6"/>
          <c:tx>
            <c:strRef>
              <c:f>ECHarvest!$AJ$4</c:f>
              <c:strCache>
                <c:ptCount val="1"/>
                <c:pt idx="0">
                  <c:v>Non-Composite Rolled Steel with PCC Planks</c:v>
                </c:pt>
              </c:strCache>
            </c:strRef>
          </c:tx>
          <c:spPr>
            <a:ln w="28575" cap="rnd">
              <a:solidFill>
                <a:schemeClr val="accent1">
                  <a:lumMod val="60000"/>
                </a:schemeClr>
              </a:solidFill>
              <a:round/>
            </a:ln>
            <a:effectLst/>
          </c:spPr>
          <c:marker>
            <c:symbol val="none"/>
          </c:marker>
          <c:cat>
            <c:strRef>
              <c:f>ECHarvest!$A$7:$A$13</c:f>
              <c:strCache>
                <c:ptCount val="7"/>
                <c:pt idx="0">
                  <c:v>Baseline</c:v>
                </c:pt>
                <c:pt idx="1">
                  <c:v>Basement Removed</c:v>
                </c:pt>
                <c:pt idx="2">
                  <c:v>Column Grids Reduced</c:v>
                </c:pt>
                <c:pt idx="3">
                  <c:v>Transfer Deck Removed</c:v>
                </c:pt>
                <c:pt idx="4">
                  <c:v>No. Storeys Reduced</c:v>
                </c:pt>
                <c:pt idx="5">
                  <c:v>Low Carbon Materials
Specified</c:v>
                </c:pt>
                <c:pt idx="6">
                  <c:v>Favourable Ground
Conditions Assumed</c:v>
                </c:pt>
              </c:strCache>
            </c:strRef>
          </c:cat>
          <c:val>
            <c:numRef>
              <c:f>ECHarvest!$AJ$7:$AJ$13</c:f>
              <c:numCache>
                <c:formatCode>0</c:formatCode>
                <c:ptCount val="7"/>
                <c:pt idx="0">
                  <c:v>338.71205429276461</c:v>
                </c:pt>
                <c:pt idx="1">
                  <c:v>288.76015627777167</c:v>
                </c:pt>
                <c:pt idx="2">
                  <c:v>250.69158628101334</c:v>
                </c:pt>
                <c:pt idx="3">
                  <c:v>212.54180326329694</c:v>
                </c:pt>
                <c:pt idx="4">
                  <c:v>191.75886334743899</c:v>
                </c:pt>
                <c:pt idx="5">
                  <c:v>137.68792181770556</c:v>
                </c:pt>
                <c:pt idx="6">
                  <c:v>126.24838335463984</c:v>
                </c:pt>
              </c:numCache>
            </c:numRef>
          </c:val>
          <c:smooth val="0"/>
          <c:extLst>
            <c:ext xmlns:c16="http://schemas.microsoft.com/office/drawing/2014/chart" uri="{C3380CC4-5D6E-409C-BE32-E72D297353CC}">
              <c16:uniqueId val="{00000006-8688-4929-BFFF-1C25E91F2838}"/>
            </c:ext>
          </c:extLst>
        </c:ser>
        <c:ser>
          <c:idx val="7"/>
          <c:order val="7"/>
          <c:tx>
            <c:strRef>
              <c:f>ECHarvest!$AK$4</c:f>
              <c:strCache>
                <c:ptCount val="1"/>
                <c:pt idx="0">
                  <c:v>Composite Rolled Steel with Metal Decking</c:v>
                </c:pt>
              </c:strCache>
            </c:strRef>
          </c:tx>
          <c:spPr>
            <a:ln w="28575" cap="rnd">
              <a:solidFill>
                <a:schemeClr val="accent2">
                  <a:lumMod val="60000"/>
                </a:schemeClr>
              </a:solidFill>
              <a:round/>
            </a:ln>
            <a:effectLst/>
          </c:spPr>
          <c:marker>
            <c:symbol val="none"/>
          </c:marker>
          <c:cat>
            <c:strRef>
              <c:f>ECHarvest!$A$7:$A$13</c:f>
              <c:strCache>
                <c:ptCount val="7"/>
                <c:pt idx="0">
                  <c:v>Baseline</c:v>
                </c:pt>
                <c:pt idx="1">
                  <c:v>Basement Removed</c:v>
                </c:pt>
                <c:pt idx="2">
                  <c:v>Column Grids Reduced</c:v>
                </c:pt>
                <c:pt idx="3">
                  <c:v>Transfer Deck Removed</c:v>
                </c:pt>
                <c:pt idx="4">
                  <c:v>No. Storeys Reduced</c:v>
                </c:pt>
                <c:pt idx="5">
                  <c:v>Low Carbon Materials
Specified</c:v>
                </c:pt>
                <c:pt idx="6">
                  <c:v>Favourable Ground
Conditions Assumed</c:v>
                </c:pt>
              </c:strCache>
            </c:strRef>
          </c:cat>
          <c:val>
            <c:numRef>
              <c:f>ECHarvest!$AK$7:$AK$13</c:f>
              <c:numCache>
                <c:formatCode>0</c:formatCode>
                <c:ptCount val="7"/>
                <c:pt idx="0">
                  <c:v>362.44428658205555</c:v>
                </c:pt>
                <c:pt idx="1">
                  <c:v>316.63527348989447</c:v>
                </c:pt>
                <c:pt idx="2">
                  <c:v>277.42200334870563</c:v>
                </c:pt>
                <c:pt idx="3">
                  <c:v>243.80531511720991</c:v>
                </c:pt>
                <c:pt idx="4">
                  <c:v>227.80360292288751</c:v>
                </c:pt>
                <c:pt idx="5">
                  <c:v>154.29577289460374</c:v>
                </c:pt>
                <c:pt idx="6">
                  <c:v>142.14209352271723</c:v>
                </c:pt>
              </c:numCache>
            </c:numRef>
          </c:val>
          <c:smooth val="0"/>
          <c:extLst>
            <c:ext xmlns:c16="http://schemas.microsoft.com/office/drawing/2014/chart" uri="{C3380CC4-5D6E-409C-BE32-E72D297353CC}">
              <c16:uniqueId val="{00000007-8688-4929-BFFF-1C25E91F2838}"/>
            </c:ext>
          </c:extLst>
        </c:ser>
        <c:ser>
          <c:idx val="8"/>
          <c:order val="8"/>
          <c:tx>
            <c:strRef>
              <c:f>ECHarvest!$AL$4</c:f>
              <c:strCache>
                <c:ptCount val="1"/>
                <c:pt idx="0">
                  <c:v>Composite Cell Beams with Metal Decking</c:v>
                </c:pt>
              </c:strCache>
            </c:strRef>
          </c:tx>
          <c:spPr>
            <a:ln w="28575" cap="rnd">
              <a:solidFill>
                <a:schemeClr val="accent3">
                  <a:lumMod val="60000"/>
                </a:schemeClr>
              </a:solidFill>
              <a:round/>
            </a:ln>
            <a:effectLst/>
          </c:spPr>
          <c:marker>
            <c:symbol val="none"/>
          </c:marker>
          <c:cat>
            <c:strRef>
              <c:f>ECHarvest!$A$7:$A$13</c:f>
              <c:strCache>
                <c:ptCount val="7"/>
                <c:pt idx="0">
                  <c:v>Baseline</c:v>
                </c:pt>
                <c:pt idx="1">
                  <c:v>Basement Removed</c:v>
                </c:pt>
                <c:pt idx="2">
                  <c:v>Column Grids Reduced</c:v>
                </c:pt>
                <c:pt idx="3">
                  <c:v>Transfer Deck Removed</c:v>
                </c:pt>
                <c:pt idx="4">
                  <c:v>No. Storeys Reduced</c:v>
                </c:pt>
                <c:pt idx="5">
                  <c:v>Low Carbon Materials
Specified</c:v>
                </c:pt>
                <c:pt idx="6">
                  <c:v>Favourable Ground
Conditions Assumed</c:v>
                </c:pt>
              </c:strCache>
            </c:strRef>
          </c:cat>
          <c:val>
            <c:numRef>
              <c:f>ECHarvest!$AL$7:$AL$13</c:f>
              <c:numCache>
                <c:formatCode>0</c:formatCode>
                <c:ptCount val="7"/>
                <c:pt idx="0">
                  <c:v>369.86792447154681</c:v>
                </c:pt>
                <c:pt idx="1">
                  <c:v>324.31092810205456</c:v>
                </c:pt>
                <c:pt idx="2">
                  <c:v>311.39611432766264</c:v>
                </c:pt>
                <c:pt idx="3">
                  <c:v>282.87770234387278</c:v>
                </c:pt>
                <c:pt idx="4">
                  <c:v>267.12551304781078</c:v>
                </c:pt>
                <c:pt idx="5">
                  <c:v>175.55038297636662</c:v>
                </c:pt>
                <c:pt idx="6">
                  <c:v>163.61847945335455</c:v>
                </c:pt>
              </c:numCache>
            </c:numRef>
          </c:val>
          <c:smooth val="0"/>
          <c:extLst>
            <c:ext xmlns:c16="http://schemas.microsoft.com/office/drawing/2014/chart" uri="{C3380CC4-5D6E-409C-BE32-E72D297353CC}">
              <c16:uniqueId val="{00000009-8688-4929-BFFF-1C25E91F2838}"/>
            </c:ext>
          </c:extLst>
        </c:ser>
        <c:ser>
          <c:idx val="9"/>
          <c:order val="9"/>
          <c:tx>
            <c:strRef>
              <c:f>ECHarvest!$AM$4</c:f>
              <c:strCache>
                <c:ptCount val="1"/>
                <c:pt idx="0">
                  <c:v>Steel Frame with CLT Slabs</c:v>
                </c:pt>
              </c:strCache>
            </c:strRef>
          </c:tx>
          <c:spPr>
            <a:ln w="28575" cap="rnd">
              <a:solidFill>
                <a:schemeClr val="accent4">
                  <a:lumMod val="60000"/>
                </a:schemeClr>
              </a:solidFill>
              <a:round/>
            </a:ln>
            <a:effectLst/>
          </c:spPr>
          <c:marker>
            <c:symbol val="none"/>
          </c:marker>
          <c:cat>
            <c:strRef>
              <c:f>ECHarvest!$A$7:$A$13</c:f>
              <c:strCache>
                <c:ptCount val="7"/>
                <c:pt idx="0">
                  <c:v>Baseline</c:v>
                </c:pt>
                <c:pt idx="1">
                  <c:v>Basement Removed</c:v>
                </c:pt>
                <c:pt idx="2">
                  <c:v>Column Grids Reduced</c:v>
                </c:pt>
                <c:pt idx="3">
                  <c:v>Transfer Deck Removed</c:v>
                </c:pt>
                <c:pt idx="4">
                  <c:v>No. Storeys Reduced</c:v>
                </c:pt>
                <c:pt idx="5">
                  <c:v>Low Carbon Materials
Specified</c:v>
                </c:pt>
                <c:pt idx="6">
                  <c:v>Favourable Ground
Conditions Assumed</c:v>
                </c:pt>
              </c:strCache>
            </c:strRef>
          </c:cat>
          <c:val>
            <c:numRef>
              <c:f>ECHarvest!$AM$7:$AM$13</c:f>
              <c:numCache>
                <c:formatCode>0</c:formatCode>
                <c:ptCount val="7"/>
                <c:pt idx="0">
                  <c:v>317.58074193143568</c:v>
                </c:pt>
                <c:pt idx="1">
                  <c:v>261.14919044075316</c:v>
                </c:pt>
                <c:pt idx="2">
                  <c:v>219.32477703493529</c:v>
                </c:pt>
                <c:pt idx="3">
                  <c:v>179.25072783152328</c:v>
                </c:pt>
                <c:pt idx="4">
                  <c:v>158.62744556359547</c:v>
                </c:pt>
                <c:pt idx="5">
                  <c:v>112.77256322705544</c:v>
                </c:pt>
                <c:pt idx="6">
                  <c:v>108.954629690312</c:v>
                </c:pt>
              </c:numCache>
            </c:numRef>
          </c:val>
          <c:smooth val="0"/>
          <c:extLst>
            <c:ext xmlns:c16="http://schemas.microsoft.com/office/drawing/2014/chart" uri="{C3380CC4-5D6E-409C-BE32-E72D297353CC}">
              <c16:uniqueId val="{0000000A-8688-4929-BFFF-1C25E91F2838}"/>
            </c:ext>
          </c:extLst>
        </c:ser>
        <c:ser>
          <c:idx val="10"/>
          <c:order val="10"/>
          <c:tx>
            <c:strRef>
              <c:f>ECHarvest!$AN$4</c:f>
              <c:strCache>
                <c:ptCount val="1"/>
                <c:pt idx="0">
                  <c:v>CLT, Glulam and Steel Column Hybrid</c:v>
                </c:pt>
              </c:strCache>
            </c:strRef>
          </c:tx>
          <c:spPr>
            <a:ln w="28575" cap="rnd">
              <a:solidFill>
                <a:schemeClr val="accent5">
                  <a:lumMod val="60000"/>
                </a:schemeClr>
              </a:solidFill>
              <a:round/>
            </a:ln>
            <a:effectLst/>
          </c:spPr>
          <c:marker>
            <c:symbol val="none"/>
          </c:marker>
          <c:cat>
            <c:strRef>
              <c:f>ECHarvest!$A$7:$A$13</c:f>
              <c:strCache>
                <c:ptCount val="7"/>
                <c:pt idx="0">
                  <c:v>Baseline</c:v>
                </c:pt>
                <c:pt idx="1">
                  <c:v>Basement Removed</c:v>
                </c:pt>
                <c:pt idx="2">
                  <c:v>Column Grids Reduced</c:v>
                </c:pt>
                <c:pt idx="3">
                  <c:v>Transfer Deck Removed</c:v>
                </c:pt>
                <c:pt idx="4">
                  <c:v>No. Storeys Reduced</c:v>
                </c:pt>
                <c:pt idx="5">
                  <c:v>Low Carbon Materials
Specified</c:v>
                </c:pt>
                <c:pt idx="6">
                  <c:v>Favourable Ground
Conditions Assumed</c:v>
                </c:pt>
              </c:strCache>
            </c:strRef>
          </c:cat>
          <c:val>
            <c:numRef>
              <c:f>ECHarvest!$AN$7:$AN$13</c:f>
              <c:numCache>
                <c:formatCode>0</c:formatCode>
                <c:ptCount val="7"/>
                <c:pt idx="0">
                  <c:v>276.35629636032218</c:v>
                </c:pt>
                <c:pt idx="1">
                  <c:v>220.77907157638097</c:v>
                </c:pt>
                <c:pt idx="2">
                  <c:v>201.43057820984282</c:v>
                </c:pt>
                <c:pt idx="3">
                  <c:v>158.31286725277036</c:v>
                </c:pt>
                <c:pt idx="4">
                  <c:v>133.12082796276039</c:v>
                </c:pt>
                <c:pt idx="5">
                  <c:v>108.14513589499488</c:v>
                </c:pt>
                <c:pt idx="6">
                  <c:v>104.32720235825144</c:v>
                </c:pt>
              </c:numCache>
            </c:numRef>
          </c:val>
          <c:smooth val="0"/>
          <c:extLst>
            <c:ext xmlns:c16="http://schemas.microsoft.com/office/drawing/2014/chart" uri="{C3380CC4-5D6E-409C-BE32-E72D297353CC}">
              <c16:uniqueId val="{0000000B-8688-4929-BFFF-1C25E91F2838}"/>
            </c:ext>
          </c:extLst>
        </c:ser>
        <c:dLbls>
          <c:showLegendKey val="0"/>
          <c:showVal val="0"/>
          <c:showCatName val="0"/>
          <c:showSerName val="0"/>
          <c:showPercent val="0"/>
          <c:showBubbleSize val="0"/>
        </c:dLbls>
        <c:smooth val="0"/>
        <c:axId val="1887566255"/>
        <c:axId val="1887573327"/>
      </c:lineChart>
      <c:catAx>
        <c:axId val="1887566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887573327"/>
        <c:crosses val="autoZero"/>
        <c:auto val="1"/>
        <c:lblAlgn val="ctr"/>
        <c:lblOffset val="100"/>
        <c:tickMarkSkip val="1"/>
        <c:noMultiLvlLbl val="0"/>
      </c:catAx>
      <c:valAx>
        <c:axId val="1887573327"/>
        <c:scaling>
          <c:orientation val="minMax"/>
          <c:min val="7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GB"/>
                  <a:t>Embodied Carbon Intensity, Modules A1-A5 (kgCO₂e/m² GIA)</a:t>
                </a:r>
              </a:p>
            </c:rich>
          </c:tx>
          <c:layout>
            <c:manualLayout>
              <c:xMode val="edge"/>
              <c:yMode val="edge"/>
              <c:x val="9.4828237070592684E-3"/>
              <c:y val="7.383691301148134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887566255"/>
        <c:crosses val="autoZero"/>
        <c:crossBetween val="between"/>
      </c:valAx>
      <c:spPr>
        <a:noFill/>
        <a:ln>
          <a:noFill/>
        </a:ln>
        <a:effectLst/>
      </c:spPr>
    </c:plotArea>
    <c:legend>
      <c:legendPos val="b"/>
      <c:layout>
        <c:manualLayout>
          <c:xMode val="edge"/>
          <c:yMode val="edge"/>
          <c:x val="1.0644337634466138E-2"/>
          <c:y val="0.81372843791608707"/>
          <c:w val="0.98324121715816104"/>
          <c:h val="0.17330559774031487"/>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326556151036051"/>
          <c:y val="2.528735632183908E-2"/>
          <c:w val="0.85767441583958282"/>
          <c:h val="0.5415939458134994"/>
        </c:manualLayout>
      </c:layout>
      <c:lineChart>
        <c:grouping val="standard"/>
        <c:varyColors val="0"/>
        <c:ser>
          <c:idx val="0"/>
          <c:order val="0"/>
          <c:tx>
            <c:strRef>
              <c:f>ECHarvest!$AD$4</c:f>
              <c:strCache>
                <c:ptCount val="1"/>
                <c:pt idx="0">
                  <c:v>RC Flat Slab</c:v>
                </c:pt>
              </c:strCache>
            </c:strRef>
          </c:tx>
          <c:spPr>
            <a:ln w="28575" cap="rnd">
              <a:solidFill>
                <a:schemeClr val="accent1"/>
              </a:solidFill>
              <a:round/>
            </a:ln>
            <a:effectLst/>
          </c:spPr>
          <c:marker>
            <c:symbol val="none"/>
          </c:marker>
          <c:cat>
            <c:strRef>
              <c:f>ECHarvest!$A$7:$A$13</c:f>
              <c:strCache>
                <c:ptCount val="7"/>
                <c:pt idx="0">
                  <c:v>Baseline</c:v>
                </c:pt>
                <c:pt idx="1">
                  <c:v>Basement Removed</c:v>
                </c:pt>
                <c:pt idx="2">
                  <c:v>Column Grids Reduced</c:v>
                </c:pt>
                <c:pt idx="3">
                  <c:v>Transfer Deck Removed</c:v>
                </c:pt>
                <c:pt idx="4">
                  <c:v>No. Storeys Reduced</c:v>
                </c:pt>
                <c:pt idx="5">
                  <c:v>Low Carbon Materials
Specified</c:v>
                </c:pt>
                <c:pt idx="6">
                  <c:v>Favourable Ground
Conditions Assumed</c:v>
                </c:pt>
              </c:strCache>
            </c:strRef>
          </c:cat>
          <c:val>
            <c:numRef>
              <c:f>ECHarvest!$AO$7:$AO$13</c:f>
              <c:numCache>
                <c:formatCode>#,##0</c:formatCode>
                <c:ptCount val="7"/>
                <c:pt idx="0">
                  <c:v>6091552.5999999996</c:v>
                </c:pt>
                <c:pt idx="1">
                  <c:v>5046963.6900000004</c:v>
                </c:pt>
                <c:pt idx="2">
                  <c:v>4448547.91</c:v>
                </c:pt>
                <c:pt idx="3">
                  <c:v>3979957.58</c:v>
                </c:pt>
                <c:pt idx="4">
                  <c:v>4023421.47</c:v>
                </c:pt>
                <c:pt idx="5">
                  <c:v>4313146.6500000004</c:v>
                </c:pt>
                <c:pt idx="6">
                  <c:v>3878238.23</c:v>
                </c:pt>
              </c:numCache>
            </c:numRef>
          </c:val>
          <c:smooth val="0"/>
          <c:extLst>
            <c:ext xmlns:c16="http://schemas.microsoft.com/office/drawing/2014/chart" uri="{C3380CC4-5D6E-409C-BE32-E72D297353CC}">
              <c16:uniqueId val="{00000000-9004-4075-890F-3821EEA42DF5}"/>
            </c:ext>
          </c:extLst>
        </c:ser>
        <c:ser>
          <c:idx val="1"/>
          <c:order val="1"/>
          <c:tx>
            <c:strRef>
              <c:f>ECHarvest!$AE$4</c:f>
              <c:strCache>
                <c:ptCount val="1"/>
                <c:pt idx="0">
                  <c:v>PT RC Flat Slab</c:v>
                </c:pt>
              </c:strCache>
            </c:strRef>
          </c:tx>
          <c:spPr>
            <a:ln w="28575" cap="rnd">
              <a:solidFill>
                <a:schemeClr val="accent2"/>
              </a:solidFill>
              <a:round/>
            </a:ln>
            <a:effectLst/>
          </c:spPr>
          <c:marker>
            <c:symbol val="none"/>
          </c:marker>
          <c:cat>
            <c:strRef>
              <c:f>ECHarvest!$A$7:$A$13</c:f>
              <c:strCache>
                <c:ptCount val="7"/>
                <c:pt idx="0">
                  <c:v>Baseline</c:v>
                </c:pt>
                <c:pt idx="1">
                  <c:v>Basement Removed</c:v>
                </c:pt>
                <c:pt idx="2">
                  <c:v>Column Grids Reduced</c:v>
                </c:pt>
                <c:pt idx="3">
                  <c:v>Transfer Deck Removed</c:v>
                </c:pt>
                <c:pt idx="4">
                  <c:v>No. Storeys Reduced</c:v>
                </c:pt>
                <c:pt idx="5">
                  <c:v>Low Carbon Materials
Specified</c:v>
                </c:pt>
                <c:pt idx="6">
                  <c:v>Favourable Ground
Conditions Assumed</c:v>
                </c:pt>
              </c:strCache>
            </c:strRef>
          </c:cat>
          <c:val>
            <c:numRef>
              <c:f>ECHarvest!$AP$7:$AP$13</c:f>
              <c:numCache>
                <c:formatCode>#,##0</c:formatCode>
                <c:ptCount val="7"/>
                <c:pt idx="0">
                  <c:v>6332014.6799999997</c:v>
                </c:pt>
                <c:pt idx="1">
                  <c:v>5309661.6500000004</c:v>
                </c:pt>
                <c:pt idx="2">
                  <c:v>5010534.33</c:v>
                </c:pt>
                <c:pt idx="3">
                  <c:v>4682624.2</c:v>
                </c:pt>
                <c:pt idx="4">
                  <c:v>4712005.41</c:v>
                </c:pt>
                <c:pt idx="5">
                  <c:v>4993838.93</c:v>
                </c:pt>
                <c:pt idx="6">
                  <c:v>4577898.1500000004</c:v>
                </c:pt>
              </c:numCache>
            </c:numRef>
          </c:val>
          <c:smooth val="0"/>
          <c:extLst>
            <c:ext xmlns:c16="http://schemas.microsoft.com/office/drawing/2014/chart" uri="{C3380CC4-5D6E-409C-BE32-E72D297353CC}">
              <c16:uniqueId val="{00000001-9004-4075-890F-3821EEA42DF5}"/>
            </c:ext>
          </c:extLst>
        </c:ser>
        <c:ser>
          <c:idx val="2"/>
          <c:order val="2"/>
          <c:tx>
            <c:strRef>
              <c:f>ECHarvest!$AF$4</c:f>
              <c:strCache>
                <c:ptCount val="1"/>
                <c:pt idx="0">
                  <c:v>RC Rib Slab</c:v>
                </c:pt>
              </c:strCache>
            </c:strRef>
          </c:tx>
          <c:spPr>
            <a:ln w="28575" cap="rnd">
              <a:solidFill>
                <a:schemeClr val="accent3"/>
              </a:solidFill>
              <a:round/>
            </a:ln>
            <a:effectLst/>
          </c:spPr>
          <c:marker>
            <c:symbol val="none"/>
          </c:marker>
          <c:cat>
            <c:strRef>
              <c:f>ECHarvest!$A$7:$A$13</c:f>
              <c:strCache>
                <c:ptCount val="7"/>
                <c:pt idx="0">
                  <c:v>Baseline</c:v>
                </c:pt>
                <c:pt idx="1">
                  <c:v>Basement Removed</c:v>
                </c:pt>
                <c:pt idx="2">
                  <c:v>Column Grids Reduced</c:v>
                </c:pt>
                <c:pt idx="3">
                  <c:v>Transfer Deck Removed</c:v>
                </c:pt>
                <c:pt idx="4">
                  <c:v>No. Storeys Reduced</c:v>
                </c:pt>
                <c:pt idx="5">
                  <c:v>Low Carbon Materials
Specified</c:v>
                </c:pt>
                <c:pt idx="6">
                  <c:v>Favourable Ground
Conditions Assumed</c:v>
                </c:pt>
              </c:strCache>
            </c:strRef>
          </c:cat>
          <c:val>
            <c:numRef>
              <c:f>ECHarvest!$AQ$7:$AQ$13</c:f>
              <c:numCache>
                <c:formatCode>#,##0</c:formatCode>
                <c:ptCount val="7"/>
                <c:pt idx="0">
                  <c:v>6319624.8899999997</c:v>
                </c:pt>
                <c:pt idx="1">
                  <c:v>5236327.38</c:v>
                </c:pt>
                <c:pt idx="2">
                  <c:v>4812837.17</c:v>
                </c:pt>
                <c:pt idx="3">
                  <c:v>4377180.3499999996</c:v>
                </c:pt>
                <c:pt idx="4">
                  <c:v>4415645.68</c:v>
                </c:pt>
                <c:pt idx="5">
                  <c:v>4689541.08</c:v>
                </c:pt>
                <c:pt idx="6">
                  <c:v>4255327.93</c:v>
                </c:pt>
              </c:numCache>
            </c:numRef>
          </c:val>
          <c:smooth val="0"/>
          <c:extLst>
            <c:ext xmlns:c16="http://schemas.microsoft.com/office/drawing/2014/chart" uri="{C3380CC4-5D6E-409C-BE32-E72D297353CC}">
              <c16:uniqueId val="{00000002-9004-4075-890F-3821EEA42DF5}"/>
            </c:ext>
          </c:extLst>
        </c:ser>
        <c:ser>
          <c:idx val="3"/>
          <c:order val="3"/>
          <c:tx>
            <c:strRef>
              <c:f>ECHarvest!$AG$4</c:f>
              <c:strCache>
                <c:ptCount val="1"/>
                <c:pt idx="0">
                  <c:v>Two-way RC Slab</c:v>
                </c:pt>
              </c:strCache>
            </c:strRef>
          </c:tx>
          <c:spPr>
            <a:ln w="28575" cap="rnd">
              <a:solidFill>
                <a:schemeClr val="accent4"/>
              </a:solidFill>
              <a:round/>
            </a:ln>
            <a:effectLst/>
          </c:spPr>
          <c:marker>
            <c:symbol val="none"/>
          </c:marker>
          <c:cat>
            <c:strRef>
              <c:f>ECHarvest!$A$7:$A$13</c:f>
              <c:strCache>
                <c:ptCount val="7"/>
                <c:pt idx="0">
                  <c:v>Baseline</c:v>
                </c:pt>
                <c:pt idx="1">
                  <c:v>Basement Removed</c:v>
                </c:pt>
                <c:pt idx="2">
                  <c:v>Column Grids Reduced</c:v>
                </c:pt>
                <c:pt idx="3">
                  <c:v>Transfer Deck Removed</c:v>
                </c:pt>
                <c:pt idx="4">
                  <c:v>No. Storeys Reduced</c:v>
                </c:pt>
                <c:pt idx="5">
                  <c:v>Low Carbon Materials
Specified</c:v>
                </c:pt>
                <c:pt idx="6">
                  <c:v>Favourable Ground
Conditions Assumed</c:v>
                </c:pt>
              </c:strCache>
            </c:strRef>
          </c:cat>
          <c:val>
            <c:numRef>
              <c:f>ECHarvest!$AR$7:$AR$13</c:f>
              <c:numCache>
                <c:formatCode>#,##0</c:formatCode>
                <c:ptCount val="7"/>
                <c:pt idx="0">
                  <c:v>5715236.3300000001</c:v>
                </c:pt>
                <c:pt idx="1">
                  <c:v>4553064.67</c:v>
                </c:pt>
                <c:pt idx="2">
                  <c:v>3907556.28</c:v>
                </c:pt>
                <c:pt idx="3">
                  <c:v>3510546.26</c:v>
                </c:pt>
                <c:pt idx="4">
                  <c:v>3626559.19</c:v>
                </c:pt>
                <c:pt idx="5">
                  <c:v>3883304.82</c:v>
                </c:pt>
                <c:pt idx="6">
                  <c:v>3465811.87</c:v>
                </c:pt>
              </c:numCache>
            </c:numRef>
          </c:val>
          <c:smooth val="0"/>
          <c:extLst>
            <c:ext xmlns:c16="http://schemas.microsoft.com/office/drawing/2014/chart" uri="{C3380CC4-5D6E-409C-BE32-E72D297353CC}">
              <c16:uniqueId val="{00000003-9004-4075-890F-3821EEA42DF5}"/>
            </c:ext>
          </c:extLst>
        </c:ser>
        <c:ser>
          <c:idx val="4"/>
          <c:order val="4"/>
          <c:tx>
            <c:strRef>
              <c:f>ECHarvest!$AH$4</c:f>
              <c:strCache>
                <c:ptCount val="1"/>
                <c:pt idx="0">
                  <c:v>One-Way Spanning RC</c:v>
                </c:pt>
              </c:strCache>
            </c:strRef>
          </c:tx>
          <c:spPr>
            <a:ln w="28575" cap="rnd">
              <a:solidFill>
                <a:schemeClr val="accent5"/>
              </a:solidFill>
              <a:round/>
            </a:ln>
            <a:effectLst/>
          </c:spPr>
          <c:marker>
            <c:symbol val="none"/>
          </c:marker>
          <c:cat>
            <c:strRef>
              <c:f>ECHarvest!$A$7:$A$13</c:f>
              <c:strCache>
                <c:ptCount val="7"/>
                <c:pt idx="0">
                  <c:v>Baseline</c:v>
                </c:pt>
                <c:pt idx="1">
                  <c:v>Basement Removed</c:v>
                </c:pt>
                <c:pt idx="2">
                  <c:v>Column Grids Reduced</c:v>
                </c:pt>
                <c:pt idx="3">
                  <c:v>Transfer Deck Removed</c:v>
                </c:pt>
                <c:pt idx="4">
                  <c:v>No. Storeys Reduced</c:v>
                </c:pt>
                <c:pt idx="5">
                  <c:v>Low Carbon Materials
Specified</c:v>
                </c:pt>
                <c:pt idx="6">
                  <c:v>Favourable Ground
Conditions Assumed</c:v>
                </c:pt>
              </c:strCache>
            </c:strRef>
          </c:cat>
          <c:val>
            <c:numRef>
              <c:f>ECHarvest!$AS$7:$AS$13</c:f>
              <c:numCache>
                <c:formatCode>#,##0</c:formatCode>
                <c:ptCount val="7"/>
                <c:pt idx="0">
                  <c:v>6096321.3600000003</c:v>
                </c:pt>
                <c:pt idx="1">
                  <c:v>5047235.0999999996</c:v>
                </c:pt>
                <c:pt idx="2">
                  <c:v>4385727.17</c:v>
                </c:pt>
                <c:pt idx="3">
                  <c:v>3968573.96</c:v>
                </c:pt>
                <c:pt idx="4">
                  <c:v>4011098.04</c:v>
                </c:pt>
                <c:pt idx="5">
                  <c:v>4289054.24</c:v>
                </c:pt>
                <c:pt idx="6">
                  <c:v>3864458.49</c:v>
                </c:pt>
              </c:numCache>
            </c:numRef>
          </c:val>
          <c:smooth val="0"/>
          <c:extLst>
            <c:ext xmlns:c16="http://schemas.microsoft.com/office/drawing/2014/chart" uri="{C3380CC4-5D6E-409C-BE32-E72D297353CC}">
              <c16:uniqueId val="{00000004-9004-4075-890F-3821EEA42DF5}"/>
            </c:ext>
          </c:extLst>
        </c:ser>
        <c:ser>
          <c:idx val="5"/>
          <c:order val="5"/>
          <c:tx>
            <c:strRef>
              <c:f>ECHarvest!$AI$4</c:f>
              <c:strCache>
                <c:ptCount val="1"/>
                <c:pt idx="0">
                  <c:v>Precast Hollowcore with In-situ RC Beams</c:v>
                </c:pt>
              </c:strCache>
            </c:strRef>
          </c:tx>
          <c:spPr>
            <a:ln w="28575" cap="rnd">
              <a:solidFill>
                <a:schemeClr val="accent6"/>
              </a:solidFill>
              <a:round/>
            </a:ln>
            <a:effectLst/>
          </c:spPr>
          <c:marker>
            <c:symbol val="none"/>
          </c:marker>
          <c:cat>
            <c:strRef>
              <c:f>ECHarvest!$A$7:$A$13</c:f>
              <c:strCache>
                <c:ptCount val="7"/>
                <c:pt idx="0">
                  <c:v>Baseline</c:v>
                </c:pt>
                <c:pt idx="1">
                  <c:v>Basement Removed</c:v>
                </c:pt>
                <c:pt idx="2">
                  <c:v>Column Grids Reduced</c:v>
                </c:pt>
                <c:pt idx="3">
                  <c:v>Transfer Deck Removed</c:v>
                </c:pt>
                <c:pt idx="4">
                  <c:v>No. Storeys Reduced</c:v>
                </c:pt>
                <c:pt idx="5">
                  <c:v>Low Carbon Materials
Specified</c:v>
                </c:pt>
                <c:pt idx="6">
                  <c:v>Favourable Ground
Conditions Assumed</c:v>
                </c:pt>
              </c:strCache>
            </c:strRef>
          </c:cat>
          <c:val>
            <c:numRef>
              <c:f>ECHarvest!$AT$7:$AT$13</c:f>
              <c:numCache>
                <c:formatCode>#,##0</c:formatCode>
                <c:ptCount val="7"/>
                <c:pt idx="0">
                  <c:v>5938902.6200000001</c:v>
                </c:pt>
                <c:pt idx="1">
                  <c:v>4818406.93</c:v>
                </c:pt>
                <c:pt idx="2">
                  <c:v>4822235.46</c:v>
                </c:pt>
                <c:pt idx="3">
                  <c:v>4488883.3499999996</c:v>
                </c:pt>
                <c:pt idx="4">
                  <c:v>4575847.54</c:v>
                </c:pt>
                <c:pt idx="5">
                  <c:v>4850327.99</c:v>
                </c:pt>
                <c:pt idx="6">
                  <c:v>4373854.41</c:v>
                </c:pt>
              </c:numCache>
            </c:numRef>
          </c:val>
          <c:smooth val="0"/>
          <c:extLst>
            <c:ext xmlns:c16="http://schemas.microsoft.com/office/drawing/2014/chart" uri="{C3380CC4-5D6E-409C-BE32-E72D297353CC}">
              <c16:uniqueId val="{00000005-9004-4075-890F-3821EEA42DF5}"/>
            </c:ext>
          </c:extLst>
        </c:ser>
        <c:ser>
          <c:idx val="6"/>
          <c:order val="6"/>
          <c:tx>
            <c:strRef>
              <c:f>ECHarvest!$AJ$4</c:f>
              <c:strCache>
                <c:ptCount val="1"/>
                <c:pt idx="0">
                  <c:v>Non-Composite Rolled Steel with PCC Planks</c:v>
                </c:pt>
              </c:strCache>
            </c:strRef>
          </c:tx>
          <c:spPr>
            <a:ln w="28575" cap="rnd">
              <a:solidFill>
                <a:schemeClr val="accent1">
                  <a:lumMod val="60000"/>
                </a:schemeClr>
              </a:solidFill>
              <a:round/>
            </a:ln>
            <a:effectLst/>
          </c:spPr>
          <c:marker>
            <c:symbol val="none"/>
          </c:marker>
          <c:cat>
            <c:strRef>
              <c:f>ECHarvest!$A$7:$A$13</c:f>
              <c:strCache>
                <c:ptCount val="7"/>
                <c:pt idx="0">
                  <c:v>Baseline</c:v>
                </c:pt>
                <c:pt idx="1">
                  <c:v>Basement Removed</c:v>
                </c:pt>
                <c:pt idx="2">
                  <c:v>Column Grids Reduced</c:v>
                </c:pt>
                <c:pt idx="3">
                  <c:v>Transfer Deck Removed</c:v>
                </c:pt>
                <c:pt idx="4">
                  <c:v>No. Storeys Reduced</c:v>
                </c:pt>
                <c:pt idx="5">
                  <c:v>Low Carbon Materials
Specified</c:v>
                </c:pt>
                <c:pt idx="6">
                  <c:v>Favourable Ground
Conditions Assumed</c:v>
                </c:pt>
              </c:strCache>
            </c:strRef>
          </c:cat>
          <c:val>
            <c:numRef>
              <c:f>ECHarvest!$AU$7:$AU$13</c:f>
              <c:numCache>
                <c:formatCode>#,##0</c:formatCode>
                <c:ptCount val="7"/>
                <c:pt idx="0">
                  <c:v>6966039.1100000003</c:v>
                </c:pt>
                <c:pt idx="1">
                  <c:v>6147690.5099999998</c:v>
                </c:pt>
                <c:pt idx="2">
                  <c:v>5744375.8799999999</c:v>
                </c:pt>
                <c:pt idx="3">
                  <c:v>5420567.5999999996</c:v>
                </c:pt>
                <c:pt idx="4">
                  <c:v>5250987.9800000004</c:v>
                </c:pt>
                <c:pt idx="5">
                  <c:v>5456742.9000000004</c:v>
                </c:pt>
                <c:pt idx="6">
                  <c:v>5073779.95</c:v>
                </c:pt>
              </c:numCache>
            </c:numRef>
          </c:val>
          <c:smooth val="0"/>
          <c:extLst>
            <c:ext xmlns:c16="http://schemas.microsoft.com/office/drawing/2014/chart" uri="{C3380CC4-5D6E-409C-BE32-E72D297353CC}">
              <c16:uniqueId val="{00000006-9004-4075-890F-3821EEA42DF5}"/>
            </c:ext>
          </c:extLst>
        </c:ser>
        <c:ser>
          <c:idx val="7"/>
          <c:order val="7"/>
          <c:tx>
            <c:strRef>
              <c:f>ECHarvest!$AK$4</c:f>
              <c:strCache>
                <c:ptCount val="1"/>
                <c:pt idx="0">
                  <c:v>Composite Rolled Steel with Metal Decking</c:v>
                </c:pt>
              </c:strCache>
            </c:strRef>
          </c:tx>
          <c:spPr>
            <a:ln w="28575" cap="rnd">
              <a:solidFill>
                <a:schemeClr val="accent2">
                  <a:lumMod val="60000"/>
                </a:schemeClr>
              </a:solidFill>
              <a:round/>
            </a:ln>
            <a:effectLst/>
          </c:spPr>
          <c:marker>
            <c:symbol val="none"/>
          </c:marker>
          <c:cat>
            <c:strRef>
              <c:f>ECHarvest!$A$7:$A$13</c:f>
              <c:strCache>
                <c:ptCount val="7"/>
                <c:pt idx="0">
                  <c:v>Baseline</c:v>
                </c:pt>
                <c:pt idx="1">
                  <c:v>Basement Removed</c:v>
                </c:pt>
                <c:pt idx="2">
                  <c:v>Column Grids Reduced</c:v>
                </c:pt>
                <c:pt idx="3">
                  <c:v>Transfer Deck Removed</c:v>
                </c:pt>
                <c:pt idx="4">
                  <c:v>No. Storeys Reduced</c:v>
                </c:pt>
                <c:pt idx="5">
                  <c:v>Low Carbon Materials
Specified</c:v>
                </c:pt>
                <c:pt idx="6">
                  <c:v>Favourable Ground
Conditions Assumed</c:v>
                </c:pt>
              </c:strCache>
            </c:strRef>
          </c:cat>
          <c:val>
            <c:numRef>
              <c:f>ECHarvest!$AV$7:$AV$13</c:f>
              <c:numCache>
                <c:formatCode>#,##0</c:formatCode>
                <c:ptCount val="7"/>
                <c:pt idx="0">
                  <c:v>7119885.2199999997</c:v>
                </c:pt>
                <c:pt idx="1">
                  <c:v>6325170.3399999999</c:v>
                </c:pt>
                <c:pt idx="2">
                  <c:v>5714343.0999999996</c:v>
                </c:pt>
                <c:pt idx="3">
                  <c:v>5401052.4800000004</c:v>
                </c:pt>
                <c:pt idx="4">
                  <c:v>5332003.96</c:v>
                </c:pt>
                <c:pt idx="5">
                  <c:v>5566235.7699999996</c:v>
                </c:pt>
                <c:pt idx="6">
                  <c:v>5158304.79</c:v>
                </c:pt>
              </c:numCache>
            </c:numRef>
          </c:val>
          <c:smooth val="0"/>
          <c:extLst>
            <c:ext xmlns:c16="http://schemas.microsoft.com/office/drawing/2014/chart" uri="{C3380CC4-5D6E-409C-BE32-E72D297353CC}">
              <c16:uniqueId val="{00000007-9004-4075-890F-3821EEA42DF5}"/>
            </c:ext>
          </c:extLst>
        </c:ser>
        <c:ser>
          <c:idx val="8"/>
          <c:order val="8"/>
          <c:tx>
            <c:strRef>
              <c:f>ECHarvest!$AL$4</c:f>
              <c:strCache>
                <c:ptCount val="1"/>
                <c:pt idx="0">
                  <c:v>Composite Cell Beams with Metal Decking</c:v>
                </c:pt>
              </c:strCache>
            </c:strRef>
          </c:tx>
          <c:spPr>
            <a:ln w="28575" cap="rnd">
              <a:solidFill>
                <a:schemeClr val="accent3">
                  <a:lumMod val="60000"/>
                </a:schemeClr>
              </a:solidFill>
              <a:round/>
            </a:ln>
            <a:effectLst/>
          </c:spPr>
          <c:marker>
            <c:symbol val="none"/>
          </c:marker>
          <c:cat>
            <c:strRef>
              <c:f>ECHarvest!$A$7:$A$13</c:f>
              <c:strCache>
                <c:ptCount val="7"/>
                <c:pt idx="0">
                  <c:v>Baseline</c:v>
                </c:pt>
                <c:pt idx="1">
                  <c:v>Basement Removed</c:v>
                </c:pt>
                <c:pt idx="2">
                  <c:v>Column Grids Reduced</c:v>
                </c:pt>
                <c:pt idx="3">
                  <c:v>Transfer Deck Removed</c:v>
                </c:pt>
                <c:pt idx="4">
                  <c:v>No. Storeys Reduced</c:v>
                </c:pt>
                <c:pt idx="5">
                  <c:v>Low Carbon Materials
Specified</c:v>
                </c:pt>
                <c:pt idx="6">
                  <c:v>Favourable Ground
Conditions Assumed</c:v>
                </c:pt>
              </c:strCache>
            </c:strRef>
          </c:cat>
          <c:val>
            <c:numRef>
              <c:f>ECHarvest!$AW$7:$AW$13</c:f>
              <c:numCache>
                <c:formatCode>#,##0</c:formatCode>
                <c:ptCount val="7"/>
                <c:pt idx="0">
                  <c:v>7382134.6399999997</c:v>
                </c:pt>
                <c:pt idx="1">
                  <c:v>6615757.0099999998</c:v>
                </c:pt>
                <c:pt idx="2">
                  <c:v>6549913</c:v>
                </c:pt>
                <c:pt idx="3">
                  <c:v>6358117.1500000004</c:v>
                </c:pt>
                <c:pt idx="4">
                  <c:v>6290549.8600000003</c:v>
                </c:pt>
                <c:pt idx="5">
                  <c:v>6521601.7300000004</c:v>
                </c:pt>
                <c:pt idx="6">
                  <c:v>6121257.1200000001</c:v>
                </c:pt>
              </c:numCache>
            </c:numRef>
          </c:val>
          <c:smooth val="0"/>
          <c:extLst>
            <c:ext xmlns:c16="http://schemas.microsoft.com/office/drawing/2014/chart" uri="{C3380CC4-5D6E-409C-BE32-E72D297353CC}">
              <c16:uniqueId val="{00000008-9004-4075-890F-3821EEA42DF5}"/>
            </c:ext>
          </c:extLst>
        </c:ser>
        <c:ser>
          <c:idx val="9"/>
          <c:order val="9"/>
          <c:tx>
            <c:strRef>
              <c:f>ECHarvest!$AM$4</c:f>
              <c:strCache>
                <c:ptCount val="1"/>
                <c:pt idx="0">
                  <c:v>Steel Frame with CLT Slabs</c:v>
                </c:pt>
              </c:strCache>
            </c:strRef>
          </c:tx>
          <c:spPr>
            <a:ln w="28575" cap="rnd">
              <a:solidFill>
                <a:schemeClr val="accent4">
                  <a:lumMod val="60000"/>
                </a:schemeClr>
              </a:solidFill>
              <a:round/>
            </a:ln>
            <a:effectLst/>
          </c:spPr>
          <c:marker>
            <c:symbol val="none"/>
          </c:marker>
          <c:cat>
            <c:strRef>
              <c:f>ECHarvest!$A$7:$A$13</c:f>
              <c:strCache>
                <c:ptCount val="7"/>
                <c:pt idx="0">
                  <c:v>Baseline</c:v>
                </c:pt>
                <c:pt idx="1">
                  <c:v>Basement Removed</c:v>
                </c:pt>
                <c:pt idx="2">
                  <c:v>Column Grids Reduced</c:v>
                </c:pt>
                <c:pt idx="3">
                  <c:v>Transfer Deck Removed</c:v>
                </c:pt>
                <c:pt idx="4">
                  <c:v>No. Storeys Reduced</c:v>
                </c:pt>
                <c:pt idx="5">
                  <c:v>Low Carbon Materials
Specified</c:v>
                </c:pt>
                <c:pt idx="6">
                  <c:v>Favourable Ground
Conditions Assumed</c:v>
                </c:pt>
              </c:strCache>
            </c:strRef>
          </c:cat>
          <c:val>
            <c:numRef>
              <c:f>ECHarvest!$AX$7:$AX$13</c:f>
              <c:numCache>
                <c:formatCode>#,##0</c:formatCode>
                <c:ptCount val="7"/>
                <c:pt idx="0">
                  <c:v>7402724.9800000004</c:v>
                </c:pt>
                <c:pt idx="1">
                  <c:v>6471091.4000000004</c:v>
                </c:pt>
                <c:pt idx="2">
                  <c:v>5673667.7199999997</c:v>
                </c:pt>
                <c:pt idx="3">
                  <c:v>5154850.91</c:v>
                </c:pt>
                <c:pt idx="4">
                  <c:v>4997847.3899999997</c:v>
                </c:pt>
                <c:pt idx="5">
                  <c:v>5136610.55</c:v>
                </c:pt>
                <c:pt idx="6">
                  <c:v>5003035.55</c:v>
                </c:pt>
              </c:numCache>
            </c:numRef>
          </c:val>
          <c:smooth val="0"/>
          <c:extLst>
            <c:ext xmlns:c16="http://schemas.microsoft.com/office/drawing/2014/chart" uri="{C3380CC4-5D6E-409C-BE32-E72D297353CC}">
              <c16:uniqueId val="{00000009-9004-4075-890F-3821EEA42DF5}"/>
            </c:ext>
          </c:extLst>
        </c:ser>
        <c:ser>
          <c:idx val="10"/>
          <c:order val="10"/>
          <c:tx>
            <c:strRef>
              <c:f>ECHarvest!$AN$4</c:f>
              <c:strCache>
                <c:ptCount val="1"/>
                <c:pt idx="0">
                  <c:v>CLT, Glulam and Steel Column Hybrid</c:v>
                </c:pt>
              </c:strCache>
            </c:strRef>
          </c:tx>
          <c:spPr>
            <a:ln w="28575" cap="rnd">
              <a:solidFill>
                <a:schemeClr val="accent5">
                  <a:lumMod val="60000"/>
                </a:schemeClr>
              </a:solidFill>
              <a:round/>
            </a:ln>
            <a:effectLst/>
          </c:spPr>
          <c:marker>
            <c:symbol val="none"/>
          </c:marker>
          <c:cat>
            <c:strRef>
              <c:f>ECHarvest!$A$7:$A$13</c:f>
              <c:strCache>
                <c:ptCount val="7"/>
                <c:pt idx="0">
                  <c:v>Baseline</c:v>
                </c:pt>
                <c:pt idx="1">
                  <c:v>Basement Removed</c:v>
                </c:pt>
                <c:pt idx="2">
                  <c:v>Column Grids Reduced</c:v>
                </c:pt>
                <c:pt idx="3">
                  <c:v>Transfer Deck Removed</c:v>
                </c:pt>
                <c:pt idx="4">
                  <c:v>No. Storeys Reduced</c:v>
                </c:pt>
                <c:pt idx="5">
                  <c:v>Low Carbon Materials
Specified</c:v>
                </c:pt>
                <c:pt idx="6">
                  <c:v>Favourable Ground
Conditions Assumed</c:v>
                </c:pt>
              </c:strCache>
            </c:strRef>
          </c:cat>
          <c:val>
            <c:numRef>
              <c:f>ECHarvest!$AY$7:$AY$13</c:f>
              <c:numCache>
                <c:formatCode>#,##0</c:formatCode>
                <c:ptCount val="7"/>
                <c:pt idx="0">
                  <c:v>8093659.3899999997</c:v>
                </c:pt>
                <c:pt idx="1">
                  <c:v>7496656.2400000002</c:v>
                </c:pt>
                <c:pt idx="2">
                  <c:v>5797249.6799999997</c:v>
                </c:pt>
                <c:pt idx="3">
                  <c:v>5315003.2</c:v>
                </c:pt>
                <c:pt idx="4">
                  <c:v>5073704.17</c:v>
                </c:pt>
                <c:pt idx="5">
                  <c:v>5212768.8</c:v>
                </c:pt>
                <c:pt idx="6">
                  <c:v>5079193.8</c:v>
                </c:pt>
              </c:numCache>
            </c:numRef>
          </c:val>
          <c:smooth val="0"/>
          <c:extLst>
            <c:ext xmlns:c16="http://schemas.microsoft.com/office/drawing/2014/chart" uri="{C3380CC4-5D6E-409C-BE32-E72D297353CC}">
              <c16:uniqueId val="{0000000A-9004-4075-890F-3821EEA42DF5}"/>
            </c:ext>
          </c:extLst>
        </c:ser>
        <c:dLbls>
          <c:showLegendKey val="0"/>
          <c:showVal val="0"/>
          <c:showCatName val="0"/>
          <c:showSerName val="0"/>
          <c:showPercent val="0"/>
          <c:showBubbleSize val="0"/>
        </c:dLbls>
        <c:smooth val="0"/>
        <c:axId val="1887566255"/>
        <c:axId val="1887573327"/>
      </c:lineChart>
      <c:catAx>
        <c:axId val="1887566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887573327"/>
        <c:crosses val="autoZero"/>
        <c:auto val="1"/>
        <c:lblAlgn val="ctr"/>
        <c:lblOffset val="100"/>
        <c:tickMarkSkip val="1"/>
        <c:noMultiLvlLbl val="0"/>
      </c:catAx>
      <c:valAx>
        <c:axId val="1887573327"/>
        <c:scaling>
          <c:orientation val="minMax"/>
          <c:max val="8500000"/>
          <c:min val="25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r>
                  <a:rPr lang="en-GB"/>
                  <a:t>Frame Construction</a:t>
                </a:r>
                <a:r>
                  <a:rPr lang="en-GB" baseline="0"/>
                  <a:t> Cost (£)</a:t>
                </a:r>
              </a:p>
            </c:rich>
          </c:tx>
          <c:layout>
            <c:manualLayout>
              <c:xMode val="edge"/>
              <c:yMode val="edge"/>
              <c:x val="9.4828237070592684E-3"/>
              <c:y val="7.3836913011481348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887566255"/>
        <c:crosses val="autoZero"/>
        <c:crossBetween val="between"/>
      </c:valAx>
      <c:spPr>
        <a:noFill/>
        <a:ln>
          <a:noFill/>
        </a:ln>
        <a:effectLst/>
      </c:spPr>
    </c:plotArea>
    <c:legend>
      <c:legendPos val="b"/>
      <c:layout>
        <c:manualLayout>
          <c:xMode val="edge"/>
          <c:yMode val="edge"/>
          <c:x val="1.0644337634466138E-2"/>
          <c:y val="0.81372843791608707"/>
          <c:w val="0.98324121715816104"/>
          <c:h val="0.17330559774031487"/>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4.xml"/><Relationship Id="rId3" Type="http://schemas.openxmlformats.org/officeDocument/2006/relationships/image" Target="../media/image1.png"/><Relationship Id="rId7" Type="http://schemas.openxmlformats.org/officeDocument/2006/relationships/image" Target="../media/image5.svg"/><Relationship Id="rId12" Type="http://schemas.openxmlformats.org/officeDocument/2006/relationships/image" Target="../media/image9.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png"/><Relationship Id="rId11" Type="http://schemas.openxmlformats.org/officeDocument/2006/relationships/image" Target="../media/image8.png"/><Relationship Id="rId5" Type="http://schemas.openxmlformats.org/officeDocument/2006/relationships/image" Target="../media/image3.svg"/><Relationship Id="rId15" Type="http://schemas.openxmlformats.org/officeDocument/2006/relationships/chart" Target="../charts/chart6.xml"/><Relationship Id="rId10" Type="http://schemas.openxmlformats.org/officeDocument/2006/relationships/chart" Target="../charts/chart3.xml"/><Relationship Id="rId4" Type="http://schemas.openxmlformats.org/officeDocument/2006/relationships/image" Target="../media/image2.png"/><Relationship Id="rId9" Type="http://schemas.openxmlformats.org/officeDocument/2006/relationships/image" Target="../media/image7.svg"/><Relationship Id="rId14" Type="http://schemas.openxmlformats.org/officeDocument/2006/relationships/chart" Target="../charts/chart5.xml"/></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11.png"/><Relationship Id="rId1"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3" Type="http://schemas.openxmlformats.org/officeDocument/2006/relationships/image" Target="../media/image27.png"/><Relationship Id="rId18" Type="http://schemas.openxmlformats.org/officeDocument/2006/relationships/image" Target="../media/image32.png"/><Relationship Id="rId26" Type="http://schemas.openxmlformats.org/officeDocument/2006/relationships/image" Target="../media/image40.png"/><Relationship Id="rId3" Type="http://schemas.openxmlformats.org/officeDocument/2006/relationships/image" Target="../media/image17.png"/><Relationship Id="rId21" Type="http://schemas.openxmlformats.org/officeDocument/2006/relationships/image" Target="../media/image35.png"/><Relationship Id="rId34" Type="http://schemas.openxmlformats.org/officeDocument/2006/relationships/image" Target="../media/image48.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png"/><Relationship Id="rId25" Type="http://schemas.openxmlformats.org/officeDocument/2006/relationships/image" Target="../media/image39.png"/><Relationship Id="rId33" Type="http://schemas.openxmlformats.org/officeDocument/2006/relationships/image" Target="../media/image47.png"/><Relationship Id="rId2" Type="http://schemas.openxmlformats.org/officeDocument/2006/relationships/image" Target="../media/image16.png"/><Relationship Id="rId16" Type="http://schemas.openxmlformats.org/officeDocument/2006/relationships/image" Target="../media/image30.png"/><Relationship Id="rId20" Type="http://schemas.openxmlformats.org/officeDocument/2006/relationships/image" Target="../media/image34.png"/><Relationship Id="rId29" Type="http://schemas.openxmlformats.org/officeDocument/2006/relationships/image" Target="../media/image43.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24" Type="http://schemas.openxmlformats.org/officeDocument/2006/relationships/image" Target="../media/image38.png"/><Relationship Id="rId32" Type="http://schemas.openxmlformats.org/officeDocument/2006/relationships/image" Target="../media/image46.png"/><Relationship Id="rId5" Type="http://schemas.openxmlformats.org/officeDocument/2006/relationships/image" Target="../media/image19.png"/><Relationship Id="rId15" Type="http://schemas.openxmlformats.org/officeDocument/2006/relationships/image" Target="../media/image29.png"/><Relationship Id="rId23" Type="http://schemas.openxmlformats.org/officeDocument/2006/relationships/image" Target="../media/image37.png"/><Relationship Id="rId28" Type="http://schemas.openxmlformats.org/officeDocument/2006/relationships/image" Target="../media/image42.png"/><Relationship Id="rId36" Type="http://schemas.openxmlformats.org/officeDocument/2006/relationships/image" Target="../media/image50.png"/><Relationship Id="rId10" Type="http://schemas.openxmlformats.org/officeDocument/2006/relationships/image" Target="../media/image24.png"/><Relationship Id="rId19" Type="http://schemas.openxmlformats.org/officeDocument/2006/relationships/image" Target="../media/image33.png"/><Relationship Id="rId31" Type="http://schemas.openxmlformats.org/officeDocument/2006/relationships/image" Target="../media/image45.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png"/><Relationship Id="rId27" Type="http://schemas.openxmlformats.org/officeDocument/2006/relationships/image" Target="../media/image41.png"/><Relationship Id="rId30" Type="http://schemas.openxmlformats.org/officeDocument/2006/relationships/image" Target="../media/image44.png"/><Relationship Id="rId35" Type="http://schemas.openxmlformats.org/officeDocument/2006/relationships/image" Target="../media/image49.png"/><Relationship Id="rId8"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5</xdr:col>
      <xdr:colOff>123824</xdr:colOff>
      <xdr:row>54</xdr:row>
      <xdr:rowOff>28574</xdr:rowOff>
    </xdr:from>
    <xdr:to>
      <xdr:col>9</xdr:col>
      <xdr:colOff>575388</xdr:colOff>
      <xdr:row>70</xdr:row>
      <xdr:rowOff>0</xdr:rowOff>
    </xdr:to>
    <xdr:graphicFrame macro="">
      <xdr:nvGraphicFramePr>
        <xdr:cNvPr id="149" name="Chart 2">
          <a:extLst>
            <a:ext uri="{FF2B5EF4-FFF2-40B4-BE49-F238E27FC236}">
              <a16:creationId xmlns:a16="http://schemas.microsoft.com/office/drawing/2014/main" id="{3104EC57-7DC9-433E-8F67-78824C54F0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1455960</xdr:colOff>
      <xdr:row>22</xdr:row>
      <xdr:rowOff>219075</xdr:rowOff>
    </xdr:from>
    <xdr:to>
      <xdr:col>16</xdr:col>
      <xdr:colOff>742949</xdr:colOff>
      <xdr:row>47</xdr:row>
      <xdr:rowOff>142875</xdr:rowOff>
    </xdr:to>
    <xdr:graphicFrame macro="">
      <xdr:nvGraphicFramePr>
        <xdr:cNvPr id="3" name="Chart 1">
          <a:extLst>
            <a:ext uri="{FF2B5EF4-FFF2-40B4-BE49-F238E27FC236}">
              <a16:creationId xmlns:a16="http://schemas.microsoft.com/office/drawing/2014/main" id="{CFCB352E-0DA2-4AED-970F-5988DC1009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15</xdr:col>
      <xdr:colOff>608104</xdr:colOff>
      <xdr:row>1</xdr:row>
      <xdr:rowOff>114287</xdr:rowOff>
    </xdr:from>
    <xdr:to>
      <xdr:col>16</xdr:col>
      <xdr:colOff>1026573</xdr:colOff>
      <xdr:row>1</xdr:row>
      <xdr:rowOff>449606</xdr:rowOff>
    </xdr:to>
    <xdr:pic>
      <xdr:nvPicPr>
        <xdr:cNvPr id="4" name="Picture 3">
          <a:extLst>
            <a:ext uri="{FF2B5EF4-FFF2-40B4-BE49-F238E27FC236}">
              <a16:creationId xmlns:a16="http://schemas.microsoft.com/office/drawing/2014/main" id="{675AD2D4-13AF-4389-9EDE-F51DA7C464FB}"/>
            </a:ext>
          </a:extLst>
        </xdr:cNvPr>
        <xdr:cNvPicPr>
          <a:picLocks noChangeAspect="1"/>
        </xdr:cNvPicPr>
      </xdr:nvPicPr>
      <xdr:blipFill>
        <a:blip xmlns:r="http://schemas.openxmlformats.org/officeDocument/2006/relationships" r:embed="rId3"/>
        <a:stretch>
          <a:fillRect/>
        </a:stretch>
      </xdr:blipFill>
      <xdr:spPr>
        <a:xfrm>
          <a:off x="16186771" y="262454"/>
          <a:ext cx="1466219" cy="335319"/>
        </a:xfrm>
        <a:prstGeom prst="rect">
          <a:avLst/>
        </a:prstGeom>
      </xdr:spPr>
    </xdr:pic>
    <xdr:clientData/>
  </xdr:twoCellAnchor>
  <xdr:twoCellAnchor editAs="oneCell">
    <xdr:from>
      <xdr:col>13</xdr:col>
      <xdr:colOff>9508</xdr:colOff>
      <xdr:row>52</xdr:row>
      <xdr:rowOff>9509</xdr:rowOff>
    </xdr:from>
    <xdr:to>
      <xdr:col>13</xdr:col>
      <xdr:colOff>844787</xdr:colOff>
      <xdr:row>56</xdr:row>
      <xdr:rowOff>6588</xdr:rowOff>
    </xdr:to>
    <xdr:pic>
      <xdr:nvPicPr>
        <xdr:cNvPr id="5" name="Graphic 4">
          <a:extLst>
            <a:ext uri="{FF2B5EF4-FFF2-40B4-BE49-F238E27FC236}">
              <a16:creationId xmlns:a16="http://schemas.microsoft.com/office/drawing/2014/main" id="{AD4DC736-E835-E540-B241-8468D053B10F}"/>
            </a:ext>
          </a:extLst>
        </xdr:cNvPr>
        <xdr:cNvPicPr>
          <a:picLocks noChangeAspect="1"/>
        </xdr:cNvPicPr>
      </xdr:nvPicPr>
      <xdr:blipFill rotWithShape="1">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13525483" y="9505934"/>
          <a:ext cx="832104" cy="832104"/>
        </a:xfrm>
        <a:prstGeom prst="rect">
          <a:avLst/>
        </a:prstGeom>
      </xdr:spPr>
    </xdr:pic>
    <xdr:clientData/>
  </xdr:twoCellAnchor>
  <xdr:twoCellAnchor editAs="oneCell">
    <xdr:from>
      <xdr:col>13</xdr:col>
      <xdr:colOff>10886</xdr:colOff>
      <xdr:row>56</xdr:row>
      <xdr:rowOff>206667</xdr:rowOff>
    </xdr:from>
    <xdr:to>
      <xdr:col>13</xdr:col>
      <xdr:colOff>838886</xdr:colOff>
      <xdr:row>60</xdr:row>
      <xdr:rowOff>199642</xdr:rowOff>
    </xdr:to>
    <xdr:pic>
      <xdr:nvPicPr>
        <xdr:cNvPr id="6" name="Graphic 5">
          <a:extLst>
            <a:ext uri="{FF2B5EF4-FFF2-40B4-BE49-F238E27FC236}">
              <a16:creationId xmlns:a16="http://schemas.microsoft.com/office/drawing/2014/main" id="{3C307488-06B4-447B-8F12-5C3707368CB3}"/>
            </a:ext>
          </a:extLst>
        </xdr:cNvPr>
        <xdr:cNvPicPr>
          <a:picLocks noChangeAspect="1"/>
        </xdr:cNvPicPr>
      </xdr:nvPicPr>
      <xdr:blipFill rotWithShape="1">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13526861" y="10541292"/>
          <a:ext cx="828000" cy="828000"/>
        </a:xfrm>
        <a:prstGeom prst="rect">
          <a:avLst/>
        </a:prstGeom>
      </xdr:spPr>
    </xdr:pic>
    <xdr:clientData/>
  </xdr:twoCellAnchor>
  <xdr:twoCellAnchor editAs="oneCell">
    <xdr:from>
      <xdr:col>13</xdr:col>
      <xdr:colOff>6804</xdr:colOff>
      <xdr:row>62</xdr:row>
      <xdr:rowOff>8165</xdr:rowOff>
    </xdr:from>
    <xdr:to>
      <xdr:col>13</xdr:col>
      <xdr:colOff>831629</xdr:colOff>
      <xdr:row>66</xdr:row>
      <xdr:rowOff>1140</xdr:rowOff>
    </xdr:to>
    <xdr:pic>
      <xdr:nvPicPr>
        <xdr:cNvPr id="7" name="Graphic 6">
          <a:extLst>
            <a:ext uri="{FF2B5EF4-FFF2-40B4-BE49-F238E27FC236}">
              <a16:creationId xmlns:a16="http://schemas.microsoft.com/office/drawing/2014/main" id="{E25B5BD4-0EDA-4541-8388-889BEFE8CBDD}"/>
            </a:ext>
          </a:extLst>
        </xdr:cNvPr>
        <xdr:cNvPicPr>
          <a:picLocks noChangeAspect="1"/>
        </xdr:cNvPicPr>
      </xdr:nvPicPr>
      <xdr:blipFill rotWithShape="1">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13522779" y="11600090"/>
          <a:ext cx="828000" cy="828000"/>
        </a:xfrm>
        <a:prstGeom prst="rect">
          <a:avLst/>
        </a:prstGeom>
      </xdr:spPr>
    </xdr:pic>
    <xdr:clientData/>
  </xdr:twoCellAnchor>
  <xdr:twoCellAnchor>
    <xdr:from>
      <xdr:col>3</xdr:col>
      <xdr:colOff>825500</xdr:colOff>
      <xdr:row>22</xdr:row>
      <xdr:rowOff>179694</xdr:rowOff>
    </xdr:from>
    <xdr:to>
      <xdr:col>9</xdr:col>
      <xdr:colOff>38100</xdr:colOff>
      <xdr:row>47</xdr:row>
      <xdr:rowOff>85724</xdr:rowOff>
    </xdr:to>
    <xdr:graphicFrame macro="">
      <xdr:nvGraphicFramePr>
        <xdr:cNvPr id="12" name="Chart 11">
          <a:extLst>
            <a:ext uri="{FF2B5EF4-FFF2-40B4-BE49-F238E27FC236}">
              <a16:creationId xmlns:a16="http://schemas.microsoft.com/office/drawing/2014/main" id="{249006BB-A75A-4FC8-AC84-F2DB45507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900965</xdr:colOff>
      <xdr:row>67</xdr:row>
      <xdr:rowOff>42799</xdr:rowOff>
    </xdr:from>
    <xdr:to>
      <xdr:col>13</xdr:col>
      <xdr:colOff>825311</xdr:colOff>
      <xdr:row>71</xdr:row>
      <xdr:rowOff>31378</xdr:rowOff>
    </xdr:to>
    <xdr:pic>
      <xdr:nvPicPr>
        <xdr:cNvPr id="18" name="Graphic 17">
          <a:extLst>
            <a:ext uri="{FF2B5EF4-FFF2-40B4-BE49-F238E27FC236}">
              <a16:creationId xmlns:a16="http://schemas.microsoft.com/office/drawing/2014/main" id="{B84E90B1-C726-4966-9B65-34E8CB5B71C1}"/>
            </a:ext>
          </a:extLst>
        </xdr:cNvPr>
        <xdr:cNvPicPr>
          <a:picLocks noGrp="1" noChangeAspect="1"/>
        </xdr:cNvPicPr>
      </xdr:nvPicPr>
      <xdr:blipFill rotWithShape="1">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13588753" y="13011453"/>
          <a:ext cx="828000" cy="818963"/>
        </a:xfrm>
        <a:prstGeom prst="rect">
          <a:avLst/>
        </a:prstGeom>
      </xdr:spPr>
    </xdr:pic>
    <xdr:clientData/>
  </xdr:twoCellAnchor>
  <xdr:twoCellAnchor>
    <xdr:from>
      <xdr:col>7</xdr:col>
      <xdr:colOff>648821</xdr:colOff>
      <xdr:row>52</xdr:row>
      <xdr:rowOff>79936</xdr:rowOff>
    </xdr:from>
    <xdr:to>
      <xdr:col>12</xdr:col>
      <xdr:colOff>324146</xdr:colOff>
      <xdr:row>71</xdr:row>
      <xdr:rowOff>52036</xdr:rowOff>
    </xdr:to>
    <xdr:graphicFrame macro="">
      <xdr:nvGraphicFramePr>
        <xdr:cNvPr id="148" name="Chart 18">
          <a:extLst>
            <a:ext uri="{FF2B5EF4-FFF2-40B4-BE49-F238E27FC236}">
              <a16:creationId xmlns:a16="http://schemas.microsoft.com/office/drawing/2014/main" id="{5E2313BB-2BEA-46FA-A4B9-07C0C864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180975</xdr:colOff>
      <xdr:row>72</xdr:row>
      <xdr:rowOff>134257</xdr:rowOff>
    </xdr:from>
    <xdr:to>
      <xdr:col>16</xdr:col>
      <xdr:colOff>952500</xdr:colOff>
      <xdr:row>94</xdr:row>
      <xdr:rowOff>9525</xdr:rowOff>
    </xdr:to>
    <xdr:graphicFrame macro="">
      <xdr:nvGraphicFramePr>
        <xdr:cNvPr id="46" name="Chart 22">
          <a:extLst>
            <a:ext uri="{FF2B5EF4-FFF2-40B4-BE49-F238E27FC236}">
              <a16:creationId xmlns:a16="http://schemas.microsoft.com/office/drawing/2014/main" id="{0DA387D1-C2C7-42C8-A8D2-EAB4794A57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28574</xdr:colOff>
      <xdr:row>52</xdr:row>
      <xdr:rowOff>38100</xdr:rowOff>
    </xdr:from>
    <xdr:to>
      <xdr:col>7</xdr:col>
      <xdr:colOff>476250</xdr:colOff>
      <xdr:row>71</xdr:row>
      <xdr:rowOff>114974</xdr:rowOff>
    </xdr:to>
    <xdr:graphicFrame macro="">
      <xdr:nvGraphicFramePr>
        <xdr:cNvPr id="153" name="Chart 152">
          <a:extLst>
            <a:ext uri="{FF2B5EF4-FFF2-40B4-BE49-F238E27FC236}">
              <a16:creationId xmlns:a16="http://schemas.microsoft.com/office/drawing/2014/main" id="{D806F5A4-D7DD-4087-8C6F-C02FD7DA4C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430499</xdr:colOff>
      <xdr:row>1</xdr:row>
      <xdr:rowOff>114293</xdr:rowOff>
    </xdr:from>
    <xdr:to>
      <xdr:col>15</xdr:col>
      <xdr:colOff>819150</xdr:colOff>
      <xdr:row>1</xdr:row>
      <xdr:rowOff>392295</xdr:rowOff>
    </xdr:to>
    <xdr:pic>
      <xdr:nvPicPr>
        <xdr:cNvPr id="2" name="Picture 1">
          <a:extLst>
            <a:ext uri="{FF2B5EF4-FFF2-40B4-BE49-F238E27FC236}">
              <a16:creationId xmlns:a16="http://schemas.microsoft.com/office/drawing/2014/main" id="{A84204FE-7C4E-4A97-86FD-53C0444050F9}"/>
            </a:ext>
          </a:extLst>
        </xdr:cNvPr>
        <xdr:cNvPicPr>
          <a:picLocks noChangeAspect="1"/>
        </xdr:cNvPicPr>
      </xdr:nvPicPr>
      <xdr:blipFill>
        <a:blip xmlns:r="http://schemas.openxmlformats.org/officeDocument/2006/relationships" r:embed="rId1"/>
        <a:stretch>
          <a:fillRect/>
        </a:stretch>
      </xdr:blipFill>
      <xdr:spPr>
        <a:xfrm>
          <a:off x="16356299" y="266693"/>
          <a:ext cx="1236376" cy="278002"/>
        </a:xfrm>
        <a:prstGeom prst="rect">
          <a:avLst/>
        </a:prstGeom>
      </xdr:spPr>
    </xdr:pic>
    <xdr:clientData/>
  </xdr:twoCellAnchor>
  <xdr:twoCellAnchor editAs="oneCell">
    <xdr:from>
      <xdr:col>1</xdr:col>
      <xdr:colOff>19050</xdr:colOff>
      <xdr:row>361</xdr:row>
      <xdr:rowOff>30637</xdr:rowOff>
    </xdr:from>
    <xdr:to>
      <xdr:col>1</xdr:col>
      <xdr:colOff>1668756</xdr:colOff>
      <xdr:row>362</xdr:row>
      <xdr:rowOff>30652</xdr:rowOff>
    </xdr:to>
    <xdr:pic>
      <xdr:nvPicPr>
        <xdr:cNvPr id="3" name="Picture 2">
          <a:extLst>
            <a:ext uri="{FF2B5EF4-FFF2-40B4-BE49-F238E27FC236}">
              <a16:creationId xmlns:a16="http://schemas.microsoft.com/office/drawing/2014/main" id="{922C8DB7-FB83-4B45-820E-9624BC13B20D}"/>
            </a:ext>
          </a:extLst>
        </xdr:cNvPr>
        <xdr:cNvPicPr>
          <a:picLocks noChangeAspect="1"/>
        </xdr:cNvPicPr>
      </xdr:nvPicPr>
      <xdr:blipFill>
        <a:blip xmlns:r="http://schemas.openxmlformats.org/officeDocument/2006/relationships" r:embed="rId2"/>
        <a:stretch>
          <a:fillRect/>
        </a:stretch>
      </xdr:blipFill>
      <xdr:spPr>
        <a:xfrm>
          <a:off x="200025" y="51332287"/>
          <a:ext cx="1643356" cy="152415"/>
        </a:xfrm>
        <a:prstGeom prst="rect">
          <a:avLst/>
        </a:prstGeom>
      </xdr:spPr>
    </xdr:pic>
    <xdr:clientData/>
  </xdr:twoCellAnchor>
  <xdr:twoCellAnchor editAs="oneCell">
    <xdr:from>
      <xdr:col>14</xdr:col>
      <xdr:colOff>462130</xdr:colOff>
      <xdr:row>360</xdr:row>
      <xdr:rowOff>52430</xdr:rowOff>
    </xdr:from>
    <xdr:to>
      <xdr:col>16</xdr:col>
      <xdr:colOff>114299</xdr:colOff>
      <xdr:row>362</xdr:row>
      <xdr:rowOff>47624</xdr:rowOff>
    </xdr:to>
    <xdr:pic>
      <xdr:nvPicPr>
        <xdr:cNvPr id="4" name="Picture 3">
          <a:extLst>
            <a:ext uri="{FF2B5EF4-FFF2-40B4-BE49-F238E27FC236}">
              <a16:creationId xmlns:a16="http://schemas.microsoft.com/office/drawing/2014/main" id="{291460A8-09EA-4872-870F-2B4EA3EAF48A}"/>
            </a:ext>
          </a:extLst>
        </xdr:cNvPr>
        <xdr:cNvPicPr>
          <a:picLocks noChangeAspect="1"/>
        </xdr:cNvPicPr>
      </xdr:nvPicPr>
      <xdr:blipFill>
        <a:blip xmlns:r="http://schemas.openxmlformats.org/officeDocument/2006/relationships" r:embed="rId3"/>
        <a:stretch>
          <a:fillRect/>
        </a:stretch>
      </xdr:blipFill>
      <xdr:spPr>
        <a:xfrm>
          <a:off x="16387930" y="54659255"/>
          <a:ext cx="1347619" cy="3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266700</xdr:colOff>
      <xdr:row>1</xdr:row>
      <xdr:rowOff>142875</xdr:rowOff>
    </xdr:from>
    <xdr:to>
      <xdr:col>15</xdr:col>
      <xdr:colOff>1269891</xdr:colOff>
      <xdr:row>1</xdr:row>
      <xdr:rowOff>372121</xdr:rowOff>
    </xdr:to>
    <xdr:pic>
      <xdr:nvPicPr>
        <xdr:cNvPr id="3" name="Picture 2">
          <a:extLst>
            <a:ext uri="{FF2B5EF4-FFF2-40B4-BE49-F238E27FC236}">
              <a16:creationId xmlns:a16="http://schemas.microsoft.com/office/drawing/2014/main" id="{D7094445-389C-4418-9857-923B967EE6B5}"/>
            </a:ext>
          </a:extLst>
        </xdr:cNvPr>
        <xdr:cNvPicPr>
          <a:picLocks noChangeAspect="1"/>
        </xdr:cNvPicPr>
      </xdr:nvPicPr>
      <xdr:blipFill>
        <a:blip xmlns:r="http://schemas.openxmlformats.org/officeDocument/2006/relationships" r:embed="rId1"/>
        <a:stretch>
          <a:fillRect/>
        </a:stretch>
      </xdr:blipFill>
      <xdr:spPr>
        <a:xfrm>
          <a:off x="16583025" y="333375"/>
          <a:ext cx="1003191" cy="22924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344843</xdr:colOff>
      <xdr:row>1</xdr:row>
      <xdr:rowOff>123825</xdr:rowOff>
    </xdr:from>
    <xdr:to>
      <xdr:col>10</xdr:col>
      <xdr:colOff>1367084</xdr:colOff>
      <xdr:row>1</xdr:row>
      <xdr:rowOff>353071</xdr:rowOff>
    </xdr:to>
    <xdr:pic>
      <xdr:nvPicPr>
        <xdr:cNvPr id="2" name="Picture 1">
          <a:extLst>
            <a:ext uri="{FF2B5EF4-FFF2-40B4-BE49-F238E27FC236}">
              <a16:creationId xmlns:a16="http://schemas.microsoft.com/office/drawing/2014/main" id="{EA5C3261-F953-4F81-974D-F9E79ABF6E95}"/>
            </a:ext>
          </a:extLst>
        </xdr:cNvPr>
        <xdr:cNvPicPr>
          <a:picLocks noChangeAspect="1"/>
        </xdr:cNvPicPr>
      </xdr:nvPicPr>
      <xdr:blipFill>
        <a:blip xmlns:r="http://schemas.openxmlformats.org/officeDocument/2006/relationships" r:embed="rId1"/>
        <a:stretch>
          <a:fillRect/>
        </a:stretch>
      </xdr:blipFill>
      <xdr:spPr>
        <a:xfrm>
          <a:off x="13116119" y="279335"/>
          <a:ext cx="1022241" cy="229246"/>
        </a:xfrm>
        <a:prstGeom prst="rect">
          <a:avLst/>
        </a:prstGeom>
      </xdr:spPr>
    </xdr:pic>
    <xdr:clientData/>
  </xdr:twoCellAnchor>
  <xdr:twoCellAnchor editAs="oneCell">
    <xdr:from>
      <xdr:col>1</xdr:col>
      <xdr:colOff>0</xdr:colOff>
      <xdr:row>522</xdr:row>
      <xdr:rowOff>23888</xdr:rowOff>
    </xdr:from>
    <xdr:to>
      <xdr:col>1</xdr:col>
      <xdr:colOff>1643356</xdr:colOff>
      <xdr:row>523</xdr:row>
      <xdr:rowOff>20792</xdr:rowOff>
    </xdr:to>
    <xdr:pic>
      <xdr:nvPicPr>
        <xdr:cNvPr id="3" name="Picture 2">
          <a:extLst>
            <a:ext uri="{FF2B5EF4-FFF2-40B4-BE49-F238E27FC236}">
              <a16:creationId xmlns:a16="http://schemas.microsoft.com/office/drawing/2014/main" id="{711F85BD-1AE4-485C-A797-7B56681ABF0B}"/>
            </a:ext>
          </a:extLst>
        </xdr:cNvPr>
        <xdr:cNvPicPr>
          <a:picLocks noChangeAspect="1"/>
        </xdr:cNvPicPr>
      </xdr:nvPicPr>
      <xdr:blipFill>
        <a:blip xmlns:r="http://schemas.openxmlformats.org/officeDocument/2006/relationships" r:embed="rId2"/>
        <a:stretch>
          <a:fillRect/>
        </a:stretch>
      </xdr:blipFill>
      <xdr:spPr>
        <a:xfrm>
          <a:off x="184668" y="69488352"/>
          <a:ext cx="1643356" cy="152414"/>
        </a:xfrm>
        <a:prstGeom prst="rect">
          <a:avLst/>
        </a:prstGeom>
      </xdr:spPr>
    </xdr:pic>
    <xdr:clientData/>
  </xdr:twoCellAnchor>
  <xdr:twoCellAnchor editAs="oneCell">
    <xdr:from>
      <xdr:col>9</xdr:col>
      <xdr:colOff>1239681</xdr:colOff>
      <xdr:row>521</xdr:row>
      <xdr:rowOff>115467</xdr:rowOff>
    </xdr:from>
    <xdr:to>
      <xdr:col>10</xdr:col>
      <xdr:colOff>1213561</xdr:colOff>
      <xdr:row>524</xdr:row>
      <xdr:rowOff>3898</xdr:rowOff>
    </xdr:to>
    <xdr:pic>
      <xdr:nvPicPr>
        <xdr:cNvPr id="4" name="Picture 3">
          <a:extLst>
            <a:ext uri="{FF2B5EF4-FFF2-40B4-BE49-F238E27FC236}">
              <a16:creationId xmlns:a16="http://schemas.microsoft.com/office/drawing/2014/main" id="{004A6802-5996-4866-9015-7C17E8AE1D00}"/>
            </a:ext>
          </a:extLst>
        </xdr:cNvPr>
        <xdr:cNvPicPr>
          <a:picLocks noChangeAspect="1"/>
        </xdr:cNvPicPr>
      </xdr:nvPicPr>
      <xdr:blipFill>
        <a:blip xmlns:r="http://schemas.openxmlformats.org/officeDocument/2006/relationships" r:embed="rId3"/>
        <a:stretch>
          <a:fillRect/>
        </a:stretch>
      </xdr:blipFill>
      <xdr:spPr>
        <a:xfrm>
          <a:off x="12641106" y="73191267"/>
          <a:ext cx="1355005" cy="34139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xdr:colOff>
      <xdr:row>104</xdr:row>
      <xdr:rowOff>20732</xdr:rowOff>
    </xdr:from>
    <xdr:to>
      <xdr:col>8</xdr:col>
      <xdr:colOff>351790</xdr:colOff>
      <xdr:row>125</xdr:row>
      <xdr:rowOff>103599</xdr:rowOff>
    </xdr:to>
    <xdr:pic>
      <xdr:nvPicPr>
        <xdr:cNvPr id="3" name="Picture 2">
          <a:extLst>
            <a:ext uri="{FF2B5EF4-FFF2-40B4-BE49-F238E27FC236}">
              <a16:creationId xmlns:a16="http://schemas.microsoft.com/office/drawing/2014/main" id="{A305F41D-D8DE-4666-8AE4-100FEBFE1A5E}"/>
            </a:ext>
          </a:extLst>
        </xdr:cNvPr>
        <xdr:cNvPicPr>
          <a:picLocks noChangeAspect="1"/>
        </xdr:cNvPicPr>
      </xdr:nvPicPr>
      <xdr:blipFill>
        <a:blip xmlns:r="http://schemas.openxmlformats.org/officeDocument/2006/relationships" r:embed="rId1"/>
        <a:stretch>
          <a:fillRect/>
        </a:stretch>
      </xdr:blipFill>
      <xdr:spPr>
        <a:xfrm>
          <a:off x="228600" y="15460757"/>
          <a:ext cx="6749415" cy="3089592"/>
        </a:xfrm>
        <a:prstGeom prst="rect">
          <a:avLst/>
        </a:prstGeom>
      </xdr:spPr>
    </xdr:pic>
    <xdr:clientData/>
  </xdr:twoCellAnchor>
  <xdr:twoCellAnchor editAs="oneCell">
    <xdr:from>
      <xdr:col>19</xdr:col>
      <xdr:colOff>533400</xdr:colOff>
      <xdr:row>3</xdr:row>
      <xdr:rowOff>114120</xdr:rowOff>
    </xdr:from>
    <xdr:to>
      <xdr:col>24</xdr:col>
      <xdr:colOff>104141</xdr:colOff>
      <xdr:row>6</xdr:row>
      <xdr:rowOff>126365</xdr:rowOff>
    </xdr:to>
    <xdr:pic>
      <xdr:nvPicPr>
        <xdr:cNvPr id="5" name="Picture 4" descr="AECOM employer hub | TARGETjobs">
          <a:extLst>
            <a:ext uri="{FF2B5EF4-FFF2-40B4-BE49-F238E27FC236}">
              <a16:creationId xmlns:a16="http://schemas.microsoft.com/office/drawing/2014/main" id="{F06856E8-75CF-4434-A1B5-D4CEEB1CD125}"/>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0295" t="36328" r="9873" b="36328"/>
        <a:stretch/>
      </xdr:blipFill>
      <xdr:spPr bwMode="auto">
        <a:xfrm>
          <a:off x="14544675" y="114120"/>
          <a:ext cx="2625091" cy="482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255234</xdr:colOff>
      <xdr:row>6</xdr:row>
      <xdr:rowOff>422909</xdr:rowOff>
    </xdr:from>
    <xdr:to>
      <xdr:col>24</xdr:col>
      <xdr:colOff>333374</xdr:colOff>
      <xdr:row>30</xdr:row>
      <xdr:rowOff>107099</xdr:rowOff>
    </xdr:to>
    <xdr:pic>
      <xdr:nvPicPr>
        <xdr:cNvPr id="7" name="Picture 6">
          <a:extLst>
            <a:ext uri="{FF2B5EF4-FFF2-40B4-BE49-F238E27FC236}">
              <a16:creationId xmlns:a16="http://schemas.microsoft.com/office/drawing/2014/main" id="{B095C559-A557-4C8E-B6D1-F73B2AB07E3F}"/>
            </a:ext>
          </a:extLst>
        </xdr:cNvPr>
        <xdr:cNvPicPr>
          <a:picLocks noChangeAspect="1"/>
        </xdr:cNvPicPr>
      </xdr:nvPicPr>
      <xdr:blipFill>
        <a:blip xmlns:r="http://schemas.openxmlformats.org/officeDocument/2006/relationships" r:embed="rId3"/>
        <a:stretch>
          <a:fillRect/>
        </a:stretch>
      </xdr:blipFill>
      <xdr:spPr>
        <a:xfrm>
          <a:off x="14266509" y="908684"/>
          <a:ext cx="3126140" cy="3440215"/>
        </a:xfrm>
        <a:prstGeom prst="rect">
          <a:avLst/>
        </a:prstGeom>
      </xdr:spPr>
    </xdr:pic>
    <xdr:clientData/>
  </xdr:twoCellAnchor>
  <xdr:twoCellAnchor>
    <xdr:from>
      <xdr:col>14</xdr:col>
      <xdr:colOff>633412</xdr:colOff>
      <xdr:row>42</xdr:row>
      <xdr:rowOff>4762</xdr:rowOff>
    </xdr:from>
    <xdr:to>
      <xdr:col>21</xdr:col>
      <xdr:colOff>71437</xdr:colOff>
      <xdr:row>59</xdr:row>
      <xdr:rowOff>14287</xdr:rowOff>
    </xdr:to>
    <xdr:graphicFrame macro="">
      <xdr:nvGraphicFramePr>
        <xdr:cNvPr id="2" name="Chart 9">
          <a:extLst>
            <a:ext uri="{FF2B5EF4-FFF2-40B4-BE49-F238E27FC236}">
              <a16:creationId xmlns:a16="http://schemas.microsoft.com/office/drawing/2014/main" id="{4282B60F-2F3D-46BD-8F24-2D5E9D481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16</xdr:col>
      <xdr:colOff>428625</xdr:colOff>
      <xdr:row>1</xdr:row>
      <xdr:rowOff>152400</xdr:rowOff>
    </xdr:from>
    <xdr:to>
      <xdr:col>18</xdr:col>
      <xdr:colOff>22116</xdr:colOff>
      <xdr:row>1</xdr:row>
      <xdr:rowOff>381646</xdr:rowOff>
    </xdr:to>
    <xdr:pic>
      <xdr:nvPicPr>
        <xdr:cNvPr id="2" name="Picture 1">
          <a:extLst>
            <a:ext uri="{FF2B5EF4-FFF2-40B4-BE49-F238E27FC236}">
              <a16:creationId xmlns:a16="http://schemas.microsoft.com/office/drawing/2014/main" id="{10DD100E-524E-43D9-8A4F-9363C97653FD}"/>
            </a:ext>
          </a:extLst>
        </xdr:cNvPr>
        <xdr:cNvPicPr>
          <a:picLocks noChangeAspect="1"/>
        </xdr:cNvPicPr>
      </xdr:nvPicPr>
      <xdr:blipFill>
        <a:blip xmlns:r="http://schemas.openxmlformats.org/officeDocument/2006/relationships" r:embed="rId1"/>
        <a:stretch>
          <a:fillRect/>
        </a:stretch>
      </xdr:blipFill>
      <xdr:spPr>
        <a:xfrm>
          <a:off x="12506325" y="295275"/>
          <a:ext cx="1022241" cy="229246"/>
        </a:xfrm>
        <a:prstGeom prst="rect">
          <a:avLst/>
        </a:prstGeom>
      </xdr:spPr>
    </xdr:pic>
    <xdr:clientData/>
  </xdr:twoCellAnchor>
  <xdr:twoCellAnchor editAs="oneCell">
    <xdr:from>
      <xdr:col>0</xdr:col>
      <xdr:colOff>152400</xdr:colOff>
      <xdr:row>181</xdr:row>
      <xdr:rowOff>6781</xdr:rowOff>
    </xdr:from>
    <xdr:to>
      <xdr:col>1</xdr:col>
      <xdr:colOff>1614781</xdr:colOff>
      <xdr:row>182</xdr:row>
      <xdr:rowOff>16320</xdr:rowOff>
    </xdr:to>
    <xdr:pic>
      <xdr:nvPicPr>
        <xdr:cNvPr id="3" name="Picture 2">
          <a:extLst>
            <a:ext uri="{FF2B5EF4-FFF2-40B4-BE49-F238E27FC236}">
              <a16:creationId xmlns:a16="http://schemas.microsoft.com/office/drawing/2014/main" id="{739FD2B9-77F0-499F-B4A7-41B5DAC8F734}"/>
            </a:ext>
          </a:extLst>
        </xdr:cNvPr>
        <xdr:cNvPicPr>
          <a:picLocks noChangeAspect="1"/>
        </xdr:cNvPicPr>
      </xdr:nvPicPr>
      <xdr:blipFill>
        <a:blip xmlns:r="http://schemas.openxmlformats.org/officeDocument/2006/relationships" r:embed="rId2"/>
        <a:stretch>
          <a:fillRect/>
        </a:stretch>
      </xdr:blipFill>
      <xdr:spPr>
        <a:xfrm>
          <a:off x="152400" y="29553331"/>
          <a:ext cx="1643356" cy="152414"/>
        </a:xfrm>
        <a:prstGeom prst="rect">
          <a:avLst/>
        </a:prstGeom>
      </xdr:spPr>
    </xdr:pic>
    <xdr:clientData/>
  </xdr:twoCellAnchor>
  <xdr:twoCellAnchor editAs="oneCell">
    <xdr:from>
      <xdr:col>16</xdr:col>
      <xdr:colOff>262106</xdr:colOff>
      <xdr:row>180</xdr:row>
      <xdr:rowOff>28575</xdr:rowOff>
    </xdr:from>
    <xdr:to>
      <xdr:col>19</xdr:col>
      <xdr:colOff>0</xdr:colOff>
      <xdr:row>182</xdr:row>
      <xdr:rowOff>80919</xdr:rowOff>
    </xdr:to>
    <xdr:pic>
      <xdr:nvPicPr>
        <xdr:cNvPr id="4" name="Picture 3">
          <a:extLst>
            <a:ext uri="{FF2B5EF4-FFF2-40B4-BE49-F238E27FC236}">
              <a16:creationId xmlns:a16="http://schemas.microsoft.com/office/drawing/2014/main" id="{3093296D-BD37-41DC-AACF-7438CA0C406D}"/>
            </a:ext>
          </a:extLst>
        </xdr:cNvPr>
        <xdr:cNvPicPr>
          <a:picLocks noChangeAspect="1"/>
        </xdr:cNvPicPr>
      </xdr:nvPicPr>
      <xdr:blipFill>
        <a:blip xmlns:r="http://schemas.openxmlformats.org/officeDocument/2006/relationships" r:embed="rId3"/>
        <a:stretch>
          <a:fillRect/>
        </a:stretch>
      </xdr:blipFill>
      <xdr:spPr>
        <a:xfrm>
          <a:off x="12339806" y="29432250"/>
          <a:ext cx="1347619" cy="34761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0</xdr:colOff>
      <xdr:row>24</xdr:row>
      <xdr:rowOff>0</xdr:rowOff>
    </xdr:from>
    <xdr:to>
      <xdr:col>6</xdr:col>
      <xdr:colOff>288664</xdr:colOff>
      <xdr:row>24</xdr:row>
      <xdr:rowOff>73173</xdr:rowOff>
    </xdr:to>
    <xdr:sp macro="" textlink="">
      <xdr:nvSpPr>
        <xdr:cNvPr id="2" name="AutoShape 68" descr="AECOM Logo - LogoDix">
          <a:extLst>
            <a:ext uri="{FF2B5EF4-FFF2-40B4-BE49-F238E27FC236}">
              <a16:creationId xmlns:a16="http://schemas.microsoft.com/office/drawing/2014/main" id="{668392E5-FC33-4ADE-B5A5-651B2D8A3494}"/>
            </a:ext>
          </a:extLst>
        </xdr:cNvPr>
        <xdr:cNvSpPr>
          <a:spLocks noChangeAspect="1" noChangeArrowheads="1"/>
        </xdr:cNvSpPr>
      </xdr:nvSpPr>
      <xdr:spPr bwMode="auto">
        <a:xfrm>
          <a:off x="15420975" y="4962525"/>
          <a:ext cx="288664" cy="21604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24</xdr:row>
      <xdr:rowOff>0</xdr:rowOff>
    </xdr:from>
    <xdr:to>
      <xdr:col>6</xdr:col>
      <xdr:colOff>288664</xdr:colOff>
      <xdr:row>24</xdr:row>
      <xdr:rowOff>73173</xdr:rowOff>
    </xdr:to>
    <xdr:sp macro="" textlink="">
      <xdr:nvSpPr>
        <xdr:cNvPr id="4" name="AutoShape 68" descr="AECOM Logo - LogoDix">
          <a:extLst>
            <a:ext uri="{FF2B5EF4-FFF2-40B4-BE49-F238E27FC236}">
              <a16:creationId xmlns:a16="http://schemas.microsoft.com/office/drawing/2014/main" id="{F33BAFE7-33C2-432C-A294-CEA17E80139F}"/>
            </a:ext>
          </a:extLst>
        </xdr:cNvPr>
        <xdr:cNvSpPr>
          <a:spLocks noChangeAspect="1" noChangeArrowheads="1"/>
        </xdr:cNvSpPr>
      </xdr:nvSpPr>
      <xdr:spPr bwMode="auto">
        <a:xfrm>
          <a:off x="30841950" y="4829175"/>
          <a:ext cx="577328" cy="21604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353847</xdr:colOff>
      <xdr:row>1</xdr:row>
      <xdr:rowOff>419100</xdr:rowOff>
    </xdr:from>
    <xdr:to>
      <xdr:col>11</xdr:col>
      <xdr:colOff>1062037</xdr:colOff>
      <xdr:row>22</xdr:row>
      <xdr:rowOff>142875</xdr:rowOff>
    </xdr:to>
    <xdr:graphicFrame macro="">
      <xdr:nvGraphicFramePr>
        <xdr:cNvPr id="2" name="Chart 1">
          <a:extLst>
            <a:ext uri="{FF2B5EF4-FFF2-40B4-BE49-F238E27FC236}">
              <a16:creationId xmlns:a16="http://schemas.microsoft.com/office/drawing/2014/main" id="{A121EA7C-CB31-463E-9E41-32EDF7A4EA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353847</xdr:colOff>
      <xdr:row>1</xdr:row>
      <xdr:rowOff>419100</xdr:rowOff>
    </xdr:from>
    <xdr:to>
      <xdr:col>11</xdr:col>
      <xdr:colOff>1062037</xdr:colOff>
      <xdr:row>22</xdr:row>
      <xdr:rowOff>142875</xdr:rowOff>
    </xdr:to>
    <xdr:graphicFrame macro="">
      <xdr:nvGraphicFramePr>
        <xdr:cNvPr id="4" name="Chart 1">
          <a:extLst>
            <a:ext uri="{FF2B5EF4-FFF2-40B4-BE49-F238E27FC236}">
              <a16:creationId xmlns:a16="http://schemas.microsoft.com/office/drawing/2014/main" id="{16BBB4B0-6FBA-4727-8D80-66046F3AE7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2390774</xdr:colOff>
      <xdr:row>15</xdr:row>
      <xdr:rowOff>0</xdr:rowOff>
    </xdr:from>
    <xdr:to>
      <xdr:col>11</xdr:col>
      <xdr:colOff>733424</xdr:colOff>
      <xdr:row>47</xdr:row>
      <xdr:rowOff>95250</xdr:rowOff>
    </xdr:to>
    <xdr:graphicFrame macro="">
      <xdr:nvGraphicFramePr>
        <xdr:cNvPr id="2" name="Chart 1">
          <a:extLst>
            <a:ext uri="{FF2B5EF4-FFF2-40B4-BE49-F238E27FC236}">
              <a16:creationId xmlns:a16="http://schemas.microsoft.com/office/drawing/2014/main" id="{19CD4EDF-53A8-4363-82DD-A80BF0E12D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15</xdr:row>
      <xdr:rowOff>0</xdr:rowOff>
    </xdr:from>
    <xdr:to>
      <xdr:col>20</xdr:col>
      <xdr:colOff>361950</xdr:colOff>
      <xdr:row>47</xdr:row>
      <xdr:rowOff>85725</xdr:rowOff>
    </xdr:to>
    <xdr:graphicFrame macro="">
      <xdr:nvGraphicFramePr>
        <xdr:cNvPr id="5" name="Chart 4">
          <a:extLst>
            <a:ext uri="{FF2B5EF4-FFF2-40B4-BE49-F238E27FC236}">
              <a16:creationId xmlns:a16="http://schemas.microsoft.com/office/drawing/2014/main" id="{BD2FB1C8-D290-4AA7-A901-4F5A3F97B4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342900</xdr:colOff>
      <xdr:row>3</xdr:row>
      <xdr:rowOff>85725</xdr:rowOff>
    </xdr:from>
    <xdr:to>
      <xdr:col>0</xdr:col>
      <xdr:colOff>2057400</xdr:colOff>
      <xdr:row>3</xdr:row>
      <xdr:rowOff>666750</xdr:rowOff>
    </xdr:to>
    <xdr:sp macro="[0]!DataHarvest" textlink="">
      <xdr:nvSpPr>
        <xdr:cNvPr id="6" name="Rectangle 5">
          <a:extLst>
            <a:ext uri="{FF2B5EF4-FFF2-40B4-BE49-F238E27FC236}">
              <a16:creationId xmlns:a16="http://schemas.microsoft.com/office/drawing/2014/main" id="{5608EC52-B1A7-4130-989E-2B7FEEF1510D}"/>
            </a:ext>
          </a:extLst>
        </xdr:cNvPr>
        <xdr:cNvSpPr/>
      </xdr:nvSpPr>
      <xdr:spPr>
        <a:xfrm>
          <a:off x="342900" y="581025"/>
          <a:ext cx="1714500" cy="581025"/>
        </a:xfrm>
        <a:prstGeom prst="rect">
          <a:avLst/>
        </a:prstGeom>
        <a:solidFill>
          <a:srgbClr val="0087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latin typeface="Arial" panose="020B0604020202020204" pitchFamily="34" charset="0"/>
              <a:cs typeface="Arial" panose="020B0604020202020204" pitchFamily="34" charset="0"/>
            </a:rPr>
            <a:t>Harvest</a:t>
          </a:r>
          <a:r>
            <a:rPr lang="en-GB" sz="1100" baseline="0">
              <a:latin typeface="Arial" panose="020B0604020202020204" pitchFamily="34" charset="0"/>
              <a:cs typeface="Arial" panose="020B0604020202020204" pitchFamily="34" charset="0"/>
            </a:rPr>
            <a:t> Output</a:t>
          </a:r>
          <a:endParaRPr lang="en-GB" sz="1100">
            <a:latin typeface="Arial" panose="020B0604020202020204" pitchFamily="34" charset="0"/>
            <a:cs typeface="Arial" panose="020B0604020202020204" pitchFamily="34"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2755900</xdr:colOff>
      <xdr:row>0</xdr:row>
      <xdr:rowOff>85725</xdr:rowOff>
    </xdr:from>
    <xdr:to>
      <xdr:col>12</xdr:col>
      <xdr:colOff>3786213</xdr:colOff>
      <xdr:row>1</xdr:row>
      <xdr:rowOff>164993</xdr:rowOff>
    </xdr:to>
    <xdr:pic>
      <xdr:nvPicPr>
        <xdr:cNvPr id="2" name="Picture 1">
          <a:extLst>
            <a:ext uri="{FF2B5EF4-FFF2-40B4-BE49-F238E27FC236}">
              <a16:creationId xmlns:a16="http://schemas.microsoft.com/office/drawing/2014/main" id="{75DE35C3-36B8-49C9-BB8F-29E55A5CE305}"/>
            </a:ext>
          </a:extLst>
        </xdr:cNvPr>
        <xdr:cNvPicPr>
          <a:picLocks noChangeAspect="1"/>
        </xdr:cNvPicPr>
      </xdr:nvPicPr>
      <xdr:blipFill>
        <a:blip xmlns:r="http://schemas.openxmlformats.org/officeDocument/2006/relationships" r:embed="rId1"/>
        <a:stretch>
          <a:fillRect/>
        </a:stretch>
      </xdr:blipFill>
      <xdr:spPr>
        <a:xfrm>
          <a:off x="15254817" y="85725"/>
          <a:ext cx="1030313" cy="227435"/>
        </a:xfrm>
        <a:prstGeom prst="rect">
          <a:avLst/>
        </a:prstGeom>
      </xdr:spPr>
    </xdr:pic>
    <xdr:clientData/>
  </xdr:twoCellAnchor>
  <xdr:twoCellAnchor editAs="oneCell">
    <xdr:from>
      <xdr:col>1</xdr:col>
      <xdr:colOff>19050</xdr:colOff>
      <xdr:row>42</xdr:row>
      <xdr:rowOff>81478</xdr:rowOff>
    </xdr:from>
    <xdr:to>
      <xdr:col>1</xdr:col>
      <xdr:colOff>1662406</xdr:colOff>
      <xdr:row>43</xdr:row>
      <xdr:rowOff>85725</xdr:rowOff>
    </xdr:to>
    <xdr:pic>
      <xdr:nvPicPr>
        <xdr:cNvPr id="3" name="Picture 2">
          <a:extLst>
            <a:ext uri="{FF2B5EF4-FFF2-40B4-BE49-F238E27FC236}">
              <a16:creationId xmlns:a16="http://schemas.microsoft.com/office/drawing/2014/main" id="{C6439AA2-8FCC-42BE-A155-40F3278C416C}"/>
            </a:ext>
          </a:extLst>
        </xdr:cNvPr>
        <xdr:cNvPicPr>
          <a:picLocks noChangeAspect="1"/>
        </xdr:cNvPicPr>
      </xdr:nvPicPr>
      <xdr:blipFill>
        <a:blip xmlns:r="http://schemas.openxmlformats.org/officeDocument/2006/relationships" r:embed="rId2"/>
        <a:stretch>
          <a:fillRect/>
        </a:stretch>
      </xdr:blipFill>
      <xdr:spPr>
        <a:xfrm>
          <a:off x="220133" y="7415728"/>
          <a:ext cx="1643356" cy="152414"/>
        </a:xfrm>
        <a:prstGeom prst="rect">
          <a:avLst/>
        </a:prstGeom>
      </xdr:spPr>
    </xdr:pic>
    <xdr:clientData/>
  </xdr:twoCellAnchor>
  <xdr:twoCellAnchor editAs="oneCell">
    <xdr:from>
      <xdr:col>12</xdr:col>
      <xdr:colOff>2516356</xdr:colOff>
      <xdr:row>41</xdr:row>
      <xdr:rowOff>121223</xdr:rowOff>
    </xdr:from>
    <xdr:to>
      <xdr:col>13</xdr:col>
      <xdr:colOff>63500</xdr:colOff>
      <xdr:row>43</xdr:row>
      <xdr:rowOff>169334</xdr:rowOff>
    </xdr:to>
    <xdr:pic>
      <xdr:nvPicPr>
        <xdr:cNvPr id="4" name="Picture 3">
          <a:extLst>
            <a:ext uri="{FF2B5EF4-FFF2-40B4-BE49-F238E27FC236}">
              <a16:creationId xmlns:a16="http://schemas.microsoft.com/office/drawing/2014/main" id="{3F4E950B-10EB-49FD-A2E7-03362F1A3A59}"/>
            </a:ext>
          </a:extLst>
        </xdr:cNvPr>
        <xdr:cNvPicPr>
          <a:picLocks noChangeAspect="1"/>
        </xdr:cNvPicPr>
      </xdr:nvPicPr>
      <xdr:blipFill>
        <a:blip xmlns:r="http://schemas.openxmlformats.org/officeDocument/2006/relationships" r:embed="rId3"/>
        <a:stretch>
          <a:fillRect/>
        </a:stretch>
      </xdr:blipFill>
      <xdr:spPr>
        <a:xfrm>
          <a:off x="15015273" y="7307306"/>
          <a:ext cx="1346560" cy="34444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16</xdr:col>
      <xdr:colOff>419100</xdr:colOff>
      <xdr:row>1</xdr:row>
      <xdr:rowOff>114300</xdr:rowOff>
    </xdr:from>
    <xdr:to>
      <xdr:col>18</xdr:col>
      <xdr:colOff>12591</xdr:colOff>
      <xdr:row>1</xdr:row>
      <xdr:rowOff>343546</xdr:rowOff>
    </xdr:to>
    <xdr:pic>
      <xdr:nvPicPr>
        <xdr:cNvPr id="2" name="Picture 1">
          <a:extLst>
            <a:ext uri="{FF2B5EF4-FFF2-40B4-BE49-F238E27FC236}">
              <a16:creationId xmlns:a16="http://schemas.microsoft.com/office/drawing/2014/main" id="{18EB83D0-BC7D-4750-8491-1E2FF4889BA0}"/>
            </a:ext>
          </a:extLst>
        </xdr:cNvPr>
        <xdr:cNvPicPr>
          <a:picLocks noChangeAspect="1"/>
        </xdr:cNvPicPr>
      </xdr:nvPicPr>
      <xdr:blipFill>
        <a:blip xmlns:r="http://schemas.openxmlformats.org/officeDocument/2006/relationships" r:embed="rId1"/>
        <a:stretch>
          <a:fillRect/>
        </a:stretch>
      </xdr:blipFill>
      <xdr:spPr>
        <a:xfrm>
          <a:off x="11229975" y="266700"/>
          <a:ext cx="1022241" cy="229246"/>
        </a:xfrm>
        <a:prstGeom prst="rect">
          <a:avLst/>
        </a:prstGeom>
      </xdr:spPr>
    </xdr:pic>
    <xdr:clientData/>
  </xdr:twoCellAnchor>
  <xdr:twoCellAnchor editAs="oneCell">
    <xdr:from>
      <xdr:col>0</xdr:col>
      <xdr:colOff>142875</xdr:colOff>
      <xdr:row>63</xdr:row>
      <xdr:rowOff>16306</xdr:rowOff>
    </xdr:from>
    <xdr:to>
      <xdr:col>3</xdr:col>
      <xdr:colOff>395581</xdr:colOff>
      <xdr:row>64</xdr:row>
      <xdr:rowOff>16320</xdr:rowOff>
    </xdr:to>
    <xdr:pic>
      <xdr:nvPicPr>
        <xdr:cNvPr id="3" name="Picture 2">
          <a:extLst>
            <a:ext uri="{FF2B5EF4-FFF2-40B4-BE49-F238E27FC236}">
              <a16:creationId xmlns:a16="http://schemas.microsoft.com/office/drawing/2014/main" id="{83532B65-0626-4AB2-9B4A-2F0EAB51CE6B}"/>
            </a:ext>
          </a:extLst>
        </xdr:cNvPr>
        <xdr:cNvPicPr>
          <a:picLocks noChangeAspect="1"/>
        </xdr:cNvPicPr>
      </xdr:nvPicPr>
      <xdr:blipFill>
        <a:blip xmlns:r="http://schemas.openxmlformats.org/officeDocument/2006/relationships" r:embed="rId2"/>
        <a:stretch>
          <a:fillRect/>
        </a:stretch>
      </xdr:blipFill>
      <xdr:spPr>
        <a:xfrm>
          <a:off x="142875" y="9369856"/>
          <a:ext cx="1643356" cy="152414"/>
        </a:xfrm>
        <a:prstGeom prst="rect">
          <a:avLst/>
        </a:prstGeom>
      </xdr:spPr>
    </xdr:pic>
    <xdr:clientData/>
  </xdr:twoCellAnchor>
  <xdr:twoCellAnchor editAs="oneCell">
    <xdr:from>
      <xdr:col>16</xdr:col>
      <xdr:colOff>262106</xdr:colOff>
      <xdr:row>62</xdr:row>
      <xdr:rowOff>47625</xdr:rowOff>
    </xdr:from>
    <xdr:to>
      <xdr:col>19</xdr:col>
      <xdr:colOff>0</xdr:colOff>
      <xdr:row>64</xdr:row>
      <xdr:rowOff>90444</xdr:rowOff>
    </xdr:to>
    <xdr:pic>
      <xdr:nvPicPr>
        <xdr:cNvPr id="4" name="Picture 3">
          <a:extLst>
            <a:ext uri="{FF2B5EF4-FFF2-40B4-BE49-F238E27FC236}">
              <a16:creationId xmlns:a16="http://schemas.microsoft.com/office/drawing/2014/main" id="{FA8EC7B7-2FEE-44CE-A5BE-D77FD5EEDD3F}"/>
            </a:ext>
          </a:extLst>
        </xdr:cNvPr>
        <xdr:cNvPicPr>
          <a:picLocks noChangeAspect="1"/>
        </xdr:cNvPicPr>
      </xdr:nvPicPr>
      <xdr:blipFill>
        <a:blip xmlns:r="http://schemas.openxmlformats.org/officeDocument/2006/relationships" r:embed="rId3"/>
        <a:stretch>
          <a:fillRect/>
        </a:stretch>
      </xdr:blipFill>
      <xdr:spPr>
        <a:xfrm>
          <a:off x="11072981" y="9248775"/>
          <a:ext cx="1347619" cy="34761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66</xdr:row>
      <xdr:rowOff>63930</xdr:rowOff>
    </xdr:from>
    <xdr:to>
      <xdr:col>2</xdr:col>
      <xdr:colOff>252706</xdr:colOff>
      <xdr:row>67</xdr:row>
      <xdr:rowOff>63944</xdr:rowOff>
    </xdr:to>
    <xdr:pic>
      <xdr:nvPicPr>
        <xdr:cNvPr id="2" name="Picture 1">
          <a:extLst>
            <a:ext uri="{FF2B5EF4-FFF2-40B4-BE49-F238E27FC236}">
              <a16:creationId xmlns:a16="http://schemas.microsoft.com/office/drawing/2014/main" id="{050E2230-0FF4-4D4C-BA74-2AE3BBC2557A}"/>
            </a:ext>
          </a:extLst>
        </xdr:cNvPr>
        <xdr:cNvPicPr>
          <a:picLocks noChangeAspect="1"/>
        </xdr:cNvPicPr>
      </xdr:nvPicPr>
      <xdr:blipFill>
        <a:blip xmlns:r="http://schemas.openxmlformats.org/officeDocument/2006/relationships" r:embed="rId1"/>
        <a:stretch>
          <a:fillRect/>
        </a:stretch>
      </xdr:blipFill>
      <xdr:spPr>
        <a:xfrm>
          <a:off x="247650" y="10903380"/>
          <a:ext cx="1643356" cy="152414"/>
        </a:xfrm>
        <a:prstGeom prst="rect">
          <a:avLst/>
        </a:prstGeom>
      </xdr:spPr>
    </xdr:pic>
    <xdr:clientData/>
  </xdr:twoCellAnchor>
  <xdr:twoCellAnchor editAs="oneCell">
    <xdr:from>
      <xdr:col>13</xdr:col>
      <xdr:colOff>262106</xdr:colOff>
      <xdr:row>65</xdr:row>
      <xdr:rowOff>95249</xdr:rowOff>
    </xdr:from>
    <xdr:to>
      <xdr:col>16</xdr:col>
      <xdr:colOff>0</xdr:colOff>
      <xdr:row>67</xdr:row>
      <xdr:rowOff>138068</xdr:rowOff>
    </xdr:to>
    <xdr:pic>
      <xdr:nvPicPr>
        <xdr:cNvPr id="3" name="Picture 2">
          <a:extLst>
            <a:ext uri="{FF2B5EF4-FFF2-40B4-BE49-F238E27FC236}">
              <a16:creationId xmlns:a16="http://schemas.microsoft.com/office/drawing/2014/main" id="{3E140239-D693-489F-899E-44D49CAF850F}"/>
            </a:ext>
          </a:extLst>
        </xdr:cNvPr>
        <xdr:cNvPicPr>
          <a:picLocks noChangeAspect="1"/>
        </xdr:cNvPicPr>
      </xdr:nvPicPr>
      <xdr:blipFill>
        <a:blip xmlns:r="http://schemas.openxmlformats.org/officeDocument/2006/relationships" r:embed="rId2"/>
        <a:stretch>
          <a:fillRect/>
        </a:stretch>
      </xdr:blipFill>
      <xdr:spPr>
        <a:xfrm>
          <a:off x="9691856" y="10487024"/>
          <a:ext cx="1347619" cy="347619"/>
        </a:xfrm>
        <a:prstGeom prst="rect">
          <a:avLst/>
        </a:prstGeom>
      </xdr:spPr>
    </xdr:pic>
    <xdr:clientData/>
  </xdr:twoCellAnchor>
  <xdr:twoCellAnchor editAs="oneCell">
    <xdr:from>
      <xdr:col>13</xdr:col>
      <xdr:colOff>428625</xdr:colOff>
      <xdr:row>1</xdr:row>
      <xdr:rowOff>133350</xdr:rowOff>
    </xdr:from>
    <xdr:to>
      <xdr:col>15</xdr:col>
      <xdr:colOff>22116</xdr:colOff>
      <xdr:row>1</xdr:row>
      <xdr:rowOff>362596</xdr:rowOff>
    </xdr:to>
    <xdr:pic>
      <xdr:nvPicPr>
        <xdr:cNvPr id="4" name="Picture 3">
          <a:extLst>
            <a:ext uri="{FF2B5EF4-FFF2-40B4-BE49-F238E27FC236}">
              <a16:creationId xmlns:a16="http://schemas.microsoft.com/office/drawing/2014/main" id="{7FA17910-14F7-4254-987E-AEBE86931594}"/>
            </a:ext>
          </a:extLst>
        </xdr:cNvPr>
        <xdr:cNvPicPr>
          <a:picLocks noChangeAspect="1"/>
        </xdr:cNvPicPr>
      </xdr:nvPicPr>
      <xdr:blipFill>
        <a:blip xmlns:r="http://schemas.openxmlformats.org/officeDocument/2006/relationships" r:embed="rId3"/>
        <a:stretch>
          <a:fillRect/>
        </a:stretch>
      </xdr:blipFill>
      <xdr:spPr>
        <a:xfrm>
          <a:off x="9858375" y="285750"/>
          <a:ext cx="1022241" cy="22924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518710</xdr:colOff>
      <xdr:row>0</xdr:row>
      <xdr:rowOff>68128</xdr:rowOff>
    </xdr:from>
    <xdr:to>
      <xdr:col>7</xdr:col>
      <xdr:colOff>112201</xdr:colOff>
      <xdr:row>1</xdr:row>
      <xdr:rowOff>154499</xdr:rowOff>
    </xdr:to>
    <xdr:pic>
      <xdr:nvPicPr>
        <xdr:cNvPr id="7" name="Picture 6">
          <a:extLst>
            <a:ext uri="{FF2B5EF4-FFF2-40B4-BE49-F238E27FC236}">
              <a16:creationId xmlns:a16="http://schemas.microsoft.com/office/drawing/2014/main" id="{D2045760-E4D2-41AC-9FC5-0F914878C70B}"/>
            </a:ext>
          </a:extLst>
        </xdr:cNvPr>
        <xdr:cNvPicPr>
          <a:picLocks noChangeAspect="1"/>
        </xdr:cNvPicPr>
      </xdr:nvPicPr>
      <xdr:blipFill>
        <a:blip xmlns:r="http://schemas.openxmlformats.org/officeDocument/2006/relationships" r:embed="rId1"/>
        <a:stretch>
          <a:fillRect/>
        </a:stretch>
      </xdr:blipFill>
      <xdr:spPr>
        <a:xfrm>
          <a:off x="4482079" y="68128"/>
          <a:ext cx="1030313" cy="231668"/>
        </a:xfrm>
        <a:prstGeom prst="rect">
          <a:avLst/>
        </a:prstGeom>
      </xdr:spPr>
    </xdr:pic>
    <xdr:clientData/>
  </xdr:twoCellAnchor>
  <xdr:twoCellAnchor editAs="oneCell">
    <xdr:from>
      <xdr:col>0</xdr:col>
      <xdr:colOff>120273</xdr:colOff>
      <xdr:row>67</xdr:row>
      <xdr:rowOff>71034</xdr:rowOff>
    </xdr:from>
    <xdr:to>
      <xdr:col>2</xdr:col>
      <xdr:colOff>1411204</xdr:colOff>
      <xdr:row>68</xdr:row>
      <xdr:rowOff>80573</xdr:rowOff>
    </xdr:to>
    <xdr:pic>
      <xdr:nvPicPr>
        <xdr:cNvPr id="8" name="Picture 7">
          <a:extLst>
            <a:ext uri="{FF2B5EF4-FFF2-40B4-BE49-F238E27FC236}">
              <a16:creationId xmlns:a16="http://schemas.microsoft.com/office/drawing/2014/main" id="{21F33E0D-5F1B-4696-A1AF-C4CE14029C7B}"/>
            </a:ext>
          </a:extLst>
        </xdr:cNvPr>
        <xdr:cNvPicPr>
          <a:picLocks noChangeAspect="1"/>
        </xdr:cNvPicPr>
      </xdr:nvPicPr>
      <xdr:blipFill>
        <a:blip xmlns:r="http://schemas.openxmlformats.org/officeDocument/2006/relationships" r:embed="rId2"/>
        <a:stretch>
          <a:fillRect/>
        </a:stretch>
      </xdr:blipFill>
      <xdr:spPr>
        <a:xfrm>
          <a:off x="120273" y="8465949"/>
          <a:ext cx="1638674" cy="154835"/>
        </a:xfrm>
        <a:prstGeom prst="rect">
          <a:avLst/>
        </a:prstGeom>
      </xdr:spPr>
    </xdr:pic>
    <xdr:clientData/>
  </xdr:twoCellAnchor>
  <xdr:twoCellAnchor editAs="oneCell">
    <xdr:from>
      <xdr:col>5</xdr:col>
      <xdr:colOff>266787</xdr:colOff>
      <xdr:row>66</xdr:row>
      <xdr:rowOff>83428</xdr:rowOff>
    </xdr:from>
    <xdr:to>
      <xdr:col>8</xdr:col>
      <xdr:colOff>0</xdr:colOff>
      <xdr:row>68</xdr:row>
      <xdr:rowOff>140454</xdr:rowOff>
    </xdr:to>
    <xdr:pic>
      <xdr:nvPicPr>
        <xdr:cNvPr id="9" name="Picture 8">
          <a:extLst>
            <a:ext uri="{FF2B5EF4-FFF2-40B4-BE49-F238E27FC236}">
              <a16:creationId xmlns:a16="http://schemas.microsoft.com/office/drawing/2014/main" id="{9A5BE129-57C2-4B77-824E-FA568E180703}"/>
            </a:ext>
          </a:extLst>
        </xdr:cNvPr>
        <xdr:cNvPicPr>
          <a:picLocks noChangeAspect="1"/>
        </xdr:cNvPicPr>
      </xdr:nvPicPr>
      <xdr:blipFill>
        <a:blip xmlns:r="http://schemas.openxmlformats.org/officeDocument/2006/relationships" r:embed="rId3"/>
        <a:stretch>
          <a:fillRect/>
        </a:stretch>
      </xdr:blipFill>
      <xdr:spPr>
        <a:xfrm>
          <a:off x="4230156" y="8333047"/>
          <a:ext cx="1347619" cy="34761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xdr:row>
      <xdr:rowOff>119062</xdr:rowOff>
    </xdr:from>
    <xdr:to>
      <xdr:col>7</xdr:col>
      <xdr:colOff>435572</xdr:colOff>
      <xdr:row>35</xdr:row>
      <xdr:rowOff>116468</xdr:rowOff>
    </xdr:to>
    <xdr:pic>
      <xdr:nvPicPr>
        <xdr:cNvPr id="2" name="Picture 1">
          <a:extLst>
            <a:ext uri="{FF2B5EF4-FFF2-40B4-BE49-F238E27FC236}">
              <a16:creationId xmlns:a16="http://schemas.microsoft.com/office/drawing/2014/main" id="{14F32CA1-DDD4-4ABE-8737-967D357ECF54}"/>
            </a:ext>
          </a:extLst>
        </xdr:cNvPr>
        <xdr:cNvPicPr>
          <a:picLocks noChangeAspect="1"/>
        </xdr:cNvPicPr>
      </xdr:nvPicPr>
      <xdr:blipFill>
        <a:blip xmlns:r="http://schemas.openxmlformats.org/officeDocument/2006/relationships" r:embed="rId1"/>
        <a:stretch>
          <a:fillRect/>
        </a:stretch>
      </xdr:blipFill>
      <xdr:spPr>
        <a:xfrm>
          <a:off x="0" y="2109787"/>
          <a:ext cx="5388572" cy="5712406"/>
        </a:xfrm>
        <a:prstGeom prst="rect">
          <a:avLst/>
        </a:prstGeom>
      </xdr:spPr>
    </xdr:pic>
    <xdr:clientData/>
  </xdr:twoCellAnchor>
  <xdr:twoCellAnchor editAs="oneCell">
    <xdr:from>
      <xdr:col>9</xdr:col>
      <xdr:colOff>27623</xdr:colOff>
      <xdr:row>6</xdr:row>
      <xdr:rowOff>69532</xdr:rowOff>
    </xdr:from>
    <xdr:to>
      <xdr:col>18</xdr:col>
      <xdr:colOff>17424</xdr:colOff>
      <xdr:row>34</xdr:row>
      <xdr:rowOff>150759</xdr:rowOff>
    </xdr:to>
    <xdr:pic>
      <xdr:nvPicPr>
        <xdr:cNvPr id="3" name="Picture 2">
          <a:extLst>
            <a:ext uri="{FF2B5EF4-FFF2-40B4-BE49-F238E27FC236}">
              <a16:creationId xmlns:a16="http://schemas.microsoft.com/office/drawing/2014/main" id="{DA330857-1524-4277-AE4C-757E8CB50A76}"/>
            </a:ext>
          </a:extLst>
        </xdr:cNvPr>
        <xdr:cNvPicPr>
          <a:picLocks noChangeAspect="1"/>
        </xdr:cNvPicPr>
      </xdr:nvPicPr>
      <xdr:blipFill>
        <a:blip xmlns:r="http://schemas.openxmlformats.org/officeDocument/2006/relationships" r:embed="rId2"/>
        <a:stretch>
          <a:fillRect/>
        </a:stretch>
      </xdr:blipFill>
      <xdr:spPr>
        <a:xfrm>
          <a:off x="6399848" y="2250757"/>
          <a:ext cx="5476201" cy="5415227"/>
        </a:xfrm>
        <a:prstGeom prst="rect">
          <a:avLst/>
        </a:prstGeom>
      </xdr:spPr>
    </xdr:pic>
    <xdr:clientData/>
  </xdr:twoCellAnchor>
  <xdr:twoCellAnchor editAs="oneCell">
    <xdr:from>
      <xdr:col>23</xdr:col>
      <xdr:colOff>437198</xdr:colOff>
      <xdr:row>3</xdr:row>
      <xdr:rowOff>25717</xdr:rowOff>
    </xdr:from>
    <xdr:to>
      <xdr:col>30</xdr:col>
      <xdr:colOff>607695</xdr:colOff>
      <xdr:row>22</xdr:row>
      <xdr:rowOff>102909</xdr:rowOff>
    </xdr:to>
    <xdr:pic>
      <xdr:nvPicPr>
        <xdr:cNvPr id="4" name="Picture 4">
          <a:extLst>
            <a:ext uri="{FF2B5EF4-FFF2-40B4-BE49-F238E27FC236}">
              <a16:creationId xmlns:a16="http://schemas.microsoft.com/office/drawing/2014/main" id="{7F324914-2AD7-4EAC-AC1C-14BAFA475DFA}"/>
            </a:ext>
          </a:extLst>
        </xdr:cNvPr>
        <xdr:cNvPicPr>
          <a:picLocks noChangeAspect="1"/>
        </xdr:cNvPicPr>
      </xdr:nvPicPr>
      <xdr:blipFill>
        <a:blip xmlns:r="http://schemas.openxmlformats.org/officeDocument/2006/relationships" r:embed="rId3"/>
        <a:stretch>
          <a:fillRect/>
        </a:stretch>
      </xdr:blipFill>
      <xdr:spPr>
        <a:xfrm>
          <a:off x="15343823" y="1492567"/>
          <a:ext cx="4913947" cy="3839567"/>
        </a:xfrm>
        <a:prstGeom prst="rect">
          <a:avLst/>
        </a:prstGeom>
      </xdr:spPr>
    </xdr:pic>
    <xdr:clientData/>
  </xdr:twoCellAnchor>
  <xdr:oneCellAnchor>
    <xdr:from>
      <xdr:col>47</xdr:col>
      <xdr:colOff>317454</xdr:colOff>
      <xdr:row>4</xdr:row>
      <xdr:rowOff>74432</xdr:rowOff>
    </xdr:from>
    <xdr:ext cx="6406515" cy="2319850"/>
    <xdr:pic>
      <xdr:nvPicPr>
        <xdr:cNvPr id="5" name="Picture 5">
          <a:extLst>
            <a:ext uri="{FF2B5EF4-FFF2-40B4-BE49-F238E27FC236}">
              <a16:creationId xmlns:a16="http://schemas.microsoft.com/office/drawing/2014/main" id="{B0E5CB34-A955-4930-AEA8-3897C0B19DAA}"/>
            </a:ext>
          </a:extLst>
        </xdr:cNvPr>
        <xdr:cNvPicPr>
          <a:picLocks noChangeAspect="1"/>
        </xdr:cNvPicPr>
      </xdr:nvPicPr>
      <xdr:blipFill>
        <a:blip xmlns:r="http://schemas.openxmlformats.org/officeDocument/2006/relationships" r:embed="rId4"/>
        <a:stretch>
          <a:fillRect/>
        </a:stretch>
      </xdr:blipFill>
      <xdr:spPr>
        <a:xfrm>
          <a:off x="30549804" y="1874657"/>
          <a:ext cx="6406515" cy="2319850"/>
        </a:xfrm>
        <a:prstGeom prst="rect">
          <a:avLst/>
        </a:prstGeom>
      </xdr:spPr>
    </xdr:pic>
    <xdr:clientData/>
  </xdr:oneCellAnchor>
  <xdr:oneCellAnchor>
    <xdr:from>
      <xdr:col>47</xdr:col>
      <xdr:colOff>302622</xdr:colOff>
      <xdr:row>17</xdr:row>
      <xdr:rowOff>97427</xdr:rowOff>
    </xdr:from>
    <xdr:ext cx="6404610" cy="2453896"/>
    <xdr:pic>
      <xdr:nvPicPr>
        <xdr:cNvPr id="6" name="Picture 6">
          <a:extLst>
            <a:ext uri="{FF2B5EF4-FFF2-40B4-BE49-F238E27FC236}">
              <a16:creationId xmlns:a16="http://schemas.microsoft.com/office/drawing/2014/main" id="{33485EAD-3F04-4793-8652-38E7F9BD97DF}"/>
            </a:ext>
          </a:extLst>
        </xdr:cNvPr>
        <xdr:cNvPicPr>
          <a:picLocks noChangeAspect="1"/>
        </xdr:cNvPicPr>
      </xdr:nvPicPr>
      <xdr:blipFill>
        <a:blip xmlns:r="http://schemas.openxmlformats.org/officeDocument/2006/relationships" r:embed="rId5"/>
        <a:stretch>
          <a:fillRect/>
        </a:stretch>
      </xdr:blipFill>
      <xdr:spPr>
        <a:xfrm>
          <a:off x="30534972" y="4374152"/>
          <a:ext cx="6404610" cy="2453896"/>
        </a:xfrm>
        <a:prstGeom prst="rect">
          <a:avLst/>
        </a:prstGeom>
      </xdr:spPr>
    </xdr:pic>
    <xdr:clientData/>
  </xdr:oneCellAnchor>
  <xdr:oneCellAnchor>
    <xdr:from>
      <xdr:col>47</xdr:col>
      <xdr:colOff>483821</xdr:colOff>
      <xdr:row>31</xdr:row>
      <xdr:rowOff>119180</xdr:rowOff>
    </xdr:from>
    <xdr:ext cx="7300263" cy="3233803"/>
    <xdr:pic>
      <xdr:nvPicPr>
        <xdr:cNvPr id="7" name="Picture 7">
          <a:extLst>
            <a:ext uri="{FF2B5EF4-FFF2-40B4-BE49-F238E27FC236}">
              <a16:creationId xmlns:a16="http://schemas.microsoft.com/office/drawing/2014/main" id="{6E8D0288-57B1-4F08-AF3C-893BFC241B40}"/>
            </a:ext>
          </a:extLst>
        </xdr:cNvPr>
        <xdr:cNvPicPr>
          <a:picLocks noChangeAspect="1"/>
        </xdr:cNvPicPr>
      </xdr:nvPicPr>
      <xdr:blipFill>
        <a:blip xmlns:r="http://schemas.openxmlformats.org/officeDocument/2006/relationships" r:embed="rId6"/>
        <a:stretch>
          <a:fillRect/>
        </a:stretch>
      </xdr:blipFill>
      <xdr:spPr>
        <a:xfrm>
          <a:off x="30716171" y="7062905"/>
          <a:ext cx="7300263" cy="3233803"/>
        </a:xfrm>
        <a:prstGeom prst="rect">
          <a:avLst/>
        </a:prstGeom>
      </xdr:spPr>
    </xdr:pic>
    <xdr:clientData/>
  </xdr:oneCellAnchor>
  <xdr:oneCellAnchor>
    <xdr:from>
      <xdr:col>38</xdr:col>
      <xdr:colOff>26139</xdr:colOff>
      <xdr:row>4</xdr:row>
      <xdr:rowOff>65870</xdr:rowOff>
    </xdr:from>
    <xdr:ext cx="5759155" cy="4802862"/>
    <xdr:pic>
      <xdr:nvPicPr>
        <xdr:cNvPr id="8" name="Picture 10">
          <a:extLst>
            <a:ext uri="{FF2B5EF4-FFF2-40B4-BE49-F238E27FC236}">
              <a16:creationId xmlns:a16="http://schemas.microsoft.com/office/drawing/2014/main" id="{52C61E70-A728-4B4F-A165-A04F1971EE80}"/>
            </a:ext>
          </a:extLst>
        </xdr:cNvPr>
        <xdr:cNvPicPr>
          <a:picLocks noChangeAspect="1"/>
        </xdr:cNvPicPr>
      </xdr:nvPicPr>
      <xdr:blipFill>
        <a:blip xmlns:r="http://schemas.openxmlformats.org/officeDocument/2006/relationships" r:embed="rId7"/>
        <a:stretch>
          <a:fillRect/>
        </a:stretch>
      </xdr:blipFill>
      <xdr:spPr>
        <a:xfrm>
          <a:off x="24772089" y="1866095"/>
          <a:ext cx="5759155" cy="4802862"/>
        </a:xfrm>
        <a:prstGeom prst="rect">
          <a:avLst/>
        </a:prstGeom>
      </xdr:spPr>
    </xdr:pic>
    <xdr:clientData/>
  </xdr:oneCellAnchor>
  <xdr:oneCellAnchor>
    <xdr:from>
      <xdr:col>38</xdr:col>
      <xdr:colOff>25022</xdr:colOff>
      <xdr:row>31</xdr:row>
      <xdr:rowOff>129989</xdr:rowOff>
    </xdr:from>
    <xdr:ext cx="5992767" cy="3931410"/>
    <xdr:pic>
      <xdr:nvPicPr>
        <xdr:cNvPr id="9" name="Picture 11">
          <a:extLst>
            <a:ext uri="{FF2B5EF4-FFF2-40B4-BE49-F238E27FC236}">
              <a16:creationId xmlns:a16="http://schemas.microsoft.com/office/drawing/2014/main" id="{E5135932-69DD-4D37-AA96-96BDFA849846}"/>
            </a:ext>
          </a:extLst>
        </xdr:cNvPr>
        <xdr:cNvPicPr>
          <a:picLocks noChangeAspect="1"/>
        </xdr:cNvPicPr>
      </xdr:nvPicPr>
      <xdr:blipFill>
        <a:blip xmlns:r="http://schemas.openxmlformats.org/officeDocument/2006/relationships" r:embed="rId8"/>
        <a:stretch>
          <a:fillRect/>
        </a:stretch>
      </xdr:blipFill>
      <xdr:spPr>
        <a:xfrm>
          <a:off x="24770972" y="7073714"/>
          <a:ext cx="5992767" cy="3931410"/>
        </a:xfrm>
        <a:prstGeom prst="rect">
          <a:avLst/>
        </a:prstGeom>
      </xdr:spPr>
    </xdr:pic>
    <xdr:clientData/>
  </xdr:oneCellAnchor>
  <xdr:twoCellAnchor editAs="oneCell">
    <xdr:from>
      <xdr:col>18</xdr:col>
      <xdr:colOff>71438</xdr:colOff>
      <xdr:row>6</xdr:row>
      <xdr:rowOff>52387</xdr:rowOff>
    </xdr:from>
    <xdr:to>
      <xdr:col>23</xdr:col>
      <xdr:colOff>399097</xdr:colOff>
      <xdr:row>37</xdr:row>
      <xdr:rowOff>1322</xdr:rowOff>
    </xdr:to>
    <xdr:pic>
      <xdr:nvPicPr>
        <xdr:cNvPr id="10" name="Picture 13">
          <a:extLst>
            <a:ext uri="{FF2B5EF4-FFF2-40B4-BE49-F238E27FC236}">
              <a16:creationId xmlns:a16="http://schemas.microsoft.com/office/drawing/2014/main" id="{5192C114-E994-4E40-805E-9CD802D03F24}"/>
            </a:ext>
          </a:extLst>
        </xdr:cNvPr>
        <xdr:cNvPicPr>
          <a:picLocks noChangeAspect="1"/>
        </xdr:cNvPicPr>
      </xdr:nvPicPr>
      <xdr:blipFill>
        <a:blip xmlns:r="http://schemas.openxmlformats.org/officeDocument/2006/relationships" r:embed="rId9"/>
        <a:stretch>
          <a:fillRect/>
        </a:stretch>
      </xdr:blipFill>
      <xdr:spPr>
        <a:xfrm>
          <a:off x="11930063" y="2233612"/>
          <a:ext cx="3375659" cy="5854435"/>
        </a:xfrm>
        <a:prstGeom prst="rect">
          <a:avLst/>
        </a:prstGeom>
      </xdr:spPr>
    </xdr:pic>
    <xdr:clientData/>
  </xdr:twoCellAnchor>
  <xdr:oneCellAnchor>
    <xdr:from>
      <xdr:col>38</xdr:col>
      <xdr:colOff>25409</xdr:colOff>
      <xdr:row>52</xdr:row>
      <xdr:rowOff>168334</xdr:rowOff>
    </xdr:from>
    <xdr:ext cx="5963750" cy="1807619"/>
    <xdr:pic>
      <xdr:nvPicPr>
        <xdr:cNvPr id="11" name="Picture 15">
          <a:extLst>
            <a:ext uri="{FF2B5EF4-FFF2-40B4-BE49-F238E27FC236}">
              <a16:creationId xmlns:a16="http://schemas.microsoft.com/office/drawing/2014/main" id="{37BB1DF7-57DE-4261-AE28-0D2050064AB2}"/>
            </a:ext>
          </a:extLst>
        </xdr:cNvPr>
        <xdr:cNvPicPr>
          <a:picLocks noChangeAspect="1"/>
        </xdr:cNvPicPr>
      </xdr:nvPicPr>
      <xdr:blipFill>
        <a:blip xmlns:r="http://schemas.openxmlformats.org/officeDocument/2006/relationships" r:embed="rId10"/>
        <a:stretch>
          <a:fillRect/>
        </a:stretch>
      </xdr:blipFill>
      <xdr:spPr>
        <a:xfrm>
          <a:off x="24771359" y="11398309"/>
          <a:ext cx="5963750" cy="1807619"/>
        </a:xfrm>
        <a:prstGeom prst="rect">
          <a:avLst/>
        </a:prstGeom>
      </xdr:spPr>
    </xdr:pic>
    <xdr:clientData/>
  </xdr:oneCellAnchor>
  <xdr:oneCellAnchor>
    <xdr:from>
      <xdr:col>59</xdr:col>
      <xdr:colOff>524591</xdr:colOff>
      <xdr:row>4</xdr:row>
      <xdr:rowOff>95917</xdr:rowOff>
    </xdr:from>
    <xdr:ext cx="5184679" cy="4585509"/>
    <xdr:pic>
      <xdr:nvPicPr>
        <xdr:cNvPr id="12" name="Picture 3">
          <a:extLst>
            <a:ext uri="{FF2B5EF4-FFF2-40B4-BE49-F238E27FC236}">
              <a16:creationId xmlns:a16="http://schemas.microsoft.com/office/drawing/2014/main" id="{634BDA59-A0F9-4336-BFFF-F9276414C276}"/>
            </a:ext>
          </a:extLst>
        </xdr:cNvPr>
        <xdr:cNvPicPr>
          <a:picLocks noChangeAspect="1"/>
        </xdr:cNvPicPr>
      </xdr:nvPicPr>
      <xdr:blipFill>
        <a:blip xmlns:r="http://schemas.openxmlformats.org/officeDocument/2006/relationships" r:embed="rId11"/>
        <a:stretch>
          <a:fillRect/>
        </a:stretch>
      </xdr:blipFill>
      <xdr:spPr>
        <a:xfrm>
          <a:off x="38072141" y="1896142"/>
          <a:ext cx="5184679" cy="4585509"/>
        </a:xfrm>
        <a:prstGeom prst="rect">
          <a:avLst/>
        </a:prstGeom>
      </xdr:spPr>
    </xdr:pic>
    <xdr:clientData/>
  </xdr:oneCellAnchor>
  <xdr:oneCellAnchor>
    <xdr:from>
      <xdr:col>59</xdr:col>
      <xdr:colOff>483672</xdr:colOff>
      <xdr:row>30</xdr:row>
      <xdr:rowOff>116377</xdr:rowOff>
    </xdr:from>
    <xdr:ext cx="6407727" cy="6461175"/>
    <xdr:pic>
      <xdr:nvPicPr>
        <xdr:cNvPr id="13" name="Picture 8">
          <a:extLst>
            <a:ext uri="{FF2B5EF4-FFF2-40B4-BE49-F238E27FC236}">
              <a16:creationId xmlns:a16="http://schemas.microsoft.com/office/drawing/2014/main" id="{01047F6D-07AC-4E65-BFDC-EBD854CB66EE}"/>
            </a:ext>
          </a:extLst>
        </xdr:cNvPr>
        <xdr:cNvPicPr>
          <a:picLocks noChangeAspect="1"/>
        </xdr:cNvPicPr>
      </xdr:nvPicPr>
      <xdr:blipFill>
        <a:blip xmlns:r="http://schemas.openxmlformats.org/officeDocument/2006/relationships" r:embed="rId12"/>
        <a:stretch>
          <a:fillRect/>
        </a:stretch>
      </xdr:blipFill>
      <xdr:spPr>
        <a:xfrm>
          <a:off x="38031222" y="6869602"/>
          <a:ext cx="6407727" cy="6461175"/>
        </a:xfrm>
        <a:prstGeom prst="rect">
          <a:avLst/>
        </a:prstGeom>
      </xdr:spPr>
    </xdr:pic>
    <xdr:clientData/>
  </xdr:oneCellAnchor>
  <xdr:oneCellAnchor>
    <xdr:from>
      <xdr:col>38</xdr:col>
      <xdr:colOff>0</xdr:colOff>
      <xdr:row>68</xdr:row>
      <xdr:rowOff>0</xdr:rowOff>
    </xdr:from>
    <xdr:ext cx="304800" cy="304800"/>
    <xdr:sp macro="" textlink="">
      <xdr:nvSpPr>
        <xdr:cNvPr id="14" name="AutoShape 1">
          <a:extLst>
            <a:ext uri="{FF2B5EF4-FFF2-40B4-BE49-F238E27FC236}">
              <a16:creationId xmlns:a16="http://schemas.microsoft.com/office/drawing/2014/main" id="{1C6CDB86-9F09-4638-B67C-6EFBA14E594C}"/>
            </a:ext>
          </a:extLst>
        </xdr:cNvPr>
        <xdr:cNvSpPr>
          <a:spLocks noChangeAspect="1" noChangeArrowheads="1"/>
        </xdr:cNvSpPr>
      </xdr:nvSpPr>
      <xdr:spPr bwMode="auto">
        <a:xfrm>
          <a:off x="2474595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38</xdr:col>
      <xdr:colOff>0</xdr:colOff>
      <xdr:row>70</xdr:row>
      <xdr:rowOff>0</xdr:rowOff>
    </xdr:from>
    <xdr:ext cx="304800" cy="304800"/>
    <xdr:sp macro="" textlink="">
      <xdr:nvSpPr>
        <xdr:cNvPr id="15" name="AutoShape 2">
          <a:extLst>
            <a:ext uri="{FF2B5EF4-FFF2-40B4-BE49-F238E27FC236}">
              <a16:creationId xmlns:a16="http://schemas.microsoft.com/office/drawing/2014/main" id="{38403D64-CC18-4D5D-A9C1-97526A9FECE9}"/>
            </a:ext>
          </a:extLst>
        </xdr:cNvPr>
        <xdr:cNvSpPr>
          <a:spLocks noChangeAspect="1" noChangeArrowheads="1"/>
        </xdr:cNvSpPr>
      </xdr:nvSpPr>
      <xdr:spPr bwMode="auto">
        <a:xfrm>
          <a:off x="2474595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38</xdr:col>
      <xdr:colOff>43539</xdr:colOff>
      <xdr:row>74</xdr:row>
      <xdr:rowOff>82781</xdr:rowOff>
    </xdr:from>
    <xdr:ext cx="6208059" cy="984743"/>
    <xdr:pic>
      <xdr:nvPicPr>
        <xdr:cNvPr id="16" name="Picture 16">
          <a:extLst>
            <a:ext uri="{FF2B5EF4-FFF2-40B4-BE49-F238E27FC236}">
              <a16:creationId xmlns:a16="http://schemas.microsoft.com/office/drawing/2014/main" id="{A91AEEF1-5F11-43ED-B39B-6E65865DFD38}"/>
            </a:ext>
          </a:extLst>
        </xdr:cNvPr>
        <xdr:cNvPicPr/>
      </xdr:nvPicPr>
      <xdr:blipFill>
        <a:blip xmlns:r="http://schemas.openxmlformats.org/officeDocument/2006/relationships" r:embed="rId13"/>
        <a:stretch>
          <a:fillRect/>
        </a:stretch>
      </xdr:blipFill>
      <xdr:spPr>
        <a:xfrm>
          <a:off x="24789489" y="15551381"/>
          <a:ext cx="6208059" cy="984743"/>
        </a:xfrm>
        <a:prstGeom prst="rect">
          <a:avLst/>
        </a:prstGeom>
      </xdr:spPr>
    </xdr:pic>
    <xdr:clientData/>
  </xdr:oneCellAnchor>
  <xdr:oneCellAnchor>
    <xdr:from>
      <xdr:col>50</xdr:col>
      <xdr:colOff>44823</xdr:colOff>
      <xdr:row>71</xdr:row>
      <xdr:rowOff>78441</xdr:rowOff>
    </xdr:from>
    <xdr:ext cx="5477771" cy="3180565"/>
    <xdr:pic>
      <xdr:nvPicPr>
        <xdr:cNvPr id="17" name="Picture 17">
          <a:extLst>
            <a:ext uri="{FF2B5EF4-FFF2-40B4-BE49-F238E27FC236}">
              <a16:creationId xmlns:a16="http://schemas.microsoft.com/office/drawing/2014/main" id="{8405AB86-7D41-41CA-A76D-24037E06993B}"/>
            </a:ext>
          </a:extLst>
        </xdr:cNvPr>
        <xdr:cNvPicPr/>
      </xdr:nvPicPr>
      <xdr:blipFill>
        <a:blip xmlns:r="http://schemas.openxmlformats.org/officeDocument/2006/relationships" r:embed="rId14"/>
        <a:stretch>
          <a:fillRect/>
        </a:stretch>
      </xdr:blipFill>
      <xdr:spPr>
        <a:xfrm>
          <a:off x="32105973" y="14975541"/>
          <a:ext cx="5477771" cy="3180565"/>
        </a:xfrm>
        <a:prstGeom prst="rect">
          <a:avLst/>
        </a:prstGeom>
      </xdr:spPr>
    </xdr:pic>
    <xdr:clientData/>
  </xdr:oneCellAnchor>
  <xdr:oneCellAnchor>
    <xdr:from>
      <xdr:col>50</xdr:col>
      <xdr:colOff>40517</xdr:colOff>
      <xdr:row>93</xdr:row>
      <xdr:rowOff>54429</xdr:rowOff>
    </xdr:from>
    <xdr:ext cx="4725295" cy="216529"/>
    <xdr:pic>
      <xdr:nvPicPr>
        <xdr:cNvPr id="18" name="Picture 18">
          <a:extLst>
            <a:ext uri="{FF2B5EF4-FFF2-40B4-BE49-F238E27FC236}">
              <a16:creationId xmlns:a16="http://schemas.microsoft.com/office/drawing/2014/main" id="{EB70B327-E4E4-4987-AE39-5C1C0E13FD75}"/>
            </a:ext>
          </a:extLst>
        </xdr:cNvPr>
        <xdr:cNvPicPr/>
      </xdr:nvPicPr>
      <xdr:blipFill>
        <a:blip xmlns:r="http://schemas.openxmlformats.org/officeDocument/2006/relationships" r:embed="rId15"/>
        <a:stretch>
          <a:fillRect/>
        </a:stretch>
      </xdr:blipFill>
      <xdr:spPr>
        <a:xfrm>
          <a:off x="32101667" y="19380654"/>
          <a:ext cx="4725295" cy="216529"/>
        </a:xfrm>
        <a:prstGeom prst="rect">
          <a:avLst/>
        </a:prstGeom>
      </xdr:spPr>
    </xdr:pic>
    <xdr:clientData/>
  </xdr:oneCellAnchor>
  <xdr:oneCellAnchor>
    <xdr:from>
      <xdr:col>61</xdr:col>
      <xdr:colOff>0</xdr:colOff>
      <xdr:row>71</xdr:row>
      <xdr:rowOff>0</xdr:rowOff>
    </xdr:from>
    <xdr:ext cx="5334000" cy="820159"/>
    <xdr:pic>
      <xdr:nvPicPr>
        <xdr:cNvPr id="19" name="Picture 19">
          <a:extLst>
            <a:ext uri="{FF2B5EF4-FFF2-40B4-BE49-F238E27FC236}">
              <a16:creationId xmlns:a16="http://schemas.microsoft.com/office/drawing/2014/main" id="{477154B4-A1A1-433B-97D4-01A6A7721487}"/>
            </a:ext>
          </a:extLst>
        </xdr:cNvPr>
        <xdr:cNvPicPr/>
      </xdr:nvPicPr>
      <xdr:blipFill>
        <a:blip xmlns:r="http://schemas.openxmlformats.org/officeDocument/2006/relationships" r:embed="rId16"/>
        <a:stretch>
          <a:fillRect/>
        </a:stretch>
      </xdr:blipFill>
      <xdr:spPr>
        <a:xfrm>
          <a:off x="38766750" y="14897100"/>
          <a:ext cx="5334000" cy="820159"/>
        </a:xfrm>
        <a:prstGeom prst="rect">
          <a:avLst/>
        </a:prstGeom>
      </xdr:spPr>
    </xdr:pic>
    <xdr:clientData/>
  </xdr:oneCellAnchor>
  <xdr:oneCellAnchor>
    <xdr:from>
      <xdr:col>61</xdr:col>
      <xdr:colOff>27215</xdr:colOff>
      <xdr:row>80</xdr:row>
      <xdr:rowOff>40822</xdr:rowOff>
    </xdr:from>
    <xdr:ext cx="3731559" cy="4284458"/>
    <xdr:pic>
      <xdr:nvPicPr>
        <xdr:cNvPr id="20" name="Picture 20">
          <a:extLst>
            <a:ext uri="{FF2B5EF4-FFF2-40B4-BE49-F238E27FC236}">
              <a16:creationId xmlns:a16="http://schemas.microsoft.com/office/drawing/2014/main" id="{9445408A-5889-4348-B0F1-E0BCC8447A0C}"/>
            </a:ext>
          </a:extLst>
        </xdr:cNvPr>
        <xdr:cNvPicPr/>
      </xdr:nvPicPr>
      <xdr:blipFill>
        <a:blip xmlns:r="http://schemas.openxmlformats.org/officeDocument/2006/relationships" r:embed="rId17"/>
        <a:stretch>
          <a:fillRect/>
        </a:stretch>
      </xdr:blipFill>
      <xdr:spPr>
        <a:xfrm>
          <a:off x="38793965" y="16652422"/>
          <a:ext cx="3731559" cy="4284458"/>
        </a:xfrm>
        <a:prstGeom prst="rect">
          <a:avLst/>
        </a:prstGeom>
      </xdr:spPr>
    </xdr:pic>
    <xdr:clientData/>
  </xdr:oneCellAnchor>
  <xdr:twoCellAnchor editAs="oneCell">
    <xdr:from>
      <xdr:col>38</xdr:col>
      <xdr:colOff>97155</xdr:colOff>
      <xdr:row>122</xdr:row>
      <xdr:rowOff>97155</xdr:rowOff>
    </xdr:from>
    <xdr:to>
      <xdr:col>62</xdr:col>
      <xdr:colOff>569884</xdr:colOff>
      <xdr:row>154</xdr:row>
      <xdr:rowOff>174245</xdr:rowOff>
    </xdr:to>
    <xdr:pic>
      <xdr:nvPicPr>
        <xdr:cNvPr id="21" name="Picture 20">
          <a:extLst>
            <a:ext uri="{FF2B5EF4-FFF2-40B4-BE49-F238E27FC236}">
              <a16:creationId xmlns:a16="http://schemas.microsoft.com/office/drawing/2014/main" id="{F0BD2C89-39F0-4851-9560-C9B4E33B45AC}"/>
            </a:ext>
          </a:extLst>
        </xdr:cNvPr>
        <xdr:cNvPicPr>
          <a:picLocks noChangeAspect="1"/>
        </xdr:cNvPicPr>
      </xdr:nvPicPr>
      <xdr:blipFill>
        <a:blip xmlns:r="http://schemas.openxmlformats.org/officeDocument/2006/relationships" r:embed="rId18"/>
        <a:stretch>
          <a:fillRect/>
        </a:stretch>
      </xdr:blipFill>
      <xdr:spPr>
        <a:xfrm>
          <a:off x="24843105" y="25090755"/>
          <a:ext cx="15103129" cy="6277865"/>
        </a:xfrm>
        <a:prstGeom prst="rect">
          <a:avLst/>
        </a:prstGeom>
      </xdr:spPr>
    </xdr:pic>
    <xdr:clientData/>
  </xdr:twoCellAnchor>
  <xdr:oneCellAnchor>
    <xdr:from>
      <xdr:col>0</xdr:col>
      <xdr:colOff>36195</xdr:colOff>
      <xdr:row>53</xdr:row>
      <xdr:rowOff>38100</xdr:rowOff>
    </xdr:from>
    <xdr:ext cx="2993721" cy="588338"/>
    <xdr:pic>
      <xdr:nvPicPr>
        <xdr:cNvPr id="22" name="Picture 36">
          <a:extLst>
            <a:ext uri="{FF2B5EF4-FFF2-40B4-BE49-F238E27FC236}">
              <a16:creationId xmlns:a16="http://schemas.microsoft.com/office/drawing/2014/main" id="{29B4F487-F632-4753-944C-9DC954E7B9F6}"/>
            </a:ext>
          </a:extLst>
        </xdr:cNvPr>
        <xdr:cNvPicPr>
          <a:picLocks noChangeAspect="1"/>
        </xdr:cNvPicPr>
      </xdr:nvPicPr>
      <xdr:blipFill>
        <a:blip xmlns:r="http://schemas.openxmlformats.org/officeDocument/2006/relationships" r:embed="rId19"/>
        <a:stretch>
          <a:fillRect/>
        </a:stretch>
      </xdr:blipFill>
      <xdr:spPr>
        <a:xfrm>
          <a:off x="36195" y="11458575"/>
          <a:ext cx="2993721" cy="588338"/>
        </a:xfrm>
        <a:prstGeom prst="rect">
          <a:avLst/>
        </a:prstGeom>
      </xdr:spPr>
    </xdr:pic>
    <xdr:clientData/>
  </xdr:oneCellAnchor>
  <xdr:oneCellAnchor>
    <xdr:from>
      <xdr:col>10</xdr:col>
      <xdr:colOff>43367</xdr:colOff>
      <xdr:row>55</xdr:row>
      <xdr:rowOff>46728</xdr:rowOff>
    </xdr:from>
    <xdr:ext cx="3274022" cy="884695"/>
    <xdr:pic>
      <xdr:nvPicPr>
        <xdr:cNvPr id="23" name="Picture 37">
          <a:extLst>
            <a:ext uri="{FF2B5EF4-FFF2-40B4-BE49-F238E27FC236}">
              <a16:creationId xmlns:a16="http://schemas.microsoft.com/office/drawing/2014/main" id="{5318477D-BA7B-4A53-BD25-72FF90D0BCE1}"/>
            </a:ext>
          </a:extLst>
        </xdr:cNvPr>
        <xdr:cNvPicPr>
          <a:picLocks noChangeAspect="1"/>
        </xdr:cNvPicPr>
      </xdr:nvPicPr>
      <xdr:blipFill rotWithShape="1">
        <a:blip xmlns:r="http://schemas.openxmlformats.org/officeDocument/2006/relationships" r:embed="rId20"/>
        <a:srcRect t="20900"/>
        <a:stretch/>
      </xdr:blipFill>
      <xdr:spPr>
        <a:xfrm>
          <a:off x="7025192" y="11848203"/>
          <a:ext cx="3274022" cy="884695"/>
        </a:xfrm>
        <a:prstGeom prst="rect">
          <a:avLst/>
        </a:prstGeom>
      </xdr:spPr>
    </xdr:pic>
    <xdr:clientData/>
  </xdr:oneCellAnchor>
  <xdr:oneCellAnchor>
    <xdr:from>
      <xdr:col>10</xdr:col>
      <xdr:colOff>16566</xdr:colOff>
      <xdr:row>45</xdr:row>
      <xdr:rowOff>24848</xdr:rowOff>
    </xdr:from>
    <xdr:ext cx="1259370" cy="360626"/>
    <xdr:pic>
      <xdr:nvPicPr>
        <xdr:cNvPr id="24" name="Picture 38">
          <a:extLst>
            <a:ext uri="{FF2B5EF4-FFF2-40B4-BE49-F238E27FC236}">
              <a16:creationId xmlns:a16="http://schemas.microsoft.com/office/drawing/2014/main" id="{C64C3ACE-1E86-4FCA-9EC7-09BAA4FF8CD5}"/>
            </a:ext>
          </a:extLst>
        </xdr:cNvPr>
        <xdr:cNvPicPr>
          <a:picLocks noChangeAspect="1"/>
        </xdr:cNvPicPr>
      </xdr:nvPicPr>
      <xdr:blipFill rotWithShape="1">
        <a:blip xmlns:r="http://schemas.openxmlformats.org/officeDocument/2006/relationships" r:embed="rId21"/>
        <a:srcRect t="25850" b="25508"/>
        <a:stretch/>
      </xdr:blipFill>
      <xdr:spPr>
        <a:xfrm>
          <a:off x="6998391" y="9921323"/>
          <a:ext cx="1259370" cy="360626"/>
        </a:xfrm>
        <a:prstGeom prst="rect">
          <a:avLst/>
        </a:prstGeom>
      </xdr:spPr>
    </xdr:pic>
    <xdr:clientData/>
  </xdr:oneCellAnchor>
  <xdr:oneCellAnchor>
    <xdr:from>
      <xdr:col>15</xdr:col>
      <xdr:colOff>606898</xdr:colOff>
      <xdr:row>45</xdr:row>
      <xdr:rowOff>12094</xdr:rowOff>
    </xdr:from>
    <xdr:ext cx="915110" cy="524324"/>
    <xdr:pic>
      <xdr:nvPicPr>
        <xdr:cNvPr id="25" name="Picture 39">
          <a:extLst>
            <a:ext uri="{FF2B5EF4-FFF2-40B4-BE49-F238E27FC236}">
              <a16:creationId xmlns:a16="http://schemas.microsoft.com/office/drawing/2014/main" id="{0B6CC098-EF03-40F4-83F5-F2F43DE50A6D}"/>
            </a:ext>
          </a:extLst>
        </xdr:cNvPr>
        <xdr:cNvPicPr>
          <a:picLocks noChangeAspect="1"/>
        </xdr:cNvPicPr>
      </xdr:nvPicPr>
      <xdr:blipFill rotWithShape="1">
        <a:blip xmlns:r="http://schemas.openxmlformats.org/officeDocument/2006/relationships" r:embed="rId22"/>
        <a:srcRect t="-1599"/>
        <a:stretch/>
      </xdr:blipFill>
      <xdr:spPr>
        <a:xfrm>
          <a:off x="10636723" y="9908569"/>
          <a:ext cx="915110" cy="524324"/>
        </a:xfrm>
        <a:prstGeom prst="rect">
          <a:avLst/>
        </a:prstGeom>
      </xdr:spPr>
    </xdr:pic>
    <xdr:clientData/>
  </xdr:oneCellAnchor>
  <xdr:oneCellAnchor>
    <xdr:from>
      <xdr:col>12</xdr:col>
      <xdr:colOff>84732</xdr:colOff>
      <xdr:row>45</xdr:row>
      <xdr:rowOff>16565</xdr:rowOff>
    </xdr:from>
    <xdr:ext cx="2786351" cy="522927"/>
    <xdr:pic>
      <xdr:nvPicPr>
        <xdr:cNvPr id="26" name="Picture 40">
          <a:extLst>
            <a:ext uri="{FF2B5EF4-FFF2-40B4-BE49-F238E27FC236}">
              <a16:creationId xmlns:a16="http://schemas.microsoft.com/office/drawing/2014/main" id="{51AAC7D6-E7EB-45C8-A96A-7E5CA1683428}"/>
            </a:ext>
          </a:extLst>
        </xdr:cNvPr>
        <xdr:cNvPicPr>
          <a:picLocks noChangeAspect="1"/>
        </xdr:cNvPicPr>
      </xdr:nvPicPr>
      <xdr:blipFill>
        <a:blip xmlns:r="http://schemas.openxmlformats.org/officeDocument/2006/relationships" r:embed="rId23"/>
        <a:stretch>
          <a:fillRect/>
        </a:stretch>
      </xdr:blipFill>
      <xdr:spPr>
        <a:xfrm>
          <a:off x="8285757" y="9913040"/>
          <a:ext cx="2786351" cy="522927"/>
        </a:xfrm>
        <a:prstGeom prst="rect">
          <a:avLst/>
        </a:prstGeom>
      </xdr:spPr>
    </xdr:pic>
    <xdr:clientData/>
  </xdr:oneCellAnchor>
  <xdr:twoCellAnchor>
    <xdr:from>
      <xdr:col>19</xdr:col>
      <xdr:colOff>398294</xdr:colOff>
      <xdr:row>41</xdr:row>
      <xdr:rowOff>68110</xdr:rowOff>
    </xdr:from>
    <xdr:to>
      <xdr:col>24</xdr:col>
      <xdr:colOff>451435</xdr:colOff>
      <xdr:row>71</xdr:row>
      <xdr:rowOff>126892</xdr:rowOff>
    </xdr:to>
    <xdr:grpSp>
      <xdr:nvGrpSpPr>
        <xdr:cNvPr id="27" name="Group 8">
          <a:extLst>
            <a:ext uri="{FF2B5EF4-FFF2-40B4-BE49-F238E27FC236}">
              <a16:creationId xmlns:a16="http://schemas.microsoft.com/office/drawing/2014/main" id="{FD72773A-E23D-4722-AB3A-1FF31D8D5F52}"/>
            </a:ext>
          </a:extLst>
        </xdr:cNvPr>
        <xdr:cNvGrpSpPr>
          <a:grpSpLocks/>
        </xdr:cNvGrpSpPr>
      </xdr:nvGrpSpPr>
      <xdr:grpSpPr bwMode="auto">
        <a:xfrm>
          <a:off x="12866519" y="9202585"/>
          <a:ext cx="3101141" cy="5821407"/>
          <a:chOff x="14166273" y="11170227"/>
          <a:chExt cx="6442364" cy="11637818"/>
        </a:xfrm>
      </xdr:grpSpPr>
      <xdr:pic>
        <xdr:nvPicPr>
          <xdr:cNvPr id="28" name="Picture 24">
            <a:extLst>
              <a:ext uri="{FF2B5EF4-FFF2-40B4-BE49-F238E27FC236}">
                <a16:creationId xmlns:a16="http://schemas.microsoft.com/office/drawing/2014/main" id="{FC7D52E0-9105-422E-8BE8-3300739E40F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l="29930" t="34703" r="29691" b="14052"/>
          <a:stretch>
            <a:fillRect/>
          </a:stretch>
        </xdr:blipFill>
        <xdr:spPr bwMode="auto">
          <a:xfrm>
            <a:off x="14166273" y="17872364"/>
            <a:ext cx="6425045" cy="49356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pic>
        <xdr:nvPicPr>
          <xdr:cNvPr id="29" name="Picture 23">
            <a:extLst>
              <a:ext uri="{FF2B5EF4-FFF2-40B4-BE49-F238E27FC236}">
                <a16:creationId xmlns:a16="http://schemas.microsoft.com/office/drawing/2014/main" id="{28A73AFF-D871-416B-A8FA-B11E39F6A816}"/>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l="30038" t="19598" r="29472" b="10995"/>
          <a:stretch>
            <a:fillRect/>
          </a:stretch>
        </xdr:blipFill>
        <xdr:spPr bwMode="auto">
          <a:xfrm>
            <a:off x="14166273" y="11170227"/>
            <a:ext cx="6442364" cy="66848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grpSp>
    <xdr:clientData/>
  </xdr:twoCellAnchor>
  <xdr:twoCellAnchor>
    <xdr:from>
      <xdr:col>3</xdr:col>
      <xdr:colOff>419563</xdr:colOff>
      <xdr:row>84</xdr:row>
      <xdr:rowOff>134471</xdr:rowOff>
    </xdr:from>
    <xdr:to>
      <xdr:col>7</xdr:col>
      <xdr:colOff>412712</xdr:colOff>
      <xdr:row>92</xdr:row>
      <xdr:rowOff>142544</xdr:rowOff>
    </xdr:to>
    <xdr:sp macro="" textlink="">
      <xdr:nvSpPr>
        <xdr:cNvPr id="30" name="TextBox 44">
          <a:extLst>
            <a:ext uri="{FF2B5EF4-FFF2-40B4-BE49-F238E27FC236}">
              <a16:creationId xmlns:a16="http://schemas.microsoft.com/office/drawing/2014/main" id="{9FD33167-FA6A-4566-BE4C-227B8427DE7B}"/>
            </a:ext>
          </a:extLst>
        </xdr:cNvPr>
        <xdr:cNvSpPr txBox="1"/>
      </xdr:nvSpPr>
      <xdr:spPr>
        <a:xfrm>
          <a:off x="2934163" y="17546171"/>
          <a:ext cx="2431549" cy="17320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Extract from Ultimate Bearing Capacity of Strip Footing</a:t>
          </a:r>
          <a:r>
            <a:rPr lang="en-US" sz="1600" baseline="0"/>
            <a:t> on Multi-layered Clayey Soils which refers to Meyerhof and Hanna 1974 general method.</a:t>
          </a:r>
        </a:p>
      </xdr:txBody>
    </xdr:sp>
    <xdr:clientData/>
  </xdr:twoCellAnchor>
  <xdr:oneCellAnchor>
    <xdr:from>
      <xdr:col>8</xdr:col>
      <xdr:colOff>149920</xdr:colOff>
      <xdr:row>73</xdr:row>
      <xdr:rowOff>95921</xdr:rowOff>
    </xdr:from>
    <xdr:ext cx="5795458" cy="8061500"/>
    <xdr:pic>
      <xdr:nvPicPr>
        <xdr:cNvPr id="31" name="Picture 45">
          <a:extLst>
            <a:ext uri="{FF2B5EF4-FFF2-40B4-BE49-F238E27FC236}">
              <a16:creationId xmlns:a16="http://schemas.microsoft.com/office/drawing/2014/main" id="{728EAF2C-BF12-4553-89E1-3BDD4372DB31}"/>
            </a:ext>
          </a:extLst>
        </xdr:cNvPr>
        <xdr:cNvPicPr>
          <a:picLocks noChangeAspect="1"/>
        </xdr:cNvPicPr>
      </xdr:nvPicPr>
      <xdr:blipFill>
        <a:blip xmlns:r="http://schemas.openxmlformats.org/officeDocument/2006/relationships" r:embed="rId26"/>
        <a:stretch>
          <a:fillRect/>
        </a:stretch>
      </xdr:blipFill>
      <xdr:spPr>
        <a:xfrm>
          <a:off x="5712520" y="15374021"/>
          <a:ext cx="5795458" cy="8061500"/>
        </a:xfrm>
        <a:prstGeom prst="rect">
          <a:avLst/>
        </a:prstGeom>
      </xdr:spPr>
    </xdr:pic>
    <xdr:clientData/>
  </xdr:oneCellAnchor>
  <xdr:oneCellAnchor>
    <xdr:from>
      <xdr:col>17</xdr:col>
      <xdr:colOff>325428</xdr:colOff>
      <xdr:row>73</xdr:row>
      <xdr:rowOff>97895</xdr:rowOff>
    </xdr:from>
    <xdr:ext cx="5645314" cy="8029438"/>
    <xdr:pic>
      <xdr:nvPicPr>
        <xdr:cNvPr id="32" name="Picture 46">
          <a:extLst>
            <a:ext uri="{FF2B5EF4-FFF2-40B4-BE49-F238E27FC236}">
              <a16:creationId xmlns:a16="http://schemas.microsoft.com/office/drawing/2014/main" id="{8E4ACAF9-25C6-4FCB-953D-61D15C41A456}"/>
            </a:ext>
          </a:extLst>
        </xdr:cNvPr>
        <xdr:cNvPicPr>
          <a:picLocks noChangeAspect="1"/>
        </xdr:cNvPicPr>
      </xdr:nvPicPr>
      <xdr:blipFill>
        <a:blip xmlns:r="http://schemas.openxmlformats.org/officeDocument/2006/relationships" r:embed="rId27"/>
        <a:stretch>
          <a:fillRect/>
        </a:stretch>
      </xdr:blipFill>
      <xdr:spPr>
        <a:xfrm>
          <a:off x="11574453" y="15375995"/>
          <a:ext cx="5645314" cy="8029438"/>
        </a:xfrm>
        <a:prstGeom prst="rect">
          <a:avLst/>
        </a:prstGeom>
      </xdr:spPr>
    </xdr:pic>
    <xdr:clientData/>
  </xdr:oneCellAnchor>
  <xdr:oneCellAnchor>
    <xdr:from>
      <xdr:col>0</xdr:col>
      <xdr:colOff>168462</xdr:colOff>
      <xdr:row>93</xdr:row>
      <xdr:rowOff>123342</xdr:rowOff>
    </xdr:from>
    <xdr:ext cx="4505886" cy="3785679"/>
    <xdr:pic>
      <xdr:nvPicPr>
        <xdr:cNvPr id="33" name="Picture 47">
          <a:extLst>
            <a:ext uri="{FF2B5EF4-FFF2-40B4-BE49-F238E27FC236}">
              <a16:creationId xmlns:a16="http://schemas.microsoft.com/office/drawing/2014/main" id="{53D26A0B-3DE8-410E-AB77-E6E0E1D5671C}"/>
            </a:ext>
          </a:extLst>
        </xdr:cNvPr>
        <xdr:cNvPicPr>
          <a:picLocks noChangeAspect="1"/>
        </xdr:cNvPicPr>
      </xdr:nvPicPr>
      <xdr:blipFill>
        <a:blip xmlns:r="http://schemas.openxmlformats.org/officeDocument/2006/relationships" r:embed="rId28"/>
        <a:stretch>
          <a:fillRect/>
        </a:stretch>
      </xdr:blipFill>
      <xdr:spPr>
        <a:xfrm>
          <a:off x="168462" y="19449567"/>
          <a:ext cx="4505886" cy="3785679"/>
        </a:xfrm>
        <a:prstGeom prst="rect">
          <a:avLst/>
        </a:prstGeom>
      </xdr:spPr>
    </xdr:pic>
    <xdr:clientData/>
  </xdr:oneCellAnchor>
  <xdr:oneCellAnchor>
    <xdr:from>
      <xdr:col>0</xdr:col>
      <xdr:colOff>36195</xdr:colOff>
      <xdr:row>136</xdr:row>
      <xdr:rowOff>38100</xdr:rowOff>
    </xdr:from>
    <xdr:ext cx="2946937" cy="592149"/>
    <xdr:pic>
      <xdr:nvPicPr>
        <xdr:cNvPr id="34" name="Picture 33">
          <a:extLst>
            <a:ext uri="{FF2B5EF4-FFF2-40B4-BE49-F238E27FC236}">
              <a16:creationId xmlns:a16="http://schemas.microsoft.com/office/drawing/2014/main" id="{D7236B5A-673F-414C-A9B5-1C393D078230}"/>
            </a:ext>
          </a:extLst>
        </xdr:cNvPr>
        <xdr:cNvPicPr>
          <a:picLocks noChangeAspect="1"/>
        </xdr:cNvPicPr>
      </xdr:nvPicPr>
      <xdr:blipFill>
        <a:blip xmlns:r="http://schemas.openxmlformats.org/officeDocument/2006/relationships" r:embed="rId19"/>
        <a:stretch>
          <a:fillRect/>
        </a:stretch>
      </xdr:blipFill>
      <xdr:spPr>
        <a:xfrm>
          <a:off x="36195" y="27803475"/>
          <a:ext cx="2946937" cy="592149"/>
        </a:xfrm>
        <a:prstGeom prst="rect">
          <a:avLst/>
        </a:prstGeom>
      </xdr:spPr>
    </xdr:pic>
    <xdr:clientData/>
  </xdr:oneCellAnchor>
  <xdr:oneCellAnchor>
    <xdr:from>
      <xdr:col>26</xdr:col>
      <xdr:colOff>600897</xdr:colOff>
      <xdr:row>121</xdr:row>
      <xdr:rowOff>288694</xdr:rowOff>
    </xdr:from>
    <xdr:ext cx="6881819" cy="2380961"/>
    <xdr:pic>
      <xdr:nvPicPr>
        <xdr:cNvPr id="35" name="Picture 34">
          <a:extLst>
            <a:ext uri="{FF2B5EF4-FFF2-40B4-BE49-F238E27FC236}">
              <a16:creationId xmlns:a16="http://schemas.microsoft.com/office/drawing/2014/main" id="{DAEA7B5D-2162-410C-B0E0-B9CBA65820DA}"/>
            </a:ext>
          </a:extLst>
        </xdr:cNvPr>
        <xdr:cNvPicPr>
          <a:picLocks noChangeAspect="1"/>
        </xdr:cNvPicPr>
      </xdr:nvPicPr>
      <xdr:blipFill>
        <a:blip xmlns:r="http://schemas.openxmlformats.org/officeDocument/2006/relationships" r:embed="rId29"/>
        <a:stretch>
          <a:fillRect/>
        </a:stretch>
      </xdr:blipFill>
      <xdr:spPr>
        <a:xfrm>
          <a:off x="17336322" y="24948919"/>
          <a:ext cx="6881819" cy="2380961"/>
        </a:xfrm>
        <a:prstGeom prst="rect">
          <a:avLst/>
        </a:prstGeom>
      </xdr:spPr>
    </xdr:pic>
    <xdr:clientData/>
  </xdr:oneCellAnchor>
  <xdr:oneCellAnchor>
    <xdr:from>
      <xdr:col>26</xdr:col>
      <xdr:colOff>583556</xdr:colOff>
      <xdr:row>135</xdr:row>
      <xdr:rowOff>39140</xdr:rowOff>
    </xdr:from>
    <xdr:ext cx="6684723" cy="1078026"/>
    <xdr:pic>
      <xdr:nvPicPr>
        <xdr:cNvPr id="36" name="Picture 35">
          <a:extLst>
            <a:ext uri="{FF2B5EF4-FFF2-40B4-BE49-F238E27FC236}">
              <a16:creationId xmlns:a16="http://schemas.microsoft.com/office/drawing/2014/main" id="{E426A603-3A0F-4FB1-9FBC-03B877EAAEAE}"/>
            </a:ext>
          </a:extLst>
        </xdr:cNvPr>
        <xdr:cNvPicPr>
          <a:picLocks noChangeAspect="1"/>
        </xdr:cNvPicPr>
      </xdr:nvPicPr>
      <xdr:blipFill rotWithShape="1">
        <a:blip xmlns:r="http://schemas.openxmlformats.org/officeDocument/2006/relationships" r:embed="rId30"/>
        <a:srcRect t="37020"/>
        <a:stretch/>
      </xdr:blipFill>
      <xdr:spPr>
        <a:xfrm>
          <a:off x="17318981" y="27614015"/>
          <a:ext cx="6684723" cy="1078026"/>
        </a:xfrm>
        <a:prstGeom prst="rect">
          <a:avLst/>
        </a:prstGeom>
      </xdr:spPr>
    </xdr:pic>
    <xdr:clientData/>
  </xdr:oneCellAnchor>
  <xdr:oneCellAnchor>
    <xdr:from>
      <xdr:col>26</xdr:col>
      <xdr:colOff>574031</xdr:colOff>
      <xdr:row>141</xdr:row>
      <xdr:rowOff>76200</xdr:rowOff>
    </xdr:from>
    <xdr:ext cx="6883728" cy="209524"/>
    <xdr:pic>
      <xdr:nvPicPr>
        <xdr:cNvPr id="37" name="Picture 36">
          <a:extLst>
            <a:ext uri="{FF2B5EF4-FFF2-40B4-BE49-F238E27FC236}">
              <a16:creationId xmlns:a16="http://schemas.microsoft.com/office/drawing/2014/main" id="{65EDC565-CA8D-4E3F-B682-F773F7250F5A}"/>
            </a:ext>
          </a:extLst>
        </xdr:cNvPr>
        <xdr:cNvPicPr>
          <a:picLocks noChangeAspect="1"/>
        </xdr:cNvPicPr>
      </xdr:nvPicPr>
      <xdr:blipFill>
        <a:blip xmlns:r="http://schemas.openxmlformats.org/officeDocument/2006/relationships" r:embed="rId31"/>
        <a:stretch>
          <a:fillRect/>
        </a:stretch>
      </xdr:blipFill>
      <xdr:spPr>
        <a:xfrm>
          <a:off x="17309456" y="28794075"/>
          <a:ext cx="6883728" cy="209524"/>
        </a:xfrm>
        <a:prstGeom prst="rect">
          <a:avLst/>
        </a:prstGeom>
      </xdr:spPr>
    </xdr:pic>
    <xdr:clientData/>
  </xdr:oneCellAnchor>
  <xdr:oneCellAnchor>
    <xdr:from>
      <xdr:col>26</xdr:col>
      <xdr:colOff>575937</xdr:colOff>
      <xdr:row>142</xdr:row>
      <xdr:rowOff>120559</xdr:rowOff>
    </xdr:from>
    <xdr:ext cx="6883724" cy="601885"/>
    <xdr:pic>
      <xdr:nvPicPr>
        <xdr:cNvPr id="38" name="Picture 37">
          <a:extLst>
            <a:ext uri="{FF2B5EF4-FFF2-40B4-BE49-F238E27FC236}">
              <a16:creationId xmlns:a16="http://schemas.microsoft.com/office/drawing/2014/main" id="{B224F06B-A70F-44F9-8223-6D3A8FEBB6AF}"/>
            </a:ext>
          </a:extLst>
        </xdr:cNvPr>
        <xdr:cNvPicPr>
          <a:picLocks noChangeAspect="1"/>
        </xdr:cNvPicPr>
      </xdr:nvPicPr>
      <xdr:blipFill rotWithShape="1">
        <a:blip xmlns:r="http://schemas.openxmlformats.org/officeDocument/2006/relationships" r:embed="rId32"/>
        <a:srcRect t="25004"/>
        <a:stretch/>
      </xdr:blipFill>
      <xdr:spPr>
        <a:xfrm>
          <a:off x="17311362" y="29028934"/>
          <a:ext cx="6883724" cy="601885"/>
        </a:xfrm>
        <a:prstGeom prst="rect">
          <a:avLst/>
        </a:prstGeom>
      </xdr:spPr>
    </xdr:pic>
    <xdr:clientData/>
  </xdr:oneCellAnchor>
  <xdr:oneCellAnchor>
    <xdr:from>
      <xdr:col>26</xdr:col>
      <xdr:colOff>530760</xdr:colOff>
      <xdr:row>146</xdr:row>
      <xdr:rowOff>45176</xdr:rowOff>
    </xdr:from>
    <xdr:ext cx="5676380" cy="331431"/>
    <xdr:pic>
      <xdr:nvPicPr>
        <xdr:cNvPr id="39" name="Picture 38">
          <a:extLst>
            <a:ext uri="{FF2B5EF4-FFF2-40B4-BE49-F238E27FC236}">
              <a16:creationId xmlns:a16="http://schemas.microsoft.com/office/drawing/2014/main" id="{083B7A96-DFCF-49FD-BEA9-16EC588A4A82}"/>
            </a:ext>
          </a:extLst>
        </xdr:cNvPr>
        <xdr:cNvPicPr>
          <a:picLocks noChangeAspect="1"/>
        </xdr:cNvPicPr>
      </xdr:nvPicPr>
      <xdr:blipFill>
        <a:blip xmlns:r="http://schemas.openxmlformats.org/officeDocument/2006/relationships" r:embed="rId33"/>
        <a:stretch>
          <a:fillRect/>
        </a:stretch>
      </xdr:blipFill>
      <xdr:spPr>
        <a:xfrm>
          <a:off x="17266185" y="29715551"/>
          <a:ext cx="5676380" cy="331431"/>
        </a:xfrm>
        <a:prstGeom prst="rect">
          <a:avLst/>
        </a:prstGeom>
      </xdr:spPr>
    </xdr:pic>
    <xdr:clientData/>
  </xdr:oneCellAnchor>
  <xdr:oneCellAnchor>
    <xdr:from>
      <xdr:col>26</xdr:col>
      <xdr:colOff>514977</xdr:colOff>
      <xdr:row>148</xdr:row>
      <xdr:rowOff>48171</xdr:rowOff>
    </xdr:from>
    <xdr:ext cx="5709465" cy="327057"/>
    <xdr:pic>
      <xdr:nvPicPr>
        <xdr:cNvPr id="40" name="Picture 39">
          <a:extLst>
            <a:ext uri="{FF2B5EF4-FFF2-40B4-BE49-F238E27FC236}">
              <a16:creationId xmlns:a16="http://schemas.microsoft.com/office/drawing/2014/main" id="{9855AC31-E469-48A4-A0B5-F8FE7EC6A01C}"/>
            </a:ext>
          </a:extLst>
        </xdr:cNvPr>
        <xdr:cNvPicPr>
          <a:picLocks noChangeAspect="1"/>
        </xdr:cNvPicPr>
      </xdr:nvPicPr>
      <xdr:blipFill>
        <a:blip xmlns:r="http://schemas.openxmlformats.org/officeDocument/2006/relationships" r:embed="rId34"/>
        <a:stretch>
          <a:fillRect/>
        </a:stretch>
      </xdr:blipFill>
      <xdr:spPr>
        <a:xfrm>
          <a:off x="17250402" y="30099546"/>
          <a:ext cx="5709465" cy="327057"/>
        </a:xfrm>
        <a:prstGeom prst="rect">
          <a:avLst/>
        </a:prstGeom>
      </xdr:spPr>
    </xdr:pic>
    <xdr:clientData/>
  </xdr:oneCellAnchor>
  <xdr:oneCellAnchor>
    <xdr:from>
      <xdr:col>10</xdr:col>
      <xdr:colOff>43367</xdr:colOff>
      <xdr:row>135</xdr:row>
      <xdr:rowOff>46728</xdr:rowOff>
    </xdr:from>
    <xdr:ext cx="3274022" cy="884695"/>
    <xdr:pic>
      <xdr:nvPicPr>
        <xdr:cNvPr id="41" name="Picture 40">
          <a:extLst>
            <a:ext uri="{FF2B5EF4-FFF2-40B4-BE49-F238E27FC236}">
              <a16:creationId xmlns:a16="http://schemas.microsoft.com/office/drawing/2014/main" id="{9E9C3A2D-6820-43C8-B127-7CEBFCF64530}"/>
            </a:ext>
          </a:extLst>
        </xdr:cNvPr>
        <xdr:cNvPicPr>
          <a:picLocks noChangeAspect="1"/>
        </xdr:cNvPicPr>
      </xdr:nvPicPr>
      <xdr:blipFill rotWithShape="1">
        <a:blip xmlns:r="http://schemas.openxmlformats.org/officeDocument/2006/relationships" r:embed="rId20"/>
        <a:srcRect t="20900"/>
        <a:stretch/>
      </xdr:blipFill>
      <xdr:spPr>
        <a:xfrm>
          <a:off x="7025192" y="27621603"/>
          <a:ext cx="3274022" cy="884695"/>
        </a:xfrm>
        <a:prstGeom prst="rect">
          <a:avLst/>
        </a:prstGeom>
      </xdr:spPr>
    </xdr:pic>
    <xdr:clientData/>
  </xdr:oneCellAnchor>
  <xdr:oneCellAnchor>
    <xdr:from>
      <xdr:col>10</xdr:col>
      <xdr:colOff>20376</xdr:colOff>
      <xdr:row>125</xdr:row>
      <xdr:rowOff>21038</xdr:rowOff>
    </xdr:from>
    <xdr:ext cx="1259370" cy="360626"/>
    <xdr:pic>
      <xdr:nvPicPr>
        <xdr:cNvPr id="42" name="Picture 41">
          <a:extLst>
            <a:ext uri="{FF2B5EF4-FFF2-40B4-BE49-F238E27FC236}">
              <a16:creationId xmlns:a16="http://schemas.microsoft.com/office/drawing/2014/main" id="{C7BD810E-6758-4A57-B078-826F290795C2}"/>
            </a:ext>
          </a:extLst>
        </xdr:cNvPr>
        <xdr:cNvPicPr>
          <a:picLocks noChangeAspect="1"/>
        </xdr:cNvPicPr>
      </xdr:nvPicPr>
      <xdr:blipFill rotWithShape="1">
        <a:blip xmlns:r="http://schemas.openxmlformats.org/officeDocument/2006/relationships" r:embed="rId21"/>
        <a:srcRect t="25850" b="25508"/>
        <a:stretch/>
      </xdr:blipFill>
      <xdr:spPr>
        <a:xfrm>
          <a:off x="7002201" y="25690913"/>
          <a:ext cx="1259370" cy="360626"/>
        </a:xfrm>
        <a:prstGeom prst="rect">
          <a:avLst/>
        </a:prstGeom>
      </xdr:spPr>
    </xdr:pic>
    <xdr:clientData/>
  </xdr:oneCellAnchor>
  <xdr:oneCellAnchor>
    <xdr:from>
      <xdr:col>15</xdr:col>
      <xdr:colOff>606898</xdr:colOff>
      <xdr:row>125</xdr:row>
      <xdr:rowOff>12094</xdr:rowOff>
    </xdr:from>
    <xdr:ext cx="915110" cy="524324"/>
    <xdr:pic>
      <xdr:nvPicPr>
        <xdr:cNvPr id="43" name="Picture 42">
          <a:extLst>
            <a:ext uri="{FF2B5EF4-FFF2-40B4-BE49-F238E27FC236}">
              <a16:creationId xmlns:a16="http://schemas.microsoft.com/office/drawing/2014/main" id="{75A1DD0E-BD85-478A-9164-BC32CB485DF6}"/>
            </a:ext>
          </a:extLst>
        </xdr:cNvPr>
        <xdr:cNvPicPr>
          <a:picLocks noChangeAspect="1"/>
        </xdr:cNvPicPr>
      </xdr:nvPicPr>
      <xdr:blipFill rotWithShape="1">
        <a:blip xmlns:r="http://schemas.openxmlformats.org/officeDocument/2006/relationships" r:embed="rId22"/>
        <a:srcRect t="-1599"/>
        <a:stretch/>
      </xdr:blipFill>
      <xdr:spPr>
        <a:xfrm>
          <a:off x="10636723" y="25681969"/>
          <a:ext cx="915110" cy="524324"/>
        </a:xfrm>
        <a:prstGeom prst="rect">
          <a:avLst/>
        </a:prstGeom>
      </xdr:spPr>
    </xdr:pic>
    <xdr:clientData/>
  </xdr:oneCellAnchor>
  <xdr:oneCellAnchor>
    <xdr:from>
      <xdr:col>12</xdr:col>
      <xdr:colOff>84732</xdr:colOff>
      <xdr:row>125</xdr:row>
      <xdr:rowOff>16565</xdr:rowOff>
    </xdr:from>
    <xdr:ext cx="2786351" cy="522927"/>
    <xdr:pic>
      <xdr:nvPicPr>
        <xdr:cNvPr id="44" name="Picture 43">
          <a:extLst>
            <a:ext uri="{FF2B5EF4-FFF2-40B4-BE49-F238E27FC236}">
              <a16:creationId xmlns:a16="http://schemas.microsoft.com/office/drawing/2014/main" id="{7858FAB6-3F13-45A4-A5AD-38432103E310}"/>
            </a:ext>
          </a:extLst>
        </xdr:cNvPr>
        <xdr:cNvPicPr>
          <a:picLocks noChangeAspect="1"/>
        </xdr:cNvPicPr>
      </xdr:nvPicPr>
      <xdr:blipFill>
        <a:blip xmlns:r="http://schemas.openxmlformats.org/officeDocument/2006/relationships" r:embed="rId23"/>
        <a:stretch>
          <a:fillRect/>
        </a:stretch>
      </xdr:blipFill>
      <xdr:spPr>
        <a:xfrm>
          <a:off x="8285757" y="25686440"/>
          <a:ext cx="2786351" cy="522927"/>
        </a:xfrm>
        <a:prstGeom prst="rect">
          <a:avLst/>
        </a:prstGeom>
      </xdr:spPr>
    </xdr:pic>
    <xdr:clientData/>
  </xdr:oneCellAnchor>
  <xdr:twoCellAnchor>
    <xdr:from>
      <xdr:col>10</xdr:col>
      <xdr:colOff>111874</xdr:colOff>
      <xdr:row>141</xdr:row>
      <xdr:rowOff>92306</xdr:rowOff>
    </xdr:from>
    <xdr:to>
      <xdr:col>15</xdr:col>
      <xdr:colOff>86911</xdr:colOff>
      <xdr:row>177</xdr:row>
      <xdr:rowOff>37408</xdr:rowOff>
    </xdr:to>
    <xdr:grpSp>
      <xdr:nvGrpSpPr>
        <xdr:cNvPr id="45" name="Group 8">
          <a:extLst>
            <a:ext uri="{FF2B5EF4-FFF2-40B4-BE49-F238E27FC236}">
              <a16:creationId xmlns:a16="http://schemas.microsoft.com/office/drawing/2014/main" id="{FDCC1D27-19EC-4598-BE61-3563CE9E648C}"/>
            </a:ext>
          </a:extLst>
        </xdr:cNvPr>
        <xdr:cNvGrpSpPr>
          <a:grpSpLocks/>
        </xdr:cNvGrpSpPr>
      </xdr:nvGrpSpPr>
      <xdr:grpSpPr bwMode="auto">
        <a:xfrm>
          <a:off x="7093699" y="28810181"/>
          <a:ext cx="3023037" cy="6803102"/>
          <a:chOff x="14166273" y="11170227"/>
          <a:chExt cx="6442364" cy="11637818"/>
        </a:xfrm>
      </xdr:grpSpPr>
      <xdr:pic>
        <xdr:nvPicPr>
          <xdr:cNvPr id="46" name="Picture 24">
            <a:extLst>
              <a:ext uri="{FF2B5EF4-FFF2-40B4-BE49-F238E27FC236}">
                <a16:creationId xmlns:a16="http://schemas.microsoft.com/office/drawing/2014/main" id="{2EC49B55-2BE3-4039-A72F-C35257D65BF4}"/>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l="29930" t="34703" r="29691" b="14052"/>
          <a:stretch>
            <a:fillRect/>
          </a:stretch>
        </xdr:blipFill>
        <xdr:spPr bwMode="auto">
          <a:xfrm>
            <a:off x="14166273" y="17872364"/>
            <a:ext cx="6425045" cy="49356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pic>
        <xdr:nvPicPr>
          <xdr:cNvPr id="47" name="Picture 46">
            <a:extLst>
              <a:ext uri="{FF2B5EF4-FFF2-40B4-BE49-F238E27FC236}">
                <a16:creationId xmlns:a16="http://schemas.microsoft.com/office/drawing/2014/main" id="{BCEFA1C6-F4F6-439A-A34E-4C57C4C25396}"/>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l="30038" t="19598" r="29472" b="10995"/>
          <a:stretch>
            <a:fillRect/>
          </a:stretch>
        </xdr:blipFill>
        <xdr:spPr bwMode="auto">
          <a:xfrm>
            <a:off x="14166273" y="11170227"/>
            <a:ext cx="6442364" cy="66848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grpSp>
    <xdr:clientData/>
  </xdr:twoCellAnchor>
  <xdr:oneCellAnchor>
    <xdr:from>
      <xdr:col>27</xdr:col>
      <xdr:colOff>36634</xdr:colOff>
      <xdr:row>151</xdr:row>
      <xdr:rowOff>58615</xdr:rowOff>
    </xdr:from>
    <xdr:ext cx="5322625" cy="3841863"/>
    <xdr:pic>
      <xdr:nvPicPr>
        <xdr:cNvPr id="48" name="Picture 47">
          <a:extLst>
            <a:ext uri="{FF2B5EF4-FFF2-40B4-BE49-F238E27FC236}">
              <a16:creationId xmlns:a16="http://schemas.microsoft.com/office/drawing/2014/main" id="{C224980A-5A8D-46B6-8923-D80F11AB89AD}"/>
            </a:ext>
          </a:extLst>
        </xdr:cNvPr>
        <xdr:cNvPicPr>
          <a:picLocks noChangeAspect="1"/>
        </xdr:cNvPicPr>
      </xdr:nvPicPr>
      <xdr:blipFill>
        <a:blip xmlns:r="http://schemas.openxmlformats.org/officeDocument/2006/relationships" r:embed="rId35"/>
        <a:stretch>
          <a:fillRect/>
        </a:stretch>
      </xdr:blipFill>
      <xdr:spPr>
        <a:xfrm>
          <a:off x="17381659" y="30681490"/>
          <a:ext cx="5322625" cy="3841863"/>
        </a:xfrm>
        <a:prstGeom prst="rect">
          <a:avLst/>
        </a:prstGeom>
      </xdr:spPr>
    </xdr:pic>
    <xdr:clientData/>
  </xdr:oneCellAnchor>
  <xdr:twoCellAnchor editAs="oneCell">
    <xdr:from>
      <xdr:col>23</xdr:col>
      <xdr:colOff>462915</xdr:colOff>
      <xdr:row>24</xdr:row>
      <xdr:rowOff>39568</xdr:rowOff>
    </xdr:from>
    <xdr:to>
      <xdr:col>36</xdr:col>
      <xdr:colOff>459006</xdr:colOff>
      <xdr:row>38</xdr:row>
      <xdr:rowOff>1330</xdr:rowOff>
    </xdr:to>
    <xdr:pic>
      <xdr:nvPicPr>
        <xdr:cNvPr id="49" name="Picture 48">
          <a:extLst>
            <a:ext uri="{FF2B5EF4-FFF2-40B4-BE49-F238E27FC236}">
              <a16:creationId xmlns:a16="http://schemas.microsoft.com/office/drawing/2014/main" id="{DEC9CBAE-7E0A-4E05-8FDE-5C19A7934541}"/>
            </a:ext>
          </a:extLst>
        </xdr:cNvPr>
        <xdr:cNvPicPr>
          <a:picLocks noChangeAspect="1"/>
        </xdr:cNvPicPr>
      </xdr:nvPicPr>
      <xdr:blipFill>
        <a:blip xmlns:r="http://schemas.openxmlformats.org/officeDocument/2006/relationships" r:embed="rId36"/>
        <a:stretch>
          <a:fillRect/>
        </a:stretch>
      </xdr:blipFill>
      <xdr:spPr>
        <a:xfrm>
          <a:off x="15369540" y="5649793"/>
          <a:ext cx="8616216" cy="2628762"/>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Foo, David" id="{04853C6F-89FA-4145-9837-478952934151}" userId="S::david.foo@aecom.com::98904383-1500-49c2-a13d-7f59c61818ac" providerId="AD"/>
  <person displayName="Gillow, Marla K" id="{65537254-62DA-4F9C-AD5F-44D7C9E4FCF2}" userId="S::Marla.Gillow@aecom.com::4aaafd50-b760-4d95-8081-6eb56207e5bb" providerId="AD"/>
  <person displayName="Brunton, Jack" id="{0FB842C5-3EF0-4375-B91C-DA92FB259BE8}" userId="S::jack.brunton@aecom.com::1c5bc59b-2c15-4c69-bff2-7106240b405b" providerId="AD"/>
  <person displayName="Vowles, Matthew" id="{6CC9769D-4DB7-4662-86E8-027611B7F48D}" userId="S::matthew.vowles@aecom.com::0205c157-7bb6-4ec1-904a-9b2e381f5707" providerId="AD"/>
  <person displayName="Tejada Fernandez, Cesar" id="{41496DC8-2854-40C8-83FE-C09F64FEA232}" userId="S::Cesar.TejadaFernandez@aecom.com::19e4cc53-85e3-4f60-a961-b12be6440c14" providerId="AD"/>
</personList>
</file>

<file path=xl/theme/theme1.xml><?xml version="1.0" encoding="utf-8"?>
<a:theme xmlns:a="http://schemas.openxmlformats.org/drawingml/2006/main" name="Office Theme">
  <a:themeElements>
    <a:clrScheme name="AECOM">
      <a:dk1>
        <a:sysClr val="windowText" lastClr="000000"/>
      </a:dk1>
      <a:lt1>
        <a:sysClr val="window" lastClr="FFFFFF"/>
      </a:lt1>
      <a:dk2>
        <a:srgbClr val="44546A"/>
      </a:dk2>
      <a:lt2>
        <a:srgbClr val="E7E6E6"/>
      </a:lt2>
      <a:accent1>
        <a:srgbClr val="00B5E2"/>
      </a:accent1>
      <a:accent2>
        <a:srgbClr val="F68B1F"/>
      </a:accent2>
      <a:accent3>
        <a:srgbClr val="9E007E"/>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AECOM">
    <a:dk1>
      <a:sysClr val="windowText" lastClr="000000"/>
    </a:dk1>
    <a:lt1>
      <a:sysClr val="window" lastClr="FFFFFF"/>
    </a:lt1>
    <a:dk2>
      <a:srgbClr val="44546A"/>
    </a:dk2>
    <a:lt2>
      <a:srgbClr val="E7E6E6"/>
    </a:lt2>
    <a:accent1>
      <a:srgbClr val="00B5E2"/>
    </a:accent1>
    <a:accent2>
      <a:srgbClr val="F68B1F"/>
    </a:accent2>
    <a:accent3>
      <a:srgbClr val="9E007E"/>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O7" dT="2022-03-10T11:27:17.85" personId="{0FB842C5-3EF0-4375-B91C-DA92FB259BE8}" id="{20065175-F7DD-4897-9E5E-6585FFBC7EF7}">
    <text>Check this</text>
  </threadedComment>
  <threadedComment ref="N9" dT="2022-03-08T14:10:20.78" personId="{0FB842C5-3EF0-4375-B91C-DA92FB259BE8}" id="{F6255A78-A5D5-466D-BEDC-07BF6B352AD0}">
    <text>Check this</text>
  </threadedComment>
  <threadedComment ref="L10" dT="2022-03-08T14:07:21.71" personId="{0FB842C5-3EF0-4375-B91C-DA92FB259BE8}" id="{AEDBC98B-00F4-476A-B709-0869E8F5CDC5}">
    <text>Revise to pick deeper, lighter section</text>
  </threadedComment>
</ThreadedComments>
</file>

<file path=xl/threadedComments/threadedComment2.xml><?xml version="1.0" encoding="utf-8"?>
<ThreadedComments xmlns="http://schemas.microsoft.com/office/spreadsheetml/2018/threadedcomments" xmlns:x="http://schemas.openxmlformats.org/spreadsheetml/2006/main">
  <threadedComment ref="H37" dT="2021-02-02T10:28:35.04" personId="{0FB842C5-3EF0-4375-B91C-DA92FB259BE8}" id="{7477A10A-F3C1-4BC7-B9C0-94DD9B8A266A}">
    <text>(excluding modules B6, B7 and D)</text>
  </threadedComment>
  <threadedComment ref="D51" dT="2021-02-02T10:28:35.04" personId="{0FB842C5-3EF0-4375-B91C-DA92FB259BE8}" id="{401D5466-CD35-40D6-87FC-11EA160A647C}">
    <text>(excluding modules B6, B7 and D)</text>
  </threadedComment>
  <threadedComment ref="E51" dT="2021-02-02T10:28:35.04" personId="{0FB842C5-3EF0-4375-B91C-DA92FB259BE8}" id="{0A8902A6-3122-4684-829B-B9B6394BF3CD}">
    <text>(excluding modules B6, B7 and D)</text>
  </threadedComment>
</ThreadedComments>
</file>

<file path=xl/threadedComments/threadedComment3.xml><?xml version="1.0" encoding="utf-8"?>
<ThreadedComments xmlns="http://schemas.microsoft.com/office/spreadsheetml/2018/threadedcomments" xmlns:x="http://schemas.openxmlformats.org/spreadsheetml/2006/main">
  <threadedComment ref="C9" dT="2021-07-16T14:21:31.40" personId="{0FB842C5-3EF0-4375-B91C-DA92FB259BE8}" id="{B34250BC-48F1-477C-AFED-9ADCCCCE3DFB}">
    <text>Looks up material quantities for RC flat slab upper storey. Variable loads are typically higher at ground floor, so consider factoring up.</text>
  </threadedComment>
</ThreadedComments>
</file>

<file path=xl/threadedComments/threadedComment4.xml><?xml version="1.0" encoding="utf-8"?>
<ThreadedComments xmlns="http://schemas.microsoft.com/office/spreadsheetml/2018/threadedcomments" xmlns:x="http://schemas.openxmlformats.org/spreadsheetml/2006/main">
  <threadedComment ref="C7" dT="2020-11-23T11:49:24.77" personId="{6CC9769D-4DB7-4662-86E8-027611B7F48D}" id="{F0E5064D-9CB0-4024-A8A0-C4DD9AF33582}">
    <text>BS 8004:2015 page 15.</text>
  </threadedComment>
  <threadedComment ref="D7" dT="2020-12-01T15:47:58.52" personId="{65537254-62DA-4F9C-AD5F-44D7C9E4FCF2}" id="{DB97F818-F053-4E8E-86AF-DA8C9AABB7FA}">
    <text>BS 8004:2015 page 14.</text>
  </threadedComment>
  <threadedComment ref="E8" dT="2020-12-04T11:32:14.18" personId="{6CC9769D-4DB7-4662-86E8-027611B7F48D}" id="{1B291A57-2EED-48D8-87EE-7229B39D3BA7}">
    <text>IRSM 1981b</text>
  </threadedComment>
  <threadedComment ref="F15" dT="2020-11-23T12:39:57.03" personId="{6CC9769D-4DB7-4662-86E8-027611B7F48D}" id="{5B626F36-E21F-4FF2-A005-D9C37E3DDB8C}">
    <text>CIRIA C143 Figure 36</text>
  </threadedComment>
  <threadedComment ref="C18" dT="2020-11-23T12:39:07.62" personId="{6CC9769D-4DB7-4662-86E8-027611B7F48D}" id="{394CE9C5-5E87-411C-8B83-D4DF71E56B51}">
    <text>γsat = γw(Gs+ e)/(1+e).
Gs = 2.7
Voids ratio e = 0.35, 0.6 and 0.85 for low, medium and high density chalk respectively. 
γw = 9.81</text>
  </threadedComment>
  <threadedComment ref="D18" dT="2020-11-23T16:00:27.25" personId="{6CC9769D-4DB7-4662-86E8-027611B7F48D}" id="{A301C48C-84E3-4282-B13E-2EAF42C7535B}">
    <text>Taken from CIRIA C574. Table 3.2 page 86.</text>
  </threadedComment>
  <threadedComment ref="H18" dT="2020-11-23T12:16:19.64" personId="{6CC9769D-4DB7-4662-86E8-027611B7F48D}" id="{9BC9F247-C257-4EEA-9E45-6D59B0B4B6C8}">
    <text>CIRIA C574 Page 129</text>
  </threadedComment>
  <threadedComment ref="H18" dT="2020-12-01T16:07:51.38" personId="{65537254-62DA-4F9C-AD5F-44D7C9E4FCF2}" id="{F2CB3A84-2A84-4097-91DE-475186F305DD}" parentId="{9BC9F247-C257-4EEA-9E45-6D59B0B4B6C8}">
    <text>Based on dry densities, Figure 4.17</text>
  </threadedComment>
  <threadedComment ref="I18" dT="2020-11-23T12:16:33.17" personId="{6CC9769D-4DB7-4662-86E8-027611B7F48D}" id="{0E84DA03-0E18-4A13-8603-2215E560DA20}">
    <text>CIRIA C574 Page 129</text>
  </threadedComment>
  <threadedComment ref="I18" dT="2020-12-01T16:08:50.83" personId="{65537254-62DA-4F9C-AD5F-44D7C9E4FCF2}" id="{E1D9482C-EEC3-40DA-89AF-DC1043FF1F12}" parentId="{0E84DA03-0E18-4A13-8603-2215E560DA20}">
    <text>Based on dry densities, Figure 4.17</text>
  </threadedComment>
  <threadedComment ref="C22" dT="2020-11-23T15:59:50.81" personId="{6CC9769D-4DB7-4662-86E8-027611B7F48D}" id="{46086650-E736-49CC-B116-AFD863DC66A4}">
    <text>Values Taken from Here.
https://www.finesoftware.eu/help/geo5/en/unit-weight-of-rocks-01/</text>
  </threadedComment>
  <threadedComment ref="G22" dT="2020-11-23T12:45:33.07" personId="{6CC9769D-4DB7-4662-86E8-027611B7F48D}" id="{8F814107-CF26-4358-92ED-21A3B003D75B}">
    <text>These are from IRSM 1981b</text>
  </threadedComment>
</ThreadedComments>
</file>

<file path=xl/threadedComments/threadedComment5.xml><?xml version="1.0" encoding="utf-8"?>
<ThreadedComments xmlns="http://schemas.microsoft.com/office/spreadsheetml/2018/threadedcomments" xmlns:x="http://schemas.openxmlformats.org/spreadsheetml/2006/main">
  <threadedComment ref="G22" dT="2020-11-24T11:30:32.49" personId="{6CC9769D-4DB7-4662-86E8-027611B7F48D}" id="{5636D68C-F119-404D-AA5A-68C4F4AB2886}">
    <text>Undrained shear strength for clays at top of strata.</text>
  </threadedComment>
  <threadedComment ref="H22" dT="2020-11-24T11:30:48.80" personId="{6CC9769D-4DB7-4662-86E8-027611B7F48D}" id="{CACB3929-F606-4A56-A643-CA7529FEC2C5}">
    <text>Undrained shear strength for clays at bottom of strata.</text>
  </threadedComment>
  <threadedComment ref="I22" dT="2020-11-24T11:31:19.52" personId="{6CC9769D-4DB7-4662-86E8-027611B7F48D}" id="{289BC4DC-63D3-4D6E-A90F-4AEE3EB97249}">
    <text>Adhesion Factor. Could be calulated for different strength ratios?</text>
  </threadedComment>
  <threadedComment ref="J22" dT="2020-11-24T11:33:32.25" personId="{6CC9769D-4DB7-4662-86E8-027611B7F48D}" id="{EAB9C3D4-9021-4235-8F1B-7072C9B3711E}">
    <text>Based on Tomlinson, keep Nc =9 in all cases prolonging piles are deeper than 5 diameters.</text>
  </threadedComment>
  <threadedComment ref="K22" dT="2020-11-24T16:08:52.74" personId="{6CC9769D-4DB7-4662-86E8-027611B7F48D}" id="{3EF4C6A8-F544-400B-AF25-1626C0EE74E4}">
    <text>Nq is calculated as
EXP(PI()*TAN(Phi)*PI()/180))*(TAN((45+Phi/2)*PI()/180))^2</text>
  </threadedComment>
  <threadedComment ref="M22" dT="2020-11-24T13:49:45.50" personId="{6CC9769D-4DB7-4662-86E8-027611B7F48D}" id="{E078F582-64B9-4D8B-8CD5-0555BE517FD1}">
    <text>For Low to Medium Density Chalks, CIRIA 574 reccomends that the shaft friction Tsf should be in relation to the vertical effective stress. 
For bored piles, this is 0.8σv'.
For CFA piles, this is 0.45σv'.</text>
  </threadedComment>
  <threadedComment ref="N22" dT="2020-11-24T13:51:52.24" personId="{6CC9769D-4DB7-4662-86E8-027611B7F48D}" id="{E6C73DFA-5339-48DE-A13F-2E780EC9CB54}">
    <text>For High Density Chalk (i.e. Grade A Chalk), CIRIA recommends another method, where the pile should be treated as a rock socket. Therefore:
Tsf= 0.1qc
for either dry or saturated chalk UCS values.</text>
  </threadedComment>
  <threadedComment ref="O22" dT="2020-11-25T16:22:13.86" personId="{6CC9769D-4DB7-4662-86E8-027611B7F48D}" id="{FB5E4743-83B5-4274-A35D-17A090B7B681}">
    <text>Have used values of qu from shallow foundations (CIRIA 574, Section 7.4)
Should I use different values?</text>
  </threadedComment>
  <threadedComment ref="G35" dT="2020-11-24T11:30:32.49" personId="{6CC9769D-4DB7-4662-86E8-027611B7F48D}" id="{E821B3BF-49FD-4840-ACCE-9E7420996E10}">
    <text>Undrained shear strength for clays at top of strata.</text>
  </threadedComment>
  <threadedComment ref="H35" dT="2020-11-24T11:30:48.80" personId="{6CC9769D-4DB7-4662-86E8-027611B7F48D}" id="{8777D6E0-A1EF-4451-859E-F3A56770A779}">
    <text>Undrained shear strength for clays at bottom of strata.</text>
  </threadedComment>
  <threadedComment ref="I35" dT="2020-11-24T11:31:19.52" personId="{6CC9769D-4DB7-4662-86E8-027611B7F48D}" id="{5CEBB3A5-C149-42E8-B19F-7E409AB3139B}">
    <text>Adhesion Factor. Could be calulated for different strength ratios?</text>
  </threadedComment>
  <threadedComment ref="I35" dT="2020-12-09T12:03:36.75" personId="{6CC9769D-4DB7-4662-86E8-027611B7F48D}" id="{165DA93E-42CF-436A-AB47-49135FE08050}" parentId="{5CEBB3A5-C149-42E8-B19F-7E409AB3139B}">
    <text>Alpha now 1 for weak clays and 0.5 for strong (for driven piles)</text>
  </threadedComment>
  <threadedComment ref="J35" dT="2020-11-24T11:33:32.25" personId="{6CC9769D-4DB7-4662-86E8-027611B7F48D}" id="{D2CEB9EA-4034-4C10-BAD3-ACC261A78897}">
    <text>Based on Tomlinson, keep Nc =9 in all cases prolonging piles are deeper than 5 diameters.</text>
  </threadedComment>
  <threadedComment ref="K35" dT="2020-11-24T16:08:52.74" personId="{6CC9769D-4DB7-4662-86E8-027611B7F48D}" id="{F7F1FBB7-C063-48B7-A6CC-7EC8007F1A74}">
    <text>Nq is calculated as
EXP(PI()*TAN(Phi)*PI()/180))*(TAN((45+Phi/2)*PI()/180))^2</text>
  </threadedComment>
  <threadedComment ref="M35" dT="2020-11-24T13:49:45.50" personId="{6CC9769D-4DB7-4662-86E8-027611B7F48D}" id="{7C7CC969-9142-403D-AD24-0FECB8ADFB0B}">
    <text>For Low to Medium Density Chalks, CIRIA 574 reccomends that the shaft friction Tsf should be in relation to the vertical effective stress. 
For bored piles, this is 0.8σv'.
For CFA piles, this is 0.45σv'.</text>
  </threadedComment>
  <threadedComment ref="N35" dT="2020-11-24T13:51:52.24" personId="{6CC9769D-4DB7-4662-86E8-027611B7F48D}" id="{67E299BE-9661-4256-BA90-09B8A447D8FD}">
    <text>For High Density Chalk (i.e. Grade A Chalk), CIRIA recommends another method, where the pile should be treated as a rock socket. Therefore:
Tsf= 0.1qc
for either dry or saturated chalk UCS values.</text>
  </threadedComment>
  <threadedComment ref="O35" dT="2020-11-25T16:22:13.86" personId="{6CC9769D-4DB7-4662-86E8-027611B7F48D}" id="{F5AB85B7-96F2-443E-B48B-7D78C2F50CA6}">
    <text>Have used values of qu from shallow foundations (CIRIA 574, Section 7.4)
Should I use different values?</text>
  </threadedComment>
  <threadedComment ref="S35" dT="2021-11-17T14:58:14.21" personId="{04853C6F-89FA-4145-9837-478952934151}" id="{D6365EB7-401E-4801-8F81-18595F58B77E}">
    <text>CIRIA C574 recommends design shaft stress of 30kPa for large displacement driven piles in chalk.</text>
  </threadedComment>
  <threadedComment ref="G48" dT="2020-11-24T11:30:32.49" personId="{6CC9769D-4DB7-4662-86E8-027611B7F48D}" id="{D2C6A739-5C2F-4A91-9BF1-E959B95A280E}">
    <text>Undrained shear strength for clays at top of strata.</text>
  </threadedComment>
  <threadedComment ref="H48" dT="2020-11-24T11:30:48.80" personId="{6CC9769D-4DB7-4662-86E8-027611B7F48D}" id="{E4CFB612-E86A-44ED-B6CD-644A41E6F338}">
    <text>Undrained shear strength for clays at bottom of strata.</text>
  </threadedComment>
  <threadedComment ref="I48" dT="2020-11-24T11:31:19.52" personId="{6CC9769D-4DB7-4662-86E8-027611B7F48D}" id="{ED8CF068-87DE-4D50-82D4-3EB242449AA1}">
    <text>Adhesion Factor. Could be calulated for different strength ratios?</text>
  </threadedComment>
  <threadedComment ref="J48" dT="2020-11-24T11:33:32.25" personId="{6CC9769D-4DB7-4662-86E8-027611B7F48D}" id="{B16BE3EF-0F90-48DC-8FAA-1A189943E077}">
    <text>Based on Tomlinson, keep Nc =9 in all cases prolonging piles are deeper than 5 diameters.</text>
  </threadedComment>
  <threadedComment ref="K48" dT="2020-11-24T16:08:52.74" personId="{6CC9769D-4DB7-4662-86E8-027611B7F48D}" id="{AA9B6168-4418-4DAD-9310-0B9243B2378F}">
    <text>Nq is calculated as
EXP(PI()*TAN(Phi)*PI()/180))*(TAN((45+Phi/2)*PI()/180))^2</text>
  </threadedComment>
  <threadedComment ref="M48" dT="2020-11-24T13:49:45.50" personId="{6CC9769D-4DB7-4662-86E8-027611B7F48D}" id="{8B2D5DFC-C70D-41A5-B1B8-B2A7037CA99A}">
    <text>For Low to Medium Density Chalks, CIRIA 574 reccomends that the shaft friction Tsf should be in relation to the vertical effective stress. 
For bored piles, this is 0.8σv'.
For CFA piles, this is 0.45σv'.</text>
  </threadedComment>
  <threadedComment ref="N48" dT="2020-11-24T13:51:52.24" personId="{6CC9769D-4DB7-4662-86E8-027611B7F48D}" id="{C2305327-0E90-4BAE-A19B-DCA99162C7CD}">
    <text>For High Density Chalk (i.e. Grade A Chalk), CIRIA recommends another method, where the pile should be treated as a rock socket. Therefore:
Tsf= 0.1qc
for either dry or saturated chalk UCS values.</text>
  </threadedComment>
  <threadedComment ref="O48" dT="2020-11-25T16:22:13.86" personId="{6CC9769D-4DB7-4662-86E8-027611B7F48D}" id="{00E475A5-1BB2-4131-A768-D54E3C83B2C2}">
    <text>Have used values of qu from shallow foundations (CIRIA 574, Section 7.4)
Should I use different values?</text>
  </threadedComment>
  <threadedComment ref="W68" dT="2021-01-17T16:54:27.63" personId="{41496DC8-2854-40C8-83FE-C09F64FEA232}" id="{AC5E2CA6-2D72-4221-A39A-4F4FCC5DB5A3}">
    <text>limit for cohesive materials?</text>
  </threadedComment>
  <threadedComment ref="S238" dT="2020-11-25T17:27:54.90" personId="{6CC9769D-4DB7-4662-86E8-027611B7F48D}" id="{144B39C9-8A18-4DED-860D-40D6BE7C8F94}">
    <text>This doesn't match other spreadsheet, add columns in</text>
  </threadedComment>
  <threadedComment ref="E335" dT="2021-01-17T17:12:32.94" personId="{41496DC8-2854-40C8-83FE-C09F64FEA232}" id="{66D6308D-A624-47F4-9862-11D5BFE8AD54}">
    <text>center the titles to make them easy to read</text>
  </threadedComment>
  <threadedComment ref="R335" dT="2021-01-17T17:12:32.94" personId="{41496DC8-2854-40C8-83FE-C09F64FEA232}" id="{43DB0CE4-7E44-4744-AEB3-193A6A0F2DA8}">
    <text>center the titles to make them easy to read</text>
  </threadedComment>
  <threadedComment ref="AE335" dT="2021-01-17T17:12:32.94" personId="{41496DC8-2854-40C8-83FE-C09F64FEA232}" id="{2B904A1D-16D3-4F5A-9DD6-4707E2C0EF4F}">
    <text>center the titles to make them easy to read</text>
  </threadedComment>
  <threadedComment ref="AR335" dT="2021-01-17T17:12:32.94" personId="{41496DC8-2854-40C8-83FE-C09F64FEA232}" id="{384F1A4D-4C73-4460-9017-1239AD46ED15}">
    <text>center the titles to make them easy to read</text>
  </threadedComment>
  <threadedComment ref="BE335" dT="2021-01-17T17:12:32.94" personId="{41496DC8-2854-40C8-83FE-C09F64FEA232}" id="{0DAEC798-1567-44BB-ADE9-BBC70AF8903A}">
    <text>center the titles to make them easy to read</text>
  </threadedComment>
  <threadedComment ref="BR335" dT="2021-01-17T17:12:32.94" personId="{41496DC8-2854-40C8-83FE-C09F64FEA232}" id="{8B81973E-9EF1-4CE0-8920-536FEAA5D9B2}">
    <text>center the titles to make them easy to read</text>
  </threadedComment>
  <threadedComment ref="CE335" dT="2021-01-17T17:12:32.94" personId="{41496DC8-2854-40C8-83FE-C09F64FEA232}" id="{7514BF89-9B42-40FB-AB78-8C2F82BEF270}">
    <text>center the titles to make them easy to read</text>
  </threadedComment>
  <threadedComment ref="CR335" dT="2021-01-17T17:12:32.94" personId="{41496DC8-2854-40C8-83FE-C09F64FEA232}" id="{C08FBB99-039E-49C6-B9D9-94E3075B1A64}">
    <text>center the titles to make them easy to read</text>
  </threadedComment>
  <threadedComment ref="DE335" dT="2021-01-17T17:12:32.94" personId="{41496DC8-2854-40C8-83FE-C09F64FEA232}" id="{AF4A68AE-658D-4FCB-9F6C-01F2D148F142}">
    <text>center the titles to make them easy to read</text>
  </threadedComment>
  <threadedComment ref="DR335" dT="2021-01-17T17:12:32.94" personId="{41496DC8-2854-40C8-83FE-C09F64FEA232}" id="{ADBAA1AC-FF74-487E-9069-324CE8972E51}">
    <text>center the titles to make them easy to read</text>
  </threadedComment>
  <threadedComment ref="EE335" dT="2021-01-17T17:12:32.94" personId="{41496DC8-2854-40C8-83FE-C09F64FEA232}" id="{D36E88F1-0068-436B-B972-EF927858811A}">
    <text>center the titles to make them easy to read</text>
  </threadedComment>
  <threadedComment ref="ER335" dT="2021-01-17T17:12:32.94" personId="{41496DC8-2854-40C8-83FE-C09F64FEA232}" id="{7B3BB4D2-CDB5-40E1-A9A6-2D7404381A17}">
    <text>center the titles to make them easy to read</text>
  </threadedComment>
</ThreadedComments>
</file>

<file path=xl/threadedComments/threadedComment6.xml><?xml version="1.0" encoding="utf-8"?>
<ThreadedComments xmlns="http://schemas.microsoft.com/office/spreadsheetml/2018/threadedcomments" xmlns:x="http://schemas.openxmlformats.org/spreadsheetml/2006/main">
  <threadedComment ref="AL14" dT="2021-01-12T13:17:03.62" personId="{0FB842C5-3EF0-4375-B91C-DA92FB259BE8}" id="{B5AD7672-574F-45AE-9185-D67507D1D5F9}">
    <text>Assumes suspended flat slab for all</text>
  </threadedComment>
  <threadedComment ref="W16" dT="2021-01-12T15:41:52.81" personId="{0FB842C5-3EF0-4375-B91C-DA92FB259BE8}" id="{789A1D3A-B71E-4D7F-ADA1-EFEB031E1A06}">
    <text>Issue with load to edge column manually overridden</text>
  </threadedComment>
  <threadedComment ref="AF16" dT="2021-01-12T13:04:33.04" personId="{0FB842C5-3EF0-4375-B91C-DA92FB259BE8}" id="{0851E38D-0590-4C46-BBB6-B570BD73F961}">
    <text>per storey</text>
  </threadedComment>
  <threadedComment ref="AG16" dT="2021-01-12T13:04:43.85" personId="{0FB842C5-3EF0-4375-B91C-DA92FB259BE8}" id="{0D20BDE2-1C5F-4951-93E3-200740C98CA7}">
    <text>per storey</text>
  </threadedComment>
  <threadedComment ref="AK16" dT="2021-01-12T13:08:52.93" personId="{0FB842C5-3EF0-4375-B91C-DA92FB259BE8}" id="{24B12E36-9EDB-48A4-A252-BBA03E54037E}">
    <text>per storey</text>
  </threadedComment>
  <threadedComment ref="AU30" dT="2021-01-19T18:21:22.03" personId="{0FB842C5-3EF0-4375-B91C-DA92FB259BE8}" id="{80200F29-64EC-4474-9CEC-7B233FB37A78}">
    <text>sapnning x</text>
  </threadedComment>
</ThreadedComment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7.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hyperlink" Target="http://mapapps.bgs.ac.uk/geologyofbritain/home.html"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1.bin"/><Relationship Id="rId4" Type="http://schemas.microsoft.com/office/2017/10/relationships/threadedComment" Target="../threadedComments/threadedComment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3.bin"/><Relationship Id="rId4" Type="http://schemas.microsoft.com/office/2017/10/relationships/threadedComment" Target="../threadedComments/threadedComment6.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2F585-61E6-4138-A911-68AFEA8ECCC4}">
  <sheetPr codeName="Sheet4">
    <tabColor theme="6" tint="0.39997558519241921"/>
  </sheetPr>
  <dimension ref="A1:C32"/>
  <sheetViews>
    <sheetView workbookViewId="0">
      <selection sqref="A1:XFD1048576"/>
    </sheetView>
  </sheetViews>
  <sheetFormatPr defaultColWidth="8.7109375" defaultRowHeight="12.75"/>
  <cols>
    <col min="1" max="1" width="9.85546875" style="881" bestFit="1" customWidth="1"/>
    <col min="2" max="2" width="12" style="881" bestFit="1" customWidth="1"/>
    <col min="3" max="3" width="67.85546875" style="882" customWidth="1"/>
    <col min="4" max="16384" width="8.7109375" style="881"/>
  </cols>
  <sheetData>
    <row r="1" spans="1:3" s="880" customFormat="1" ht="13.5" thickBot="1">
      <c r="A1" s="880" t="s">
        <v>0</v>
      </c>
      <c r="B1" s="880" t="s">
        <v>1</v>
      </c>
      <c r="C1" s="880" t="s">
        <v>2</v>
      </c>
    </row>
    <row r="2" spans="1:3" ht="90" thickTop="1">
      <c r="A2" s="881" t="s">
        <v>3</v>
      </c>
      <c r="B2" s="881" t="s">
        <v>4</v>
      </c>
      <c r="C2" s="882" t="s">
        <v>5</v>
      </c>
    </row>
    <row r="3" spans="1:3" ht="38.25">
      <c r="A3" s="881" t="s">
        <v>6</v>
      </c>
      <c r="B3" s="881" t="s">
        <v>7</v>
      </c>
      <c r="C3" s="882" t="s">
        <v>8</v>
      </c>
    </row>
    <row r="4" spans="1:3" ht="76.5">
      <c r="A4" s="881" t="s">
        <v>9</v>
      </c>
      <c r="B4" s="881" t="s">
        <v>7</v>
      </c>
      <c r="C4" s="882" t="s">
        <v>10</v>
      </c>
    </row>
    <row r="5" spans="1:3" ht="25.5">
      <c r="A5" s="881" t="s">
        <v>11</v>
      </c>
      <c r="B5" s="881" t="s">
        <v>7</v>
      </c>
      <c r="C5" s="882" t="s">
        <v>12</v>
      </c>
    </row>
    <row r="6" spans="1:3" ht="258.60000000000002" customHeight="1"/>
    <row r="7" spans="1:3" ht="258.60000000000002" customHeight="1"/>
    <row r="8" spans="1:3" ht="258.60000000000002" customHeight="1"/>
    <row r="9" spans="1:3" ht="258.60000000000002" customHeight="1"/>
    <row r="10" spans="1:3" ht="258.60000000000002" customHeight="1"/>
    <row r="11" spans="1:3" ht="258.60000000000002" customHeight="1"/>
    <row r="12" spans="1:3" ht="258.60000000000002" customHeight="1"/>
    <row r="13" spans="1:3" ht="258.60000000000002" customHeight="1"/>
    <row r="14" spans="1:3" ht="258.60000000000002" customHeight="1"/>
    <row r="15" spans="1:3" ht="258.60000000000002" customHeight="1"/>
    <row r="16" spans="1:3" ht="258.60000000000002" customHeight="1"/>
    <row r="17" ht="258.60000000000002" customHeight="1"/>
    <row r="18" ht="258.60000000000002" customHeight="1"/>
    <row r="19" ht="258.60000000000002" customHeight="1"/>
    <row r="20" ht="258.60000000000002" customHeight="1"/>
    <row r="21" ht="258.60000000000002" customHeight="1"/>
    <row r="22" ht="258.60000000000002" customHeight="1"/>
    <row r="23" ht="258.60000000000002" customHeight="1"/>
    <row r="24" ht="258.60000000000002" customHeight="1"/>
    <row r="25" ht="258.60000000000002" customHeight="1"/>
    <row r="26" ht="258.60000000000002" customHeight="1"/>
    <row r="27" ht="258.60000000000002" customHeight="1"/>
    <row r="28" ht="258.60000000000002" customHeight="1"/>
    <row r="29" ht="258.60000000000002" customHeight="1"/>
    <row r="30" ht="258.60000000000002" customHeight="1"/>
    <row r="31" ht="258.60000000000002" customHeight="1"/>
    <row r="32" ht="258.60000000000002" customHeight="1"/>
  </sheetData>
  <phoneticPr fontId="2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4761B-02A0-4B09-9F7F-0B2E082B0F46}">
  <sheetPr codeName="Sheet2">
    <pageSetUpPr autoPageBreaks="0" fitToPage="1"/>
  </sheetPr>
  <dimension ref="A1:AH95"/>
  <sheetViews>
    <sheetView showGridLines="0" showRowColHeaders="0" zoomScale="55" zoomScaleNormal="55" workbookViewId="0">
      <selection activeCell="J13" sqref="J13"/>
    </sheetView>
  </sheetViews>
  <sheetFormatPr defaultColWidth="0" defaultRowHeight="11.25" zeroHeight="1"/>
  <cols>
    <col min="1" max="1" width="2.5703125" style="69" customWidth="1"/>
    <col min="2" max="2" width="25.28515625" style="69" customWidth="1"/>
    <col min="3" max="3" width="12.7109375" style="69" customWidth="1"/>
    <col min="4" max="4" width="14.140625" style="69" customWidth="1"/>
    <col min="5" max="5" width="22.7109375" style="69" customWidth="1"/>
    <col min="6" max="6" width="27.140625" style="69" customWidth="1"/>
    <col min="7" max="7" width="13.5703125" style="69" customWidth="1"/>
    <col min="8" max="8" width="11.7109375" style="68" customWidth="1"/>
    <col min="9" max="9" width="22.7109375" style="68" customWidth="1"/>
    <col min="10" max="10" width="10.7109375" style="68" customWidth="1"/>
    <col min="11" max="14" width="13.5703125" style="68" customWidth="1"/>
    <col min="15" max="17" width="15.7109375" style="68" customWidth="1"/>
    <col min="18" max="18" width="2.7109375" style="69" customWidth="1"/>
    <col min="19" max="19" width="9.140625" style="69" hidden="1" customWidth="1"/>
    <col min="20" max="20" width="2.5703125" style="69" hidden="1" customWidth="1"/>
    <col min="21" max="22" width="8.42578125" style="69" hidden="1" customWidth="1"/>
    <col min="23" max="23" width="15.42578125" style="69" hidden="1" customWidth="1"/>
    <col min="24" max="25" width="8.42578125" style="69" hidden="1" customWidth="1"/>
    <col min="26" max="28" width="8.5703125" style="69" hidden="1" customWidth="1"/>
    <col min="29" max="29" width="8.5703125" style="70" hidden="1" customWidth="1"/>
    <col min="30" max="30" width="11.5703125" style="70" hidden="1" customWidth="1"/>
    <col min="31" max="31" width="9.5703125" style="69" hidden="1" customWidth="1"/>
    <col min="32" max="32" width="10.5703125" style="69" hidden="1" customWidth="1"/>
    <col min="33" max="33" width="9.42578125" style="69" hidden="1" customWidth="1"/>
    <col min="34" max="34" width="10.42578125" style="69" hidden="1" customWidth="1"/>
    <col min="35" max="16384" width="9.140625" style="69" hidden="1"/>
  </cols>
  <sheetData>
    <row r="1" spans="1:34"/>
    <row r="2" spans="1:34" s="152" customFormat="1" ht="45">
      <c r="A2" s="148"/>
      <c r="B2" s="149" t="s">
        <v>13</v>
      </c>
      <c r="C2" s="150"/>
      <c r="D2" s="150"/>
      <c r="E2" s="150"/>
      <c r="F2" s="132" t="s">
        <v>14</v>
      </c>
      <c r="G2" s="133">
        <f>IF(C13&lt;5,5,MIN(ROUND(C13,0),ROUND(C14,0)))</f>
        <v>6</v>
      </c>
      <c r="H2" s="115" t="s">
        <v>15</v>
      </c>
      <c r="I2" s="151"/>
      <c r="J2" s="151"/>
      <c r="K2" s="151"/>
      <c r="L2" s="151"/>
    </row>
    <row r="3" spans="1:34" s="152" customFormat="1" ht="12" customHeight="1" thickBot="1">
      <c r="A3" s="148"/>
      <c r="B3" s="153"/>
      <c r="C3" s="154"/>
      <c r="D3" s="154"/>
      <c r="E3" s="154"/>
      <c r="F3" s="155" t="s">
        <v>16</v>
      </c>
      <c r="G3" s="155">
        <f>MAX(5,ROUND(C13,0),ROUND(C14,0))</f>
        <v>6</v>
      </c>
      <c r="H3" s="155" t="s">
        <v>15</v>
      </c>
      <c r="I3" s="156"/>
      <c r="J3" s="156"/>
      <c r="K3" s="156"/>
      <c r="L3" s="156"/>
      <c r="M3" s="157"/>
      <c r="N3" s="157"/>
      <c r="O3" s="157"/>
      <c r="P3" s="157"/>
      <c r="Q3" s="157"/>
    </row>
    <row r="4" spans="1:34">
      <c r="H4" s="69"/>
    </row>
    <row r="5" spans="1:34" ht="20.25">
      <c r="B5" s="120" t="s">
        <v>17</v>
      </c>
      <c r="E5" s="120"/>
      <c r="M5" s="120" t="s">
        <v>18</v>
      </c>
      <c r="AB5" s="76"/>
      <c r="AF5" s="77"/>
      <c r="AG5" s="77"/>
      <c r="AH5" s="77"/>
    </row>
    <row r="6" spans="1:34" ht="5.0999999999999996" customHeight="1">
      <c r="E6" s="71"/>
      <c r="AB6" s="76"/>
      <c r="AF6" s="77"/>
      <c r="AG6" s="77"/>
      <c r="AH6" s="77"/>
    </row>
    <row r="7" spans="1:34" ht="15.95" customHeight="1">
      <c r="B7" s="158" t="s">
        <v>19</v>
      </c>
      <c r="E7" s="159" t="s">
        <v>20</v>
      </c>
      <c r="F7" s="125"/>
      <c r="H7" s="74"/>
      <c r="I7" s="158" t="s">
        <v>21</v>
      </c>
      <c r="N7" s="136"/>
      <c r="O7" s="144" t="s">
        <v>22</v>
      </c>
      <c r="P7" s="145" t="s">
        <v>23</v>
      </c>
      <c r="AB7" s="76"/>
      <c r="AF7" s="77"/>
      <c r="AG7" s="77"/>
      <c r="AH7" s="77"/>
    </row>
    <row r="8" spans="1:34" ht="15.95" customHeight="1">
      <c r="B8" s="131" t="s">
        <v>24</v>
      </c>
      <c r="C8" s="1300"/>
      <c r="E8" s="113" t="s">
        <v>25</v>
      </c>
      <c r="F8" s="122" t="s">
        <v>26</v>
      </c>
      <c r="H8" s="116"/>
      <c r="I8" s="113" t="s">
        <v>27</v>
      </c>
      <c r="J8" s="1300" t="s">
        <v>28</v>
      </c>
      <c r="K8" s="110"/>
      <c r="O8" s="113" t="str">
        <f>Database!D17</f>
        <v>RC Flat Slab</v>
      </c>
      <c r="P8" s="118" t="str">
        <f>IF('Material Quantities &amp; Embodied '!A6=0,"Solution unavailable.","Solution available.")</f>
        <v>Solution available.</v>
      </c>
      <c r="AB8" s="76"/>
      <c r="AF8" s="77"/>
      <c r="AG8" s="77"/>
      <c r="AH8" s="77"/>
    </row>
    <row r="9" spans="1:34" ht="15.95" customHeight="1">
      <c r="B9" s="131" t="s">
        <v>29</v>
      </c>
      <c r="C9" s="1300" t="s">
        <v>30</v>
      </c>
      <c r="E9" s="113" t="s">
        <v>31</v>
      </c>
      <c r="F9" s="122" t="s">
        <v>32</v>
      </c>
      <c r="H9" s="160"/>
      <c r="I9" s="113" t="s">
        <v>33</v>
      </c>
      <c r="J9" s="1300">
        <v>1</v>
      </c>
      <c r="K9" s="110" t="s">
        <v>15</v>
      </c>
      <c r="O9" s="113" t="str">
        <f>Database!D18</f>
        <v>PT RC Flat Slab</v>
      </c>
      <c r="P9" s="118" t="str">
        <f>IF('Material Quantities &amp; Embodied '!A38=0,"Solution unavailable.","Solution available.")</f>
        <v>Solution available.</v>
      </c>
      <c r="AB9" s="76"/>
      <c r="AF9" s="77"/>
      <c r="AG9" s="77"/>
      <c r="AH9" s="77"/>
    </row>
    <row r="10" spans="1:34" ht="15.95" customHeight="1">
      <c r="B10" s="131" t="s">
        <v>34</v>
      </c>
      <c r="C10" s="1300" t="s">
        <v>35</v>
      </c>
      <c r="E10" s="113" t="s">
        <v>36</v>
      </c>
      <c r="F10" s="122" t="s">
        <v>37</v>
      </c>
      <c r="G10" s="110"/>
      <c r="H10" s="74"/>
      <c r="I10" s="113" t="s">
        <v>38</v>
      </c>
      <c r="J10" s="1300">
        <v>0</v>
      </c>
      <c r="K10" s="110" t="s">
        <v>39</v>
      </c>
      <c r="O10" s="113" t="str">
        <f>Database!D19</f>
        <v>RC Rib Slab</v>
      </c>
      <c r="P10" s="118" t="str">
        <f>IF('Material Quantities &amp; Embodied '!A70=0,"Solution unavailable.","Solution available.")</f>
        <v>Solution available.</v>
      </c>
      <c r="AB10" s="76"/>
      <c r="AF10" s="77"/>
      <c r="AG10" s="77"/>
      <c r="AH10" s="77"/>
    </row>
    <row r="11" spans="1:34" ht="15.95" customHeight="1">
      <c r="H11" s="74"/>
      <c r="O11" s="113" t="str">
        <f>Database!D20</f>
        <v>Two-way RC Slab</v>
      </c>
      <c r="P11" s="118" t="str">
        <f>IF('Material Quantities &amp; Embodied '!A102=0,"Solution unavailable.","Solution available.")</f>
        <v>Solution available.</v>
      </c>
      <c r="AB11" s="76"/>
      <c r="AF11" s="77"/>
      <c r="AG11" s="77"/>
      <c r="AH11" s="77"/>
    </row>
    <row r="12" spans="1:34" ht="15.95" customHeight="1">
      <c r="B12" s="158" t="s">
        <v>40</v>
      </c>
      <c r="E12" s="158" t="s">
        <v>41</v>
      </c>
      <c r="H12" s="134"/>
      <c r="I12" s="158" t="s">
        <v>42</v>
      </c>
      <c r="K12" s="134"/>
      <c r="O12" s="113" t="str">
        <f>Database!D21</f>
        <v>One-Way Spanning RC</v>
      </c>
      <c r="P12" s="118" t="str">
        <f>IF('Material Quantities &amp; Embodied '!A134=0,"Solution unavailable.","Solution available.")</f>
        <v>Solution available.</v>
      </c>
      <c r="AB12" s="76"/>
      <c r="AF12" s="77"/>
      <c r="AG12" s="77"/>
      <c r="AH12" s="77"/>
    </row>
    <row r="13" spans="1:34" ht="15.95" customHeight="1">
      <c r="B13" s="131" t="s">
        <v>14</v>
      </c>
      <c r="C13" s="1300">
        <v>6</v>
      </c>
      <c r="D13" s="110" t="s">
        <v>15</v>
      </c>
      <c r="E13" s="112"/>
      <c r="F13" s="123" t="s">
        <v>43</v>
      </c>
      <c r="G13" s="220" t="s">
        <v>44</v>
      </c>
      <c r="H13" s="134"/>
      <c r="I13" s="113" t="s">
        <v>45</v>
      </c>
      <c r="J13" s="1300" t="s">
        <v>28</v>
      </c>
      <c r="K13" s="134"/>
      <c r="O13" s="113" t="str">
        <f>Database!D22</f>
        <v>Precast Hollowcore with In-situ RC Beams</v>
      </c>
      <c r="P13" s="118" t="str">
        <f>IF('Material Quantities &amp; Embodied '!A166=0,"Solution unavailable.","Solution available.")</f>
        <v>Solution available.</v>
      </c>
      <c r="AB13" s="76"/>
      <c r="AF13" s="77"/>
      <c r="AG13" s="77"/>
      <c r="AH13" s="77"/>
    </row>
    <row r="14" spans="1:34" s="74" customFormat="1" ht="15.95" customHeight="1">
      <c r="B14" s="131" t="s">
        <v>16</v>
      </c>
      <c r="C14" s="1300">
        <v>6</v>
      </c>
      <c r="D14" s="110" t="s">
        <v>15</v>
      </c>
      <c r="E14" s="113" t="s">
        <v>46</v>
      </c>
      <c r="F14" s="124" t="s">
        <v>2076</v>
      </c>
      <c r="G14" s="124">
        <v>6</v>
      </c>
      <c r="H14" s="117"/>
      <c r="I14" s="113" t="s">
        <v>48</v>
      </c>
      <c r="J14" s="1300">
        <v>5</v>
      </c>
      <c r="K14" s="110" t="s">
        <v>49</v>
      </c>
      <c r="L14" s="88">
        <f>IF(J13="No",0,J14)</f>
        <v>0</v>
      </c>
      <c r="O14" s="113" t="str">
        <f>Database!D23</f>
        <v>Non-Composite Rolled Steel with PCC Planks</v>
      </c>
      <c r="P14" s="118" t="str">
        <f>IF('Material Quantities &amp; Embodied '!A199=0,"Solution unavailable.","Solution available.")</f>
        <v>Solution available.</v>
      </c>
      <c r="Q14" s="110"/>
      <c r="S14" s="91"/>
      <c r="AA14" s="75"/>
      <c r="AB14" s="86"/>
    </row>
    <row r="15" spans="1:34" s="74" customFormat="1" ht="15.95" customHeight="1">
      <c r="A15" s="81"/>
      <c r="B15" s="131" t="s">
        <v>50</v>
      </c>
      <c r="C15" s="1300">
        <v>10</v>
      </c>
      <c r="D15" s="115">
        <f>C13*C15</f>
        <v>60</v>
      </c>
      <c r="E15" s="113" t="s">
        <v>51</v>
      </c>
      <c r="F15" s="124" t="s">
        <v>52</v>
      </c>
      <c r="G15" s="124">
        <v>6</v>
      </c>
      <c r="H15" s="88"/>
      <c r="I15" s="113" t="s">
        <v>53</v>
      </c>
      <c r="J15" s="1300" t="s">
        <v>28</v>
      </c>
      <c r="K15" s="125"/>
      <c r="O15" s="113" t="str">
        <f>Database!D24</f>
        <v>Composite Rolled Steel with Metal Decking</v>
      </c>
      <c r="P15" s="118" t="str">
        <f>IF('Material Quantities &amp; Embodied '!A232=0,"Solution unavailable.","Solution available.")</f>
        <v>Solution available.</v>
      </c>
      <c r="Q15" s="110"/>
      <c r="T15" s="88">
        <f>'Material Quantities &amp; Embodied '!A6</f>
        <v>0.21</v>
      </c>
      <c r="AA15" s="75"/>
      <c r="AB15" s="86"/>
    </row>
    <row r="16" spans="1:34" s="74" customFormat="1" ht="15.95" customHeight="1">
      <c r="A16" s="81"/>
      <c r="B16" s="131" t="s">
        <v>54</v>
      </c>
      <c r="C16" s="1300">
        <v>8</v>
      </c>
      <c r="D16" s="115">
        <f>C16*C14</f>
        <v>48</v>
      </c>
      <c r="E16" s="113" t="s">
        <v>55</v>
      </c>
      <c r="F16" s="124" t="s">
        <v>56</v>
      </c>
      <c r="G16" s="124">
        <v>30</v>
      </c>
      <c r="H16" s="88"/>
      <c r="I16" s="113" t="s">
        <v>57</v>
      </c>
      <c r="J16" s="161">
        <f>IF(J14&lt;=6,600,IF(J14&lt;=7.5,750,IF(J14&lt;=9,900,IF(J14&lt;=10.05,1050,IF(J14&lt;=12,1200,0)))))</f>
        <v>600</v>
      </c>
      <c r="K16" s="121" t="s">
        <v>58</v>
      </c>
      <c r="O16" s="113" t="str">
        <f>Database!D25</f>
        <v>Composite Cell Beams with Metal Decking</v>
      </c>
      <c r="P16" s="118" t="str">
        <f>IF('Material Quantities &amp; Embodied '!A266=0,"Solution unavailable.","Solution available.")</f>
        <v>Solution available.</v>
      </c>
      <c r="Q16" s="110"/>
      <c r="T16" s="88">
        <f>'Material Quantities &amp; Embodied '!A38</f>
        <v>0.2</v>
      </c>
      <c r="AA16" s="75"/>
      <c r="AB16" s="86"/>
    </row>
    <row r="17" spans="1:33" s="74" customFormat="1" ht="15.95" customHeight="1">
      <c r="A17" s="81"/>
      <c r="B17" s="131" t="s">
        <v>59</v>
      </c>
      <c r="C17" s="1300">
        <v>2</v>
      </c>
      <c r="D17" s="110"/>
      <c r="E17" s="113" t="s">
        <v>60</v>
      </c>
      <c r="F17" s="124" t="s">
        <v>2079</v>
      </c>
      <c r="G17" s="124">
        <v>6</v>
      </c>
      <c r="H17" s="88"/>
      <c r="O17" s="113" t="str">
        <f>Database!D26</f>
        <v>Steel Frame with CLT Slabs</v>
      </c>
      <c r="P17" s="118" t="str">
        <f>IF('Material Quantities &amp; Embodied '!A300=0,"Solution unavailable.","Solution available.")</f>
        <v>Solution available.</v>
      </c>
      <c r="Q17" s="110"/>
      <c r="S17" s="137"/>
      <c r="T17" s="88">
        <f>'Material Quantities &amp; Embodied '!A70</f>
        <v>0.3</v>
      </c>
      <c r="AA17" s="75"/>
      <c r="AB17" s="86"/>
      <c r="AF17" s="85"/>
      <c r="AG17" s="85"/>
    </row>
    <row r="18" spans="1:33" s="74" customFormat="1" ht="15.95" customHeight="1">
      <c r="A18" s="81"/>
      <c r="B18" s="131" t="s">
        <v>62</v>
      </c>
      <c r="C18" s="1300">
        <v>3</v>
      </c>
      <c r="D18" s="110" t="s">
        <v>15</v>
      </c>
      <c r="H18" s="88"/>
      <c r="I18" s="158" t="s">
        <v>63</v>
      </c>
      <c r="J18" s="162"/>
      <c r="O18" s="113" t="str">
        <f>Database!D27</f>
        <v>CLT, Glulam and Steel Column Hybrid</v>
      </c>
      <c r="P18" s="143" t="str">
        <f>IF('Material Quantities &amp; Embodied '!A332=0,"Solution unavailable.","Solution available.")</f>
        <v>Solution available.</v>
      </c>
      <c r="Q18" s="110"/>
      <c r="S18" s="81"/>
      <c r="T18" s="88">
        <f>'Material Quantities &amp; Embodied '!A102</f>
        <v>0.27500000000000002</v>
      </c>
      <c r="AA18" s="75"/>
      <c r="AB18" s="86"/>
      <c r="AF18" s="85"/>
      <c r="AG18" s="85"/>
    </row>
    <row r="19" spans="1:33" s="74" customFormat="1" ht="15.95" customHeight="1">
      <c r="B19" s="131" t="s">
        <v>64</v>
      </c>
      <c r="C19" s="116">
        <f>IF(J13="No",C13*C14*C15*C16*C17,C13*C14*C15*C16*(C17+1))</f>
        <v>5760</v>
      </c>
      <c r="D19" s="110" t="s">
        <v>65</v>
      </c>
      <c r="E19" s="113" t="s">
        <v>66</v>
      </c>
      <c r="F19" s="1300">
        <v>5</v>
      </c>
      <c r="G19" s="111" t="s">
        <v>67</v>
      </c>
      <c r="H19" s="88"/>
      <c r="I19" s="113" t="s">
        <v>68</v>
      </c>
      <c r="J19" s="1308" t="s">
        <v>69</v>
      </c>
      <c r="K19" s="1308"/>
      <c r="L19" s="113"/>
      <c r="M19" s="115"/>
      <c r="P19" s="113"/>
      <c r="Q19" s="110"/>
      <c r="S19" s="82"/>
      <c r="T19" s="88">
        <f>'Material Quantities &amp; Embodied '!A134</f>
        <v>0.35</v>
      </c>
      <c r="AA19" s="75"/>
      <c r="AB19" s="86"/>
      <c r="AF19" s="85"/>
      <c r="AG19" s="85"/>
    </row>
    <row r="20" spans="1:33" s="74" customFormat="1" ht="15.95" customHeight="1">
      <c r="E20" s="113" t="s">
        <v>70</v>
      </c>
      <c r="F20" s="1300">
        <v>20</v>
      </c>
      <c r="G20" s="111" t="s">
        <v>49</v>
      </c>
      <c r="H20" s="88"/>
      <c r="I20" s="113" t="s">
        <v>71</v>
      </c>
      <c r="J20" s="142">
        <v>25</v>
      </c>
      <c r="K20" s="110" t="s">
        <v>72</v>
      </c>
      <c r="L20" s="115"/>
      <c r="M20" s="115"/>
      <c r="N20" s="114"/>
      <c r="O20" s="114"/>
      <c r="P20" s="113"/>
      <c r="Q20" s="110"/>
      <c r="S20" s="81"/>
      <c r="T20" s="88">
        <f>'Material Quantities &amp; Embodied '!A166</f>
        <v>0.35</v>
      </c>
      <c r="Z20" s="87"/>
      <c r="AA20" s="75"/>
      <c r="AB20" s="86"/>
      <c r="AF20" s="85"/>
      <c r="AG20" s="85"/>
    </row>
    <row r="21" spans="1:33" s="74" customFormat="1" ht="14.1" customHeight="1" thickBot="1">
      <c r="A21" s="135"/>
      <c r="B21" s="153"/>
      <c r="C21" s="153"/>
      <c r="D21" s="153"/>
      <c r="E21" s="153"/>
      <c r="F21" s="153"/>
      <c r="G21" s="153"/>
      <c r="H21" s="153"/>
      <c r="I21" s="153"/>
      <c r="J21" s="153"/>
      <c r="K21" s="153"/>
      <c r="L21" s="153"/>
      <c r="M21" s="153"/>
      <c r="N21" s="153"/>
      <c r="O21" s="153"/>
      <c r="P21" s="153"/>
      <c r="Q21" s="153"/>
      <c r="R21" s="110"/>
      <c r="S21" s="81"/>
    </row>
    <row r="22" spans="1:33"/>
    <row r="23" spans="1:33" ht="20.100000000000001" customHeight="1">
      <c r="B23" s="120" t="s">
        <v>73</v>
      </c>
      <c r="E23" s="120" t="s">
        <v>74</v>
      </c>
      <c r="J23" s="120" t="s">
        <v>75</v>
      </c>
      <c r="M23" s="69"/>
      <c r="N23" s="69"/>
      <c r="O23" s="69"/>
      <c r="P23" s="69"/>
      <c r="Q23" s="69"/>
      <c r="R23" s="68"/>
      <c r="S23" s="68"/>
      <c r="T23" s="68"/>
    </row>
    <row r="24" spans="1:33" ht="5.0999999999999996" customHeight="1">
      <c r="L24" s="69"/>
      <c r="M24" s="69"/>
      <c r="N24" s="69"/>
      <c r="O24" s="69"/>
      <c r="P24" s="69"/>
      <c r="Q24" s="69"/>
      <c r="R24" s="68"/>
      <c r="S24" s="68"/>
      <c r="T24" s="68"/>
    </row>
    <row r="25" spans="1:33" ht="14.1" customHeight="1">
      <c r="B25" s="158" t="s">
        <v>76</v>
      </c>
      <c r="C25" s="163"/>
      <c r="L25" s="69"/>
      <c r="M25" s="69"/>
      <c r="N25" s="69"/>
      <c r="O25" s="69"/>
      <c r="P25" s="69"/>
      <c r="Q25" s="69"/>
      <c r="R25" s="68"/>
      <c r="S25" s="68"/>
      <c r="T25" s="68"/>
    </row>
    <row r="26" spans="1:33" ht="5.0999999999999996" customHeight="1">
      <c r="B26" s="104"/>
      <c r="C26" s="104"/>
      <c r="L26" s="69"/>
      <c r="M26" s="69"/>
      <c r="N26" s="69"/>
      <c r="O26" s="69"/>
      <c r="P26" s="69"/>
      <c r="Q26" s="69"/>
      <c r="R26" s="68"/>
      <c r="S26" s="68"/>
      <c r="T26" s="68"/>
    </row>
    <row r="27" spans="1:33" ht="15.75" customHeight="1">
      <c r="B27" s="94" t="s">
        <v>77</v>
      </c>
      <c r="C27" s="94"/>
      <c r="L27" s="69"/>
      <c r="M27" s="69"/>
      <c r="N27" s="69"/>
      <c r="O27" s="69"/>
      <c r="P27" s="69"/>
      <c r="Q27" s="69"/>
      <c r="R27" s="68"/>
      <c r="S27" s="68"/>
      <c r="T27" s="68"/>
    </row>
    <row r="28" spans="1:33" ht="23.25" customHeight="1">
      <c r="B28" s="98" t="str">
        <f>IF(C9="Healthcare","To be determined using NHS guidance",VLOOKUP('Benchmark Data'!C2,'Benchmark Data'!B6:E8,4,FALSE)&amp;" kgCO₂e/m² GIA")</f>
        <v>201 kgCO₂e/m² GIA</v>
      </c>
      <c r="L28" s="69"/>
      <c r="M28" s="69"/>
      <c r="N28" s="69"/>
      <c r="O28" s="69"/>
      <c r="P28" s="69"/>
      <c r="Q28" s="69"/>
      <c r="R28" s="68"/>
      <c r="S28" s="68"/>
      <c r="T28" s="68"/>
    </row>
    <row r="29" spans="1:33" ht="8.1" customHeight="1">
      <c r="B29" s="105">
        <f>VLOOKUP('Benchmark Data'!C2,'Benchmark Data'!B6:E8,4)</f>
        <v>168</v>
      </c>
      <c r="L29" s="69"/>
      <c r="M29" s="69"/>
      <c r="N29" s="69"/>
      <c r="O29" s="69"/>
      <c r="P29" s="69"/>
      <c r="Q29" s="69"/>
      <c r="R29" s="68"/>
      <c r="S29" s="68"/>
      <c r="T29" s="68"/>
    </row>
    <row r="30" spans="1:33" s="79" customFormat="1" ht="15.75" customHeight="1">
      <c r="B30" s="94" t="s">
        <v>78</v>
      </c>
      <c r="C30" s="106"/>
      <c r="AC30" s="80"/>
      <c r="AD30" s="80"/>
    </row>
    <row r="31" spans="1:33" ht="26.1" customHeight="1">
      <c r="B31" s="98" t="str">
        <f>IF(C9="Healthcare","TBC",VLOOKUP('Benchmark Data'!C2,'Benchmark Data'!B12:E14,4,FALSE)&amp;" kgCO₂e/m² GIA")</f>
        <v>144 kgCO₂e/m² GIA</v>
      </c>
      <c r="C31" s="94"/>
      <c r="L31" s="69"/>
      <c r="M31" s="69"/>
      <c r="N31" s="69"/>
      <c r="O31" s="69"/>
      <c r="P31" s="69"/>
      <c r="Q31" s="69"/>
      <c r="R31" s="68"/>
      <c r="S31" s="68"/>
    </row>
    <row r="32" spans="1:33" ht="11.1" customHeight="1" thickBot="1">
      <c r="B32" s="127"/>
      <c r="C32" s="127"/>
      <c r="L32" s="69"/>
      <c r="M32" s="69"/>
      <c r="N32" s="69"/>
      <c r="O32" s="69"/>
      <c r="P32" s="69"/>
      <c r="Q32" s="69"/>
      <c r="R32" s="68"/>
      <c r="S32" s="68"/>
    </row>
    <row r="33" spans="2:19" ht="11.1" customHeight="1">
      <c r="C33" s="97"/>
      <c r="L33" s="69"/>
      <c r="M33" s="69"/>
      <c r="N33" s="69"/>
      <c r="O33" s="69"/>
      <c r="P33" s="69"/>
      <c r="Q33" s="69"/>
      <c r="R33" s="68"/>
      <c r="S33" s="68"/>
    </row>
    <row r="34" spans="2:19" ht="20.100000000000001" customHeight="1">
      <c r="B34" s="120" t="s">
        <v>79</v>
      </c>
      <c r="C34" s="94"/>
      <c r="L34" s="69"/>
      <c r="M34" s="69"/>
      <c r="N34" s="69"/>
      <c r="O34" s="69"/>
      <c r="P34" s="69"/>
      <c r="Q34" s="69"/>
      <c r="R34" s="68"/>
      <c r="S34" s="68"/>
    </row>
    <row r="35" spans="2:19" ht="3.95" customHeight="1">
      <c r="B35" s="120"/>
      <c r="C35" s="94"/>
      <c r="L35" s="69"/>
      <c r="M35" s="69"/>
      <c r="N35" s="69"/>
      <c r="O35" s="69"/>
      <c r="P35" s="69"/>
      <c r="Q35" s="69"/>
      <c r="R35" s="68"/>
      <c r="S35" s="68"/>
    </row>
    <row r="36" spans="2:19" ht="14.1" customHeight="1">
      <c r="B36" s="158" t="s">
        <v>80</v>
      </c>
      <c r="C36" s="94"/>
      <c r="M36" s="69"/>
      <c r="N36" s="69"/>
      <c r="O36" s="69"/>
      <c r="P36" s="69"/>
      <c r="Q36" s="69"/>
      <c r="R36" s="68"/>
      <c r="S36" s="68"/>
    </row>
    <row r="37" spans="2:19" ht="25.5" customHeight="1">
      <c r="B37" s="128" t="str">
        <f>ECData!P28</f>
        <v>CLT, Glulam and Steel Column Hybrid</v>
      </c>
      <c r="C37" s="94"/>
      <c r="L37" s="69"/>
      <c r="M37" s="69"/>
      <c r="N37" s="69"/>
      <c r="O37" s="69"/>
      <c r="P37" s="69"/>
      <c r="Q37" s="69"/>
      <c r="R37" s="68"/>
      <c r="S37" s="68"/>
    </row>
    <row r="38" spans="2:19" ht="14.1" customHeight="1">
      <c r="B38" s="158" t="s">
        <v>81</v>
      </c>
      <c r="C38" s="94"/>
      <c r="L38" s="69"/>
      <c r="M38" s="69"/>
      <c r="N38" s="69"/>
      <c r="O38" s="69"/>
      <c r="P38" s="69"/>
      <c r="Q38" s="69"/>
      <c r="R38" s="68"/>
      <c r="S38" s="68"/>
    </row>
    <row r="39" spans="2:19" ht="3.95" customHeight="1">
      <c r="B39" s="94"/>
      <c r="C39" s="94"/>
      <c r="L39" s="69"/>
      <c r="M39" s="69"/>
      <c r="N39" s="69"/>
      <c r="O39" s="69"/>
      <c r="P39" s="69"/>
      <c r="Q39" s="69"/>
      <c r="R39" s="68"/>
      <c r="S39" s="68"/>
    </row>
    <row r="40" spans="2:19" ht="20.45" customHeight="1">
      <c r="B40" s="98" t="str">
        <f>IF(B41&lt;=50,"A++",IF(B41&lt;=100,"A+",IF(B41&lt;=150,"A",IF(B41&lt;=200,"B",IF(B41&lt;=250,"C",IF(B41&lt;=300,"D",IF(B41&lt;=350,"E",IF(B41&lt;=400,"F","G"))))))))</f>
        <v>A</v>
      </c>
      <c r="C40" s="94"/>
      <c r="L40" s="69"/>
      <c r="M40" s="69"/>
      <c r="N40" s="69"/>
      <c r="O40" s="69"/>
      <c r="P40" s="69"/>
      <c r="Q40" s="69"/>
      <c r="R40" s="68"/>
      <c r="S40" s="68"/>
    </row>
    <row r="41" spans="2:19" ht="3.95" customHeight="1">
      <c r="B41" s="107">
        <f>ROUND(ECData!Q28,0)</f>
        <v>122</v>
      </c>
      <c r="C41" s="94"/>
      <c r="L41" s="69"/>
      <c r="M41" s="69"/>
      <c r="N41" s="69"/>
      <c r="O41" s="69"/>
      <c r="P41" s="69"/>
      <c r="Q41" s="69"/>
      <c r="R41" s="68"/>
      <c r="S41" s="68"/>
    </row>
    <row r="42" spans="2:19" ht="14.1" customHeight="1">
      <c r="B42" s="158" t="s">
        <v>76</v>
      </c>
      <c r="C42" s="105"/>
      <c r="L42" s="69"/>
      <c r="M42" s="69"/>
      <c r="N42" s="69"/>
      <c r="O42" s="69"/>
      <c r="P42" s="69"/>
      <c r="Q42" s="69"/>
      <c r="R42" s="68"/>
      <c r="S42" s="68"/>
    </row>
    <row r="43" spans="2:19" ht="25.5" customHeight="1">
      <c r="B43" s="98" t="str">
        <f>ROUND(ECData!Q28,0)&amp;" kgCO₂e/m² GIA"</f>
        <v>122 kgCO₂e/m² GIA</v>
      </c>
      <c r="C43" s="108"/>
      <c r="L43" s="69"/>
      <c r="M43" s="69"/>
      <c r="N43" s="69"/>
      <c r="O43" s="69"/>
      <c r="P43" s="69"/>
      <c r="Q43" s="69"/>
      <c r="R43" s="68"/>
      <c r="S43" s="68"/>
    </row>
    <row r="44" spans="2:19" ht="16.350000000000001" customHeight="1">
      <c r="B44" s="138" t="str">
        <f>"Plus sequestration: "&amp;(VLOOKUP(B37,ECData!B38:E48,4,FALSE)&amp;" kgCO₂e/m²")</f>
        <v>Plus sequestration: -131 kgCO₂e/m²</v>
      </c>
      <c r="C44" s="94"/>
      <c r="L44" s="69"/>
      <c r="M44" s="69"/>
      <c r="N44" s="69"/>
      <c r="O44" s="69"/>
      <c r="P44" s="69"/>
      <c r="Q44" s="69"/>
      <c r="R44" s="68"/>
      <c r="S44" s="68"/>
    </row>
    <row r="45" spans="2:19" ht="5.0999999999999996" customHeight="1">
      <c r="B45" s="109" t="str">
        <f>IF(VLOOKUP(B37,ECData!B38:E48,4,FALSE)=0,"","Sequestration:")</f>
        <v>Sequestration:</v>
      </c>
      <c r="C45" s="94"/>
      <c r="L45" s="69"/>
      <c r="M45" s="69"/>
      <c r="N45" s="69"/>
      <c r="O45" s="69"/>
      <c r="P45" s="69"/>
      <c r="Q45" s="69"/>
      <c r="R45" s="68"/>
      <c r="S45" s="68"/>
    </row>
    <row r="46" spans="2:19" ht="14.1" customHeight="1">
      <c r="B46" s="158" t="s">
        <v>82</v>
      </c>
      <c r="C46" s="94"/>
      <c r="L46" s="69"/>
      <c r="M46" s="69"/>
      <c r="N46" s="69"/>
      <c r="O46" s="69"/>
      <c r="P46" s="69"/>
      <c r="Q46" s="69"/>
      <c r="R46" s="68"/>
      <c r="S46" s="68"/>
    </row>
    <row r="47" spans="2:19" ht="25.5" customHeight="1">
      <c r="B47" s="98" t="str">
        <f>ROUND(VLOOKUP(B37,ECData!B38:D48,3,FALSE),0)&amp;" kgCO₂e/m² GIA"</f>
        <v>135 kgCO₂e/m² GIA</v>
      </c>
      <c r="C47" s="105"/>
      <c r="L47" s="69"/>
      <c r="M47" s="69"/>
      <c r="N47" s="69"/>
      <c r="O47" s="69"/>
      <c r="P47" s="69"/>
      <c r="Q47" s="69"/>
      <c r="R47" s="68"/>
      <c r="S47" s="68"/>
    </row>
    <row r="48" spans="2:19" ht="12" thickBot="1">
      <c r="B48" s="83"/>
      <c r="C48" s="83"/>
      <c r="D48" s="83"/>
      <c r="E48" s="83"/>
      <c r="F48" s="83"/>
      <c r="G48" s="83"/>
      <c r="H48" s="84"/>
      <c r="I48" s="84"/>
      <c r="J48" s="84"/>
      <c r="K48" s="84"/>
      <c r="L48" s="84"/>
      <c r="M48" s="84"/>
      <c r="N48" s="84"/>
      <c r="O48" s="84"/>
      <c r="P48" s="84"/>
      <c r="Q48" s="84"/>
    </row>
    <row r="49" spans="2:31"/>
    <row r="50" spans="2:31" ht="20.25">
      <c r="B50" s="120" t="s">
        <v>83</v>
      </c>
      <c r="H50" s="69"/>
      <c r="R50" s="68"/>
    </row>
    <row r="51" spans="2:31" ht="17.100000000000001" customHeight="1">
      <c r="B51" s="158" t="s">
        <v>84</v>
      </c>
      <c r="H51" s="69"/>
      <c r="N51" s="71" t="s">
        <v>85</v>
      </c>
      <c r="R51" s="68"/>
      <c r="S51" s="68"/>
    </row>
    <row r="52" spans="2:31" ht="17.100000000000001" customHeight="1">
      <c r="B52" s="1309" t="s">
        <v>86</v>
      </c>
      <c r="C52" s="1309"/>
      <c r="D52" s="1309"/>
      <c r="H52" s="69"/>
      <c r="J52" s="164"/>
      <c r="N52" s="164" t="s">
        <v>87</v>
      </c>
      <c r="R52" s="68"/>
      <c r="S52" s="68"/>
    </row>
    <row r="53" spans="2:31" ht="17.100000000000001" customHeight="1">
      <c r="B53" s="165"/>
      <c r="H53" s="69"/>
      <c r="J53" s="164"/>
      <c r="O53" s="164"/>
      <c r="R53" s="68"/>
    </row>
    <row r="54" spans="2:31" ht="17.100000000000001" customHeight="1">
      <c r="B54" s="158" t="s">
        <v>76</v>
      </c>
      <c r="H54" s="69"/>
      <c r="O54" s="1310" cm="1">
        <f t="array" ref="O54">INDEX(ECData!C59:M59,,MATCH(B52,ECData!C58:M58,0))*2513</f>
        <v>2204857.0068993736</v>
      </c>
      <c r="P54" s="1310"/>
      <c r="R54" s="68"/>
    </row>
    <row r="55" spans="2:31" ht="17.100000000000001" customHeight="1">
      <c r="B55" s="98" t="str">
        <f>ROUND(INDEX(ECData!C38:C48,MATCH(B52,ECData!B38:B48,0)),0)&amp;" kgCO₂e/m² GIA"</f>
        <v>152 kgCO₂e/m² GIA</v>
      </c>
      <c r="H55" s="69"/>
      <c r="O55" s="111" t="s">
        <v>88</v>
      </c>
    </row>
    <row r="56" spans="2:31" ht="17.100000000000001" customHeight="1">
      <c r="B56" s="138" t="str">
        <f>"Plus sequestration: "&amp;(VLOOKUP(B52,ECData!B38:E48,4,FALSE)&amp;" kgCO₂e/m²")</f>
        <v>Plus sequestration: 0 kgCO₂e/m²</v>
      </c>
      <c r="D56" s="119"/>
      <c r="H56" s="69"/>
      <c r="Q56" s="166"/>
    </row>
    <row r="57" spans="2:31" s="139" customFormat="1" ht="17.100000000000001" customHeight="1">
      <c r="B57" s="150" t="s">
        <v>89</v>
      </c>
      <c r="I57" s="140"/>
      <c r="J57" s="140"/>
      <c r="K57" s="140"/>
      <c r="L57" s="140"/>
      <c r="M57" s="140"/>
      <c r="N57" s="140"/>
      <c r="O57" s="68"/>
      <c r="P57" s="167"/>
      <c r="Q57" s="167"/>
      <c r="R57" s="168"/>
      <c r="AC57" s="141"/>
      <c r="AD57" s="141"/>
    </row>
    <row r="58" spans="2:31" ht="17.100000000000001" customHeight="1">
      <c r="B58" s="98" t="str">
        <f>" "&amp;ROUND((D70*C19*0.001),0)&amp;" tCO₂e TOTAL"</f>
        <v xml:space="preserve"> 876 tCO₂e TOTAL</v>
      </c>
      <c r="H58" s="69"/>
    </row>
    <row r="59" spans="2:31" ht="17.100000000000001" customHeight="1">
      <c r="H59" s="69"/>
      <c r="O59" s="1310" cm="1">
        <f t="array" ref="O59">INDEX(ECData!C59:M59,,MATCH(B52,ECData!C58:M58,0))*2.3</f>
        <v>2017.9749764697808</v>
      </c>
      <c r="P59" s="1310"/>
      <c r="R59" s="169"/>
      <c r="S59" s="68"/>
      <c r="AC59" s="69"/>
      <c r="AE59" s="70"/>
    </row>
    <row r="60" spans="2:31" ht="17.100000000000001" customHeight="1">
      <c r="B60" s="158" t="s">
        <v>82</v>
      </c>
      <c r="D60" s="97"/>
      <c r="H60" s="69"/>
      <c r="O60" s="111" t="s">
        <v>90</v>
      </c>
      <c r="P60" s="164"/>
      <c r="Q60" s="166"/>
      <c r="R60" s="164"/>
      <c r="S60" s="68"/>
      <c r="AC60" s="69"/>
      <c r="AE60" s="70"/>
    </row>
    <row r="61" spans="2:31" ht="17.100000000000001" customHeight="1">
      <c r="B61" s="128" t="str">
        <f>" "&amp;ROUND(INDEX(ECData!D38:D48,MATCH(B52,ECData!B38:B48,0)),0)&amp;" kgCO₂e/m² GIA"</f>
        <v xml:space="preserve"> 173 kgCO₂e/m² GIA</v>
      </c>
      <c r="H61" s="69"/>
      <c r="S61" s="169"/>
    </row>
    <row r="62" spans="2:31" s="139" customFormat="1" ht="17.100000000000001" customHeight="1">
      <c r="B62" s="150" t="s">
        <v>89</v>
      </c>
      <c r="I62" s="140"/>
      <c r="J62" s="140"/>
      <c r="K62" s="140"/>
      <c r="L62" s="140"/>
      <c r="M62" s="140"/>
      <c r="N62" s="140"/>
      <c r="O62" s="68"/>
      <c r="Q62" s="140"/>
      <c r="AC62" s="141"/>
      <c r="AD62" s="141"/>
    </row>
    <row r="63" spans="2:31" ht="17.100000000000001" customHeight="1">
      <c r="B63" s="128" t="str">
        <f>" "&amp;ROUND(INDEX(ECData!D38:D48,MATCH(B52,ECData!B38:B48,0))*C19*0.001,0)&amp;" tCO₂e"</f>
        <v xml:space="preserve"> 996 tCO₂e</v>
      </c>
      <c r="H63" s="69"/>
      <c r="O63" s="110" t="s">
        <v>91</v>
      </c>
    </row>
    <row r="64" spans="2:31" ht="17.100000000000001" customHeight="1">
      <c r="H64" s="69"/>
      <c r="O64" s="1310" cm="1">
        <f t="array" ref="O64">INDEX(ECData!C59:M59,,MATCH(B52,ECData!C58:M58,0))*16.5</f>
        <v>14476.777005109299</v>
      </c>
      <c r="P64" s="1310"/>
    </row>
    <row r="65" spans="2:18" ht="17.100000000000001" customHeight="1">
      <c r="B65" s="158" t="s">
        <v>77</v>
      </c>
      <c r="D65" s="99"/>
      <c r="E65" s="99"/>
      <c r="H65" s="69"/>
      <c r="O65" s="110" t="s">
        <v>92</v>
      </c>
      <c r="P65" s="169"/>
      <c r="R65" s="68"/>
    </row>
    <row r="66" spans="2:18" ht="17.100000000000001" customHeight="1">
      <c r="B66" s="98" t="str">
        <f>IF(C9="Healthcare","To be determined using NHS guidance",IF(B55&lt;=B28,"Structure meets benchmark","Structure does not meet benchmark"))</f>
        <v>Structure meets benchmark</v>
      </c>
      <c r="D66" s="99"/>
      <c r="E66" s="99"/>
      <c r="H66" s="69"/>
      <c r="P66" s="164"/>
      <c r="R66" s="68"/>
    </row>
    <row r="67" spans="2:18" ht="17.100000000000001" customHeight="1">
      <c r="B67" s="158" t="s">
        <v>78</v>
      </c>
      <c r="D67" s="99"/>
      <c r="E67" s="99"/>
      <c r="H67" s="69"/>
      <c r="R67" s="68"/>
    </row>
    <row r="68" spans="2:18" ht="17.100000000000001" customHeight="1">
      <c r="B68" s="98" t="str">
        <f>IF(C9="Healthcare","TBC",IF(B55&lt;=B31,"Structure meets benchmark","Structure does not meet benchmark"))</f>
        <v>Structure does not meet benchmark</v>
      </c>
      <c r="D68" s="99"/>
      <c r="E68" s="99"/>
      <c r="H68" s="69"/>
    </row>
    <row r="69" spans="2:18" ht="17.100000000000001" customHeight="1">
      <c r="D69" s="99"/>
      <c r="E69" s="99"/>
      <c r="H69" s="69"/>
      <c r="O69" s="1307" cm="1">
        <f t="array" ref="O69">INDEX(ECData!C59:M59,,MATCH(B52,ECData!C58:M58,0))*0.0002</f>
        <v>0.17547608491041575</v>
      </c>
      <c r="P69" s="1307"/>
      <c r="Q69" s="69"/>
    </row>
    <row r="70" spans="2:18" ht="17.100000000000001" customHeight="1">
      <c r="B70" s="158" t="s">
        <v>93</v>
      </c>
      <c r="D70" s="97">
        <f>ROUND(INDEX(ECData!C38:C48,MATCH(B52,ECData!B38:B48,0)),0)</f>
        <v>152</v>
      </c>
      <c r="E70" s="99"/>
      <c r="H70" s="69"/>
      <c r="O70" s="110" t="s">
        <v>94</v>
      </c>
      <c r="Q70" s="69"/>
    </row>
    <row r="71" spans="2:18" ht="17.100000000000001" customHeight="1">
      <c r="B71" s="100" t="str">
        <f>IF(D70&lt;=50,"A++",IF(D70&lt;=100,"A+",IF(D70&lt;=150,"A",IF(D70&lt;=200,"B",IF(D70&lt;=250,"C",IF(D70&lt;=300,"D",IF(D70&lt;=350,"E",IF(D70&lt;=400,"F","G"))))))))</f>
        <v>B</v>
      </c>
      <c r="D71" s="97"/>
      <c r="E71" s="99"/>
      <c r="H71" s="69"/>
      <c r="O71" s="164"/>
      <c r="Q71" s="69"/>
    </row>
    <row r="72" spans="2:18" ht="12" thickBot="1">
      <c r="B72" s="83"/>
      <c r="C72" s="83"/>
      <c r="D72" s="83"/>
      <c r="E72" s="83"/>
      <c r="F72" s="83"/>
      <c r="G72" s="83"/>
      <c r="H72" s="84"/>
      <c r="I72" s="84"/>
      <c r="J72" s="84"/>
      <c r="K72" s="84"/>
      <c r="L72" s="84"/>
      <c r="M72" s="84"/>
      <c r="N72" s="84"/>
      <c r="O72" s="84"/>
      <c r="P72" s="84"/>
      <c r="Q72" s="84"/>
    </row>
    <row r="73" spans="2:18"/>
    <row r="74" spans="2:18" ht="27" customHeight="1">
      <c r="B74" s="129" t="s">
        <v>95</v>
      </c>
    </row>
    <row r="75" spans="2:18" ht="15.95" customHeight="1">
      <c r="B75" s="144"/>
      <c r="C75" s="144" t="s">
        <v>22</v>
      </c>
      <c r="D75" s="147" t="s">
        <v>96</v>
      </c>
    </row>
    <row r="76" spans="2:18" ht="15.95" customHeight="1">
      <c r="C76" s="130" t="str">
        <f>Cost!B485</f>
        <v>RC Flat Slab</v>
      </c>
      <c r="D76" s="146">
        <f>Cost!C485</f>
        <v>2593241.7201452185</v>
      </c>
    </row>
    <row r="77" spans="2:18" ht="15.95" customHeight="1">
      <c r="C77" s="130" t="str">
        <f>Cost!B486</f>
        <v>PT RC Flat Slab</v>
      </c>
      <c r="D77" s="146">
        <f>Cost!C486</f>
        <v>3004265.3497297475</v>
      </c>
    </row>
    <row r="78" spans="2:18" ht="15.95" customHeight="1">
      <c r="C78" s="130" t="str">
        <f>Cost!B487</f>
        <v>RC Rib Slab</v>
      </c>
      <c r="D78" s="146">
        <f>Cost!C487</f>
        <v>2837775.2025899077</v>
      </c>
    </row>
    <row r="79" spans="2:18" ht="15.95" customHeight="1">
      <c r="C79" s="130" t="str">
        <f>Cost!B488</f>
        <v>Two-way RC Slab</v>
      </c>
      <c r="D79" s="146">
        <f>Cost!C488</f>
        <v>2414804.555008627</v>
      </c>
    </row>
    <row r="80" spans="2:18" ht="15.95" customHeight="1">
      <c r="C80" s="130" t="str">
        <f>Cost!B489</f>
        <v>One-Way Spanning RC</v>
      </c>
      <c r="D80" s="146">
        <f>Cost!C489</f>
        <v>2582812.2276871693</v>
      </c>
    </row>
    <row r="81" spans="2:17" ht="15.95" customHeight="1">
      <c r="C81" s="130" t="str">
        <f>Cost!B490</f>
        <v>Precast Hollowcore with In-situ RC Beams</v>
      </c>
      <c r="D81" s="146">
        <f>Cost!C490</f>
        <v>2923703.8953702068</v>
      </c>
    </row>
    <row r="82" spans="2:17" ht="15.95" customHeight="1">
      <c r="C82" s="130" t="str">
        <f>Cost!B491</f>
        <v>Non-Composite Rolled Steel with PCC Planks</v>
      </c>
      <c r="D82" s="146">
        <f>Cost!C491</f>
        <v>3434547.1412358419</v>
      </c>
    </row>
    <row r="83" spans="2:17" ht="15.95" customHeight="1">
      <c r="C83" s="130" t="str">
        <f>Cost!B492</f>
        <v>Composite Rolled Steel with Metal Decking</v>
      </c>
      <c r="D83" s="146">
        <f>Cost!C492</f>
        <v>3280576.3213611897</v>
      </c>
    </row>
    <row r="84" spans="2:17" ht="15.95" customHeight="1">
      <c r="C84" s="130" t="str">
        <f>Cost!B493</f>
        <v>Composite Cell Beams with Metal Decking</v>
      </c>
      <c r="D84" s="146">
        <f>Cost!C493</f>
        <v>4074615.8965339512</v>
      </c>
    </row>
    <row r="85" spans="2:17" ht="15.95" customHeight="1">
      <c r="C85" s="130" t="str">
        <f>Cost!B494</f>
        <v>Steel Frame with CLT Slabs</v>
      </c>
      <c r="D85" s="146">
        <f>Cost!C494</f>
        <v>3302040.3041055738</v>
      </c>
    </row>
    <row r="86" spans="2:17" ht="15.95" customHeight="1">
      <c r="C86" s="130" t="str">
        <f>Cost!B495</f>
        <v>CLT, Glulam and Steel Column Hybrid</v>
      </c>
      <c r="D86" s="146">
        <f>Cost!C495</f>
        <v>3256291.3769341372</v>
      </c>
    </row>
    <row r="87" spans="2:17"/>
    <row r="88" spans="2:17" ht="12.75">
      <c r="B88" s="158" t="s">
        <v>97</v>
      </c>
    </row>
    <row r="89" spans="2:17" ht="18">
      <c r="B89" s="128" t="str">
        <f>INDEX(C76:C86,MATCH(MIN(D76:D86),D76:D86,0))</f>
        <v>Two-way RC Slab</v>
      </c>
    </row>
    <row r="90" spans="2:17"/>
    <row r="91" spans="2:17"/>
    <row r="92" spans="2:17"/>
    <row r="93" spans="2:17"/>
    <row r="94" spans="2:17" ht="12" thickBot="1">
      <c r="B94" s="83"/>
      <c r="C94" s="83"/>
      <c r="D94" s="83"/>
      <c r="E94" s="83"/>
      <c r="F94" s="83"/>
      <c r="G94" s="83"/>
      <c r="H94" s="84"/>
      <c r="I94" s="84"/>
      <c r="J94" s="84"/>
      <c r="K94" s="84"/>
      <c r="L94" s="84"/>
      <c r="M94" s="84"/>
      <c r="N94" s="84"/>
      <c r="O94" s="84"/>
      <c r="P94" s="84"/>
      <c r="Q94" s="84"/>
    </row>
    <row r="95" spans="2:17"/>
  </sheetData>
  <mergeCells count="6">
    <mergeCell ref="O69:P69"/>
    <mergeCell ref="J19:K19"/>
    <mergeCell ref="B52:D52"/>
    <mergeCell ref="O54:P54"/>
    <mergeCell ref="O59:P59"/>
    <mergeCell ref="O64:P64"/>
  </mergeCells>
  <conditionalFormatting sqref="L20:M20">
    <cfRule type="expression" dxfId="25" priority="19">
      <formula>#REF!="Yes"</formula>
    </cfRule>
  </conditionalFormatting>
  <conditionalFormatting sqref="N20:O20">
    <cfRule type="expression" dxfId="24" priority="20">
      <formula>#REF!="Yes"</formula>
    </cfRule>
  </conditionalFormatting>
  <conditionalFormatting sqref="M19">
    <cfRule type="expression" dxfId="23" priority="24">
      <formula>$J$18="Yes"</formula>
    </cfRule>
  </conditionalFormatting>
  <dataValidations count="12">
    <dataValidation type="list" allowBlank="1" showInputMessage="1" showErrorMessage="1" sqref="C9" xr:uid="{99AB33E4-6627-4A48-8D1B-D9C0D218DC02}">
      <formula1>"Office,Residential,Education,Healthcare"</formula1>
    </dataValidation>
    <dataValidation type="list" allowBlank="1" showInputMessage="1" showErrorMessage="1" sqref="J8 J15 J13" xr:uid="{2790D17E-BEC0-4FEE-B662-D15D8A7BF795}">
      <formula1>"Yes,No"</formula1>
    </dataValidation>
    <dataValidation type="list" allowBlank="1" showInputMessage="1" showErrorMessage="1" sqref="G14:G17" xr:uid="{3866E8D1-EEE6-4515-9D1E-530C2783F24F}">
      <formula1>"0,2,4,6,8,10,12,14,16,18,20,22,24,26,28,30,32,34,36,38,40"</formula1>
    </dataValidation>
    <dataValidation type="list" allowBlank="1" showInputMessage="1" showErrorMessage="1" sqref="F8" xr:uid="{7BF251ED-8441-43DB-B099-0F704738213D}">
      <formula1>"Continuous Flight Auger,Bored Cast in Place Concrete,Driven Precast Concrete,All Types"</formula1>
    </dataValidation>
    <dataValidation type="decimal" allowBlank="1" showInputMessage="1" showErrorMessage="1" sqref="C18" xr:uid="{2FC20C45-CA04-4793-B53B-1217D5ACF190}">
      <formula1>2</formula1>
      <formula2>5</formula2>
    </dataValidation>
    <dataValidation type="list" errorTitle="Error" error="Formation Level may not be set if no basement selected." sqref="J14" xr:uid="{94FB58C3-9D3E-43E4-832C-D3D75940EC32}">
      <formula1>"2,3,4,5,6,7,8,9,10"</formula1>
    </dataValidation>
    <dataValidation type="list" allowBlank="1" showInputMessage="1" showErrorMessage="1" sqref="C13" xr:uid="{8B6D492A-5641-4767-8D02-B51D2AD02795}">
      <formula1>"5,6,7,8,9,10,11,12"</formula1>
    </dataValidation>
    <dataValidation type="list" allowBlank="1" showInputMessage="1" showErrorMessage="1" sqref="C14" xr:uid="{BAA303D1-49D9-40E7-8D53-5AC38A4A43F7}">
      <formula1>"5,6,7,8,9,10,11,12,13,14,15,16"</formula1>
    </dataValidation>
    <dataValidation type="list" allowBlank="1" showInputMessage="1" showErrorMessage="1" sqref="B53" xr:uid="{EF416147-E119-466B-8FA9-C552E5DD4922}">
      <formula1>$P$19:$P$20</formula1>
    </dataValidation>
    <dataValidation type="list" allowBlank="1" showInputMessage="1" showErrorMessage="1" sqref="B52:D52" xr:uid="{6F35FBFD-9495-48CB-A6CF-C9CC5C0F8140}">
      <formula1>$O$8:$O$18</formula1>
    </dataValidation>
    <dataValidation type="list" operator="greaterThan" allowBlank="1" showInputMessage="1" showErrorMessage="1" sqref="C15:C16" xr:uid="{3F270255-3F10-404B-9601-B7FFC815B6A8}">
      <formula1>"1,2,3,4,5,6,7,8,9,10,11,12,13,14,15,16,17,18,19,20"</formula1>
    </dataValidation>
    <dataValidation type="list" allowBlank="1" showInputMessage="1" showErrorMessage="1" sqref="F10" xr:uid="{8D9CA081-BA93-4485-9645-9B8FE413B404}">
      <formula1>"Basic Oxygen Furnace,Electric Arc Furnace"</formula1>
    </dataValidation>
  </dataValidations>
  <pageMargins left="0.7" right="0.7" top="0.75" bottom="0.75" header="0.3" footer="0.3"/>
  <pageSetup paperSize="8" scale="52" orientation="landscape" horizontalDpi="300" r:id="rId1"/>
  <drawing r:id="rId2"/>
  <legacyDrawing r:id="rId3"/>
  <extLst>
    <ext xmlns:x14="http://schemas.microsoft.com/office/spreadsheetml/2009/9/main" uri="{CCE6A557-97BC-4b89-ADB6-D9C93CAAB3DF}">
      <x14:dataValidations xmlns:xm="http://schemas.microsoft.com/office/excel/2006/main" count="3">
        <x14:dataValidation type="list" allowBlank="1" showInputMessage="1" showErrorMessage="1" xr:uid="{9AE66333-28E0-4188-B511-840A7A49FCC7}">
          <x14:formula1>
            <xm:f>'Loading Schedule'!$C$5:$C$9</xm:f>
          </x14:formula1>
          <xm:sqref>J19</xm:sqref>
        </x14:dataValidation>
        <x14:dataValidation type="list" allowBlank="1" showInputMessage="1" showErrorMessage="1" xr:uid="{1C48FD45-01E0-4EA2-971E-B9AFD6E1BE46}">
          <x14:formula1>
            <xm:f>'Ground Model Database'!$A$8:$A$21</xm:f>
          </x14:formula1>
          <xm:sqref>F14:F17</xm:sqref>
        </x14:dataValidation>
        <x14:dataValidation type="list" allowBlank="1" showInputMessage="1" showErrorMessage="1" xr:uid="{7714FF84-415B-4801-9519-A0920EF41319}">
          <x14:formula1>
            <xm:f>'Carbon Factors'!$B$5:$B$8</xm:f>
          </x14:formula1>
          <xm:sqref>F9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F9F29-A7F8-4E00-B94F-FFB48525422F}">
  <sheetPr codeName="Sheet15">
    <pageSetUpPr fitToPage="1"/>
  </sheetPr>
  <dimension ref="A1:Q363"/>
  <sheetViews>
    <sheetView showRowColHeaders="0" zoomScaleNormal="100" workbookViewId="0">
      <selection activeCell="D26" sqref="D26"/>
    </sheetView>
  </sheetViews>
  <sheetFormatPr defaultColWidth="0" defaultRowHeight="12" zeroHeight="1"/>
  <cols>
    <col min="1" max="1" width="4.7109375" style="148" customWidth="1"/>
    <col min="2" max="2" width="37.140625" style="150" customWidth="1"/>
    <col min="3" max="3" width="12.5703125" style="150" customWidth="1"/>
    <col min="4" max="4" width="23" style="150" customWidth="1"/>
    <col min="5" max="5" width="13.5703125" style="150" customWidth="1"/>
    <col min="6" max="6" width="40" style="150" customWidth="1"/>
    <col min="7" max="7" width="20.5703125" style="151" customWidth="1"/>
    <col min="8" max="12" width="12.5703125" style="151" customWidth="1"/>
    <col min="13" max="16" width="12.5703125" style="152" customWidth="1"/>
    <col min="17" max="17" width="4.7109375" style="152" customWidth="1"/>
    <col min="18" max="16384" width="9.140625" style="152" hidden="1"/>
  </cols>
  <sheetData>
    <row r="1" spans="1:17"/>
    <row r="2" spans="1:17" ht="34.5">
      <c r="B2" s="170" t="s">
        <v>98</v>
      </c>
    </row>
    <row r="3" spans="1:17" ht="12" customHeight="1" thickBot="1">
      <c r="B3" s="171"/>
      <c r="C3" s="172"/>
      <c r="D3" s="172"/>
      <c r="E3" s="172"/>
      <c r="F3" s="172"/>
      <c r="G3" s="173"/>
      <c r="H3" s="173"/>
      <c r="I3" s="173"/>
      <c r="J3" s="173"/>
      <c r="K3" s="173"/>
      <c r="L3" s="173"/>
      <c r="M3" s="174"/>
      <c r="N3" s="174"/>
      <c r="O3" s="174"/>
      <c r="P3" s="174"/>
    </row>
    <row r="4" spans="1:17">
      <c r="H4" s="1311" t="s">
        <v>99</v>
      </c>
      <c r="I4" s="1311"/>
      <c r="J4" s="1311"/>
      <c r="K4" s="1311"/>
      <c r="L4" s="1311"/>
      <c r="M4" s="1311"/>
      <c r="N4" s="1311"/>
      <c r="O4" s="1311"/>
      <c r="P4" s="1311"/>
    </row>
    <row r="5" spans="1:17" s="177" customFormat="1" ht="12.75" thickBot="1">
      <c r="A5" s="221"/>
      <c r="B5" s="175" t="s">
        <v>22</v>
      </c>
      <c r="C5" s="175" t="s">
        <v>100</v>
      </c>
      <c r="D5" s="175" t="s">
        <v>101</v>
      </c>
      <c r="E5" s="175" t="s">
        <v>102</v>
      </c>
      <c r="F5" s="175" t="s">
        <v>103</v>
      </c>
      <c r="G5" s="72" t="s">
        <v>104</v>
      </c>
      <c r="H5" s="176" t="s">
        <v>105</v>
      </c>
      <c r="I5" s="176" t="s">
        <v>106</v>
      </c>
      <c r="J5" s="176" t="s">
        <v>107</v>
      </c>
      <c r="K5" s="176" t="s">
        <v>108</v>
      </c>
      <c r="L5" s="176" t="s">
        <v>109</v>
      </c>
      <c r="M5" s="176" t="s">
        <v>110</v>
      </c>
      <c r="N5" s="176" t="s">
        <v>111</v>
      </c>
      <c r="O5" s="176" t="s">
        <v>112</v>
      </c>
      <c r="P5" s="176" t="s">
        <v>113</v>
      </c>
    </row>
    <row r="6" spans="1:17">
      <c r="A6" s="148">
        <f>MIN(Pile!N464,Database!E17)</f>
        <v>0.21</v>
      </c>
      <c r="B6" s="150" t="str">
        <f>Database!D17</f>
        <v>RC Flat Slab</v>
      </c>
      <c r="C6" s="150" t="s">
        <v>114</v>
      </c>
      <c r="D6" s="150" t="s">
        <v>115</v>
      </c>
      <c r="E6" s="150" t="s">
        <v>116</v>
      </c>
      <c r="F6" s="150" t="str">
        <f>Summary!F$9</f>
        <v>C32/40 - 25% GGBS</v>
      </c>
      <c r="G6" s="1301">
        <f>IF(A6=0,0,IF(Summary!J8="No",Database!G17*Summary!C$13*Summary!C$14*Summary!C$15*Summary!C$16*Summary!C$17,Database!G17*Summary!C$13*Summary!C$14*Summary!C$15*Summary!C$16*(Summary!C$17-1)))</f>
        <v>2903040</v>
      </c>
      <c r="H6" s="178">
        <f>VLOOKUP($F6,'Carbon Factors'!$B$5:$L$41,2,FALSE)*'Material Quantities &amp; Embodied '!$G6/1000</f>
        <v>348.3648</v>
      </c>
      <c r="I6" s="178">
        <f>VLOOKUP($F6,'Carbon Factors'!$B$5:$L$41,3,FALSE)*'Material Quantities &amp; Embodied '!$G6/1000</f>
        <v>14.5152</v>
      </c>
      <c r="J6" s="178">
        <f>VLOOKUP($F6,'Carbon Factors'!$B$5:$L$41,5,FALSE)*'Material Quantities &amp; Embodied '!$G6/1000</f>
        <v>14.609548800000002</v>
      </c>
      <c r="K6" s="178">
        <f>VLOOKUP($F6,'Carbon Factors'!$B$5:$L$41,6,FALSE)*'Material Quantities &amp; Embodied '!$G6/1000</f>
        <v>37.739519999999999</v>
      </c>
      <c r="L6" s="178">
        <f>VLOOKUP($F6,'Carbon Factors'!$B$5:$L$41,7,FALSE)*'Material Quantities &amp; Embodied '!$G6/1000</f>
        <v>52.349068799999998</v>
      </c>
      <c r="M6" s="178">
        <f>VLOOKUP($F6,'Carbon Factors'!$B$5:$L$41,8,FALSE)*'Material Quantities &amp; Embodied '!$G6/1000</f>
        <v>12.773376000000001</v>
      </c>
      <c r="N6" s="178">
        <f>VLOOKUP($F6,'Carbon Factors'!$B$5:$L$41,9,FALSE)*'Material Quantities &amp; Embodied '!$G6/1000</f>
        <v>384.88714064639998</v>
      </c>
      <c r="O6" s="178">
        <f>VLOOKUP($F6,'Carbon Factors'!$B$5:$L$41,10,FALSE)*'Material Quantities &amp; Embodied '!$G6/1000</f>
        <v>437.23620944639998</v>
      </c>
      <c r="P6" s="178">
        <f>VLOOKUP($F6,'Carbon Factors'!$B$5:$L$41,11,FALSE)*'Material Quantities &amp; Embodied '!$G6/1000</f>
        <v>0</v>
      </c>
      <c r="Q6" s="178"/>
    </row>
    <row r="7" spans="1:17">
      <c r="E7" s="150" t="s">
        <v>117</v>
      </c>
      <c r="F7" s="150" t="s">
        <v>118</v>
      </c>
      <c r="G7" s="1301">
        <f>IF(A6=0,0,IF(Summary!J$8="No",Database!H17*1.5*Summary!C13*Summary!C14*Summary!C15*Summary!C16*Summary!C17,Database!H17*1.5*Summary!C13*Summary!C14*Summary!C15*Summary!C16*(Summary!C17)-1))</f>
        <v>127008</v>
      </c>
      <c r="H7" s="178">
        <f>VLOOKUP($F7,'Carbon Factors'!$B$5:$L$41,2,FALSE)*'Material Quantities &amp; Embodied '!$G7/1000</f>
        <v>96.526080000000007</v>
      </c>
      <c r="I7" s="178">
        <f>VLOOKUP($F7,'Carbon Factors'!$B$5:$L$41,3,FALSE)*'Material Quantities &amp; Embodied '!$G7/1000</f>
        <v>4.0642559999999994</v>
      </c>
      <c r="J7" s="178">
        <f>VLOOKUP($F7,'Carbon Factors'!$B$5:$L$41,5,FALSE)*'Material Quantities &amp; Embodied '!$G7/1000</f>
        <v>0.63916776000000008</v>
      </c>
      <c r="K7" s="178">
        <f>VLOOKUP($F7,'Carbon Factors'!$B$5:$L$41,6,FALSE)*'Material Quantities &amp; Embodied '!$G7/1000</f>
        <v>1.6511039999999999</v>
      </c>
      <c r="L7" s="178">
        <f>VLOOKUP($F7,'Carbon Factors'!$B$5:$L$41,7,FALSE)*'Material Quantities &amp; Embodied '!$G7/1000</f>
        <v>2.29027176</v>
      </c>
      <c r="M7" s="178">
        <f>VLOOKUP($F7,'Carbon Factors'!$B$5:$L$41,8,FALSE)*'Material Quantities &amp; Embodied '!$G7/1000</f>
        <v>44.579808</v>
      </c>
      <c r="N7" s="178">
        <f>VLOOKUP($F7,'Carbon Factors'!$B$5:$L$41,9,FALSE)*'Material Quantities &amp; Embodied '!$G7/1000</f>
        <v>106.04300821128</v>
      </c>
      <c r="O7" s="178">
        <f>VLOOKUP($F7,'Carbon Factors'!$B$5:$L$41,10,FALSE)*'Material Quantities &amp; Embodied '!$G7/1000</f>
        <v>108.33327997128001</v>
      </c>
      <c r="P7" s="178">
        <f>VLOOKUP($F7,'Carbon Factors'!$B$5:$L$41,11,FALSE)*'Material Quantities &amp; Embodied '!$G7/1000</f>
        <v>0</v>
      </c>
    </row>
    <row r="8" spans="1:17">
      <c r="D8" s="150" t="s">
        <v>119</v>
      </c>
      <c r="E8" s="150" t="s">
        <v>116</v>
      </c>
      <c r="F8" s="150" t="str">
        <f>F6</f>
        <v>C32/40 - 25% GGBS</v>
      </c>
      <c r="G8" s="1301">
        <f>IF(A6=0,0,'RC Column'!M60*24*1000/9.81)</f>
        <v>90825.688073394485</v>
      </c>
      <c r="H8" s="178">
        <f>VLOOKUP($F8,'Carbon Factors'!$B$5:$L$41,2,FALSE)*'Material Quantities &amp; Embodied '!$G8/1000</f>
        <v>10.899082568807339</v>
      </c>
      <c r="I8" s="178">
        <f>VLOOKUP($F8,'Carbon Factors'!$B$5:$L$41,3,FALSE)*'Material Quantities &amp; Embodied '!$G8/1000</f>
        <v>0.45412844036697242</v>
      </c>
      <c r="J8" s="178">
        <f>VLOOKUP($F8,'Carbon Factors'!$B$5:$L$41,5,FALSE)*'Material Quantities &amp; Embodied '!$G8/1000</f>
        <v>0.45708027522935779</v>
      </c>
      <c r="K8" s="178">
        <f>VLOOKUP($F8,'Carbon Factors'!$B$5:$L$41,6,FALSE)*'Material Quantities &amp; Embodied '!$G8/1000</f>
        <v>1.1807339449541283</v>
      </c>
      <c r="L8" s="178">
        <f>VLOOKUP($F8,'Carbon Factors'!$B$5:$L$41,7,FALSE)*'Material Quantities &amp; Embodied '!$G8/1000</f>
        <v>1.637814220183486</v>
      </c>
      <c r="M8" s="178">
        <f>VLOOKUP($F8,'Carbon Factors'!$B$5:$L$41,8,FALSE)*'Material Quantities &amp; Embodied '!$G8/1000</f>
        <v>0.39963302752293578</v>
      </c>
      <c r="N8" s="178">
        <f>VLOOKUP($F8,'Carbon Factors'!$B$5:$L$41,9,FALSE)*'Material Quantities &amp; Embodied '!$G8/1000</f>
        <v>12.041735346330274</v>
      </c>
      <c r="O8" s="178">
        <f>VLOOKUP($F8,'Carbon Factors'!$B$5:$L$41,10,FALSE)*'Material Quantities &amp; Embodied '!$G8/1000</f>
        <v>13.67954956651376</v>
      </c>
      <c r="P8" s="178">
        <f>VLOOKUP($F8,'Carbon Factors'!$B$5:$L$41,11,FALSE)*'Material Quantities &amp; Embodied '!$G8/1000</f>
        <v>0</v>
      </c>
    </row>
    <row r="9" spans="1:17">
      <c r="E9" s="150" t="s">
        <v>117</v>
      </c>
      <c r="F9" s="150" t="s">
        <v>118</v>
      </c>
      <c r="G9" s="1301">
        <f>IF(A6=0,0,'RC Column'!N60*1000)</f>
        <v>11657.250000000002</v>
      </c>
      <c r="H9" s="178">
        <f>VLOOKUP($F9,'Carbon Factors'!$B$5:$L$41,2,FALSE)*'Material Quantities &amp; Embodied '!$G9/1000</f>
        <v>8.859510000000002</v>
      </c>
      <c r="I9" s="178">
        <f>VLOOKUP($F9,'Carbon Factors'!$B$5:$L$41,3,FALSE)*'Material Quantities &amp; Embodied '!$G9/1000</f>
        <v>0.37303200000000003</v>
      </c>
      <c r="J9" s="178">
        <f>VLOOKUP($F9,'Carbon Factors'!$B$5:$L$41,5,FALSE)*'Material Quantities &amp; Embodied '!$G9/1000</f>
        <v>5.8665110625000016E-2</v>
      </c>
      <c r="K9" s="178">
        <f>VLOOKUP($F9,'Carbon Factors'!$B$5:$L$41,6,FALSE)*'Material Quantities &amp; Embodied '!$G9/1000</f>
        <v>0.15154424999999999</v>
      </c>
      <c r="L9" s="178">
        <f>VLOOKUP($F9,'Carbon Factors'!$B$5:$L$41,7,FALSE)*'Material Quantities &amp; Embodied '!$G9/1000</f>
        <v>0.21020936062500004</v>
      </c>
      <c r="M9" s="178">
        <f>VLOOKUP($F9,'Carbon Factors'!$B$5:$L$41,8,FALSE)*'Material Quantities &amp; Embodied '!$G9/1000</f>
        <v>4.0916947500000003</v>
      </c>
      <c r="N9" s="178">
        <f>VLOOKUP($F9,'Carbon Factors'!$B$5:$L$41,9,FALSE)*'Material Quantities &amp; Embodied '!$G9/1000</f>
        <v>9.7330078221131267</v>
      </c>
      <c r="O9" s="178">
        <f>VLOOKUP($F9,'Carbon Factors'!$B$5:$L$41,10,FALSE)*'Material Quantities &amp; Embodied '!$G9/1000</f>
        <v>9.9432171827381257</v>
      </c>
      <c r="P9" s="178">
        <f>VLOOKUP($F9,'Carbon Factors'!$B$5:$L$41,11,FALSE)*'Material Quantities &amp; Embodied '!$G9/1000</f>
        <v>0</v>
      </c>
    </row>
    <row r="10" spans="1:17">
      <c r="D10" s="150" t="s">
        <v>120</v>
      </c>
      <c r="E10" s="150" t="s">
        <v>121</v>
      </c>
      <c r="F10" s="150" t="str">
        <f>F8</f>
        <v>C32/40 - 25% GGBS</v>
      </c>
      <c r="G10" s="1301">
        <f>IF(A6=0,0,SUM('Shear Walls'!C84,'Shear Walls'!C118))</f>
        <v>34240.420795107035</v>
      </c>
      <c r="H10" s="178">
        <f>VLOOKUP($F10,'Carbon Factors'!$B$5:$L$41,2,FALSE)*'Material Quantities &amp; Embodied '!$G10/1000</f>
        <v>4.1088504954128435</v>
      </c>
      <c r="I10" s="178">
        <f>VLOOKUP($F10,'Carbon Factors'!$B$5:$L$41,3,FALSE)*'Material Quantities &amp; Embodied '!$G10/1000</f>
        <v>0.17120210397553517</v>
      </c>
      <c r="J10" s="178">
        <f>VLOOKUP($F10,'Carbon Factors'!$B$5:$L$41,5,FALSE)*'Material Quantities &amp; Embodied '!$G10/1000</f>
        <v>0.17231491765137616</v>
      </c>
      <c r="K10" s="178">
        <f>VLOOKUP($F10,'Carbon Factors'!$B$5:$L$41,6,FALSE)*'Material Quantities &amp; Embodied '!$G10/1000</f>
        <v>0.44512547033639144</v>
      </c>
      <c r="L10" s="178">
        <f>VLOOKUP($F10,'Carbon Factors'!$B$5:$L$41,7,FALSE)*'Material Quantities &amp; Embodied '!$G10/1000</f>
        <v>0.61744038798776757</v>
      </c>
      <c r="M10" s="178">
        <f>VLOOKUP($F10,'Carbon Factors'!$B$5:$L$41,8,FALSE)*'Material Quantities &amp; Embodied '!$G10/1000</f>
        <v>0.15065785149847097</v>
      </c>
      <c r="N10" s="178">
        <f>VLOOKUP($F10,'Carbon Factors'!$B$5:$L$41,9,FALSE)*'Material Quantities &amp; Embodied '!$G10/1000</f>
        <v>4.5396197277193151</v>
      </c>
      <c r="O10" s="178">
        <f>VLOOKUP($F10,'Carbon Factors'!$B$5:$L$41,10,FALSE)*'Material Quantities &amp; Embodied '!$G10/1000</f>
        <v>5.1570601157070834</v>
      </c>
      <c r="P10" s="178">
        <f>VLOOKUP($F10,'Carbon Factors'!$B$5:$L$41,11,FALSE)*'Material Quantities &amp; Embodied '!$G10/1000</f>
        <v>0</v>
      </c>
    </row>
    <row r="11" spans="1:17">
      <c r="E11" s="150" t="s">
        <v>117</v>
      </c>
      <c r="F11" s="150" t="s">
        <v>118</v>
      </c>
      <c r="G11" s="1301">
        <f>IF(A6=0,0,SUM('Shear Walls'!C85,'Shear Walls'!C119))</f>
        <v>1210.6126949657501</v>
      </c>
      <c r="H11" s="178">
        <f>VLOOKUP($F11,'Carbon Factors'!$B$5:$L$41,2,FALSE)*'Material Quantities &amp; Embodied '!$G11/1000</f>
        <v>0.92006564817397007</v>
      </c>
      <c r="I11" s="178">
        <f>VLOOKUP($F11,'Carbon Factors'!$B$5:$L$41,3,FALSE)*'Material Quantities &amp; Embodied '!$G11/1000</f>
        <v>3.8739606238904004E-2</v>
      </c>
      <c r="J11" s="178">
        <f>VLOOKUP($F11,'Carbon Factors'!$B$5:$L$41,5,FALSE)*'Material Quantities &amp; Embodied '!$G11/1000</f>
        <v>6.0924083874151378E-3</v>
      </c>
      <c r="K11" s="178">
        <f>VLOOKUP($F11,'Carbon Factors'!$B$5:$L$41,6,FALSE)*'Material Quantities &amp; Embodied '!$G11/1000</f>
        <v>1.5737965034554748E-2</v>
      </c>
      <c r="L11" s="178">
        <f>VLOOKUP($F11,'Carbon Factors'!$B$5:$L$41,7,FALSE)*'Material Quantities &amp; Embodied '!$G11/1000</f>
        <v>2.183037342196989E-2</v>
      </c>
      <c r="M11" s="178">
        <f>VLOOKUP($F11,'Carbon Factors'!$B$5:$L$41,8,FALSE)*'Material Quantities &amp; Embodied '!$G11/1000</f>
        <v>0.42492505593297825</v>
      </c>
      <c r="N11" s="178">
        <f>VLOOKUP($F11,'Carbon Factors'!$B$5:$L$41,9,FALSE)*'Material Quantities &amp; Embodied '!$G11/1000</f>
        <v>1.0107789426881209</v>
      </c>
      <c r="O11" s="178">
        <f>VLOOKUP($F11,'Carbon Factors'!$B$5:$L$41,10,FALSE)*'Material Quantities &amp; Embodied '!$G11/1000</f>
        <v>1.0326093161100907</v>
      </c>
      <c r="P11" s="178">
        <f>VLOOKUP($F11,'Carbon Factors'!$B$5:$L$41,11,FALSE)*'Material Quantities &amp; Embodied '!$G11/1000</f>
        <v>0</v>
      </c>
    </row>
    <row r="12" spans="1:17">
      <c r="D12" s="150" t="s">
        <v>122</v>
      </c>
      <c r="E12" s="150" t="s">
        <v>116</v>
      </c>
      <c r="F12" s="150" t="str">
        <f>Summary!F$9</f>
        <v>C32/40 - 25% GGBS</v>
      </c>
      <c r="G12" s="1301">
        <f>IF(A6=0,0,IF(Summary!J$8="Yes",Summary!C$13*Summary!C$14*Summary!C$15*Summary!C$16*Summary!J$9*24*1000/9.81,0))</f>
        <v>0</v>
      </c>
      <c r="H12" s="178">
        <f>VLOOKUP($F12,'Carbon Factors'!$B$5:$L$41,2,FALSE)*'Material Quantities &amp; Embodied '!$G12/1000</f>
        <v>0</v>
      </c>
      <c r="I12" s="178">
        <f>VLOOKUP($F12,'Carbon Factors'!$B$5:$L$41,3,FALSE)*'Material Quantities &amp; Embodied '!$G12/1000</f>
        <v>0</v>
      </c>
      <c r="J12" s="178">
        <f>VLOOKUP($F12,'Carbon Factors'!$B$5:$L$41,5,FALSE)*'Material Quantities &amp; Embodied '!$G12/1000</f>
        <v>0</v>
      </c>
      <c r="K12" s="178">
        <f>VLOOKUP($F12,'Carbon Factors'!$B$5:$L$41,6,FALSE)*'Material Quantities &amp; Embodied '!$G12/1000</f>
        <v>0</v>
      </c>
      <c r="L12" s="178">
        <f>VLOOKUP($F12,'Carbon Factors'!$B$5:$L$41,7,FALSE)*'Material Quantities &amp; Embodied '!$G12/1000</f>
        <v>0</v>
      </c>
      <c r="M12" s="178">
        <f>VLOOKUP($F12,'Carbon Factors'!$B$5:$L$41,8,FALSE)*'Material Quantities &amp; Embodied '!$G12/1000</f>
        <v>0</v>
      </c>
      <c r="N12" s="178">
        <f>VLOOKUP($F12,'Carbon Factors'!$B$5:$L$41,9,FALSE)*'Material Quantities &amp; Embodied '!$G12/1000</f>
        <v>0</v>
      </c>
      <c r="O12" s="178">
        <f>VLOOKUP($F12,'Carbon Factors'!$B$5:$L$41,10,FALSE)*'Material Quantities &amp; Embodied '!$G12/1000</f>
        <v>0</v>
      </c>
      <c r="P12" s="178">
        <f>VLOOKUP($F12,'Carbon Factors'!$B$5:$L$41,11,FALSE)*'Material Quantities &amp; Embodied '!$G12/1000</f>
        <v>0</v>
      </c>
    </row>
    <row r="13" spans="1:17">
      <c r="C13" s="179"/>
      <c r="D13" s="179"/>
      <c r="E13" s="179" t="s">
        <v>117</v>
      </c>
      <c r="F13" s="179" t="s">
        <v>118</v>
      </c>
      <c r="G13" s="1302">
        <f>IF(A6=0,0,IF(Summary!J$8="Yes",Summary!C$13*Summary!C$14*Summary!C$15*Summary!C$16*Summary!J$9*Summary!J$10,0))</f>
        <v>0</v>
      </c>
      <c r="H13" s="181">
        <f>VLOOKUP($F13,'Carbon Factors'!$B$5:$L$41,2,FALSE)*'Material Quantities &amp; Embodied '!$G13/1000</f>
        <v>0</v>
      </c>
      <c r="I13" s="181">
        <f>VLOOKUP($F13,'Carbon Factors'!$B$5:$L$41,3,FALSE)*'Material Quantities &amp; Embodied '!$G13/1000</f>
        <v>0</v>
      </c>
      <c r="J13" s="181">
        <f>VLOOKUP($F13,'Carbon Factors'!$B$5:$L$41,5,FALSE)*'Material Quantities &amp; Embodied '!$G13/1000</f>
        <v>0</v>
      </c>
      <c r="K13" s="181">
        <f>VLOOKUP($F13,'Carbon Factors'!$B$5:$L$41,6,FALSE)*'Material Quantities &amp; Embodied '!$G13/1000</f>
        <v>0</v>
      </c>
      <c r="L13" s="181">
        <f>VLOOKUP($F13,'Carbon Factors'!$B$5:$L$41,7,FALSE)*'Material Quantities &amp; Embodied '!$G13/1000</f>
        <v>0</v>
      </c>
      <c r="M13" s="181">
        <f>VLOOKUP($F13,'Carbon Factors'!$B$5:$L$41,8,FALSE)*'Material Quantities &amp; Embodied '!$G13/1000</f>
        <v>0</v>
      </c>
      <c r="N13" s="181">
        <f>VLOOKUP($F13,'Carbon Factors'!$B$5:$L$41,9,FALSE)*'Material Quantities &amp; Embodied '!$G13/1000</f>
        <v>0</v>
      </c>
      <c r="O13" s="181">
        <f>VLOOKUP($F13,'Carbon Factors'!$B$5:$L$41,10,FALSE)*'Material Quantities &amp; Embodied '!$G13/1000</f>
        <v>0</v>
      </c>
      <c r="P13" s="181">
        <f>VLOOKUP($F13,'Carbon Factors'!$B$5:$L$41,11,FALSE)*'Material Quantities &amp; Embodied '!$G13/1000</f>
        <v>0</v>
      </c>
    </row>
    <row r="14" spans="1:17">
      <c r="C14" s="150" t="s">
        <v>123</v>
      </c>
      <c r="D14" s="150" t="s">
        <v>124</v>
      </c>
      <c r="E14" s="150" t="s">
        <v>116</v>
      </c>
      <c r="F14" s="150" t="s">
        <v>125</v>
      </c>
      <c r="G14" s="1301">
        <f>IF(A6=0,0,IF(Summary!J13="No",(480*Summary!C13*Summary!C14*Summary!C15*Summary!C16),(Basement!C11*Summary!C13*Summary!C14*Summary!C15*Summary!C16)))</f>
        <v>1382400</v>
      </c>
      <c r="H14" s="178">
        <f>VLOOKUP($F14,'Carbon Factors'!$B$5:$L$41,2,FALSE)*'Material Quantities &amp; Embodied '!$G14/1000</f>
        <v>123.03359999999999</v>
      </c>
      <c r="I14" s="178">
        <f>VLOOKUP($F14,'Carbon Factors'!$B$5:$L$41,3,FALSE)*'Material Quantities &amp; Embodied '!$G14/1000</f>
        <v>6.9119999999999999</v>
      </c>
      <c r="J14" s="178">
        <f>VLOOKUP($F14,'Carbon Factors'!$B$5:$L$41,5,FALSE)*'Material Quantities &amp; Embodied '!$G14/1000</f>
        <v>6.9569280000000004</v>
      </c>
      <c r="K14" s="178">
        <f>VLOOKUP($F14,'Carbon Factors'!$B$5:$L$41,6,FALSE)*'Material Quantities &amp; Embodied '!$G14/1000</f>
        <v>17.9712</v>
      </c>
      <c r="L14" s="178">
        <f>VLOOKUP($F14,'Carbon Factors'!$B$5:$L$41,7,FALSE)*'Material Quantities &amp; Embodied '!$G14/1000</f>
        <v>24.928128000000001</v>
      </c>
      <c r="M14" s="178">
        <f>VLOOKUP($F14,'Carbon Factors'!$B$5:$L$41,8,FALSE)*'Material Quantities &amp; Embodied '!$G14/1000</f>
        <v>6.08256</v>
      </c>
      <c r="N14" s="178">
        <f>VLOOKUP($F14,'Carbon Factors'!$B$5:$L$41,9,FALSE)*'Material Quantities &amp; Embodied '!$G14/1000</f>
        <v>138.153907584</v>
      </c>
      <c r="O14" s="178">
        <f>VLOOKUP($F14,'Carbon Factors'!$B$5:$L$41,10,FALSE)*'Material Quantities &amp; Embodied '!$G14/1000</f>
        <v>163.08203558399998</v>
      </c>
      <c r="P14" s="178">
        <f>VLOOKUP($F14,'Carbon Factors'!$B$5:$L$41,11,FALSE)*'Material Quantities &amp; Embodied '!$G14/1000</f>
        <v>0</v>
      </c>
    </row>
    <row r="15" spans="1:17">
      <c r="E15" s="150" t="s">
        <v>117</v>
      </c>
      <c r="F15" s="150" t="s">
        <v>118</v>
      </c>
      <c r="G15" s="1301">
        <f>IF(A6=0,0,IF(Summary!J13="No",(12*Summary!C13*Summary!C14*Summary!C15*Summary!C16),(Basement!C10*Summary!C13*Summary!C14*Summary!C15*Summary!C16)))</f>
        <v>34560</v>
      </c>
      <c r="H15" s="178">
        <f>VLOOKUP($F15,'Carbon Factors'!$B$5:$L$41,2,FALSE)*'Material Quantities &amp; Embodied '!$G15/1000</f>
        <v>26.265599999999999</v>
      </c>
      <c r="I15" s="178">
        <f>VLOOKUP($F15,'Carbon Factors'!$B$5:$L$41,3,FALSE)*'Material Quantities &amp; Embodied '!$G15/1000</f>
        <v>1.10592</v>
      </c>
      <c r="J15" s="178">
        <f>VLOOKUP($F15,'Carbon Factors'!$B$5:$L$41,5,FALSE)*'Material Quantities &amp; Embodied '!$G15/1000</f>
        <v>0.1739232</v>
      </c>
      <c r="K15" s="178">
        <f>VLOOKUP($F15,'Carbon Factors'!$B$5:$L$41,6,FALSE)*'Material Quantities &amp; Embodied '!$G15/1000</f>
        <v>0.44927999999999996</v>
      </c>
      <c r="L15" s="178">
        <f>VLOOKUP($F15,'Carbon Factors'!$B$5:$L$41,7,FALSE)*'Material Quantities &amp; Embodied '!$G15/1000</f>
        <v>0.62320320000000007</v>
      </c>
      <c r="M15" s="178">
        <f>VLOOKUP($F15,'Carbon Factors'!$B$5:$L$41,8,FALSE)*'Material Quantities &amp; Embodied '!$G15/1000</f>
        <v>12.130559999999999</v>
      </c>
      <c r="N15" s="178">
        <f>VLOOKUP($F15,'Carbon Factors'!$B$5:$L$41,9,FALSE)*'Material Quantities &amp; Embodied '!$G15/1000</f>
        <v>28.855240329600001</v>
      </c>
      <c r="O15" s="178">
        <f>VLOOKUP($F15,'Carbon Factors'!$B$5:$L$41,10,FALSE)*'Material Quantities &amp; Embodied '!$G15/1000</f>
        <v>29.4784435296</v>
      </c>
      <c r="P15" s="178">
        <f>VLOOKUP($F15,'Carbon Factors'!$B$5:$L$41,11,FALSE)*'Material Quantities &amp; Embodied '!$G15/1000</f>
        <v>0</v>
      </c>
    </row>
    <row r="16" spans="1:17">
      <c r="D16" s="150" t="s">
        <v>126</v>
      </c>
      <c r="E16" s="150" t="s">
        <v>116</v>
      </c>
      <c r="F16" s="150" t="s">
        <v>127</v>
      </c>
      <c r="G16" s="1301">
        <f>IF(A6=0,0,Summary!C13*Summary!C14*Summary!C15*Summary!C16*0.05*24*1000/9.81)</f>
        <v>352293.57798165135</v>
      </c>
      <c r="H16" s="178">
        <f>VLOOKUP($F16,'Carbon Factors'!$B$5:$L$41,2,FALSE)*'Material Quantities &amp; Embodied '!$G16/1000</f>
        <v>52.491743119266054</v>
      </c>
      <c r="I16" s="178">
        <f>VLOOKUP($F16,'Carbon Factors'!$B$5:$L$41,3,FALSE)*'Material Quantities &amp; Embodied '!$G16/1000</f>
        <v>1.761467889908257</v>
      </c>
      <c r="J16" s="178">
        <f>VLOOKUP($F16,'Carbon Factors'!$B$5:$L$41,5,FALSE)*'Material Quantities &amp; Embodied '!$G16/1000</f>
        <v>1.7729174311926605</v>
      </c>
      <c r="K16" s="178">
        <f>VLOOKUP($F16,'Carbon Factors'!$B$5:$L$41,6,FALSE)*'Material Quantities &amp; Embodied '!$G16/1000</f>
        <v>4.5798165137614681</v>
      </c>
      <c r="L16" s="178">
        <f>VLOOKUP($F16,'Carbon Factors'!$B$5:$L$41,7,FALSE)*'Material Quantities &amp; Embodied '!$G16/1000</f>
        <v>6.352733944954128</v>
      </c>
      <c r="M16" s="178">
        <f>VLOOKUP($F16,'Carbon Factors'!$B$5:$L$41,8,FALSE)*'Material Quantities &amp; Embodied '!$G16/1000</f>
        <v>1.550091743119266</v>
      </c>
      <c r="N16" s="178">
        <f>VLOOKUP($F16,'Carbon Factors'!$B$5:$L$41,9,FALSE)*'Material Quantities &amp; Embodied '!$G16/1000</f>
        <v>57.465326091743115</v>
      </c>
      <c r="O16" s="178">
        <f>VLOOKUP($F16,'Carbon Factors'!$B$5:$L$41,10,FALSE)*'Material Quantities &amp; Embodied '!$G16/1000</f>
        <v>63.818060036697247</v>
      </c>
      <c r="P16" s="178">
        <f>VLOOKUP($F16,'Carbon Factors'!$B$5:$L$41,11,FALSE)*'Material Quantities &amp; Embodied '!$G16/1000</f>
        <v>0</v>
      </c>
    </row>
    <row r="17" spans="2:16">
      <c r="D17" s="150" t="s">
        <v>128</v>
      </c>
      <c r="E17" s="150" t="s">
        <v>129</v>
      </c>
      <c r="F17" s="150" t="s">
        <v>130</v>
      </c>
      <c r="G17" s="1301">
        <f>IF(A6=0,0,Summary!C13*Summary!C14*Summary!C15*Summary!C16*0.15*20*1000/9.81)</f>
        <v>880733.94495412835</v>
      </c>
      <c r="H17" s="178">
        <f>VLOOKUP($F17,'Carbon Factors'!$B$5:$L$41,2,FALSE)*'Material Quantities &amp; Embodied '!$G17/1000</f>
        <v>6.5790825688073395</v>
      </c>
      <c r="I17" s="178">
        <f>VLOOKUP($F17,'Carbon Factors'!$B$5:$L$41,3,FALSE)*'Material Quantities &amp; Embodied '!$G17/1000</f>
        <v>4.4036697247706416</v>
      </c>
      <c r="J17" s="178">
        <f>VLOOKUP($F17,'Carbon Factors'!$B$5:$L$41,5,FALSE)*'Material Quantities &amp; Embodied '!$G17/1000</f>
        <v>4.4036697247706416</v>
      </c>
      <c r="K17" s="178">
        <f>VLOOKUP($F17,'Carbon Factors'!$B$5:$L$41,6,FALSE)*'Material Quantities &amp; Embodied '!$G17/1000</f>
        <v>11.449541284403667</v>
      </c>
      <c r="L17" s="178">
        <f>VLOOKUP($F17,'Carbon Factors'!$B$5:$L$41,7,FALSE)*'Material Quantities &amp; Embodied '!$G17/1000</f>
        <v>15.853211009174309</v>
      </c>
      <c r="M17" s="178">
        <f>VLOOKUP($F17,'Carbon Factors'!$B$5:$L$41,8,FALSE)*'Material Quantities &amp; Embodied '!$G17/1000</f>
        <v>0</v>
      </c>
      <c r="N17" s="178">
        <f>VLOOKUP($F17,'Carbon Factors'!$B$5:$L$41,9,FALSE)*'Material Quantities &amp; Embodied '!$G17/1000</f>
        <v>12.405058348623852</v>
      </c>
      <c r="O17" s="178">
        <f>VLOOKUP($F17,'Carbon Factors'!$B$5:$L$41,10,FALSE)*'Material Quantities &amp; Embodied '!$G17/1000</f>
        <v>28.258269357798163</v>
      </c>
      <c r="P17" s="178">
        <f>VLOOKUP($F17,'Carbon Factors'!$B$5:$L$41,11,FALSE)*'Material Quantities &amp; Embodied '!$G17/1000</f>
        <v>0</v>
      </c>
    </row>
    <row r="18" spans="2:16">
      <c r="D18" s="150" t="s">
        <v>131</v>
      </c>
      <c r="E18" s="150" t="s">
        <v>116</v>
      </c>
      <c r="F18" s="150" t="str">
        <f>F14</f>
        <v>C32/40 - 50% GGBS</v>
      </c>
      <c r="G18" s="1301">
        <f>IF(A6=0,0,Pile!N468*24*1000/9.81)</f>
        <v>572555.2611167396</v>
      </c>
      <c r="H18" s="178">
        <f>VLOOKUP($F18,'Carbon Factors'!$B$5:$L$41,2,FALSE)*'Material Quantities &amp; Embodied '!$G18/1000</f>
        <v>50.957418239389824</v>
      </c>
      <c r="I18" s="178">
        <f>VLOOKUP($F18,'Carbon Factors'!$B$5:$L$41,3,FALSE)*'Material Quantities &amp; Embodied '!$G18/1000</f>
        <v>2.8627763055836981</v>
      </c>
      <c r="J18" s="178">
        <f>VLOOKUP($F18,'Carbon Factors'!$B$5:$L$41,5,FALSE)*'Material Quantities &amp; Embodied '!$G18/1000</f>
        <v>2.8813843515699924</v>
      </c>
      <c r="K18" s="178">
        <f>VLOOKUP($F18,'Carbon Factors'!$B$5:$L$41,6,FALSE)*'Material Quantities &amp; Embodied '!$G18/1000</f>
        <v>7.4432183945176149</v>
      </c>
      <c r="L18" s="178">
        <f>VLOOKUP($F18,'Carbon Factors'!$B$5:$L$41,7,FALSE)*'Material Quantities &amp; Embodied '!$G18/1000</f>
        <v>10.324602746087606</v>
      </c>
      <c r="M18" s="178">
        <f>VLOOKUP($F18,'Carbon Factors'!$B$5:$L$41,8,FALSE)*'Material Quantities &amp; Embodied '!$G18/1000</f>
        <v>2.5192431489136542</v>
      </c>
      <c r="N18" s="178">
        <f>VLOOKUP($F18,'Carbon Factors'!$B$5:$L$41,9,FALSE)*'Material Quantities &amp; Embodied '!$G18/1000</f>
        <v>57.219868801399763</v>
      </c>
      <c r="O18" s="178">
        <f>VLOOKUP($F18,'Carbon Factors'!$B$5:$L$41,10,FALSE)*'Material Quantities &amp; Embodied '!$G18/1000</f>
        <v>67.544471547487362</v>
      </c>
      <c r="P18" s="178">
        <f>VLOOKUP($F18,'Carbon Factors'!$B$5:$L$41,11,FALSE)*'Material Quantities &amp; Embodied '!$G18/1000</f>
        <v>0</v>
      </c>
    </row>
    <row r="19" spans="2:16">
      <c r="E19" s="150" t="s">
        <v>117</v>
      </c>
      <c r="F19" s="150" t="s">
        <v>118</v>
      </c>
      <c r="G19" s="1301">
        <f>IF(A6=0,0,Pile!N474*1000)</f>
        <v>22289.340239999994</v>
      </c>
      <c r="H19" s="178">
        <f>VLOOKUP($F19,'Carbon Factors'!$B$5:$L$41,2,FALSE)*'Material Quantities &amp; Embodied '!$G19/1000</f>
        <v>16.939898582399998</v>
      </c>
      <c r="I19" s="178">
        <f>VLOOKUP($F19,'Carbon Factors'!$B$5:$L$41,3,FALSE)*'Material Quantities &amp; Embodied '!$G19/1000</f>
        <v>0.71325888767999979</v>
      </c>
      <c r="J19" s="178">
        <f>VLOOKUP($F19,'Carbon Factors'!$B$5:$L$41,5,FALSE)*'Material Quantities &amp; Embodied '!$G19/1000</f>
        <v>0.11217110475779998</v>
      </c>
      <c r="K19" s="178">
        <f>VLOOKUP($F19,'Carbon Factors'!$B$5:$L$41,6,FALSE)*'Material Quantities &amp; Embodied '!$G19/1000</f>
        <v>0.28976142311999992</v>
      </c>
      <c r="L19" s="178">
        <f>VLOOKUP($F19,'Carbon Factors'!$B$5:$L$41,7,FALSE)*'Material Quantities &amp; Embodied '!$G19/1000</f>
        <v>0.40193252787779987</v>
      </c>
      <c r="M19" s="178">
        <f>VLOOKUP($F19,'Carbon Factors'!$B$5:$L$41,8,FALSE)*'Material Quantities &amp; Embodied '!$G19/1000</f>
        <v>7.8235584242399971</v>
      </c>
      <c r="N19" s="178">
        <f>VLOOKUP($F19,'Carbon Factors'!$B$5:$L$41,9,FALSE)*'Material Quantities &amp; Embodied '!$G19/1000</f>
        <v>18.610077239971762</v>
      </c>
      <c r="O19" s="178">
        <f>VLOOKUP($F19,'Carbon Factors'!$B$5:$L$41,10,FALSE)*'Material Quantities &amp; Embodied '!$G19/1000</f>
        <v>19.012009767849559</v>
      </c>
      <c r="P19" s="178">
        <f>VLOOKUP($F19,'Carbon Factors'!$B$5:$L$41,11,FALSE)*'Material Quantities &amp; Embodied '!$G19/1000</f>
        <v>0</v>
      </c>
    </row>
    <row r="20" spans="2:16">
      <c r="D20" s="150" t="s">
        <v>132</v>
      </c>
      <c r="E20" s="150" t="s">
        <v>116</v>
      </c>
      <c r="F20" s="150" t="s">
        <v>133</v>
      </c>
      <c r="G20" s="1301">
        <f>IF(A6=0,0,Pile!N480*24*1000/9.81)</f>
        <v>150000</v>
      </c>
      <c r="H20" s="178">
        <f>VLOOKUP($F20,'Carbon Factors'!$B$5:$L$41,2,FALSE)*'Material Quantities &amp; Embodied '!$G20/1000</f>
        <v>9.4499999999999993</v>
      </c>
      <c r="I20" s="178">
        <f>VLOOKUP($F20,'Carbon Factors'!$B$5:$L$41,3,FALSE)*'Material Quantities &amp; Embodied '!$G20/1000</f>
        <v>0.75</v>
      </c>
      <c r="J20" s="178">
        <f>VLOOKUP($F20,'Carbon Factors'!$B$5:$L$41,5,FALSE)*'Material Quantities &amp; Embodied '!$G20/1000</f>
        <v>0.75487500000000007</v>
      </c>
      <c r="K20" s="178">
        <f>VLOOKUP($F20,'Carbon Factors'!$B$5:$L$41,6,FALSE)*'Material Quantities &amp; Embodied '!$G20/1000</f>
        <v>1.95</v>
      </c>
      <c r="L20" s="178">
        <f>VLOOKUP($F20,'Carbon Factors'!$B$5:$L$41,7,FALSE)*'Material Quantities &amp; Embodied '!$G20/1000</f>
        <v>2.7048749999999999</v>
      </c>
      <c r="M20" s="178">
        <f>VLOOKUP($F20,'Carbon Factors'!$B$5:$L$41,8,FALSE)*'Material Quantities &amp; Embodied '!$G20/1000</f>
        <v>0.66</v>
      </c>
      <c r="N20" s="178">
        <f>VLOOKUP($F20,'Carbon Factors'!$B$5:$L$41,9,FALSE)*'Material Quantities &amp; Embodied '!$G20/1000</f>
        <v>10.883958375000001</v>
      </c>
      <c r="O20" s="178">
        <f>VLOOKUP($F20,'Carbon Factors'!$B$5:$L$41,10,FALSE)*'Material Quantities &amp; Embodied '!$G20/1000</f>
        <v>13.588833375</v>
      </c>
      <c r="P20" s="178">
        <f>VLOOKUP($F20,'Carbon Factors'!$B$5:$L$41,11,FALSE)*'Material Quantities &amp; Embodied '!$G20/1000</f>
        <v>0</v>
      </c>
    </row>
    <row r="21" spans="2:16">
      <c r="E21" s="150" t="s">
        <v>117</v>
      </c>
      <c r="F21" s="150" t="s">
        <v>118</v>
      </c>
      <c r="G21" s="1301">
        <f>IF(A6=0,0,Pile!O480*1000)</f>
        <v>6744.375</v>
      </c>
      <c r="H21" s="178">
        <f>VLOOKUP($F21,'Carbon Factors'!$B$5:$L$41,2,FALSE)*'Material Quantities &amp; Embodied '!$G21/1000</f>
        <v>5.1257250000000001</v>
      </c>
      <c r="I21" s="178">
        <f>VLOOKUP($F21,'Carbon Factors'!$B$5:$L$41,3,FALSE)*'Material Quantities &amp; Embodied '!$G21/1000</f>
        <v>0.21581999999999998</v>
      </c>
      <c r="J21" s="178">
        <f>VLOOKUP($F21,'Carbon Factors'!$B$5:$L$41,5,FALSE)*'Material Quantities &amp; Embodied '!$G21/1000</f>
        <v>3.39410671875E-2</v>
      </c>
      <c r="K21" s="178">
        <f>VLOOKUP($F21,'Carbon Factors'!$B$5:$L$41,6,FALSE)*'Material Quantities &amp; Embodied '!$G21/1000</f>
        <v>8.7676875000000001E-2</v>
      </c>
      <c r="L21" s="178">
        <f>VLOOKUP($F21,'Carbon Factors'!$B$5:$L$41,7,FALSE)*'Material Quantities &amp; Embodied '!$G21/1000</f>
        <v>0.12161794218750001</v>
      </c>
      <c r="M21" s="178">
        <f>VLOOKUP($F21,'Carbon Factors'!$B$5:$L$41,8,FALSE)*'Material Quantities &amp; Embodied '!$G21/1000</f>
        <v>2.3672756249999996</v>
      </c>
      <c r="N21" s="178">
        <f>VLOOKUP($F21,'Carbon Factors'!$B$5:$L$41,9,FALSE)*'Material Quantities &amp; Embodied '!$G21/1000</f>
        <v>5.6310926359359375</v>
      </c>
      <c r="O21" s="178">
        <f>VLOOKUP($F21,'Carbon Factors'!$B$5:$L$41,10,FALSE)*'Material Quantities &amp; Embodied '!$G21/1000</f>
        <v>5.7527105781234376</v>
      </c>
      <c r="P21" s="178">
        <f>VLOOKUP($F21,'Carbon Factors'!$B$5:$L$41,11,FALSE)*'Material Quantities &amp; Embodied '!$G21/1000</f>
        <v>0</v>
      </c>
    </row>
    <row r="22" spans="2:16">
      <c r="D22" s="150" t="s">
        <v>134</v>
      </c>
      <c r="E22" s="150" t="s">
        <v>116</v>
      </c>
      <c r="F22" s="150" t="str">
        <f>F6</f>
        <v>C32/40 - 25% GGBS</v>
      </c>
      <c r="G22" s="1301">
        <f>IF(A6=0,0,Basement!C31*Summary!C13*Summary!C14*Summary!C15*Summary!C16)</f>
        <v>0</v>
      </c>
      <c r="H22" s="178">
        <f>VLOOKUP($F22,'Carbon Factors'!$B$5:$L$41,2,FALSE)*'Material Quantities &amp; Embodied '!$G22/1000</f>
        <v>0</v>
      </c>
      <c r="I22" s="178">
        <f>VLOOKUP($F22,'Carbon Factors'!$B$5:$L$41,3,FALSE)*'Material Quantities &amp; Embodied '!$G22/1000</f>
        <v>0</v>
      </c>
      <c r="J22" s="178">
        <f>VLOOKUP($F22,'Carbon Factors'!$B$5:$L$41,5,FALSE)*'Material Quantities &amp; Embodied '!$G22/1000</f>
        <v>0</v>
      </c>
      <c r="K22" s="178">
        <f>VLOOKUP($F22,'Carbon Factors'!$B$5:$L$41,6,FALSE)*'Material Quantities &amp; Embodied '!$G22/1000</f>
        <v>0</v>
      </c>
      <c r="L22" s="178">
        <f>VLOOKUP($F22,'Carbon Factors'!$B$5:$L$41,7,FALSE)*'Material Quantities &amp; Embodied '!$G22/1000</f>
        <v>0</v>
      </c>
      <c r="M22" s="178">
        <f>VLOOKUP($F22,'Carbon Factors'!$B$5:$L$41,8,FALSE)*'Material Quantities &amp; Embodied '!$G22/1000</f>
        <v>0</v>
      </c>
      <c r="N22" s="178">
        <f>VLOOKUP($F22,'Carbon Factors'!$B$5:$L$41,9,FALSE)*'Material Quantities &amp; Embodied '!$G22/1000</f>
        <v>0</v>
      </c>
      <c r="O22" s="178">
        <f>VLOOKUP($F22,'Carbon Factors'!$B$5:$L$41,10,FALSE)*'Material Quantities &amp; Embodied '!$G22/1000</f>
        <v>0</v>
      </c>
      <c r="P22" s="178">
        <f>VLOOKUP($F22,'Carbon Factors'!$B$5:$L$41,11,FALSE)*'Material Quantities &amp; Embodied '!$G22/1000</f>
        <v>0</v>
      </c>
    </row>
    <row r="23" spans="2:16">
      <c r="E23" s="150" t="s">
        <v>117</v>
      </c>
      <c r="F23" s="150" t="s">
        <v>118</v>
      </c>
      <c r="G23" s="1301">
        <f>IF(A6=0,0,Basement!C30*Summary!C13*Summary!C14*Summary!C15*Summary!C16)</f>
        <v>0</v>
      </c>
      <c r="H23" s="178">
        <f>VLOOKUP($F23,'Carbon Factors'!$B$5:$L$41,2,FALSE)*'Material Quantities &amp; Embodied '!$G23/1000</f>
        <v>0</v>
      </c>
      <c r="I23" s="178">
        <f>VLOOKUP($F23,'Carbon Factors'!$B$5:$L$41,3,FALSE)*'Material Quantities &amp; Embodied '!$G23/1000</f>
        <v>0</v>
      </c>
      <c r="J23" s="178">
        <f>VLOOKUP($F23,'Carbon Factors'!$B$5:$L$41,5,FALSE)*'Material Quantities &amp; Embodied '!$G23/1000</f>
        <v>0</v>
      </c>
      <c r="K23" s="178">
        <f>VLOOKUP($F23,'Carbon Factors'!$B$5:$L$41,6,FALSE)*'Material Quantities &amp; Embodied '!$G23/1000</f>
        <v>0</v>
      </c>
      <c r="L23" s="178">
        <f>VLOOKUP($F23,'Carbon Factors'!$B$5:$L$41,7,FALSE)*'Material Quantities &amp; Embodied '!$G23/1000</f>
        <v>0</v>
      </c>
      <c r="M23" s="178">
        <f>VLOOKUP($F23,'Carbon Factors'!$B$5:$L$41,8,FALSE)*'Material Quantities &amp; Embodied '!$G23/1000</f>
        <v>0</v>
      </c>
      <c r="N23" s="178">
        <f>VLOOKUP($F23,'Carbon Factors'!$B$5:$L$41,9,FALSE)*'Material Quantities &amp; Embodied '!$G23/1000</f>
        <v>0</v>
      </c>
      <c r="O23" s="178">
        <f>VLOOKUP($F23,'Carbon Factors'!$B$5:$L$41,10,FALSE)*'Material Quantities &amp; Embodied '!$G23/1000</f>
        <v>0</v>
      </c>
      <c r="P23" s="178">
        <f>VLOOKUP($F23,'Carbon Factors'!$B$5:$L$41,11,FALSE)*'Material Quantities &amp; Embodied '!$G23/1000</f>
        <v>0</v>
      </c>
    </row>
    <row r="24" spans="2:16">
      <c r="D24" s="150" t="s">
        <v>135</v>
      </c>
      <c r="E24" s="150" t="s">
        <v>116</v>
      </c>
      <c r="F24" s="150" t="str">
        <f>F6</f>
        <v>C32/40 - 25% GGBS</v>
      </c>
      <c r="G24" s="1301">
        <f>IF(A6=0,0,(Summary!J14*(Summary!C13*Summary!C15*2+Summary!C14*Summary!C16*2))*Basement!K79)</f>
        <v>0</v>
      </c>
      <c r="H24" s="178">
        <f>VLOOKUP($F24,'Carbon Factors'!$B$5:$L$41,2,FALSE)*'Material Quantities &amp; Embodied '!$G24/1000</f>
        <v>0</v>
      </c>
      <c r="I24" s="178">
        <f>VLOOKUP($F24,'Carbon Factors'!$B$5:$L$41,3,FALSE)*'Material Quantities &amp; Embodied '!$G24/1000</f>
        <v>0</v>
      </c>
      <c r="J24" s="178">
        <f>VLOOKUP($F24,'Carbon Factors'!$B$5:$L$41,5,FALSE)*'Material Quantities &amp; Embodied '!$G24/1000</f>
        <v>0</v>
      </c>
      <c r="K24" s="178">
        <f>VLOOKUP($F24,'Carbon Factors'!$B$5:$L$41,6,FALSE)*'Material Quantities &amp; Embodied '!$G24/1000</f>
        <v>0</v>
      </c>
      <c r="L24" s="178">
        <f>VLOOKUP($F24,'Carbon Factors'!$B$5:$L$41,7,FALSE)*'Material Quantities &amp; Embodied '!$G24/1000</f>
        <v>0</v>
      </c>
      <c r="M24" s="178">
        <f>VLOOKUP($F24,'Carbon Factors'!$B$5:$L$41,8,FALSE)*'Material Quantities &amp; Embodied '!$G24/1000</f>
        <v>0</v>
      </c>
      <c r="N24" s="178">
        <f>VLOOKUP($F24,'Carbon Factors'!$B$5:$L$41,9,FALSE)*'Material Quantities &amp; Embodied '!$G24/1000</f>
        <v>0</v>
      </c>
      <c r="O24" s="178">
        <f>VLOOKUP($F24,'Carbon Factors'!$B$5:$L$41,10,FALSE)*'Material Quantities &amp; Embodied '!$G24/1000</f>
        <v>0</v>
      </c>
      <c r="P24" s="178">
        <f>VLOOKUP($F24,'Carbon Factors'!$B$5:$L$41,11,FALSE)*'Material Quantities &amp; Embodied '!$G24/1000</f>
        <v>0</v>
      </c>
    </row>
    <row r="25" spans="2:16">
      <c r="E25" s="150" t="s">
        <v>117</v>
      </c>
      <c r="F25" s="150" t="s">
        <v>118</v>
      </c>
      <c r="G25" s="1301">
        <f>IF(A6=0,0,(Summary!J14*(Summary!C13*Summary!C15*2+Summary!C14*Summary!C16*2))*Basement!K78)</f>
        <v>0</v>
      </c>
      <c r="H25" s="178">
        <f>VLOOKUP($F25,'Carbon Factors'!$B$5:$L$41,2,FALSE)*'Material Quantities &amp; Embodied '!$G25/1000</f>
        <v>0</v>
      </c>
      <c r="I25" s="178">
        <f>VLOOKUP($F25,'Carbon Factors'!$B$5:$L$41,3,FALSE)*'Material Quantities &amp; Embodied '!$G25/1000</f>
        <v>0</v>
      </c>
      <c r="J25" s="178">
        <f>VLOOKUP($F25,'Carbon Factors'!$B$5:$L$41,5,FALSE)*'Material Quantities &amp; Embodied '!$G25/1000</f>
        <v>0</v>
      </c>
      <c r="K25" s="178">
        <f>VLOOKUP($F25,'Carbon Factors'!$B$5:$L$41,6,FALSE)*'Material Quantities &amp; Embodied '!$G25/1000</f>
        <v>0</v>
      </c>
      <c r="L25" s="178">
        <f>VLOOKUP($F25,'Carbon Factors'!$B$5:$L$41,7,FALSE)*'Material Quantities &amp; Embodied '!$G25/1000</f>
        <v>0</v>
      </c>
      <c r="M25" s="178">
        <f>VLOOKUP($F25,'Carbon Factors'!$B$5:$L$41,8,FALSE)*'Material Quantities &amp; Embodied '!$G25/1000</f>
        <v>0</v>
      </c>
      <c r="N25" s="178">
        <f>VLOOKUP($F25,'Carbon Factors'!$B$5:$L$41,9,FALSE)*'Material Quantities &amp; Embodied '!$G25/1000</f>
        <v>0</v>
      </c>
      <c r="O25" s="178">
        <f>VLOOKUP($F25,'Carbon Factors'!$B$5:$L$41,10,FALSE)*'Material Quantities &amp; Embodied '!$G25/1000</f>
        <v>0</v>
      </c>
      <c r="P25" s="178">
        <f>VLOOKUP($F25,'Carbon Factors'!$B$5:$L$41,11,FALSE)*'Material Quantities &amp; Embodied '!$G25/1000</f>
        <v>0</v>
      </c>
    </row>
    <row r="26" spans="2:16">
      <c r="D26" s="150" t="s">
        <v>136</v>
      </c>
      <c r="E26" s="150" t="s">
        <v>116</v>
      </c>
      <c r="F26" s="150" t="str">
        <f>F6</f>
        <v>C32/40 - 25% GGBS</v>
      </c>
      <c r="G26" s="1301">
        <f>IF(A6=0,0,(Basement!M97+Basement!M110+Basement!M123)*24*1000/9.81)</f>
        <v>0</v>
      </c>
      <c r="H26" s="178">
        <f>VLOOKUP($F26,'Carbon Factors'!$B$5:$L$41,2,FALSE)*'Material Quantities &amp; Embodied '!$G26/1000</f>
        <v>0</v>
      </c>
      <c r="I26" s="178">
        <f>VLOOKUP($F26,'Carbon Factors'!$B$5:$L$41,3,FALSE)*'Material Quantities &amp; Embodied '!$G26/1000</f>
        <v>0</v>
      </c>
      <c r="J26" s="178">
        <f>VLOOKUP($F26,'Carbon Factors'!$B$5:$L$41,5,FALSE)*'Material Quantities &amp; Embodied '!$G26/1000</f>
        <v>0</v>
      </c>
      <c r="K26" s="178">
        <f>VLOOKUP($F26,'Carbon Factors'!$B$5:$L$41,6,FALSE)*'Material Quantities &amp; Embodied '!$G26/1000</f>
        <v>0</v>
      </c>
      <c r="L26" s="178">
        <f>VLOOKUP($F26,'Carbon Factors'!$B$5:$L$41,7,FALSE)*'Material Quantities &amp; Embodied '!$G26/1000</f>
        <v>0</v>
      </c>
      <c r="M26" s="178">
        <f>VLOOKUP($F26,'Carbon Factors'!$B$5:$L$41,8,FALSE)*'Material Quantities &amp; Embodied '!$G26/1000</f>
        <v>0</v>
      </c>
      <c r="N26" s="178">
        <f>VLOOKUP($F26,'Carbon Factors'!$B$5:$L$41,9,FALSE)*'Material Quantities &amp; Embodied '!$G26/1000</f>
        <v>0</v>
      </c>
      <c r="O26" s="178">
        <f>VLOOKUP($F26,'Carbon Factors'!$B$5:$L$41,10,FALSE)*'Material Quantities &amp; Embodied '!$G26/1000</f>
        <v>0</v>
      </c>
      <c r="P26" s="178">
        <f>VLOOKUP($F26,'Carbon Factors'!$B$5:$L$41,11,FALSE)*'Material Quantities &amp; Embodied '!$G26/1000</f>
        <v>0</v>
      </c>
    </row>
    <row r="27" spans="2:16">
      <c r="E27" s="150" t="s">
        <v>117</v>
      </c>
      <c r="F27" s="150" t="s">
        <v>118</v>
      </c>
      <c r="G27" s="1301">
        <f>IF(A6=0,0,(Basement!N97+Basement!N110+Basement!N123)*1000)</f>
        <v>0</v>
      </c>
      <c r="H27" s="178">
        <f>VLOOKUP($F27,'Carbon Factors'!$B$5:$L$41,2,FALSE)*'Material Quantities &amp; Embodied '!$G27/1000</f>
        <v>0</v>
      </c>
      <c r="I27" s="178">
        <f>VLOOKUP($F27,'Carbon Factors'!$B$5:$L$41,3,FALSE)*'Material Quantities &amp; Embodied '!$G27/1000</f>
        <v>0</v>
      </c>
      <c r="J27" s="178">
        <f>VLOOKUP($F27,'Carbon Factors'!$B$5:$L$41,5,FALSE)*'Material Quantities &amp; Embodied '!$G27/1000</f>
        <v>0</v>
      </c>
      <c r="K27" s="178">
        <f>VLOOKUP($F27,'Carbon Factors'!$B$5:$L$41,6,FALSE)*'Material Quantities &amp; Embodied '!$G27/1000</f>
        <v>0</v>
      </c>
      <c r="L27" s="178">
        <f>VLOOKUP($F27,'Carbon Factors'!$B$5:$L$41,7,FALSE)*'Material Quantities &amp; Embodied '!$G27/1000</f>
        <v>0</v>
      </c>
      <c r="M27" s="178">
        <f>VLOOKUP($F27,'Carbon Factors'!$B$5:$L$41,8,FALSE)*'Material Quantities &amp; Embodied '!$G27/1000</f>
        <v>0</v>
      </c>
      <c r="N27" s="178">
        <f>VLOOKUP($F27,'Carbon Factors'!$B$5:$L$41,9,FALSE)*'Material Quantities &amp; Embodied '!$G27/1000</f>
        <v>0</v>
      </c>
      <c r="O27" s="178">
        <f>VLOOKUP($F27,'Carbon Factors'!$B$5:$L$41,10,FALSE)*'Material Quantities &amp; Embodied '!$G27/1000</f>
        <v>0</v>
      </c>
      <c r="P27" s="178">
        <f>VLOOKUP($F27,'Carbon Factors'!$B$5:$L$41,11,FALSE)*'Material Quantities &amp; Embodied '!$G27/1000</f>
        <v>0</v>
      </c>
    </row>
    <row r="28" spans="2:16">
      <c r="D28" s="182" t="s">
        <v>137</v>
      </c>
      <c r="E28" s="150" t="s">
        <v>116</v>
      </c>
      <c r="F28" s="150" t="str">
        <f>F8</f>
        <v>C32/40 - 25% GGBS</v>
      </c>
      <c r="G28" s="1301">
        <f>IF(A6=0,0,Basement!D162*24*1000/9.81)</f>
        <v>0</v>
      </c>
      <c r="H28" s="178">
        <f>VLOOKUP($F28,'Carbon Factors'!$B$5:$L$41,2,FALSE)*'Material Quantities &amp; Embodied '!$G28/1000</f>
        <v>0</v>
      </c>
      <c r="I28" s="178">
        <f>VLOOKUP($F28,'Carbon Factors'!$B$5:$L$41,3,FALSE)*'Material Quantities &amp; Embodied '!$G28/1000</f>
        <v>0</v>
      </c>
      <c r="J28" s="178">
        <f>VLOOKUP($F28,'Carbon Factors'!$B$5:$L$41,5,FALSE)*'Material Quantities &amp; Embodied '!$G28/1000</f>
        <v>0</v>
      </c>
      <c r="K28" s="178">
        <f>VLOOKUP($F28,'Carbon Factors'!$B$5:$L$41,6,FALSE)*'Material Quantities &amp; Embodied '!$G28/1000</f>
        <v>0</v>
      </c>
      <c r="L28" s="178">
        <f>VLOOKUP($F28,'Carbon Factors'!$B$5:$L$41,7,FALSE)*'Material Quantities &amp; Embodied '!$G28/1000</f>
        <v>0</v>
      </c>
      <c r="M28" s="178">
        <f>VLOOKUP($F28,'Carbon Factors'!$B$5:$L$41,8,FALSE)*'Material Quantities &amp; Embodied '!$G28/1000</f>
        <v>0</v>
      </c>
      <c r="N28" s="178">
        <f>VLOOKUP($F28,'Carbon Factors'!$B$5:$L$41,9,FALSE)*'Material Quantities &amp; Embodied '!$G28/1000</f>
        <v>0</v>
      </c>
      <c r="O28" s="178">
        <f>VLOOKUP($F28,'Carbon Factors'!$B$5:$L$41,10,FALSE)*'Material Quantities &amp; Embodied '!$G28/1000</f>
        <v>0</v>
      </c>
      <c r="P28" s="178">
        <f>VLOOKUP($F28,'Carbon Factors'!$B$5:$L$41,11,FALSE)*'Material Quantities &amp; Embodied '!$G28/1000</f>
        <v>0</v>
      </c>
    </row>
    <row r="29" spans="2:16">
      <c r="D29" s="182"/>
      <c r="E29" s="150" t="s">
        <v>117</v>
      </c>
      <c r="F29" s="150" t="s">
        <v>118</v>
      </c>
      <c r="G29" s="1301">
        <f>IF(A6=0,0,G28*0.02)</f>
        <v>0</v>
      </c>
      <c r="H29" s="178">
        <f>VLOOKUP($F29,'Carbon Factors'!$B$5:$L$41,2,FALSE)*'Material Quantities &amp; Embodied '!$G29/1000</f>
        <v>0</v>
      </c>
      <c r="I29" s="178">
        <f>VLOOKUP($F29,'Carbon Factors'!$B$5:$L$41,3,FALSE)*'Material Quantities &amp; Embodied '!$G29/1000</f>
        <v>0</v>
      </c>
      <c r="J29" s="178">
        <f>VLOOKUP($F29,'Carbon Factors'!$B$5:$L$41,5,FALSE)*'Material Quantities &amp; Embodied '!$G29/1000</f>
        <v>0</v>
      </c>
      <c r="K29" s="178">
        <f>VLOOKUP($F29,'Carbon Factors'!$B$5:$L$41,6,FALSE)*'Material Quantities &amp; Embodied '!$G29/1000</f>
        <v>0</v>
      </c>
      <c r="L29" s="178">
        <f>VLOOKUP($F29,'Carbon Factors'!$B$5:$L$41,7,FALSE)*'Material Quantities &amp; Embodied '!$G29/1000</f>
        <v>0</v>
      </c>
      <c r="M29" s="178">
        <f>VLOOKUP($F29,'Carbon Factors'!$B$5:$L$41,8,FALSE)*'Material Quantities &amp; Embodied '!$G29/1000</f>
        <v>0</v>
      </c>
      <c r="N29" s="178">
        <f>VLOOKUP($F29,'Carbon Factors'!$B$5:$L$41,9,FALSE)*'Material Quantities &amp; Embodied '!$G29/1000</f>
        <v>0</v>
      </c>
      <c r="O29" s="178">
        <f>VLOOKUP($F29,'Carbon Factors'!$B$5:$L$41,10,FALSE)*'Material Quantities &amp; Embodied '!$G29/1000</f>
        <v>0</v>
      </c>
      <c r="P29" s="178">
        <f>VLOOKUP($F29,'Carbon Factors'!$B$5:$L$41,11,FALSE)*'Material Quantities &amp; Embodied '!$G29/1000</f>
        <v>0</v>
      </c>
    </row>
    <row r="30" spans="2:16">
      <c r="D30" s="182" t="s">
        <v>138</v>
      </c>
      <c r="G30" s="1301">
        <f>IF(A6=0,0,IF(Summary!J$13="Yes",(G22*18/24),(G14*18/24))+G16*18/24+G17*18/20)</f>
        <v>2093680.7339449541</v>
      </c>
      <c r="H30" s="178">
        <v>0</v>
      </c>
      <c r="I30" s="178">
        <f>G30*50*0.1065*0.001*0.001</f>
        <v>11.14884990825688</v>
      </c>
      <c r="J30" s="178">
        <v>0</v>
      </c>
      <c r="K30" s="178">
        <v>0</v>
      </c>
      <c r="L30" s="178">
        <v>0</v>
      </c>
      <c r="M30" s="178">
        <v>0</v>
      </c>
      <c r="N30" s="178">
        <f>I30</f>
        <v>11.14884990825688</v>
      </c>
      <c r="O30" s="178">
        <f>N30</f>
        <v>11.14884990825688</v>
      </c>
      <c r="P30" s="178">
        <v>0</v>
      </c>
    </row>
    <row r="31" spans="2:16">
      <c r="D31" s="182" t="s">
        <v>139</v>
      </c>
      <c r="G31" s="1301">
        <f>IF(A6=0,0,G20*(18/24))</f>
        <v>112500</v>
      </c>
      <c r="H31" s="178">
        <v>0</v>
      </c>
      <c r="I31" s="178">
        <f t="shared" ref="I31:I32" si="0">G31*50*0.1065*0.001*0.001</f>
        <v>0.59906250000000005</v>
      </c>
      <c r="J31" s="178">
        <v>0</v>
      </c>
      <c r="K31" s="178">
        <v>0</v>
      </c>
      <c r="L31" s="178">
        <v>0</v>
      </c>
      <c r="M31" s="178">
        <v>0</v>
      </c>
      <c r="N31" s="178">
        <f t="shared" ref="N31:N32" si="1">I31</f>
        <v>0.59906250000000005</v>
      </c>
      <c r="O31" s="178">
        <f t="shared" ref="O31:O32" si="2">N31</f>
        <v>0.59906250000000005</v>
      </c>
      <c r="P31" s="178">
        <v>0</v>
      </c>
    </row>
    <row r="32" spans="2:16">
      <c r="B32" s="179"/>
      <c r="C32" s="179"/>
      <c r="D32" s="183" t="s">
        <v>140</v>
      </c>
      <c r="E32" s="184"/>
      <c r="F32" s="184"/>
      <c r="G32" s="1302">
        <f>IF(A6=0,0,IF(Summary!J$13="Yes",18*1000/9.81*Summary!C$13*Summary!C$14*Summary!C$15*Summary!C$16*Summary!J$14,0))</f>
        <v>0</v>
      </c>
      <c r="H32" s="181">
        <v>0</v>
      </c>
      <c r="I32" s="181">
        <f t="shared" si="0"/>
        <v>0</v>
      </c>
      <c r="J32" s="181">
        <v>0</v>
      </c>
      <c r="K32" s="181">
        <v>0</v>
      </c>
      <c r="L32" s="181">
        <v>0</v>
      </c>
      <c r="M32" s="181">
        <v>0</v>
      </c>
      <c r="N32" s="181">
        <f t="shared" si="1"/>
        <v>0</v>
      </c>
      <c r="O32" s="181">
        <f t="shared" si="2"/>
        <v>0</v>
      </c>
      <c r="P32" s="181">
        <v>0</v>
      </c>
    </row>
    <row r="33" spans="1:16">
      <c r="H33" s="185">
        <f>SUM(H6:H32)</f>
        <v>760.5214562222576</v>
      </c>
      <c r="I33" s="185">
        <f t="shared" ref="I33:P33" si="3">SUM(I6:I32)</f>
        <v>50.089383366780886</v>
      </c>
      <c r="J33" s="185">
        <f t="shared" si="3"/>
        <v>33.032679151371738</v>
      </c>
      <c r="K33" s="185">
        <f t="shared" si="3"/>
        <v>85.40426012112782</v>
      </c>
      <c r="L33" s="185">
        <f t="shared" si="3"/>
        <v>118.43693927249959</v>
      </c>
      <c r="M33" s="185">
        <f t="shared" si="3"/>
        <v>95.553383626227316</v>
      </c>
      <c r="N33" s="185">
        <f t="shared" si="3"/>
        <v>859.22773251106219</v>
      </c>
      <c r="O33" s="185">
        <f t="shared" si="3"/>
        <v>977.66467178356174</v>
      </c>
      <c r="P33" s="185">
        <f t="shared" si="3"/>
        <v>0</v>
      </c>
    </row>
    <row r="34" spans="1:16" ht="12.75" thickBot="1">
      <c r="B34" s="172"/>
      <c r="C34" s="172"/>
      <c r="D34" s="172"/>
      <c r="E34" s="172"/>
      <c r="F34" s="172"/>
      <c r="G34" s="173"/>
      <c r="H34" s="186"/>
      <c r="I34" s="186"/>
      <c r="J34" s="186"/>
      <c r="K34" s="186"/>
      <c r="L34" s="186"/>
      <c r="M34" s="186"/>
      <c r="N34" s="186"/>
      <c r="O34" s="186"/>
      <c r="P34" s="186"/>
    </row>
    <row r="35" spans="1:16"/>
    <row r="36" spans="1:16">
      <c r="H36" s="1311" t="s">
        <v>99</v>
      </c>
      <c r="I36" s="1311"/>
      <c r="J36" s="1311"/>
      <c r="K36" s="1311"/>
      <c r="L36" s="1311"/>
      <c r="M36" s="1311"/>
      <c r="N36" s="1311"/>
      <c r="O36" s="1311"/>
      <c r="P36" s="1311"/>
    </row>
    <row r="37" spans="1:16" ht="12.75" thickBot="1">
      <c r="B37" s="175" t="s">
        <v>22</v>
      </c>
      <c r="C37" s="175" t="s">
        <v>100</v>
      </c>
      <c r="D37" s="175" t="s">
        <v>101</v>
      </c>
      <c r="E37" s="175" t="s">
        <v>102</v>
      </c>
      <c r="F37" s="175" t="s">
        <v>103</v>
      </c>
      <c r="G37" s="72" t="s">
        <v>104</v>
      </c>
      <c r="H37" s="176" t="s">
        <v>105</v>
      </c>
      <c r="I37" s="176" t="s">
        <v>106</v>
      </c>
      <c r="J37" s="176" t="s">
        <v>107</v>
      </c>
      <c r="K37" s="176" t="s">
        <v>108</v>
      </c>
      <c r="L37" s="176" t="s">
        <v>109</v>
      </c>
      <c r="M37" s="176" t="s">
        <v>110</v>
      </c>
      <c r="N37" s="176" t="s">
        <v>111</v>
      </c>
      <c r="O37" s="176" t="s">
        <v>112</v>
      </c>
      <c r="P37" s="176" t="s">
        <v>113</v>
      </c>
    </row>
    <row r="38" spans="1:16">
      <c r="A38" s="148">
        <f>MIN(Pile!AA464,Database!E18)</f>
        <v>0.2</v>
      </c>
      <c r="B38" s="150" t="str">
        <f>Database!D18</f>
        <v>PT RC Flat Slab</v>
      </c>
      <c r="C38" s="150" t="s">
        <v>114</v>
      </c>
      <c r="D38" s="150" t="s">
        <v>115</v>
      </c>
      <c r="E38" s="150" t="s">
        <v>116</v>
      </c>
      <c r="F38" s="150" t="str">
        <f>F6</f>
        <v>C32/40 - 25% GGBS</v>
      </c>
      <c r="G38" s="1301">
        <f>IF(A38=0,0,IF(Summary!J$8="No",Database!G18*Summary!C$13*Summary!C$14*Summary!C$15*Summary!C$16*Summary!C$17,Database!G18*Summary!C$13*Summary!C$14*Summary!C$15*Summary!C$16*(Summary!C$17-1)))</f>
        <v>2764800</v>
      </c>
      <c r="H38" s="178">
        <f>VLOOKUP($F38,'Carbon Factors'!$B$5:$L$41,2,FALSE)*'Material Quantities &amp; Embodied '!$G38/1000</f>
        <v>331.77600000000001</v>
      </c>
      <c r="I38" s="178">
        <f>VLOOKUP($F38,'Carbon Factors'!$B$5:$L$41,3,FALSE)*'Material Quantities &amp; Embodied '!$G38/1000</f>
        <v>13.824</v>
      </c>
      <c r="J38" s="178">
        <f>VLOOKUP($F38,'Carbon Factors'!$B$5:$L$41,5,FALSE)*'Material Quantities &amp; Embodied '!$G38/1000</f>
        <v>13.913856000000001</v>
      </c>
      <c r="K38" s="178">
        <f>VLOOKUP($F38,'Carbon Factors'!$B$5:$L$41,6,FALSE)*'Material Quantities &amp; Embodied '!$G38/1000</f>
        <v>35.942399999999999</v>
      </c>
      <c r="L38" s="178">
        <f>VLOOKUP($F38,'Carbon Factors'!$B$5:$L$41,7,FALSE)*'Material Quantities &amp; Embodied '!$G38/1000</f>
        <v>49.856256000000002</v>
      </c>
      <c r="M38" s="178">
        <f>VLOOKUP($F38,'Carbon Factors'!$B$5:$L$41,8,FALSE)*'Material Quantities &amp; Embodied '!$G38/1000</f>
        <v>12.16512</v>
      </c>
      <c r="N38" s="178">
        <f>VLOOKUP($F38,'Carbon Factors'!$B$5:$L$41,9,FALSE)*'Material Quantities &amp; Embodied '!$G38/1000</f>
        <v>366.55918156799999</v>
      </c>
      <c r="O38" s="178">
        <f>VLOOKUP($F38,'Carbon Factors'!$B$5:$L$41,10,FALSE)*'Material Quantities &amp; Embodied '!$G38/1000</f>
        <v>416.41543756800002</v>
      </c>
      <c r="P38" s="178">
        <f>VLOOKUP($F38,'Carbon Factors'!$B$5:$L$41,11,FALSE)*'Material Quantities &amp; Embodied '!$G38/1000</f>
        <v>0</v>
      </c>
    </row>
    <row r="39" spans="1:16">
      <c r="E39" s="150" t="s">
        <v>117</v>
      </c>
      <c r="F39" s="150" t="s">
        <v>118</v>
      </c>
      <c r="G39" s="1301">
        <f>IF(A38=0,0,IF(Summary!J$8="No",Database!H18*Summary!C$13*Summary!C$14*Summary!C$15*Summary!C$16*Summary!C$17,Database!H18*Summary!C$13*Summary!C$14*Summary!C$15*Summary!C$16*(Summary!C$17-1)))</f>
        <v>103680</v>
      </c>
      <c r="H39" s="178">
        <f>VLOOKUP($F39,'Carbon Factors'!$B$5:$L$41,2,FALSE)*'Material Quantities &amp; Embodied '!$G39/1000</f>
        <v>78.796800000000005</v>
      </c>
      <c r="I39" s="178">
        <f>VLOOKUP($F39,'Carbon Factors'!$B$5:$L$41,3,FALSE)*'Material Quantities &amp; Embodied '!$G39/1000</f>
        <v>3.3177600000000003</v>
      </c>
      <c r="J39" s="178">
        <f>VLOOKUP($F39,'Carbon Factors'!$B$5:$L$41,5,FALSE)*'Material Quantities &amp; Embodied '!$G39/1000</f>
        <v>0.52176960000000006</v>
      </c>
      <c r="K39" s="178">
        <f>VLOOKUP($F39,'Carbon Factors'!$B$5:$L$41,6,FALSE)*'Material Quantities &amp; Embodied '!$G39/1000</f>
        <v>1.3478399999999999</v>
      </c>
      <c r="L39" s="178">
        <f>VLOOKUP($F39,'Carbon Factors'!$B$5:$L$41,7,FALSE)*'Material Quantities &amp; Embodied '!$G39/1000</f>
        <v>1.8696096</v>
      </c>
      <c r="M39" s="178">
        <f>VLOOKUP($F39,'Carbon Factors'!$B$5:$L$41,8,FALSE)*'Material Quantities &amp; Embodied '!$G39/1000</f>
        <v>36.391680000000001</v>
      </c>
      <c r="N39" s="178">
        <f>VLOOKUP($F39,'Carbon Factors'!$B$5:$L$41,9,FALSE)*'Material Quantities &amp; Embodied '!$G39/1000</f>
        <v>86.56572098880001</v>
      </c>
      <c r="O39" s="178">
        <f>VLOOKUP($F39,'Carbon Factors'!$B$5:$L$41,10,FALSE)*'Material Quantities &amp; Embodied '!$G39/1000</f>
        <v>88.435330588799999</v>
      </c>
      <c r="P39" s="178">
        <f>VLOOKUP($F39,'Carbon Factors'!$B$5:$L$41,11,FALSE)*'Material Quantities &amp; Embodied '!$G39/1000</f>
        <v>0</v>
      </c>
    </row>
    <row r="40" spans="1:16">
      <c r="D40" s="150" t="s">
        <v>119</v>
      </c>
      <c r="E40" s="150" t="s">
        <v>116</v>
      </c>
      <c r="F40" s="150" t="str">
        <f>F6</f>
        <v>C32/40 - 25% GGBS</v>
      </c>
      <c r="G40" s="1301">
        <f>IF(A38=0,0,'RC Column'!M61*24*1000/9.81)</f>
        <v>90825.688073394485</v>
      </c>
      <c r="H40" s="178">
        <f>VLOOKUP($F40,'Carbon Factors'!$B$5:$L$41,2,FALSE)*'Material Quantities &amp; Embodied '!$G40/1000</f>
        <v>10.899082568807339</v>
      </c>
      <c r="I40" s="178">
        <f>VLOOKUP($F40,'Carbon Factors'!$B$5:$L$41,3,FALSE)*'Material Quantities &amp; Embodied '!$G40/1000</f>
        <v>0.45412844036697242</v>
      </c>
      <c r="J40" s="178">
        <f>VLOOKUP($F40,'Carbon Factors'!$B$5:$L$41,5,FALSE)*'Material Quantities &amp; Embodied '!$G40/1000</f>
        <v>0.45708027522935779</v>
      </c>
      <c r="K40" s="178">
        <f>VLOOKUP($F40,'Carbon Factors'!$B$5:$L$41,6,FALSE)*'Material Quantities &amp; Embodied '!$G40/1000</f>
        <v>1.1807339449541283</v>
      </c>
      <c r="L40" s="178">
        <f>VLOOKUP($F40,'Carbon Factors'!$B$5:$L$41,7,FALSE)*'Material Quantities &amp; Embodied '!$G40/1000</f>
        <v>1.637814220183486</v>
      </c>
      <c r="M40" s="178">
        <f>VLOOKUP($F40,'Carbon Factors'!$B$5:$L$41,8,FALSE)*'Material Quantities &amp; Embodied '!$G40/1000</f>
        <v>0.39963302752293578</v>
      </c>
      <c r="N40" s="178">
        <f>VLOOKUP($F40,'Carbon Factors'!$B$5:$L$41,9,FALSE)*'Material Quantities &amp; Embodied '!$G40/1000</f>
        <v>12.041735346330274</v>
      </c>
      <c r="O40" s="178">
        <f>VLOOKUP($F40,'Carbon Factors'!$B$5:$L$41,10,FALSE)*'Material Quantities &amp; Embodied '!$G40/1000</f>
        <v>13.67954956651376</v>
      </c>
      <c r="P40" s="178">
        <f>VLOOKUP($F40,'Carbon Factors'!$B$5:$L$41,11,FALSE)*'Material Quantities &amp; Embodied '!$G40/1000</f>
        <v>0</v>
      </c>
    </row>
    <row r="41" spans="1:16">
      <c r="E41" s="150" t="s">
        <v>117</v>
      </c>
      <c r="F41" s="150" t="s">
        <v>118</v>
      </c>
      <c r="G41" s="1301">
        <f>IF(A38=0,0,'RC Column'!N61*1000)</f>
        <v>11657.250000000002</v>
      </c>
      <c r="H41" s="178">
        <f>VLOOKUP($F41,'Carbon Factors'!$B$5:$L$41,2,FALSE)*'Material Quantities &amp; Embodied '!$G41/1000</f>
        <v>8.859510000000002</v>
      </c>
      <c r="I41" s="178">
        <f>VLOOKUP($F41,'Carbon Factors'!$B$5:$L$41,3,FALSE)*'Material Quantities &amp; Embodied '!$G41/1000</f>
        <v>0.37303200000000003</v>
      </c>
      <c r="J41" s="178">
        <f>VLOOKUP($F41,'Carbon Factors'!$B$5:$L$41,5,FALSE)*'Material Quantities &amp; Embodied '!$G41/1000</f>
        <v>5.8665110625000016E-2</v>
      </c>
      <c r="K41" s="178">
        <f>VLOOKUP($F41,'Carbon Factors'!$B$5:$L$41,6,FALSE)*'Material Quantities &amp; Embodied '!$G41/1000</f>
        <v>0.15154424999999999</v>
      </c>
      <c r="L41" s="178">
        <f>VLOOKUP($F41,'Carbon Factors'!$B$5:$L$41,7,FALSE)*'Material Quantities &amp; Embodied '!$G41/1000</f>
        <v>0.21020936062500004</v>
      </c>
      <c r="M41" s="178">
        <f>VLOOKUP($F41,'Carbon Factors'!$B$5:$L$41,8,FALSE)*'Material Quantities &amp; Embodied '!$G41/1000</f>
        <v>4.0916947500000003</v>
      </c>
      <c r="N41" s="178">
        <f>VLOOKUP($F41,'Carbon Factors'!$B$5:$L$41,9,FALSE)*'Material Quantities &amp; Embodied '!$G41/1000</f>
        <v>9.7330078221131267</v>
      </c>
      <c r="O41" s="178">
        <f>VLOOKUP($F41,'Carbon Factors'!$B$5:$L$41,10,FALSE)*'Material Quantities &amp; Embodied '!$G41/1000</f>
        <v>9.9432171827381257</v>
      </c>
      <c r="P41" s="178">
        <f>VLOOKUP($F41,'Carbon Factors'!$B$5:$L$41,11,FALSE)*'Material Quantities &amp; Embodied '!$G41/1000</f>
        <v>0</v>
      </c>
    </row>
    <row r="42" spans="1:16">
      <c r="D42" s="150" t="s">
        <v>120</v>
      </c>
      <c r="E42" s="150" t="s">
        <v>121</v>
      </c>
      <c r="F42" s="150" t="str">
        <f>F6</f>
        <v>C32/40 - 25% GGBS</v>
      </c>
      <c r="G42" s="1301">
        <f>IF(A38=0,0,SUM('Shear Walls'!I84,'Shear Walls'!I118))</f>
        <v>34046.972477064228</v>
      </c>
      <c r="H42" s="178">
        <f>VLOOKUP($F42,'Carbon Factors'!$B$5:$L$41,2,FALSE)*'Material Quantities &amp; Embodied '!$G42/1000</f>
        <v>4.0856366972477067</v>
      </c>
      <c r="I42" s="178">
        <f>VLOOKUP($F42,'Carbon Factors'!$B$5:$L$41,3,FALSE)*'Material Quantities &amp; Embodied '!$G42/1000</f>
        <v>0.17023486238532115</v>
      </c>
      <c r="J42" s="178">
        <f>VLOOKUP($F42,'Carbon Factors'!$B$5:$L$41,5,FALSE)*'Material Quantities &amp; Embodied '!$G42/1000</f>
        <v>0.17134138899082574</v>
      </c>
      <c r="K42" s="178">
        <f>VLOOKUP($F42,'Carbon Factors'!$B$5:$L$41,6,FALSE)*'Material Quantities &amp; Embodied '!$G42/1000</f>
        <v>0.44261064220183494</v>
      </c>
      <c r="L42" s="178">
        <f>VLOOKUP($F42,'Carbon Factors'!$B$5:$L$41,7,FALSE)*'Material Quantities &amp; Embodied '!$G42/1000</f>
        <v>0.61395203119266073</v>
      </c>
      <c r="M42" s="178">
        <f>VLOOKUP($F42,'Carbon Factors'!$B$5:$L$41,8,FALSE)*'Material Quantities &amp; Embodied '!$G42/1000</f>
        <v>0.14980667889908261</v>
      </c>
      <c r="N42" s="178">
        <f>VLOOKUP($F42,'Carbon Factors'!$B$5:$L$41,9,FALSE)*'Material Quantities &amp; Embodied '!$G42/1000</f>
        <v>4.5139722099467896</v>
      </c>
      <c r="O42" s="178">
        <f>VLOOKUP($F42,'Carbon Factors'!$B$5:$L$41,10,FALSE)*'Material Quantities &amp; Embodied '!$G42/1000</f>
        <v>5.1279242411394508</v>
      </c>
      <c r="P42" s="178">
        <f>VLOOKUP($F42,'Carbon Factors'!$B$5:$L$41,11,FALSE)*'Material Quantities &amp; Embodied '!$G42/1000</f>
        <v>0</v>
      </c>
    </row>
    <row r="43" spans="1:16">
      <c r="E43" s="150" t="s">
        <v>117</v>
      </c>
      <c r="F43" s="150" t="s">
        <v>118</v>
      </c>
      <c r="G43" s="1301">
        <f>IF(A38=0,0,SUM('Shear Walls'!I85,'Shear Walls'!I119))</f>
        <v>1203.7730889035529</v>
      </c>
      <c r="H43" s="178">
        <f>VLOOKUP($F43,'Carbon Factors'!$B$5:$L$41,2,FALSE)*'Material Quantities &amp; Embodied '!$G43/1000</f>
        <v>0.91486754756670019</v>
      </c>
      <c r="I43" s="178">
        <f>VLOOKUP($F43,'Carbon Factors'!$B$5:$L$41,3,FALSE)*'Material Quantities &amp; Embodied '!$G43/1000</f>
        <v>3.8520738844913693E-2</v>
      </c>
      <c r="J43" s="178">
        <f>VLOOKUP($F43,'Carbon Factors'!$B$5:$L$41,5,FALSE)*'Material Quantities &amp; Embodied '!$G43/1000</f>
        <v>6.0579880699071307E-3</v>
      </c>
      <c r="K43" s="178">
        <f>VLOOKUP($F43,'Carbon Factors'!$B$5:$L$41,6,FALSE)*'Material Quantities &amp; Embodied '!$G43/1000</f>
        <v>1.5649050155746188E-2</v>
      </c>
      <c r="L43" s="178">
        <f>VLOOKUP($F43,'Carbon Factors'!$B$5:$L$41,7,FALSE)*'Material Quantities &amp; Embodied '!$G43/1000</f>
        <v>2.1707038225653317E-2</v>
      </c>
      <c r="M43" s="178">
        <f>VLOOKUP($F43,'Carbon Factors'!$B$5:$L$41,8,FALSE)*'Material Quantities &amp; Embodied '!$G43/1000</f>
        <v>0.42252435420514706</v>
      </c>
      <c r="N43" s="178">
        <f>VLOOKUP($F43,'Carbon Factors'!$B$5:$L$41,9,FALSE)*'Material Quantities &amp; Embodied '!$G43/1000</f>
        <v>1.0050683386173891</v>
      </c>
      <c r="O43" s="178">
        <f>VLOOKUP($F43,'Carbon Factors'!$B$5:$L$41,10,FALSE)*'Material Quantities &amp; Embodied '!$G43/1000</f>
        <v>1.0267753768430425</v>
      </c>
      <c r="P43" s="178">
        <f>VLOOKUP($F43,'Carbon Factors'!$B$5:$L$41,11,FALSE)*'Material Quantities &amp; Embodied '!$G43/1000</f>
        <v>0</v>
      </c>
    </row>
    <row r="44" spans="1:16">
      <c r="D44" s="150" t="s">
        <v>122</v>
      </c>
      <c r="E44" s="150" t="s">
        <v>116</v>
      </c>
      <c r="F44" s="150" t="str">
        <f>Summary!F$9</f>
        <v>C32/40 - 25% GGBS</v>
      </c>
      <c r="G44" s="1301">
        <f>IF(A38=0,0,IF(Summary!J$8="Yes",Summary!C$13*Summary!C$14*Summary!C$15*Summary!C$16*Summary!J$9*24*1000/9.81,0))</f>
        <v>0</v>
      </c>
      <c r="H44" s="178">
        <f>VLOOKUP($F44,'Carbon Factors'!$B$5:$L$41,2,FALSE)*'Material Quantities &amp; Embodied '!$G44/1000</f>
        <v>0</v>
      </c>
      <c r="I44" s="178">
        <f>VLOOKUP($F44,'Carbon Factors'!$B$5:$L$41,3,FALSE)*'Material Quantities &amp; Embodied '!$G44/1000</f>
        <v>0</v>
      </c>
      <c r="J44" s="178">
        <f>VLOOKUP($F44,'Carbon Factors'!$B$5:$L$41,5,FALSE)*'Material Quantities &amp; Embodied '!$G44/1000</f>
        <v>0</v>
      </c>
      <c r="K44" s="178">
        <f>VLOOKUP($F44,'Carbon Factors'!$B$5:$L$41,6,FALSE)*'Material Quantities &amp; Embodied '!$G44/1000</f>
        <v>0</v>
      </c>
      <c r="L44" s="178">
        <f>VLOOKUP($F44,'Carbon Factors'!$B$5:$L$41,7,FALSE)*'Material Quantities &amp; Embodied '!$G44/1000</f>
        <v>0</v>
      </c>
      <c r="M44" s="178">
        <f>VLOOKUP($F44,'Carbon Factors'!$B$5:$L$41,8,FALSE)*'Material Quantities &amp; Embodied '!$G44/1000</f>
        <v>0</v>
      </c>
      <c r="N44" s="178">
        <f>VLOOKUP($F44,'Carbon Factors'!$B$5:$L$41,9,FALSE)*'Material Quantities &amp; Embodied '!$G44/1000</f>
        <v>0</v>
      </c>
      <c r="O44" s="178">
        <f>VLOOKUP($F44,'Carbon Factors'!$B$5:$L$41,10,FALSE)*'Material Quantities &amp; Embodied '!$G44/1000</f>
        <v>0</v>
      </c>
      <c r="P44" s="178">
        <f>VLOOKUP($F44,'Carbon Factors'!$B$5:$L$41,11,FALSE)*'Material Quantities &amp; Embodied '!$G44/1000</f>
        <v>0</v>
      </c>
    </row>
    <row r="45" spans="1:16">
      <c r="C45" s="179"/>
      <c r="D45" s="179"/>
      <c r="E45" s="179" t="s">
        <v>117</v>
      </c>
      <c r="F45" s="179" t="s">
        <v>118</v>
      </c>
      <c r="G45" s="1302">
        <f>IF(A38=0,0,IF(Summary!J$8="Yes",Summary!C$13*Summary!C$14*Summary!C$15*Summary!C$16*Summary!J$9*Summary!J$10,0))</f>
        <v>0</v>
      </c>
      <c r="H45" s="181">
        <f>VLOOKUP($F45,'Carbon Factors'!$B$5:$L$41,2,FALSE)*'Material Quantities &amp; Embodied '!$G45/1000</f>
        <v>0</v>
      </c>
      <c r="I45" s="181">
        <f>VLOOKUP($F45,'Carbon Factors'!$B$5:$L$41,3,FALSE)*'Material Quantities &amp; Embodied '!$G45/1000</f>
        <v>0</v>
      </c>
      <c r="J45" s="181">
        <f>VLOOKUP($F45,'Carbon Factors'!$B$5:$L$41,5,FALSE)*'Material Quantities &amp; Embodied '!$G45/1000</f>
        <v>0</v>
      </c>
      <c r="K45" s="181">
        <f>VLOOKUP($F45,'Carbon Factors'!$B$5:$L$41,6,FALSE)*'Material Quantities &amp; Embodied '!$G45/1000</f>
        <v>0</v>
      </c>
      <c r="L45" s="181">
        <f>VLOOKUP($F45,'Carbon Factors'!$B$5:$L$41,7,FALSE)*'Material Quantities &amp; Embodied '!$G45/1000</f>
        <v>0</v>
      </c>
      <c r="M45" s="181">
        <f>VLOOKUP($F45,'Carbon Factors'!$B$5:$L$41,8,FALSE)*'Material Quantities &amp; Embodied '!$G45/1000</f>
        <v>0</v>
      </c>
      <c r="N45" s="181">
        <f>VLOOKUP($F45,'Carbon Factors'!$B$5:$L$41,9,FALSE)*'Material Quantities &amp; Embodied '!$G45/1000</f>
        <v>0</v>
      </c>
      <c r="O45" s="181">
        <f>VLOOKUP($F45,'Carbon Factors'!$B$5:$L$41,10,FALSE)*'Material Quantities &amp; Embodied '!$G45/1000</f>
        <v>0</v>
      </c>
      <c r="P45" s="181">
        <f>VLOOKUP($F45,'Carbon Factors'!$B$5:$L$41,11,FALSE)*'Material Quantities &amp; Embodied '!$G45/1000</f>
        <v>0</v>
      </c>
    </row>
    <row r="46" spans="1:16">
      <c r="C46" s="150" t="s">
        <v>123</v>
      </c>
      <c r="D46" s="150" t="s">
        <v>124</v>
      </c>
      <c r="E46" s="150" t="s">
        <v>116</v>
      </c>
      <c r="F46" s="150" t="str">
        <f>F6</f>
        <v>C32/40 - 25% GGBS</v>
      </c>
      <c r="G46" s="1301">
        <f>IF(A38=0,0,IF(Summary!J13="No",(480*Summary!C13*Summary!C14*Summary!C15*Summary!C16),(Basement!C11*Summary!C13*Summary!C14*Summary!C15*Summary!C16)))</f>
        <v>1382400</v>
      </c>
      <c r="H46" s="178">
        <f>VLOOKUP($F46,'Carbon Factors'!$B$5:$L$41,2,FALSE)*'Material Quantities &amp; Embodied '!$G46/1000</f>
        <v>165.88800000000001</v>
      </c>
      <c r="I46" s="178">
        <f>VLOOKUP($F46,'Carbon Factors'!$B$5:$L$41,3,FALSE)*'Material Quantities &amp; Embodied '!$G46/1000</f>
        <v>6.9119999999999999</v>
      </c>
      <c r="J46" s="178">
        <f>VLOOKUP($F46,'Carbon Factors'!$B$5:$L$41,5,FALSE)*'Material Quantities &amp; Embodied '!$G46/1000</f>
        <v>6.9569280000000004</v>
      </c>
      <c r="K46" s="178">
        <f>VLOOKUP($F46,'Carbon Factors'!$B$5:$L$41,6,FALSE)*'Material Quantities &amp; Embodied '!$G46/1000</f>
        <v>17.9712</v>
      </c>
      <c r="L46" s="178">
        <f>VLOOKUP($F46,'Carbon Factors'!$B$5:$L$41,7,FALSE)*'Material Quantities &amp; Embodied '!$G46/1000</f>
        <v>24.928128000000001</v>
      </c>
      <c r="M46" s="178">
        <f>VLOOKUP($F46,'Carbon Factors'!$B$5:$L$41,8,FALSE)*'Material Quantities &amp; Embodied '!$G46/1000</f>
        <v>6.08256</v>
      </c>
      <c r="N46" s="178">
        <f>VLOOKUP($F46,'Carbon Factors'!$B$5:$L$41,9,FALSE)*'Material Quantities &amp; Embodied '!$G46/1000</f>
        <v>183.27959078399999</v>
      </c>
      <c r="O46" s="178">
        <f>VLOOKUP($F46,'Carbon Factors'!$B$5:$L$41,10,FALSE)*'Material Quantities &amp; Embodied '!$G46/1000</f>
        <v>208.20771878400001</v>
      </c>
      <c r="P46" s="178">
        <f>VLOOKUP($F46,'Carbon Factors'!$B$5:$L$41,11,FALSE)*'Material Quantities &amp; Embodied '!$G46/1000</f>
        <v>0</v>
      </c>
    </row>
    <row r="47" spans="1:16">
      <c r="E47" s="150" t="s">
        <v>117</v>
      </c>
      <c r="F47" s="150" t="s">
        <v>118</v>
      </c>
      <c r="G47" s="1301">
        <f>IF(A38=0,0,IF(Summary!J13="No",(12*Summary!C13*Summary!C14*Summary!C15*Summary!C16),(Basement!C10*Summary!C13*Summary!C14*Summary!C15*Summary!C16)))</f>
        <v>34560</v>
      </c>
      <c r="H47" s="178">
        <f>VLOOKUP($F47,'Carbon Factors'!$B$5:$L$41,2,FALSE)*'Material Quantities &amp; Embodied '!$G47/1000</f>
        <v>26.265599999999999</v>
      </c>
      <c r="I47" s="178">
        <f>VLOOKUP($F47,'Carbon Factors'!$B$5:$L$41,3,FALSE)*'Material Quantities &amp; Embodied '!$G47/1000</f>
        <v>1.10592</v>
      </c>
      <c r="J47" s="178">
        <f>VLOOKUP($F47,'Carbon Factors'!$B$5:$L$41,5,FALSE)*'Material Quantities &amp; Embodied '!$G47/1000</f>
        <v>0.1739232</v>
      </c>
      <c r="K47" s="178">
        <f>VLOOKUP($F47,'Carbon Factors'!$B$5:$L$41,6,FALSE)*'Material Quantities &amp; Embodied '!$G47/1000</f>
        <v>0.44927999999999996</v>
      </c>
      <c r="L47" s="178">
        <f>VLOOKUP($F47,'Carbon Factors'!$B$5:$L$41,7,FALSE)*'Material Quantities &amp; Embodied '!$G47/1000</f>
        <v>0.62320320000000007</v>
      </c>
      <c r="M47" s="178">
        <f>VLOOKUP($F47,'Carbon Factors'!$B$5:$L$41,8,FALSE)*'Material Quantities &amp; Embodied '!$G47/1000</f>
        <v>12.130559999999999</v>
      </c>
      <c r="N47" s="178">
        <f>VLOOKUP($F47,'Carbon Factors'!$B$5:$L$41,9,FALSE)*'Material Quantities &amp; Embodied '!$G47/1000</f>
        <v>28.855240329600001</v>
      </c>
      <c r="O47" s="178">
        <f>VLOOKUP($F47,'Carbon Factors'!$B$5:$L$41,10,FALSE)*'Material Quantities &amp; Embodied '!$G47/1000</f>
        <v>29.4784435296</v>
      </c>
      <c r="P47" s="178">
        <f>VLOOKUP($F47,'Carbon Factors'!$B$5:$L$41,11,FALSE)*'Material Quantities &amp; Embodied '!$G47/1000</f>
        <v>0</v>
      </c>
    </row>
    <row r="48" spans="1:16">
      <c r="D48" s="150" t="s">
        <v>126</v>
      </c>
      <c r="E48" s="150" t="s">
        <v>116</v>
      </c>
      <c r="F48" s="150" t="s">
        <v>127</v>
      </c>
      <c r="G48" s="1301">
        <f>IF(A38=0,0,Summary!C13*Summary!C14*Summary!C15*Summary!C16*0.05*24*1000/9.81)</f>
        <v>352293.57798165135</v>
      </c>
      <c r="H48" s="178">
        <f>VLOOKUP($F48,'Carbon Factors'!$B$5:$L$41,2,FALSE)*'Material Quantities &amp; Embodied '!$G48/1000</f>
        <v>52.491743119266054</v>
      </c>
      <c r="I48" s="178">
        <f>VLOOKUP($F48,'Carbon Factors'!$B$5:$L$41,3,FALSE)*'Material Quantities &amp; Embodied '!$G48/1000</f>
        <v>1.761467889908257</v>
      </c>
      <c r="J48" s="178">
        <f>VLOOKUP($F48,'Carbon Factors'!$B$5:$L$41,5,FALSE)*'Material Quantities &amp; Embodied '!$G48/1000</f>
        <v>1.7729174311926605</v>
      </c>
      <c r="K48" s="178">
        <f>VLOOKUP($F48,'Carbon Factors'!$B$5:$L$41,6,FALSE)*'Material Quantities &amp; Embodied '!$G48/1000</f>
        <v>4.5798165137614681</v>
      </c>
      <c r="L48" s="178">
        <f>VLOOKUP($F48,'Carbon Factors'!$B$5:$L$41,7,FALSE)*'Material Quantities &amp; Embodied '!$G48/1000</f>
        <v>6.352733944954128</v>
      </c>
      <c r="M48" s="178">
        <f>VLOOKUP($F48,'Carbon Factors'!$B$5:$L$41,8,FALSE)*'Material Quantities &amp; Embodied '!$G48/1000</f>
        <v>1.550091743119266</v>
      </c>
      <c r="N48" s="178">
        <f>VLOOKUP($F48,'Carbon Factors'!$B$5:$L$41,9,FALSE)*'Material Quantities &amp; Embodied '!$G48/1000</f>
        <v>57.465326091743115</v>
      </c>
      <c r="O48" s="178">
        <f>VLOOKUP($F48,'Carbon Factors'!$B$5:$L$41,10,FALSE)*'Material Quantities &amp; Embodied '!$G48/1000</f>
        <v>63.818060036697247</v>
      </c>
      <c r="P48" s="178">
        <f>VLOOKUP($F48,'Carbon Factors'!$B$5:$L$41,11,FALSE)*'Material Quantities &amp; Embodied '!$G48/1000</f>
        <v>0</v>
      </c>
    </row>
    <row r="49" spans="2:16">
      <c r="D49" s="150" t="s">
        <v>128</v>
      </c>
      <c r="E49" s="150" t="s">
        <v>129</v>
      </c>
      <c r="F49" s="150" t="s">
        <v>130</v>
      </c>
      <c r="G49" s="1301">
        <f>IF(A38=0,0,Summary!C13*Summary!C14*Summary!C15*Summary!C16*0.15*20*1000/9.81)</f>
        <v>880733.94495412835</v>
      </c>
      <c r="H49" s="178">
        <f>VLOOKUP($F49,'Carbon Factors'!$B$5:$L$41,2,FALSE)*'Material Quantities &amp; Embodied '!$G49/1000</f>
        <v>6.5790825688073395</v>
      </c>
      <c r="I49" s="178">
        <f>VLOOKUP($F49,'Carbon Factors'!$B$5:$L$41,3,FALSE)*'Material Quantities &amp; Embodied '!$G49/1000</f>
        <v>4.4036697247706416</v>
      </c>
      <c r="J49" s="178">
        <f>VLOOKUP($F49,'Carbon Factors'!$B$5:$L$41,5,FALSE)*'Material Quantities &amp; Embodied '!$G49/1000</f>
        <v>4.4036697247706416</v>
      </c>
      <c r="K49" s="178">
        <f>VLOOKUP($F49,'Carbon Factors'!$B$5:$L$41,6,FALSE)*'Material Quantities &amp; Embodied '!$G49/1000</f>
        <v>11.449541284403667</v>
      </c>
      <c r="L49" s="178">
        <f>VLOOKUP($F49,'Carbon Factors'!$B$5:$L$41,7,FALSE)*'Material Quantities &amp; Embodied '!$G49/1000</f>
        <v>15.853211009174309</v>
      </c>
      <c r="M49" s="178">
        <f>VLOOKUP($F49,'Carbon Factors'!$B$5:$L$41,8,FALSE)*'Material Quantities &amp; Embodied '!$G49/1000</f>
        <v>0</v>
      </c>
      <c r="N49" s="178">
        <f>VLOOKUP($F49,'Carbon Factors'!$B$5:$L$41,9,FALSE)*'Material Quantities &amp; Embodied '!$G49/1000</f>
        <v>12.405058348623852</v>
      </c>
      <c r="O49" s="178">
        <f>VLOOKUP($F49,'Carbon Factors'!$B$5:$L$41,10,FALSE)*'Material Quantities &amp; Embodied '!$G49/1000</f>
        <v>28.258269357798163</v>
      </c>
      <c r="P49" s="178">
        <f>VLOOKUP($F49,'Carbon Factors'!$B$5:$L$41,11,FALSE)*'Material Quantities &amp; Embodied '!$G49/1000</f>
        <v>0</v>
      </c>
    </row>
    <row r="50" spans="2:16">
      <c r="D50" s="150" t="s">
        <v>131</v>
      </c>
      <c r="E50" s="150" t="s">
        <v>116</v>
      </c>
      <c r="F50" s="150" t="str">
        <f>F6</f>
        <v>C32/40 - 25% GGBS</v>
      </c>
      <c r="G50" s="1301">
        <f>IF(A38=0,0,Pile!AA468*24*1000/9.81)</f>
        <v>577808.06167744356</v>
      </c>
      <c r="H50" s="178">
        <f>VLOOKUP($F50,'Carbon Factors'!$B$5:$L$41,2,FALSE)*'Material Quantities &amp; Embodied '!$G50/1000</f>
        <v>69.336967401293222</v>
      </c>
      <c r="I50" s="178">
        <f>VLOOKUP($F50,'Carbon Factors'!$B$5:$L$41,3,FALSE)*'Material Quantities &amp; Embodied '!$G50/1000</f>
        <v>2.889040308387218</v>
      </c>
      <c r="J50" s="178">
        <f>VLOOKUP($F50,'Carbon Factors'!$B$5:$L$41,5,FALSE)*'Material Quantities &amp; Embodied '!$G50/1000</f>
        <v>2.907819070391735</v>
      </c>
      <c r="K50" s="178">
        <f>VLOOKUP($F50,'Carbon Factors'!$B$5:$L$41,6,FALSE)*'Material Quantities &amp; Embodied '!$G50/1000</f>
        <v>7.5115048018067663</v>
      </c>
      <c r="L50" s="178">
        <f>VLOOKUP($F50,'Carbon Factors'!$B$5:$L$41,7,FALSE)*'Material Quantities &amp; Embodied '!$G50/1000</f>
        <v>10.419323872198502</v>
      </c>
      <c r="M50" s="178">
        <f>VLOOKUP($F50,'Carbon Factors'!$B$5:$L$41,8,FALSE)*'Material Quantities &amp; Embodied '!$G50/1000</f>
        <v>2.5423554713807515</v>
      </c>
      <c r="N50" s="178">
        <f>VLOOKUP($F50,'Carbon Factors'!$B$5:$L$41,9,FALSE)*'Material Quantities &amp; Embodied '!$G50/1000</f>
        <v>76.606210283520028</v>
      </c>
      <c r="O50" s="178">
        <f>VLOOKUP($F50,'Carbon Factors'!$B$5:$L$41,10,FALSE)*'Material Quantities &amp; Embodied '!$G50/1000</f>
        <v>87.025534155718532</v>
      </c>
      <c r="P50" s="178">
        <f>VLOOKUP($F50,'Carbon Factors'!$B$5:$L$41,11,FALSE)*'Material Quantities &amp; Embodied '!$G50/1000</f>
        <v>0</v>
      </c>
    </row>
    <row r="51" spans="2:16">
      <c r="E51" s="150" t="s">
        <v>117</v>
      </c>
      <c r="F51" s="150" t="s">
        <v>118</v>
      </c>
      <c r="G51" s="1301">
        <f>IF(A38=0,0,Pile!AA474*1000)</f>
        <v>22493.829599999997</v>
      </c>
      <c r="H51" s="178">
        <f>VLOOKUP($F51,'Carbon Factors'!$B$5:$L$41,2,FALSE)*'Material Quantities &amp; Embodied '!$G51/1000</f>
        <v>17.095310496</v>
      </c>
      <c r="I51" s="178">
        <f>VLOOKUP($F51,'Carbon Factors'!$B$5:$L$41,3,FALSE)*'Material Quantities &amp; Embodied '!$G51/1000</f>
        <v>0.71980254719999992</v>
      </c>
      <c r="J51" s="178">
        <f>VLOOKUP($F51,'Carbon Factors'!$B$5:$L$41,5,FALSE)*'Material Quantities &amp; Embodied '!$G51/1000</f>
        <v>0.113200197462</v>
      </c>
      <c r="K51" s="178">
        <f>VLOOKUP($F51,'Carbon Factors'!$B$5:$L$41,6,FALSE)*'Material Quantities &amp; Embodied '!$G51/1000</f>
        <v>0.29241978479999997</v>
      </c>
      <c r="L51" s="178">
        <f>VLOOKUP($F51,'Carbon Factors'!$B$5:$L$41,7,FALSE)*'Material Quantities &amp; Embodied '!$G51/1000</f>
        <v>0.40561998226199997</v>
      </c>
      <c r="M51" s="178">
        <f>VLOOKUP($F51,'Carbon Factors'!$B$5:$L$41,8,FALSE)*'Material Quantities &amp; Embodied '!$G51/1000</f>
        <v>7.895334189599998</v>
      </c>
      <c r="N51" s="178">
        <f>VLOOKUP($F51,'Carbon Factors'!$B$5:$L$41,9,FALSE)*'Material Quantities &amp; Embodied '!$G51/1000</f>
        <v>18.780811893549487</v>
      </c>
      <c r="O51" s="178">
        <f>VLOOKUP($F51,'Carbon Factors'!$B$5:$L$41,10,FALSE)*'Material Quantities &amp; Embodied '!$G51/1000</f>
        <v>19.186431875811486</v>
      </c>
      <c r="P51" s="178">
        <f>VLOOKUP($F51,'Carbon Factors'!$B$5:$L$41,11,FALSE)*'Material Quantities &amp; Embodied '!$G51/1000</f>
        <v>0</v>
      </c>
    </row>
    <row r="52" spans="2:16">
      <c r="D52" s="150" t="s">
        <v>132</v>
      </c>
      <c r="E52" s="150" t="s">
        <v>116</v>
      </c>
      <c r="F52" s="150" t="str">
        <f>F6</f>
        <v>C32/40 - 25% GGBS</v>
      </c>
      <c r="G52" s="1301">
        <f>IF(A38=0,0,Pile!AA480*24*1000/9.81)</f>
        <v>151376.14678899082</v>
      </c>
      <c r="H52" s="178">
        <f>VLOOKUP($F52,'Carbon Factors'!$B$5:$L$41,2,FALSE)*'Material Quantities &amp; Embodied '!$G52/1000</f>
        <v>18.165137614678898</v>
      </c>
      <c r="I52" s="178">
        <f>VLOOKUP($F52,'Carbon Factors'!$B$5:$L$41,3,FALSE)*'Material Quantities &amp; Embodied '!$G52/1000</f>
        <v>0.75688073394495414</v>
      </c>
      <c r="J52" s="178">
        <f>VLOOKUP($F52,'Carbon Factors'!$B$5:$L$41,5,FALSE)*'Material Quantities &amp; Embodied '!$G52/1000</f>
        <v>0.76180045871559643</v>
      </c>
      <c r="K52" s="178">
        <f>VLOOKUP($F52,'Carbon Factors'!$B$5:$L$41,6,FALSE)*'Material Quantities &amp; Embodied '!$G52/1000</f>
        <v>1.9678899082568806</v>
      </c>
      <c r="L52" s="178">
        <f>VLOOKUP($F52,'Carbon Factors'!$B$5:$L$41,7,FALSE)*'Material Quantities &amp; Embodied '!$G52/1000</f>
        <v>2.729690366972477</v>
      </c>
      <c r="M52" s="178">
        <f>VLOOKUP($F52,'Carbon Factors'!$B$5:$L$41,8,FALSE)*'Material Quantities &amp; Embodied '!$G52/1000</f>
        <v>0.66605504587155961</v>
      </c>
      <c r="N52" s="178">
        <f>VLOOKUP($F52,'Carbon Factors'!$B$5:$L$41,9,FALSE)*'Material Quantities &amp; Embodied '!$G52/1000</f>
        <v>20.069558910550459</v>
      </c>
      <c r="O52" s="178">
        <f>VLOOKUP($F52,'Carbon Factors'!$B$5:$L$41,10,FALSE)*'Material Quantities &amp; Embodied '!$G52/1000</f>
        <v>22.799249277522936</v>
      </c>
      <c r="P52" s="178">
        <f>VLOOKUP($F52,'Carbon Factors'!$B$5:$L$41,11,FALSE)*'Material Quantities &amp; Embodied '!$G52/1000</f>
        <v>0</v>
      </c>
    </row>
    <row r="53" spans="2:16">
      <c r="E53" s="150" t="s">
        <v>117</v>
      </c>
      <c r="F53" s="150" t="s">
        <v>118</v>
      </c>
      <c r="G53" s="1301">
        <f>IF(A38=0,0,Pile!AB480*1000)</f>
        <v>6806.25</v>
      </c>
      <c r="H53" s="178">
        <f>VLOOKUP($F53,'Carbon Factors'!$B$5:$L$41,2,FALSE)*'Material Quantities &amp; Embodied '!$G53/1000</f>
        <v>5.1727499999999997</v>
      </c>
      <c r="I53" s="178">
        <f>VLOOKUP($F53,'Carbon Factors'!$B$5:$L$41,3,FALSE)*'Material Quantities &amp; Embodied '!$G53/1000</f>
        <v>0.21780000000000002</v>
      </c>
      <c r="J53" s="178">
        <f>VLOOKUP($F53,'Carbon Factors'!$B$5:$L$41,5,FALSE)*'Material Quantities &amp; Embodied '!$G53/1000</f>
        <v>3.4252453125000006E-2</v>
      </c>
      <c r="K53" s="178">
        <f>VLOOKUP($F53,'Carbon Factors'!$B$5:$L$41,6,FALSE)*'Material Quantities &amp; Embodied '!$G53/1000</f>
        <v>8.8481249999999997E-2</v>
      </c>
      <c r="L53" s="178">
        <f>VLOOKUP($F53,'Carbon Factors'!$B$5:$L$41,7,FALSE)*'Material Quantities &amp; Embodied '!$G53/1000</f>
        <v>0.12273370312500001</v>
      </c>
      <c r="M53" s="178">
        <f>VLOOKUP($F53,'Carbon Factors'!$B$5:$L$41,8,FALSE)*'Material Quantities &amp; Embodied '!$G53/1000</f>
        <v>2.3889937499999996</v>
      </c>
      <c r="N53" s="178">
        <f>VLOOKUP($F53,'Carbon Factors'!$B$5:$L$41,9,FALSE)*'Material Quantities &amp; Embodied '!$G53/1000</f>
        <v>5.6827540362656253</v>
      </c>
      <c r="O53" s="178">
        <f>VLOOKUP($F53,'Carbon Factors'!$B$5:$L$41,10,FALSE)*'Material Quantities &amp; Embodied '!$G53/1000</f>
        <v>5.8054877393906255</v>
      </c>
      <c r="P53" s="178">
        <f>VLOOKUP($F53,'Carbon Factors'!$B$5:$L$41,11,FALSE)*'Material Quantities &amp; Embodied '!$G53/1000</f>
        <v>0</v>
      </c>
    </row>
    <row r="54" spans="2:16">
      <c r="D54" s="150" t="s">
        <v>134</v>
      </c>
      <c r="E54" s="150" t="s">
        <v>116</v>
      </c>
      <c r="F54" s="150" t="str">
        <f>F6</f>
        <v>C32/40 - 25% GGBS</v>
      </c>
      <c r="G54" s="1301">
        <f>IF(A38=0,0,Basement!C31*Summary!C13*Summary!C14*Summary!C15*Summary!C16)</f>
        <v>0</v>
      </c>
      <c r="H54" s="178">
        <f>VLOOKUP($F54,'Carbon Factors'!$B$5:$L$41,2,FALSE)*'Material Quantities &amp; Embodied '!$G54/1000</f>
        <v>0</v>
      </c>
      <c r="I54" s="178">
        <f>VLOOKUP($F54,'Carbon Factors'!$B$5:$L$41,3,FALSE)*'Material Quantities &amp; Embodied '!$G54/1000</f>
        <v>0</v>
      </c>
      <c r="J54" s="178">
        <f>VLOOKUP($F54,'Carbon Factors'!$B$5:$L$41,5,FALSE)*'Material Quantities &amp; Embodied '!$G54/1000</f>
        <v>0</v>
      </c>
      <c r="K54" s="178">
        <f>VLOOKUP($F54,'Carbon Factors'!$B$5:$L$41,6,FALSE)*'Material Quantities &amp; Embodied '!$G54/1000</f>
        <v>0</v>
      </c>
      <c r="L54" s="178">
        <f>VLOOKUP($F54,'Carbon Factors'!$B$5:$L$41,7,FALSE)*'Material Quantities &amp; Embodied '!$G54/1000</f>
        <v>0</v>
      </c>
      <c r="M54" s="178">
        <f>VLOOKUP($F54,'Carbon Factors'!$B$5:$L$41,8,FALSE)*'Material Quantities &amp; Embodied '!$G54/1000</f>
        <v>0</v>
      </c>
      <c r="N54" s="178">
        <f>VLOOKUP($F54,'Carbon Factors'!$B$5:$L$41,9,FALSE)*'Material Quantities &amp; Embodied '!$G54/1000</f>
        <v>0</v>
      </c>
      <c r="O54" s="178">
        <f>VLOOKUP($F54,'Carbon Factors'!$B$5:$L$41,10,FALSE)*'Material Quantities &amp; Embodied '!$G54/1000</f>
        <v>0</v>
      </c>
      <c r="P54" s="178">
        <f>VLOOKUP($F54,'Carbon Factors'!$B$5:$L$41,11,FALSE)*'Material Quantities &amp; Embodied '!$G54/1000</f>
        <v>0</v>
      </c>
    </row>
    <row r="55" spans="2:16">
      <c r="E55" s="150" t="s">
        <v>117</v>
      </c>
      <c r="F55" s="150" t="s">
        <v>118</v>
      </c>
      <c r="G55" s="1301">
        <f>IF(A38=0,0,Basement!C30*Summary!C13*Summary!C14*Summary!C15*Summary!C16)</f>
        <v>0</v>
      </c>
      <c r="H55" s="178">
        <f>VLOOKUP($F55,'Carbon Factors'!$B$5:$L$41,2,FALSE)*'Material Quantities &amp; Embodied '!$G55/1000</f>
        <v>0</v>
      </c>
      <c r="I55" s="178">
        <f>VLOOKUP($F55,'Carbon Factors'!$B$5:$L$41,3,FALSE)*'Material Quantities &amp; Embodied '!$G55/1000</f>
        <v>0</v>
      </c>
      <c r="J55" s="178">
        <f>VLOOKUP($F55,'Carbon Factors'!$B$5:$L$41,5,FALSE)*'Material Quantities &amp; Embodied '!$G55/1000</f>
        <v>0</v>
      </c>
      <c r="K55" s="178">
        <f>VLOOKUP($F55,'Carbon Factors'!$B$5:$L$41,6,FALSE)*'Material Quantities &amp; Embodied '!$G55/1000</f>
        <v>0</v>
      </c>
      <c r="L55" s="178">
        <f>VLOOKUP($F55,'Carbon Factors'!$B$5:$L$41,7,FALSE)*'Material Quantities &amp; Embodied '!$G55/1000</f>
        <v>0</v>
      </c>
      <c r="M55" s="178">
        <f>VLOOKUP($F55,'Carbon Factors'!$B$5:$L$41,8,FALSE)*'Material Quantities &amp; Embodied '!$G55/1000</f>
        <v>0</v>
      </c>
      <c r="N55" s="178">
        <f>VLOOKUP($F55,'Carbon Factors'!$B$5:$L$41,9,FALSE)*'Material Quantities &amp; Embodied '!$G55/1000</f>
        <v>0</v>
      </c>
      <c r="O55" s="178">
        <f>VLOOKUP($F55,'Carbon Factors'!$B$5:$L$41,10,FALSE)*'Material Quantities &amp; Embodied '!$G55/1000</f>
        <v>0</v>
      </c>
      <c r="P55" s="178">
        <f>VLOOKUP($F55,'Carbon Factors'!$B$5:$L$41,11,FALSE)*'Material Quantities &amp; Embodied '!$G55/1000</f>
        <v>0</v>
      </c>
    </row>
    <row r="56" spans="2:16">
      <c r="D56" s="150" t="s">
        <v>135</v>
      </c>
      <c r="E56" s="150" t="s">
        <v>116</v>
      </c>
      <c r="F56" s="150" t="str">
        <f>F6</f>
        <v>C32/40 - 25% GGBS</v>
      </c>
      <c r="G56" s="1301">
        <f>IF(A38=0,0,(Summary!J14*(Summary!C13*Summary!C15*2+Summary!C14*Summary!C16*2))*Basement!K79)</f>
        <v>0</v>
      </c>
      <c r="H56" s="178">
        <f>VLOOKUP($F56,'Carbon Factors'!$B$5:$L$41,2,FALSE)*'Material Quantities &amp; Embodied '!$G56/1000</f>
        <v>0</v>
      </c>
      <c r="I56" s="178">
        <f>VLOOKUP($F56,'Carbon Factors'!$B$5:$L$41,3,FALSE)*'Material Quantities &amp; Embodied '!$G56/1000</f>
        <v>0</v>
      </c>
      <c r="J56" s="178">
        <f>VLOOKUP($F56,'Carbon Factors'!$B$5:$L$41,5,FALSE)*'Material Quantities &amp; Embodied '!$G56/1000</f>
        <v>0</v>
      </c>
      <c r="K56" s="178">
        <f>VLOOKUP($F56,'Carbon Factors'!$B$5:$L$41,6,FALSE)*'Material Quantities &amp; Embodied '!$G56/1000</f>
        <v>0</v>
      </c>
      <c r="L56" s="178">
        <f>VLOOKUP($F56,'Carbon Factors'!$B$5:$L$41,7,FALSE)*'Material Quantities &amp; Embodied '!$G56/1000</f>
        <v>0</v>
      </c>
      <c r="M56" s="178">
        <f>VLOOKUP($F56,'Carbon Factors'!$B$5:$L$41,8,FALSE)*'Material Quantities &amp; Embodied '!$G56/1000</f>
        <v>0</v>
      </c>
      <c r="N56" s="178">
        <f>VLOOKUP($F56,'Carbon Factors'!$B$5:$L$41,9,FALSE)*'Material Quantities &amp; Embodied '!$G56/1000</f>
        <v>0</v>
      </c>
      <c r="O56" s="178">
        <f>VLOOKUP($F56,'Carbon Factors'!$B$5:$L$41,10,FALSE)*'Material Quantities &amp; Embodied '!$G56/1000</f>
        <v>0</v>
      </c>
      <c r="P56" s="178">
        <f>VLOOKUP($F56,'Carbon Factors'!$B$5:$L$41,11,FALSE)*'Material Quantities &amp; Embodied '!$G56/1000</f>
        <v>0</v>
      </c>
    </row>
    <row r="57" spans="2:16">
      <c r="E57" s="150" t="s">
        <v>117</v>
      </c>
      <c r="F57" s="150" t="s">
        <v>118</v>
      </c>
      <c r="G57" s="1301">
        <f>IF(A38=0,0,(Summary!J14*(Summary!C13*Summary!C15*2+Summary!C14*Summary!C16*2))*Basement!K78)</f>
        <v>0</v>
      </c>
      <c r="H57" s="178">
        <f>VLOOKUP($F57,'Carbon Factors'!$B$5:$L$41,2,FALSE)*'Material Quantities &amp; Embodied '!$G57/1000</f>
        <v>0</v>
      </c>
      <c r="I57" s="178">
        <f>VLOOKUP($F57,'Carbon Factors'!$B$5:$L$41,3,FALSE)*'Material Quantities &amp; Embodied '!$G57/1000</f>
        <v>0</v>
      </c>
      <c r="J57" s="178">
        <f>VLOOKUP($F57,'Carbon Factors'!$B$5:$L$41,5,FALSE)*'Material Quantities &amp; Embodied '!$G57/1000</f>
        <v>0</v>
      </c>
      <c r="K57" s="178">
        <f>VLOOKUP($F57,'Carbon Factors'!$B$5:$L$41,6,FALSE)*'Material Quantities &amp; Embodied '!$G57/1000</f>
        <v>0</v>
      </c>
      <c r="L57" s="178">
        <f>VLOOKUP($F57,'Carbon Factors'!$B$5:$L$41,7,FALSE)*'Material Quantities &amp; Embodied '!$G57/1000</f>
        <v>0</v>
      </c>
      <c r="M57" s="178">
        <f>VLOOKUP($F57,'Carbon Factors'!$B$5:$L$41,8,FALSE)*'Material Quantities &amp; Embodied '!$G57/1000</f>
        <v>0</v>
      </c>
      <c r="N57" s="178">
        <f>VLOOKUP($F57,'Carbon Factors'!$B$5:$L$41,9,FALSE)*'Material Quantities &amp; Embodied '!$G57/1000</f>
        <v>0</v>
      </c>
      <c r="O57" s="178">
        <f>VLOOKUP($F57,'Carbon Factors'!$B$5:$L$41,10,FALSE)*'Material Quantities &amp; Embodied '!$G57/1000</f>
        <v>0</v>
      </c>
      <c r="P57" s="178">
        <f>VLOOKUP($F57,'Carbon Factors'!$B$5:$L$41,11,FALSE)*'Material Quantities &amp; Embodied '!$G57/1000</f>
        <v>0</v>
      </c>
    </row>
    <row r="58" spans="2:16">
      <c r="D58" s="150" t="s">
        <v>136</v>
      </c>
      <c r="E58" s="150" t="s">
        <v>116</v>
      </c>
      <c r="F58" s="150" t="str">
        <f>F6</f>
        <v>C32/40 - 25% GGBS</v>
      </c>
      <c r="G58" s="1301">
        <f>IF(A38=0,0,(Basement!M98+Basement!M111+Basement!M124)*24*1000/9.81)</f>
        <v>0</v>
      </c>
      <c r="H58" s="178">
        <f>VLOOKUP($F58,'Carbon Factors'!$B$5:$L$41,2,FALSE)*'Material Quantities &amp; Embodied '!$G58/1000</f>
        <v>0</v>
      </c>
      <c r="I58" s="178">
        <f>VLOOKUP($F58,'Carbon Factors'!$B$5:$L$41,3,FALSE)*'Material Quantities &amp; Embodied '!$G58/1000</f>
        <v>0</v>
      </c>
      <c r="J58" s="178">
        <f>VLOOKUP($F58,'Carbon Factors'!$B$5:$L$41,5,FALSE)*'Material Quantities &amp; Embodied '!$G58/1000</f>
        <v>0</v>
      </c>
      <c r="K58" s="178">
        <f>VLOOKUP($F58,'Carbon Factors'!$B$5:$L$41,6,FALSE)*'Material Quantities &amp; Embodied '!$G58/1000</f>
        <v>0</v>
      </c>
      <c r="L58" s="178">
        <f>VLOOKUP($F58,'Carbon Factors'!$B$5:$L$41,7,FALSE)*'Material Quantities &amp; Embodied '!$G58/1000</f>
        <v>0</v>
      </c>
      <c r="M58" s="178">
        <f>VLOOKUP($F58,'Carbon Factors'!$B$5:$L$41,8,FALSE)*'Material Quantities &amp; Embodied '!$G58/1000</f>
        <v>0</v>
      </c>
      <c r="N58" s="178">
        <f>VLOOKUP($F58,'Carbon Factors'!$B$5:$L$41,9,FALSE)*'Material Quantities &amp; Embodied '!$G58/1000</f>
        <v>0</v>
      </c>
      <c r="O58" s="178">
        <f>VLOOKUP($F58,'Carbon Factors'!$B$5:$L$41,10,FALSE)*'Material Quantities &amp; Embodied '!$G58/1000</f>
        <v>0</v>
      </c>
      <c r="P58" s="178">
        <f>VLOOKUP($F58,'Carbon Factors'!$B$5:$L$41,11,FALSE)*'Material Quantities &amp; Embodied '!$G58/1000</f>
        <v>0</v>
      </c>
    </row>
    <row r="59" spans="2:16">
      <c r="E59" s="150" t="s">
        <v>117</v>
      </c>
      <c r="F59" s="150" t="s">
        <v>118</v>
      </c>
      <c r="G59" s="1301">
        <f>IF(A38=0,0,(Basement!N98+Basement!N111+Basement!N124)*1000)</f>
        <v>0</v>
      </c>
      <c r="H59" s="178">
        <f>VLOOKUP($F59,'Carbon Factors'!$B$5:$L$41,2,FALSE)*'Material Quantities &amp; Embodied '!$G59/1000</f>
        <v>0</v>
      </c>
      <c r="I59" s="178">
        <f>VLOOKUP($F59,'Carbon Factors'!$B$5:$L$41,3,FALSE)*'Material Quantities &amp; Embodied '!$G59/1000</f>
        <v>0</v>
      </c>
      <c r="J59" s="178">
        <f>VLOOKUP($F59,'Carbon Factors'!$B$5:$L$41,5,FALSE)*'Material Quantities &amp; Embodied '!$G59/1000</f>
        <v>0</v>
      </c>
      <c r="K59" s="178">
        <f>VLOOKUP($F59,'Carbon Factors'!$B$5:$L$41,6,FALSE)*'Material Quantities &amp; Embodied '!$G59/1000</f>
        <v>0</v>
      </c>
      <c r="L59" s="178">
        <f>VLOOKUP($F59,'Carbon Factors'!$B$5:$L$41,7,FALSE)*'Material Quantities &amp; Embodied '!$G59/1000</f>
        <v>0</v>
      </c>
      <c r="M59" s="178">
        <f>VLOOKUP($F59,'Carbon Factors'!$B$5:$L$41,8,FALSE)*'Material Quantities &amp; Embodied '!$G59/1000</f>
        <v>0</v>
      </c>
      <c r="N59" s="178">
        <f>VLOOKUP($F59,'Carbon Factors'!$B$5:$L$41,9,FALSE)*'Material Quantities &amp; Embodied '!$G59/1000</f>
        <v>0</v>
      </c>
      <c r="O59" s="178">
        <f>VLOOKUP($F59,'Carbon Factors'!$B$5:$L$41,10,FALSE)*'Material Quantities &amp; Embodied '!$G59/1000</f>
        <v>0</v>
      </c>
      <c r="P59" s="178">
        <f>VLOOKUP($F59,'Carbon Factors'!$B$5:$L$41,11,FALSE)*'Material Quantities &amp; Embodied '!$G59/1000</f>
        <v>0</v>
      </c>
    </row>
    <row r="60" spans="2:16">
      <c r="D60" s="182" t="s">
        <v>137</v>
      </c>
      <c r="E60" s="150" t="s">
        <v>116</v>
      </c>
      <c r="F60" s="150" t="str">
        <f>F40</f>
        <v>C32/40 - 25% GGBS</v>
      </c>
      <c r="G60" s="1301">
        <f>IF(A38=0,0,Basement!D162*24*1000/9.81)</f>
        <v>0</v>
      </c>
      <c r="H60" s="178">
        <f>VLOOKUP($F60,'Carbon Factors'!$B$5:$L$41,2,FALSE)*'Material Quantities &amp; Embodied '!$G60/1000</f>
        <v>0</v>
      </c>
      <c r="I60" s="178">
        <f>VLOOKUP($F60,'Carbon Factors'!$B$5:$L$41,3,FALSE)*'Material Quantities &amp; Embodied '!$G60/1000</f>
        <v>0</v>
      </c>
      <c r="J60" s="178">
        <f>VLOOKUP($F60,'Carbon Factors'!$B$5:$L$41,5,FALSE)*'Material Quantities &amp; Embodied '!$G60/1000</f>
        <v>0</v>
      </c>
      <c r="K60" s="178">
        <f>VLOOKUP($F60,'Carbon Factors'!$B$5:$L$41,6,FALSE)*'Material Quantities &amp; Embodied '!$G60/1000</f>
        <v>0</v>
      </c>
      <c r="L60" s="178">
        <f>VLOOKUP($F60,'Carbon Factors'!$B$5:$L$41,7,FALSE)*'Material Quantities &amp; Embodied '!$G60/1000</f>
        <v>0</v>
      </c>
      <c r="M60" s="178">
        <f>VLOOKUP($F60,'Carbon Factors'!$B$5:$L$41,8,FALSE)*'Material Quantities &amp; Embodied '!$G60/1000</f>
        <v>0</v>
      </c>
      <c r="N60" s="178">
        <f>VLOOKUP($F60,'Carbon Factors'!$B$5:$L$41,9,FALSE)*'Material Quantities &amp; Embodied '!$G60/1000</f>
        <v>0</v>
      </c>
      <c r="O60" s="178">
        <f>VLOOKUP($F60,'Carbon Factors'!$B$5:$L$41,10,FALSE)*'Material Quantities &amp; Embodied '!$G60/1000</f>
        <v>0</v>
      </c>
      <c r="P60" s="178">
        <f>VLOOKUP($F60,'Carbon Factors'!$B$5:$L$41,11,FALSE)*'Material Quantities &amp; Embodied '!$G60/1000</f>
        <v>0</v>
      </c>
    </row>
    <row r="61" spans="2:16">
      <c r="D61" s="152"/>
      <c r="E61" s="150" t="s">
        <v>117</v>
      </c>
      <c r="F61" s="150" t="s">
        <v>118</v>
      </c>
      <c r="G61" s="1301">
        <f>IF(A38=0,0,G60*0.02)</f>
        <v>0</v>
      </c>
      <c r="H61" s="178">
        <f>VLOOKUP($F61,'Carbon Factors'!$B$5:$L$41,2,FALSE)*'Material Quantities &amp; Embodied '!$G61/1000</f>
        <v>0</v>
      </c>
      <c r="I61" s="178">
        <f>VLOOKUP($F61,'Carbon Factors'!$B$5:$L$41,3,FALSE)*'Material Quantities &amp; Embodied '!$G61/1000</f>
        <v>0</v>
      </c>
      <c r="J61" s="178">
        <f>VLOOKUP($F61,'Carbon Factors'!$B$5:$L$41,5,FALSE)*'Material Quantities &amp; Embodied '!$G61/1000</f>
        <v>0</v>
      </c>
      <c r="K61" s="178">
        <f>VLOOKUP($F61,'Carbon Factors'!$B$5:$L$41,6,FALSE)*'Material Quantities &amp; Embodied '!$G61/1000</f>
        <v>0</v>
      </c>
      <c r="L61" s="178">
        <f>VLOOKUP($F61,'Carbon Factors'!$B$5:$L$41,7,FALSE)*'Material Quantities &amp; Embodied '!$G61/1000</f>
        <v>0</v>
      </c>
      <c r="M61" s="178">
        <f>VLOOKUP($F61,'Carbon Factors'!$B$5:$L$41,8,FALSE)*'Material Quantities &amp; Embodied '!$G61/1000</f>
        <v>0</v>
      </c>
      <c r="N61" s="178">
        <f>VLOOKUP($F61,'Carbon Factors'!$B$5:$L$41,9,FALSE)*'Material Quantities &amp; Embodied '!$G61/1000</f>
        <v>0</v>
      </c>
      <c r="O61" s="178">
        <f>VLOOKUP($F61,'Carbon Factors'!$B$5:$L$41,10,FALSE)*'Material Quantities &amp; Embodied '!$G61/1000</f>
        <v>0</v>
      </c>
      <c r="P61" s="178">
        <f>VLOOKUP($F61,'Carbon Factors'!$B$5:$L$41,11,FALSE)*'Material Quantities &amp; Embodied '!$G61/1000</f>
        <v>0</v>
      </c>
    </row>
    <row r="62" spans="2:16">
      <c r="D62" s="182" t="s">
        <v>138</v>
      </c>
      <c r="G62" s="1301">
        <f>IF(A38=0,0,IF(Summary!J$13="Yes",(G54*18/24),(G46*18/24))+G48*18/24+G49*18/20)</f>
        <v>2093680.7339449541</v>
      </c>
      <c r="H62" s="178">
        <v>0</v>
      </c>
      <c r="I62" s="178">
        <f>G62*50*0.1065*0.001*0.001</f>
        <v>11.14884990825688</v>
      </c>
      <c r="J62" s="178">
        <v>0</v>
      </c>
      <c r="K62" s="178">
        <v>0</v>
      </c>
      <c r="L62" s="178">
        <v>0</v>
      </c>
      <c r="M62" s="178">
        <v>0</v>
      </c>
      <c r="N62" s="178">
        <f>I62</f>
        <v>11.14884990825688</v>
      </c>
      <c r="O62" s="178">
        <f>N62</f>
        <v>11.14884990825688</v>
      </c>
      <c r="P62" s="178">
        <v>0</v>
      </c>
    </row>
    <row r="63" spans="2:16">
      <c r="D63" s="182" t="s">
        <v>139</v>
      </c>
      <c r="G63" s="1301">
        <f>IF(A38=0,0,G52*(18/24))</f>
        <v>113532.11009174312</v>
      </c>
      <c r="H63" s="178">
        <v>0</v>
      </c>
      <c r="I63" s="178">
        <f t="shared" ref="I63:I64" si="4">G63*50*0.1065*0.001*0.001</f>
        <v>0.60455848623853214</v>
      </c>
      <c r="J63" s="178">
        <v>0</v>
      </c>
      <c r="K63" s="178">
        <v>0</v>
      </c>
      <c r="L63" s="178">
        <v>0</v>
      </c>
      <c r="M63" s="178">
        <v>0</v>
      </c>
      <c r="N63" s="178">
        <f t="shared" ref="N63:N64" si="5">I63</f>
        <v>0.60455848623853214</v>
      </c>
      <c r="O63" s="178">
        <f t="shared" ref="O63:O64" si="6">N63</f>
        <v>0.60455848623853214</v>
      </c>
      <c r="P63" s="178">
        <v>0</v>
      </c>
    </row>
    <row r="64" spans="2:16">
      <c r="B64" s="179"/>
      <c r="C64" s="179"/>
      <c r="D64" s="183" t="s">
        <v>140</v>
      </c>
      <c r="E64" s="184"/>
      <c r="F64" s="184"/>
      <c r="G64" s="1302">
        <f>IF(A38=0,0,IF(Summary!J$13="Yes",18*1000/9.81*Summary!C$13*Summary!C$14*Summary!C$15*Summary!C$16*Summary!J$14,0))</f>
        <v>0</v>
      </c>
      <c r="H64" s="181">
        <v>0</v>
      </c>
      <c r="I64" s="181">
        <f t="shared" si="4"/>
        <v>0</v>
      </c>
      <c r="J64" s="181">
        <v>0</v>
      </c>
      <c r="K64" s="181">
        <v>0</v>
      </c>
      <c r="L64" s="181">
        <v>0</v>
      </c>
      <c r="M64" s="181">
        <v>0</v>
      </c>
      <c r="N64" s="181">
        <f t="shared" si="5"/>
        <v>0</v>
      </c>
      <c r="O64" s="181">
        <f t="shared" si="6"/>
        <v>0</v>
      </c>
      <c r="P64" s="181">
        <v>0</v>
      </c>
    </row>
    <row r="65" spans="1:16">
      <c r="H65" s="185">
        <f>SUM(H38:H64)</f>
        <v>796.32648801366724</v>
      </c>
      <c r="I65" s="185">
        <f t="shared" ref="I65:P65" si="7">SUM(I38:I64)</f>
        <v>48.697665640303676</v>
      </c>
      <c r="J65" s="185">
        <f t="shared" si="7"/>
        <v>32.253280898572726</v>
      </c>
      <c r="K65" s="185">
        <f t="shared" si="7"/>
        <v>83.390911430340495</v>
      </c>
      <c r="L65" s="185">
        <f t="shared" si="7"/>
        <v>115.64419232891321</v>
      </c>
      <c r="M65" s="185">
        <f t="shared" si="7"/>
        <v>86.876409010598735</v>
      </c>
      <c r="N65" s="185">
        <f t="shared" si="7"/>
        <v>895.31664534615538</v>
      </c>
      <c r="O65" s="185">
        <f t="shared" si="7"/>
        <v>1010.960837675069</v>
      </c>
      <c r="P65" s="185">
        <f t="shared" si="7"/>
        <v>0</v>
      </c>
    </row>
    <row r="66" spans="1:16" ht="12.75" thickBot="1">
      <c r="B66" s="172"/>
      <c r="C66" s="172"/>
      <c r="D66" s="172"/>
      <c r="E66" s="172"/>
      <c r="F66" s="172"/>
      <c r="G66" s="173"/>
      <c r="H66" s="173"/>
      <c r="I66" s="173"/>
      <c r="J66" s="173"/>
      <c r="K66" s="173"/>
      <c r="L66" s="173"/>
      <c r="M66" s="174"/>
      <c r="N66" s="174"/>
      <c r="O66" s="174"/>
      <c r="P66" s="174"/>
    </row>
    <row r="67" spans="1:16"/>
    <row r="68" spans="1:16">
      <c r="H68" s="1311" t="s">
        <v>99</v>
      </c>
      <c r="I68" s="1311"/>
      <c r="J68" s="1311"/>
      <c r="K68" s="1311"/>
      <c r="L68" s="1311"/>
      <c r="M68" s="1311"/>
      <c r="N68" s="1311"/>
      <c r="O68" s="1311"/>
      <c r="P68" s="1311"/>
    </row>
    <row r="69" spans="1:16" ht="12.75" thickBot="1">
      <c r="B69" s="175" t="s">
        <v>22</v>
      </c>
      <c r="C69" s="175" t="s">
        <v>100</v>
      </c>
      <c r="D69" s="175" t="s">
        <v>101</v>
      </c>
      <c r="E69" s="175" t="s">
        <v>102</v>
      </c>
      <c r="F69" s="175" t="s">
        <v>103</v>
      </c>
      <c r="G69" s="72" t="s">
        <v>104</v>
      </c>
      <c r="H69" s="176" t="s">
        <v>105</v>
      </c>
      <c r="I69" s="176" t="s">
        <v>106</v>
      </c>
      <c r="J69" s="176" t="s">
        <v>107</v>
      </c>
      <c r="K69" s="176" t="s">
        <v>108</v>
      </c>
      <c r="L69" s="176" t="s">
        <v>109</v>
      </c>
      <c r="M69" s="176" t="s">
        <v>110</v>
      </c>
      <c r="N69" s="176" t="s">
        <v>111</v>
      </c>
      <c r="O69" s="176" t="s">
        <v>112</v>
      </c>
      <c r="P69" s="176" t="s">
        <v>113</v>
      </c>
    </row>
    <row r="70" spans="1:16">
      <c r="A70" s="148">
        <f>MIN(Pile!AN464,Database!E19)</f>
        <v>0.3</v>
      </c>
      <c r="B70" s="150" t="str">
        <f>Database!D19</f>
        <v>RC Rib Slab</v>
      </c>
      <c r="C70" s="150" t="s">
        <v>114</v>
      </c>
      <c r="D70" s="150" t="s">
        <v>115</v>
      </c>
      <c r="E70" s="150" t="s">
        <v>116</v>
      </c>
      <c r="F70" s="150" t="str">
        <f>F6</f>
        <v>C32/40 - 25% GGBS</v>
      </c>
      <c r="G70" s="1301">
        <f>IF(A70=0,0,IF(Summary!J$8="No",Database!G19*Summary!C$13*Summary!C$14*Summary!C$15*Summary!C$16*Summary!C$17,Database!G19*Summary!C$13*Summary!C$14*Summary!C$15*Summary!C$16*(Summary!C$17-1)))</f>
        <v>2453090.4908835897</v>
      </c>
      <c r="H70" s="178">
        <f>VLOOKUP($F70,'Carbon Factors'!$B$5:$L$41,2,FALSE)*'Material Quantities &amp; Embodied '!$G70/1000</f>
        <v>294.37085890603078</v>
      </c>
      <c r="I70" s="178">
        <f>VLOOKUP($F70,'Carbon Factors'!$B$5:$L$41,3,FALSE)*'Material Quantities &amp; Embodied '!$G70/1000</f>
        <v>12.26545245441795</v>
      </c>
      <c r="J70" s="178">
        <f>VLOOKUP($F70,'Carbon Factors'!$B$5:$L$41,5,FALSE)*'Material Quantities &amp; Embodied '!$G70/1000</f>
        <v>12.345177895371666</v>
      </c>
      <c r="K70" s="178">
        <f>VLOOKUP($F70,'Carbon Factors'!$B$5:$L$41,6,FALSE)*'Material Quantities &amp; Embodied '!$G70/1000</f>
        <v>31.890176381486665</v>
      </c>
      <c r="L70" s="178">
        <f>VLOOKUP($F70,'Carbon Factors'!$B$5:$L$41,7,FALSE)*'Material Quantities &amp; Embodied '!$G70/1000</f>
        <v>44.235354276858331</v>
      </c>
      <c r="M70" s="178">
        <f>VLOOKUP($F70,'Carbon Factors'!$B$5:$L$41,8,FALSE)*'Material Quantities &amp; Embodied '!$G70/1000</f>
        <v>10.793598159887795</v>
      </c>
      <c r="N70" s="178">
        <f>VLOOKUP($F70,'Carbon Factors'!$B$5:$L$41,9,FALSE)*'Material Quantities &amp; Embodied '!$G70/1000</f>
        <v>325.23250963922595</v>
      </c>
      <c r="O70" s="178">
        <f>VLOOKUP($F70,'Carbon Factors'!$B$5:$L$41,10,FALSE)*'Material Quantities &amp; Embodied '!$G70/1000</f>
        <v>369.46786391608435</v>
      </c>
      <c r="P70" s="178">
        <f>VLOOKUP($F70,'Carbon Factors'!$B$5:$L$41,11,FALSE)*'Material Quantities &amp; Embodied '!$G70/1000</f>
        <v>0</v>
      </c>
    </row>
    <row r="71" spans="1:16">
      <c r="E71" s="150" t="s">
        <v>117</v>
      </c>
      <c r="F71" s="150" t="s">
        <v>118</v>
      </c>
      <c r="G71" s="1301">
        <f>IF(A70=0,0,IF(Summary!J$8="No",Database!H19*Summary!C$13*Summary!C$14*Summary!C$15*Summary!C$16*Summary!C$17,Database!H19*Summary!C$13*Summary!C$14*Summary!C$15*Summary!C$16*(Summary!C$17-1)))</f>
        <v>110903.22580645152</v>
      </c>
      <c r="H71" s="178">
        <f>VLOOKUP($F71,'Carbon Factors'!$B$5:$L$41,2,FALSE)*'Material Quantities &amp; Embodied '!$G71/1000</f>
        <v>84.28645161290315</v>
      </c>
      <c r="I71" s="178">
        <f>VLOOKUP($F71,'Carbon Factors'!$B$5:$L$41,3,FALSE)*'Material Quantities &amp; Embodied '!$G71/1000</f>
        <v>3.5489032258064483</v>
      </c>
      <c r="J71" s="178">
        <f>VLOOKUP($F71,'Carbon Factors'!$B$5:$L$41,5,FALSE)*'Material Quantities &amp; Embodied '!$G71/1000</f>
        <v>0.55812048387096724</v>
      </c>
      <c r="K71" s="178">
        <f>VLOOKUP($F71,'Carbon Factors'!$B$5:$L$41,6,FALSE)*'Material Quantities &amp; Embodied '!$G71/1000</f>
        <v>1.4417419354838696</v>
      </c>
      <c r="L71" s="178">
        <f>VLOOKUP($F71,'Carbon Factors'!$B$5:$L$41,7,FALSE)*'Material Quantities &amp; Embodied '!$G71/1000</f>
        <v>1.9998624193548369</v>
      </c>
      <c r="M71" s="178">
        <f>VLOOKUP($F71,'Carbon Factors'!$B$5:$L$41,8,FALSE)*'Material Quantities &amp; Embodied '!$G71/1000</f>
        <v>38.927032258064479</v>
      </c>
      <c r="N71" s="178">
        <f>VLOOKUP($F71,'Carbon Factors'!$B$5:$L$41,9,FALSE)*'Material Quantities &amp; Embodied '!$G71/1000</f>
        <v>92.596621353387022</v>
      </c>
      <c r="O71" s="178">
        <f>VLOOKUP($F71,'Carbon Factors'!$B$5:$L$41,10,FALSE)*'Material Quantities &amp; Embodied '!$G71/1000</f>
        <v>94.596483772741863</v>
      </c>
      <c r="P71" s="178">
        <f>VLOOKUP($F71,'Carbon Factors'!$B$5:$L$41,11,FALSE)*'Material Quantities &amp; Embodied '!$G71/1000</f>
        <v>0</v>
      </c>
    </row>
    <row r="72" spans="1:16">
      <c r="D72" s="150" t="s">
        <v>119</v>
      </c>
      <c r="E72" s="150" t="s">
        <v>116</v>
      </c>
      <c r="F72" s="150" t="str">
        <f>F6</f>
        <v>C32/40 - 25% GGBS</v>
      </c>
      <c r="G72" s="1301">
        <f>IF(A70=0,0,'RC Column'!M62*24*1000/9.81)</f>
        <v>90825.688073394485</v>
      </c>
      <c r="H72" s="178">
        <f>VLOOKUP($F72,'Carbon Factors'!$B$5:$L$41,2,FALSE)*'Material Quantities &amp; Embodied '!$G72/1000</f>
        <v>10.899082568807339</v>
      </c>
      <c r="I72" s="178">
        <f>VLOOKUP($F72,'Carbon Factors'!$B$5:$L$41,3,FALSE)*'Material Quantities &amp; Embodied '!$G72/1000</f>
        <v>0.45412844036697242</v>
      </c>
      <c r="J72" s="178">
        <f>VLOOKUP($F72,'Carbon Factors'!$B$5:$L$41,5,FALSE)*'Material Quantities &amp; Embodied '!$G72/1000</f>
        <v>0.45708027522935779</v>
      </c>
      <c r="K72" s="178">
        <f>VLOOKUP($F72,'Carbon Factors'!$B$5:$L$41,6,FALSE)*'Material Quantities &amp; Embodied '!$G72/1000</f>
        <v>1.1807339449541283</v>
      </c>
      <c r="L72" s="178">
        <f>VLOOKUP($F72,'Carbon Factors'!$B$5:$L$41,7,FALSE)*'Material Quantities &amp; Embodied '!$G72/1000</f>
        <v>1.637814220183486</v>
      </c>
      <c r="M72" s="178">
        <f>VLOOKUP($F72,'Carbon Factors'!$B$5:$L$41,8,FALSE)*'Material Quantities &amp; Embodied '!$G72/1000</f>
        <v>0.39963302752293578</v>
      </c>
      <c r="N72" s="178">
        <f>VLOOKUP($F72,'Carbon Factors'!$B$5:$L$41,9,FALSE)*'Material Quantities &amp; Embodied '!$G72/1000</f>
        <v>12.041735346330274</v>
      </c>
      <c r="O72" s="178">
        <f>VLOOKUP($F72,'Carbon Factors'!$B$5:$L$41,10,FALSE)*'Material Quantities &amp; Embodied '!$G72/1000</f>
        <v>13.67954956651376</v>
      </c>
      <c r="P72" s="178">
        <f>VLOOKUP($F72,'Carbon Factors'!$B$5:$L$41,11,FALSE)*'Material Quantities &amp; Embodied '!$G72/1000</f>
        <v>0</v>
      </c>
    </row>
    <row r="73" spans="1:16">
      <c r="E73" s="150" t="s">
        <v>117</v>
      </c>
      <c r="F73" s="150" t="s">
        <v>118</v>
      </c>
      <c r="G73" s="1301">
        <f>IF(A70=0,0,'RC Column'!N62*1000)</f>
        <v>11657.250000000002</v>
      </c>
      <c r="H73" s="178">
        <f>VLOOKUP($F73,'Carbon Factors'!$B$5:$L$41,2,FALSE)*'Material Quantities &amp; Embodied '!$G73/1000</f>
        <v>8.859510000000002</v>
      </c>
      <c r="I73" s="178">
        <f>VLOOKUP($F73,'Carbon Factors'!$B$5:$L$41,3,FALSE)*'Material Quantities &amp; Embodied '!$G73/1000</f>
        <v>0.37303200000000003</v>
      </c>
      <c r="J73" s="178">
        <f>VLOOKUP($F73,'Carbon Factors'!$B$5:$L$41,5,FALSE)*'Material Quantities &amp; Embodied '!$G73/1000</f>
        <v>5.8665110625000016E-2</v>
      </c>
      <c r="K73" s="178">
        <f>VLOOKUP($F73,'Carbon Factors'!$B$5:$L$41,6,FALSE)*'Material Quantities &amp; Embodied '!$G73/1000</f>
        <v>0.15154424999999999</v>
      </c>
      <c r="L73" s="178">
        <f>VLOOKUP($F73,'Carbon Factors'!$B$5:$L$41,7,FALSE)*'Material Quantities &amp; Embodied '!$G73/1000</f>
        <v>0.21020936062500004</v>
      </c>
      <c r="M73" s="178">
        <f>VLOOKUP($F73,'Carbon Factors'!$B$5:$L$41,8,FALSE)*'Material Quantities &amp; Embodied '!$G73/1000</f>
        <v>4.0916947500000003</v>
      </c>
      <c r="N73" s="178">
        <f>VLOOKUP($F73,'Carbon Factors'!$B$5:$L$41,9,FALSE)*'Material Quantities &amp; Embodied '!$G73/1000</f>
        <v>9.7330078221131267</v>
      </c>
      <c r="O73" s="178">
        <f>VLOOKUP($F73,'Carbon Factors'!$B$5:$L$41,10,FALSE)*'Material Quantities &amp; Embodied '!$G73/1000</f>
        <v>9.9432171827381257</v>
      </c>
      <c r="P73" s="178">
        <f>VLOOKUP($F73,'Carbon Factors'!$B$5:$L$41,11,FALSE)*'Material Quantities &amp; Embodied '!$G73/1000</f>
        <v>0</v>
      </c>
    </row>
    <row r="74" spans="1:16">
      <c r="D74" s="150" t="s">
        <v>120</v>
      </c>
      <c r="E74" s="150" t="s">
        <v>121</v>
      </c>
      <c r="F74" s="150" t="str">
        <f>F6</f>
        <v>C32/40 - 25% GGBS</v>
      </c>
      <c r="G74" s="1301">
        <f>IF(A70=0,0,SUM('Shear Walls'!O84,'Shear Walls'!O118))</f>
        <v>36006.116207951069</v>
      </c>
      <c r="H74" s="178">
        <f>VLOOKUP($F74,'Carbon Factors'!$B$5:$L$41,2,FALSE)*'Material Quantities &amp; Embodied '!$G74/1000</f>
        <v>4.320733944954128</v>
      </c>
      <c r="I74" s="178">
        <f>VLOOKUP($F74,'Carbon Factors'!$B$5:$L$41,3,FALSE)*'Material Quantities &amp; Embodied '!$G74/1000</f>
        <v>0.18003058103975533</v>
      </c>
      <c r="J74" s="178">
        <f>VLOOKUP($F74,'Carbon Factors'!$B$5:$L$41,5,FALSE)*'Material Quantities &amp; Embodied '!$G74/1000</f>
        <v>0.18120077981651378</v>
      </c>
      <c r="K74" s="178">
        <f>VLOOKUP($F74,'Carbon Factors'!$B$5:$L$41,6,FALSE)*'Material Quantities &amp; Embodied '!$G74/1000</f>
        <v>0.4680795107033639</v>
      </c>
      <c r="L74" s="178">
        <f>VLOOKUP($F74,'Carbon Factors'!$B$5:$L$41,7,FALSE)*'Material Quantities &amp; Embodied '!$G74/1000</f>
        <v>0.64928029051987768</v>
      </c>
      <c r="M74" s="178">
        <f>VLOOKUP($F74,'Carbon Factors'!$B$5:$L$41,8,FALSE)*'Material Quantities &amp; Embodied '!$G74/1000</f>
        <v>0.15842691131498471</v>
      </c>
      <c r="N74" s="178">
        <f>VLOOKUP($F74,'Carbon Factors'!$B$5:$L$41,9,FALSE)*'Material Quantities &amp; Embodied '!$G74/1000</f>
        <v>4.773716901269113</v>
      </c>
      <c r="O74" s="178">
        <f>VLOOKUP($F74,'Carbon Factors'!$B$5:$L$41,10,FALSE)*'Material Quantities &amp; Embodied '!$G74/1000</f>
        <v>5.4229971917889905</v>
      </c>
      <c r="P74" s="178">
        <f>VLOOKUP($F74,'Carbon Factors'!$B$5:$L$41,11,FALSE)*'Material Quantities &amp; Embodied '!$G74/1000</f>
        <v>0</v>
      </c>
    </row>
    <row r="75" spans="1:16">
      <c r="E75" s="150" t="s">
        <v>117</v>
      </c>
      <c r="F75" s="150" t="s">
        <v>118</v>
      </c>
      <c r="G75" s="1301">
        <f>IF(A70=0,0,SUM('Shear Walls'!O85,'Shear Walls'!O119))</f>
        <v>1273.0410539810468</v>
      </c>
      <c r="H75" s="178">
        <f>VLOOKUP($F75,'Carbon Factors'!$B$5:$L$41,2,FALSE)*'Material Quantities &amp; Embodied '!$G75/1000</f>
        <v>0.96751120102559562</v>
      </c>
      <c r="I75" s="178">
        <f>VLOOKUP($F75,'Carbon Factors'!$B$5:$L$41,3,FALSE)*'Material Quantities &amp; Embodied '!$G75/1000</f>
        <v>4.0737313727393497E-2</v>
      </c>
      <c r="J75" s="178">
        <f>VLOOKUP($F75,'Carbon Factors'!$B$5:$L$41,5,FALSE)*'Material Quantities &amp; Embodied '!$G75/1000</f>
        <v>6.4065791041596183E-3</v>
      </c>
      <c r="K75" s="178">
        <f>VLOOKUP($F75,'Carbon Factors'!$B$5:$L$41,6,FALSE)*'Material Quantities &amp; Embodied '!$G75/1000</f>
        <v>1.6549533701753608E-2</v>
      </c>
      <c r="L75" s="178">
        <f>VLOOKUP($F75,'Carbon Factors'!$B$5:$L$41,7,FALSE)*'Material Quantities &amp; Embodied '!$G75/1000</f>
        <v>2.2956112805913229E-2</v>
      </c>
      <c r="M75" s="178">
        <f>VLOOKUP($F75,'Carbon Factors'!$B$5:$L$41,8,FALSE)*'Material Quantities &amp; Embodied '!$G75/1000</f>
        <v>0.44683740994734739</v>
      </c>
      <c r="N75" s="178">
        <f>VLOOKUP($F75,'Carbon Factors'!$B$5:$L$41,9,FALSE)*'Material Quantities &amp; Embodied '!$G75/1000</f>
        <v>1.0629023600136109</v>
      </c>
      <c r="O75" s="178">
        <f>VLOOKUP($F75,'Carbon Factors'!$B$5:$L$41,10,FALSE)*'Material Quantities &amp; Embodied '!$G75/1000</f>
        <v>1.0858584728195242</v>
      </c>
      <c r="P75" s="178">
        <f>VLOOKUP($F75,'Carbon Factors'!$B$5:$L$41,11,FALSE)*'Material Quantities &amp; Embodied '!$G75/1000</f>
        <v>0</v>
      </c>
    </row>
    <row r="76" spans="1:16">
      <c r="D76" s="150" t="s">
        <v>122</v>
      </c>
      <c r="E76" s="150" t="s">
        <v>116</v>
      </c>
      <c r="F76" s="150" t="str">
        <f>Summary!F$9</f>
        <v>C32/40 - 25% GGBS</v>
      </c>
      <c r="G76" s="1301">
        <f>IF(A70=0,0,IF(Summary!J$8="Yes",Summary!C$13*Summary!C$14*Summary!C$15*Summary!C$16*Summary!J$9*24*1000/9.81,0))</f>
        <v>0</v>
      </c>
      <c r="H76" s="178">
        <f>VLOOKUP($F76,'Carbon Factors'!$B$5:$L$41,2,FALSE)*'Material Quantities &amp; Embodied '!$G76/1000</f>
        <v>0</v>
      </c>
      <c r="I76" s="178">
        <f>VLOOKUP($F76,'Carbon Factors'!$B$5:$L$41,3,FALSE)*'Material Quantities &amp; Embodied '!$G76/1000</f>
        <v>0</v>
      </c>
      <c r="J76" s="178">
        <f>VLOOKUP($F76,'Carbon Factors'!$B$5:$L$41,5,FALSE)*'Material Quantities &amp; Embodied '!$G76/1000</f>
        <v>0</v>
      </c>
      <c r="K76" s="178">
        <f>VLOOKUP($F76,'Carbon Factors'!$B$5:$L$41,6,FALSE)*'Material Quantities &amp; Embodied '!$G76/1000</f>
        <v>0</v>
      </c>
      <c r="L76" s="178">
        <f>VLOOKUP($F76,'Carbon Factors'!$B$5:$L$41,7,FALSE)*'Material Quantities &amp; Embodied '!$G76/1000</f>
        <v>0</v>
      </c>
      <c r="M76" s="178">
        <f>VLOOKUP($F76,'Carbon Factors'!$B$5:$L$41,8,FALSE)*'Material Quantities &amp; Embodied '!$G76/1000</f>
        <v>0</v>
      </c>
      <c r="N76" s="178">
        <f>VLOOKUP($F76,'Carbon Factors'!$B$5:$L$41,9,FALSE)*'Material Quantities &amp; Embodied '!$G76/1000</f>
        <v>0</v>
      </c>
      <c r="O76" s="178">
        <f>VLOOKUP($F76,'Carbon Factors'!$B$5:$L$41,10,FALSE)*'Material Quantities &amp; Embodied '!$G76/1000</f>
        <v>0</v>
      </c>
      <c r="P76" s="178">
        <f>VLOOKUP($F76,'Carbon Factors'!$B$5:$L$41,11,FALSE)*'Material Quantities &amp; Embodied '!$G76/1000</f>
        <v>0</v>
      </c>
    </row>
    <row r="77" spans="1:16">
      <c r="C77" s="179"/>
      <c r="D77" s="179"/>
      <c r="E77" s="179" t="s">
        <v>117</v>
      </c>
      <c r="F77" s="179" t="s">
        <v>118</v>
      </c>
      <c r="G77" s="1302">
        <f>IF(A70=0,0,IF(Summary!J$8="Yes",Summary!C$13*Summary!C$14*Summary!C$15*Summary!C$16*Summary!J$9*Summary!J$10,0))</f>
        <v>0</v>
      </c>
      <c r="H77" s="181">
        <f>VLOOKUP($F77,'Carbon Factors'!$B$5:$L$41,2,FALSE)*'Material Quantities &amp; Embodied '!$G77/1000</f>
        <v>0</v>
      </c>
      <c r="I77" s="181">
        <f>VLOOKUP($F77,'Carbon Factors'!$B$5:$L$41,3,FALSE)*'Material Quantities &amp; Embodied '!$G77/1000</f>
        <v>0</v>
      </c>
      <c r="J77" s="181">
        <f>VLOOKUP($F77,'Carbon Factors'!$B$5:$L$41,5,FALSE)*'Material Quantities &amp; Embodied '!$G77/1000</f>
        <v>0</v>
      </c>
      <c r="K77" s="181">
        <f>VLOOKUP($F77,'Carbon Factors'!$B$5:$L$41,6,FALSE)*'Material Quantities &amp; Embodied '!$G77/1000</f>
        <v>0</v>
      </c>
      <c r="L77" s="181">
        <f>VLOOKUP($F77,'Carbon Factors'!$B$5:$L$41,7,FALSE)*'Material Quantities &amp; Embodied '!$G77/1000</f>
        <v>0</v>
      </c>
      <c r="M77" s="181">
        <f>VLOOKUP($F77,'Carbon Factors'!$B$5:$L$41,8,FALSE)*'Material Quantities &amp; Embodied '!$G77/1000</f>
        <v>0</v>
      </c>
      <c r="N77" s="181">
        <f>VLOOKUP($F77,'Carbon Factors'!$B$5:$L$41,9,FALSE)*'Material Quantities &amp; Embodied '!$G77/1000</f>
        <v>0</v>
      </c>
      <c r="O77" s="181">
        <f>VLOOKUP($F77,'Carbon Factors'!$B$5:$L$41,10,FALSE)*'Material Quantities &amp; Embodied '!$G77/1000</f>
        <v>0</v>
      </c>
      <c r="P77" s="181">
        <f>VLOOKUP($F77,'Carbon Factors'!$B$5:$L$41,11,FALSE)*'Material Quantities &amp; Embodied '!$G77/1000</f>
        <v>0</v>
      </c>
    </row>
    <row r="78" spans="1:16">
      <c r="C78" s="150" t="s">
        <v>123</v>
      </c>
      <c r="D78" s="150" t="s">
        <v>124</v>
      </c>
      <c r="E78" s="150" t="s">
        <v>116</v>
      </c>
      <c r="F78" s="150" t="str">
        <f>F6</f>
        <v>C32/40 - 25% GGBS</v>
      </c>
      <c r="G78" s="1301">
        <f>IF(A70=0,0,IF(Summary!J13="No",(480*Summary!C13*Summary!C14*Summary!C15*Summary!C16),(Basement!C11*Summary!C13*Summary!C14*Summary!C15*Summary!C16)))</f>
        <v>1382400</v>
      </c>
      <c r="H78" s="178">
        <f>VLOOKUP($F78,'Carbon Factors'!$B$5:$L$41,2,FALSE)*'Material Quantities &amp; Embodied '!$G78/1000</f>
        <v>165.88800000000001</v>
      </c>
      <c r="I78" s="178">
        <f>VLOOKUP($F78,'Carbon Factors'!$B$5:$L$41,3,FALSE)*'Material Quantities &amp; Embodied '!$G78/1000</f>
        <v>6.9119999999999999</v>
      </c>
      <c r="J78" s="178">
        <f>VLOOKUP($F78,'Carbon Factors'!$B$5:$L$41,5,FALSE)*'Material Quantities &amp; Embodied '!$G78/1000</f>
        <v>6.9569280000000004</v>
      </c>
      <c r="K78" s="178">
        <f>VLOOKUP($F78,'Carbon Factors'!$B$5:$L$41,6,FALSE)*'Material Quantities &amp; Embodied '!$G78/1000</f>
        <v>17.9712</v>
      </c>
      <c r="L78" s="178">
        <f>VLOOKUP($F78,'Carbon Factors'!$B$5:$L$41,7,FALSE)*'Material Quantities &amp; Embodied '!$G78/1000</f>
        <v>24.928128000000001</v>
      </c>
      <c r="M78" s="178">
        <f>VLOOKUP($F78,'Carbon Factors'!$B$5:$L$41,8,FALSE)*'Material Quantities &amp; Embodied '!$G78/1000</f>
        <v>6.08256</v>
      </c>
      <c r="N78" s="178">
        <f>VLOOKUP($F78,'Carbon Factors'!$B$5:$L$41,9,FALSE)*'Material Quantities &amp; Embodied '!$G78/1000</f>
        <v>183.27959078399999</v>
      </c>
      <c r="O78" s="178">
        <f>VLOOKUP($F78,'Carbon Factors'!$B$5:$L$41,10,FALSE)*'Material Quantities &amp; Embodied '!$G78/1000</f>
        <v>208.20771878400001</v>
      </c>
      <c r="P78" s="178">
        <f>VLOOKUP($F78,'Carbon Factors'!$B$5:$L$41,11,FALSE)*'Material Quantities &amp; Embodied '!$G78/1000</f>
        <v>0</v>
      </c>
    </row>
    <row r="79" spans="1:16">
      <c r="E79" s="150" t="s">
        <v>117</v>
      </c>
      <c r="F79" s="150" t="s">
        <v>118</v>
      </c>
      <c r="G79" s="1301">
        <f>IF(A70=0,0,IF(Summary!J13="No",(12*Summary!C13*Summary!C14*Summary!C15*Summary!C16),(Basement!C10*Summary!C13*Summary!C14*Summary!C15*Summary!C16)))</f>
        <v>34560</v>
      </c>
      <c r="H79" s="178">
        <f>VLOOKUP($F79,'Carbon Factors'!$B$5:$L$41,2,FALSE)*'Material Quantities &amp; Embodied '!$G79/1000</f>
        <v>26.265599999999999</v>
      </c>
      <c r="I79" s="178">
        <f>VLOOKUP($F79,'Carbon Factors'!$B$5:$L$41,3,FALSE)*'Material Quantities &amp; Embodied '!$G79/1000</f>
        <v>1.10592</v>
      </c>
      <c r="J79" s="178">
        <f>VLOOKUP($F79,'Carbon Factors'!$B$5:$L$41,5,FALSE)*'Material Quantities &amp; Embodied '!$G79/1000</f>
        <v>0.1739232</v>
      </c>
      <c r="K79" s="178">
        <f>VLOOKUP($F79,'Carbon Factors'!$B$5:$L$41,6,FALSE)*'Material Quantities &amp; Embodied '!$G79/1000</f>
        <v>0.44927999999999996</v>
      </c>
      <c r="L79" s="178">
        <f>VLOOKUP($F79,'Carbon Factors'!$B$5:$L$41,7,FALSE)*'Material Quantities &amp; Embodied '!$G79/1000</f>
        <v>0.62320320000000007</v>
      </c>
      <c r="M79" s="178">
        <f>VLOOKUP($F79,'Carbon Factors'!$B$5:$L$41,8,FALSE)*'Material Quantities &amp; Embodied '!$G79/1000</f>
        <v>12.130559999999999</v>
      </c>
      <c r="N79" s="178">
        <f>VLOOKUP($F79,'Carbon Factors'!$B$5:$L$41,9,FALSE)*'Material Quantities &amp; Embodied '!$G79/1000</f>
        <v>28.855240329600001</v>
      </c>
      <c r="O79" s="178">
        <f>VLOOKUP($F79,'Carbon Factors'!$B$5:$L$41,10,FALSE)*'Material Quantities &amp; Embodied '!$G79/1000</f>
        <v>29.4784435296</v>
      </c>
      <c r="P79" s="178">
        <f>VLOOKUP($F79,'Carbon Factors'!$B$5:$L$41,11,FALSE)*'Material Quantities &amp; Embodied '!$G79/1000</f>
        <v>0</v>
      </c>
    </row>
    <row r="80" spans="1:16">
      <c r="D80" s="150" t="s">
        <v>126</v>
      </c>
      <c r="E80" s="150" t="s">
        <v>116</v>
      </c>
      <c r="F80" s="150" t="s">
        <v>127</v>
      </c>
      <c r="G80" s="1301">
        <f>IF(A70=0,0,Summary!C13*Summary!C14*Summary!C15*Summary!C16*0.05*24*1000/9.81)</f>
        <v>352293.57798165135</v>
      </c>
      <c r="H80" s="178">
        <f>VLOOKUP($F80,'Carbon Factors'!$B$5:$L$41,2,FALSE)*'Material Quantities &amp; Embodied '!$G80/1000</f>
        <v>52.491743119266054</v>
      </c>
      <c r="I80" s="178">
        <f>VLOOKUP($F80,'Carbon Factors'!$B$5:$L$41,3,FALSE)*'Material Quantities &amp; Embodied '!$G80/1000</f>
        <v>1.761467889908257</v>
      </c>
      <c r="J80" s="178">
        <f>VLOOKUP($F80,'Carbon Factors'!$B$5:$L$41,5,FALSE)*'Material Quantities &amp; Embodied '!$G80/1000</f>
        <v>1.7729174311926605</v>
      </c>
      <c r="K80" s="178">
        <f>VLOOKUP($F80,'Carbon Factors'!$B$5:$L$41,6,FALSE)*'Material Quantities &amp; Embodied '!$G80/1000</f>
        <v>4.5798165137614681</v>
      </c>
      <c r="L80" s="178">
        <f>VLOOKUP($F80,'Carbon Factors'!$B$5:$L$41,7,FALSE)*'Material Quantities &amp; Embodied '!$G80/1000</f>
        <v>6.352733944954128</v>
      </c>
      <c r="M80" s="178">
        <f>VLOOKUP($F80,'Carbon Factors'!$B$5:$L$41,8,FALSE)*'Material Quantities &amp; Embodied '!$G80/1000</f>
        <v>1.550091743119266</v>
      </c>
      <c r="N80" s="178">
        <f>VLOOKUP($F80,'Carbon Factors'!$B$5:$L$41,9,FALSE)*'Material Quantities &amp; Embodied '!$G80/1000</f>
        <v>57.465326091743115</v>
      </c>
      <c r="O80" s="178">
        <f>VLOOKUP($F80,'Carbon Factors'!$B$5:$L$41,10,FALSE)*'Material Quantities &amp; Embodied '!$G80/1000</f>
        <v>63.818060036697247</v>
      </c>
      <c r="P80" s="178">
        <f>VLOOKUP($F80,'Carbon Factors'!$B$5:$L$41,11,FALSE)*'Material Quantities &amp; Embodied '!$G80/1000</f>
        <v>0</v>
      </c>
    </row>
    <row r="81" spans="2:16">
      <c r="D81" s="150" t="s">
        <v>128</v>
      </c>
      <c r="E81" s="150" t="s">
        <v>129</v>
      </c>
      <c r="F81" s="150" t="s">
        <v>130</v>
      </c>
      <c r="G81" s="1301">
        <f>IF(A70=0,0,Summary!C13*Summary!C14*Summary!C15*Summary!C16*0.15*20*1000/9.81)</f>
        <v>880733.94495412835</v>
      </c>
      <c r="H81" s="178">
        <f>VLOOKUP($F81,'Carbon Factors'!$B$5:$L$41,2,FALSE)*'Material Quantities &amp; Embodied '!$G81/1000</f>
        <v>6.5790825688073395</v>
      </c>
      <c r="I81" s="178">
        <f>VLOOKUP($F81,'Carbon Factors'!$B$5:$L$41,3,FALSE)*'Material Quantities &amp; Embodied '!$G81/1000</f>
        <v>4.4036697247706416</v>
      </c>
      <c r="J81" s="178">
        <f>VLOOKUP($F81,'Carbon Factors'!$B$5:$L$41,5,FALSE)*'Material Quantities &amp; Embodied '!$G81/1000</f>
        <v>4.4036697247706416</v>
      </c>
      <c r="K81" s="178">
        <f>VLOOKUP($F81,'Carbon Factors'!$B$5:$L$41,6,FALSE)*'Material Quantities &amp; Embodied '!$G81/1000</f>
        <v>11.449541284403667</v>
      </c>
      <c r="L81" s="178">
        <f>VLOOKUP($F81,'Carbon Factors'!$B$5:$L$41,7,FALSE)*'Material Quantities &amp; Embodied '!$G81/1000</f>
        <v>15.853211009174309</v>
      </c>
      <c r="M81" s="178">
        <f>VLOOKUP($F81,'Carbon Factors'!$B$5:$L$41,8,FALSE)*'Material Quantities &amp; Embodied '!$G81/1000</f>
        <v>0</v>
      </c>
      <c r="N81" s="178">
        <f>VLOOKUP($F81,'Carbon Factors'!$B$5:$L$41,9,FALSE)*'Material Quantities &amp; Embodied '!$G81/1000</f>
        <v>12.405058348623852</v>
      </c>
      <c r="O81" s="178">
        <f>VLOOKUP($F81,'Carbon Factors'!$B$5:$L$41,10,FALSE)*'Material Quantities &amp; Embodied '!$G81/1000</f>
        <v>28.258269357798163</v>
      </c>
      <c r="P81" s="178">
        <f>VLOOKUP($F81,'Carbon Factors'!$B$5:$L$41,11,FALSE)*'Material Quantities &amp; Embodied '!$G81/1000</f>
        <v>0</v>
      </c>
    </row>
    <row r="82" spans="2:16">
      <c r="D82" s="150" t="s">
        <v>131</v>
      </c>
      <c r="E82" s="150" t="s">
        <v>116</v>
      </c>
      <c r="F82" s="150" t="str">
        <f>F6</f>
        <v>C32/40 - 25% GGBS</v>
      </c>
      <c r="G82" s="1301">
        <f>IF(A70=0,0,Pile!AN468*24*1000/9.81)</f>
        <v>577808.06167744356</v>
      </c>
      <c r="H82" s="178">
        <f>VLOOKUP($F82,'Carbon Factors'!$B$5:$L$41,2,FALSE)*'Material Quantities &amp; Embodied '!$G82/1000</f>
        <v>69.336967401293222</v>
      </c>
      <c r="I82" s="178">
        <f>VLOOKUP($F82,'Carbon Factors'!$B$5:$L$41,3,FALSE)*'Material Quantities &amp; Embodied '!$G82/1000</f>
        <v>2.889040308387218</v>
      </c>
      <c r="J82" s="178">
        <f>VLOOKUP($F82,'Carbon Factors'!$B$5:$L$41,5,FALSE)*'Material Quantities &amp; Embodied '!$G82/1000</f>
        <v>2.907819070391735</v>
      </c>
      <c r="K82" s="178">
        <f>VLOOKUP($F82,'Carbon Factors'!$B$5:$L$41,6,FALSE)*'Material Quantities &amp; Embodied '!$G82/1000</f>
        <v>7.5115048018067663</v>
      </c>
      <c r="L82" s="178">
        <f>VLOOKUP($F82,'Carbon Factors'!$B$5:$L$41,7,FALSE)*'Material Quantities &amp; Embodied '!$G82/1000</f>
        <v>10.419323872198502</v>
      </c>
      <c r="M82" s="178">
        <f>VLOOKUP($F82,'Carbon Factors'!$B$5:$L$41,8,FALSE)*'Material Quantities &amp; Embodied '!$G82/1000</f>
        <v>2.5423554713807515</v>
      </c>
      <c r="N82" s="178">
        <f>VLOOKUP($F82,'Carbon Factors'!$B$5:$L$41,9,FALSE)*'Material Quantities &amp; Embodied '!$G82/1000</f>
        <v>76.606210283520028</v>
      </c>
      <c r="O82" s="178">
        <f>VLOOKUP($F82,'Carbon Factors'!$B$5:$L$41,10,FALSE)*'Material Quantities &amp; Embodied '!$G82/1000</f>
        <v>87.025534155718532</v>
      </c>
      <c r="P82" s="178">
        <f>VLOOKUP($F82,'Carbon Factors'!$B$5:$L$41,11,FALSE)*'Material Quantities &amp; Embodied '!$G82/1000</f>
        <v>0</v>
      </c>
    </row>
    <row r="83" spans="2:16">
      <c r="E83" s="150" t="s">
        <v>117</v>
      </c>
      <c r="F83" s="150" t="s">
        <v>118</v>
      </c>
      <c r="G83" s="1301">
        <f>IF(A70=0,0,Pile!AN474*1000)</f>
        <v>22493.829599999997</v>
      </c>
      <c r="H83" s="178">
        <f>VLOOKUP($F83,'Carbon Factors'!$B$5:$L$41,2,FALSE)*'Material Quantities &amp; Embodied '!$G83/1000</f>
        <v>17.095310496</v>
      </c>
      <c r="I83" s="178">
        <f>VLOOKUP($F83,'Carbon Factors'!$B$5:$L$41,3,FALSE)*'Material Quantities &amp; Embodied '!$G83/1000</f>
        <v>0.71980254719999992</v>
      </c>
      <c r="J83" s="178">
        <f>VLOOKUP($F83,'Carbon Factors'!$B$5:$L$41,5,FALSE)*'Material Quantities &amp; Embodied '!$G83/1000</f>
        <v>0.113200197462</v>
      </c>
      <c r="K83" s="178">
        <f>VLOOKUP($F83,'Carbon Factors'!$B$5:$L$41,6,FALSE)*'Material Quantities &amp; Embodied '!$G83/1000</f>
        <v>0.29241978479999997</v>
      </c>
      <c r="L83" s="178">
        <f>VLOOKUP($F83,'Carbon Factors'!$B$5:$L$41,7,FALSE)*'Material Quantities &amp; Embodied '!$G83/1000</f>
        <v>0.40561998226199997</v>
      </c>
      <c r="M83" s="178">
        <f>VLOOKUP($F83,'Carbon Factors'!$B$5:$L$41,8,FALSE)*'Material Quantities &amp; Embodied '!$G83/1000</f>
        <v>7.895334189599998</v>
      </c>
      <c r="N83" s="178">
        <f>VLOOKUP($F83,'Carbon Factors'!$B$5:$L$41,9,FALSE)*'Material Quantities &amp; Embodied '!$G83/1000</f>
        <v>18.780811893549487</v>
      </c>
      <c r="O83" s="178">
        <f>VLOOKUP($F83,'Carbon Factors'!$B$5:$L$41,10,FALSE)*'Material Quantities &amp; Embodied '!$G83/1000</f>
        <v>19.186431875811486</v>
      </c>
      <c r="P83" s="178">
        <f>VLOOKUP($F83,'Carbon Factors'!$B$5:$L$41,11,FALSE)*'Material Quantities &amp; Embodied '!$G83/1000</f>
        <v>0</v>
      </c>
    </row>
    <row r="84" spans="2:16">
      <c r="D84" s="150" t="s">
        <v>132</v>
      </c>
      <c r="E84" s="150" t="s">
        <v>116</v>
      </c>
      <c r="F84" s="150" t="str">
        <f>F6</f>
        <v>C32/40 - 25% GGBS</v>
      </c>
      <c r="G84" s="1301">
        <f>IF(A70=0,0,Pile!AN480*24*1000/9.81)</f>
        <v>151376.14678899082</v>
      </c>
      <c r="H84" s="178">
        <f>VLOOKUP($F84,'Carbon Factors'!$B$5:$L$41,2,FALSE)*'Material Quantities &amp; Embodied '!$G84/1000</f>
        <v>18.165137614678898</v>
      </c>
      <c r="I84" s="178">
        <f>VLOOKUP($F84,'Carbon Factors'!$B$5:$L$41,3,FALSE)*'Material Quantities &amp; Embodied '!$G84/1000</f>
        <v>0.75688073394495414</v>
      </c>
      <c r="J84" s="178">
        <f>VLOOKUP($F84,'Carbon Factors'!$B$5:$L$41,5,FALSE)*'Material Quantities &amp; Embodied '!$G84/1000</f>
        <v>0.76180045871559643</v>
      </c>
      <c r="K84" s="178">
        <f>VLOOKUP($F84,'Carbon Factors'!$B$5:$L$41,6,FALSE)*'Material Quantities &amp; Embodied '!$G84/1000</f>
        <v>1.9678899082568806</v>
      </c>
      <c r="L84" s="178">
        <f>VLOOKUP($F84,'Carbon Factors'!$B$5:$L$41,7,FALSE)*'Material Quantities &amp; Embodied '!$G84/1000</f>
        <v>2.729690366972477</v>
      </c>
      <c r="M84" s="178">
        <f>VLOOKUP($F84,'Carbon Factors'!$B$5:$L$41,8,FALSE)*'Material Quantities &amp; Embodied '!$G84/1000</f>
        <v>0.66605504587155961</v>
      </c>
      <c r="N84" s="178">
        <f>VLOOKUP($F84,'Carbon Factors'!$B$5:$L$41,9,FALSE)*'Material Quantities &amp; Embodied '!$G84/1000</f>
        <v>20.069558910550459</v>
      </c>
      <c r="O84" s="178">
        <f>VLOOKUP($F84,'Carbon Factors'!$B$5:$L$41,10,FALSE)*'Material Quantities &amp; Embodied '!$G84/1000</f>
        <v>22.799249277522936</v>
      </c>
      <c r="P84" s="178">
        <f>VLOOKUP($F84,'Carbon Factors'!$B$5:$L$41,11,FALSE)*'Material Quantities &amp; Embodied '!$G84/1000</f>
        <v>0</v>
      </c>
    </row>
    <row r="85" spans="2:16">
      <c r="E85" s="150" t="s">
        <v>117</v>
      </c>
      <c r="F85" s="150" t="s">
        <v>118</v>
      </c>
      <c r="G85" s="1301">
        <f>IF(A70=0,0,Pile!AO480*1000)</f>
        <v>6806.25</v>
      </c>
      <c r="H85" s="178">
        <f>VLOOKUP($F85,'Carbon Factors'!$B$5:$L$41,2,FALSE)*'Material Quantities &amp; Embodied '!$G85/1000</f>
        <v>5.1727499999999997</v>
      </c>
      <c r="I85" s="178">
        <f>VLOOKUP($F85,'Carbon Factors'!$B$5:$L$41,3,FALSE)*'Material Quantities &amp; Embodied '!$G85/1000</f>
        <v>0.21780000000000002</v>
      </c>
      <c r="J85" s="178">
        <f>VLOOKUP($F85,'Carbon Factors'!$B$5:$L$41,5,FALSE)*'Material Quantities &amp; Embodied '!$G85/1000</f>
        <v>3.4252453125000006E-2</v>
      </c>
      <c r="K85" s="178">
        <f>VLOOKUP($F85,'Carbon Factors'!$B$5:$L$41,6,FALSE)*'Material Quantities &amp; Embodied '!$G85/1000</f>
        <v>8.8481249999999997E-2</v>
      </c>
      <c r="L85" s="178">
        <f>VLOOKUP($F85,'Carbon Factors'!$B$5:$L$41,7,FALSE)*'Material Quantities &amp; Embodied '!$G85/1000</f>
        <v>0.12273370312500001</v>
      </c>
      <c r="M85" s="178">
        <f>VLOOKUP($F85,'Carbon Factors'!$B$5:$L$41,8,FALSE)*'Material Quantities &amp; Embodied '!$G85/1000</f>
        <v>2.3889937499999996</v>
      </c>
      <c r="N85" s="178">
        <f>VLOOKUP($F85,'Carbon Factors'!$B$5:$L$41,9,FALSE)*'Material Quantities &amp; Embodied '!$G85/1000</f>
        <v>5.6827540362656253</v>
      </c>
      <c r="O85" s="178">
        <f>VLOOKUP($F85,'Carbon Factors'!$B$5:$L$41,10,FALSE)*'Material Quantities &amp; Embodied '!$G85/1000</f>
        <v>5.8054877393906255</v>
      </c>
      <c r="P85" s="178">
        <f>VLOOKUP($F85,'Carbon Factors'!$B$5:$L$41,11,FALSE)*'Material Quantities &amp; Embodied '!$G85/1000</f>
        <v>0</v>
      </c>
    </row>
    <row r="86" spans="2:16">
      <c r="D86" s="150" t="s">
        <v>134</v>
      </c>
      <c r="E86" s="150" t="s">
        <v>116</v>
      </c>
      <c r="F86" s="150" t="str">
        <f>F6</f>
        <v>C32/40 - 25% GGBS</v>
      </c>
      <c r="G86" s="1301">
        <f>IF(A70=0,0,Basement!C31*Summary!C13*Summary!C14*Summary!C15*Summary!C16)</f>
        <v>0</v>
      </c>
      <c r="H86" s="178">
        <f>VLOOKUP($F86,'Carbon Factors'!$B$5:$L$41,2,FALSE)*'Material Quantities &amp; Embodied '!$G86/1000</f>
        <v>0</v>
      </c>
      <c r="I86" s="178">
        <f>VLOOKUP($F86,'Carbon Factors'!$B$5:$L$41,3,FALSE)*'Material Quantities &amp; Embodied '!$G86/1000</f>
        <v>0</v>
      </c>
      <c r="J86" s="178">
        <f>VLOOKUP($F86,'Carbon Factors'!$B$5:$L$41,5,FALSE)*'Material Quantities &amp; Embodied '!$G86/1000</f>
        <v>0</v>
      </c>
      <c r="K86" s="178">
        <f>VLOOKUP($F86,'Carbon Factors'!$B$5:$L$41,6,FALSE)*'Material Quantities &amp; Embodied '!$G86/1000</f>
        <v>0</v>
      </c>
      <c r="L86" s="178">
        <f>VLOOKUP($F86,'Carbon Factors'!$B$5:$L$41,7,FALSE)*'Material Quantities &amp; Embodied '!$G86/1000</f>
        <v>0</v>
      </c>
      <c r="M86" s="178">
        <f>VLOOKUP($F86,'Carbon Factors'!$B$5:$L$41,8,FALSE)*'Material Quantities &amp; Embodied '!$G86/1000</f>
        <v>0</v>
      </c>
      <c r="N86" s="178">
        <f>VLOOKUP($F86,'Carbon Factors'!$B$5:$L$41,9,FALSE)*'Material Quantities &amp; Embodied '!$G86/1000</f>
        <v>0</v>
      </c>
      <c r="O86" s="178">
        <f>VLOOKUP($F86,'Carbon Factors'!$B$5:$L$41,10,FALSE)*'Material Quantities &amp; Embodied '!$G86/1000</f>
        <v>0</v>
      </c>
      <c r="P86" s="178">
        <f>VLOOKUP($F86,'Carbon Factors'!$B$5:$L$41,11,FALSE)*'Material Quantities &amp; Embodied '!$G86/1000</f>
        <v>0</v>
      </c>
    </row>
    <row r="87" spans="2:16">
      <c r="E87" s="150" t="s">
        <v>117</v>
      </c>
      <c r="F87" s="150" t="s">
        <v>118</v>
      </c>
      <c r="G87" s="1301">
        <f>IF(A70=0,0,Basement!C30*Summary!C13*Summary!C14*Summary!C15*Summary!C16)</f>
        <v>0</v>
      </c>
      <c r="H87" s="178">
        <f>VLOOKUP($F87,'Carbon Factors'!$B$5:$L$41,2,FALSE)*'Material Quantities &amp; Embodied '!$G87/1000</f>
        <v>0</v>
      </c>
      <c r="I87" s="178">
        <f>VLOOKUP($F87,'Carbon Factors'!$B$5:$L$41,3,FALSE)*'Material Quantities &amp; Embodied '!$G87/1000</f>
        <v>0</v>
      </c>
      <c r="J87" s="178">
        <f>VLOOKUP($F87,'Carbon Factors'!$B$5:$L$41,5,FALSE)*'Material Quantities &amp; Embodied '!$G87/1000</f>
        <v>0</v>
      </c>
      <c r="K87" s="178">
        <f>VLOOKUP($F87,'Carbon Factors'!$B$5:$L$41,6,FALSE)*'Material Quantities &amp; Embodied '!$G87/1000</f>
        <v>0</v>
      </c>
      <c r="L87" s="178">
        <f>VLOOKUP($F87,'Carbon Factors'!$B$5:$L$41,7,FALSE)*'Material Quantities &amp; Embodied '!$G87/1000</f>
        <v>0</v>
      </c>
      <c r="M87" s="178">
        <f>VLOOKUP($F87,'Carbon Factors'!$B$5:$L$41,8,FALSE)*'Material Quantities &amp; Embodied '!$G87/1000</f>
        <v>0</v>
      </c>
      <c r="N87" s="178">
        <f>VLOOKUP($F87,'Carbon Factors'!$B$5:$L$41,9,FALSE)*'Material Quantities &amp; Embodied '!$G87/1000</f>
        <v>0</v>
      </c>
      <c r="O87" s="178">
        <f>VLOOKUP($F87,'Carbon Factors'!$B$5:$L$41,10,FALSE)*'Material Quantities &amp; Embodied '!$G87/1000</f>
        <v>0</v>
      </c>
      <c r="P87" s="178">
        <f>VLOOKUP($F87,'Carbon Factors'!$B$5:$L$41,11,FALSE)*'Material Quantities &amp; Embodied '!$G87/1000</f>
        <v>0</v>
      </c>
    </row>
    <row r="88" spans="2:16">
      <c r="D88" s="150" t="s">
        <v>135</v>
      </c>
      <c r="E88" s="150" t="s">
        <v>116</v>
      </c>
      <c r="F88" s="150" t="str">
        <f>F6</f>
        <v>C32/40 - 25% GGBS</v>
      </c>
      <c r="G88" s="1301">
        <f>IF(A70=0,0,(Summary!J14*(Summary!C13*Summary!C15*2+Summary!C14*Summary!C16*2))*Basement!K79)</f>
        <v>0</v>
      </c>
      <c r="H88" s="178">
        <f>VLOOKUP($F88,'Carbon Factors'!$B$5:$L$41,2,FALSE)*'Material Quantities &amp; Embodied '!$G88/1000</f>
        <v>0</v>
      </c>
      <c r="I88" s="178">
        <f>VLOOKUP($F88,'Carbon Factors'!$B$5:$L$41,3,FALSE)*'Material Quantities &amp; Embodied '!$G88/1000</f>
        <v>0</v>
      </c>
      <c r="J88" s="178">
        <f>VLOOKUP($F88,'Carbon Factors'!$B$5:$L$41,5,FALSE)*'Material Quantities &amp; Embodied '!$G88/1000</f>
        <v>0</v>
      </c>
      <c r="K88" s="178">
        <f>VLOOKUP($F88,'Carbon Factors'!$B$5:$L$41,6,FALSE)*'Material Quantities &amp; Embodied '!$G88/1000</f>
        <v>0</v>
      </c>
      <c r="L88" s="178">
        <f>VLOOKUP($F88,'Carbon Factors'!$B$5:$L$41,7,FALSE)*'Material Quantities &amp; Embodied '!$G88/1000</f>
        <v>0</v>
      </c>
      <c r="M88" s="178">
        <f>VLOOKUP($F88,'Carbon Factors'!$B$5:$L$41,8,FALSE)*'Material Quantities &amp; Embodied '!$G88/1000</f>
        <v>0</v>
      </c>
      <c r="N88" s="178">
        <f>VLOOKUP($F88,'Carbon Factors'!$B$5:$L$41,9,FALSE)*'Material Quantities &amp; Embodied '!$G88/1000</f>
        <v>0</v>
      </c>
      <c r="O88" s="178">
        <f>VLOOKUP($F88,'Carbon Factors'!$B$5:$L$41,10,FALSE)*'Material Quantities &amp; Embodied '!$G88/1000</f>
        <v>0</v>
      </c>
      <c r="P88" s="178">
        <f>VLOOKUP($F88,'Carbon Factors'!$B$5:$L$41,11,FALSE)*'Material Quantities &amp; Embodied '!$G88/1000</f>
        <v>0</v>
      </c>
    </row>
    <row r="89" spans="2:16">
      <c r="E89" s="150" t="s">
        <v>117</v>
      </c>
      <c r="F89" s="150" t="s">
        <v>118</v>
      </c>
      <c r="G89" s="1301">
        <f>IF(A70=0,0,(Summary!J14*(Summary!C13*Summary!C15*2+Summary!C14*Summary!C16*2))*Basement!K78)</f>
        <v>0</v>
      </c>
      <c r="H89" s="178">
        <f>VLOOKUP($F89,'Carbon Factors'!$B$5:$L$41,2,FALSE)*'Material Quantities &amp; Embodied '!$G89/1000</f>
        <v>0</v>
      </c>
      <c r="I89" s="178">
        <f>VLOOKUP($F89,'Carbon Factors'!$B$5:$L$41,3,FALSE)*'Material Quantities &amp; Embodied '!$G89/1000</f>
        <v>0</v>
      </c>
      <c r="J89" s="178">
        <f>VLOOKUP($F89,'Carbon Factors'!$B$5:$L$41,5,FALSE)*'Material Quantities &amp; Embodied '!$G89/1000</f>
        <v>0</v>
      </c>
      <c r="K89" s="178">
        <f>VLOOKUP($F89,'Carbon Factors'!$B$5:$L$41,6,FALSE)*'Material Quantities &amp; Embodied '!$G89/1000</f>
        <v>0</v>
      </c>
      <c r="L89" s="178">
        <f>VLOOKUP($F89,'Carbon Factors'!$B$5:$L$41,7,FALSE)*'Material Quantities &amp; Embodied '!$G89/1000</f>
        <v>0</v>
      </c>
      <c r="M89" s="178">
        <f>VLOOKUP($F89,'Carbon Factors'!$B$5:$L$41,8,FALSE)*'Material Quantities &amp; Embodied '!$G89/1000</f>
        <v>0</v>
      </c>
      <c r="N89" s="178">
        <f>VLOOKUP($F89,'Carbon Factors'!$B$5:$L$41,9,FALSE)*'Material Quantities &amp; Embodied '!$G89/1000</f>
        <v>0</v>
      </c>
      <c r="O89" s="178">
        <f>VLOOKUP($F89,'Carbon Factors'!$B$5:$L$41,10,FALSE)*'Material Quantities &amp; Embodied '!$G89/1000</f>
        <v>0</v>
      </c>
      <c r="P89" s="178">
        <f>VLOOKUP($F89,'Carbon Factors'!$B$5:$L$41,11,FALSE)*'Material Quantities &amp; Embodied '!$G89/1000</f>
        <v>0</v>
      </c>
    </row>
    <row r="90" spans="2:16">
      <c r="D90" s="150" t="s">
        <v>136</v>
      </c>
      <c r="E90" s="150" t="s">
        <v>116</v>
      </c>
      <c r="F90" s="150" t="str">
        <f>F6</f>
        <v>C32/40 - 25% GGBS</v>
      </c>
      <c r="G90" s="1301">
        <f>IF(A70=0,0,(Basement!M99+Basement!M112+Basement!M125)*24*1000/9.81)</f>
        <v>0</v>
      </c>
      <c r="H90" s="178">
        <f>VLOOKUP($F90,'Carbon Factors'!$B$5:$L$41,2,FALSE)*'Material Quantities &amp; Embodied '!$G90/1000</f>
        <v>0</v>
      </c>
      <c r="I90" s="178">
        <f>VLOOKUP($F90,'Carbon Factors'!$B$5:$L$41,3,FALSE)*'Material Quantities &amp; Embodied '!$G90/1000</f>
        <v>0</v>
      </c>
      <c r="J90" s="178">
        <f>VLOOKUP($F90,'Carbon Factors'!$B$5:$L$41,5,FALSE)*'Material Quantities &amp; Embodied '!$G90/1000</f>
        <v>0</v>
      </c>
      <c r="K90" s="178">
        <f>VLOOKUP($F90,'Carbon Factors'!$B$5:$L$41,6,FALSE)*'Material Quantities &amp; Embodied '!$G90/1000</f>
        <v>0</v>
      </c>
      <c r="L90" s="178">
        <f>VLOOKUP($F90,'Carbon Factors'!$B$5:$L$41,7,FALSE)*'Material Quantities &amp; Embodied '!$G90/1000</f>
        <v>0</v>
      </c>
      <c r="M90" s="178">
        <f>VLOOKUP($F90,'Carbon Factors'!$B$5:$L$41,8,FALSE)*'Material Quantities &amp; Embodied '!$G90/1000</f>
        <v>0</v>
      </c>
      <c r="N90" s="178">
        <f>VLOOKUP($F90,'Carbon Factors'!$B$5:$L$41,9,FALSE)*'Material Quantities &amp; Embodied '!$G90/1000</f>
        <v>0</v>
      </c>
      <c r="O90" s="178">
        <f>VLOOKUP($F90,'Carbon Factors'!$B$5:$L$41,10,FALSE)*'Material Quantities &amp; Embodied '!$G90/1000</f>
        <v>0</v>
      </c>
      <c r="P90" s="178">
        <f>VLOOKUP($F90,'Carbon Factors'!$B$5:$L$41,11,FALSE)*'Material Quantities &amp; Embodied '!$G90/1000</f>
        <v>0</v>
      </c>
    </row>
    <row r="91" spans="2:16">
      <c r="E91" s="150" t="s">
        <v>117</v>
      </c>
      <c r="F91" s="150" t="s">
        <v>118</v>
      </c>
      <c r="G91" s="1301">
        <f>IF(A70=0,0,(Basement!N99+Basement!N112+Basement!N125)*1000)</f>
        <v>0</v>
      </c>
      <c r="H91" s="178">
        <f>VLOOKUP($F91,'Carbon Factors'!$B$5:$L$41,2,FALSE)*'Material Quantities &amp; Embodied '!$G91/1000</f>
        <v>0</v>
      </c>
      <c r="I91" s="178">
        <f>VLOOKUP($F91,'Carbon Factors'!$B$5:$L$41,3,FALSE)*'Material Quantities &amp; Embodied '!$G91/1000</f>
        <v>0</v>
      </c>
      <c r="J91" s="178">
        <f>VLOOKUP($F91,'Carbon Factors'!$B$5:$L$41,5,FALSE)*'Material Quantities &amp; Embodied '!$G91/1000</f>
        <v>0</v>
      </c>
      <c r="K91" s="178">
        <f>VLOOKUP($F91,'Carbon Factors'!$B$5:$L$41,6,FALSE)*'Material Quantities &amp; Embodied '!$G91/1000</f>
        <v>0</v>
      </c>
      <c r="L91" s="178">
        <f>VLOOKUP($F91,'Carbon Factors'!$B$5:$L$41,7,FALSE)*'Material Quantities &amp; Embodied '!$G91/1000</f>
        <v>0</v>
      </c>
      <c r="M91" s="178">
        <f>VLOOKUP($F91,'Carbon Factors'!$B$5:$L$41,8,FALSE)*'Material Quantities &amp; Embodied '!$G91/1000</f>
        <v>0</v>
      </c>
      <c r="N91" s="178">
        <f>VLOOKUP($F91,'Carbon Factors'!$B$5:$L$41,9,FALSE)*'Material Quantities &amp; Embodied '!$G91/1000</f>
        <v>0</v>
      </c>
      <c r="O91" s="178">
        <f>VLOOKUP($F91,'Carbon Factors'!$B$5:$L$41,10,FALSE)*'Material Quantities &amp; Embodied '!$G91/1000</f>
        <v>0</v>
      </c>
      <c r="P91" s="178">
        <f>VLOOKUP($F91,'Carbon Factors'!$B$5:$L$41,11,FALSE)*'Material Quantities &amp; Embodied '!$G91/1000</f>
        <v>0</v>
      </c>
    </row>
    <row r="92" spans="2:16">
      <c r="D92" s="182" t="s">
        <v>137</v>
      </c>
      <c r="E92" s="150" t="s">
        <v>116</v>
      </c>
      <c r="F92" s="150" t="str">
        <f>F72</f>
        <v>C32/40 - 25% GGBS</v>
      </c>
      <c r="G92" s="1301">
        <f>IF(A70=0,0,Basement!D162*24*1000/9.81)</f>
        <v>0</v>
      </c>
      <c r="H92" s="178">
        <f>VLOOKUP($F92,'Carbon Factors'!$B$5:$L$41,2,FALSE)*'Material Quantities &amp; Embodied '!$G92/1000</f>
        <v>0</v>
      </c>
      <c r="I92" s="178">
        <f>VLOOKUP($F92,'Carbon Factors'!$B$5:$L$41,3,FALSE)*'Material Quantities &amp; Embodied '!$G92/1000</f>
        <v>0</v>
      </c>
      <c r="J92" s="178">
        <f>VLOOKUP($F92,'Carbon Factors'!$B$5:$L$41,5,FALSE)*'Material Quantities &amp; Embodied '!$G92/1000</f>
        <v>0</v>
      </c>
      <c r="K92" s="178">
        <f>VLOOKUP($F92,'Carbon Factors'!$B$5:$L$41,6,FALSE)*'Material Quantities &amp; Embodied '!$G92/1000</f>
        <v>0</v>
      </c>
      <c r="L92" s="178">
        <f>VLOOKUP($F92,'Carbon Factors'!$B$5:$L$41,7,FALSE)*'Material Quantities &amp; Embodied '!$G92/1000</f>
        <v>0</v>
      </c>
      <c r="M92" s="178">
        <f>VLOOKUP($F92,'Carbon Factors'!$B$5:$L$41,8,FALSE)*'Material Quantities &amp; Embodied '!$G92/1000</f>
        <v>0</v>
      </c>
      <c r="N92" s="178">
        <f>VLOOKUP($F92,'Carbon Factors'!$B$5:$L$41,9,FALSE)*'Material Quantities &amp; Embodied '!$G92/1000</f>
        <v>0</v>
      </c>
      <c r="O92" s="178">
        <f>VLOOKUP($F92,'Carbon Factors'!$B$5:$L$41,10,FALSE)*'Material Quantities &amp; Embodied '!$G92/1000</f>
        <v>0</v>
      </c>
      <c r="P92" s="178">
        <f>VLOOKUP($F92,'Carbon Factors'!$B$5:$L$41,11,FALSE)*'Material Quantities &amp; Embodied '!$G92/1000</f>
        <v>0</v>
      </c>
    </row>
    <row r="93" spans="2:16">
      <c r="D93" s="152"/>
      <c r="E93" s="150" t="s">
        <v>117</v>
      </c>
      <c r="F93" s="150" t="s">
        <v>118</v>
      </c>
      <c r="G93" s="1301">
        <f>IF(A70=0,0,G92*0.02)</f>
        <v>0</v>
      </c>
      <c r="H93" s="178">
        <f>VLOOKUP($F93,'Carbon Factors'!$B$5:$L$41,2,FALSE)*'Material Quantities &amp; Embodied '!$G93/1000</f>
        <v>0</v>
      </c>
      <c r="I93" s="178">
        <f>VLOOKUP($F93,'Carbon Factors'!$B$5:$L$41,3,FALSE)*'Material Quantities &amp; Embodied '!$G93/1000</f>
        <v>0</v>
      </c>
      <c r="J93" s="178">
        <f>VLOOKUP($F93,'Carbon Factors'!$B$5:$L$41,5,FALSE)*'Material Quantities &amp; Embodied '!$G93/1000</f>
        <v>0</v>
      </c>
      <c r="K93" s="178">
        <f>VLOOKUP($F93,'Carbon Factors'!$B$5:$L$41,6,FALSE)*'Material Quantities &amp; Embodied '!$G93/1000</f>
        <v>0</v>
      </c>
      <c r="L93" s="178">
        <f>VLOOKUP($F93,'Carbon Factors'!$B$5:$L$41,7,FALSE)*'Material Quantities &amp; Embodied '!$G93/1000</f>
        <v>0</v>
      </c>
      <c r="M93" s="178">
        <f>VLOOKUP($F93,'Carbon Factors'!$B$5:$L$41,8,FALSE)*'Material Quantities &amp; Embodied '!$G93/1000</f>
        <v>0</v>
      </c>
      <c r="N93" s="178">
        <f>VLOOKUP($F93,'Carbon Factors'!$B$5:$L$41,9,FALSE)*'Material Quantities &amp; Embodied '!$G93/1000</f>
        <v>0</v>
      </c>
      <c r="O93" s="178">
        <f>VLOOKUP($F93,'Carbon Factors'!$B$5:$L$41,10,FALSE)*'Material Quantities &amp; Embodied '!$G93/1000</f>
        <v>0</v>
      </c>
      <c r="P93" s="178">
        <f>VLOOKUP($F93,'Carbon Factors'!$B$5:$L$41,11,FALSE)*'Material Quantities &amp; Embodied '!$G93/1000</f>
        <v>0</v>
      </c>
    </row>
    <row r="94" spans="2:16">
      <c r="D94" s="182" t="s">
        <v>138</v>
      </c>
      <c r="G94" s="1301">
        <f>IF(A70=0,0,IF(Summary!J$13="Yes",(G86*18/24),(G78*18/24))+G80*18/24+G81*18/20)</f>
        <v>2093680.7339449541</v>
      </c>
      <c r="H94" s="178">
        <v>0</v>
      </c>
      <c r="I94" s="178">
        <f>G94*50*0.1065*0.001*0.001</f>
        <v>11.14884990825688</v>
      </c>
      <c r="J94" s="178">
        <v>0</v>
      </c>
      <c r="K94" s="178">
        <v>0</v>
      </c>
      <c r="L94" s="178">
        <v>0</v>
      </c>
      <c r="M94" s="178">
        <v>0</v>
      </c>
      <c r="N94" s="178">
        <f>I94</f>
        <v>11.14884990825688</v>
      </c>
      <c r="O94" s="178">
        <f>N94</f>
        <v>11.14884990825688</v>
      </c>
      <c r="P94" s="178">
        <v>0</v>
      </c>
    </row>
    <row r="95" spans="2:16">
      <c r="D95" s="182" t="s">
        <v>139</v>
      </c>
      <c r="G95" s="1301">
        <f>IF(A70=0,0,G84*(18/24))</f>
        <v>113532.11009174312</v>
      </c>
      <c r="H95" s="178">
        <v>0</v>
      </c>
      <c r="I95" s="178">
        <f t="shared" ref="I95:I96" si="8">G95*50*0.1065*0.001*0.001</f>
        <v>0.60455848623853214</v>
      </c>
      <c r="J95" s="178">
        <v>0</v>
      </c>
      <c r="K95" s="178">
        <v>0</v>
      </c>
      <c r="L95" s="178">
        <v>0</v>
      </c>
      <c r="M95" s="178">
        <v>0</v>
      </c>
      <c r="N95" s="178">
        <f t="shared" ref="N95:N96" si="9">I95</f>
        <v>0.60455848623853214</v>
      </c>
      <c r="O95" s="178">
        <f t="shared" ref="O95:O96" si="10">N95</f>
        <v>0.60455848623853214</v>
      </c>
      <c r="P95" s="178">
        <v>0</v>
      </c>
    </row>
    <row r="96" spans="2:16">
      <c r="B96" s="179"/>
      <c r="C96" s="179"/>
      <c r="D96" s="183" t="s">
        <v>140</v>
      </c>
      <c r="E96" s="184"/>
      <c r="F96" s="184"/>
      <c r="G96" s="1302">
        <f>IF(A70=0,0,IF(Summary!J$13="Yes",18*1000/9.81*Summary!C$13*Summary!C$14*Summary!C$15*Summary!C$16*Summary!J$14,0))</f>
        <v>0</v>
      </c>
      <c r="H96" s="181">
        <v>0</v>
      </c>
      <c r="I96" s="181">
        <f t="shared" si="8"/>
        <v>0</v>
      </c>
      <c r="J96" s="181">
        <v>0</v>
      </c>
      <c r="K96" s="181">
        <v>0</v>
      </c>
      <c r="L96" s="181">
        <v>0</v>
      </c>
      <c r="M96" s="181">
        <v>0</v>
      </c>
      <c r="N96" s="181">
        <f t="shared" si="9"/>
        <v>0</v>
      </c>
      <c r="O96" s="181">
        <f t="shared" si="10"/>
        <v>0</v>
      </c>
      <c r="P96" s="181">
        <v>0</v>
      </c>
    </row>
    <row r="97" spans="1:16">
      <c r="H97" s="185">
        <f>SUM(H70:H96)</f>
        <v>764.69873943376649</v>
      </c>
      <c r="I97" s="185">
        <f t="shared" ref="I97:P97" si="11">SUM(I70:I96)</f>
        <v>47.382273614064992</v>
      </c>
      <c r="J97" s="185">
        <f t="shared" si="11"/>
        <v>30.731161659675298</v>
      </c>
      <c r="K97" s="185">
        <f t="shared" si="11"/>
        <v>79.458959099358566</v>
      </c>
      <c r="L97" s="185">
        <f t="shared" si="11"/>
        <v>110.19012075903386</v>
      </c>
      <c r="M97" s="185">
        <f t="shared" si="11"/>
        <v>88.073172716709109</v>
      </c>
      <c r="N97" s="185">
        <f t="shared" si="11"/>
        <v>860.33845249468686</v>
      </c>
      <c r="O97" s="185">
        <f t="shared" si="11"/>
        <v>970.52857325372111</v>
      </c>
      <c r="P97" s="185">
        <f t="shared" si="11"/>
        <v>0</v>
      </c>
    </row>
    <row r="98" spans="1:16" ht="12.75" thickBot="1">
      <c r="B98" s="172"/>
      <c r="C98" s="172"/>
      <c r="D98" s="172"/>
      <c r="E98" s="172"/>
      <c r="F98" s="172"/>
      <c r="G98" s="173"/>
      <c r="H98" s="173"/>
      <c r="I98" s="173"/>
      <c r="J98" s="173"/>
      <c r="K98" s="173"/>
      <c r="L98" s="173"/>
      <c r="M98" s="174"/>
      <c r="N98" s="174"/>
      <c r="O98" s="174"/>
      <c r="P98" s="174"/>
    </row>
    <row r="99" spans="1:16"/>
    <row r="100" spans="1:16">
      <c r="H100" s="1311" t="s">
        <v>99</v>
      </c>
      <c r="I100" s="1311"/>
      <c r="J100" s="1311"/>
      <c r="K100" s="1311"/>
      <c r="L100" s="1311"/>
      <c r="M100" s="1311"/>
      <c r="N100" s="1311"/>
      <c r="O100" s="1311"/>
      <c r="P100" s="1311"/>
    </row>
    <row r="101" spans="1:16" ht="12.75" thickBot="1">
      <c r="B101" s="175" t="s">
        <v>22</v>
      </c>
      <c r="C101" s="175" t="s">
        <v>100</v>
      </c>
      <c r="D101" s="175" t="s">
        <v>101</v>
      </c>
      <c r="E101" s="175" t="s">
        <v>102</v>
      </c>
      <c r="F101" s="175" t="s">
        <v>103</v>
      </c>
      <c r="G101" s="72" t="s">
        <v>104</v>
      </c>
      <c r="H101" s="176" t="s">
        <v>105</v>
      </c>
      <c r="I101" s="176" t="s">
        <v>106</v>
      </c>
      <c r="J101" s="176" t="s">
        <v>107</v>
      </c>
      <c r="K101" s="176" t="s">
        <v>108</v>
      </c>
      <c r="L101" s="176" t="s">
        <v>109</v>
      </c>
      <c r="M101" s="176" t="s">
        <v>110</v>
      </c>
      <c r="N101" s="176" t="s">
        <v>111</v>
      </c>
      <c r="O101" s="176" t="s">
        <v>112</v>
      </c>
      <c r="P101" s="176" t="s">
        <v>113</v>
      </c>
    </row>
    <row r="102" spans="1:16">
      <c r="A102" s="148">
        <f>MIN(Pile!BA464,Database!E20)</f>
        <v>0.27500000000000002</v>
      </c>
      <c r="B102" s="150" t="str">
        <f>Database!D20</f>
        <v>Two-way RC Slab</v>
      </c>
      <c r="C102" s="150" t="s">
        <v>114</v>
      </c>
      <c r="D102" s="150" t="s">
        <v>115</v>
      </c>
      <c r="E102" s="150" t="s">
        <v>116</v>
      </c>
      <c r="F102" s="150" t="str">
        <f>F6</f>
        <v>C32/40 - 25% GGBS</v>
      </c>
      <c r="G102" s="1301">
        <f>IF(A102=0,0,IF(Summary!J$8="No",Database!G20*Summary!C$13*Summary!C$14*Summary!C$15*Summary!C$16*Summary!C$17,Database!G20*Summary!C$13*Summary!C$14*Summary!C$15*Summary!C$16*(Summary!C$17-1)))</f>
        <v>2161514.7265077159</v>
      </c>
      <c r="H102" s="178">
        <f>VLOOKUP($F102,'Carbon Factors'!$B$5:$L$41,2,FALSE)*'Material Quantities &amp; Embodied '!$G102/1000</f>
        <v>259.38176718092592</v>
      </c>
      <c r="I102" s="178">
        <f>VLOOKUP($F102,'Carbon Factors'!$B$5:$L$41,3,FALSE)*'Material Quantities &amp; Embodied '!$G102/1000</f>
        <v>10.807573632538579</v>
      </c>
      <c r="J102" s="178">
        <f>VLOOKUP($F102,'Carbon Factors'!$B$5:$L$41,5,FALSE)*'Material Quantities &amp; Embodied '!$G102/1000</f>
        <v>10.877822861150081</v>
      </c>
      <c r="K102" s="178">
        <f>VLOOKUP($F102,'Carbon Factors'!$B$5:$L$41,6,FALSE)*'Material Quantities &amp; Embodied '!$G102/1000</f>
        <v>28.099691444600307</v>
      </c>
      <c r="L102" s="178">
        <f>VLOOKUP($F102,'Carbon Factors'!$B$5:$L$41,7,FALSE)*'Material Quantities &amp; Embodied '!$G102/1000</f>
        <v>38.97751430575039</v>
      </c>
      <c r="M102" s="178">
        <f>VLOOKUP($F102,'Carbon Factors'!$B$5:$L$41,8,FALSE)*'Material Quantities &amp; Embodied '!$G102/1000</f>
        <v>9.5106647966339501</v>
      </c>
      <c r="N102" s="178">
        <f>VLOOKUP($F102,'Carbon Factors'!$B$5:$L$41,9,FALSE)*'Material Quantities &amp; Embodied '!$G102/1000</f>
        <v>286.57518413478289</v>
      </c>
      <c r="O102" s="178">
        <f>VLOOKUP($F102,'Carbon Factors'!$B$5:$L$41,10,FALSE)*'Material Quantities &amp; Embodied '!$G102/1000</f>
        <v>325.55269844053322</v>
      </c>
      <c r="P102" s="178">
        <f>VLOOKUP($F102,'Carbon Factors'!$B$5:$L$41,11,FALSE)*'Material Quantities &amp; Embodied '!$G102/1000</f>
        <v>0</v>
      </c>
    </row>
    <row r="103" spans="1:16">
      <c r="E103" s="150" t="s">
        <v>117</v>
      </c>
      <c r="F103" s="150" t="s">
        <v>118</v>
      </c>
      <c r="G103" s="1301">
        <f>IF(A102=0,0,IF(Summary!J$8="No",Database!H20*2*Summary!C$13*Summary!C$14*Summary!C$15*Summary!C$16*Summary!C$17,Database!H20*2*Summary!C$13*Summary!C$14*Summary!C$15*Summary!C$16*(Summary!C$17-1)))</f>
        <v>166325.04908835952</v>
      </c>
      <c r="H103" s="178">
        <f>VLOOKUP($F103,'Carbon Factors'!$B$5:$L$41,2,FALSE)*'Material Quantities &amp; Embodied '!$G103/1000</f>
        <v>126.40703730715323</v>
      </c>
      <c r="I103" s="178">
        <f>VLOOKUP($F103,'Carbon Factors'!$B$5:$L$41,3,FALSE)*'Material Quantities &amp; Embodied '!$G103/1000</f>
        <v>5.3224015708275045</v>
      </c>
      <c r="J103" s="178">
        <f>VLOOKUP($F103,'Carbon Factors'!$B$5:$L$41,5,FALSE)*'Material Quantities &amp; Embodied '!$G103/1000</f>
        <v>0.83703080953716935</v>
      </c>
      <c r="K103" s="178">
        <f>VLOOKUP($F103,'Carbon Factors'!$B$5:$L$41,6,FALSE)*'Material Quantities &amp; Embodied '!$G103/1000</f>
        <v>2.1622256381486737</v>
      </c>
      <c r="L103" s="178">
        <f>VLOOKUP($F103,'Carbon Factors'!$B$5:$L$41,7,FALSE)*'Material Quantities &amp; Embodied '!$G103/1000</f>
        <v>2.999256447685843</v>
      </c>
      <c r="M103" s="178">
        <f>VLOOKUP($F103,'Carbon Factors'!$B$5:$L$41,8,FALSE)*'Material Quantities &amp; Embodied '!$G103/1000</f>
        <v>58.380092230014192</v>
      </c>
      <c r="N103" s="178">
        <f>VLOOKUP($F103,'Carbon Factors'!$B$5:$L$41,9,FALSE)*'Material Quantities &amp; Embodied '!$G103/1000</f>
        <v>138.87005973024108</v>
      </c>
      <c r="O103" s="178">
        <f>VLOOKUP($F103,'Carbon Factors'!$B$5:$L$41,10,FALSE)*'Material Quantities &amp; Embodied '!$G103/1000</f>
        <v>141.86931617792692</v>
      </c>
      <c r="P103" s="178">
        <f>VLOOKUP($F103,'Carbon Factors'!$B$5:$L$41,11,FALSE)*'Material Quantities &amp; Embodied '!$G103/1000</f>
        <v>0</v>
      </c>
    </row>
    <row r="104" spans="1:16">
      <c r="D104" s="150" t="s">
        <v>119</v>
      </c>
      <c r="E104" s="150" t="s">
        <v>116</v>
      </c>
      <c r="F104" s="150" t="str">
        <f>F6</f>
        <v>C32/40 - 25% GGBS</v>
      </c>
      <c r="G104" s="1301">
        <f>IF(A102=0,0,'RC Column'!M63*24*1000/9.81)</f>
        <v>90825.688073394485</v>
      </c>
      <c r="H104" s="178">
        <f>VLOOKUP($F104,'Carbon Factors'!$B$5:$L$41,2,FALSE)*'Material Quantities &amp; Embodied '!$G104/1000</f>
        <v>10.899082568807339</v>
      </c>
      <c r="I104" s="178">
        <f>VLOOKUP($F104,'Carbon Factors'!$B$5:$L$41,3,FALSE)*'Material Quantities &amp; Embodied '!$G104/1000</f>
        <v>0.45412844036697242</v>
      </c>
      <c r="J104" s="178">
        <f>VLOOKUP($F104,'Carbon Factors'!$B$5:$L$41,5,FALSE)*'Material Quantities &amp; Embodied '!$G104/1000</f>
        <v>0.45708027522935779</v>
      </c>
      <c r="K104" s="178">
        <f>VLOOKUP($F104,'Carbon Factors'!$B$5:$L$41,6,FALSE)*'Material Quantities &amp; Embodied '!$G104/1000</f>
        <v>1.1807339449541283</v>
      </c>
      <c r="L104" s="178">
        <f>VLOOKUP($F104,'Carbon Factors'!$B$5:$L$41,7,FALSE)*'Material Quantities &amp; Embodied '!$G104/1000</f>
        <v>1.637814220183486</v>
      </c>
      <c r="M104" s="178">
        <f>VLOOKUP($F104,'Carbon Factors'!$B$5:$L$41,8,FALSE)*'Material Quantities &amp; Embodied '!$G104/1000</f>
        <v>0.39963302752293578</v>
      </c>
      <c r="N104" s="178">
        <f>VLOOKUP($F104,'Carbon Factors'!$B$5:$L$41,9,FALSE)*'Material Quantities &amp; Embodied '!$G104/1000</f>
        <v>12.041735346330274</v>
      </c>
      <c r="O104" s="178">
        <f>VLOOKUP($F104,'Carbon Factors'!$B$5:$L$41,10,FALSE)*'Material Quantities &amp; Embodied '!$G104/1000</f>
        <v>13.67954956651376</v>
      </c>
      <c r="P104" s="178">
        <f>VLOOKUP($F104,'Carbon Factors'!$B$5:$L$41,11,FALSE)*'Material Quantities &amp; Embodied '!$G104/1000</f>
        <v>0</v>
      </c>
    </row>
    <row r="105" spans="1:16">
      <c r="E105" s="150" t="s">
        <v>117</v>
      </c>
      <c r="F105" s="150" t="s">
        <v>118</v>
      </c>
      <c r="G105" s="1301">
        <f>IF(A102=0,0,'RC Column'!N63*1000)</f>
        <v>11657.250000000002</v>
      </c>
      <c r="H105" s="178">
        <f>VLOOKUP($F105,'Carbon Factors'!$B$5:$L$41,2,FALSE)*'Material Quantities &amp; Embodied '!$G105/1000</f>
        <v>8.859510000000002</v>
      </c>
      <c r="I105" s="178">
        <f>VLOOKUP($F105,'Carbon Factors'!$B$5:$L$41,3,FALSE)*'Material Quantities &amp; Embodied '!$G105/1000</f>
        <v>0.37303200000000003</v>
      </c>
      <c r="J105" s="178">
        <f>VLOOKUP($F105,'Carbon Factors'!$B$5:$L$41,5,FALSE)*'Material Quantities &amp; Embodied '!$G105/1000</f>
        <v>5.8665110625000016E-2</v>
      </c>
      <c r="K105" s="178">
        <f>VLOOKUP($F105,'Carbon Factors'!$B$5:$L$41,6,FALSE)*'Material Quantities &amp; Embodied '!$G105/1000</f>
        <v>0.15154424999999999</v>
      </c>
      <c r="L105" s="178">
        <f>VLOOKUP($F105,'Carbon Factors'!$B$5:$L$41,7,FALSE)*'Material Quantities &amp; Embodied '!$G105/1000</f>
        <v>0.21020936062500004</v>
      </c>
      <c r="M105" s="178">
        <f>VLOOKUP($F105,'Carbon Factors'!$B$5:$L$41,8,FALSE)*'Material Quantities &amp; Embodied '!$G105/1000</f>
        <v>4.0916947500000003</v>
      </c>
      <c r="N105" s="178">
        <f>VLOOKUP($F105,'Carbon Factors'!$B$5:$L$41,9,FALSE)*'Material Quantities &amp; Embodied '!$G105/1000</f>
        <v>9.7330078221131267</v>
      </c>
      <c r="O105" s="178">
        <f>VLOOKUP($F105,'Carbon Factors'!$B$5:$L$41,10,FALSE)*'Material Quantities &amp; Embodied '!$G105/1000</f>
        <v>9.9432171827381257</v>
      </c>
      <c r="P105" s="178">
        <f>VLOOKUP($F105,'Carbon Factors'!$B$5:$L$41,11,FALSE)*'Material Quantities &amp; Embodied '!$G105/1000</f>
        <v>0</v>
      </c>
    </row>
    <row r="106" spans="1:16">
      <c r="D106" s="150" t="s">
        <v>120</v>
      </c>
      <c r="E106" s="150" t="s">
        <v>121</v>
      </c>
      <c r="F106" s="150" t="str">
        <f>F6</f>
        <v>C32/40 - 25% GGBS</v>
      </c>
      <c r="G106" s="1301">
        <f>IF(A102=0,0,SUM('Shear Walls'!U84,'Shear Walls'!U118))</f>
        <v>35511.192660550463</v>
      </c>
      <c r="H106" s="178">
        <f>VLOOKUP($F106,'Carbon Factors'!$B$5:$L$41,2,FALSE)*'Material Quantities &amp; Embodied '!$G106/1000</f>
        <v>4.2613431192660558</v>
      </c>
      <c r="I106" s="178">
        <f>VLOOKUP($F106,'Carbon Factors'!$B$5:$L$41,3,FALSE)*'Material Quantities &amp; Embodied '!$G106/1000</f>
        <v>0.17755596330275233</v>
      </c>
      <c r="J106" s="178">
        <f>VLOOKUP($F106,'Carbon Factors'!$B$5:$L$41,5,FALSE)*'Material Quantities &amp; Embodied '!$G106/1000</f>
        <v>0.17871007706422024</v>
      </c>
      <c r="K106" s="178">
        <f>VLOOKUP($F106,'Carbon Factors'!$B$5:$L$41,6,FALSE)*'Material Quantities &amp; Embodied '!$G106/1000</f>
        <v>0.46164550458715597</v>
      </c>
      <c r="L106" s="178">
        <f>VLOOKUP($F106,'Carbon Factors'!$B$5:$L$41,7,FALSE)*'Material Quantities &amp; Embodied '!$G106/1000</f>
        <v>0.64035558165137629</v>
      </c>
      <c r="M106" s="178">
        <f>VLOOKUP($F106,'Carbon Factors'!$B$5:$L$41,8,FALSE)*'Material Quantities &amp; Embodied '!$G106/1000</f>
        <v>0.15624924770642204</v>
      </c>
      <c r="N106" s="178">
        <f>VLOOKUP($F106,'Carbon Factors'!$B$5:$L$41,9,FALSE)*'Material Quantities &amp; Embodied '!$G106/1000</f>
        <v>4.708099579772477</v>
      </c>
      <c r="O106" s="178">
        <f>VLOOKUP($F106,'Carbon Factors'!$B$5:$L$41,10,FALSE)*'Material Quantities &amp; Embodied '!$G106/1000</f>
        <v>5.3484551614238542</v>
      </c>
      <c r="P106" s="178">
        <f>VLOOKUP($F106,'Carbon Factors'!$B$5:$L$41,11,FALSE)*'Material Quantities &amp; Embodied '!$G106/1000</f>
        <v>0</v>
      </c>
    </row>
    <row r="107" spans="1:16">
      <c r="E107" s="150" t="s">
        <v>117</v>
      </c>
      <c r="F107" s="150" t="s">
        <v>118</v>
      </c>
      <c r="G107" s="1301">
        <f>IF(A102=0,0,SUM('Shear Walls'!U85,'Shear Walls'!U119))</f>
        <v>1255.5424159501063</v>
      </c>
      <c r="H107" s="178">
        <f>VLOOKUP($F107,'Carbon Factors'!$B$5:$L$41,2,FALSE)*'Material Quantities &amp; Embodied '!$G107/1000</f>
        <v>0.95421223612208073</v>
      </c>
      <c r="I107" s="178">
        <f>VLOOKUP($F107,'Carbon Factors'!$B$5:$L$41,3,FALSE)*'Material Quantities &amp; Embodied '!$G107/1000</f>
        <v>4.0177357310403401E-2</v>
      </c>
      <c r="J107" s="178">
        <f>VLOOKUP($F107,'Carbon Factors'!$B$5:$L$41,5,FALSE)*'Material Quantities &amp; Embodied '!$G107/1000</f>
        <v>6.3185172082689109E-3</v>
      </c>
      <c r="K107" s="178">
        <f>VLOOKUP($F107,'Carbon Factors'!$B$5:$L$41,6,FALSE)*'Material Quantities &amp; Embodied '!$G107/1000</f>
        <v>1.6322051407351382E-2</v>
      </c>
      <c r="L107" s="178">
        <f>VLOOKUP($F107,'Carbon Factors'!$B$5:$L$41,7,FALSE)*'Material Quantities &amp; Embodied '!$G107/1000</f>
        <v>2.2640568615620294E-2</v>
      </c>
      <c r="M107" s="178">
        <f>VLOOKUP($F107,'Carbon Factors'!$B$5:$L$41,8,FALSE)*'Material Quantities &amp; Embodied '!$G107/1000</f>
        <v>0.44069538799848729</v>
      </c>
      <c r="N107" s="178">
        <f>VLOOKUP($F107,'Carbon Factors'!$B$5:$L$41,9,FALSE)*'Material Quantities &amp; Embodied '!$G107/1000</f>
        <v>1.0482921920210337</v>
      </c>
      <c r="O107" s="178">
        <f>VLOOKUP($F107,'Carbon Factors'!$B$5:$L$41,10,FALSE)*'Material Quantities &amp; Embodied '!$G107/1000</f>
        <v>1.0709327606366539</v>
      </c>
      <c r="P107" s="178">
        <f>VLOOKUP($F107,'Carbon Factors'!$B$5:$L$41,11,FALSE)*'Material Quantities &amp; Embodied '!$G107/1000</f>
        <v>0</v>
      </c>
    </row>
    <row r="108" spans="1:16">
      <c r="D108" s="150" t="s">
        <v>122</v>
      </c>
      <c r="E108" s="150" t="s">
        <v>116</v>
      </c>
      <c r="F108" s="150" t="str">
        <f>Summary!F$9</f>
        <v>C32/40 - 25% GGBS</v>
      </c>
      <c r="G108" s="1301">
        <f>IF(A102=0,0,IF(Summary!J$8="Yes",Summary!C$13*Summary!C$14*Summary!C$15*Summary!C$16*Summary!J$9*24*1000/9.81,0))</f>
        <v>0</v>
      </c>
      <c r="H108" s="178">
        <f>VLOOKUP($F108,'Carbon Factors'!$B$5:$L$41,2,FALSE)*'Material Quantities &amp; Embodied '!$G108/1000</f>
        <v>0</v>
      </c>
      <c r="I108" s="178">
        <f>VLOOKUP($F108,'Carbon Factors'!$B$5:$L$41,3,FALSE)*'Material Quantities &amp; Embodied '!$G108/1000</f>
        <v>0</v>
      </c>
      <c r="J108" s="178">
        <f>VLOOKUP($F108,'Carbon Factors'!$B$5:$L$41,5,FALSE)*'Material Quantities &amp; Embodied '!$G108/1000</f>
        <v>0</v>
      </c>
      <c r="K108" s="178">
        <f>VLOOKUP($F108,'Carbon Factors'!$B$5:$L$41,6,FALSE)*'Material Quantities &amp; Embodied '!$G108/1000</f>
        <v>0</v>
      </c>
      <c r="L108" s="178">
        <f>VLOOKUP($F108,'Carbon Factors'!$B$5:$L$41,7,FALSE)*'Material Quantities &amp; Embodied '!$G108/1000</f>
        <v>0</v>
      </c>
      <c r="M108" s="178">
        <f>VLOOKUP($F108,'Carbon Factors'!$B$5:$L$41,8,FALSE)*'Material Quantities &amp; Embodied '!$G108/1000</f>
        <v>0</v>
      </c>
      <c r="N108" s="178">
        <f>VLOOKUP($F108,'Carbon Factors'!$B$5:$L$41,9,FALSE)*'Material Quantities &amp; Embodied '!$G108/1000</f>
        <v>0</v>
      </c>
      <c r="O108" s="178">
        <f>VLOOKUP($F108,'Carbon Factors'!$B$5:$L$41,10,FALSE)*'Material Quantities &amp; Embodied '!$G108/1000</f>
        <v>0</v>
      </c>
      <c r="P108" s="178">
        <f>VLOOKUP($F108,'Carbon Factors'!$B$5:$L$41,11,FALSE)*'Material Quantities &amp; Embodied '!$G108/1000</f>
        <v>0</v>
      </c>
    </row>
    <row r="109" spans="1:16">
      <c r="C109" s="179"/>
      <c r="D109" s="179"/>
      <c r="E109" s="179" t="s">
        <v>117</v>
      </c>
      <c r="F109" s="179" t="s">
        <v>118</v>
      </c>
      <c r="G109" s="1302">
        <f>IF(A102=0,0,IF(Summary!J$8="Yes",Summary!C$13*Summary!C$14*Summary!C$15*Summary!C$16*Summary!J$9*Summary!J$10,0))</f>
        <v>0</v>
      </c>
      <c r="H109" s="181">
        <f>VLOOKUP($F109,'Carbon Factors'!$B$5:$L$41,2,FALSE)*'Material Quantities &amp; Embodied '!$G109/1000</f>
        <v>0</v>
      </c>
      <c r="I109" s="181">
        <f>VLOOKUP($F109,'Carbon Factors'!$B$5:$L$41,3,FALSE)*'Material Quantities &amp; Embodied '!$G109/1000</f>
        <v>0</v>
      </c>
      <c r="J109" s="181">
        <f>VLOOKUP($F109,'Carbon Factors'!$B$5:$L$41,5,FALSE)*'Material Quantities &amp; Embodied '!$G109/1000</f>
        <v>0</v>
      </c>
      <c r="K109" s="181">
        <f>VLOOKUP($F109,'Carbon Factors'!$B$5:$L$41,6,FALSE)*'Material Quantities &amp; Embodied '!$G109/1000</f>
        <v>0</v>
      </c>
      <c r="L109" s="181">
        <f>VLOOKUP($F109,'Carbon Factors'!$B$5:$L$41,7,FALSE)*'Material Quantities &amp; Embodied '!$G109/1000</f>
        <v>0</v>
      </c>
      <c r="M109" s="181">
        <f>VLOOKUP($F109,'Carbon Factors'!$B$5:$L$41,8,FALSE)*'Material Quantities &amp; Embodied '!$G109/1000</f>
        <v>0</v>
      </c>
      <c r="N109" s="181">
        <f>VLOOKUP($F109,'Carbon Factors'!$B$5:$L$41,9,FALSE)*'Material Quantities &amp; Embodied '!$G109/1000</f>
        <v>0</v>
      </c>
      <c r="O109" s="181">
        <f>VLOOKUP($F109,'Carbon Factors'!$B$5:$L$41,10,FALSE)*'Material Quantities &amp; Embodied '!$G109/1000</f>
        <v>0</v>
      </c>
      <c r="P109" s="181">
        <f>VLOOKUP($F109,'Carbon Factors'!$B$5:$L$41,11,FALSE)*'Material Quantities &amp; Embodied '!$G109/1000</f>
        <v>0</v>
      </c>
    </row>
    <row r="110" spans="1:16">
      <c r="C110" s="150" t="s">
        <v>123</v>
      </c>
      <c r="D110" s="150" t="s">
        <v>124</v>
      </c>
      <c r="E110" s="150" t="s">
        <v>116</v>
      </c>
      <c r="F110" s="150" t="str">
        <f>F6</f>
        <v>C32/40 - 25% GGBS</v>
      </c>
      <c r="G110" s="1301">
        <f>IF(A102=0,0,IF(Summary!J13="No",(480*Summary!C13*Summary!C14*Summary!C15*Summary!C16),(Basement!C11*Summary!C13*Summary!C14*Summary!C15*Summary!C16)))</f>
        <v>1382400</v>
      </c>
      <c r="H110" s="178">
        <f>VLOOKUP($F110,'Carbon Factors'!$B$5:$L$41,2,FALSE)*'Material Quantities &amp; Embodied '!$G110/1000</f>
        <v>165.88800000000001</v>
      </c>
      <c r="I110" s="178">
        <f>VLOOKUP($F110,'Carbon Factors'!$B$5:$L$41,3,FALSE)*'Material Quantities &amp; Embodied '!$G110/1000</f>
        <v>6.9119999999999999</v>
      </c>
      <c r="J110" s="178">
        <f>VLOOKUP($F110,'Carbon Factors'!$B$5:$L$41,5,FALSE)*'Material Quantities &amp; Embodied '!$G110/1000</f>
        <v>6.9569280000000004</v>
      </c>
      <c r="K110" s="178">
        <f>VLOOKUP($F110,'Carbon Factors'!$B$5:$L$41,6,FALSE)*'Material Quantities &amp; Embodied '!$G110/1000</f>
        <v>17.9712</v>
      </c>
      <c r="L110" s="178">
        <f>VLOOKUP($F110,'Carbon Factors'!$B$5:$L$41,7,FALSE)*'Material Quantities &amp; Embodied '!$G110/1000</f>
        <v>24.928128000000001</v>
      </c>
      <c r="M110" s="178">
        <f>VLOOKUP($F110,'Carbon Factors'!$B$5:$L$41,8,FALSE)*'Material Quantities &amp; Embodied '!$G110/1000</f>
        <v>6.08256</v>
      </c>
      <c r="N110" s="178">
        <f>VLOOKUP($F110,'Carbon Factors'!$B$5:$L$41,9,FALSE)*'Material Quantities &amp; Embodied '!$G110/1000</f>
        <v>183.27959078399999</v>
      </c>
      <c r="O110" s="178">
        <f>VLOOKUP($F110,'Carbon Factors'!$B$5:$L$41,10,FALSE)*'Material Quantities &amp; Embodied '!$G110/1000</f>
        <v>208.20771878400001</v>
      </c>
      <c r="P110" s="178">
        <f>VLOOKUP($F110,'Carbon Factors'!$B$5:$L$41,11,FALSE)*'Material Quantities &amp; Embodied '!$G110/1000</f>
        <v>0</v>
      </c>
    </row>
    <row r="111" spans="1:16">
      <c r="E111" s="150" t="s">
        <v>117</v>
      </c>
      <c r="F111" s="150" t="s">
        <v>118</v>
      </c>
      <c r="G111" s="1301">
        <f>IF(A102=0,0,IF(Summary!J13="No",(12*Summary!C13*Summary!C14*Summary!C15*Summary!C16),(Basement!C10*Summary!C13*Summary!C14*Summary!C15*Summary!C16)))</f>
        <v>34560</v>
      </c>
      <c r="H111" s="178">
        <f>VLOOKUP($F111,'Carbon Factors'!$B$5:$L$41,2,FALSE)*'Material Quantities &amp; Embodied '!$G111/1000</f>
        <v>26.265599999999999</v>
      </c>
      <c r="I111" s="178">
        <f>VLOOKUP($F111,'Carbon Factors'!$B$5:$L$41,3,FALSE)*'Material Quantities &amp; Embodied '!$G111/1000</f>
        <v>1.10592</v>
      </c>
      <c r="J111" s="178">
        <f>VLOOKUP($F111,'Carbon Factors'!$B$5:$L$41,5,FALSE)*'Material Quantities &amp; Embodied '!$G111/1000</f>
        <v>0.1739232</v>
      </c>
      <c r="K111" s="178">
        <f>VLOOKUP($F111,'Carbon Factors'!$B$5:$L$41,6,FALSE)*'Material Quantities &amp; Embodied '!$G111/1000</f>
        <v>0.44927999999999996</v>
      </c>
      <c r="L111" s="178">
        <f>VLOOKUP($F111,'Carbon Factors'!$B$5:$L$41,7,FALSE)*'Material Quantities &amp; Embodied '!$G111/1000</f>
        <v>0.62320320000000007</v>
      </c>
      <c r="M111" s="178">
        <f>VLOOKUP($F111,'Carbon Factors'!$B$5:$L$41,8,FALSE)*'Material Quantities &amp; Embodied '!$G111/1000</f>
        <v>12.130559999999999</v>
      </c>
      <c r="N111" s="178">
        <f>VLOOKUP($F111,'Carbon Factors'!$B$5:$L$41,9,FALSE)*'Material Quantities &amp; Embodied '!$G111/1000</f>
        <v>28.855240329600001</v>
      </c>
      <c r="O111" s="178">
        <f>VLOOKUP($F111,'Carbon Factors'!$B$5:$L$41,10,FALSE)*'Material Quantities &amp; Embodied '!$G111/1000</f>
        <v>29.4784435296</v>
      </c>
      <c r="P111" s="178">
        <f>VLOOKUP($F111,'Carbon Factors'!$B$5:$L$41,11,FALSE)*'Material Quantities &amp; Embodied '!$G111/1000</f>
        <v>0</v>
      </c>
    </row>
    <row r="112" spans="1:16">
      <c r="D112" s="150" t="s">
        <v>126</v>
      </c>
      <c r="E112" s="150" t="s">
        <v>116</v>
      </c>
      <c r="F112" s="150" t="s">
        <v>127</v>
      </c>
      <c r="G112" s="1301">
        <f>IF(A102=0,0,Summary!C13*Summary!C14*Summary!C15*Summary!C16*0.05*24*1000/9.81)</f>
        <v>352293.57798165135</v>
      </c>
      <c r="H112" s="178">
        <f>VLOOKUP($F112,'Carbon Factors'!$B$5:$L$41,2,FALSE)*'Material Quantities &amp; Embodied '!$G112/1000</f>
        <v>52.491743119266054</v>
      </c>
      <c r="I112" s="178">
        <f>VLOOKUP($F112,'Carbon Factors'!$B$5:$L$41,3,FALSE)*'Material Quantities &amp; Embodied '!$G112/1000</f>
        <v>1.761467889908257</v>
      </c>
      <c r="J112" s="178">
        <f>VLOOKUP($F112,'Carbon Factors'!$B$5:$L$41,5,FALSE)*'Material Quantities &amp; Embodied '!$G112/1000</f>
        <v>1.7729174311926605</v>
      </c>
      <c r="K112" s="178">
        <f>VLOOKUP($F112,'Carbon Factors'!$B$5:$L$41,6,FALSE)*'Material Quantities &amp; Embodied '!$G112/1000</f>
        <v>4.5798165137614681</v>
      </c>
      <c r="L112" s="178">
        <f>VLOOKUP($F112,'Carbon Factors'!$B$5:$L$41,7,FALSE)*'Material Quantities &amp; Embodied '!$G112/1000</f>
        <v>6.352733944954128</v>
      </c>
      <c r="M112" s="178">
        <f>VLOOKUP($F112,'Carbon Factors'!$B$5:$L$41,8,FALSE)*'Material Quantities &amp; Embodied '!$G112/1000</f>
        <v>1.550091743119266</v>
      </c>
      <c r="N112" s="178">
        <f>VLOOKUP($F112,'Carbon Factors'!$B$5:$L$41,9,FALSE)*'Material Quantities &amp; Embodied '!$G112/1000</f>
        <v>57.465326091743115</v>
      </c>
      <c r="O112" s="178">
        <f>VLOOKUP($F112,'Carbon Factors'!$B$5:$L$41,10,FALSE)*'Material Quantities &amp; Embodied '!$G112/1000</f>
        <v>63.818060036697247</v>
      </c>
      <c r="P112" s="178">
        <f>VLOOKUP($F112,'Carbon Factors'!$B$5:$L$41,11,FALSE)*'Material Quantities &amp; Embodied '!$G112/1000</f>
        <v>0</v>
      </c>
    </row>
    <row r="113" spans="2:16">
      <c r="D113" s="150" t="s">
        <v>128</v>
      </c>
      <c r="E113" s="150" t="s">
        <v>129</v>
      </c>
      <c r="F113" s="150" t="s">
        <v>130</v>
      </c>
      <c r="G113" s="1301">
        <f>IF(A102=0,0,Summary!C13*Summary!C14*Summary!C15*Summary!C16*0.15*20*1000/9.81)</f>
        <v>880733.94495412835</v>
      </c>
      <c r="H113" s="178">
        <f>VLOOKUP($F113,'Carbon Factors'!$B$5:$L$41,2,FALSE)*'Material Quantities &amp; Embodied '!$G113/1000</f>
        <v>6.5790825688073395</v>
      </c>
      <c r="I113" s="178">
        <f>VLOOKUP($F113,'Carbon Factors'!$B$5:$L$41,3,FALSE)*'Material Quantities &amp; Embodied '!$G113/1000</f>
        <v>4.4036697247706416</v>
      </c>
      <c r="J113" s="178">
        <f>VLOOKUP($F113,'Carbon Factors'!$B$5:$L$41,5,FALSE)*'Material Quantities &amp; Embodied '!$G113/1000</f>
        <v>4.4036697247706416</v>
      </c>
      <c r="K113" s="178">
        <f>VLOOKUP($F113,'Carbon Factors'!$B$5:$L$41,6,FALSE)*'Material Quantities &amp; Embodied '!$G113/1000</f>
        <v>11.449541284403667</v>
      </c>
      <c r="L113" s="178">
        <f>VLOOKUP($F113,'Carbon Factors'!$B$5:$L$41,7,FALSE)*'Material Quantities &amp; Embodied '!$G113/1000</f>
        <v>15.853211009174309</v>
      </c>
      <c r="M113" s="178">
        <f>VLOOKUP($F113,'Carbon Factors'!$B$5:$L$41,8,FALSE)*'Material Quantities &amp; Embodied '!$G113/1000</f>
        <v>0</v>
      </c>
      <c r="N113" s="178">
        <f>VLOOKUP($F113,'Carbon Factors'!$B$5:$L$41,9,FALSE)*'Material Quantities &amp; Embodied '!$G113/1000</f>
        <v>12.405058348623852</v>
      </c>
      <c r="O113" s="178">
        <f>VLOOKUP($F113,'Carbon Factors'!$B$5:$L$41,10,FALSE)*'Material Quantities &amp; Embodied '!$G113/1000</f>
        <v>28.258269357798163</v>
      </c>
      <c r="P113" s="178">
        <f>VLOOKUP($F113,'Carbon Factors'!$B$5:$L$41,11,FALSE)*'Material Quantities &amp; Embodied '!$G113/1000</f>
        <v>0</v>
      </c>
    </row>
    <row r="114" spans="2:16">
      <c r="D114" s="150" t="s">
        <v>131</v>
      </c>
      <c r="E114" s="150" t="s">
        <v>116</v>
      </c>
      <c r="F114" s="150" t="str">
        <f>F6</f>
        <v>C32/40 - 25% GGBS</v>
      </c>
      <c r="G114" s="1301">
        <f>IF(A102=0,0,Pile!BA468*24*1000/9.81)</f>
        <v>588313.66279885173</v>
      </c>
      <c r="H114" s="178">
        <f>VLOOKUP($F114,'Carbon Factors'!$B$5:$L$41,2,FALSE)*'Material Quantities &amp; Embodied '!$G114/1000</f>
        <v>70.597639535862214</v>
      </c>
      <c r="I114" s="178">
        <f>VLOOKUP($F114,'Carbon Factors'!$B$5:$L$41,3,FALSE)*'Material Quantities &amp; Embodied '!$G114/1000</f>
        <v>2.9415683139942588</v>
      </c>
      <c r="J114" s="178">
        <f>VLOOKUP($F114,'Carbon Factors'!$B$5:$L$41,5,FALSE)*'Material Quantities &amp; Embodied '!$G114/1000</f>
        <v>2.9606885080352217</v>
      </c>
      <c r="K114" s="178">
        <f>VLOOKUP($F114,'Carbon Factors'!$B$5:$L$41,6,FALSE)*'Material Quantities &amp; Embodied '!$G114/1000</f>
        <v>7.6480776163850726</v>
      </c>
      <c r="L114" s="178">
        <f>VLOOKUP($F114,'Carbon Factors'!$B$5:$L$41,7,FALSE)*'Material Quantities &amp; Embodied '!$G114/1000</f>
        <v>10.608766124420294</v>
      </c>
      <c r="M114" s="178">
        <f>VLOOKUP($F114,'Carbon Factors'!$B$5:$L$41,8,FALSE)*'Material Quantities &amp; Embodied '!$G114/1000</f>
        <v>2.5885801163149478</v>
      </c>
      <c r="N114" s="178">
        <f>VLOOKUP($F114,'Carbon Factors'!$B$5:$L$41,9,FALSE)*'Material Quantities &amp; Embodied '!$G114/1000</f>
        <v>77.999050470493131</v>
      </c>
      <c r="O114" s="178">
        <f>VLOOKUP($F114,'Carbon Factors'!$B$5:$L$41,10,FALSE)*'Material Quantities &amp; Embodied '!$G114/1000</f>
        <v>88.60781659491343</v>
      </c>
      <c r="P114" s="178">
        <f>VLOOKUP($F114,'Carbon Factors'!$B$5:$L$41,11,FALSE)*'Material Quantities &amp; Embodied '!$G114/1000</f>
        <v>0</v>
      </c>
    </row>
    <row r="115" spans="2:16">
      <c r="E115" s="150" t="s">
        <v>117</v>
      </c>
      <c r="F115" s="150" t="s">
        <v>118</v>
      </c>
      <c r="G115" s="1301">
        <f>IF(A102=0,0,Pile!BA474*1000)</f>
        <v>22902.808319999996</v>
      </c>
      <c r="H115" s="178">
        <f>VLOOKUP($F115,'Carbon Factors'!$B$5:$L$41,2,FALSE)*'Material Quantities &amp; Embodied '!$G115/1000</f>
        <v>17.406134323199996</v>
      </c>
      <c r="I115" s="178">
        <f>VLOOKUP($F115,'Carbon Factors'!$B$5:$L$41,3,FALSE)*'Material Quantities &amp; Embodied '!$G115/1000</f>
        <v>0.73288986623999997</v>
      </c>
      <c r="J115" s="178">
        <f>VLOOKUP($F115,'Carbon Factors'!$B$5:$L$41,5,FALSE)*'Material Quantities &amp; Embodied '!$G115/1000</f>
        <v>0.11525838287039999</v>
      </c>
      <c r="K115" s="178">
        <f>VLOOKUP($F115,'Carbon Factors'!$B$5:$L$41,6,FALSE)*'Material Quantities &amp; Embodied '!$G115/1000</f>
        <v>0.29773650815999991</v>
      </c>
      <c r="L115" s="178">
        <f>VLOOKUP($F115,'Carbon Factors'!$B$5:$L$41,7,FALSE)*'Material Quantities &amp; Embodied '!$G115/1000</f>
        <v>0.41299489103039994</v>
      </c>
      <c r="M115" s="178">
        <f>VLOOKUP($F115,'Carbon Factors'!$B$5:$L$41,8,FALSE)*'Material Quantities &amp; Embodied '!$G115/1000</f>
        <v>8.0388857203199979</v>
      </c>
      <c r="N115" s="178">
        <f>VLOOKUP($F115,'Carbon Factors'!$B$5:$L$41,9,FALSE)*'Material Quantities &amp; Embodied '!$G115/1000</f>
        <v>19.122281200704929</v>
      </c>
      <c r="O115" s="178">
        <f>VLOOKUP($F115,'Carbon Factors'!$B$5:$L$41,10,FALSE)*'Material Quantities &amp; Embodied '!$G115/1000</f>
        <v>19.53527609173533</v>
      </c>
      <c r="P115" s="178">
        <f>VLOOKUP($F115,'Carbon Factors'!$B$5:$L$41,11,FALSE)*'Material Quantities &amp; Embodied '!$G115/1000</f>
        <v>0</v>
      </c>
    </row>
    <row r="116" spans="2:16">
      <c r="D116" s="150" t="s">
        <v>132</v>
      </c>
      <c r="E116" s="150" t="s">
        <v>116</v>
      </c>
      <c r="F116" s="150" t="str">
        <f>F6</f>
        <v>C32/40 - 25% GGBS</v>
      </c>
      <c r="G116" s="1301">
        <f>IF(A102=0,0,Pile!BA480*24*1000/9.81)</f>
        <v>154128.44036697247</v>
      </c>
      <c r="H116" s="178">
        <f>VLOOKUP($F116,'Carbon Factors'!$B$5:$L$41,2,FALSE)*'Material Quantities &amp; Embodied '!$G116/1000</f>
        <v>18.495412844036696</v>
      </c>
      <c r="I116" s="178">
        <f>VLOOKUP($F116,'Carbon Factors'!$B$5:$L$41,3,FALSE)*'Material Quantities &amp; Embodied '!$G116/1000</f>
        <v>0.77064220183486232</v>
      </c>
      <c r="J116" s="178">
        <f>VLOOKUP($F116,'Carbon Factors'!$B$5:$L$41,5,FALSE)*'Material Quantities &amp; Embodied '!$G116/1000</f>
        <v>0.77565137614678903</v>
      </c>
      <c r="K116" s="178">
        <f>VLOOKUP($F116,'Carbon Factors'!$B$5:$L$41,6,FALSE)*'Material Quantities &amp; Embodied '!$G116/1000</f>
        <v>2.0036697247706421</v>
      </c>
      <c r="L116" s="178">
        <f>VLOOKUP($F116,'Carbon Factors'!$B$5:$L$41,7,FALSE)*'Material Quantities &amp; Embodied '!$G116/1000</f>
        <v>2.7793211009174312</v>
      </c>
      <c r="M116" s="178">
        <f>VLOOKUP($F116,'Carbon Factors'!$B$5:$L$41,8,FALSE)*'Material Quantities &amp; Embodied '!$G116/1000</f>
        <v>0.67816513761467889</v>
      </c>
      <c r="N116" s="178">
        <f>VLOOKUP($F116,'Carbon Factors'!$B$5:$L$41,9,FALSE)*'Material Quantities &amp; Embodied '!$G116/1000</f>
        <v>20.434459981651376</v>
      </c>
      <c r="O116" s="178">
        <f>VLOOKUP($F116,'Carbon Factors'!$B$5:$L$41,10,FALSE)*'Material Quantities &amp; Embodied '!$G116/1000</f>
        <v>23.213781082568808</v>
      </c>
      <c r="P116" s="178">
        <f>VLOOKUP($F116,'Carbon Factors'!$B$5:$L$41,11,FALSE)*'Material Quantities &amp; Embodied '!$G116/1000</f>
        <v>0</v>
      </c>
    </row>
    <row r="117" spans="2:16">
      <c r="E117" s="150" t="s">
        <v>117</v>
      </c>
      <c r="F117" s="150" t="s">
        <v>118</v>
      </c>
      <c r="G117" s="1301">
        <f>IF(A102=0,0,Pile!BB480*1000)</f>
        <v>6930</v>
      </c>
      <c r="H117" s="178">
        <f>VLOOKUP($F117,'Carbon Factors'!$B$5:$L$41,2,FALSE)*'Material Quantities &amp; Embodied '!$G117/1000</f>
        <v>5.2667999999999999</v>
      </c>
      <c r="I117" s="178">
        <f>VLOOKUP($F117,'Carbon Factors'!$B$5:$L$41,3,FALSE)*'Material Quantities &amp; Embodied '!$G117/1000</f>
        <v>0.22175999999999998</v>
      </c>
      <c r="J117" s="178">
        <f>VLOOKUP($F117,'Carbon Factors'!$B$5:$L$41,5,FALSE)*'Material Quantities &amp; Embodied '!$G117/1000</f>
        <v>3.4875225000000003E-2</v>
      </c>
      <c r="K117" s="178">
        <f>VLOOKUP($F117,'Carbon Factors'!$B$5:$L$41,6,FALSE)*'Material Quantities &amp; Embodied '!$G117/1000</f>
        <v>9.008999999999999E-2</v>
      </c>
      <c r="L117" s="178">
        <f>VLOOKUP($F117,'Carbon Factors'!$B$5:$L$41,7,FALSE)*'Material Quantities &amp; Embodied '!$G117/1000</f>
        <v>0.124965225</v>
      </c>
      <c r="M117" s="178">
        <f>VLOOKUP($F117,'Carbon Factors'!$B$5:$L$41,8,FALSE)*'Material Quantities &amp; Embodied '!$G117/1000</f>
        <v>2.4324299999999996</v>
      </c>
      <c r="N117" s="178">
        <f>VLOOKUP($F117,'Carbon Factors'!$B$5:$L$41,9,FALSE)*'Material Quantities &amp; Embodied '!$G117/1000</f>
        <v>5.786076836925</v>
      </c>
      <c r="O117" s="178">
        <f>VLOOKUP($F117,'Carbon Factors'!$B$5:$L$41,10,FALSE)*'Material Quantities &amp; Embodied '!$G117/1000</f>
        <v>5.9110420619249995</v>
      </c>
      <c r="P117" s="178">
        <f>VLOOKUP($F117,'Carbon Factors'!$B$5:$L$41,11,FALSE)*'Material Quantities &amp; Embodied '!$G117/1000</f>
        <v>0</v>
      </c>
    </row>
    <row r="118" spans="2:16">
      <c r="D118" s="150" t="s">
        <v>134</v>
      </c>
      <c r="E118" s="150" t="s">
        <v>116</v>
      </c>
      <c r="F118" s="150" t="str">
        <f>F6</f>
        <v>C32/40 - 25% GGBS</v>
      </c>
      <c r="G118" s="1301">
        <f>IF(A102=0,0,Basement!C31*Summary!C13*Summary!C14*Summary!C15*Summary!C16)</f>
        <v>0</v>
      </c>
      <c r="H118" s="178">
        <f>VLOOKUP($F118,'Carbon Factors'!$B$5:$L$41,2,FALSE)*'Material Quantities &amp; Embodied '!$G118/1000</f>
        <v>0</v>
      </c>
      <c r="I118" s="178">
        <f>VLOOKUP($F118,'Carbon Factors'!$B$5:$L$41,3,FALSE)*'Material Quantities &amp; Embodied '!$G118/1000</f>
        <v>0</v>
      </c>
      <c r="J118" s="178">
        <f>VLOOKUP($F118,'Carbon Factors'!$B$5:$L$41,5,FALSE)*'Material Quantities &amp; Embodied '!$G118/1000</f>
        <v>0</v>
      </c>
      <c r="K118" s="178">
        <f>VLOOKUP($F118,'Carbon Factors'!$B$5:$L$41,6,FALSE)*'Material Quantities &amp; Embodied '!$G118/1000</f>
        <v>0</v>
      </c>
      <c r="L118" s="178">
        <f>VLOOKUP($F118,'Carbon Factors'!$B$5:$L$41,7,FALSE)*'Material Quantities &amp; Embodied '!$G118/1000</f>
        <v>0</v>
      </c>
      <c r="M118" s="178">
        <f>VLOOKUP($F118,'Carbon Factors'!$B$5:$L$41,8,FALSE)*'Material Quantities &amp; Embodied '!$G118/1000</f>
        <v>0</v>
      </c>
      <c r="N118" s="178">
        <f>VLOOKUP($F118,'Carbon Factors'!$B$5:$L$41,9,FALSE)*'Material Quantities &amp; Embodied '!$G118/1000</f>
        <v>0</v>
      </c>
      <c r="O118" s="178">
        <f>VLOOKUP($F118,'Carbon Factors'!$B$5:$L$41,10,FALSE)*'Material Quantities &amp; Embodied '!$G118/1000</f>
        <v>0</v>
      </c>
      <c r="P118" s="178">
        <f>VLOOKUP($F118,'Carbon Factors'!$B$5:$L$41,11,FALSE)*'Material Quantities &amp; Embodied '!$G118/1000</f>
        <v>0</v>
      </c>
    </row>
    <row r="119" spans="2:16">
      <c r="E119" s="150" t="s">
        <v>117</v>
      </c>
      <c r="F119" s="150" t="s">
        <v>118</v>
      </c>
      <c r="G119" s="1301">
        <f>IF(A102=0,0,Basement!C30*Summary!C13*Summary!C14*Summary!C15*Summary!C16)</f>
        <v>0</v>
      </c>
      <c r="H119" s="178">
        <f>VLOOKUP($F119,'Carbon Factors'!$B$5:$L$41,2,FALSE)*'Material Quantities &amp; Embodied '!$G119/1000</f>
        <v>0</v>
      </c>
      <c r="I119" s="178">
        <f>VLOOKUP($F119,'Carbon Factors'!$B$5:$L$41,3,FALSE)*'Material Quantities &amp; Embodied '!$G119/1000</f>
        <v>0</v>
      </c>
      <c r="J119" s="178">
        <f>VLOOKUP($F119,'Carbon Factors'!$B$5:$L$41,5,FALSE)*'Material Quantities &amp; Embodied '!$G119/1000</f>
        <v>0</v>
      </c>
      <c r="K119" s="178">
        <f>VLOOKUP($F119,'Carbon Factors'!$B$5:$L$41,6,FALSE)*'Material Quantities &amp; Embodied '!$G119/1000</f>
        <v>0</v>
      </c>
      <c r="L119" s="178">
        <f>VLOOKUP($F119,'Carbon Factors'!$B$5:$L$41,7,FALSE)*'Material Quantities &amp; Embodied '!$G119/1000</f>
        <v>0</v>
      </c>
      <c r="M119" s="178">
        <f>VLOOKUP($F119,'Carbon Factors'!$B$5:$L$41,8,FALSE)*'Material Quantities &amp; Embodied '!$G119/1000</f>
        <v>0</v>
      </c>
      <c r="N119" s="178">
        <f>VLOOKUP($F119,'Carbon Factors'!$B$5:$L$41,9,FALSE)*'Material Quantities &amp; Embodied '!$G119/1000</f>
        <v>0</v>
      </c>
      <c r="O119" s="178">
        <f>VLOOKUP($F119,'Carbon Factors'!$B$5:$L$41,10,FALSE)*'Material Quantities &amp; Embodied '!$G119/1000</f>
        <v>0</v>
      </c>
      <c r="P119" s="178">
        <f>VLOOKUP($F119,'Carbon Factors'!$B$5:$L$41,11,FALSE)*'Material Quantities &amp; Embodied '!$G119/1000</f>
        <v>0</v>
      </c>
    </row>
    <row r="120" spans="2:16">
      <c r="D120" s="150" t="s">
        <v>135</v>
      </c>
      <c r="E120" s="150" t="s">
        <v>116</v>
      </c>
      <c r="F120" s="150" t="str">
        <f>F6</f>
        <v>C32/40 - 25% GGBS</v>
      </c>
      <c r="G120" s="1301">
        <f>IF(A102=0,0,(Summary!J14*(Summary!C13*Summary!C15*2+Summary!C14*Summary!C16*2))*Basement!K79)</f>
        <v>0</v>
      </c>
      <c r="H120" s="178">
        <f>VLOOKUP($F120,'Carbon Factors'!$B$5:$L$41,2,FALSE)*'Material Quantities &amp; Embodied '!$G120/1000</f>
        <v>0</v>
      </c>
      <c r="I120" s="178">
        <f>VLOOKUP($F120,'Carbon Factors'!$B$5:$L$41,3,FALSE)*'Material Quantities &amp; Embodied '!$G120/1000</f>
        <v>0</v>
      </c>
      <c r="J120" s="178">
        <f>VLOOKUP($F120,'Carbon Factors'!$B$5:$L$41,5,FALSE)*'Material Quantities &amp; Embodied '!$G120/1000</f>
        <v>0</v>
      </c>
      <c r="K120" s="178">
        <f>VLOOKUP($F120,'Carbon Factors'!$B$5:$L$41,6,FALSE)*'Material Quantities &amp; Embodied '!$G120/1000</f>
        <v>0</v>
      </c>
      <c r="L120" s="178">
        <f>VLOOKUP($F120,'Carbon Factors'!$B$5:$L$41,7,FALSE)*'Material Quantities &amp; Embodied '!$G120/1000</f>
        <v>0</v>
      </c>
      <c r="M120" s="178">
        <f>VLOOKUP($F120,'Carbon Factors'!$B$5:$L$41,8,FALSE)*'Material Quantities &amp; Embodied '!$G120/1000</f>
        <v>0</v>
      </c>
      <c r="N120" s="178">
        <f>VLOOKUP($F120,'Carbon Factors'!$B$5:$L$41,9,FALSE)*'Material Quantities &amp; Embodied '!$G120/1000</f>
        <v>0</v>
      </c>
      <c r="O120" s="178">
        <f>VLOOKUP($F120,'Carbon Factors'!$B$5:$L$41,10,FALSE)*'Material Quantities &amp; Embodied '!$G120/1000</f>
        <v>0</v>
      </c>
      <c r="P120" s="178">
        <f>VLOOKUP($F120,'Carbon Factors'!$B$5:$L$41,11,FALSE)*'Material Quantities &amp; Embodied '!$G120/1000</f>
        <v>0</v>
      </c>
    </row>
    <row r="121" spans="2:16">
      <c r="E121" s="150" t="s">
        <v>117</v>
      </c>
      <c r="F121" s="150" t="s">
        <v>118</v>
      </c>
      <c r="G121" s="1301">
        <f>IF(A102=0,0,(Summary!J14*(Summary!C13*Summary!C15*2+Summary!C14*Summary!C16*2))*Basement!K78)</f>
        <v>0</v>
      </c>
      <c r="H121" s="178">
        <f>VLOOKUP($F121,'Carbon Factors'!$B$5:$L$41,2,FALSE)*'Material Quantities &amp; Embodied '!$G121/1000</f>
        <v>0</v>
      </c>
      <c r="I121" s="178">
        <f>VLOOKUP($F121,'Carbon Factors'!$B$5:$L$41,3,FALSE)*'Material Quantities &amp; Embodied '!$G121/1000</f>
        <v>0</v>
      </c>
      <c r="J121" s="178">
        <f>VLOOKUP($F121,'Carbon Factors'!$B$5:$L$41,5,FALSE)*'Material Quantities &amp; Embodied '!$G121/1000</f>
        <v>0</v>
      </c>
      <c r="K121" s="178">
        <f>VLOOKUP($F121,'Carbon Factors'!$B$5:$L$41,6,FALSE)*'Material Quantities &amp; Embodied '!$G121/1000</f>
        <v>0</v>
      </c>
      <c r="L121" s="178">
        <f>VLOOKUP($F121,'Carbon Factors'!$B$5:$L$41,7,FALSE)*'Material Quantities &amp; Embodied '!$G121/1000</f>
        <v>0</v>
      </c>
      <c r="M121" s="178">
        <f>VLOOKUP($F121,'Carbon Factors'!$B$5:$L$41,8,FALSE)*'Material Quantities &amp; Embodied '!$G121/1000</f>
        <v>0</v>
      </c>
      <c r="N121" s="178">
        <f>VLOOKUP($F121,'Carbon Factors'!$B$5:$L$41,9,FALSE)*'Material Quantities &amp; Embodied '!$G121/1000</f>
        <v>0</v>
      </c>
      <c r="O121" s="178">
        <f>VLOOKUP($F121,'Carbon Factors'!$B$5:$L$41,10,FALSE)*'Material Quantities &amp; Embodied '!$G121/1000</f>
        <v>0</v>
      </c>
      <c r="P121" s="178">
        <f>VLOOKUP($F121,'Carbon Factors'!$B$5:$L$41,11,FALSE)*'Material Quantities &amp; Embodied '!$G121/1000</f>
        <v>0</v>
      </c>
    </row>
    <row r="122" spans="2:16">
      <c r="D122" s="150" t="s">
        <v>136</v>
      </c>
      <c r="E122" s="150" t="s">
        <v>116</v>
      </c>
      <c r="F122" s="150" t="str">
        <f>F6</f>
        <v>C32/40 - 25% GGBS</v>
      </c>
      <c r="G122" s="1301">
        <f>IF(A102=0,0,(Basement!M100+Basement!M113+Basement!M126)*24*1000/9.81)</f>
        <v>0</v>
      </c>
      <c r="H122" s="178">
        <f>VLOOKUP($F122,'Carbon Factors'!$B$5:$L$41,2,FALSE)*'Material Quantities &amp; Embodied '!$G122/1000</f>
        <v>0</v>
      </c>
      <c r="I122" s="178">
        <f>VLOOKUP($F122,'Carbon Factors'!$B$5:$L$41,3,FALSE)*'Material Quantities &amp; Embodied '!$G122/1000</f>
        <v>0</v>
      </c>
      <c r="J122" s="178">
        <f>VLOOKUP($F122,'Carbon Factors'!$B$5:$L$41,5,FALSE)*'Material Quantities &amp; Embodied '!$G122/1000</f>
        <v>0</v>
      </c>
      <c r="K122" s="178">
        <f>VLOOKUP($F122,'Carbon Factors'!$B$5:$L$41,6,FALSE)*'Material Quantities &amp; Embodied '!$G122/1000</f>
        <v>0</v>
      </c>
      <c r="L122" s="178">
        <f>VLOOKUP($F122,'Carbon Factors'!$B$5:$L$41,7,FALSE)*'Material Quantities &amp; Embodied '!$G122/1000</f>
        <v>0</v>
      </c>
      <c r="M122" s="178">
        <f>VLOOKUP($F122,'Carbon Factors'!$B$5:$L$41,8,FALSE)*'Material Quantities &amp; Embodied '!$G122/1000</f>
        <v>0</v>
      </c>
      <c r="N122" s="178">
        <f>VLOOKUP($F122,'Carbon Factors'!$B$5:$L$41,9,FALSE)*'Material Quantities &amp; Embodied '!$G122/1000</f>
        <v>0</v>
      </c>
      <c r="O122" s="178">
        <f>VLOOKUP($F122,'Carbon Factors'!$B$5:$L$41,10,FALSE)*'Material Quantities &amp; Embodied '!$G122/1000</f>
        <v>0</v>
      </c>
      <c r="P122" s="178">
        <f>VLOOKUP($F122,'Carbon Factors'!$B$5:$L$41,11,FALSE)*'Material Quantities &amp; Embodied '!$G122/1000</f>
        <v>0</v>
      </c>
    </row>
    <row r="123" spans="2:16">
      <c r="E123" s="150" t="s">
        <v>117</v>
      </c>
      <c r="F123" s="150" t="s">
        <v>118</v>
      </c>
      <c r="G123" s="1301">
        <f>IF(A102=0,0,(Basement!N100+Basement!N113+Basement!N126)*1000)</f>
        <v>0</v>
      </c>
      <c r="H123" s="178">
        <f>VLOOKUP($F123,'Carbon Factors'!$B$5:$L$41,2,FALSE)*'Material Quantities &amp; Embodied '!$G123/1000</f>
        <v>0</v>
      </c>
      <c r="I123" s="178">
        <f>VLOOKUP($F123,'Carbon Factors'!$B$5:$L$41,3,FALSE)*'Material Quantities &amp; Embodied '!$G123/1000</f>
        <v>0</v>
      </c>
      <c r="J123" s="178">
        <f>VLOOKUP($F123,'Carbon Factors'!$B$5:$L$41,5,FALSE)*'Material Quantities &amp; Embodied '!$G123/1000</f>
        <v>0</v>
      </c>
      <c r="K123" s="178">
        <f>VLOOKUP($F123,'Carbon Factors'!$B$5:$L$41,6,FALSE)*'Material Quantities &amp; Embodied '!$G123/1000</f>
        <v>0</v>
      </c>
      <c r="L123" s="178">
        <f>VLOOKUP($F123,'Carbon Factors'!$B$5:$L$41,7,FALSE)*'Material Quantities &amp; Embodied '!$G123/1000</f>
        <v>0</v>
      </c>
      <c r="M123" s="178">
        <f>VLOOKUP($F123,'Carbon Factors'!$B$5:$L$41,8,FALSE)*'Material Quantities &amp; Embodied '!$G123/1000</f>
        <v>0</v>
      </c>
      <c r="N123" s="178">
        <f>VLOOKUP($F123,'Carbon Factors'!$B$5:$L$41,9,FALSE)*'Material Quantities &amp; Embodied '!$G123/1000</f>
        <v>0</v>
      </c>
      <c r="O123" s="178">
        <f>VLOOKUP($F123,'Carbon Factors'!$B$5:$L$41,10,FALSE)*'Material Quantities &amp; Embodied '!$G123/1000</f>
        <v>0</v>
      </c>
      <c r="P123" s="178">
        <f>VLOOKUP($F123,'Carbon Factors'!$B$5:$L$41,11,FALSE)*'Material Quantities &amp; Embodied '!$G123/1000</f>
        <v>0</v>
      </c>
    </row>
    <row r="124" spans="2:16">
      <c r="D124" s="182" t="s">
        <v>137</v>
      </c>
      <c r="E124" s="150" t="s">
        <v>116</v>
      </c>
      <c r="F124" s="150" t="str">
        <f>F104</f>
        <v>C32/40 - 25% GGBS</v>
      </c>
      <c r="G124" s="1301">
        <f>IF(A102=0,0,Basement!D162*24*1000/9.81)</f>
        <v>0</v>
      </c>
      <c r="H124" s="178">
        <f>VLOOKUP($F124,'Carbon Factors'!$B$5:$L$41,2,FALSE)*'Material Quantities &amp; Embodied '!$G124/1000</f>
        <v>0</v>
      </c>
      <c r="I124" s="178">
        <f>VLOOKUP($F124,'Carbon Factors'!$B$5:$L$41,3,FALSE)*'Material Quantities &amp; Embodied '!$G124/1000</f>
        <v>0</v>
      </c>
      <c r="J124" s="178">
        <f>VLOOKUP($F124,'Carbon Factors'!$B$5:$L$41,5,FALSE)*'Material Quantities &amp; Embodied '!$G124/1000</f>
        <v>0</v>
      </c>
      <c r="K124" s="178">
        <f>VLOOKUP($F124,'Carbon Factors'!$B$5:$L$41,6,FALSE)*'Material Quantities &amp; Embodied '!$G124/1000</f>
        <v>0</v>
      </c>
      <c r="L124" s="178">
        <f>VLOOKUP($F124,'Carbon Factors'!$B$5:$L$41,7,FALSE)*'Material Quantities &amp; Embodied '!$G124/1000</f>
        <v>0</v>
      </c>
      <c r="M124" s="178">
        <f>VLOOKUP($F124,'Carbon Factors'!$B$5:$L$41,8,FALSE)*'Material Quantities &amp; Embodied '!$G124/1000</f>
        <v>0</v>
      </c>
      <c r="N124" s="178">
        <f>VLOOKUP($F124,'Carbon Factors'!$B$5:$L$41,9,FALSE)*'Material Quantities &amp; Embodied '!$G124/1000</f>
        <v>0</v>
      </c>
      <c r="O124" s="178">
        <f>VLOOKUP($F124,'Carbon Factors'!$B$5:$L$41,10,FALSE)*'Material Quantities &amp; Embodied '!$G124/1000</f>
        <v>0</v>
      </c>
      <c r="P124" s="178">
        <f>VLOOKUP($F124,'Carbon Factors'!$B$5:$L$41,11,FALSE)*'Material Quantities &amp; Embodied '!$G124/1000</f>
        <v>0</v>
      </c>
    </row>
    <row r="125" spans="2:16">
      <c r="D125" s="152"/>
      <c r="E125" s="150" t="s">
        <v>117</v>
      </c>
      <c r="F125" s="150" t="s">
        <v>118</v>
      </c>
      <c r="G125" s="1301">
        <f>IF(A102=0,0,G124*0.02)</f>
        <v>0</v>
      </c>
      <c r="H125" s="178">
        <f>VLOOKUP($F125,'Carbon Factors'!$B$5:$L$41,2,FALSE)*'Material Quantities &amp; Embodied '!$G125/1000</f>
        <v>0</v>
      </c>
      <c r="I125" s="178">
        <f>VLOOKUP($F125,'Carbon Factors'!$B$5:$L$41,3,FALSE)*'Material Quantities &amp; Embodied '!$G125/1000</f>
        <v>0</v>
      </c>
      <c r="J125" s="178">
        <f>VLOOKUP($F125,'Carbon Factors'!$B$5:$L$41,5,FALSE)*'Material Quantities &amp; Embodied '!$G125/1000</f>
        <v>0</v>
      </c>
      <c r="K125" s="178">
        <f>VLOOKUP($F125,'Carbon Factors'!$B$5:$L$41,6,FALSE)*'Material Quantities &amp; Embodied '!$G125/1000</f>
        <v>0</v>
      </c>
      <c r="L125" s="178">
        <f>VLOOKUP($F125,'Carbon Factors'!$B$5:$L$41,7,FALSE)*'Material Quantities &amp; Embodied '!$G125/1000</f>
        <v>0</v>
      </c>
      <c r="M125" s="178">
        <f>VLOOKUP($F125,'Carbon Factors'!$B$5:$L$41,8,FALSE)*'Material Quantities &amp; Embodied '!$G125/1000</f>
        <v>0</v>
      </c>
      <c r="N125" s="178">
        <f>VLOOKUP($F125,'Carbon Factors'!$B$5:$L$41,9,FALSE)*'Material Quantities &amp; Embodied '!$G125/1000</f>
        <v>0</v>
      </c>
      <c r="O125" s="178">
        <f>VLOOKUP($F125,'Carbon Factors'!$B$5:$L$41,10,FALSE)*'Material Quantities &amp; Embodied '!$G125/1000</f>
        <v>0</v>
      </c>
      <c r="P125" s="178">
        <f>VLOOKUP($F125,'Carbon Factors'!$B$5:$L$41,11,FALSE)*'Material Quantities &amp; Embodied '!$G125/1000</f>
        <v>0</v>
      </c>
    </row>
    <row r="126" spans="2:16">
      <c r="D126" s="182" t="s">
        <v>138</v>
      </c>
      <c r="G126" s="1301">
        <f>IF(A102=0,0,IF(Summary!J$13="Yes",(G118*18/24),(G110*18/24))+G112*18/24+G113*18/20)</f>
        <v>2093680.7339449541</v>
      </c>
      <c r="H126" s="178">
        <v>0</v>
      </c>
      <c r="I126" s="178">
        <f>G126*50*0.1065*0.001*0.001</f>
        <v>11.14884990825688</v>
      </c>
      <c r="J126" s="178">
        <v>0</v>
      </c>
      <c r="K126" s="178">
        <v>0</v>
      </c>
      <c r="L126" s="178">
        <v>0</v>
      </c>
      <c r="M126" s="178">
        <v>0</v>
      </c>
      <c r="N126" s="178">
        <f>I126</f>
        <v>11.14884990825688</v>
      </c>
      <c r="O126" s="178">
        <f>N126</f>
        <v>11.14884990825688</v>
      </c>
      <c r="P126" s="178">
        <v>0</v>
      </c>
    </row>
    <row r="127" spans="2:16">
      <c r="D127" s="182" t="s">
        <v>139</v>
      </c>
      <c r="G127" s="1301">
        <f>IF(A102=0,0,G116*(18/24))</f>
        <v>115596.33027522935</v>
      </c>
      <c r="H127" s="178">
        <v>0</v>
      </c>
      <c r="I127" s="178">
        <f t="shared" ref="I127:I128" si="12">G127*50*0.1065*0.001*0.001</f>
        <v>0.61555045871559633</v>
      </c>
      <c r="J127" s="178">
        <v>0</v>
      </c>
      <c r="K127" s="178">
        <v>0</v>
      </c>
      <c r="L127" s="178">
        <v>0</v>
      </c>
      <c r="M127" s="178">
        <v>0</v>
      </c>
      <c r="N127" s="178">
        <f t="shared" ref="N127:N128" si="13">I127</f>
        <v>0.61555045871559633</v>
      </c>
      <c r="O127" s="178">
        <f t="shared" ref="O127:O128" si="14">N127</f>
        <v>0.61555045871559633</v>
      </c>
      <c r="P127" s="178">
        <v>0</v>
      </c>
    </row>
    <row r="128" spans="2:16">
      <c r="B128" s="179"/>
      <c r="C128" s="179"/>
      <c r="D128" s="183" t="s">
        <v>140</v>
      </c>
      <c r="E128" s="184"/>
      <c r="F128" s="184"/>
      <c r="G128" s="1302">
        <f>IF(A102=0,0,IF(Summary!J$13="Yes",18*1000/9.81*Summary!C$13*Summary!C$14*Summary!C$15*Summary!C$16*Summary!J$14,0))</f>
        <v>0</v>
      </c>
      <c r="H128" s="181">
        <v>0</v>
      </c>
      <c r="I128" s="181">
        <f t="shared" si="12"/>
        <v>0</v>
      </c>
      <c r="J128" s="181">
        <v>0</v>
      </c>
      <c r="K128" s="181">
        <v>0</v>
      </c>
      <c r="L128" s="181">
        <v>0</v>
      </c>
      <c r="M128" s="181">
        <v>0</v>
      </c>
      <c r="N128" s="181">
        <f t="shared" si="13"/>
        <v>0</v>
      </c>
      <c r="O128" s="181">
        <f t="shared" si="14"/>
        <v>0</v>
      </c>
      <c r="P128" s="181">
        <v>0</v>
      </c>
    </row>
    <row r="129" spans="1:16">
      <c r="H129" s="185">
        <f>SUM(H102:H128)</f>
        <v>773.75336480344686</v>
      </c>
      <c r="I129" s="185">
        <f t="shared" ref="I129:P129" si="15">SUM(I102:I128)</f>
        <v>47.789187328066703</v>
      </c>
      <c r="J129" s="185">
        <f t="shared" si="15"/>
        <v>29.609539498829815</v>
      </c>
      <c r="K129" s="185">
        <f t="shared" si="15"/>
        <v>76.561574481178468</v>
      </c>
      <c r="L129" s="185">
        <f t="shared" si="15"/>
        <v>106.17111398000829</v>
      </c>
      <c r="M129" s="185">
        <f t="shared" si="15"/>
        <v>106.48030215724489</v>
      </c>
      <c r="N129" s="185">
        <f t="shared" si="15"/>
        <v>870.08786321597449</v>
      </c>
      <c r="O129" s="185">
        <f t="shared" si="15"/>
        <v>976.25897719598299</v>
      </c>
      <c r="P129" s="185">
        <f t="shared" si="15"/>
        <v>0</v>
      </c>
    </row>
    <row r="130" spans="1:16" ht="12.75" thickBot="1">
      <c r="B130" s="172"/>
      <c r="C130" s="172"/>
      <c r="D130" s="172"/>
      <c r="E130" s="172"/>
      <c r="F130" s="172"/>
      <c r="G130" s="173"/>
      <c r="H130" s="173"/>
      <c r="I130" s="173"/>
      <c r="J130" s="173"/>
      <c r="K130" s="173"/>
      <c r="L130" s="173"/>
      <c r="M130" s="174"/>
      <c r="N130" s="174"/>
      <c r="O130" s="174"/>
      <c r="P130" s="174"/>
    </row>
    <row r="131" spans="1:16"/>
    <row r="132" spans="1:16">
      <c r="H132" s="1311" t="s">
        <v>99</v>
      </c>
      <c r="I132" s="1311"/>
      <c r="J132" s="1311"/>
      <c r="K132" s="1311"/>
      <c r="L132" s="1311"/>
      <c r="M132" s="1311"/>
      <c r="N132" s="1311"/>
      <c r="O132" s="1311"/>
      <c r="P132" s="1311"/>
    </row>
    <row r="133" spans="1:16" ht="12.75" thickBot="1">
      <c r="B133" s="175" t="s">
        <v>22</v>
      </c>
      <c r="C133" s="175" t="s">
        <v>100</v>
      </c>
      <c r="D133" s="175" t="s">
        <v>101</v>
      </c>
      <c r="E133" s="175" t="s">
        <v>102</v>
      </c>
      <c r="F133" s="175" t="s">
        <v>103</v>
      </c>
      <c r="G133" s="72" t="s">
        <v>104</v>
      </c>
      <c r="H133" s="176" t="s">
        <v>105</v>
      </c>
      <c r="I133" s="176" t="s">
        <v>106</v>
      </c>
      <c r="J133" s="176" t="s">
        <v>107</v>
      </c>
      <c r="K133" s="176" t="s">
        <v>108</v>
      </c>
      <c r="L133" s="176" t="s">
        <v>109</v>
      </c>
      <c r="M133" s="176" t="s">
        <v>110</v>
      </c>
      <c r="N133" s="176" t="s">
        <v>111</v>
      </c>
      <c r="O133" s="176" t="s">
        <v>112</v>
      </c>
      <c r="P133" s="176" t="s">
        <v>113</v>
      </c>
    </row>
    <row r="134" spans="1:16">
      <c r="A134" s="148">
        <f>MIN(Pile!BN464,Database!E21)</f>
        <v>0.35</v>
      </c>
      <c r="B134" s="150" t="str">
        <f>Database!D21</f>
        <v>One-Way Spanning RC</v>
      </c>
      <c r="C134" s="150" t="s">
        <v>114</v>
      </c>
      <c r="D134" s="150" t="s">
        <v>115</v>
      </c>
      <c r="E134" s="150" t="s">
        <v>116</v>
      </c>
      <c r="F134" s="150" t="str">
        <f>F6</f>
        <v>C32/40 - 25% GGBS</v>
      </c>
      <c r="G134" s="1301">
        <f>IF(A134=0,0,IF(Summary!J$8="No",Database!G21*Summary!C$13*Summary!C$14*Summary!C$15*Summary!C$16*Summary!C$17,Database!G21*Summary!C$13*Summary!C$14*Summary!C$15*Summary!C$16*(Summary!C$17-1)))</f>
        <v>2499932.2720897612</v>
      </c>
      <c r="H134" s="178">
        <f>VLOOKUP($F134,'Carbon Factors'!$B$5:$L$41,2,FALSE)*'Material Quantities &amp; Embodied '!$G134/1000</f>
        <v>299.99187265077137</v>
      </c>
      <c r="I134" s="178">
        <f>VLOOKUP($F134,'Carbon Factors'!$B$5:$L$41,3,FALSE)*'Material Quantities &amp; Embodied '!$G134/1000</f>
        <v>12.499661360448806</v>
      </c>
      <c r="J134" s="178">
        <f>VLOOKUP($F134,'Carbon Factors'!$B$5:$L$41,5,FALSE)*'Material Quantities &amp; Embodied '!$G134/1000</f>
        <v>12.580909159291725</v>
      </c>
      <c r="K134" s="178">
        <f>VLOOKUP($F134,'Carbon Factors'!$B$5:$L$41,6,FALSE)*'Material Quantities &amp; Embodied '!$G134/1000</f>
        <v>32.499119537166898</v>
      </c>
      <c r="L134" s="178">
        <f>VLOOKUP($F134,'Carbon Factors'!$B$5:$L$41,7,FALSE)*'Material Quantities &amp; Embodied '!$G134/1000</f>
        <v>45.080028696458619</v>
      </c>
      <c r="M134" s="178">
        <f>VLOOKUP($F134,'Carbon Factors'!$B$5:$L$41,8,FALSE)*'Material Quantities &amp; Embodied '!$G134/1000</f>
        <v>10.999701997194951</v>
      </c>
      <c r="N134" s="178">
        <f>VLOOKUP($F134,'Carbon Factors'!$B$5:$L$41,9,FALSE)*'Material Quantities &amp; Embodied '!$G134/1000</f>
        <v>331.44282683472716</v>
      </c>
      <c r="O134" s="178">
        <f>VLOOKUP($F134,'Carbon Factors'!$B$5:$L$41,10,FALSE)*'Material Quantities &amp; Embodied '!$G134/1000</f>
        <v>376.52285553118577</v>
      </c>
      <c r="P134" s="178">
        <f>VLOOKUP($F134,'Carbon Factors'!$B$5:$L$41,11,FALSE)*'Material Quantities &amp; Embodied '!$G134/1000</f>
        <v>0</v>
      </c>
    </row>
    <row r="135" spans="1:16">
      <c r="E135" s="150" t="s">
        <v>117</v>
      </c>
      <c r="F135" s="150" t="s">
        <v>118</v>
      </c>
      <c r="G135" s="1301">
        <f>IF(A134=0,0,IF(Summary!J$8="No",Database!H21*1.25*Summary!C$13*Summary!C$14*Summary!C$15*Summary!C$16*Summary!C$17,Database!H21*1.25*Summary!C$13*Summary!C$14*Summary!C$15*Summary!C$16*(Summary!C$17-1)))</f>
        <v>118675.6188639552</v>
      </c>
      <c r="H135" s="178">
        <f>VLOOKUP($F135,'Carbon Factors'!$B$5:$L$41,2,FALSE)*'Material Quantities &amp; Embodied '!$G135/1000</f>
        <v>90.193470336605955</v>
      </c>
      <c r="I135" s="178">
        <f>VLOOKUP($F135,'Carbon Factors'!$B$5:$L$41,3,FALSE)*'Material Quantities &amp; Embodied '!$G135/1000</f>
        <v>3.7976198036465667</v>
      </c>
      <c r="J135" s="178">
        <f>VLOOKUP($F135,'Carbon Factors'!$B$5:$L$41,5,FALSE)*'Material Quantities &amp; Embodied '!$G135/1000</f>
        <v>0.59723505193285464</v>
      </c>
      <c r="K135" s="178">
        <f>VLOOKUP($F135,'Carbon Factors'!$B$5:$L$41,6,FALSE)*'Material Quantities &amp; Embodied '!$G135/1000</f>
        <v>1.5427830452314175</v>
      </c>
      <c r="L135" s="178">
        <f>VLOOKUP($F135,'Carbon Factors'!$B$5:$L$41,7,FALSE)*'Material Quantities &amp; Embodied '!$G135/1000</f>
        <v>2.1400180971642722</v>
      </c>
      <c r="M135" s="178">
        <f>VLOOKUP($F135,'Carbon Factors'!$B$5:$L$41,8,FALSE)*'Material Quantities &amp; Embodied '!$G135/1000</f>
        <v>41.655142221248269</v>
      </c>
      <c r="N135" s="178">
        <f>VLOOKUP($F135,'Carbon Factors'!$B$5:$L$41,9,FALSE)*'Material Quantities &amp; Embodied '!$G135/1000</f>
        <v>99.086038876835602</v>
      </c>
      <c r="O135" s="178">
        <f>VLOOKUP($F135,'Carbon Factors'!$B$5:$L$41,10,FALSE)*'Material Quantities &amp; Embodied '!$G135/1000</f>
        <v>101.22605697399989</v>
      </c>
      <c r="P135" s="178">
        <f>VLOOKUP($F135,'Carbon Factors'!$B$5:$L$41,11,FALSE)*'Material Quantities &amp; Embodied '!$G135/1000</f>
        <v>0</v>
      </c>
    </row>
    <row r="136" spans="1:16">
      <c r="D136" s="150" t="s">
        <v>119</v>
      </c>
      <c r="E136" s="150" t="s">
        <v>116</v>
      </c>
      <c r="F136" s="150" t="str">
        <f>F6</f>
        <v>C32/40 - 25% GGBS</v>
      </c>
      <c r="G136" s="1301">
        <f>IF(A134=0,0,'RC Column'!M64*24*1000/9.81)</f>
        <v>90825.688073394485</v>
      </c>
      <c r="H136" s="178">
        <f>VLOOKUP($F136,'Carbon Factors'!$B$5:$L$41,2,FALSE)*'Material Quantities &amp; Embodied '!$G136/1000</f>
        <v>10.899082568807339</v>
      </c>
      <c r="I136" s="178">
        <f>VLOOKUP($F136,'Carbon Factors'!$B$5:$L$41,3,FALSE)*'Material Quantities &amp; Embodied '!$G136/1000</f>
        <v>0.45412844036697242</v>
      </c>
      <c r="J136" s="178">
        <f>VLOOKUP($F136,'Carbon Factors'!$B$5:$L$41,5,FALSE)*'Material Quantities &amp; Embodied '!$G136/1000</f>
        <v>0.45708027522935779</v>
      </c>
      <c r="K136" s="178">
        <f>VLOOKUP($F136,'Carbon Factors'!$B$5:$L$41,6,FALSE)*'Material Quantities &amp; Embodied '!$G136/1000</f>
        <v>1.1807339449541283</v>
      </c>
      <c r="L136" s="178">
        <f>VLOOKUP($F136,'Carbon Factors'!$B$5:$L$41,7,FALSE)*'Material Quantities &amp; Embodied '!$G136/1000</f>
        <v>1.637814220183486</v>
      </c>
      <c r="M136" s="178">
        <f>VLOOKUP($F136,'Carbon Factors'!$B$5:$L$41,8,FALSE)*'Material Quantities &amp; Embodied '!$G136/1000</f>
        <v>0.39963302752293578</v>
      </c>
      <c r="N136" s="178">
        <f>VLOOKUP($F136,'Carbon Factors'!$B$5:$L$41,9,FALSE)*'Material Quantities &amp; Embodied '!$G136/1000</f>
        <v>12.041735346330274</v>
      </c>
      <c r="O136" s="178">
        <f>VLOOKUP($F136,'Carbon Factors'!$B$5:$L$41,10,FALSE)*'Material Quantities &amp; Embodied '!$G136/1000</f>
        <v>13.67954956651376</v>
      </c>
      <c r="P136" s="178">
        <f>VLOOKUP($F136,'Carbon Factors'!$B$5:$L$41,11,FALSE)*'Material Quantities &amp; Embodied '!$G136/1000</f>
        <v>0</v>
      </c>
    </row>
    <row r="137" spans="1:16">
      <c r="E137" s="150" t="s">
        <v>117</v>
      </c>
      <c r="F137" s="150" t="s">
        <v>118</v>
      </c>
      <c r="G137" s="1301">
        <f>IF(A134=0,0,'RC Column'!N64*1000)</f>
        <v>11657.250000000002</v>
      </c>
      <c r="H137" s="178">
        <f>VLOOKUP($F137,'Carbon Factors'!$B$5:$L$41,2,FALSE)*'Material Quantities &amp; Embodied '!$G137/1000</f>
        <v>8.859510000000002</v>
      </c>
      <c r="I137" s="178">
        <f>VLOOKUP($F137,'Carbon Factors'!$B$5:$L$41,3,FALSE)*'Material Quantities &amp; Embodied '!$G137/1000</f>
        <v>0.37303200000000003</v>
      </c>
      <c r="J137" s="178">
        <f>VLOOKUP($F137,'Carbon Factors'!$B$5:$L$41,5,FALSE)*'Material Quantities &amp; Embodied '!$G137/1000</f>
        <v>5.8665110625000016E-2</v>
      </c>
      <c r="K137" s="178">
        <f>VLOOKUP($F137,'Carbon Factors'!$B$5:$L$41,6,FALSE)*'Material Quantities &amp; Embodied '!$G137/1000</f>
        <v>0.15154424999999999</v>
      </c>
      <c r="L137" s="178">
        <f>VLOOKUP($F137,'Carbon Factors'!$B$5:$L$41,7,FALSE)*'Material Quantities &amp; Embodied '!$G137/1000</f>
        <v>0.21020936062500004</v>
      </c>
      <c r="M137" s="178">
        <f>VLOOKUP($F137,'Carbon Factors'!$B$5:$L$41,8,FALSE)*'Material Quantities &amp; Embodied '!$G137/1000</f>
        <v>4.0916947500000003</v>
      </c>
      <c r="N137" s="178">
        <f>VLOOKUP($F137,'Carbon Factors'!$B$5:$L$41,9,FALSE)*'Material Quantities &amp; Embodied '!$G137/1000</f>
        <v>9.7330078221131267</v>
      </c>
      <c r="O137" s="178">
        <f>VLOOKUP($F137,'Carbon Factors'!$B$5:$L$41,10,FALSE)*'Material Quantities &amp; Embodied '!$G137/1000</f>
        <v>9.9432171827381257</v>
      </c>
      <c r="P137" s="178">
        <f>VLOOKUP($F137,'Carbon Factors'!$B$5:$L$41,11,FALSE)*'Material Quantities &amp; Embodied '!$G137/1000</f>
        <v>0</v>
      </c>
    </row>
    <row r="138" spans="1:16">
      <c r="D138" s="150" t="s">
        <v>120</v>
      </c>
      <c r="E138" s="150" t="s">
        <v>121</v>
      </c>
      <c r="F138" s="150" t="str">
        <f>F6</f>
        <v>C32/40 - 25% GGBS</v>
      </c>
      <c r="G138" s="1301">
        <f>IF(A134=0,0,SUM('Shear Walls'!AA84,'Shear Walls'!AA118))</f>
        <v>37006.238532110103</v>
      </c>
      <c r="H138" s="178">
        <f>VLOOKUP($F138,'Carbon Factors'!$B$5:$L$41,2,FALSE)*'Material Quantities &amp; Embodied '!$G138/1000</f>
        <v>4.4407486238532119</v>
      </c>
      <c r="I138" s="178">
        <f>VLOOKUP($F138,'Carbon Factors'!$B$5:$L$41,3,FALSE)*'Material Quantities &amp; Embodied '!$G138/1000</f>
        <v>0.18503119266055051</v>
      </c>
      <c r="J138" s="178">
        <f>VLOOKUP($F138,'Carbon Factors'!$B$5:$L$41,5,FALSE)*'Material Quantities &amp; Embodied '!$G138/1000</f>
        <v>0.1862338954128441</v>
      </c>
      <c r="K138" s="178">
        <f>VLOOKUP($F138,'Carbon Factors'!$B$5:$L$41,6,FALSE)*'Material Quantities &amp; Embodied '!$G138/1000</f>
        <v>0.48108110091743134</v>
      </c>
      <c r="L138" s="178">
        <f>VLOOKUP($F138,'Carbon Factors'!$B$5:$L$41,7,FALSE)*'Material Quantities &amp; Embodied '!$G138/1000</f>
        <v>0.66731499633027547</v>
      </c>
      <c r="M138" s="178">
        <f>VLOOKUP($F138,'Carbon Factors'!$B$5:$L$41,8,FALSE)*'Material Quantities &amp; Embodied '!$G138/1000</f>
        <v>0.16282744954128447</v>
      </c>
      <c r="N138" s="178">
        <f>VLOOKUP($F138,'Carbon Factors'!$B$5:$L$41,9,FALSE)*'Material Quantities &amp; Embodied '!$G138/1000</f>
        <v>4.9063138415944971</v>
      </c>
      <c r="O138" s="178">
        <f>VLOOKUP($F138,'Carbon Factors'!$B$5:$L$41,10,FALSE)*'Material Quantities &amp; Embodied '!$G138/1000</f>
        <v>5.5736288379247725</v>
      </c>
      <c r="P138" s="178">
        <f>VLOOKUP($F138,'Carbon Factors'!$B$5:$L$41,11,FALSE)*'Material Quantities &amp; Embodied '!$G138/1000</f>
        <v>0</v>
      </c>
    </row>
    <row r="139" spans="1:16">
      <c r="E139" s="150" t="s">
        <v>117</v>
      </c>
      <c r="F139" s="150" t="s">
        <v>118</v>
      </c>
      <c r="G139" s="1301">
        <f>IF(A134=0,0,SUM('Shear Walls'!AA85,'Shear Walls'!AA119))</f>
        <v>1308.4016235660617</v>
      </c>
      <c r="H139" s="178">
        <f>VLOOKUP($F139,'Carbon Factors'!$B$5:$L$41,2,FALSE)*'Material Quantities &amp; Embodied '!$G139/1000</f>
        <v>0.99438523391020694</v>
      </c>
      <c r="I139" s="178">
        <f>VLOOKUP($F139,'Carbon Factors'!$B$5:$L$41,3,FALSE)*'Material Quantities &amp; Embodied '!$G139/1000</f>
        <v>4.1868851954113981E-2</v>
      </c>
      <c r="J139" s="178">
        <f>VLOOKUP($F139,'Carbon Factors'!$B$5:$L$41,5,FALSE)*'Material Quantities &amp; Embodied '!$G139/1000</f>
        <v>6.5845311705962067E-3</v>
      </c>
      <c r="K139" s="178">
        <f>VLOOKUP($F139,'Carbon Factors'!$B$5:$L$41,6,FALSE)*'Material Quantities &amp; Embodied '!$G139/1000</f>
        <v>1.7009221106358802E-2</v>
      </c>
      <c r="L139" s="178">
        <f>VLOOKUP($F139,'Carbon Factors'!$B$5:$L$41,7,FALSE)*'Material Quantities &amp; Embodied '!$G139/1000</f>
        <v>2.359375227695501E-2</v>
      </c>
      <c r="M139" s="178">
        <f>VLOOKUP($F139,'Carbon Factors'!$B$5:$L$41,8,FALSE)*'Material Quantities &amp; Embodied '!$G139/1000</f>
        <v>0.45924896987168762</v>
      </c>
      <c r="N139" s="178">
        <f>VLOOKUP($F139,'Carbon Factors'!$B$5:$L$41,9,FALSE)*'Material Quantities &amp; Embodied '!$G139/1000</f>
        <v>1.0924260212858086</v>
      </c>
      <c r="O139" s="178">
        <f>VLOOKUP($F139,'Carbon Factors'!$B$5:$L$41,10,FALSE)*'Material Quantities &amp; Embodied '!$G139/1000</f>
        <v>1.1160197735627635</v>
      </c>
      <c r="P139" s="178">
        <f>VLOOKUP($F139,'Carbon Factors'!$B$5:$L$41,11,FALSE)*'Material Quantities &amp; Embodied '!$G139/1000</f>
        <v>0</v>
      </c>
    </row>
    <row r="140" spans="1:16">
      <c r="D140" s="150" t="s">
        <v>122</v>
      </c>
      <c r="E140" s="150" t="s">
        <v>116</v>
      </c>
      <c r="F140" s="150" t="str">
        <f>Summary!F$9</f>
        <v>C32/40 - 25% GGBS</v>
      </c>
      <c r="G140" s="1301">
        <f>IF(A134=0,0,IF(Summary!J$8="Yes",Summary!C$13*Summary!C$14*Summary!C$15*Summary!C$16*Summary!J$9*24*1000/9.81,0))</f>
        <v>0</v>
      </c>
      <c r="H140" s="178">
        <f>VLOOKUP($F140,'Carbon Factors'!$B$5:$L$41,2,FALSE)*'Material Quantities &amp; Embodied '!$G140/1000</f>
        <v>0</v>
      </c>
      <c r="I140" s="178">
        <f>VLOOKUP($F140,'Carbon Factors'!$B$5:$L$41,3,FALSE)*'Material Quantities &amp; Embodied '!$G140/1000</f>
        <v>0</v>
      </c>
      <c r="J140" s="178">
        <f>VLOOKUP($F140,'Carbon Factors'!$B$5:$L$41,5,FALSE)*'Material Quantities &amp; Embodied '!$G140/1000</f>
        <v>0</v>
      </c>
      <c r="K140" s="178">
        <f>VLOOKUP($F140,'Carbon Factors'!$B$5:$L$41,6,FALSE)*'Material Quantities &amp; Embodied '!$G140/1000</f>
        <v>0</v>
      </c>
      <c r="L140" s="178">
        <f>VLOOKUP($F140,'Carbon Factors'!$B$5:$L$41,7,FALSE)*'Material Quantities &amp; Embodied '!$G140/1000</f>
        <v>0</v>
      </c>
      <c r="M140" s="178">
        <f>VLOOKUP($F140,'Carbon Factors'!$B$5:$L$41,8,FALSE)*'Material Quantities &amp; Embodied '!$G140/1000</f>
        <v>0</v>
      </c>
      <c r="N140" s="178">
        <f>VLOOKUP($F140,'Carbon Factors'!$B$5:$L$41,9,FALSE)*'Material Quantities &amp; Embodied '!$G140/1000</f>
        <v>0</v>
      </c>
      <c r="O140" s="178">
        <f>VLOOKUP($F140,'Carbon Factors'!$B$5:$L$41,10,FALSE)*'Material Quantities &amp; Embodied '!$G140/1000</f>
        <v>0</v>
      </c>
      <c r="P140" s="178">
        <f>VLOOKUP($F140,'Carbon Factors'!$B$5:$L$41,11,FALSE)*'Material Quantities &amp; Embodied '!$G140/1000</f>
        <v>0</v>
      </c>
    </row>
    <row r="141" spans="1:16">
      <c r="C141" s="179"/>
      <c r="D141" s="179"/>
      <c r="E141" s="179" t="s">
        <v>117</v>
      </c>
      <c r="F141" s="179" t="s">
        <v>118</v>
      </c>
      <c r="G141" s="1302">
        <f>IF(A134=0,0,IF(Summary!J$8="Yes",Summary!C$13*Summary!C$14*Summary!C$15*Summary!C$16*Summary!J$9*Summary!J$10,0))</f>
        <v>0</v>
      </c>
      <c r="H141" s="181">
        <f>VLOOKUP($F141,'Carbon Factors'!$B$5:$L$41,2,FALSE)*'Material Quantities &amp; Embodied '!$G141/1000</f>
        <v>0</v>
      </c>
      <c r="I141" s="181">
        <f>VLOOKUP($F141,'Carbon Factors'!$B$5:$L$41,3,FALSE)*'Material Quantities &amp; Embodied '!$G141/1000</f>
        <v>0</v>
      </c>
      <c r="J141" s="181">
        <f>VLOOKUP($F141,'Carbon Factors'!$B$5:$L$41,5,FALSE)*'Material Quantities &amp; Embodied '!$G141/1000</f>
        <v>0</v>
      </c>
      <c r="K141" s="181">
        <f>VLOOKUP($F141,'Carbon Factors'!$B$5:$L$41,6,FALSE)*'Material Quantities &amp; Embodied '!$G141/1000</f>
        <v>0</v>
      </c>
      <c r="L141" s="181">
        <f>VLOOKUP($F141,'Carbon Factors'!$B$5:$L$41,7,FALSE)*'Material Quantities &amp; Embodied '!$G141/1000</f>
        <v>0</v>
      </c>
      <c r="M141" s="181">
        <f>VLOOKUP($F141,'Carbon Factors'!$B$5:$L$41,8,FALSE)*'Material Quantities &amp; Embodied '!$G141/1000</f>
        <v>0</v>
      </c>
      <c r="N141" s="181">
        <f>VLOOKUP($F141,'Carbon Factors'!$B$5:$L$41,9,FALSE)*'Material Quantities &amp; Embodied '!$G141/1000</f>
        <v>0</v>
      </c>
      <c r="O141" s="181">
        <f>VLOOKUP($F141,'Carbon Factors'!$B$5:$L$41,10,FALSE)*'Material Quantities &amp; Embodied '!$G141/1000</f>
        <v>0</v>
      </c>
      <c r="P141" s="181">
        <f>VLOOKUP($F141,'Carbon Factors'!$B$5:$L$41,11,FALSE)*'Material Quantities &amp; Embodied '!$G141/1000</f>
        <v>0</v>
      </c>
    </row>
    <row r="142" spans="1:16">
      <c r="C142" s="150" t="s">
        <v>123</v>
      </c>
      <c r="D142" s="150" t="s">
        <v>124</v>
      </c>
      <c r="E142" s="150" t="s">
        <v>116</v>
      </c>
      <c r="F142" s="150" t="str">
        <f>F6</f>
        <v>C32/40 - 25% GGBS</v>
      </c>
      <c r="G142" s="1301">
        <f>IF(A134=0,0,IF(Summary!J13="No",(480*Summary!C13*Summary!C14*Summary!C15*Summary!C16),(Basement!C11*Summary!C13*Summary!C14*Summary!C15*Summary!C16)))</f>
        <v>1382400</v>
      </c>
      <c r="H142" s="178">
        <f>VLOOKUP($F142,'Carbon Factors'!$B$5:$L$41,2,FALSE)*'Material Quantities &amp; Embodied '!$G142/1000</f>
        <v>165.88800000000001</v>
      </c>
      <c r="I142" s="178">
        <f>VLOOKUP($F142,'Carbon Factors'!$B$5:$L$41,3,FALSE)*'Material Quantities &amp; Embodied '!$G142/1000</f>
        <v>6.9119999999999999</v>
      </c>
      <c r="J142" s="178">
        <f>VLOOKUP($F142,'Carbon Factors'!$B$5:$L$41,5,FALSE)*'Material Quantities &amp; Embodied '!$G142/1000</f>
        <v>6.9569280000000004</v>
      </c>
      <c r="K142" s="178">
        <f>VLOOKUP($F142,'Carbon Factors'!$B$5:$L$41,6,FALSE)*'Material Quantities &amp; Embodied '!$G142/1000</f>
        <v>17.9712</v>
      </c>
      <c r="L142" s="178">
        <f>VLOOKUP($F142,'Carbon Factors'!$B$5:$L$41,7,FALSE)*'Material Quantities &amp; Embodied '!$G142/1000</f>
        <v>24.928128000000001</v>
      </c>
      <c r="M142" s="178">
        <f>VLOOKUP($F142,'Carbon Factors'!$B$5:$L$41,8,FALSE)*'Material Quantities &amp; Embodied '!$G142/1000</f>
        <v>6.08256</v>
      </c>
      <c r="N142" s="178">
        <f>VLOOKUP($F142,'Carbon Factors'!$B$5:$L$41,9,FALSE)*'Material Quantities &amp; Embodied '!$G142/1000</f>
        <v>183.27959078399999</v>
      </c>
      <c r="O142" s="178">
        <f>VLOOKUP($F142,'Carbon Factors'!$B$5:$L$41,10,FALSE)*'Material Quantities &amp; Embodied '!$G142/1000</f>
        <v>208.20771878400001</v>
      </c>
      <c r="P142" s="178">
        <f>VLOOKUP($F142,'Carbon Factors'!$B$5:$L$41,11,FALSE)*'Material Quantities &amp; Embodied '!$G142/1000</f>
        <v>0</v>
      </c>
    </row>
    <row r="143" spans="1:16">
      <c r="E143" s="150" t="s">
        <v>117</v>
      </c>
      <c r="F143" s="150" t="s">
        <v>118</v>
      </c>
      <c r="G143" s="1301">
        <f>IF(A134=0,0,IF(Summary!J13="No",(12*Summary!C13*Summary!C14*Summary!C15*Summary!C16),(Basement!C10*Summary!C13*Summary!C14*Summary!C15*Summary!C16)))</f>
        <v>34560</v>
      </c>
      <c r="H143" s="178">
        <f>VLOOKUP($F143,'Carbon Factors'!$B$5:$L$41,2,FALSE)*'Material Quantities &amp; Embodied '!$G143/1000</f>
        <v>26.265599999999999</v>
      </c>
      <c r="I143" s="178">
        <f>VLOOKUP($F143,'Carbon Factors'!$B$5:$L$41,3,FALSE)*'Material Quantities &amp; Embodied '!$G143/1000</f>
        <v>1.10592</v>
      </c>
      <c r="J143" s="178">
        <f>VLOOKUP($F143,'Carbon Factors'!$B$5:$L$41,5,FALSE)*'Material Quantities &amp; Embodied '!$G143/1000</f>
        <v>0.1739232</v>
      </c>
      <c r="K143" s="178">
        <f>VLOOKUP($F143,'Carbon Factors'!$B$5:$L$41,6,FALSE)*'Material Quantities &amp; Embodied '!$G143/1000</f>
        <v>0.44927999999999996</v>
      </c>
      <c r="L143" s="178">
        <f>VLOOKUP($F143,'Carbon Factors'!$B$5:$L$41,7,FALSE)*'Material Quantities &amp; Embodied '!$G143/1000</f>
        <v>0.62320320000000007</v>
      </c>
      <c r="M143" s="178">
        <f>VLOOKUP($F143,'Carbon Factors'!$B$5:$L$41,8,FALSE)*'Material Quantities &amp; Embodied '!$G143/1000</f>
        <v>12.130559999999999</v>
      </c>
      <c r="N143" s="178">
        <f>VLOOKUP($F143,'Carbon Factors'!$B$5:$L$41,9,FALSE)*'Material Quantities &amp; Embodied '!$G143/1000</f>
        <v>28.855240329600001</v>
      </c>
      <c r="O143" s="178">
        <f>VLOOKUP($F143,'Carbon Factors'!$B$5:$L$41,10,FALSE)*'Material Quantities &amp; Embodied '!$G143/1000</f>
        <v>29.4784435296</v>
      </c>
      <c r="P143" s="178">
        <f>VLOOKUP($F143,'Carbon Factors'!$B$5:$L$41,11,FALSE)*'Material Quantities &amp; Embodied '!$G143/1000</f>
        <v>0</v>
      </c>
    </row>
    <row r="144" spans="1:16">
      <c r="D144" s="150" t="s">
        <v>126</v>
      </c>
      <c r="E144" s="150" t="s">
        <v>116</v>
      </c>
      <c r="F144" s="150" t="s">
        <v>127</v>
      </c>
      <c r="G144" s="1301">
        <f>IF(A134=0,0,Summary!C13*Summary!C14*Summary!C15*Summary!C16*0.05*24*1000/9.81)</f>
        <v>352293.57798165135</v>
      </c>
      <c r="H144" s="178">
        <f>VLOOKUP($F144,'Carbon Factors'!$B$5:$L$41,2,FALSE)*'Material Quantities &amp; Embodied '!$G144/1000</f>
        <v>52.491743119266054</v>
      </c>
      <c r="I144" s="178">
        <f>VLOOKUP($F144,'Carbon Factors'!$B$5:$L$41,3,FALSE)*'Material Quantities &amp; Embodied '!$G144/1000</f>
        <v>1.761467889908257</v>
      </c>
      <c r="J144" s="178">
        <f>VLOOKUP($F144,'Carbon Factors'!$B$5:$L$41,5,FALSE)*'Material Quantities &amp; Embodied '!$G144/1000</f>
        <v>1.7729174311926605</v>
      </c>
      <c r="K144" s="178">
        <f>VLOOKUP($F144,'Carbon Factors'!$B$5:$L$41,6,FALSE)*'Material Quantities &amp; Embodied '!$G144/1000</f>
        <v>4.5798165137614681</v>
      </c>
      <c r="L144" s="178">
        <f>VLOOKUP($F144,'Carbon Factors'!$B$5:$L$41,7,FALSE)*'Material Quantities &amp; Embodied '!$G144/1000</f>
        <v>6.352733944954128</v>
      </c>
      <c r="M144" s="178">
        <f>VLOOKUP($F144,'Carbon Factors'!$B$5:$L$41,8,FALSE)*'Material Quantities &amp; Embodied '!$G144/1000</f>
        <v>1.550091743119266</v>
      </c>
      <c r="N144" s="178">
        <f>VLOOKUP($F144,'Carbon Factors'!$B$5:$L$41,9,FALSE)*'Material Quantities &amp; Embodied '!$G144/1000</f>
        <v>57.465326091743115</v>
      </c>
      <c r="O144" s="178">
        <f>VLOOKUP($F144,'Carbon Factors'!$B$5:$L$41,10,FALSE)*'Material Quantities &amp; Embodied '!$G144/1000</f>
        <v>63.818060036697247</v>
      </c>
      <c r="P144" s="178">
        <f>VLOOKUP($F144,'Carbon Factors'!$B$5:$L$41,11,FALSE)*'Material Quantities &amp; Embodied '!$G144/1000</f>
        <v>0</v>
      </c>
    </row>
    <row r="145" spans="2:16">
      <c r="D145" s="150" t="s">
        <v>128</v>
      </c>
      <c r="E145" s="150" t="s">
        <v>129</v>
      </c>
      <c r="F145" s="150" t="s">
        <v>130</v>
      </c>
      <c r="G145" s="1301">
        <f>IF(A134=0,0,Summary!C13*Summary!C14*Summary!C15*Summary!C16*0.15*20*1000/9.81)</f>
        <v>880733.94495412835</v>
      </c>
      <c r="H145" s="178">
        <f>VLOOKUP($F145,'Carbon Factors'!$B$5:$L$41,2,FALSE)*'Material Quantities &amp; Embodied '!$G145/1000</f>
        <v>6.5790825688073395</v>
      </c>
      <c r="I145" s="178">
        <f>VLOOKUP($F145,'Carbon Factors'!$B$5:$L$41,3,FALSE)*'Material Quantities &amp; Embodied '!$G145/1000</f>
        <v>4.4036697247706416</v>
      </c>
      <c r="J145" s="178">
        <f>VLOOKUP($F145,'Carbon Factors'!$B$5:$L$41,5,FALSE)*'Material Quantities &amp; Embodied '!$G145/1000</f>
        <v>4.4036697247706416</v>
      </c>
      <c r="K145" s="178">
        <f>VLOOKUP($F145,'Carbon Factors'!$B$5:$L$41,6,FALSE)*'Material Quantities &amp; Embodied '!$G145/1000</f>
        <v>11.449541284403667</v>
      </c>
      <c r="L145" s="178">
        <f>VLOOKUP($F145,'Carbon Factors'!$B$5:$L$41,7,FALSE)*'Material Quantities &amp; Embodied '!$G145/1000</f>
        <v>15.853211009174309</v>
      </c>
      <c r="M145" s="178">
        <f>VLOOKUP($F145,'Carbon Factors'!$B$5:$L$41,8,FALSE)*'Material Quantities &amp; Embodied '!$G145/1000</f>
        <v>0</v>
      </c>
      <c r="N145" s="178">
        <f>VLOOKUP($F145,'Carbon Factors'!$B$5:$L$41,9,FALSE)*'Material Quantities &amp; Embodied '!$G145/1000</f>
        <v>12.405058348623852</v>
      </c>
      <c r="O145" s="178">
        <f>VLOOKUP($F145,'Carbon Factors'!$B$5:$L$41,10,FALSE)*'Material Quantities &amp; Embodied '!$G145/1000</f>
        <v>28.258269357798163</v>
      </c>
      <c r="P145" s="178">
        <f>VLOOKUP($F145,'Carbon Factors'!$B$5:$L$41,11,FALSE)*'Material Quantities &amp; Embodied '!$G145/1000</f>
        <v>0</v>
      </c>
    </row>
    <row r="146" spans="2:16">
      <c r="D146" s="150" t="s">
        <v>131</v>
      </c>
      <c r="E146" s="150" t="s">
        <v>116</v>
      </c>
      <c r="F146" s="150" t="str">
        <f>F6</f>
        <v>C32/40 - 25% GGBS</v>
      </c>
      <c r="G146" s="1301">
        <f>IF(A134=0,0,Pile!BN468*24*1000/9.81)</f>
        <v>577808.06167744356</v>
      </c>
      <c r="H146" s="178">
        <f>VLOOKUP($F146,'Carbon Factors'!$B$5:$L$41,2,FALSE)*'Material Quantities &amp; Embodied '!$G146/1000</f>
        <v>69.336967401293222</v>
      </c>
      <c r="I146" s="178">
        <f>VLOOKUP($F146,'Carbon Factors'!$B$5:$L$41,3,FALSE)*'Material Quantities &amp; Embodied '!$G146/1000</f>
        <v>2.889040308387218</v>
      </c>
      <c r="J146" s="178">
        <f>VLOOKUP($F146,'Carbon Factors'!$B$5:$L$41,5,FALSE)*'Material Quantities &amp; Embodied '!$G146/1000</f>
        <v>2.907819070391735</v>
      </c>
      <c r="K146" s="178">
        <f>VLOOKUP($F146,'Carbon Factors'!$B$5:$L$41,6,FALSE)*'Material Quantities &amp; Embodied '!$G146/1000</f>
        <v>7.5115048018067663</v>
      </c>
      <c r="L146" s="178">
        <f>VLOOKUP($F146,'Carbon Factors'!$B$5:$L$41,7,FALSE)*'Material Quantities &amp; Embodied '!$G146/1000</f>
        <v>10.419323872198502</v>
      </c>
      <c r="M146" s="178">
        <f>VLOOKUP($F146,'Carbon Factors'!$B$5:$L$41,8,FALSE)*'Material Quantities &amp; Embodied '!$G146/1000</f>
        <v>2.5423554713807515</v>
      </c>
      <c r="N146" s="178">
        <f>VLOOKUP($F146,'Carbon Factors'!$B$5:$L$41,9,FALSE)*'Material Quantities &amp; Embodied '!$G146/1000</f>
        <v>76.606210283520028</v>
      </c>
      <c r="O146" s="178">
        <f>VLOOKUP($F146,'Carbon Factors'!$B$5:$L$41,10,FALSE)*'Material Quantities &amp; Embodied '!$G146/1000</f>
        <v>87.025534155718532</v>
      </c>
      <c r="P146" s="178">
        <f>VLOOKUP($F146,'Carbon Factors'!$B$5:$L$41,11,FALSE)*'Material Quantities &amp; Embodied '!$G146/1000</f>
        <v>0</v>
      </c>
    </row>
    <row r="147" spans="2:16">
      <c r="E147" s="150" t="s">
        <v>117</v>
      </c>
      <c r="F147" s="150" t="s">
        <v>118</v>
      </c>
      <c r="G147" s="1301">
        <f>IF(A134=0,0,Pile!BN474*1000)</f>
        <v>22493.829599999997</v>
      </c>
      <c r="H147" s="178">
        <f>VLOOKUP($F147,'Carbon Factors'!$B$5:$L$41,2,FALSE)*'Material Quantities &amp; Embodied '!$G147/1000</f>
        <v>17.095310496</v>
      </c>
      <c r="I147" s="178">
        <f>VLOOKUP($F147,'Carbon Factors'!$B$5:$L$41,3,FALSE)*'Material Quantities &amp; Embodied '!$G147/1000</f>
        <v>0.71980254719999992</v>
      </c>
      <c r="J147" s="178">
        <f>VLOOKUP($F147,'Carbon Factors'!$B$5:$L$41,5,FALSE)*'Material Quantities &amp; Embodied '!$G147/1000</f>
        <v>0.113200197462</v>
      </c>
      <c r="K147" s="178">
        <f>VLOOKUP($F147,'Carbon Factors'!$B$5:$L$41,6,FALSE)*'Material Quantities &amp; Embodied '!$G147/1000</f>
        <v>0.29241978479999997</v>
      </c>
      <c r="L147" s="178">
        <f>VLOOKUP($F147,'Carbon Factors'!$B$5:$L$41,7,FALSE)*'Material Quantities &amp; Embodied '!$G147/1000</f>
        <v>0.40561998226199997</v>
      </c>
      <c r="M147" s="178">
        <f>VLOOKUP($F147,'Carbon Factors'!$B$5:$L$41,8,FALSE)*'Material Quantities &amp; Embodied '!$G147/1000</f>
        <v>7.895334189599998</v>
      </c>
      <c r="N147" s="178">
        <f>VLOOKUP($F147,'Carbon Factors'!$B$5:$L$41,9,FALSE)*'Material Quantities &amp; Embodied '!$G147/1000</f>
        <v>18.780811893549487</v>
      </c>
      <c r="O147" s="178">
        <f>VLOOKUP($F147,'Carbon Factors'!$B$5:$L$41,10,FALSE)*'Material Quantities &amp; Embodied '!$G147/1000</f>
        <v>19.186431875811486</v>
      </c>
      <c r="P147" s="178">
        <f>VLOOKUP($F147,'Carbon Factors'!$B$5:$L$41,11,FALSE)*'Material Quantities &amp; Embodied '!$G147/1000</f>
        <v>0</v>
      </c>
    </row>
    <row r="148" spans="2:16">
      <c r="D148" s="150" t="s">
        <v>132</v>
      </c>
      <c r="E148" s="150" t="s">
        <v>116</v>
      </c>
      <c r="F148" s="150" t="str">
        <f>F6</f>
        <v>C32/40 - 25% GGBS</v>
      </c>
      <c r="G148" s="1301">
        <f>IF(A134=0,0,Pile!BN480*24*1000/9.81)</f>
        <v>151376.14678899082</v>
      </c>
      <c r="H148" s="178">
        <f>VLOOKUP($F148,'Carbon Factors'!$B$5:$L$41,2,FALSE)*'Material Quantities &amp; Embodied '!$G148/1000</f>
        <v>18.165137614678898</v>
      </c>
      <c r="I148" s="178">
        <f>VLOOKUP($F148,'Carbon Factors'!$B$5:$L$41,3,FALSE)*'Material Quantities &amp; Embodied '!$G148/1000</f>
        <v>0.75688073394495414</v>
      </c>
      <c r="J148" s="178">
        <f>VLOOKUP($F148,'Carbon Factors'!$B$5:$L$41,5,FALSE)*'Material Quantities &amp; Embodied '!$G148/1000</f>
        <v>0.76180045871559643</v>
      </c>
      <c r="K148" s="178">
        <f>VLOOKUP($F148,'Carbon Factors'!$B$5:$L$41,6,FALSE)*'Material Quantities &amp; Embodied '!$G148/1000</f>
        <v>1.9678899082568806</v>
      </c>
      <c r="L148" s="178">
        <f>VLOOKUP($F148,'Carbon Factors'!$B$5:$L$41,7,FALSE)*'Material Quantities &amp; Embodied '!$G148/1000</f>
        <v>2.729690366972477</v>
      </c>
      <c r="M148" s="178">
        <f>VLOOKUP($F148,'Carbon Factors'!$B$5:$L$41,8,FALSE)*'Material Quantities &amp; Embodied '!$G148/1000</f>
        <v>0.66605504587155961</v>
      </c>
      <c r="N148" s="178">
        <f>VLOOKUP($F148,'Carbon Factors'!$B$5:$L$41,9,FALSE)*'Material Quantities &amp; Embodied '!$G148/1000</f>
        <v>20.069558910550459</v>
      </c>
      <c r="O148" s="178">
        <f>VLOOKUP($F148,'Carbon Factors'!$B$5:$L$41,10,FALSE)*'Material Quantities &amp; Embodied '!$G148/1000</f>
        <v>22.799249277522936</v>
      </c>
      <c r="P148" s="178">
        <f>VLOOKUP($F148,'Carbon Factors'!$B$5:$L$41,11,FALSE)*'Material Quantities &amp; Embodied '!$G148/1000</f>
        <v>0</v>
      </c>
    </row>
    <row r="149" spans="2:16">
      <c r="E149" s="150" t="s">
        <v>117</v>
      </c>
      <c r="F149" s="150" t="s">
        <v>118</v>
      </c>
      <c r="G149" s="1301">
        <f>IF(A134=0,0,Pile!BO480*1000)</f>
        <v>6806.25</v>
      </c>
      <c r="H149" s="178">
        <f>VLOOKUP($F149,'Carbon Factors'!$B$5:$L$41,2,FALSE)*'Material Quantities &amp; Embodied '!$G149/1000</f>
        <v>5.1727499999999997</v>
      </c>
      <c r="I149" s="178">
        <f>VLOOKUP($F149,'Carbon Factors'!$B$5:$L$41,3,FALSE)*'Material Quantities &amp; Embodied '!$G149/1000</f>
        <v>0.21780000000000002</v>
      </c>
      <c r="J149" s="178">
        <f>VLOOKUP($F149,'Carbon Factors'!$B$5:$L$41,5,FALSE)*'Material Quantities &amp; Embodied '!$G149/1000</f>
        <v>3.4252453125000006E-2</v>
      </c>
      <c r="K149" s="178">
        <f>VLOOKUP($F149,'Carbon Factors'!$B$5:$L$41,6,FALSE)*'Material Quantities &amp; Embodied '!$G149/1000</f>
        <v>8.8481249999999997E-2</v>
      </c>
      <c r="L149" s="178">
        <f>VLOOKUP($F149,'Carbon Factors'!$B$5:$L$41,7,FALSE)*'Material Quantities &amp; Embodied '!$G149/1000</f>
        <v>0.12273370312500001</v>
      </c>
      <c r="M149" s="178">
        <f>VLOOKUP($F149,'Carbon Factors'!$B$5:$L$41,8,FALSE)*'Material Quantities &amp; Embodied '!$G149/1000</f>
        <v>2.3889937499999996</v>
      </c>
      <c r="N149" s="178">
        <f>VLOOKUP($F149,'Carbon Factors'!$B$5:$L$41,9,FALSE)*'Material Quantities &amp; Embodied '!$G149/1000</f>
        <v>5.6827540362656253</v>
      </c>
      <c r="O149" s="178">
        <f>VLOOKUP($F149,'Carbon Factors'!$B$5:$L$41,10,FALSE)*'Material Quantities &amp; Embodied '!$G149/1000</f>
        <v>5.8054877393906255</v>
      </c>
      <c r="P149" s="178">
        <f>VLOOKUP($F149,'Carbon Factors'!$B$5:$L$41,11,FALSE)*'Material Quantities &amp; Embodied '!$G149/1000</f>
        <v>0</v>
      </c>
    </row>
    <row r="150" spans="2:16">
      <c r="D150" s="150" t="s">
        <v>134</v>
      </c>
      <c r="E150" s="150" t="s">
        <v>116</v>
      </c>
      <c r="F150" s="150" t="str">
        <f>F6</f>
        <v>C32/40 - 25% GGBS</v>
      </c>
      <c r="G150" s="1301">
        <f>IF(A134=0,0,Basement!C31*Summary!C13*Summary!C14*Summary!C15*Summary!C16)</f>
        <v>0</v>
      </c>
      <c r="H150" s="178">
        <f>VLOOKUP($F150,'Carbon Factors'!$B$5:$L$41,2,FALSE)*'Material Quantities &amp; Embodied '!$G150/1000</f>
        <v>0</v>
      </c>
      <c r="I150" s="178">
        <f>VLOOKUP($F150,'Carbon Factors'!$B$5:$L$41,3,FALSE)*'Material Quantities &amp; Embodied '!$G150/1000</f>
        <v>0</v>
      </c>
      <c r="J150" s="178">
        <f>VLOOKUP($F150,'Carbon Factors'!$B$5:$L$41,5,FALSE)*'Material Quantities &amp; Embodied '!$G150/1000</f>
        <v>0</v>
      </c>
      <c r="K150" s="178">
        <f>VLOOKUP($F150,'Carbon Factors'!$B$5:$L$41,6,FALSE)*'Material Quantities &amp; Embodied '!$G150/1000</f>
        <v>0</v>
      </c>
      <c r="L150" s="178">
        <f>VLOOKUP($F150,'Carbon Factors'!$B$5:$L$41,7,FALSE)*'Material Quantities &amp; Embodied '!$G150/1000</f>
        <v>0</v>
      </c>
      <c r="M150" s="178">
        <f>VLOOKUP($F150,'Carbon Factors'!$B$5:$L$41,8,FALSE)*'Material Quantities &amp; Embodied '!$G150/1000</f>
        <v>0</v>
      </c>
      <c r="N150" s="178">
        <f>VLOOKUP($F150,'Carbon Factors'!$B$5:$L$41,9,FALSE)*'Material Quantities &amp; Embodied '!$G150/1000</f>
        <v>0</v>
      </c>
      <c r="O150" s="178">
        <f>VLOOKUP($F150,'Carbon Factors'!$B$5:$L$41,10,FALSE)*'Material Quantities &amp; Embodied '!$G150/1000</f>
        <v>0</v>
      </c>
      <c r="P150" s="178">
        <f>VLOOKUP($F150,'Carbon Factors'!$B$5:$L$41,11,FALSE)*'Material Quantities &amp; Embodied '!$G150/1000</f>
        <v>0</v>
      </c>
    </row>
    <row r="151" spans="2:16">
      <c r="E151" s="150" t="s">
        <v>117</v>
      </c>
      <c r="F151" s="150" t="s">
        <v>118</v>
      </c>
      <c r="G151" s="1301">
        <f>IF(A134=0,0,Basement!C30*Summary!C13*Summary!C14*Summary!C15*Summary!C16)</f>
        <v>0</v>
      </c>
      <c r="H151" s="178">
        <f>VLOOKUP($F151,'Carbon Factors'!$B$5:$L$41,2,FALSE)*'Material Quantities &amp; Embodied '!$G151/1000</f>
        <v>0</v>
      </c>
      <c r="I151" s="178">
        <f>VLOOKUP($F151,'Carbon Factors'!$B$5:$L$41,3,FALSE)*'Material Quantities &amp; Embodied '!$G151/1000</f>
        <v>0</v>
      </c>
      <c r="J151" s="178">
        <f>VLOOKUP($F151,'Carbon Factors'!$B$5:$L$41,5,FALSE)*'Material Quantities &amp; Embodied '!$G151/1000</f>
        <v>0</v>
      </c>
      <c r="K151" s="178">
        <f>VLOOKUP($F151,'Carbon Factors'!$B$5:$L$41,6,FALSE)*'Material Quantities &amp; Embodied '!$G151/1000</f>
        <v>0</v>
      </c>
      <c r="L151" s="178">
        <f>VLOOKUP($F151,'Carbon Factors'!$B$5:$L$41,7,FALSE)*'Material Quantities &amp; Embodied '!$G151/1000</f>
        <v>0</v>
      </c>
      <c r="M151" s="178">
        <f>VLOOKUP($F151,'Carbon Factors'!$B$5:$L$41,8,FALSE)*'Material Quantities &amp; Embodied '!$G151/1000</f>
        <v>0</v>
      </c>
      <c r="N151" s="178">
        <f>VLOOKUP($F151,'Carbon Factors'!$B$5:$L$41,9,FALSE)*'Material Quantities &amp; Embodied '!$G151/1000</f>
        <v>0</v>
      </c>
      <c r="O151" s="178">
        <f>VLOOKUP($F151,'Carbon Factors'!$B$5:$L$41,10,FALSE)*'Material Quantities &amp; Embodied '!$G151/1000</f>
        <v>0</v>
      </c>
      <c r="P151" s="178">
        <f>VLOOKUP($F151,'Carbon Factors'!$B$5:$L$41,11,FALSE)*'Material Quantities &amp; Embodied '!$G151/1000</f>
        <v>0</v>
      </c>
    </row>
    <row r="152" spans="2:16">
      <c r="D152" s="150" t="s">
        <v>135</v>
      </c>
      <c r="E152" s="150" t="s">
        <v>116</v>
      </c>
      <c r="F152" s="150" t="str">
        <f>F6</f>
        <v>C32/40 - 25% GGBS</v>
      </c>
      <c r="G152" s="1301">
        <f>IF(A134=0,0,(Summary!J14*(Summary!C13*Summary!C15*2+Summary!C14*Summary!C16*2))*Basement!K79)</f>
        <v>0</v>
      </c>
      <c r="H152" s="178">
        <f>VLOOKUP($F152,'Carbon Factors'!$B$5:$L$41,2,FALSE)*'Material Quantities &amp; Embodied '!$G152/1000</f>
        <v>0</v>
      </c>
      <c r="I152" s="178">
        <f>VLOOKUP($F152,'Carbon Factors'!$B$5:$L$41,3,FALSE)*'Material Quantities &amp; Embodied '!$G152/1000</f>
        <v>0</v>
      </c>
      <c r="J152" s="178">
        <f>VLOOKUP($F152,'Carbon Factors'!$B$5:$L$41,5,FALSE)*'Material Quantities &amp; Embodied '!$G152/1000</f>
        <v>0</v>
      </c>
      <c r="K152" s="178">
        <f>VLOOKUP($F152,'Carbon Factors'!$B$5:$L$41,6,FALSE)*'Material Quantities &amp; Embodied '!$G152/1000</f>
        <v>0</v>
      </c>
      <c r="L152" s="178">
        <f>VLOOKUP($F152,'Carbon Factors'!$B$5:$L$41,7,FALSE)*'Material Quantities &amp; Embodied '!$G152/1000</f>
        <v>0</v>
      </c>
      <c r="M152" s="178">
        <f>VLOOKUP($F152,'Carbon Factors'!$B$5:$L$41,8,FALSE)*'Material Quantities &amp; Embodied '!$G152/1000</f>
        <v>0</v>
      </c>
      <c r="N152" s="178">
        <f>VLOOKUP($F152,'Carbon Factors'!$B$5:$L$41,9,FALSE)*'Material Quantities &amp; Embodied '!$G152/1000</f>
        <v>0</v>
      </c>
      <c r="O152" s="178">
        <f>VLOOKUP($F152,'Carbon Factors'!$B$5:$L$41,10,FALSE)*'Material Quantities &amp; Embodied '!$G152/1000</f>
        <v>0</v>
      </c>
      <c r="P152" s="178">
        <f>VLOOKUP($F152,'Carbon Factors'!$B$5:$L$41,11,FALSE)*'Material Quantities &amp; Embodied '!$G152/1000</f>
        <v>0</v>
      </c>
    </row>
    <row r="153" spans="2:16">
      <c r="E153" s="150" t="s">
        <v>117</v>
      </c>
      <c r="F153" s="150" t="s">
        <v>118</v>
      </c>
      <c r="G153" s="1301">
        <f>IF(A134=0,0,(Summary!J14*(Summary!C13*Summary!C15*2+Summary!C14*Summary!C16*2))*Basement!K78)</f>
        <v>0</v>
      </c>
      <c r="H153" s="178">
        <f>VLOOKUP($F153,'Carbon Factors'!$B$5:$L$41,2,FALSE)*'Material Quantities &amp; Embodied '!$G153/1000</f>
        <v>0</v>
      </c>
      <c r="I153" s="178">
        <f>VLOOKUP($F153,'Carbon Factors'!$B$5:$L$41,3,FALSE)*'Material Quantities &amp; Embodied '!$G153/1000</f>
        <v>0</v>
      </c>
      <c r="J153" s="178">
        <f>VLOOKUP($F153,'Carbon Factors'!$B$5:$L$41,5,FALSE)*'Material Quantities &amp; Embodied '!$G153/1000</f>
        <v>0</v>
      </c>
      <c r="K153" s="178">
        <f>VLOOKUP($F153,'Carbon Factors'!$B$5:$L$41,6,FALSE)*'Material Quantities &amp; Embodied '!$G153/1000</f>
        <v>0</v>
      </c>
      <c r="L153" s="178">
        <f>VLOOKUP($F153,'Carbon Factors'!$B$5:$L$41,7,FALSE)*'Material Quantities &amp; Embodied '!$G153/1000</f>
        <v>0</v>
      </c>
      <c r="M153" s="178">
        <f>VLOOKUP($F153,'Carbon Factors'!$B$5:$L$41,8,FALSE)*'Material Quantities &amp; Embodied '!$G153/1000</f>
        <v>0</v>
      </c>
      <c r="N153" s="178">
        <f>VLOOKUP($F153,'Carbon Factors'!$B$5:$L$41,9,FALSE)*'Material Quantities &amp; Embodied '!$G153/1000</f>
        <v>0</v>
      </c>
      <c r="O153" s="178">
        <f>VLOOKUP($F153,'Carbon Factors'!$B$5:$L$41,10,FALSE)*'Material Quantities &amp; Embodied '!$G153/1000</f>
        <v>0</v>
      </c>
      <c r="P153" s="178">
        <f>VLOOKUP($F153,'Carbon Factors'!$B$5:$L$41,11,FALSE)*'Material Quantities &amp; Embodied '!$G153/1000</f>
        <v>0</v>
      </c>
    </row>
    <row r="154" spans="2:16">
      <c r="D154" s="150" t="s">
        <v>136</v>
      </c>
      <c r="E154" s="150" t="s">
        <v>116</v>
      </c>
      <c r="F154" s="150" t="str">
        <f>F6</f>
        <v>C32/40 - 25% GGBS</v>
      </c>
      <c r="G154" s="1301">
        <f>IF(A134=0,0,(Basement!M101+Basement!M114+Basement!M127)*24*1000/9.81)</f>
        <v>0</v>
      </c>
      <c r="H154" s="178">
        <f>VLOOKUP($F154,'Carbon Factors'!$B$5:$L$41,2,FALSE)*'Material Quantities &amp; Embodied '!$G154/1000</f>
        <v>0</v>
      </c>
      <c r="I154" s="178">
        <f>VLOOKUP($F154,'Carbon Factors'!$B$5:$L$41,3,FALSE)*'Material Quantities &amp; Embodied '!$G154/1000</f>
        <v>0</v>
      </c>
      <c r="J154" s="178">
        <f>VLOOKUP($F154,'Carbon Factors'!$B$5:$L$41,5,FALSE)*'Material Quantities &amp; Embodied '!$G154/1000</f>
        <v>0</v>
      </c>
      <c r="K154" s="178">
        <f>VLOOKUP($F154,'Carbon Factors'!$B$5:$L$41,6,FALSE)*'Material Quantities &amp; Embodied '!$G154/1000</f>
        <v>0</v>
      </c>
      <c r="L154" s="178">
        <f>VLOOKUP($F154,'Carbon Factors'!$B$5:$L$41,7,FALSE)*'Material Quantities &amp; Embodied '!$G154/1000</f>
        <v>0</v>
      </c>
      <c r="M154" s="178">
        <f>VLOOKUP($F154,'Carbon Factors'!$B$5:$L$41,8,FALSE)*'Material Quantities &amp; Embodied '!$G154/1000</f>
        <v>0</v>
      </c>
      <c r="N154" s="178">
        <f>VLOOKUP($F154,'Carbon Factors'!$B$5:$L$41,9,FALSE)*'Material Quantities &amp; Embodied '!$G154/1000</f>
        <v>0</v>
      </c>
      <c r="O154" s="178">
        <f>VLOOKUP($F154,'Carbon Factors'!$B$5:$L$41,10,FALSE)*'Material Quantities &amp; Embodied '!$G154/1000</f>
        <v>0</v>
      </c>
      <c r="P154" s="178">
        <f>VLOOKUP($F154,'Carbon Factors'!$B$5:$L$41,11,FALSE)*'Material Quantities &amp; Embodied '!$G154/1000</f>
        <v>0</v>
      </c>
    </row>
    <row r="155" spans="2:16">
      <c r="E155" s="150" t="s">
        <v>117</v>
      </c>
      <c r="F155" s="150" t="s">
        <v>118</v>
      </c>
      <c r="G155" s="1301">
        <f>IF(A134=0,0,(Basement!N101+Basement!N114+Basement!N127)*1000)</f>
        <v>0</v>
      </c>
      <c r="H155" s="178">
        <f>VLOOKUP($F155,'Carbon Factors'!$B$5:$L$41,2,FALSE)*'Material Quantities &amp; Embodied '!$G155/1000</f>
        <v>0</v>
      </c>
      <c r="I155" s="178">
        <f>VLOOKUP($F155,'Carbon Factors'!$B$5:$L$41,3,FALSE)*'Material Quantities &amp; Embodied '!$G155/1000</f>
        <v>0</v>
      </c>
      <c r="J155" s="178">
        <f>VLOOKUP($F155,'Carbon Factors'!$B$5:$L$41,5,FALSE)*'Material Quantities &amp; Embodied '!$G155/1000</f>
        <v>0</v>
      </c>
      <c r="K155" s="178">
        <f>VLOOKUP($F155,'Carbon Factors'!$B$5:$L$41,6,FALSE)*'Material Quantities &amp; Embodied '!$G155/1000</f>
        <v>0</v>
      </c>
      <c r="L155" s="178">
        <f>VLOOKUP($F155,'Carbon Factors'!$B$5:$L$41,7,FALSE)*'Material Quantities &amp; Embodied '!$G155/1000</f>
        <v>0</v>
      </c>
      <c r="M155" s="178">
        <f>VLOOKUP($F155,'Carbon Factors'!$B$5:$L$41,8,FALSE)*'Material Quantities &amp; Embodied '!$G155/1000</f>
        <v>0</v>
      </c>
      <c r="N155" s="178">
        <f>VLOOKUP($F155,'Carbon Factors'!$B$5:$L$41,9,FALSE)*'Material Quantities &amp; Embodied '!$G155/1000</f>
        <v>0</v>
      </c>
      <c r="O155" s="178">
        <f>VLOOKUP($F155,'Carbon Factors'!$B$5:$L$41,10,FALSE)*'Material Quantities &amp; Embodied '!$G155/1000</f>
        <v>0</v>
      </c>
      <c r="P155" s="178">
        <f>VLOOKUP($F155,'Carbon Factors'!$B$5:$L$41,11,FALSE)*'Material Quantities &amp; Embodied '!$G155/1000</f>
        <v>0</v>
      </c>
    </row>
    <row r="156" spans="2:16">
      <c r="D156" s="182" t="s">
        <v>137</v>
      </c>
      <c r="E156" s="150" t="s">
        <v>116</v>
      </c>
      <c r="F156" s="150" t="str">
        <f>F136</f>
        <v>C32/40 - 25% GGBS</v>
      </c>
      <c r="G156" s="1301">
        <f>IF(A134=0,0,Basement!D162*24*1000/9.81)</f>
        <v>0</v>
      </c>
      <c r="H156" s="178">
        <f>VLOOKUP($F156,'Carbon Factors'!$B$5:$L$41,2,FALSE)*'Material Quantities &amp; Embodied '!$G156/1000</f>
        <v>0</v>
      </c>
      <c r="I156" s="178">
        <f>VLOOKUP($F156,'Carbon Factors'!$B$5:$L$41,3,FALSE)*'Material Quantities &amp; Embodied '!$G156/1000</f>
        <v>0</v>
      </c>
      <c r="J156" s="178">
        <f>VLOOKUP($F156,'Carbon Factors'!$B$5:$L$41,5,FALSE)*'Material Quantities &amp; Embodied '!$G156/1000</f>
        <v>0</v>
      </c>
      <c r="K156" s="178">
        <f>VLOOKUP($F156,'Carbon Factors'!$B$5:$L$41,6,FALSE)*'Material Quantities &amp; Embodied '!$G156/1000</f>
        <v>0</v>
      </c>
      <c r="L156" s="178">
        <f>VLOOKUP($F156,'Carbon Factors'!$B$5:$L$41,7,FALSE)*'Material Quantities &amp; Embodied '!$G156/1000</f>
        <v>0</v>
      </c>
      <c r="M156" s="178">
        <f>VLOOKUP($F156,'Carbon Factors'!$B$5:$L$41,8,FALSE)*'Material Quantities &amp; Embodied '!$G156/1000</f>
        <v>0</v>
      </c>
      <c r="N156" s="178">
        <f>VLOOKUP($F156,'Carbon Factors'!$B$5:$L$41,9,FALSE)*'Material Quantities &amp; Embodied '!$G156/1000</f>
        <v>0</v>
      </c>
      <c r="O156" s="178">
        <f>VLOOKUP($F156,'Carbon Factors'!$B$5:$L$41,10,FALSE)*'Material Quantities &amp; Embodied '!$G156/1000</f>
        <v>0</v>
      </c>
      <c r="P156" s="178">
        <f>VLOOKUP($F156,'Carbon Factors'!$B$5:$L$41,11,FALSE)*'Material Quantities &amp; Embodied '!$G156/1000</f>
        <v>0</v>
      </c>
    </row>
    <row r="157" spans="2:16">
      <c r="D157" s="152"/>
      <c r="E157" s="150" t="s">
        <v>117</v>
      </c>
      <c r="F157" s="150" t="s">
        <v>118</v>
      </c>
      <c r="G157" s="1301">
        <f>IF(A134=0,0,G156*0.02)</f>
        <v>0</v>
      </c>
      <c r="H157" s="178">
        <f>VLOOKUP($F157,'Carbon Factors'!$B$5:$L$41,2,FALSE)*'Material Quantities &amp; Embodied '!$G157/1000</f>
        <v>0</v>
      </c>
      <c r="I157" s="178">
        <f>VLOOKUP($F157,'Carbon Factors'!$B$5:$L$41,3,FALSE)*'Material Quantities &amp; Embodied '!$G157/1000</f>
        <v>0</v>
      </c>
      <c r="J157" s="178">
        <f>VLOOKUP($F157,'Carbon Factors'!$B$5:$L$41,5,FALSE)*'Material Quantities &amp; Embodied '!$G157/1000</f>
        <v>0</v>
      </c>
      <c r="K157" s="178">
        <f>VLOOKUP($F157,'Carbon Factors'!$B$5:$L$41,6,FALSE)*'Material Quantities &amp; Embodied '!$G157/1000</f>
        <v>0</v>
      </c>
      <c r="L157" s="178">
        <f>VLOOKUP($F157,'Carbon Factors'!$B$5:$L$41,7,FALSE)*'Material Quantities &amp; Embodied '!$G157/1000</f>
        <v>0</v>
      </c>
      <c r="M157" s="178">
        <f>VLOOKUP($F157,'Carbon Factors'!$B$5:$L$41,8,FALSE)*'Material Quantities &amp; Embodied '!$G157/1000</f>
        <v>0</v>
      </c>
      <c r="N157" s="178">
        <f>VLOOKUP($F157,'Carbon Factors'!$B$5:$L$41,9,FALSE)*'Material Quantities &amp; Embodied '!$G157/1000</f>
        <v>0</v>
      </c>
      <c r="O157" s="178">
        <f>VLOOKUP($F157,'Carbon Factors'!$B$5:$L$41,10,FALSE)*'Material Quantities &amp; Embodied '!$G157/1000</f>
        <v>0</v>
      </c>
      <c r="P157" s="178">
        <f>VLOOKUP($F157,'Carbon Factors'!$B$5:$L$41,11,FALSE)*'Material Quantities &amp; Embodied '!$G157/1000</f>
        <v>0</v>
      </c>
    </row>
    <row r="158" spans="2:16">
      <c r="D158" s="182" t="s">
        <v>138</v>
      </c>
      <c r="G158" s="1301">
        <f>IF(A134=0,0,IF(Summary!J$13="Yes",(G150*18/24),(G142*18/24))+G144*18/24+G145*18/20)</f>
        <v>2093680.7339449541</v>
      </c>
      <c r="H158" s="178">
        <v>0</v>
      </c>
      <c r="I158" s="178">
        <f>G158*50*0.1065*0.001*0.001</f>
        <v>11.14884990825688</v>
      </c>
      <c r="J158" s="178">
        <v>0</v>
      </c>
      <c r="K158" s="178">
        <v>0</v>
      </c>
      <c r="L158" s="178">
        <v>0</v>
      </c>
      <c r="M158" s="178">
        <v>0</v>
      </c>
      <c r="N158" s="178">
        <f>I158</f>
        <v>11.14884990825688</v>
      </c>
      <c r="O158" s="178">
        <f>N158</f>
        <v>11.14884990825688</v>
      </c>
      <c r="P158" s="178">
        <v>0</v>
      </c>
    </row>
    <row r="159" spans="2:16">
      <c r="D159" s="182" t="s">
        <v>139</v>
      </c>
      <c r="G159" s="1301">
        <f>IF(A134=0,0,G148*(18/24))</f>
        <v>113532.11009174312</v>
      </c>
      <c r="H159" s="178">
        <v>0</v>
      </c>
      <c r="I159" s="178">
        <f t="shared" ref="I159:I160" si="16">G159*50*0.1065*0.001*0.001</f>
        <v>0.60455848623853214</v>
      </c>
      <c r="J159" s="178">
        <v>0</v>
      </c>
      <c r="K159" s="178">
        <v>0</v>
      </c>
      <c r="L159" s="178">
        <v>0</v>
      </c>
      <c r="M159" s="178">
        <v>0</v>
      </c>
      <c r="N159" s="178">
        <f t="shared" ref="N159:N160" si="17">I159</f>
        <v>0.60455848623853214</v>
      </c>
      <c r="O159" s="178">
        <f t="shared" ref="O159:O160" si="18">N159</f>
        <v>0.60455848623853214</v>
      </c>
      <c r="P159" s="178">
        <v>0</v>
      </c>
    </row>
    <row r="160" spans="2:16">
      <c r="B160" s="179"/>
      <c r="C160" s="179"/>
      <c r="D160" s="183" t="s">
        <v>140</v>
      </c>
      <c r="E160" s="184"/>
      <c r="F160" s="184"/>
      <c r="G160" s="1302">
        <f>IF(A134=0,0,IF(Summary!J$13="Yes",18*1000/9.81*Summary!C$13*Summary!C$14*Summary!C$15*Summary!C$16*Summary!J$14,0))</f>
        <v>0</v>
      </c>
      <c r="H160" s="181">
        <v>0</v>
      </c>
      <c r="I160" s="181">
        <f t="shared" si="16"/>
        <v>0</v>
      </c>
      <c r="J160" s="181">
        <v>0</v>
      </c>
      <c r="K160" s="181">
        <v>0</v>
      </c>
      <c r="L160" s="181">
        <v>0</v>
      </c>
      <c r="M160" s="181">
        <v>0</v>
      </c>
      <c r="N160" s="181">
        <f t="shared" si="17"/>
        <v>0</v>
      </c>
      <c r="O160" s="181">
        <f t="shared" si="18"/>
        <v>0</v>
      </c>
      <c r="P160" s="181">
        <v>0</v>
      </c>
    </row>
    <row r="161" spans="1:16">
      <c r="H161" s="185">
        <f>SUM(H134:H160)</f>
        <v>776.37366061399359</v>
      </c>
      <c r="I161" s="185">
        <f t="shared" ref="I161:P161" si="19">SUM(I134:I160)</f>
        <v>47.87133124778348</v>
      </c>
      <c r="J161" s="185">
        <f t="shared" si="19"/>
        <v>31.01121855932001</v>
      </c>
      <c r="K161" s="185">
        <f t="shared" si="19"/>
        <v>80.182404642405018</v>
      </c>
      <c r="L161" s="185">
        <f t="shared" si="19"/>
        <v>111.193623201725</v>
      </c>
      <c r="M161" s="185">
        <f t="shared" si="19"/>
        <v>91.024198615350684</v>
      </c>
      <c r="N161" s="185">
        <f t="shared" si="19"/>
        <v>873.20030781523417</v>
      </c>
      <c r="O161" s="185">
        <f t="shared" si="19"/>
        <v>984.39393101695953</v>
      </c>
      <c r="P161" s="185">
        <f t="shared" si="19"/>
        <v>0</v>
      </c>
    </row>
    <row r="162" spans="1:16" ht="12.75" thickBot="1">
      <c r="B162" s="172"/>
      <c r="C162" s="172"/>
      <c r="D162" s="172"/>
      <c r="E162" s="172"/>
      <c r="F162" s="172"/>
      <c r="G162" s="173"/>
      <c r="H162" s="173"/>
      <c r="I162" s="173"/>
      <c r="J162" s="173"/>
      <c r="K162" s="173"/>
      <c r="L162" s="173"/>
      <c r="M162" s="174"/>
      <c r="N162" s="174"/>
      <c r="O162" s="174"/>
      <c r="P162" s="174"/>
    </row>
    <row r="163" spans="1:16"/>
    <row r="164" spans="1:16">
      <c r="H164" s="1311" t="s">
        <v>99</v>
      </c>
      <c r="I164" s="1311"/>
      <c r="J164" s="1311"/>
      <c r="K164" s="1311"/>
      <c r="L164" s="1311"/>
      <c r="M164" s="1311"/>
      <c r="N164" s="1311"/>
      <c r="O164" s="1311"/>
      <c r="P164" s="1311"/>
    </row>
    <row r="165" spans="1:16" ht="12.75" thickBot="1">
      <c r="B165" s="175" t="s">
        <v>22</v>
      </c>
      <c r="C165" s="175" t="s">
        <v>100</v>
      </c>
      <c r="D165" s="175" t="s">
        <v>101</v>
      </c>
      <c r="E165" s="175" t="s">
        <v>102</v>
      </c>
      <c r="F165" s="175" t="s">
        <v>103</v>
      </c>
      <c r="G165" s="72" t="s">
        <v>104</v>
      </c>
      <c r="H165" s="176" t="s">
        <v>105</v>
      </c>
      <c r="I165" s="176" t="s">
        <v>106</v>
      </c>
      <c r="J165" s="176" t="s">
        <v>107</v>
      </c>
      <c r="K165" s="176" t="s">
        <v>108</v>
      </c>
      <c r="L165" s="176" t="s">
        <v>109</v>
      </c>
      <c r="M165" s="176" t="s">
        <v>110</v>
      </c>
      <c r="N165" s="176" t="s">
        <v>111</v>
      </c>
      <c r="O165" s="176" t="s">
        <v>112</v>
      </c>
      <c r="P165" s="176" t="s">
        <v>113</v>
      </c>
    </row>
    <row r="166" spans="1:16">
      <c r="A166" s="148">
        <f>MIN(Pile!CA464,Database!E22)</f>
        <v>0.35</v>
      </c>
      <c r="B166" s="150" t="str">
        <f>Database!D22</f>
        <v>Precast Hollowcore with In-situ RC Beams</v>
      </c>
      <c r="C166" s="150" t="s">
        <v>114</v>
      </c>
      <c r="D166" s="150" t="s">
        <v>115</v>
      </c>
      <c r="E166" s="150" t="s">
        <v>116</v>
      </c>
      <c r="F166" s="150" t="str">
        <f>F6</f>
        <v>C32/40 - 25% GGBS</v>
      </c>
      <c r="G166" s="1301">
        <f>IF(A166=0,0,IF(Summary!J$8="No",Database!G22*Summary!C$13*Summary!C$14*Summary!C$15*Summary!C$16*Summary!C$17,Database!G22*Summary!C$13*Summary!C$14*Summary!C$15*Summary!C$16*(Summary!C$17-1)))</f>
        <v>1892431.1360448808</v>
      </c>
      <c r="H166" s="178">
        <f>VLOOKUP($F166,'Carbon Factors'!$B$5:$L$41,2,FALSE)*'Material Quantities &amp; Embodied '!$G166/1000</f>
        <v>227.09173632538568</v>
      </c>
      <c r="I166" s="178">
        <f>VLOOKUP($F166,'Carbon Factors'!$B$5:$L$41,3,FALSE)*'Material Quantities &amp; Embodied '!$G166/1000</f>
        <v>9.4621556802244058</v>
      </c>
      <c r="J166" s="178">
        <f>VLOOKUP($F166,'Carbon Factors'!$B$5:$L$41,5,FALSE)*'Material Quantities &amp; Embodied '!$G166/1000</f>
        <v>9.5236596921458645</v>
      </c>
      <c r="K166" s="178">
        <f>VLOOKUP($F166,'Carbon Factors'!$B$5:$L$41,6,FALSE)*'Material Quantities &amp; Embodied '!$G166/1000</f>
        <v>24.601604768583449</v>
      </c>
      <c r="L166" s="178">
        <f>VLOOKUP($F166,'Carbon Factors'!$B$5:$L$41,7,FALSE)*'Material Quantities &amp; Embodied '!$G166/1000</f>
        <v>34.125264460729312</v>
      </c>
      <c r="M166" s="178">
        <f>VLOOKUP($F166,'Carbon Factors'!$B$5:$L$41,8,FALSE)*'Material Quantities &amp; Embodied '!$G166/1000</f>
        <v>8.326696998597475</v>
      </c>
      <c r="N166" s="178">
        <f>VLOOKUP($F166,'Carbon Factors'!$B$5:$L$41,9,FALSE)*'Material Quantities &amp; Embodied '!$G166/1000</f>
        <v>250.89988729832609</v>
      </c>
      <c r="O166" s="178">
        <f>VLOOKUP($F166,'Carbon Factors'!$B$5:$L$41,10,FALSE)*'Material Quantities &amp; Embodied '!$G166/1000</f>
        <v>285.02515175905546</v>
      </c>
      <c r="P166" s="178">
        <f>VLOOKUP($F166,'Carbon Factors'!$B$5:$L$41,11,FALSE)*'Material Quantities &amp; Embodied '!$G166/1000</f>
        <v>0</v>
      </c>
    </row>
    <row r="167" spans="1:16">
      <c r="E167" s="150" t="s">
        <v>117</v>
      </c>
      <c r="F167" s="150" t="s">
        <v>118</v>
      </c>
      <c r="G167" s="1301">
        <f>IF(A166=0,0,IF(Summary!J$8="No",Database!H22*Summary!C$13*Summary!C$14*Summary!C$15*Summary!C$16*Summary!C$17,Database!H22*Summary!C$13*Summary!C$14*Summary!C$15*Summary!C$16*(Summary!C$17-1)))</f>
        <v>96637.746647966385</v>
      </c>
      <c r="H167" s="178">
        <f>VLOOKUP($F167,'Carbon Factors'!$B$5:$L$41,2,FALSE)*'Material Quantities &amp; Embodied '!$G167/1000</f>
        <v>73.44468745245446</v>
      </c>
      <c r="I167" s="178">
        <f>VLOOKUP($F167,'Carbon Factors'!$B$5:$L$41,3,FALSE)*'Material Quantities &amp; Embodied '!$G167/1000</f>
        <v>3.0924078927349243</v>
      </c>
      <c r="J167" s="178">
        <f>VLOOKUP($F167,'Carbon Factors'!$B$5:$L$41,5,FALSE)*'Material Quantities &amp; Embodied '!$G167/1000</f>
        <v>0.48632946000589089</v>
      </c>
      <c r="K167" s="178">
        <f>VLOOKUP($F167,'Carbon Factors'!$B$5:$L$41,6,FALSE)*'Material Quantities &amp; Embodied '!$G167/1000</f>
        <v>1.2562907064235631</v>
      </c>
      <c r="L167" s="178">
        <f>VLOOKUP($F167,'Carbon Factors'!$B$5:$L$41,7,FALSE)*'Material Quantities &amp; Embodied '!$G167/1000</f>
        <v>1.7426201664294538</v>
      </c>
      <c r="M167" s="178">
        <f>VLOOKUP($F167,'Carbon Factors'!$B$5:$L$41,8,FALSE)*'Material Quantities &amp; Embodied '!$G167/1000</f>
        <v>33.919849073436197</v>
      </c>
      <c r="N167" s="178">
        <f>VLOOKUP($F167,'Carbon Factors'!$B$5:$L$41,9,FALSE)*'Material Quantities &amp; Embodied '!$G167/1000</f>
        <v>80.685920267305178</v>
      </c>
      <c r="O167" s="178">
        <f>VLOOKUP($F167,'Carbon Factors'!$B$5:$L$41,10,FALSE)*'Material Quantities &amp; Embodied '!$G167/1000</f>
        <v>82.428540433734625</v>
      </c>
      <c r="P167" s="178">
        <f>VLOOKUP($F167,'Carbon Factors'!$B$5:$L$41,11,FALSE)*'Material Quantities &amp; Embodied '!$G167/1000</f>
        <v>0</v>
      </c>
    </row>
    <row r="168" spans="1:16">
      <c r="E168" s="150" t="s">
        <v>141</v>
      </c>
      <c r="F168" s="150" t="s">
        <v>142</v>
      </c>
      <c r="G168" s="1301">
        <f>IF(A166=0,0,IF(Summary!J$8="No",Database!I22*Summary!C$13*Summary!C$14*Summary!C$15*Summary!C$16*Summary!C$17,Database!I22*Summary!C$13*Summary!C$14*Summary!C$15*Summary!C$16*(Summary!C$17-1)))</f>
        <v>1728000</v>
      </c>
      <c r="H168" s="178">
        <f>VLOOKUP($F168,'Carbon Factors'!$B$5:$L$41,2,FALSE)*'Material Quantities &amp; Embodied '!$G168/1000</f>
        <v>286.84800000000001</v>
      </c>
      <c r="I168" s="178">
        <f>VLOOKUP($F168,'Carbon Factors'!$B$5:$L$41,3,FALSE)*'Material Quantities &amp; Embodied '!$G168/1000</f>
        <v>8.64</v>
      </c>
      <c r="J168" s="178">
        <f>VLOOKUP($F168,'Carbon Factors'!$B$5:$L$41,5,FALSE)*'Material Quantities &amp; Embodied '!$G168/1000</f>
        <v>8.6961600000000026</v>
      </c>
      <c r="K168" s="178">
        <f>VLOOKUP($F168,'Carbon Factors'!$B$5:$L$41,6,FALSE)*'Material Quantities &amp; Embodied '!$G168/1000</f>
        <v>22.463999999999999</v>
      </c>
      <c r="L168" s="178">
        <f>VLOOKUP($F168,'Carbon Factors'!$B$5:$L$41,7,FALSE)*'Material Quantities &amp; Embodied '!$G168/1000</f>
        <v>31.160160000000001</v>
      </c>
      <c r="M168" s="178">
        <f>VLOOKUP($F168,'Carbon Factors'!$B$5:$L$41,8,FALSE)*'Material Quantities &amp; Embodied '!$G168/1000</f>
        <v>7.6032000000000011</v>
      </c>
      <c r="N168" s="178">
        <f>VLOOKUP($F168,'Carbon Factors'!$B$5:$L$41,9,FALSE)*'Material Quantities &amp; Embodied '!$G168/1000</f>
        <v>298.75448160000002</v>
      </c>
      <c r="O168" s="178">
        <f>VLOOKUP($F168,'Carbon Factors'!$B$5:$L$41,10,FALSE)*'Material Quantities &amp; Embodied '!$G168/1000</f>
        <v>329.91464160000004</v>
      </c>
      <c r="P168" s="178">
        <f>VLOOKUP($F168,'Carbon Factors'!$B$5:$L$41,11,FALSE)*'Material Quantities &amp; Embodied '!$G168/1000</f>
        <v>0</v>
      </c>
    </row>
    <row r="169" spans="1:16">
      <c r="D169" s="150" t="s">
        <v>119</v>
      </c>
      <c r="E169" s="150" t="s">
        <v>116</v>
      </c>
      <c r="F169" s="150" t="str">
        <f>F6</f>
        <v>C32/40 - 25% GGBS</v>
      </c>
      <c r="G169" s="1301">
        <f>IF(A166=0,0,'RC Column'!M65*24*1000/9.81)</f>
        <v>90825.688073394485</v>
      </c>
      <c r="H169" s="178">
        <f>VLOOKUP($F169,'Carbon Factors'!$B$5:$L$41,2,FALSE)*'Material Quantities &amp; Embodied '!$G169/1000</f>
        <v>10.899082568807339</v>
      </c>
      <c r="I169" s="178">
        <f>VLOOKUP($F169,'Carbon Factors'!$B$5:$L$41,3,FALSE)*'Material Quantities &amp; Embodied '!$G169/1000</f>
        <v>0.45412844036697242</v>
      </c>
      <c r="J169" s="178">
        <f>VLOOKUP($F169,'Carbon Factors'!$B$5:$L$41,5,FALSE)*'Material Quantities &amp; Embodied '!$G169/1000</f>
        <v>0.45708027522935779</v>
      </c>
      <c r="K169" s="178">
        <f>VLOOKUP($F169,'Carbon Factors'!$B$5:$L$41,6,FALSE)*'Material Quantities &amp; Embodied '!$G169/1000</f>
        <v>1.1807339449541283</v>
      </c>
      <c r="L169" s="178">
        <f>VLOOKUP($F169,'Carbon Factors'!$B$5:$L$41,7,FALSE)*'Material Quantities &amp; Embodied '!$G169/1000</f>
        <v>1.637814220183486</v>
      </c>
      <c r="M169" s="178">
        <f>VLOOKUP($F169,'Carbon Factors'!$B$5:$L$41,8,FALSE)*'Material Quantities &amp; Embodied '!$G169/1000</f>
        <v>0.39963302752293578</v>
      </c>
      <c r="N169" s="178">
        <f>VLOOKUP($F169,'Carbon Factors'!$B$5:$L$41,9,FALSE)*'Material Quantities &amp; Embodied '!$G169/1000</f>
        <v>12.041735346330274</v>
      </c>
      <c r="O169" s="178">
        <f>VLOOKUP($F169,'Carbon Factors'!$B$5:$L$41,10,FALSE)*'Material Quantities &amp; Embodied '!$G169/1000</f>
        <v>13.67954956651376</v>
      </c>
      <c r="P169" s="178">
        <f>VLOOKUP($F169,'Carbon Factors'!$B$5:$L$41,11,FALSE)*'Material Quantities &amp; Embodied '!$G169/1000</f>
        <v>0</v>
      </c>
    </row>
    <row r="170" spans="1:16">
      <c r="E170" s="150" t="s">
        <v>117</v>
      </c>
      <c r="F170" s="150" t="s">
        <v>118</v>
      </c>
      <c r="G170" s="1301">
        <f>IF(A166=0,0,'RC Column'!N65*1000)</f>
        <v>11657.250000000002</v>
      </c>
      <c r="H170" s="178">
        <f>VLOOKUP($F170,'Carbon Factors'!$B$5:$L$41,2,FALSE)*'Material Quantities &amp; Embodied '!$G170/1000</f>
        <v>8.859510000000002</v>
      </c>
      <c r="I170" s="178">
        <f>VLOOKUP($F170,'Carbon Factors'!$B$5:$L$41,3,FALSE)*'Material Quantities &amp; Embodied '!$G170/1000</f>
        <v>0.37303200000000003</v>
      </c>
      <c r="J170" s="178">
        <f>VLOOKUP($F170,'Carbon Factors'!$B$5:$L$41,5,FALSE)*'Material Quantities &amp; Embodied '!$G170/1000</f>
        <v>5.8665110625000016E-2</v>
      </c>
      <c r="K170" s="178">
        <f>VLOOKUP($F170,'Carbon Factors'!$B$5:$L$41,6,FALSE)*'Material Quantities &amp; Embodied '!$G170/1000</f>
        <v>0.15154424999999999</v>
      </c>
      <c r="L170" s="178">
        <f>VLOOKUP($F170,'Carbon Factors'!$B$5:$L$41,7,FALSE)*'Material Quantities &amp; Embodied '!$G170/1000</f>
        <v>0.21020936062500004</v>
      </c>
      <c r="M170" s="178">
        <f>VLOOKUP($F170,'Carbon Factors'!$B$5:$L$41,8,FALSE)*'Material Quantities &amp; Embodied '!$G170/1000</f>
        <v>4.0916947500000003</v>
      </c>
      <c r="N170" s="178">
        <f>VLOOKUP($F170,'Carbon Factors'!$B$5:$L$41,9,FALSE)*'Material Quantities &amp; Embodied '!$G170/1000</f>
        <v>9.7330078221131267</v>
      </c>
      <c r="O170" s="178">
        <f>VLOOKUP($F170,'Carbon Factors'!$B$5:$L$41,10,FALSE)*'Material Quantities &amp; Embodied '!$G170/1000</f>
        <v>9.9432171827381257</v>
      </c>
      <c r="P170" s="178">
        <f>VLOOKUP($F170,'Carbon Factors'!$B$5:$L$41,11,FALSE)*'Material Quantities &amp; Embodied '!$G170/1000</f>
        <v>0</v>
      </c>
    </row>
    <row r="171" spans="1:16">
      <c r="D171" s="150" t="s">
        <v>120</v>
      </c>
      <c r="E171" s="150" t="s">
        <v>121</v>
      </c>
      <c r="F171" s="150" t="str">
        <f>F6</f>
        <v>C32/40 - 25% GGBS</v>
      </c>
      <c r="G171" s="1301">
        <f>IF(A166=0,0,SUM('Shear Walls'!AG84,'Shear Walls'!AG118))</f>
        <v>37006.238532110103</v>
      </c>
      <c r="H171" s="178">
        <f>VLOOKUP($F171,'Carbon Factors'!$B$5:$L$41,2,FALSE)*'Material Quantities &amp; Embodied '!$G171/1000</f>
        <v>4.4407486238532119</v>
      </c>
      <c r="I171" s="178">
        <f>VLOOKUP($F171,'Carbon Factors'!$B$5:$L$41,3,FALSE)*'Material Quantities &amp; Embodied '!$G171/1000</f>
        <v>0.18503119266055051</v>
      </c>
      <c r="J171" s="178">
        <f>VLOOKUP($F171,'Carbon Factors'!$B$5:$L$41,5,FALSE)*'Material Quantities &amp; Embodied '!$G171/1000</f>
        <v>0.1862338954128441</v>
      </c>
      <c r="K171" s="178">
        <f>VLOOKUP($F171,'Carbon Factors'!$B$5:$L$41,6,FALSE)*'Material Quantities &amp; Embodied '!$G171/1000</f>
        <v>0.48108110091743134</v>
      </c>
      <c r="L171" s="178">
        <f>VLOOKUP($F171,'Carbon Factors'!$B$5:$L$41,7,FALSE)*'Material Quantities &amp; Embodied '!$G171/1000</f>
        <v>0.66731499633027547</v>
      </c>
      <c r="M171" s="178">
        <f>VLOOKUP($F171,'Carbon Factors'!$B$5:$L$41,8,FALSE)*'Material Quantities &amp; Embodied '!$G171/1000</f>
        <v>0.16282744954128447</v>
      </c>
      <c r="N171" s="178">
        <f>VLOOKUP($F171,'Carbon Factors'!$B$5:$L$41,9,FALSE)*'Material Quantities &amp; Embodied '!$G171/1000</f>
        <v>4.9063138415944971</v>
      </c>
      <c r="O171" s="178">
        <f>VLOOKUP($F171,'Carbon Factors'!$B$5:$L$41,10,FALSE)*'Material Quantities &amp; Embodied '!$G171/1000</f>
        <v>5.5736288379247725</v>
      </c>
      <c r="P171" s="178">
        <f>VLOOKUP($F171,'Carbon Factors'!$B$5:$L$41,11,FALSE)*'Material Quantities &amp; Embodied '!$G171/1000</f>
        <v>0</v>
      </c>
    </row>
    <row r="172" spans="1:16">
      <c r="E172" s="150" t="s">
        <v>117</v>
      </c>
      <c r="F172" s="150" t="s">
        <v>118</v>
      </c>
      <c r="G172" s="1301">
        <f>IF(A166=0,0,SUM('Shear Walls'!AG85,'Shear Walls'!AG119))</f>
        <v>1308.4016235660617</v>
      </c>
      <c r="H172" s="178">
        <f>VLOOKUP($F172,'Carbon Factors'!$B$5:$L$41,2,FALSE)*'Material Quantities &amp; Embodied '!$G172/1000</f>
        <v>0.99438523391020694</v>
      </c>
      <c r="I172" s="178">
        <f>VLOOKUP($F172,'Carbon Factors'!$B$5:$L$41,3,FALSE)*'Material Quantities &amp; Embodied '!$G172/1000</f>
        <v>4.1868851954113981E-2</v>
      </c>
      <c r="J172" s="178">
        <f>VLOOKUP($F172,'Carbon Factors'!$B$5:$L$41,5,FALSE)*'Material Quantities &amp; Embodied '!$G172/1000</f>
        <v>6.5845311705962067E-3</v>
      </c>
      <c r="K172" s="178">
        <f>VLOOKUP($F172,'Carbon Factors'!$B$5:$L$41,6,FALSE)*'Material Quantities &amp; Embodied '!$G172/1000</f>
        <v>1.7009221106358802E-2</v>
      </c>
      <c r="L172" s="178">
        <f>VLOOKUP($F172,'Carbon Factors'!$B$5:$L$41,7,FALSE)*'Material Quantities &amp; Embodied '!$G172/1000</f>
        <v>2.359375227695501E-2</v>
      </c>
      <c r="M172" s="178">
        <f>VLOOKUP($F172,'Carbon Factors'!$B$5:$L$41,8,FALSE)*'Material Quantities &amp; Embodied '!$G172/1000</f>
        <v>0.45924896987168762</v>
      </c>
      <c r="N172" s="178">
        <f>VLOOKUP($F172,'Carbon Factors'!$B$5:$L$41,9,FALSE)*'Material Quantities &amp; Embodied '!$G172/1000</f>
        <v>1.0924260212858086</v>
      </c>
      <c r="O172" s="178">
        <f>VLOOKUP($F172,'Carbon Factors'!$B$5:$L$41,10,FALSE)*'Material Quantities &amp; Embodied '!$G172/1000</f>
        <v>1.1160197735627635</v>
      </c>
      <c r="P172" s="178">
        <f>VLOOKUP($F172,'Carbon Factors'!$B$5:$L$41,11,FALSE)*'Material Quantities &amp; Embodied '!$G172/1000</f>
        <v>0</v>
      </c>
    </row>
    <row r="173" spans="1:16">
      <c r="D173" s="150" t="s">
        <v>122</v>
      </c>
      <c r="E173" s="150" t="s">
        <v>116</v>
      </c>
      <c r="F173" s="150" t="str">
        <f>Summary!F$9</f>
        <v>C32/40 - 25% GGBS</v>
      </c>
      <c r="G173" s="1301">
        <f>IF(A166=0,0,IF(Summary!J$8="Yes",Summary!C$13*Summary!C$14*Summary!C$15*Summary!C$16*Summary!J$9*24*1000/9.81,0))</f>
        <v>0</v>
      </c>
      <c r="H173" s="178">
        <f>VLOOKUP($F173,'Carbon Factors'!$B$5:$L$41,2,FALSE)*'Material Quantities &amp; Embodied '!$G173/1000</f>
        <v>0</v>
      </c>
      <c r="I173" s="178">
        <f>VLOOKUP($F173,'Carbon Factors'!$B$5:$L$41,3,FALSE)*'Material Quantities &amp; Embodied '!$G173/1000</f>
        <v>0</v>
      </c>
      <c r="J173" s="178">
        <f>VLOOKUP($F173,'Carbon Factors'!$B$5:$L$41,5,FALSE)*'Material Quantities &amp; Embodied '!$G173/1000</f>
        <v>0</v>
      </c>
      <c r="K173" s="178">
        <f>VLOOKUP($F173,'Carbon Factors'!$B$5:$L$41,6,FALSE)*'Material Quantities &amp; Embodied '!$G173/1000</f>
        <v>0</v>
      </c>
      <c r="L173" s="178">
        <f>VLOOKUP($F173,'Carbon Factors'!$B$5:$L$41,7,FALSE)*'Material Quantities &amp; Embodied '!$G173/1000</f>
        <v>0</v>
      </c>
      <c r="M173" s="178">
        <f>VLOOKUP($F173,'Carbon Factors'!$B$5:$L$41,8,FALSE)*'Material Quantities &amp; Embodied '!$G173/1000</f>
        <v>0</v>
      </c>
      <c r="N173" s="178">
        <f>VLOOKUP($F173,'Carbon Factors'!$B$5:$L$41,9,FALSE)*'Material Quantities &amp; Embodied '!$G173/1000</f>
        <v>0</v>
      </c>
      <c r="O173" s="178">
        <f>VLOOKUP($F173,'Carbon Factors'!$B$5:$L$41,10,FALSE)*'Material Quantities &amp; Embodied '!$G173/1000</f>
        <v>0</v>
      </c>
      <c r="P173" s="178">
        <f>VLOOKUP($F173,'Carbon Factors'!$B$5:$L$41,11,FALSE)*'Material Quantities &amp; Embodied '!$G173/1000</f>
        <v>0</v>
      </c>
    </row>
    <row r="174" spans="1:16">
      <c r="C174" s="179"/>
      <c r="D174" s="179"/>
      <c r="E174" s="179" t="s">
        <v>117</v>
      </c>
      <c r="F174" s="179" t="s">
        <v>118</v>
      </c>
      <c r="G174" s="1302">
        <f>IF(A166=0,0,IF(Summary!J$8="Yes",Summary!C$13*Summary!C$14*Summary!C$15*Summary!C$16*Summary!J$9*Summary!J$10,0))</f>
        <v>0</v>
      </c>
      <c r="H174" s="181">
        <f>VLOOKUP($F174,'Carbon Factors'!$B$5:$L$41,2,FALSE)*'Material Quantities &amp; Embodied '!$G174/1000</f>
        <v>0</v>
      </c>
      <c r="I174" s="181">
        <f>VLOOKUP($F174,'Carbon Factors'!$B$5:$L$41,3,FALSE)*'Material Quantities &amp; Embodied '!$G174/1000</f>
        <v>0</v>
      </c>
      <c r="J174" s="181">
        <f>VLOOKUP($F174,'Carbon Factors'!$B$5:$L$41,5,FALSE)*'Material Quantities &amp; Embodied '!$G174/1000</f>
        <v>0</v>
      </c>
      <c r="K174" s="181">
        <f>VLOOKUP($F174,'Carbon Factors'!$B$5:$L$41,6,FALSE)*'Material Quantities &amp; Embodied '!$G174/1000</f>
        <v>0</v>
      </c>
      <c r="L174" s="181">
        <f>VLOOKUP($F174,'Carbon Factors'!$B$5:$L$41,7,FALSE)*'Material Quantities &amp; Embodied '!$G174/1000</f>
        <v>0</v>
      </c>
      <c r="M174" s="181">
        <f>VLOOKUP($F174,'Carbon Factors'!$B$5:$L$41,8,FALSE)*'Material Quantities &amp; Embodied '!$G174/1000</f>
        <v>0</v>
      </c>
      <c r="N174" s="181">
        <f>VLOOKUP($F174,'Carbon Factors'!$B$5:$L$41,9,FALSE)*'Material Quantities &amp; Embodied '!$G174/1000</f>
        <v>0</v>
      </c>
      <c r="O174" s="181">
        <f>VLOOKUP($F174,'Carbon Factors'!$B$5:$L$41,10,FALSE)*'Material Quantities &amp; Embodied '!$G174/1000</f>
        <v>0</v>
      </c>
      <c r="P174" s="181">
        <f>VLOOKUP($F174,'Carbon Factors'!$B$5:$L$41,11,FALSE)*'Material Quantities &amp; Embodied '!$G174/1000</f>
        <v>0</v>
      </c>
    </row>
    <row r="175" spans="1:16">
      <c r="C175" s="150" t="s">
        <v>123</v>
      </c>
      <c r="D175" s="150" t="s">
        <v>124</v>
      </c>
      <c r="E175" s="150" t="s">
        <v>116</v>
      </c>
      <c r="F175" s="150" t="str">
        <f>F6</f>
        <v>C32/40 - 25% GGBS</v>
      </c>
      <c r="G175" s="1301">
        <f>IF(A166=0,0,IF(Summary!J13="No",(480*Summary!C13*Summary!C14*Summary!C15*Summary!C16),(Basement!C11*Summary!C13*Summary!C14*Summary!C15*Summary!C16)))</f>
        <v>1382400</v>
      </c>
      <c r="H175" s="178">
        <f>VLOOKUP($F175,'Carbon Factors'!$B$5:$L$41,2,FALSE)*'Material Quantities &amp; Embodied '!$G175/1000</f>
        <v>165.88800000000001</v>
      </c>
      <c r="I175" s="178">
        <f>VLOOKUP($F175,'Carbon Factors'!$B$5:$L$41,3,FALSE)*'Material Quantities &amp; Embodied '!$G175/1000</f>
        <v>6.9119999999999999</v>
      </c>
      <c r="J175" s="178">
        <f>VLOOKUP($F175,'Carbon Factors'!$B$5:$L$41,5,FALSE)*'Material Quantities &amp; Embodied '!$G175/1000</f>
        <v>6.9569280000000004</v>
      </c>
      <c r="K175" s="178">
        <f>VLOOKUP($F175,'Carbon Factors'!$B$5:$L$41,6,FALSE)*'Material Quantities &amp; Embodied '!$G175/1000</f>
        <v>17.9712</v>
      </c>
      <c r="L175" s="178">
        <f>VLOOKUP($F175,'Carbon Factors'!$B$5:$L$41,7,FALSE)*'Material Quantities &amp; Embodied '!$G175/1000</f>
        <v>24.928128000000001</v>
      </c>
      <c r="M175" s="178">
        <f>VLOOKUP($F175,'Carbon Factors'!$B$5:$L$41,8,FALSE)*'Material Quantities &amp; Embodied '!$G175/1000</f>
        <v>6.08256</v>
      </c>
      <c r="N175" s="178">
        <f>VLOOKUP($F175,'Carbon Factors'!$B$5:$L$41,9,FALSE)*'Material Quantities &amp; Embodied '!$G175/1000</f>
        <v>183.27959078399999</v>
      </c>
      <c r="O175" s="178">
        <f>VLOOKUP($F175,'Carbon Factors'!$B$5:$L$41,10,FALSE)*'Material Quantities &amp; Embodied '!$G175/1000</f>
        <v>208.20771878400001</v>
      </c>
      <c r="P175" s="178">
        <f>VLOOKUP($F175,'Carbon Factors'!$B$5:$L$41,11,FALSE)*'Material Quantities &amp; Embodied '!$G175/1000</f>
        <v>0</v>
      </c>
    </row>
    <row r="176" spans="1:16">
      <c r="E176" s="150" t="s">
        <v>117</v>
      </c>
      <c r="F176" s="150" t="s">
        <v>118</v>
      </c>
      <c r="G176" s="1301">
        <f>IF(A166=0,0,IF(Summary!J13="No",(12*Summary!C13*Summary!C14*Summary!C15*Summary!C16),(Basement!C10*Summary!C13*Summary!C14*Summary!C15*Summary!C16)))</f>
        <v>34560</v>
      </c>
      <c r="H176" s="178">
        <f>VLOOKUP($F176,'Carbon Factors'!$B$5:$L$41,2,FALSE)*'Material Quantities &amp; Embodied '!$G176/1000</f>
        <v>26.265599999999999</v>
      </c>
      <c r="I176" s="178">
        <f>VLOOKUP($F176,'Carbon Factors'!$B$5:$L$41,3,FALSE)*'Material Quantities &amp; Embodied '!$G176/1000</f>
        <v>1.10592</v>
      </c>
      <c r="J176" s="178">
        <f>VLOOKUP($F176,'Carbon Factors'!$B$5:$L$41,5,FALSE)*'Material Quantities &amp; Embodied '!$G176/1000</f>
        <v>0.1739232</v>
      </c>
      <c r="K176" s="178">
        <f>VLOOKUP($F176,'Carbon Factors'!$B$5:$L$41,6,FALSE)*'Material Quantities &amp; Embodied '!$G176/1000</f>
        <v>0.44927999999999996</v>
      </c>
      <c r="L176" s="178">
        <f>VLOOKUP($F176,'Carbon Factors'!$B$5:$L$41,7,FALSE)*'Material Quantities &amp; Embodied '!$G176/1000</f>
        <v>0.62320320000000007</v>
      </c>
      <c r="M176" s="178">
        <f>VLOOKUP($F176,'Carbon Factors'!$B$5:$L$41,8,FALSE)*'Material Quantities &amp; Embodied '!$G176/1000</f>
        <v>12.130559999999999</v>
      </c>
      <c r="N176" s="178">
        <f>VLOOKUP($F176,'Carbon Factors'!$B$5:$L$41,9,FALSE)*'Material Quantities &amp; Embodied '!$G176/1000</f>
        <v>28.855240329600001</v>
      </c>
      <c r="O176" s="178">
        <f>VLOOKUP($F176,'Carbon Factors'!$B$5:$L$41,10,FALSE)*'Material Quantities &amp; Embodied '!$G176/1000</f>
        <v>29.4784435296</v>
      </c>
      <c r="P176" s="178">
        <f>VLOOKUP($F176,'Carbon Factors'!$B$5:$L$41,11,FALSE)*'Material Quantities &amp; Embodied '!$G176/1000</f>
        <v>0</v>
      </c>
    </row>
    <row r="177" spans="4:16">
      <c r="D177" s="150" t="s">
        <v>126</v>
      </c>
      <c r="E177" s="150" t="s">
        <v>116</v>
      </c>
      <c r="F177" s="150" t="s">
        <v>127</v>
      </c>
      <c r="G177" s="1301">
        <f>IF(A166=0,0,Summary!C13*Summary!C14*Summary!C15*Summary!C16*0.05*24*1000/9.81)</f>
        <v>352293.57798165135</v>
      </c>
      <c r="H177" s="178">
        <f>VLOOKUP($F177,'Carbon Factors'!$B$5:$L$41,2,FALSE)*'Material Quantities &amp; Embodied '!$G177/1000</f>
        <v>52.491743119266054</v>
      </c>
      <c r="I177" s="178">
        <f>VLOOKUP($F177,'Carbon Factors'!$B$5:$L$41,3,FALSE)*'Material Quantities &amp; Embodied '!$G177/1000</f>
        <v>1.761467889908257</v>
      </c>
      <c r="J177" s="178">
        <f>VLOOKUP($F177,'Carbon Factors'!$B$5:$L$41,5,FALSE)*'Material Quantities &amp; Embodied '!$G177/1000</f>
        <v>1.7729174311926605</v>
      </c>
      <c r="K177" s="178">
        <f>VLOOKUP($F177,'Carbon Factors'!$B$5:$L$41,6,FALSE)*'Material Quantities &amp; Embodied '!$G177/1000</f>
        <v>4.5798165137614681</v>
      </c>
      <c r="L177" s="178">
        <f>VLOOKUP($F177,'Carbon Factors'!$B$5:$L$41,7,FALSE)*'Material Quantities &amp; Embodied '!$G177/1000</f>
        <v>6.352733944954128</v>
      </c>
      <c r="M177" s="178">
        <f>VLOOKUP($F177,'Carbon Factors'!$B$5:$L$41,8,FALSE)*'Material Quantities &amp; Embodied '!$G177/1000</f>
        <v>1.550091743119266</v>
      </c>
      <c r="N177" s="178">
        <f>VLOOKUP($F177,'Carbon Factors'!$B$5:$L$41,9,FALSE)*'Material Quantities &amp; Embodied '!$G177/1000</f>
        <v>57.465326091743115</v>
      </c>
      <c r="O177" s="178">
        <f>VLOOKUP($F177,'Carbon Factors'!$B$5:$L$41,10,FALSE)*'Material Quantities &amp; Embodied '!$G177/1000</f>
        <v>63.818060036697247</v>
      </c>
      <c r="P177" s="178">
        <f>VLOOKUP($F177,'Carbon Factors'!$B$5:$L$41,11,FALSE)*'Material Quantities &amp; Embodied '!$G177/1000</f>
        <v>0</v>
      </c>
    </row>
    <row r="178" spans="4:16">
      <c r="D178" s="150" t="s">
        <v>128</v>
      </c>
      <c r="E178" s="150" t="s">
        <v>129</v>
      </c>
      <c r="F178" s="150" t="s">
        <v>130</v>
      </c>
      <c r="G178" s="1301">
        <f>IF(A166=0,0,Summary!C13*Summary!C14*Summary!C15*Summary!C16*0.15*20*1000/9.81)</f>
        <v>880733.94495412835</v>
      </c>
      <c r="H178" s="178">
        <f>VLOOKUP($F178,'Carbon Factors'!$B$5:$L$41,2,FALSE)*'Material Quantities &amp; Embodied '!$G178/1000</f>
        <v>6.5790825688073395</v>
      </c>
      <c r="I178" s="178">
        <f>VLOOKUP($F178,'Carbon Factors'!$B$5:$L$41,3,FALSE)*'Material Quantities &amp; Embodied '!$G178/1000</f>
        <v>4.4036697247706416</v>
      </c>
      <c r="J178" s="178">
        <f>VLOOKUP($F178,'Carbon Factors'!$B$5:$L$41,5,FALSE)*'Material Quantities &amp; Embodied '!$G178/1000</f>
        <v>4.4036697247706416</v>
      </c>
      <c r="K178" s="178">
        <f>VLOOKUP($F178,'Carbon Factors'!$B$5:$L$41,6,FALSE)*'Material Quantities &amp; Embodied '!$G178/1000</f>
        <v>11.449541284403667</v>
      </c>
      <c r="L178" s="178">
        <f>VLOOKUP($F178,'Carbon Factors'!$B$5:$L$41,7,FALSE)*'Material Quantities &amp; Embodied '!$G178/1000</f>
        <v>15.853211009174309</v>
      </c>
      <c r="M178" s="178">
        <f>VLOOKUP($F178,'Carbon Factors'!$B$5:$L$41,8,FALSE)*'Material Quantities &amp; Embodied '!$G178/1000</f>
        <v>0</v>
      </c>
      <c r="N178" s="178">
        <f>VLOOKUP($F178,'Carbon Factors'!$B$5:$L$41,9,FALSE)*'Material Quantities &amp; Embodied '!$G178/1000</f>
        <v>12.405058348623852</v>
      </c>
      <c r="O178" s="178">
        <f>VLOOKUP($F178,'Carbon Factors'!$B$5:$L$41,10,FALSE)*'Material Quantities &amp; Embodied '!$G178/1000</f>
        <v>28.258269357798163</v>
      </c>
      <c r="P178" s="178">
        <f>VLOOKUP($F178,'Carbon Factors'!$B$5:$L$41,11,FALSE)*'Material Quantities &amp; Embodied '!$G178/1000</f>
        <v>0</v>
      </c>
    </row>
    <row r="179" spans="4:16">
      <c r="D179" s="150" t="s">
        <v>131</v>
      </c>
      <c r="E179" s="150" t="s">
        <v>116</v>
      </c>
      <c r="F179" s="150" t="str">
        <f>F6</f>
        <v>C32/40 - 25% GGBS</v>
      </c>
      <c r="G179" s="1301">
        <f>IF(A166=0,0,Pile!CA468*24*1000/9.81)</f>
        <v>609324.86504166783</v>
      </c>
      <c r="H179" s="178">
        <f>VLOOKUP($F179,'Carbon Factors'!$B$5:$L$41,2,FALSE)*'Material Quantities &amp; Embodied '!$G179/1000</f>
        <v>73.118983805000141</v>
      </c>
      <c r="I179" s="178">
        <f>VLOOKUP($F179,'Carbon Factors'!$B$5:$L$41,3,FALSE)*'Material Quantities &amp; Embodied '!$G179/1000</f>
        <v>3.0466243252083389</v>
      </c>
      <c r="J179" s="178">
        <f>VLOOKUP($F179,'Carbon Factors'!$B$5:$L$41,5,FALSE)*'Material Quantities &amp; Embodied '!$G179/1000</f>
        <v>3.0664273833221936</v>
      </c>
      <c r="K179" s="178">
        <f>VLOOKUP($F179,'Carbon Factors'!$B$5:$L$41,6,FALSE)*'Material Quantities &amp; Embodied '!$G179/1000</f>
        <v>7.9212232455416816</v>
      </c>
      <c r="L179" s="178">
        <f>VLOOKUP($F179,'Carbon Factors'!$B$5:$L$41,7,FALSE)*'Material Quantities &amp; Embodied '!$G179/1000</f>
        <v>10.987650628863875</v>
      </c>
      <c r="M179" s="178">
        <f>VLOOKUP($F179,'Carbon Factors'!$B$5:$L$41,8,FALSE)*'Material Quantities &amp; Embodied '!$G179/1000</f>
        <v>2.6810294061833386</v>
      </c>
      <c r="N179" s="178">
        <f>VLOOKUP($F179,'Carbon Factors'!$B$5:$L$41,9,FALSE)*'Material Quantities &amp; Embodied '!$G179/1000</f>
        <v>80.784730844439309</v>
      </c>
      <c r="O179" s="178">
        <f>VLOOKUP($F179,'Carbon Factors'!$B$5:$L$41,10,FALSE)*'Material Quantities &amp; Embodied '!$G179/1000</f>
        <v>91.772381473303184</v>
      </c>
      <c r="P179" s="178">
        <f>VLOOKUP($F179,'Carbon Factors'!$B$5:$L$41,11,FALSE)*'Material Quantities &amp; Embodied '!$G179/1000</f>
        <v>0</v>
      </c>
    </row>
    <row r="180" spans="4:16">
      <c r="E180" s="150" t="s">
        <v>117</v>
      </c>
      <c r="F180" s="150" t="s">
        <v>118</v>
      </c>
      <c r="G180" s="1301">
        <f>IF(A166=0,0,Pile!CA474*1000)</f>
        <v>23720.765759999991</v>
      </c>
      <c r="H180" s="178">
        <f>VLOOKUP($F180,'Carbon Factors'!$B$5:$L$41,2,FALSE)*'Material Quantities &amp; Embodied '!$G180/1000</f>
        <v>18.027781977599993</v>
      </c>
      <c r="I180" s="178">
        <f>VLOOKUP($F180,'Carbon Factors'!$B$5:$L$41,3,FALSE)*'Material Quantities &amp; Embodied '!$G180/1000</f>
        <v>0.75906450431999972</v>
      </c>
      <c r="J180" s="178">
        <f>VLOOKUP($F180,'Carbon Factors'!$B$5:$L$41,5,FALSE)*'Material Quantities &amp; Embodied '!$G180/1000</f>
        <v>0.11937475368719996</v>
      </c>
      <c r="K180" s="178">
        <f>VLOOKUP($F180,'Carbon Factors'!$B$5:$L$41,6,FALSE)*'Material Quantities &amp; Embodied '!$G180/1000</f>
        <v>0.30836995487999985</v>
      </c>
      <c r="L180" s="178">
        <f>VLOOKUP($F180,'Carbon Factors'!$B$5:$L$41,7,FALSE)*'Material Quantities &amp; Embodied '!$G180/1000</f>
        <v>0.42774470856719982</v>
      </c>
      <c r="M180" s="178">
        <f>VLOOKUP($F180,'Carbon Factors'!$B$5:$L$41,8,FALSE)*'Material Quantities &amp; Embodied '!$G180/1000</f>
        <v>8.325988781759996</v>
      </c>
      <c r="N180" s="178">
        <f>VLOOKUP($F180,'Carbon Factors'!$B$5:$L$41,9,FALSE)*'Material Quantities &amp; Embodied '!$G180/1000</f>
        <v>19.805219815015814</v>
      </c>
      <c r="O180" s="178">
        <f>VLOOKUP($F180,'Carbon Factors'!$B$5:$L$41,10,FALSE)*'Material Quantities &amp; Embodied '!$G180/1000</f>
        <v>20.232964523583014</v>
      </c>
      <c r="P180" s="178">
        <f>VLOOKUP($F180,'Carbon Factors'!$B$5:$L$41,11,FALSE)*'Material Quantities &amp; Embodied '!$G180/1000</f>
        <v>0</v>
      </c>
    </row>
    <row r="181" spans="4:16">
      <c r="D181" s="150" t="s">
        <v>132</v>
      </c>
      <c r="E181" s="150" t="s">
        <v>116</v>
      </c>
      <c r="F181" s="150" t="str">
        <f>F6</f>
        <v>C32/40 - 25% GGBS</v>
      </c>
      <c r="G181" s="1301">
        <f>IF(A166=0,0,Pile!CA480*24*1000/9.81)</f>
        <v>148623.85321100918</v>
      </c>
      <c r="H181" s="178">
        <f>VLOOKUP($F181,'Carbon Factors'!$B$5:$L$41,2,FALSE)*'Material Quantities &amp; Embodied '!$G181/1000</f>
        <v>17.834862385321099</v>
      </c>
      <c r="I181" s="178">
        <f>VLOOKUP($F181,'Carbon Factors'!$B$5:$L$41,3,FALSE)*'Material Quantities &amp; Embodied '!$G181/1000</f>
        <v>0.74311926605504586</v>
      </c>
      <c r="J181" s="178">
        <f>VLOOKUP($F181,'Carbon Factors'!$B$5:$L$41,5,FALSE)*'Material Quantities &amp; Embodied '!$G181/1000</f>
        <v>0.74794954128440372</v>
      </c>
      <c r="K181" s="178">
        <f>VLOOKUP($F181,'Carbon Factors'!$B$5:$L$41,6,FALSE)*'Material Quantities &amp; Embodied '!$G181/1000</f>
        <v>1.9321100917431193</v>
      </c>
      <c r="L181" s="178">
        <f>VLOOKUP($F181,'Carbon Factors'!$B$5:$L$41,7,FALSE)*'Material Quantities &amp; Embodied '!$G181/1000</f>
        <v>2.6800596330275228</v>
      </c>
      <c r="M181" s="178">
        <f>VLOOKUP($F181,'Carbon Factors'!$B$5:$L$41,8,FALSE)*'Material Quantities &amp; Embodied '!$G181/1000</f>
        <v>0.65394495412844034</v>
      </c>
      <c r="N181" s="178">
        <f>VLOOKUP($F181,'Carbon Factors'!$B$5:$L$41,9,FALSE)*'Material Quantities &amp; Embodied '!$G181/1000</f>
        <v>19.704657839449542</v>
      </c>
      <c r="O181" s="178">
        <f>VLOOKUP($F181,'Carbon Factors'!$B$5:$L$41,10,FALSE)*'Material Quantities &amp; Embodied '!$G181/1000</f>
        <v>22.384717472477067</v>
      </c>
      <c r="P181" s="178">
        <f>VLOOKUP($F181,'Carbon Factors'!$B$5:$L$41,11,FALSE)*'Material Quantities &amp; Embodied '!$G181/1000</f>
        <v>0</v>
      </c>
    </row>
    <row r="182" spans="4:16">
      <c r="E182" s="150" t="s">
        <v>117</v>
      </c>
      <c r="F182" s="150" t="s">
        <v>118</v>
      </c>
      <c r="G182" s="1301">
        <f>IF(A166=0,0,Pile!CB480*1000)</f>
        <v>6682.5</v>
      </c>
      <c r="H182" s="178">
        <f>VLOOKUP($F182,'Carbon Factors'!$B$5:$L$41,2,FALSE)*'Material Quantities &amp; Embodied '!$G182/1000</f>
        <v>5.0786999999999995</v>
      </c>
      <c r="I182" s="178">
        <f>VLOOKUP($F182,'Carbon Factors'!$B$5:$L$41,3,FALSE)*'Material Quantities &amp; Embodied '!$G182/1000</f>
        <v>0.21384</v>
      </c>
      <c r="J182" s="178">
        <f>VLOOKUP($F182,'Carbon Factors'!$B$5:$L$41,5,FALSE)*'Material Quantities &amp; Embodied '!$G182/1000</f>
        <v>3.3629681250000001E-2</v>
      </c>
      <c r="K182" s="178">
        <f>VLOOKUP($F182,'Carbon Factors'!$B$5:$L$41,6,FALSE)*'Material Quantities &amp; Embodied '!$G182/1000</f>
        <v>8.6872500000000005E-2</v>
      </c>
      <c r="L182" s="178">
        <f>VLOOKUP($F182,'Carbon Factors'!$B$5:$L$41,7,FALSE)*'Material Quantities &amp; Embodied '!$G182/1000</f>
        <v>0.12050218124999999</v>
      </c>
      <c r="M182" s="178">
        <f>VLOOKUP($F182,'Carbon Factors'!$B$5:$L$41,8,FALSE)*'Material Quantities &amp; Embodied '!$G182/1000</f>
        <v>2.3455575</v>
      </c>
      <c r="N182" s="178">
        <f>VLOOKUP($F182,'Carbon Factors'!$B$5:$L$41,9,FALSE)*'Material Quantities &amp; Embodied '!$G182/1000</f>
        <v>5.5794312356062497</v>
      </c>
      <c r="O182" s="178">
        <f>VLOOKUP($F182,'Carbon Factors'!$B$5:$L$41,10,FALSE)*'Material Quantities &amp; Embodied '!$G182/1000</f>
        <v>5.6999334168562497</v>
      </c>
      <c r="P182" s="178">
        <f>VLOOKUP($F182,'Carbon Factors'!$B$5:$L$41,11,FALSE)*'Material Quantities &amp; Embodied '!$G182/1000</f>
        <v>0</v>
      </c>
    </row>
    <row r="183" spans="4:16">
      <c r="D183" s="150" t="s">
        <v>134</v>
      </c>
      <c r="E183" s="150" t="s">
        <v>116</v>
      </c>
      <c r="F183" s="150" t="str">
        <f>F6</f>
        <v>C32/40 - 25% GGBS</v>
      </c>
      <c r="G183" s="1301">
        <f>IF(A166=0,0,Basement!C31*Summary!C13*Summary!C14*Summary!C15*Summary!C16)</f>
        <v>0</v>
      </c>
      <c r="H183" s="178">
        <f>VLOOKUP($F183,'Carbon Factors'!$B$5:$L$41,2,FALSE)*'Material Quantities &amp; Embodied '!$G183/1000</f>
        <v>0</v>
      </c>
      <c r="I183" s="178">
        <f>VLOOKUP($F183,'Carbon Factors'!$B$5:$L$41,3,FALSE)*'Material Quantities &amp; Embodied '!$G183/1000</f>
        <v>0</v>
      </c>
      <c r="J183" s="178">
        <f>VLOOKUP($F183,'Carbon Factors'!$B$5:$L$41,5,FALSE)*'Material Quantities &amp; Embodied '!$G183/1000</f>
        <v>0</v>
      </c>
      <c r="K183" s="178">
        <f>VLOOKUP($F183,'Carbon Factors'!$B$5:$L$41,6,FALSE)*'Material Quantities &amp; Embodied '!$G183/1000</f>
        <v>0</v>
      </c>
      <c r="L183" s="178">
        <f>VLOOKUP($F183,'Carbon Factors'!$B$5:$L$41,7,FALSE)*'Material Quantities &amp; Embodied '!$G183/1000</f>
        <v>0</v>
      </c>
      <c r="M183" s="178">
        <f>VLOOKUP($F183,'Carbon Factors'!$B$5:$L$41,8,FALSE)*'Material Quantities &amp; Embodied '!$G183/1000</f>
        <v>0</v>
      </c>
      <c r="N183" s="178">
        <f>VLOOKUP($F183,'Carbon Factors'!$B$5:$L$41,9,FALSE)*'Material Quantities &amp; Embodied '!$G183/1000</f>
        <v>0</v>
      </c>
      <c r="O183" s="178">
        <f>VLOOKUP($F183,'Carbon Factors'!$B$5:$L$41,10,FALSE)*'Material Quantities &amp; Embodied '!$G183/1000</f>
        <v>0</v>
      </c>
      <c r="P183" s="178">
        <f>VLOOKUP($F183,'Carbon Factors'!$B$5:$L$41,11,FALSE)*'Material Quantities &amp; Embodied '!$G183/1000</f>
        <v>0</v>
      </c>
    </row>
    <row r="184" spans="4:16">
      <c r="E184" s="150" t="s">
        <v>117</v>
      </c>
      <c r="F184" s="150" t="s">
        <v>118</v>
      </c>
      <c r="G184" s="1301">
        <f>IF(A166=0,0,Basement!C30*Summary!C13*Summary!C14*Summary!C15*Summary!C16)</f>
        <v>0</v>
      </c>
      <c r="H184" s="178">
        <f>VLOOKUP($F184,'Carbon Factors'!$B$5:$L$41,2,FALSE)*'Material Quantities &amp; Embodied '!$G184/1000</f>
        <v>0</v>
      </c>
      <c r="I184" s="178">
        <f>VLOOKUP($F184,'Carbon Factors'!$B$5:$L$41,3,FALSE)*'Material Quantities &amp; Embodied '!$G184/1000</f>
        <v>0</v>
      </c>
      <c r="J184" s="178">
        <f>VLOOKUP($F184,'Carbon Factors'!$B$5:$L$41,5,FALSE)*'Material Quantities &amp; Embodied '!$G184/1000</f>
        <v>0</v>
      </c>
      <c r="K184" s="178">
        <f>VLOOKUP($F184,'Carbon Factors'!$B$5:$L$41,6,FALSE)*'Material Quantities &amp; Embodied '!$G184/1000</f>
        <v>0</v>
      </c>
      <c r="L184" s="178">
        <f>VLOOKUP($F184,'Carbon Factors'!$B$5:$L$41,7,FALSE)*'Material Quantities &amp; Embodied '!$G184/1000</f>
        <v>0</v>
      </c>
      <c r="M184" s="178">
        <f>VLOOKUP($F184,'Carbon Factors'!$B$5:$L$41,8,FALSE)*'Material Quantities &amp; Embodied '!$G184/1000</f>
        <v>0</v>
      </c>
      <c r="N184" s="178">
        <f>VLOOKUP($F184,'Carbon Factors'!$B$5:$L$41,9,FALSE)*'Material Quantities &amp; Embodied '!$G184/1000</f>
        <v>0</v>
      </c>
      <c r="O184" s="178">
        <f>VLOOKUP($F184,'Carbon Factors'!$B$5:$L$41,10,FALSE)*'Material Quantities &amp; Embodied '!$G184/1000</f>
        <v>0</v>
      </c>
      <c r="P184" s="178">
        <f>VLOOKUP($F184,'Carbon Factors'!$B$5:$L$41,11,FALSE)*'Material Quantities &amp; Embodied '!$G184/1000</f>
        <v>0</v>
      </c>
    </row>
    <row r="185" spans="4:16">
      <c r="D185" s="150" t="s">
        <v>135</v>
      </c>
      <c r="E185" s="150" t="s">
        <v>116</v>
      </c>
      <c r="F185" s="150" t="str">
        <f>F6</f>
        <v>C32/40 - 25% GGBS</v>
      </c>
      <c r="G185" s="1301">
        <f>IF(A166=0,0,(Summary!J14*(Summary!C13*Summary!C15*2+Summary!C14*Summary!C16*2))*Basement!K79)</f>
        <v>0</v>
      </c>
      <c r="H185" s="178">
        <f>VLOOKUP($F185,'Carbon Factors'!$B$5:$L$41,2,FALSE)*'Material Quantities &amp; Embodied '!$G185/1000</f>
        <v>0</v>
      </c>
      <c r="I185" s="178">
        <f>VLOOKUP($F185,'Carbon Factors'!$B$5:$L$41,3,FALSE)*'Material Quantities &amp; Embodied '!$G185/1000</f>
        <v>0</v>
      </c>
      <c r="J185" s="178">
        <f>VLOOKUP($F185,'Carbon Factors'!$B$5:$L$41,5,FALSE)*'Material Quantities &amp; Embodied '!$G185/1000</f>
        <v>0</v>
      </c>
      <c r="K185" s="178">
        <f>VLOOKUP($F185,'Carbon Factors'!$B$5:$L$41,6,FALSE)*'Material Quantities &amp; Embodied '!$G185/1000</f>
        <v>0</v>
      </c>
      <c r="L185" s="178">
        <f>VLOOKUP($F185,'Carbon Factors'!$B$5:$L$41,7,FALSE)*'Material Quantities &amp; Embodied '!$G185/1000</f>
        <v>0</v>
      </c>
      <c r="M185" s="178">
        <f>VLOOKUP($F185,'Carbon Factors'!$B$5:$L$41,8,FALSE)*'Material Quantities &amp; Embodied '!$G185/1000</f>
        <v>0</v>
      </c>
      <c r="N185" s="178">
        <f>VLOOKUP($F185,'Carbon Factors'!$B$5:$L$41,9,FALSE)*'Material Quantities &amp; Embodied '!$G185/1000</f>
        <v>0</v>
      </c>
      <c r="O185" s="178">
        <f>VLOOKUP($F185,'Carbon Factors'!$B$5:$L$41,10,FALSE)*'Material Quantities &amp; Embodied '!$G185/1000</f>
        <v>0</v>
      </c>
      <c r="P185" s="178">
        <f>VLOOKUP($F185,'Carbon Factors'!$B$5:$L$41,11,FALSE)*'Material Quantities &amp; Embodied '!$G185/1000</f>
        <v>0</v>
      </c>
    </row>
    <row r="186" spans="4:16">
      <c r="E186" s="150" t="s">
        <v>117</v>
      </c>
      <c r="F186" s="150" t="s">
        <v>118</v>
      </c>
      <c r="G186" s="1301">
        <f>IF(A166=0,0,(Summary!J14*(Summary!C13*Summary!C15*2+Summary!C14*Summary!C16*2))*Basement!K78)</f>
        <v>0</v>
      </c>
      <c r="H186" s="178">
        <f>VLOOKUP($F186,'Carbon Factors'!$B$5:$L$41,2,FALSE)*'Material Quantities &amp; Embodied '!$G186/1000</f>
        <v>0</v>
      </c>
      <c r="I186" s="178">
        <f>VLOOKUP($F186,'Carbon Factors'!$B$5:$L$41,3,FALSE)*'Material Quantities &amp; Embodied '!$G186/1000</f>
        <v>0</v>
      </c>
      <c r="J186" s="178">
        <f>VLOOKUP($F186,'Carbon Factors'!$B$5:$L$41,5,FALSE)*'Material Quantities &amp; Embodied '!$G186/1000</f>
        <v>0</v>
      </c>
      <c r="K186" s="178">
        <f>VLOOKUP($F186,'Carbon Factors'!$B$5:$L$41,6,FALSE)*'Material Quantities &amp; Embodied '!$G186/1000</f>
        <v>0</v>
      </c>
      <c r="L186" s="178">
        <f>VLOOKUP($F186,'Carbon Factors'!$B$5:$L$41,7,FALSE)*'Material Quantities &amp; Embodied '!$G186/1000</f>
        <v>0</v>
      </c>
      <c r="M186" s="178">
        <f>VLOOKUP($F186,'Carbon Factors'!$B$5:$L$41,8,FALSE)*'Material Quantities &amp; Embodied '!$G186/1000</f>
        <v>0</v>
      </c>
      <c r="N186" s="178">
        <f>VLOOKUP($F186,'Carbon Factors'!$B$5:$L$41,9,FALSE)*'Material Quantities &amp; Embodied '!$G186/1000</f>
        <v>0</v>
      </c>
      <c r="O186" s="178">
        <f>VLOOKUP($F186,'Carbon Factors'!$B$5:$L$41,10,FALSE)*'Material Quantities &amp; Embodied '!$G186/1000</f>
        <v>0</v>
      </c>
      <c r="P186" s="178">
        <f>VLOOKUP($F186,'Carbon Factors'!$B$5:$L$41,11,FALSE)*'Material Quantities &amp; Embodied '!$G186/1000</f>
        <v>0</v>
      </c>
    </row>
    <row r="187" spans="4:16">
      <c r="D187" s="150" t="s">
        <v>136</v>
      </c>
      <c r="E187" s="150" t="s">
        <v>116</v>
      </c>
      <c r="F187" s="150" t="str">
        <f>F6</f>
        <v>C32/40 - 25% GGBS</v>
      </c>
      <c r="G187" s="1301">
        <f>IF(A166=0,0,(Basement!M102+Basement!M115+Basement!M128)*24*1000/9.81)</f>
        <v>0</v>
      </c>
      <c r="H187" s="178">
        <f>VLOOKUP($F187,'Carbon Factors'!$B$5:$L$41,2,FALSE)*'Material Quantities &amp; Embodied '!$G187/1000</f>
        <v>0</v>
      </c>
      <c r="I187" s="178">
        <f>VLOOKUP($F187,'Carbon Factors'!$B$5:$L$41,3,FALSE)*'Material Quantities &amp; Embodied '!$G187/1000</f>
        <v>0</v>
      </c>
      <c r="J187" s="178">
        <f>VLOOKUP($F187,'Carbon Factors'!$B$5:$L$41,5,FALSE)*'Material Quantities &amp; Embodied '!$G187/1000</f>
        <v>0</v>
      </c>
      <c r="K187" s="178">
        <f>VLOOKUP($F187,'Carbon Factors'!$B$5:$L$41,6,FALSE)*'Material Quantities &amp; Embodied '!$G187/1000</f>
        <v>0</v>
      </c>
      <c r="L187" s="178">
        <f>VLOOKUP($F187,'Carbon Factors'!$B$5:$L$41,7,FALSE)*'Material Quantities &amp; Embodied '!$G187/1000</f>
        <v>0</v>
      </c>
      <c r="M187" s="178">
        <f>VLOOKUP($F187,'Carbon Factors'!$B$5:$L$41,8,FALSE)*'Material Quantities &amp; Embodied '!$G187/1000</f>
        <v>0</v>
      </c>
      <c r="N187" s="178">
        <f>VLOOKUP($F187,'Carbon Factors'!$B$5:$L$41,9,FALSE)*'Material Quantities &amp; Embodied '!$G187/1000</f>
        <v>0</v>
      </c>
      <c r="O187" s="178">
        <f>VLOOKUP($F187,'Carbon Factors'!$B$5:$L$41,10,FALSE)*'Material Quantities &amp; Embodied '!$G187/1000</f>
        <v>0</v>
      </c>
      <c r="P187" s="178">
        <f>VLOOKUP($F187,'Carbon Factors'!$B$5:$L$41,11,FALSE)*'Material Quantities &amp; Embodied '!$G187/1000</f>
        <v>0</v>
      </c>
    </row>
    <row r="188" spans="4:16">
      <c r="E188" s="150" t="s">
        <v>117</v>
      </c>
      <c r="F188" s="150" t="s">
        <v>118</v>
      </c>
      <c r="G188" s="1301">
        <f>IF(A166=0,0,(Basement!N102+Basement!N115+Basement!N128)*1000)</f>
        <v>0</v>
      </c>
      <c r="H188" s="178">
        <f>VLOOKUP($F188,'Carbon Factors'!$B$5:$L$41,2,FALSE)*'Material Quantities &amp; Embodied '!$G188/1000</f>
        <v>0</v>
      </c>
      <c r="I188" s="178">
        <f>VLOOKUP($F188,'Carbon Factors'!$B$5:$L$41,3,FALSE)*'Material Quantities &amp; Embodied '!$G188/1000</f>
        <v>0</v>
      </c>
      <c r="J188" s="178">
        <f>VLOOKUP($F188,'Carbon Factors'!$B$5:$L$41,5,FALSE)*'Material Quantities &amp; Embodied '!$G188/1000</f>
        <v>0</v>
      </c>
      <c r="K188" s="178">
        <f>VLOOKUP($F188,'Carbon Factors'!$B$5:$L$41,6,FALSE)*'Material Quantities &amp; Embodied '!$G188/1000</f>
        <v>0</v>
      </c>
      <c r="L188" s="178">
        <f>VLOOKUP($F188,'Carbon Factors'!$B$5:$L$41,7,FALSE)*'Material Quantities &amp; Embodied '!$G188/1000</f>
        <v>0</v>
      </c>
      <c r="M188" s="178">
        <f>VLOOKUP($F188,'Carbon Factors'!$B$5:$L$41,8,FALSE)*'Material Quantities &amp; Embodied '!$G188/1000</f>
        <v>0</v>
      </c>
      <c r="N188" s="178">
        <f>VLOOKUP($F188,'Carbon Factors'!$B$5:$L$41,9,FALSE)*'Material Quantities &amp; Embodied '!$G188/1000</f>
        <v>0</v>
      </c>
      <c r="O188" s="178">
        <f>VLOOKUP($F188,'Carbon Factors'!$B$5:$L$41,10,FALSE)*'Material Quantities &amp; Embodied '!$G188/1000</f>
        <v>0</v>
      </c>
      <c r="P188" s="178">
        <f>VLOOKUP($F188,'Carbon Factors'!$B$5:$L$41,11,FALSE)*'Material Quantities &amp; Embodied '!$G188/1000</f>
        <v>0</v>
      </c>
    </row>
    <row r="189" spans="4:16">
      <c r="D189" s="182" t="s">
        <v>137</v>
      </c>
      <c r="E189" s="150" t="s">
        <v>116</v>
      </c>
      <c r="F189" s="150" t="str">
        <f>F169</f>
        <v>C32/40 - 25% GGBS</v>
      </c>
      <c r="G189" s="1301">
        <f>IF(A166=0,0,Basement!D162*24*1000/9.81)</f>
        <v>0</v>
      </c>
      <c r="H189" s="178">
        <f>VLOOKUP($F189,'Carbon Factors'!$B$5:$L$41,2,FALSE)*'Material Quantities &amp; Embodied '!$G189/1000</f>
        <v>0</v>
      </c>
      <c r="I189" s="178">
        <f>VLOOKUP($F189,'Carbon Factors'!$B$5:$L$41,3,FALSE)*'Material Quantities &amp; Embodied '!$G189/1000</f>
        <v>0</v>
      </c>
      <c r="J189" s="178">
        <f>VLOOKUP($F189,'Carbon Factors'!$B$5:$L$41,5,FALSE)*'Material Quantities &amp; Embodied '!$G189/1000</f>
        <v>0</v>
      </c>
      <c r="K189" s="178">
        <f>VLOOKUP($F189,'Carbon Factors'!$B$5:$L$41,6,FALSE)*'Material Quantities &amp; Embodied '!$G189/1000</f>
        <v>0</v>
      </c>
      <c r="L189" s="178">
        <f>VLOOKUP($F189,'Carbon Factors'!$B$5:$L$41,7,FALSE)*'Material Quantities &amp; Embodied '!$G189/1000</f>
        <v>0</v>
      </c>
      <c r="M189" s="178">
        <f>VLOOKUP($F189,'Carbon Factors'!$B$5:$L$41,8,FALSE)*'Material Quantities &amp; Embodied '!$G189/1000</f>
        <v>0</v>
      </c>
      <c r="N189" s="178">
        <f>VLOOKUP($F189,'Carbon Factors'!$B$5:$L$41,9,FALSE)*'Material Quantities &amp; Embodied '!$G189/1000</f>
        <v>0</v>
      </c>
      <c r="O189" s="178">
        <f>VLOOKUP($F189,'Carbon Factors'!$B$5:$L$41,10,FALSE)*'Material Quantities &amp; Embodied '!$G189/1000</f>
        <v>0</v>
      </c>
      <c r="P189" s="178">
        <f>VLOOKUP($F189,'Carbon Factors'!$B$5:$L$41,11,FALSE)*'Material Quantities &amp; Embodied '!$G189/1000</f>
        <v>0</v>
      </c>
    </row>
    <row r="190" spans="4:16">
      <c r="D190" s="152"/>
      <c r="E190" s="150" t="s">
        <v>117</v>
      </c>
      <c r="F190" s="150" t="s">
        <v>118</v>
      </c>
      <c r="G190" s="1301">
        <f>IF(A166=0,0,G189*0.02)</f>
        <v>0</v>
      </c>
      <c r="H190" s="178">
        <f>VLOOKUP($F190,'Carbon Factors'!$B$5:$L$41,2,FALSE)*'Material Quantities &amp; Embodied '!$G190/1000</f>
        <v>0</v>
      </c>
      <c r="I190" s="178">
        <f>VLOOKUP($F190,'Carbon Factors'!$B$5:$L$41,3,FALSE)*'Material Quantities &amp; Embodied '!$G190/1000</f>
        <v>0</v>
      </c>
      <c r="J190" s="178">
        <f>VLOOKUP($F190,'Carbon Factors'!$B$5:$L$41,5,FALSE)*'Material Quantities &amp; Embodied '!$G190/1000</f>
        <v>0</v>
      </c>
      <c r="K190" s="178">
        <f>VLOOKUP($F190,'Carbon Factors'!$B$5:$L$41,6,FALSE)*'Material Quantities &amp; Embodied '!$G190/1000</f>
        <v>0</v>
      </c>
      <c r="L190" s="178">
        <f>VLOOKUP($F190,'Carbon Factors'!$B$5:$L$41,7,FALSE)*'Material Quantities &amp; Embodied '!$G190/1000</f>
        <v>0</v>
      </c>
      <c r="M190" s="178">
        <f>VLOOKUP($F190,'Carbon Factors'!$B$5:$L$41,8,FALSE)*'Material Quantities &amp; Embodied '!$G190/1000</f>
        <v>0</v>
      </c>
      <c r="N190" s="178">
        <f>VLOOKUP($F190,'Carbon Factors'!$B$5:$L$41,9,FALSE)*'Material Quantities &amp; Embodied '!$G190/1000</f>
        <v>0</v>
      </c>
      <c r="O190" s="178">
        <f>VLOOKUP($F190,'Carbon Factors'!$B$5:$L$41,10,FALSE)*'Material Quantities &amp; Embodied '!$G190/1000</f>
        <v>0</v>
      </c>
      <c r="P190" s="178">
        <f>VLOOKUP($F190,'Carbon Factors'!$B$5:$L$41,11,FALSE)*'Material Quantities &amp; Embodied '!$G190/1000</f>
        <v>0</v>
      </c>
    </row>
    <row r="191" spans="4:16">
      <c r="D191" s="182" t="s">
        <v>138</v>
      </c>
      <c r="G191" s="1301">
        <f>IF(A166=0,0,IF(Summary!J$13="Yes",(G183*18/24),(G175*18/24))+G177*18/24+G178*18/20)</f>
        <v>2093680.7339449541</v>
      </c>
      <c r="H191" s="178">
        <v>0</v>
      </c>
      <c r="I191" s="178">
        <f>G191*50*0.1065*0.001*0.001</f>
        <v>11.14884990825688</v>
      </c>
      <c r="J191" s="178">
        <v>0</v>
      </c>
      <c r="K191" s="178">
        <v>0</v>
      </c>
      <c r="L191" s="178">
        <v>0</v>
      </c>
      <c r="M191" s="178">
        <v>0</v>
      </c>
      <c r="N191" s="178">
        <f>I191</f>
        <v>11.14884990825688</v>
      </c>
      <c r="O191" s="178">
        <f>N191</f>
        <v>11.14884990825688</v>
      </c>
      <c r="P191" s="178">
        <v>0</v>
      </c>
    </row>
    <row r="192" spans="4:16">
      <c r="D192" s="182" t="s">
        <v>139</v>
      </c>
      <c r="G192" s="1301">
        <f>IF(A166=0,0,G181*(18/24))</f>
        <v>111467.88990825688</v>
      </c>
      <c r="H192" s="178">
        <v>0</v>
      </c>
      <c r="I192" s="178">
        <f t="shared" ref="I192:I193" si="20">G192*50*0.1065*0.001*0.001</f>
        <v>0.59356651376146796</v>
      </c>
      <c r="J192" s="178">
        <v>0</v>
      </c>
      <c r="K192" s="178">
        <v>0</v>
      </c>
      <c r="L192" s="178">
        <v>0</v>
      </c>
      <c r="M192" s="178">
        <v>0</v>
      </c>
      <c r="N192" s="178">
        <f t="shared" ref="N192:N193" si="21">I192</f>
        <v>0.59356651376146796</v>
      </c>
      <c r="O192" s="178">
        <f t="shared" ref="O192:O193" si="22">N192</f>
        <v>0.59356651376146796</v>
      </c>
      <c r="P192" s="178">
        <v>0</v>
      </c>
    </row>
    <row r="193" spans="1:16">
      <c r="B193" s="179"/>
      <c r="C193" s="179"/>
      <c r="D193" s="183" t="s">
        <v>140</v>
      </c>
      <c r="E193" s="184"/>
      <c r="F193" s="184"/>
      <c r="G193" s="1302">
        <f>IF(A166=0,0,IF(Summary!J$13="Yes",18*1000/9.81*Summary!C$13*Summary!C$14*Summary!C$15*Summary!C$16*Summary!J$14,0))</f>
        <v>0</v>
      </c>
      <c r="H193" s="181">
        <v>0</v>
      </c>
      <c r="I193" s="181">
        <f t="shared" si="20"/>
        <v>0</v>
      </c>
      <c r="J193" s="181">
        <v>0</v>
      </c>
      <c r="K193" s="181">
        <v>0</v>
      </c>
      <c r="L193" s="181">
        <v>0</v>
      </c>
      <c r="M193" s="181">
        <v>0</v>
      </c>
      <c r="N193" s="181">
        <f t="shared" si="21"/>
        <v>0</v>
      </c>
      <c r="O193" s="181">
        <f t="shared" si="22"/>
        <v>0</v>
      </c>
      <c r="P193" s="181">
        <v>0</v>
      </c>
    </row>
    <row r="194" spans="1:16">
      <c r="H194" s="185">
        <f>SUM(H166:H193)</f>
        <v>977.86290406040541</v>
      </c>
      <c r="I194" s="185">
        <f t="shared" ref="I194:P194" si="23">SUM(I166:I193)</f>
        <v>52.936746190221598</v>
      </c>
      <c r="J194" s="185">
        <f t="shared" si="23"/>
        <v>36.689532680096654</v>
      </c>
      <c r="K194" s="185">
        <f t="shared" si="23"/>
        <v>94.850677582314859</v>
      </c>
      <c r="L194" s="185">
        <f t="shared" si="23"/>
        <v>131.54021026241151</v>
      </c>
      <c r="M194" s="185">
        <f t="shared" si="23"/>
        <v>88.732882654160633</v>
      </c>
      <c r="N194" s="185">
        <f t="shared" si="23"/>
        <v>1077.7354439074511</v>
      </c>
      <c r="O194" s="185">
        <f t="shared" si="23"/>
        <v>1209.2756541698627</v>
      </c>
      <c r="P194" s="185">
        <f t="shared" si="23"/>
        <v>0</v>
      </c>
    </row>
    <row r="195" spans="1:16" ht="12.75" thickBot="1">
      <c r="B195" s="172"/>
      <c r="C195" s="172"/>
      <c r="D195" s="172"/>
      <c r="E195" s="172"/>
      <c r="F195" s="172"/>
      <c r="G195" s="173"/>
      <c r="H195" s="173"/>
      <c r="I195" s="173"/>
      <c r="J195" s="173"/>
      <c r="K195" s="173"/>
      <c r="L195" s="173"/>
      <c r="M195" s="174"/>
      <c r="N195" s="174"/>
      <c r="O195" s="174"/>
      <c r="P195" s="174"/>
    </row>
    <row r="196" spans="1:16"/>
    <row r="197" spans="1:16">
      <c r="H197" s="1311" t="s">
        <v>99</v>
      </c>
      <c r="I197" s="1311"/>
      <c r="J197" s="1311"/>
      <c r="K197" s="1311"/>
      <c r="L197" s="1311"/>
      <c r="M197" s="1311"/>
      <c r="N197" s="1311"/>
      <c r="O197" s="1311"/>
      <c r="P197" s="1311"/>
    </row>
    <row r="198" spans="1:16" ht="12.75" thickBot="1">
      <c r="B198" s="175" t="s">
        <v>22</v>
      </c>
      <c r="C198" s="175" t="s">
        <v>100</v>
      </c>
      <c r="D198" s="175" t="s">
        <v>101</v>
      </c>
      <c r="E198" s="175" t="s">
        <v>102</v>
      </c>
      <c r="F198" s="175" t="s">
        <v>103</v>
      </c>
      <c r="G198" s="72" t="s">
        <v>104</v>
      </c>
      <c r="H198" s="176" t="s">
        <v>105</v>
      </c>
      <c r="I198" s="176" t="s">
        <v>106</v>
      </c>
      <c r="J198" s="176" t="s">
        <v>107</v>
      </c>
      <c r="K198" s="176" t="s">
        <v>108</v>
      </c>
      <c r="L198" s="176" t="s">
        <v>109</v>
      </c>
      <c r="M198" s="176" t="s">
        <v>110</v>
      </c>
      <c r="N198" s="176" t="s">
        <v>111</v>
      </c>
      <c r="O198" s="176" t="s">
        <v>112</v>
      </c>
      <c r="P198" s="176" t="s">
        <v>113</v>
      </c>
    </row>
    <row r="199" spans="1:16">
      <c r="A199" s="148">
        <f>MIN(Pile!CN464,Database!E23)</f>
        <v>0.55800000000000005</v>
      </c>
      <c r="B199" s="150" t="str">
        <f>Database!D23</f>
        <v>Non-Composite Rolled Steel with PCC Planks</v>
      </c>
      <c r="C199" s="150" t="s">
        <v>114</v>
      </c>
      <c r="D199" s="150" t="s">
        <v>115</v>
      </c>
      <c r="E199" s="150" t="s">
        <v>116</v>
      </c>
      <c r="F199" s="150" t="str">
        <f>F6</f>
        <v>C32/40 - 25% GGBS</v>
      </c>
      <c r="G199" s="1301">
        <f>IF(A199=0,0,IF(Summary!J$8="No",Database!G23*Summary!C$13*Summary!C$14*Summary!C$15*Summary!C$16*Summary!C$17,Database!G23*Summary!C$13*Summary!C$14*Summary!C$15*Summary!C$16*(Summary!C$17-1)))</f>
        <v>763302.75229357777</v>
      </c>
      <c r="H199" s="178">
        <f>VLOOKUP($F199,'Carbon Factors'!$B$5:$L$41,2,FALSE)*'Material Quantities &amp; Embodied '!$G199/1000</f>
        <v>91.59633027522932</v>
      </c>
      <c r="I199" s="178">
        <f>VLOOKUP($F199,'Carbon Factors'!$B$5:$L$41,3,FALSE)*'Material Quantities &amp; Embodied '!$G199/1000</f>
        <v>3.8165137614678888</v>
      </c>
      <c r="J199" s="178">
        <f>VLOOKUP($F199,'Carbon Factors'!$B$5:$L$41,5,FALSE)*'Material Quantities &amp; Embodied '!$G199/1000</f>
        <v>3.8413211009174306</v>
      </c>
      <c r="K199" s="178">
        <f>VLOOKUP($F199,'Carbon Factors'!$B$5:$L$41,6,FALSE)*'Material Quantities &amp; Embodied '!$G199/1000</f>
        <v>9.9229357798165108</v>
      </c>
      <c r="L199" s="178">
        <f>VLOOKUP($F199,'Carbon Factors'!$B$5:$L$41,7,FALSE)*'Material Quantities &amp; Embodied '!$G199/1000</f>
        <v>13.76425688073394</v>
      </c>
      <c r="M199" s="178">
        <f>VLOOKUP($F199,'Carbon Factors'!$B$5:$L$41,8,FALSE)*'Material Quantities &amp; Embodied '!$G199/1000</f>
        <v>3.3585321100917422</v>
      </c>
      <c r="N199" s="178">
        <f>VLOOKUP($F199,'Carbon Factors'!$B$5:$L$41,9,FALSE)*'Material Quantities &amp; Embodied '!$G199/1000</f>
        <v>101.19923038532107</v>
      </c>
      <c r="O199" s="178">
        <f>VLOOKUP($F199,'Carbon Factors'!$B$5:$L$41,10,FALSE)*'Material Quantities &amp; Embodied '!$G199/1000</f>
        <v>114.96348726605501</v>
      </c>
      <c r="P199" s="178">
        <f>VLOOKUP($F199,'Carbon Factors'!$B$5:$L$41,11,FALSE)*'Material Quantities &amp; Embodied '!$G199/1000</f>
        <v>0</v>
      </c>
    </row>
    <row r="200" spans="1:16">
      <c r="E200" s="150" t="s">
        <v>141</v>
      </c>
      <c r="F200" s="150" t="s">
        <v>142</v>
      </c>
      <c r="G200" s="1301">
        <f>IF(A199=0,0,IF(Summary!J$8="No",Database!I23*Summary!C$13*Summary!C$14*Summary!C$15*Summary!C$16*Summary!C$17,Database!I23*Summary!C$13*Summary!C$14*Summary!C$15*Summary!C$16*(Summary!C$17-1)))</f>
        <v>1644036.6972477064</v>
      </c>
      <c r="H200" s="178">
        <f>VLOOKUP($F200,'Carbon Factors'!$B$5:$L$41,2,FALSE)*'Material Quantities &amp; Embodied '!$G200/1000</f>
        <v>272.91009174311927</v>
      </c>
      <c r="I200" s="178">
        <f>VLOOKUP($F200,'Carbon Factors'!$B$5:$L$41,3,FALSE)*'Material Quantities &amp; Embodied '!$G200/1000</f>
        <v>8.2201834862385308</v>
      </c>
      <c r="J200" s="178">
        <f>VLOOKUP($F200,'Carbon Factors'!$B$5:$L$41,5,FALSE)*'Material Quantities &amp; Embodied '!$G200/1000</f>
        <v>8.273614678899083</v>
      </c>
      <c r="K200" s="178">
        <f>VLOOKUP($F200,'Carbon Factors'!$B$5:$L$41,6,FALSE)*'Material Quantities &amp; Embodied '!$G200/1000</f>
        <v>21.372477064220181</v>
      </c>
      <c r="L200" s="178">
        <f>VLOOKUP($F200,'Carbon Factors'!$B$5:$L$41,7,FALSE)*'Material Quantities &amp; Embodied '!$G200/1000</f>
        <v>29.646091743119264</v>
      </c>
      <c r="M200" s="178">
        <f>VLOOKUP($F200,'Carbon Factors'!$B$5:$L$41,8,FALSE)*'Material Quantities &amp; Embodied '!$G200/1000</f>
        <v>7.2337614678899085</v>
      </c>
      <c r="N200" s="178">
        <f>VLOOKUP($F200,'Carbon Factors'!$B$5:$L$41,9,FALSE)*'Material Quantities &amp; Embodied '!$G200/1000</f>
        <v>284.2380388990826</v>
      </c>
      <c r="O200" s="178">
        <f>VLOOKUP($F200,'Carbon Factors'!$B$5:$L$41,10,FALSE)*'Material Quantities &amp; Embodied '!$G200/1000</f>
        <v>313.88413064220185</v>
      </c>
      <c r="P200" s="178">
        <f>VLOOKUP($F200,'Carbon Factors'!$B$5:$L$41,11,FALSE)*'Material Quantities &amp; Embodied '!$G200/1000</f>
        <v>0</v>
      </c>
    </row>
    <row r="201" spans="1:16">
      <c r="E201" s="150" t="s">
        <v>143</v>
      </c>
      <c r="F201" s="150" t="str">
        <f>IF(Summary!F$10="Basic Oxygen Furnace","Steel - Structural_sections - UK open sections","Steel - Structural_sections - Europe avg EPD")</f>
        <v>Steel - Structural_sections - Europe avg EPD</v>
      </c>
      <c r="G201" s="1301">
        <f>IF(A199=0,0,IF(Summary!J$8="No",Database!J23*1.1*Summary!C$13*Summary!C$14*Summary!C$15*Summary!C$16*Summary!C$17,Database!J23*Summary!C$13*Summary!C$14*Summary!C$15*Summary!C$16*(Summary!C$17-1)))</f>
        <v>101059.20000000001</v>
      </c>
      <c r="H201" s="178">
        <f>VLOOKUP($F201,'Carbon Factors'!$B$5:$L$41,2,FALSE)*'Material Quantities &amp; Embodied '!$G201/1000</f>
        <v>114.19689600000001</v>
      </c>
      <c r="I201" s="178">
        <f>VLOOKUP($F201,'Carbon Factors'!$B$5:$L$41,3,FALSE)*'Material Quantities &amp; Embodied '!$G201/1000</f>
        <v>16.169472000000003</v>
      </c>
      <c r="J201" s="178">
        <f>VLOOKUP($F201,'Carbon Factors'!$B$5:$L$41,5,FALSE)*'Material Quantities &amp; Embodied '!$G201/1000</f>
        <v>0.50660976960000004</v>
      </c>
      <c r="K201" s="178">
        <f>VLOOKUP($F201,'Carbon Factors'!$B$5:$L$41,6,FALSE)*'Material Quantities &amp; Embodied '!$G201/1000</f>
        <v>1.3137696000000001</v>
      </c>
      <c r="L201" s="178">
        <f>VLOOKUP($F201,'Carbon Factors'!$B$5:$L$41,7,FALSE)*'Material Quantities &amp; Embodied '!$G201/1000</f>
        <v>1.8203793695999999</v>
      </c>
      <c r="M201" s="178">
        <f>VLOOKUP($F201,'Carbon Factors'!$B$5:$L$41,8,FALSE)*'Material Quantities &amp; Embodied '!$G201/1000</f>
        <v>-41.737449599999998</v>
      </c>
      <c r="N201" s="178">
        <f>VLOOKUP($F201,'Carbon Factors'!$B$5:$L$41,9,FALSE)*'Material Quantities &amp; Embodied '!$G201/1000</f>
        <v>131.68823547369601</v>
      </c>
      <c r="O201" s="178">
        <f>VLOOKUP($F201,'Carbon Factors'!$B$5:$L$41,10,FALSE)*'Material Quantities &amp; Embodied '!$G201/1000</f>
        <v>133.50861484329599</v>
      </c>
      <c r="P201" s="178">
        <f>VLOOKUP($F201,'Carbon Factors'!$B$5:$L$41,11,FALSE)*'Material Quantities &amp; Embodied '!$G201/1000</f>
        <v>0</v>
      </c>
    </row>
    <row r="202" spans="1:16">
      <c r="D202" s="150" t="s">
        <v>119</v>
      </c>
      <c r="E202" s="150" t="s">
        <v>143</v>
      </c>
      <c r="F202" s="150" t="str">
        <f>IF(Summary!F$10="Basic Oxygen Furnace","Steel - Structural_sections - UK open sections","Steel - Structural_sections - Europe avg EPD")</f>
        <v>Steel - Structural_sections - Europe avg EPD</v>
      </c>
      <c r="G202" s="1301">
        <f>IF(A199=0,0,'Steel Column'!K58*1.1*1000)</f>
        <v>40162.320000000007</v>
      </c>
      <c r="H202" s="178">
        <f>VLOOKUP($F202,'Carbon Factors'!$B$5:$L$41,2,FALSE)*'Material Quantities &amp; Embodied '!$G202/1000</f>
        <v>45.383421599999998</v>
      </c>
      <c r="I202" s="178">
        <f>VLOOKUP($F202,'Carbon Factors'!$B$5:$L$41,3,FALSE)*'Material Quantities &amp; Embodied '!$G202/1000</f>
        <v>6.4259712000000011</v>
      </c>
      <c r="J202" s="178">
        <f>VLOOKUP($F202,'Carbon Factors'!$B$5:$L$41,5,FALSE)*'Material Quantities &amp; Embodied '!$G202/1000</f>
        <v>0.20133371016000001</v>
      </c>
      <c r="K202" s="178">
        <f>VLOOKUP($F202,'Carbon Factors'!$B$5:$L$41,6,FALSE)*'Material Quantities &amp; Embodied '!$G202/1000</f>
        <v>0.5221101600000001</v>
      </c>
      <c r="L202" s="178">
        <f>VLOOKUP($F202,'Carbon Factors'!$B$5:$L$41,7,FALSE)*'Material Quantities &amp; Embodied '!$G202/1000</f>
        <v>0.72344387016000011</v>
      </c>
      <c r="M202" s="178">
        <f>VLOOKUP($F202,'Carbon Factors'!$B$5:$L$41,8,FALSE)*'Material Quantities &amp; Embodied '!$G202/1000</f>
        <v>-16.587038160000002</v>
      </c>
      <c r="N202" s="178">
        <f>VLOOKUP($F202,'Carbon Factors'!$B$5:$L$41,9,FALSE)*'Material Quantities &amp; Embodied '!$G202/1000</f>
        <v>52.334721166701598</v>
      </c>
      <c r="O202" s="178">
        <f>VLOOKUP($F202,'Carbon Factors'!$B$5:$L$41,10,FALSE)*'Material Quantities &amp; Embodied '!$G202/1000</f>
        <v>53.058165036861595</v>
      </c>
      <c r="P202" s="178">
        <f>VLOOKUP($F202,'Carbon Factors'!$B$5:$L$41,11,FALSE)*'Material Quantities &amp; Embodied '!$G202/1000</f>
        <v>0</v>
      </c>
    </row>
    <row r="203" spans="1:16">
      <c r="D203" s="150" t="s">
        <v>120</v>
      </c>
      <c r="E203" s="150" t="s">
        <v>121</v>
      </c>
      <c r="F203" s="150" t="str">
        <f>F6</f>
        <v>C32/40 - 25% GGBS</v>
      </c>
      <c r="G203" s="1301">
        <f>IF(A199=0,0,SUM('Shear Walls'!AM84,'Shear Walls'!AM118))</f>
        <v>46478.013798165135</v>
      </c>
      <c r="H203" s="178">
        <f>VLOOKUP($F203,'Carbon Factors'!$B$5:$L$41,2,FALSE)*'Material Quantities &amp; Embodied '!$G203/1000</f>
        <v>5.577361655779816</v>
      </c>
      <c r="I203" s="178">
        <f>VLOOKUP($F203,'Carbon Factors'!$B$5:$L$41,3,FALSE)*'Material Quantities &amp; Embodied '!$G203/1000</f>
        <v>0.23239006899082568</v>
      </c>
      <c r="J203" s="178">
        <f>VLOOKUP($F203,'Carbon Factors'!$B$5:$L$41,5,FALSE)*'Material Quantities &amp; Embodied '!$G203/1000</f>
        <v>0.23390060443926605</v>
      </c>
      <c r="K203" s="178">
        <f>VLOOKUP($F203,'Carbon Factors'!$B$5:$L$41,6,FALSE)*'Material Quantities &amp; Embodied '!$G203/1000</f>
        <v>0.60421417937614674</v>
      </c>
      <c r="L203" s="178">
        <f>VLOOKUP($F203,'Carbon Factors'!$B$5:$L$41,7,FALSE)*'Material Quantities &amp; Embodied '!$G203/1000</f>
        <v>0.83811478381541282</v>
      </c>
      <c r="M203" s="178">
        <f>VLOOKUP($F203,'Carbon Factors'!$B$5:$L$41,8,FALSE)*'Material Quantities &amp; Embodied '!$G203/1000</f>
        <v>0.20450326071192659</v>
      </c>
      <c r="N203" s="178">
        <f>VLOOKUP($F203,'Carbon Factors'!$B$5:$L$41,9,FALSE)*'Material Quantities &amp; Embodied '!$G203/1000</f>
        <v>6.1620886497257024</v>
      </c>
      <c r="O203" s="178">
        <f>VLOOKUP($F203,'Carbon Factors'!$B$5:$L$41,10,FALSE)*'Material Quantities &amp; Embodied '!$G203/1000</f>
        <v>7.000203433541115</v>
      </c>
      <c r="P203" s="178">
        <f>VLOOKUP($F203,'Carbon Factors'!$B$5:$L$41,11,FALSE)*'Material Quantities &amp; Embodied '!$G203/1000</f>
        <v>0</v>
      </c>
    </row>
    <row r="204" spans="1:16">
      <c r="E204" s="150" t="s">
        <v>117</v>
      </c>
      <c r="F204" s="150" t="s">
        <v>118</v>
      </c>
      <c r="G204" s="1301">
        <f>IF(A199=0,0,SUM('Shear Walls'!AM85,'Shear Walls'!AM119))</f>
        <v>1460.7004686731748</v>
      </c>
      <c r="H204" s="178">
        <f>VLOOKUP($F204,'Carbon Factors'!$B$5:$L$41,2,FALSE)*'Material Quantities &amp; Embodied '!$G204/1000</f>
        <v>1.1101323561916128</v>
      </c>
      <c r="I204" s="178">
        <f>VLOOKUP($F204,'Carbon Factors'!$B$5:$L$41,3,FALSE)*'Material Quantities &amp; Embodied '!$G204/1000</f>
        <v>4.6742414997541594E-2</v>
      </c>
      <c r="J204" s="178">
        <f>VLOOKUP($F204,'Carbon Factors'!$B$5:$L$41,5,FALSE)*'Material Quantities &amp; Embodied '!$G204/1000</f>
        <v>7.3509751085977532E-3</v>
      </c>
      <c r="K204" s="178">
        <f>VLOOKUP($F204,'Carbon Factors'!$B$5:$L$41,6,FALSE)*'Material Quantities &amp; Embodied '!$G204/1000</f>
        <v>1.8989106092751271E-2</v>
      </c>
      <c r="L204" s="178">
        <f>VLOOKUP($F204,'Carbon Factors'!$B$5:$L$41,7,FALSE)*'Material Quantities &amp; Embodied '!$G204/1000</f>
        <v>2.6340081201349022E-2</v>
      </c>
      <c r="M204" s="178">
        <f>VLOOKUP($F204,'Carbon Factors'!$B$5:$L$41,8,FALSE)*'Material Quantities &amp; Embodied '!$G204/1000</f>
        <v>0.51270586450428435</v>
      </c>
      <c r="N204" s="178">
        <f>VLOOKUP($F204,'Carbon Factors'!$B$5:$L$41,9,FALSE)*'Material Quantities &amp; Embodied '!$G204/1000</f>
        <v>1.2195851583658512</v>
      </c>
      <c r="O204" s="178">
        <f>VLOOKUP($F204,'Carbon Factors'!$B$5:$L$41,10,FALSE)*'Material Quantities &amp; Embodied '!$G204/1000</f>
        <v>1.2459252395672002</v>
      </c>
      <c r="P204" s="178">
        <f>VLOOKUP($F204,'Carbon Factors'!$B$5:$L$41,11,FALSE)*'Material Quantities &amp; Embodied '!$G204/1000</f>
        <v>0</v>
      </c>
    </row>
    <row r="205" spans="1:16">
      <c r="D205" s="150" t="s">
        <v>122</v>
      </c>
      <c r="E205" s="150" t="s">
        <v>116</v>
      </c>
      <c r="F205" s="150" t="str">
        <f>Summary!F$9</f>
        <v>C32/40 - 25% GGBS</v>
      </c>
      <c r="G205" s="1301">
        <f>IF(A199=0,0,IF(Summary!J$8="Yes",Summary!C$13*Summary!C$14*Summary!C$15*Summary!C$16*Summary!J$9*24*1000/9.81,0))</f>
        <v>0</v>
      </c>
      <c r="H205" s="178">
        <f>VLOOKUP($F205,'Carbon Factors'!$B$5:$L$41,2,FALSE)*'Material Quantities &amp; Embodied '!$G205/1000</f>
        <v>0</v>
      </c>
      <c r="I205" s="178">
        <f>VLOOKUP($F205,'Carbon Factors'!$B$5:$L$41,3,FALSE)*'Material Quantities &amp; Embodied '!$G205/1000</f>
        <v>0</v>
      </c>
      <c r="J205" s="178">
        <f>VLOOKUP($F205,'Carbon Factors'!$B$5:$L$41,5,FALSE)*'Material Quantities &amp; Embodied '!$G205/1000</f>
        <v>0</v>
      </c>
      <c r="K205" s="178">
        <f>VLOOKUP($F205,'Carbon Factors'!$B$5:$L$41,6,FALSE)*'Material Quantities &amp; Embodied '!$G205/1000</f>
        <v>0</v>
      </c>
      <c r="L205" s="178">
        <f>VLOOKUP($F205,'Carbon Factors'!$B$5:$L$41,7,FALSE)*'Material Quantities &amp; Embodied '!$G205/1000</f>
        <v>0</v>
      </c>
      <c r="M205" s="178">
        <f>VLOOKUP($F205,'Carbon Factors'!$B$5:$L$41,8,FALSE)*'Material Quantities &amp; Embodied '!$G205/1000</f>
        <v>0</v>
      </c>
      <c r="N205" s="178">
        <f>VLOOKUP($F205,'Carbon Factors'!$B$5:$L$41,9,FALSE)*'Material Quantities &amp; Embodied '!$G205/1000</f>
        <v>0</v>
      </c>
      <c r="O205" s="178">
        <f>VLOOKUP($F205,'Carbon Factors'!$B$5:$L$41,10,FALSE)*'Material Quantities &amp; Embodied '!$G205/1000</f>
        <v>0</v>
      </c>
      <c r="P205" s="178">
        <f>VLOOKUP($F205,'Carbon Factors'!$B$5:$L$41,11,FALSE)*'Material Quantities &amp; Embodied '!$G205/1000</f>
        <v>0</v>
      </c>
    </row>
    <row r="206" spans="1:16">
      <c r="E206" s="150" t="s">
        <v>117</v>
      </c>
      <c r="F206" s="150" t="s">
        <v>118</v>
      </c>
      <c r="G206" s="1301">
        <f>IF(A199=0,0,IF(Summary!J$8="Yes",Summary!C$13*Summary!C$14*Summary!C$15*Summary!C$16*Summary!J$9*Summary!J$10,0))</f>
        <v>0</v>
      </c>
      <c r="H206" s="178">
        <f>VLOOKUP($F206,'Carbon Factors'!$B$5:$L$41,2,FALSE)*'Material Quantities &amp; Embodied '!$G206/1000</f>
        <v>0</v>
      </c>
      <c r="I206" s="178">
        <f>VLOOKUP($F206,'Carbon Factors'!$B$5:$L$41,3,FALSE)*'Material Quantities &amp; Embodied '!$G206/1000</f>
        <v>0</v>
      </c>
      <c r="J206" s="178">
        <f>VLOOKUP($F206,'Carbon Factors'!$B$5:$L$41,5,FALSE)*'Material Quantities &amp; Embodied '!$G206/1000</f>
        <v>0</v>
      </c>
      <c r="K206" s="178">
        <f>VLOOKUP($F206,'Carbon Factors'!$B$5:$L$41,6,FALSE)*'Material Quantities &amp; Embodied '!$G206/1000</f>
        <v>0</v>
      </c>
      <c r="L206" s="178">
        <f>VLOOKUP($F206,'Carbon Factors'!$B$5:$L$41,7,FALSE)*'Material Quantities &amp; Embodied '!$G206/1000</f>
        <v>0</v>
      </c>
      <c r="M206" s="178">
        <f>VLOOKUP($F206,'Carbon Factors'!$B$5:$L$41,8,FALSE)*'Material Quantities &amp; Embodied '!$G206/1000</f>
        <v>0</v>
      </c>
      <c r="N206" s="178">
        <f>VLOOKUP($F206,'Carbon Factors'!$B$5:$L$41,9,FALSE)*'Material Quantities &amp; Embodied '!$G206/1000</f>
        <v>0</v>
      </c>
      <c r="O206" s="178">
        <f>VLOOKUP($F206,'Carbon Factors'!$B$5:$L$41,10,FALSE)*'Material Quantities &amp; Embodied '!$G206/1000</f>
        <v>0</v>
      </c>
      <c r="P206" s="178">
        <f>VLOOKUP($F206,'Carbon Factors'!$B$5:$L$41,11,FALSE)*'Material Quantities &amp; Embodied '!$G206/1000</f>
        <v>0</v>
      </c>
    </row>
    <row r="207" spans="1:16">
      <c r="C207" s="179"/>
      <c r="D207" s="179" t="s">
        <v>144</v>
      </c>
      <c r="E207" s="179" t="s">
        <v>145</v>
      </c>
      <c r="F207" s="179" t="s">
        <v>146</v>
      </c>
      <c r="G207" s="1302">
        <f>Intumescent!N4</f>
        <v>3707.2570080000005</v>
      </c>
      <c r="H207" s="181">
        <f>VLOOKUP($F207,'Carbon Factors'!$B$5:$L$41,2,FALSE)*'Material Quantities &amp; Embodied '!$G207/1000</f>
        <v>8.5637636884800017</v>
      </c>
      <c r="I207" s="181">
        <f>VLOOKUP($F207,'Carbon Factors'!$B$5:$L$41,3,FALSE)*'Material Quantities &amp; Embodied '!$G207/1000</f>
        <v>0.59316112128000009</v>
      </c>
      <c r="J207" s="181">
        <f>VLOOKUP($F207,'Carbon Factors'!$B$5:$L$41,5,FALSE)*'Material Quantities &amp; Embodied '!$G207/1000</f>
        <v>1.8656770892760004E-2</v>
      </c>
      <c r="K207" s="181">
        <f>VLOOKUP($F207,'Carbon Factors'!$B$5:$L$41,6,FALSE)*'Material Quantities &amp; Embodied '!$G207/1000</f>
        <v>4.8194341104000005E-2</v>
      </c>
      <c r="L207" s="181">
        <f>VLOOKUP($F207,'Carbon Factors'!$B$5:$L$41,7,FALSE)*'Material Quantities &amp; Embodied '!$G207/1000</f>
        <v>6.6851111996760013E-2</v>
      </c>
      <c r="M207" s="181">
        <f>VLOOKUP($F207,'Carbon Factors'!$B$5:$L$41,8,FALSE)*'Material Quantities &amp; Embodied '!$G207/1000</f>
        <v>0</v>
      </c>
      <c r="N207" s="181">
        <f>VLOOKUP($F207,'Carbon Factors'!$B$5:$L$41,9,FALSE)*'Material Quantities &amp; Embodied '!$G207/1000</f>
        <v>9.6457849336131112</v>
      </c>
      <c r="O207" s="181">
        <f>VLOOKUP($F207,'Carbon Factors'!$B$5:$L$41,10,FALSE)*'Material Quantities &amp; Embodied '!$G207/1000</f>
        <v>9.7126360456098695</v>
      </c>
      <c r="P207" s="181">
        <f>VLOOKUP($F207,'Carbon Factors'!$B$5:$L$41,11,FALSE)*'Material Quantities &amp; Embodied '!$G207/1000</f>
        <v>0</v>
      </c>
    </row>
    <row r="208" spans="1:16">
      <c r="C208" s="150" t="s">
        <v>123</v>
      </c>
      <c r="D208" s="150" t="s">
        <v>124</v>
      </c>
      <c r="E208" s="150" t="s">
        <v>116</v>
      </c>
      <c r="F208" s="150" t="str">
        <f>F6</f>
        <v>C32/40 - 25% GGBS</v>
      </c>
      <c r="G208" s="1301">
        <f>IF(A199=0,0,IF(Summary!J13="No",(480*Summary!C13*Summary!C14*Summary!C15*Summary!C16),(Basement!C11*Summary!C13*Summary!C14*Summary!C15*Summary!C16)))</f>
        <v>1382400</v>
      </c>
      <c r="H208" s="178">
        <f>VLOOKUP($F208,'Carbon Factors'!$B$5:$L$41,2,FALSE)*'Material Quantities &amp; Embodied '!$G208/1000</f>
        <v>165.88800000000001</v>
      </c>
      <c r="I208" s="178">
        <f>VLOOKUP($F208,'Carbon Factors'!$B$5:$L$41,3,FALSE)*'Material Quantities &amp; Embodied '!$G208/1000</f>
        <v>6.9119999999999999</v>
      </c>
      <c r="J208" s="178">
        <f>VLOOKUP($F208,'Carbon Factors'!$B$5:$L$41,5,FALSE)*'Material Quantities &amp; Embodied '!$G208/1000</f>
        <v>6.9569280000000004</v>
      </c>
      <c r="K208" s="178">
        <f>VLOOKUP($F208,'Carbon Factors'!$B$5:$L$41,6,FALSE)*'Material Quantities &amp; Embodied '!$G208/1000</f>
        <v>17.9712</v>
      </c>
      <c r="L208" s="178">
        <f>VLOOKUP($F208,'Carbon Factors'!$B$5:$L$41,7,FALSE)*'Material Quantities &amp; Embodied '!$G208/1000</f>
        <v>24.928128000000001</v>
      </c>
      <c r="M208" s="178">
        <f>VLOOKUP($F208,'Carbon Factors'!$B$5:$L$41,8,FALSE)*'Material Quantities &amp; Embodied '!$G208/1000</f>
        <v>6.08256</v>
      </c>
      <c r="N208" s="178">
        <f>VLOOKUP($F208,'Carbon Factors'!$B$5:$L$41,9,FALSE)*'Material Quantities &amp; Embodied '!$G208/1000</f>
        <v>183.27959078399999</v>
      </c>
      <c r="O208" s="178">
        <f>VLOOKUP($F208,'Carbon Factors'!$B$5:$L$41,10,FALSE)*'Material Quantities &amp; Embodied '!$G208/1000</f>
        <v>208.20771878400001</v>
      </c>
      <c r="P208" s="178">
        <f>VLOOKUP($F208,'Carbon Factors'!$B$5:$L$41,11,FALSE)*'Material Quantities &amp; Embodied '!$G208/1000</f>
        <v>0</v>
      </c>
    </row>
    <row r="209" spans="4:16">
      <c r="E209" s="150" t="s">
        <v>117</v>
      </c>
      <c r="F209" s="150" t="s">
        <v>118</v>
      </c>
      <c r="G209" s="1301">
        <f>IF(A199=0,0,IF(Summary!J13="No",(12*Summary!C13*Summary!C14*Summary!C15*Summary!C16),(Basement!C10*Summary!C13*Summary!C14*Summary!C15*Summary!C16)))</f>
        <v>34560</v>
      </c>
      <c r="H209" s="178">
        <f>VLOOKUP($F209,'Carbon Factors'!$B$5:$L$41,2,FALSE)*'Material Quantities &amp; Embodied '!$G209/1000</f>
        <v>26.265599999999999</v>
      </c>
      <c r="I209" s="178">
        <f>VLOOKUP($F209,'Carbon Factors'!$B$5:$L$41,3,FALSE)*'Material Quantities &amp; Embodied '!$G209/1000</f>
        <v>1.10592</v>
      </c>
      <c r="J209" s="178">
        <f>VLOOKUP($F209,'Carbon Factors'!$B$5:$L$41,5,FALSE)*'Material Quantities &amp; Embodied '!$G209/1000</f>
        <v>0.1739232</v>
      </c>
      <c r="K209" s="178">
        <f>VLOOKUP($F209,'Carbon Factors'!$B$5:$L$41,6,FALSE)*'Material Quantities &amp; Embodied '!$G209/1000</f>
        <v>0.44927999999999996</v>
      </c>
      <c r="L209" s="178">
        <f>VLOOKUP($F209,'Carbon Factors'!$B$5:$L$41,7,FALSE)*'Material Quantities &amp; Embodied '!$G209/1000</f>
        <v>0.62320320000000007</v>
      </c>
      <c r="M209" s="178">
        <f>VLOOKUP($F209,'Carbon Factors'!$B$5:$L$41,8,FALSE)*'Material Quantities &amp; Embodied '!$G209/1000</f>
        <v>12.130559999999999</v>
      </c>
      <c r="N209" s="178">
        <f>VLOOKUP($F209,'Carbon Factors'!$B$5:$L$41,9,FALSE)*'Material Quantities &amp; Embodied '!$G209/1000</f>
        <v>28.855240329600001</v>
      </c>
      <c r="O209" s="178">
        <f>VLOOKUP($F209,'Carbon Factors'!$B$5:$L$41,10,FALSE)*'Material Quantities &amp; Embodied '!$G209/1000</f>
        <v>29.4784435296</v>
      </c>
      <c r="P209" s="178">
        <f>VLOOKUP($F209,'Carbon Factors'!$B$5:$L$41,11,FALSE)*'Material Quantities &amp; Embodied '!$G209/1000</f>
        <v>0</v>
      </c>
    </row>
    <row r="210" spans="4:16">
      <c r="D210" s="150" t="s">
        <v>126</v>
      </c>
      <c r="E210" s="150" t="s">
        <v>116</v>
      </c>
      <c r="F210" s="150" t="s">
        <v>127</v>
      </c>
      <c r="G210" s="1301">
        <f>IF(A199=0,0,Summary!C13*Summary!C14*Summary!C15*Summary!C16*0.05*24*1000/9.81)</f>
        <v>352293.57798165135</v>
      </c>
      <c r="H210" s="178">
        <f>VLOOKUP($F210,'Carbon Factors'!$B$5:$L$41,2,FALSE)*'Material Quantities &amp; Embodied '!$G210/1000</f>
        <v>52.491743119266054</v>
      </c>
      <c r="I210" s="178">
        <f>VLOOKUP($F210,'Carbon Factors'!$B$5:$L$41,3,FALSE)*'Material Quantities &amp; Embodied '!$G210/1000</f>
        <v>1.761467889908257</v>
      </c>
      <c r="J210" s="178">
        <f>VLOOKUP($F210,'Carbon Factors'!$B$5:$L$41,5,FALSE)*'Material Quantities &amp; Embodied '!$G210/1000</f>
        <v>1.7729174311926605</v>
      </c>
      <c r="K210" s="178">
        <f>VLOOKUP($F210,'Carbon Factors'!$B$5:$L$41,6,FALSE)*'Material Quantities &amp; Embodied '!$G210/1000</f>
        <v>4.5798165137614681</v>
      </c>
      <c r="L210" s="178">
        <f>VLOOKUP($F210,'Carbon Factors'!$B$5:$L$41,7,FALSE)*'Material Quantities &amp; Embodied '!$G210/1000</f>
        <v>6.352733944954128</v>
      </c>
      <c r="M210" s="178">
        <f>VLOOKUP($F210,'Carbon Factors'!$B$5:$L$41,8,FALSE)*'Material Quantities &amp; Embodied '!$G210/1000</f>
        <v>1.550091743119266</v>
      </c>
      <c r="N210" s="178">
        <f>VLOOKUP($F210,'Carbon Factors'!$B$5:$L$41,9,FALSE)*'Material Quantities &amp; Embodied '!$G210/1000</f>
        <v>57.465326091743115</v>
      </c>
      <c r="O210" s="178">
        <f>VLOOKUP($F210,'Carbon Factors'!$B$5:$L$41,10,FALSE)*'Material Quantities &amp; Embodied '!$G210/1000</f>
        <v>63.818060036697247</v>
      </c>
      <c r="P210" s="178">
        <f>VLOOKUP($F210,'Carbon Factors'!$B$5:$L$41,11,FALSE)*'Material Quantities &amp; Embodied '!$G210/1000</f>
        <v>0</v>
      </c>
    </row>
    <row r="211" spans="4:16">
      <c r="D211" s="150" t="s">
        <v>128</v>
      </c>
      <c r="E211" s="150" t="s">
        <v>129</v>
      </c>
      <c r="F211" s="150" t="s">
        <v>130</v>
      </c>
      <c r="G211" s="1301">
        <f>IF(A199=0,0,Summary!C13*Summary!C14*Summary!C15*Summary!C16*0.15*20*1000/9.81)</f>
        <v>880733.94495412835</v>
      </c>
      <c r="H211" s="178">
        <f>VLOOKUP($F211,'Carbon Factors'!$B$5:$L$41,2,FALSE)*'Material Quantities &amp; Embodied '!$G211/1000</f>
        <v>6.5790825688073395</v>
      </c>
      <c r="I211" s="178">
        <f>VLOOKUP($F211,'Carbon Factors'!$B$5:$L$41,3,FALSE)*'Material Quantities &amp; Embodied '!$G211/1000</f>
        <v>4.4036697247706416</v>
      </c>
      <c r="J211" s="178">
        <f>VLOOKUP($F211,'Carbon Factors'!$B$5:$L$41,5,FALSE)*'Material Quantities &amp; Embodied '!$G211/1000</f>
        <v>4.4036697247706416</v>
      </c>
      <c r="K211" s="178">
        <f>VLOOKUP($F211,'Carbon Factors'!$B$5:$L$41,6,FALSE)*'Material Quantities &amp; Embodied '!$G211/1000</f>
        <v>11.449541284403667</v>
      </c>
      <c r="L211" s="178">
        <f>VLOOKUP($F211,'Carbon Factors'!$B$5:$L$41,7,FALSE)*'Material Quantities &amp; Embodied '!$G211/1000</f>
        <v>15.853211009174309</v>
      </c>
      <c r="M211" s="178">
        <f>VLOOKUP($F211,'Carbon Factors'!$B$5:$L$41,8,FALSE)*'Material Quantities &amp; Embodied '!$G211/1000</f>
        <v>0</v>
      </c>
      <c r="N211" s="178">
        <f>VLOOKUP($F211,'Carbon Factors'!$B$5:$L$41,9,FALSE)*'Material Quantities &amp; Embodied '!$G211/1000</f>
        <v>12.405058348623852</v>
      </c>
      <c r="O211" s="178">
        <f>VLOOKUP($F211,'Carbon Factors'!$B$5:$L$41,10,FALSE)*'Material Quantities &amp; Embodied '!$G211/1000</f>
        <v>28.258269357798163</v>
      </c>
      <c r="P211" s="178">
        <f>VLOOKUP($F211,'Carbon Factors'!$B$5:$L$41,11,FALSE)*'Material Quantities &amp; Embodied '!$G211/1000</f>
        <v>0</v>
      </c>
    </row>
    <row r="212" spans="4:16">
      <c r="D212" s="150" t="s">
        <v>131</v>
      </c>
      <c r="E212" s="150" t="s">
        <v>116</v>
      </c>
      <c r="F212" s="150" t="str">
        <f>F6</f>
        <v>C32/40 - 25% GGBS</v>
      </c>
      <c r="G212" s="1301">
        <f>IF(A199=0,0,Pile!CN468*24*1000/9.81)</f>
        <v>585979.08477187215</v>
      </c>
      <c r="H212" s="178">
        <f>VLOOKUP($F212,'Carbon Factors'!$B$5:$L$41,2,FALSE)*'Material Quantities &amp; Embodied '!$G212/1000</f>
        <v>70.317490172624659</v>
      </c>
      <c r="I212" s="178">
        <f>VLOOKUP($F212,'Carbon Factors'!$B$5:$L$41,3,FALSE)*'Material Quantities &amp; Embodied '!$G212/1000</f>
        <v>2.9298954238593611</v>
      </c>
      <c r="J212" s="178">
        <f>VLOOKUP($F212,'Carbon Factors'!$B$5:$L$41,5,FALSE)*'Material Quantities &amp; Embodied '!$G212/1000</f>
        <v>2.9489397441144471</v>
      </c>
      <c r="K212" s="178">
        <f>VLOOKUP($F212,'Carbon Factors'!$B$5:$L$41,6,FALSE)*'Material Quantities &amp; Embodied '!$G212/1000</f>
        <v>7.6177281020343379</v>
      </c>
      <c r="L212" s="178">
        <f>VLOOKUP($F212,'Carbon Factors'!$B$5:$L$41,7,FALSE)*'Material Quantities &amp; Embodied '!$G212/1000</f>
        <v>10.566667846148784</v>
      </c>
      <c r="M212" s="178">
        <f>VLOOKUP($F212,'Carbon Factors'!$B$5:$L$41,8,FALSE)*'Material Quantities &amp; Embodied '!$G212/1000</f>
        <v>2.5783079729962379</v>
      </c>
      <c r="N212" s="178">
        <f>VLOOKUP($F212,'Carbon Factors'!$B$5:$L$41,9,FALSE)*'Material Quantities &amp; Embodied '!$G212/1000</f>
        <v>77.689530428943556</v>
      </c>
      <c r="O212" s="178">
        <f>VLOOKUP($F212,'Carbon Factors'!$B$5:$L$41,10,FALSE)*'Material Quantities &amp; Embodied '!$G212/1000</f>
        <v>88.256198275092345</v>
      </c>
      <c r="P212" s="178">
        <f>VLOOKUP($F212,'Carbon Factors'!$B$5:$L$41,11,FALSE)*'Material Quantities &amp; Embodied '!$G212/1000</f>
        <v>0</v>
      </c>
    </row>
    <row r="213" spans="4:16">
      <c r="E213" s="150" t="s">
        <v>117</v>
      </c>
      <c r="F213" s="150" t="s">
        <v>118</v>
      </c>
      <c r="G213" s="1301">
        <f>IF(A199=0,0,Pile!CN474*1000)</f>
        <v>22811.924159999991</v>
      </c>
      <c r="H213" s="178">
        <f>VLOOKUP($F213,'Carbon Factors'!$B$5:$L$41,2,FALSE)*'Material Quantities &amp; Embodied '!$G213/1000</f>
        <v>17.337062361599994</v>
      </c>
      <c r="I213" s="178">
        <f>VLOOKUP($F213,'Carbon Factors'!$B$5:$L$41,3,FALSE)*'Material Quantities &amp; Embodied '!$G213/1000</f>
        <v>0.72998157311999978</v>
      </c>
      <c r="J213" s="178">
        <f>VLOOKUP($F213,'Carbon Factors'!$B$5:$L$41,5,FALSE)*'Material Quantities &amp; Embodied '!$G213/1000</f>
        <v>0.11480100833519996</v>
      </c>
      <c r="K213" s="178">
        <f>VLOOKUP($F213,'Carbon Factors'!$B$5:$L$41,6,FALSE)*'Material Quantities &amp; Embodied '!$G213/1000</f>
        <v>0.29655501407999985</v>
      </c>
      <c r="L213" s="178">
        <f>VLOOKUP($F213,'Carbon Factors'!$B$5:$L$41,7,FALSE)*'Material Quantities &amp; Embodied '!$G213/1000</f>
        <v>0.41135602241519986</v>
      </c>
      <c r="M213" s="178">
        <f>VLOOKUP($F213,'Carbon Factors'!$B$5:$L$41,8,FALSE)*'Material Quantities &amp; Embodied '!$G213/1000</f>
        <v>8.0069853801599962</v>
      </c>
      <c r="N213" s="178">
        <f>VLOOKUP($F213,'Carbon Factors'!$B$5:$L$41,9,FALSE)*'Material Quantities &amp; Embodied '!$G213/1000</f>
        <v>19.046399132448158</v>
      </c>
      <c r="O213" s="178">
        <f>VLOOKUP($F213,'Carbon Factors'!$B$5:$L$41,10,FALSE)*'Material Quantities &amp; Embodied '!$G213/1000</f>
        <v>19.45775515486336</v>
      </c>
      <c r="P213" s="178">
        <f>VLOOKUP($F213,'Carbon Factors'!$B$5:$L$41,11,FALSE)*'Material Quantities &amp; Embodied '!$G213/1000</f>
        <v>0</v>
      </c>
    </row>
    <row r="214" spans="4:16">
      <c r="D214" s="150" t="s">
        <v>132</v>
      </c>
      <c r="E214" s="150" t="s">
        <v>116</v>
      </c>
      <c r="F214" s="150" t="str">
        <f>F6</f>
        <v>C32/40 - 25% GGBS</v>
      </c>
      <c r="G214" s="1301">
        <f>IF(A199=0,0,Pile!CN480*24*1000/9.81)</f>
        <v>154128.44036697247</v>
      </c>
      <c r="H214" s="178">
        <f>VLOOKUP($F214,'Carbon Factors'!$B$5:$L$41,2,FALSE)*'Material Quantities &amp; Embodied '!$G214/1000</f>
        <v>18.495412844036696</v>
      </c>
      <c r="I214" s="178">
        <f>VLOOKUP($F214,'Carbon Factors'!$B$5:$L$41,3,FALSE)*'Material Quantities &amp; Embodied '!$G214/1000</f>
        <v>0.77064220183486232</v>
      </c>
      <c r="J214" s="178">
        <f>VLOOKUP($F214,'Carbon Factors'!$B$5:$L$41,5,FALSE)*'Material Quantities &amp; Embodied '!$G214/1000</f>
        <v>0.77565137614678903</v>
      </c>
      <c r="K214" s="178">
        <f>VLOOKUP($F214,'Carbon Factors'!$B$5:$L$41,6,FALSE)*'Material Quantities &amp; Embodied '!$G214/1000</f>
        <v>2.0036697247706421</v>
      </c>
      <c r="L214" s="178">
        <f>VLOOKUP($F214,'Carbon Factors'!$B$5:$L$41,7,FALSE)*'Material Quantities &amp; Embodied '!$G214/1000</f>
        <v>2.7793211009174312</v>
      </c>
      <c r="M214" s="178">
        <f>VLOOKUP($F214,'Carbon Factors'!$B$5:$L$41,8,FALSE)*'Material Quantities &amp; Embodied '!$G214/1000</f>
        <v>0.67816513761467889</v>
      </c>
      <c r="N214" s="178">
        <f>VLOOKUP($F214,'Carbon Factors'!$B$5:$L$41,9,FALSE)*'Material Quantities &amp; Embodied '!$G214/1000</f>
        <v>20.434459981651376</v>
      </c>
      <c r="O214" s="178">
        <f>VLOOKUP($F214,'Carbon Factors'!$B$5:$L$41,10,FALSE)*'Material Quantities &amp; Embodied '!$G214/1000</f>
        <v>23.213781082568808</v>
      </c>
      <c r="P214" s="178">
        <f>VLOOKUP($F214,'Carbon Factors'!$B$5:$L$41,11,FALSE)*'Material Quantities &amp; Embodied '!$G214/1000</f>
        <v>0</v>
      </c>
    </row>
    <row r="215" spans="4:16">
      <c r="E215" s="150" t="s">
        <v>117</v>
      </c>
      <c r="F215" s="150" t="s">
        <v>118</v>
      </c>
      <c r="G215" s="1301">
        <f>IF(A199=0,0,Pile!CO480*1000)</f>
        <v>6930</v>
      </c>
      <c r="H215" s="178">
        <f>VLOOKUP($F215,'Carbon Factors'!$B$5:$L$41,2,FALSE)*'Material Quantities &amp; Embodied '!$G215/1000</f>
        <v>5.2667999999999999</v>
      </c>
      <c r="I215" s="178">
        <f>VLOOKUP($F215,'Carbon Factors'!$B$5:$L$41,3,FALSE)*'Material Quantities &amp; Embodied '!$G215/1000</f>
        <v>0.22175999999999998</v>
      </c>
      <c r="J215" s="178">
        <f>VLOOKUP($F215,'Carbon Factors'!$B$5:$L$41,5,FALSE)*'Material Quantities &amp; Embodied '!$G215/1000</f>
        <v>3.4875225000000003E-2</v>
      </c>
      <c r="K215" s="178">
        <f>VLOOKUP($F215,'Carbon Factors'!$B$5:$L$41,6,FALSE)*'Material Quantities &amp; Embodied '!$G215/1000</f>
        <v>9.008999999999999E-2</v>
      </c>
      <c r="L215" s="178">
        <f>VLOOKUP($F215,'Carbon Factors'!$B$5:$L$41,7,FALSE)*'Material Quantities &amp; Embodied '!$G215/1000</f>
        <v>0.124965225</v>
      </c>
      <c r="M215" s="178">
        <f>VLOOKUP($F215,'Carbon Factors'!$B$5:$L$41,8,FALSE)*'Material Quantities &amp; Embodied '!$G215/1000</f>
        <v>2.4324299999999996</v>
      </c>
      <c r="N215" s="178">
        <f>VLOOKUP($F215,'Carbon Factors'!$B$5:$L$41,9,FALSE)*'Material Quantities &amp; Embodied '!$G215/1000</f>
        <v>5.786076836925</v>
      </c>
      <c r="O215" s="178">
        <f>VLOOKUP($F215,'Carbon Factors'!$B$5:$L$41,10,FALSE)*'Material Quantities &amp; Embodied '!$G215/1000</f>
        <v>5.9110420619249995</v>
      </c>
      <c r="P215" s="178">
        <f>VLOOKUP($F215,'Carbon Factors'!$B$5:$L$41,11,FALSE)*'Material Quantities &amp; Embodied '!$G215/1000</f>
        <v>0</v>
      </c>
    </row>
    <row r="216" spans="4:16">
      <c r="D216" s="150" t="s">
        <v>134</v>
      </c>
      <c r="E216" s="150" t="s">
        <v>116</v>
      </c>
      <c r="F216" s="150" t="str">
        <f>F6</f>
        <v>C32/40 - 25% GGBS</v>
      </c>
      <c r="G216" s="1301">
        <f>IF(A199=0,0,Basement!C31*Summary!C13*Summary!C14*Summary!C15*Summary!C16)</f>
        <v>0</v>
      </c>
      <c r="H216" s="178">
        <f>VLOOKUP($F216,'Carbon Factors'!$B$5:$L$41,2,FALSE)*'Material Quantities &amp; Embodied '!$G216/1000</f>
        <v>0</v>
      </c>
      <c r="I216" s="178">
        <f>VLOOKUP($F216,'Carbon Factors'!$B$5:$L$41,3,FALSE)*'Material Quantities &amp; Embodied '!$G216/1000</f>
        <v>0</v>
      </c>
      <c r="J216" s="178">
        <f>VLOOKUP($F216,'Carbon Factors'!$B$5:$L$41,5,FALSE)*'Material Quantities &amp; Embodied '!$G216/1000</f>
        <v>0</v>
      </c>
      <c r="K216" s="178">
        <f>VLOOKUP($F216,'Carbon Factors'!$B$5:$L$41,6,FALSE)*'Material Quantities &amp; Embodied '!$G216/1000</f>
        <v>0</v>
      </c>
      <c r="L216" s="178">
        <f>VLOOKUP($F216,'Carbon Factors'!$B$5:$L$41,7,FALSE)*'Material Quantities &amp; Embodied '!$G216/1000</f>
        <v>0</v>
      </c>
      <c r="M216" s="178">
        <f>VLOOKUP($F216,'Carbon Factors'!$B$5:$L$41,8,FALSE)*'Material Quantities &amp; Embodied '!$G216/1000</f>
        <v>0</v>
      </c>
      <c r="N216" s="178">
        <f>VLOOKUP($F216,'Carbon Factors'!$B$5:$L$41,9,FALSE)*'Material Quantities &amp; Embodied '!$G216/1000</f>
        <v>0</v>
      </c>
      <c r="O216" s="178">
        <f>VLOOKUP($F216,'Carbon Factors'!$B$5:$L$41,10,FALSE)*'Material Quantities &amp; Embodied '!$G216/1000</f>
        <v>0</v>
      </c>
      <c r="P216" s="178">
        <f>VLOOKUP($F216,'Carbon Factors'!$B$5:$L$41,11,FALSE)*'Material Quantities &amp; Embodied '!$G216/1000</f>
        <v>0</v>
      </c>
    </row>
    <row r="217" spans="4:16">
      <c r="E217" s="150" t="s">
        <v>117</v>
      </c>
      <c r="F217" s="150" t="s">
        <v>118</v>
      </c>
      <c r="G217" s="1301">
        <f>IF(A199=0,0,Basement!C30*Summary!C13*Summary!C14*Summary!C15*Summary!C16)</f>
        <v>0</v>
      </c>
      <c r="H217" s="178">
        <f>VLOOKUP($F217,'Carbon Factors'!$B$5:$L$41,2,FALSE)*'Material Quantities &amp; Embodied '!$G217/1000</f>
        <v>0</v>
      </c>
      <c r="I217" s="178">
        <f>VLOOKUP($F217,'Carbon Factors'!$B$5:$L$41,3,FALSE)*'Material Quantities &amp; Embodied '!$G217/1000</f>
        <v>0</v>
      </c>
      <c r="J217" s="178">
        <f>VLOOKUP($F217,'Carbon Factors'!$B$5:$L$41,5,FALSE)*'Material Quantities &amp; Embodied '!$G217/1000</f>
        <v>0</v>
      </c>
      <c r="K217" s="178">
        <f>VLOOKUP($F217,'Carbon Factors'!$B$5:$L$41,6,FALSE)*'Material Quantities &amp; Embodied '!$G217/1000</f>
        <v>0</v>
      </c>
      <c r="L217" s="178">
        <f>VLOOKUP($F217,'Carbon Factors'!$B$5:$L$41,7,FALSE)*'Material Quantities &amp; Embodied '!$G217/1000</f>
        <v>0</v>
      </c>
      <c r="M217" s="178">
        <f>VLOOKUP($F217,'Carbon Factors'!$B$5:$L$41,8,FALSE)*'Material Quantities &amp; Embodied '!$G217/1000</f>
        <v>0</v>
      </c>
      <c r="N217" s="178">
        <f>VLOOKUP($F217,'Carbon Factors'!$B$5:$L$41,9,FALSE)*'Material Quantities &amp; Embodied '!$G217/1000</f>
        <v>0</v>
      </c>
      <c r="O217" s="178">
        <f>VLOOKUP($F217,'Carbon Factors'!$B$5:$L$41,10,FALSE)*'Material Quantities &amp; Embodied '!$G217/1000</f>
        <v>0</v>
      </c>
      <c r="P217" s="178">
        <f>VLOOKUP($F217,'Carbon Factors'!$B$5:$L$41,11,FALSE)*'Material Quantities &amp; Embodied '!$G217/1000</f>
        <v>0</v>
      </c>
    </row>
    <row r="218" spans="4:16">
      <c r="D218" s="150" t="s">
        <v>135</v>
      </c>
      <c r="E218" s="150" t="s">
        <v>116</v>
      </c>
      <c r="F218" s="150" t="str">
        <f>F6</f>
        <v>C32/40 - 25% GGBS</v>
      </c>
      <c r="G218" s="1301">
        <f>IF(A199=0,0,(Summary!J14*(Summary!C13*Summary!C15*2+Summary!C14*Summary!C16*2))*Basement!K79)</f>
        <v>0</v>
      </c>
      <c r="H218" s="178">
        <f>VLOOKUP($F218,'Carbon Factors'!$B$5:$L$41,2,FALSE)*'Material Quantities &amp; Embodied '!$G218/1000</f>
        <v>0</v>
      </c>
      <c r="I218" s="178">
        <f>VLOOKUP($F218,'Carbon Factors'!$B$5:$L$41,3,FALSE)*'Material Quantities &amp; Embodied '!$G218/1000</f>
        <v>0</v>
      </c>
      <c r="J218" s="178">
        <f>VLOOKUP($F218,'Carbon Factors'!$B$5:$L$41,5,FALSE)*'Material Quantities &amp; Embodied '!$G218/1000</f>
        <v>0</v>
      </c>
      <c r="K218" s="178">
        <f>VLOOKUP($F218,'Carbon Factors'!$B$5:$L$41,6,FALSE)*'Material Quantities &amp; Embodied '!$G218/1000</f>
        <v>0</v>
      </c>
      <c r="L218" s="178">
        <f>VLOOKUP($F218,'Carbon Factors'!$B$5:$L$41,7,FALSE)*'Material Quantities &amp; Embodied '!$G218/1000</f>
        <v>0</v>
      </c>
      <c r="M218" s="178">
        <f>VLOOKUP($F218,'Carbon Factors'!$B$5:$L$41,8,FALSE)*'Material Quantities &amp; Embodied '!$G218/1000</f>
        <v>0</v>
      </c>
      <c r="N218" s="178">
        <f>VLOOKUP($F218,'Carbon Factors'!$B$5:$L$41,9,FALSE)*'Material Quantities &amp; Embodied '!$G218/1000</f>
        <v>0</v>
      </c>
      <c r="O218" s="178">
        <f>VLOOKUP($F218,'Carbon Factors'!$B$5:$L$41,10,FALSE)*'Material Quantities &amp; Embodied '!$G218/1000</f>
        <v>0</v>
      </c>
      <c r="P218" s="178">
        <f>VLOOKUP($F218,'Carbon Factors'!$B$5:$L$41,11,FALSE)*'Material Quantities &amp; Embodied '!$G218/1000</f>
        <v>0</v>
      </c>
    </row>
    <row r="219" spans="4:16">
      <c r="E219" s="150" t="s">
        <v>117</v>
      </c>
      <c r="F219" s="150" t="s">
        <v>118</v>
      </c>
      <c r="G219" s="1301">
        <f>IF(A199=0,0,(Summary!J14*(Summary!C13*Summary!C15*2+Summary!C14*Summary!C16*2))*Basement!K78)</f>
        <v>0</v>
      </c>
      <c r="H219" s="178">
        <f>VLOOKUP($F219,'Carbon Factors'!$B$5:$L$41,2,FALSE)*'Material Quantities &amp; Embodied '!$G219/1000</f>
        <v>0</v>
      </c>
      <c r="I219" s="178">
        <f>VLOOKUP($F219,'Carbon Factors'!$B$5:$L$41,3,FALSE)*'Material Quantities &amp; Embodied '!$G219/1000</f>
        <v>0</v>
      </c>
      <c r="J219" s="178">
        <f>VLOOKUP($F219,'Carbon Factors'!$B$5:$L$41,5,FALSE)*'Material Quantities &amp; Embodied '!$G219/1000</f>
        <v>0</v>
      </c>
      <c r="K219" s="178">
        <f>VLOOKUP($F219,'Carbon Factors'!$B$5:$L$41,6,FALSE)*'Material Quantities &amp; Embodied '!$G219/1000</f>
        <v>0</v>
      </c>
      <c r="L219" s="178">
        <f>VLOOKUP($F219,'Carbon Factors'!$B$5:$L$41,7,FALSE)*'Material Quantities &amp; Embodied '!$G219/1000</f>
        <v>0</v>
      </c>
      <c r="M219" s="178">
        <f>VLOOKUP($F219,'Carbon Factors'!$B$5:$L$41,8,FALSE)*'Material Quantities &amp; Embodied '!$G219/1000</f>
        <v>0</v>
      </c>
      <c r="N219" s="178">
        <f>VLOOKUP($F219,'Carbon Factors'!$B$5:$L$41,9,FALSE)*'Material Quantities &amp; Embodied '!$G219/1000</f>
        <v>0</v>
      </c>
      <c r="O219" s="178">
        <f>VLOOKUP($F219,'Carbon Factors'!$B$5:$L$41,10,FALSE)*'Material Quantities &amp; Embodied '!$G219/1000</f>
        <v>0</v>
      </c>
      <c r="P219" s="178">
        <f>VLOOKUP($F219,'Carbon Factors'!$B$5:$L$41,11,FALSE)*'Material Quantities &amp; Embodied '!$G219/1000</f>
        <v>0</v>
      </c>
    </row>
    <row r="220" spans="4:16">
      <c r="D220" s="150" t="s">
        <v>136</v>
      </c>
      <c r="E220" s="150" t="s">
        <v>116</v>
      </c>
      <c r="F220" s="150" t="str">
        <f>F6</f>
        <v>C32/40 - 25% GGBS</v>
      </c>
      <c r="G220" s="1301">
        <f>IF(A199=0,0,(Basement!M103+Basement!M116+Basement!M129)*24*1000/9.81)</f>
        <v>0</v>
      </c>
      <c r="H220" s="178">
        <f>VLOOKUP($F220,'Carbon Factors'!$B$5:$L$41,2,FALSE)*'Material Quantities &amp; Embodied '!$G220/1000</f>
        <v>0</v>
      </c>
      <c r="I220" s="178">
        <f>VLOOKUP($F220,'Carbon Factors'!$B$5:$L$41,3,FALSE)*'Material Quantities &amp; Embodied '!$G220/1000</f>
        <v>0</v>
      </c>
      <c r="J220" s="178">
        <f>VLOOKUP($F220,'Carbon Factors'!$B$5:$L$41,5,FALSE)*'Material Quantities &amp; Embodied '!$G220/1000</f>
        <v>0</v>
      </c>
      <c r="K220" s="178">
        <f>VLOOKUP($F220,'Carbon Factors'!$B$5:$L$41,6,FALSE)*'Material Quantities &amp; Embodied '!$G220/1000</f>
        <v>0</v>
      </c>
      <c r="L220" s="178">
        <f>VLOOKUP($F220,'Carbon Factors'!$B$5:$L$41,7,FALSE)*'Material Quantities &amp; Embodied '!$G220/1000</f>
        <v>0</v>
      </c>
      <c r="M220" s="178">
        <f>VLOOKUP($F220,'Carbon Factors'!$B$5:$L$41,8,FALSE)*'Material Quantities &amp; Embodied '!$G220/1000</f>
        <v>0</v>
      </c>
      <c r="N220" s="178">
        <f>VLOOKUP($F220,'Carbon Factors'!$B$5:$L$41,9,FALSE)*'Material Quantities &amp; Embodied '!$G220/1000</f>
        <v>0</v>
      </c>
      <c r="O220" s="178">
        <f>VLOOKUP($F220,'Carbon Factors'!$B$5:$L$41,10,FALSE)*'Material Quantities &amp; Embodied '!$G220/1000</f>
        <v>0</v>
      </c>
      <c r="P220" s="178">
        <f>VLOOKUP($F220,'Carbon Factors'!$B$5:$L$41,11,FALSE)*'Material Quantities &amp; Embodied '!$G220/1000</f>
        <v>0</v>
      </c>
    </row>
    <row r="221" spans="4:16">
      <c r="E221" s="150" t="s">
        <v>117</v>
      </c>
      <c r="F221" s="150" t="s">
        <v>118</v>
      </c>
      <c r="G221" s="1301">
        <f>IF(A199=0,0,(Basement!N103+Basement!N116+Basement!N129)*1000)</f>
        <v>0</v>
      </c>
      <c r="H221" s="178">
        <f>VLOOKUP($F221,'Carbon Factors'!$B$5:$L$41,2,FALSE)*'Material Quantities &amp; Embodied '!$G221/1000</f>
        <v>0</v>
      </c>
      <c r="I221" s="178">
        <f>VLOOKUP($F221,'Carbon Factors'!$B$5:$L$41,3,FALSE)*'Material Quantities &amp; Embodied '!$G221/1000</f>
        <v>0</v>
      </c>
      <c r="J221" s="178">
        <f>VLOOKUP($F221,'Carbon Factors'!$B$5:$L$41,5,FALSE)*'Material Quantities &amp; Embodied '!$G221/1000</f>
        <v>0</v>
      </c>
      <c r="K221" s="178">
        <f>VLOOKUP($F221,'Carbon Factors'!$B$5:$L$41,6,FALSE)*'Material Quantities &amp; Embodied '!$G221/1000</f>
        <v>0</v>
      </c>
      <c r="L221" s="178">
        <f>VLOOKUP($F221,'Carbon Factors'!$B$5:$L$41,7,FALSE)*'Material Quantities &amp; Embodied '!$G221/1000</f>
        <v>0</v>
      </c>
      <c r="M221" s="178">
        <f>VLOOKUP($F221,'Carbon Factors'!$B$5:$L$41,8,FALSE)*'Material Quantities &amp; Embodied '!$G221/1000</f>
        <v>0</v>
      </c>
      <c r="N221" s="178">
        <f>VLOOKUP($F221,'Carbon Factors'!$B$5:$L$41,9,FALSE)*'Material Quantities &amp; Embodied '!$G221/1000</f>
        <v>0</v>
      </c>
      <c r="O221" s="178">
        <f>VLOOKUP($F221,'Carbon Factors'!$B$5:$L$41,10,FALSE)*'Material Quantities &amp; Embodied '!$G221/1000</f>
        <v>0</v>
      </c>
      <c r="P221" s="178">
        <f>VLOOKUP($F221,'Carbon Factors'!$B$5:$L$41,11,FALSE)*'Material Quantities &amp; Embodied '!$G221/1000</f>
        <v>0</v>
      </c>
    </row>
    <row r="222" spans="4:16">
      <c r="D222" s="182" t="s">
        <v>137</v>
      </c>
      <c r="E222" s="150" t="s">
        <v>116</v>
      </c>
      <c r="F222" s="150" t="str">
        <f>F28</f>
        <v>C32/40 - 25% GGBS</v>
      </c>
      <c r="G222" s="1301">
        <f>IF(A199=0,0,Basement!D162*24*1000/9.81)</f>
        <v>0</v>
      </c>
      <c r="H222" s="178">
        <f>VLOOKUP($F222,'Carbon Factors'!$B$5:$L$41,2,FALSE)*'Material Quantities &amp; Embodied '!$G222/1000</f>
        <v>0</v>
      </c>
      <c r="I222" s="178">
        <f>VLOOKUP($F222,'Carbon Factors'!$B$5:$L$41,3,FALSE)*'Material Quantities &amp; Embodied '!$G222/1000</f>
        <v>0</v>
      </c>
      <c r="J222" s="178">
        <f>VLOOKUP($F222,'Carbon Factors'!$B$5:$L$41,5,FALSE)*'Material Quantities &amp; Embodied '!$G222/1000</f>
        <v>0</v>
      </c>
      <c r="K222" s="178">
        <f>VLOOKUP($F222,'Carbon Factors'!$B$5:$L$41,6,FALSE)*'Material Quantities &amp; Embodied '!$G222/1000</f>
        <v>0</v>
      </c>
      <c r="L222" s="178">
        <f>VLOOKUP($F222,'Carbon Factors'!$B$5:$L$41,7,FALSE)*'Material Quantities &amp; Embodied '!$G222/1000</f>
        <v>0</v>
      </c>
      <c r="M222" s="178">
        <f>VLOOKUP($F222,'Carbon Factors'!$B$5:$L$41,8,FALSE)*'Material Quantities &amp; Embodied '!$G222/1000</f>
        <v>0</v>
      </c>
      <c r="N222" s="178">
        <f>VLOOKUP($F222,'Carbon Factors'!$B$5:$L$41,9,FALSE)*'Material Quantities &amp; Embodied '!$G222/1000</f>
        <v>0</v>
      </c>
      <c r="O222" s="178">
        <f>VLOOKUP($F222,'Carbon Factors'!$B$5:$L$41,10,FALSE)*'Material Quantities &amp; Embodied '!$G222/1000</f>
        <v>0</v>
      </c>
      <c r="P222" s="178">
        <f>VLOOKUP($F222,'Carbon Factors'!$B$5:$L$41,11,FALSE)*'Material Quantities &amp; Embodied '!$G222/1000</f>
        <v>0</v>
      </c>
    </row>
    <row r="223" spans="4:16">
      <c r="D223" s="152"/>
      <c r="E223" s="150" t="s">
        <v>117</v>
      </c>
      <c r="F223" s="150" t="str">
        <f>F29</f>
        <v>Steel - Rebar - UK: UK CARES avg EPD</v>
      </c>
      <c r="G223" s="1301">
        <f>IF(A199=0,0,G222*0.02)</f>
        <v>0</v>
      </c>
      <c r="H223" s="178">
        <f>VLOOKUP($F223,'Carbon Factors'!$B$5:$L$41,2,FALSE)*'Material Quantities &amp; Embodied '!$G223/1000</f>
        <v>0</v>
      </c>
      <c r="I223" s="178">
        <f>VLOOKUP($F223,'Carbon Factors'!$B$5:$L$41,3,FALSE)*'Material Quantities &amp; Embodied '!$G223/1000</f>
        <v>0</v>
      </c>
      <c r="J223" s="178">
        <f>VLOOKUP($F223,'Carbon Factors'!$B$5:$L$41,5,FALSE)*'Material Quantities &amp; Embodied '!$G223/1000</f>
        <v>0</v>
      </c>
      <c r="K223" s="178">
        <f>VLOOKUP($F223,'Carbon Factors'!$B$5:$L$41,6,FALSE)*'Material Quantities &amp; Embodied '!$G223/1000</f>
        <v>0</v>
      </c>
      <c r="L223" s="178">
        <f>VLOOKUP($F223,'Carbon Factors'!$B$5:$L$41,7,FALSE)*'Material Quantities &amp; Embodied '!$G223/1000</f>
        <v>0</v>
      </c>
      <c r="M223" s="178">
        <f>VLOOKUP($F223,'Carbon Factors'!$B$5:$L$41,8,FALSE)*'Material Quantities &amp; Embodied '!$G223/1000</f>
        <v>0</v>
      </c>
      <c r="N223" s="178">
        <f>VLOOKUP($F223,'Carbon Factors'!$B$5:$L$41,9,FALSE)*'Material Quantities &amp; Embodied '!$G223/1000</f>
        <v>0</v>
      </c>
      <c r="O223" s="178">
        <f>VLOOKUP($F223,'Carbon Factors'!$B$5:$L$41,10,FALSE)*'Material Quantities &amp; Embodied '!$G223/1000</f>
        <v>0</v>
      </c>
      <c r="P223" s="178">
        <f>VLOOKUP($F223,'Carbon Factors'!$B$5:$L$41,11,FALSE)*'Material Quantities &amp; Embodied '!$G223/1000</f>
        <v>0</v>
      </c>
    </row>
    <row r="224" spans="4:16">
      <c r="D224" s="182" t="s">
        <v>138</v>
      </c>
      <c r="G224" s="1301">
        <f>IF(A199=0,0,IF(Summary!J$13="Yes",(G216*18/24),(G208*18/24))+G210*18/24+G211*18/20)</f>
        <v>2093680.7339449541</v>
      </c>
      <c r="H224" s="178">
        <v>0</v>
      </c>
      <c r="I224" s="178">
        <f>G224*50*0.1065*0.001*0.001</f>
        <v>11.14884990825688</v>
      </c>
      <c r="J224" s="178">
        <v>0</v>
      </c>
      <c r="K224" s="178">
        <v>0</v>
      </c>
      <c r="L224" s="178">
        <v>0</v>
      </c>
      <c r="M224" s="178">
        <v>0</v>
      </c>
      <c r="N224" s="178">
        <f>I224</f>
        <v>11.14884990825688</v>
      </c>
      <c r="O224" s="178">
        <f>N224</f>
        <v>11.14884990825688</v>
      </c>
      <c r="P224" s="178">
        <v>0</v>
      </c>
    </row>
    <row r="225" spans="1:16">
      <c r="D225" s="182" t="s">
        <v>139</v>
      </c>
      <c r="G225" s="1301">
        <f>IF(A199=0,0,G214*(18/24))</f>
        <v>115596.33027522935</v>
      </c>
      <c r="H225" s="178">
        <v>0</v>
      </c>
      <c r="I225" s="178">
        <f t="shared" ref="I225:I226" si="24">G225*50*0.1065*0.001*0.001</f>
        <v>0.61555045871559633</v>
      </c>
      <c r="J225" s="178">
        <v>0</v>
      </c>
      <c r="K225" s="178">
        <v>0</v>
      </c>
      <c r="L225" s="178">
        <v>0</v>
      </c>
      <c r="M225" s="178">
        <v>0</v>
      </c>
      <c r="N225" s="178">
        <f t="shared" ref="N225:N226" si="25">I225</f>
        <v>0.61555045871559633</v>
      </c>
      <c r="O225" s="178">
        <f t="shared" ref="O225:O226" si="26">N225</f>
        <v>0.61555045871559633</v>
      </c>
      <c r="P225" s="178">
        <v>0</v>
      </c>
    </row>
    <row r="226" spans="1:16">
      <c r="B226" s="179"/>
      <c r="C226" s="179"/>
      <c r="D226" s="183" t="s">
        <v>140</v>
      </c>
      <c r="E226" s="184"/>
      <c r="F226" s="184"/>
      <c r="G226" s="1302">
        <f>IF(A199=0,0,IF(Summary!J$13="Yes",18*1000/9.81*Summary!C$13*Summary!C$14*Summary!C$15*Summary!C$16*Summary!J$14,0))</f>
        <v>0</v>
      </c>
      <c r="H226" s="181">
        <v>0</v>
      </c>
      <c r="I226" s="181">
        <f t="shared" si="24"/>
        <v>0</v>
      </c>
      <c r="J226" s="181">
        <v>0</v>
      </c>
      <c r="K226" s="181">
        <v>0</v>
      </c>
      <c r="L226" s="181">
        <v>0</v>
      </c>
      <c r="M226" s="181">
        <v>0</v>
      </c>
      <c r="N226" s="181">
        <f t="shared" si="25"/>
        <v>0</v>
      </c>
      <c r="O226" s="181">
        <f t="shared" si="26"/>
        <v>0</v>
      </c>
      <c r="P226" s="181">
        <v>0</v>
      </c>
    </row>
    <row r="227" spans="1:16">
      <c r="H227" s="185">
        <f t="shared" ref="H227:P227" si="27">SUM(H199:H226)</f>
        <v>901.97918838513465</v>
      </c>
      <c r="I227" s="185">
        <f t="shared" si="27"/>
        <v>66.104171233440397</v>
      </c>
      <c r="J227" s="185">
        <f t="shared" si="27"/>
        <v>30.264493319576875</v>
      </c>
      <c r="K227" s="185">
        <f t="shared" si="27"/>
        <v>78.260570869659716</v>
      </c>
      <c r="L227" s="185">
        <f t="shared" si="27"/>
        <v>108.52506418923659</v>
      </c>
      <c r="M227" s="185">
        <f t="shared" si="27"/>
        <v>-13.555884822911958</v>
      </c>
      <c r="N227" s="185">
        <f t="shared" si="27"/>
        <v>1003.2137669674131</v>
      </c>
      <c r="O227" s="185">
        <f t="shared" si="27"/>
        <v>1111.7388311566501</v>
      </c>
      <c r="P227" s="185">
        <f t="shared" si="27"/>
        <v>0</v>
      </c>
    </row>
    <row r="228" spans="1:16" ht="12.75" thickBot="1">
      <c r="B228" s="172"/>
      <c r="C228" s="172"/>
      <c r="D228" s="172"/>
      <c r="E228" s="172"/>
      <c r="F228" s="172"/>
      <c r="G228" s="173"/>
      <c r="H228" s="173"/>
      <c r="I228" s="173"/>
      <c r="J228" s="173"/>
      <c r="K228" s="173"/>
      <c r="L228" s="173"/>
      <c r="M228" s="174"/>
      <c r="N228" s="174"/>
      <c r="O228" s="174"/>
      <c r="P228" s="174"/>
    </row>
    <row r="229" spans="1:16"/>
    <row r="230" spans="1:16">
      <c r="H230" s="1311" t="s">
        <v>99</v>
      </c>
      <c r="I230" s="1311"/>
      <c r="J230" s="1311"/>
      <c r="K230" s="1311"/>
      <c r="L230" s="1311"/>
      <c r="M230" s="1311"/>
      <c r="N230" s="1311"/>
      <c r="O230" s="1311"/>
      <c r="P230" s="1311"/>
    </row>
    <row r="231" spans="1:16" ht="12.75" thickBot="1">
      <c r="B231" s="175" t="s">
        <v>22</v>
      </c>
      <c r="C231" s="175" t="s">
        <v>100</v>
      </c>
      <c r="D231" s="175" t="s">
        <v>101</v>
      </c>
      <c r="E231" s="175" t="s">
        <v>102</v>
      </c>
      <c r="F231" s="175" t="s">
        <v>103</v>
      </c>
      <c r="G231" s="72" t="s">
        <v>104</v>
      </c>
      <c r="H231" s="176" t="s">
        <v>105</v>
      </c>
      <c r="I231" s="176" t="s">
        <v>106</v>
      </c>
      <c r="J231" s="176" t="s">
        <v>107</v>
      </c>
      <c r="K231" s="176" t="s">
        <v>108</v>
      </c>
      <c r="L231" s="176" t="s">
        <v>109</v>
      </c>
      <c r="M231" s="176" t="s">
        <v>110</v>
      </c>
      <c r="N231" s="176" t="s">
        <v>111</v>
      </c>
      <c r="O231" s="176" t="s">
        <v>112</v>
      </c>
      <c r="P231" s="176" t="s">
        <v>113</v>
      </c>
    </row>
    <row r="232" spans="1:16">
      <c r="A232" s="148">
        <f>MIN(Pile!DA464,Database!E24)</f>
        <v>0.505</v>
      </c>
      <c r="B232" s="150" t="str">
        <f>Database!D24</f>
        <v>Composite Rolled Steel with Metal Decking</v>
      </c>
      <c r="C232" s="150" t="s">
        <v>114</v>
      </c>
      <c r="D232" s="150" t="s">
        <v>115</v>
      </c>
      <c r="E232" s="150" t="s">
        <v>116</v>
      </c>
      <c r="F232" s="150" t="str">
        <f>F6</f>
        <v>C32/40 - 25% GGBS</v>
      </c>
      <c r="G232" s="1301">
        <f>IF(A232=0,0,IF(Summary!J$8="No",Database!G24*Summary!C$13*Summary!C$14*Summary!C$15*Summary!C$16*Summary!C$17,Database!G24*Summary!C$13*Summary!C$14*Summary!C$15*Summary!C$16*(Summary!C$17-1)))</f>
        <v>1667522.9357798165</v>
      </c>
      <c r="H232" s="178">
        <f>VLOOKUP($F232,'Carbon Factors'!$B$5:$L$41,2,FALSE)*'Material Quantities &amp; Embodied '!$G232/1000</f>
        <v>200.10275229357796</v>
      </c>
      <c r="I232" s="178">
        <f>VLOOKUP($F232,'Carbon Factors'!$B$5:$L$41,3,FALSE)*'Material Quantities &amp; Embodied '!$G232/1000</f>
        <v>8.337614678899083</v>
      </c>
      <c r="J232" s="178">
        <f>VLOOKUP($F232,'Carbon Factors'!$B$5:$L$41,5,FALSE)*'Material Quantities &amp; Embodied '!$G232/1000</f>
        <v>8.391809174311927</v>
      </c>
      <c r="K232" s="178">
        <f>VLOOKUP($F232,'Carbon Factors'!$B$5:$L$41,6,FALSE)*'Material Quantities &amp; Embodied '!$G232/1000</f>
        <v>21.677798165137613</v>
      </c>
      <c r="L232" s="178">
        <f>VLOOKUP($F232,'Carbon Factors'!$B$5:$L$41,7,FALSE)*'Material Quantities &amp; Embodied '!$G232/1000</f>
        <v>30.06960733944954</v>
      </c>
      <c r="M232" s="178">
        <f>VLOOKUP($F232,'Carbon Factors'!$B$5:$L$41,8,FALSE)*'Material Quantities &amp; Embodied '!$G232/1000</f>
        <v>7.3371009174311927</v>
      </c>
      <c r="N232" s="178">
        <f>VLOOKUP($F232,'Carbon Factors'!$B$5:$L$41,9,FALSE)*'Material Quantities &amp; Embodied '!$G232/1000</f>
        <v>221.08139561100916</v>
      </c>
      <c r="O232" s="178">
        <f>VLOOKUP($F232,'Carbon Factors'!$B$5:$L$41,10,FALSE)*'Material Quantities &amp; Embodied '!$G232/1000</f>
        <v>251.15100295045872</v>
      </c>
      <c r="P232" s="178">
        <f>VLOOKUP($F232,'Carbon Factors'!$B$5:$L$41,11,FALSE)*'Material Quantities &amp; Embodied '!$G232/1000</f>
        <v>0</v>
      </c>
    </row>
    <row r="233" spans="1:16">
      <c r="E233" s="150" t="s">
        <v>117</v>
      </c>
      <c r="F233" s="150" t="s">
        <v>118</v>
      </c>
      <c r="G233" s="1301">
        <f>IF(A232=0,0,IF(Summary!J$8="No",Database!H24*Summary!C$13*Summary!C$14*Summary!C$15*Summary!C$16*Summary!C$17,Database!H24*Summary!C$13*Summary!C$14*Summary!C$15*Summary!C$16*(Summary!C$17-1)))</f>
        <v>8895.7064220183493</v>
      </c>
      <c r="H233" s="178">
        <f>VLOOKUP($F233,'Carbon Factors'!$B$5:$L$41,2,FALSE)*'Material Quantities &amp; Embodied '!$G233/1000</f>
        <v>6.760736880733945</v>
      </c>
      <c r="I233" s="178">
        <f>VLOOKUP($F233,'Carbon Factors'!$B$5:$L$41,3,FALSE)*'Material Quantities &amp; Embodied '!$G233/1000</f>
        <v>0.28466260550458722</v>
      </c>
      <c r="J233" s="178">
        <f>VLOOKUP($F233,'Carbon Factors'!$B$5:$L$41,5,FALSE)*'Material Quantities &amp; Embodied '!$G233/1000</f>
        <v>4.4767642568807345E-2</v>
      </c>
      <c r="K233" s="178">
        <f>VLOOKUP($F233,'Carbon Factors'!$B$5:$L$41,6,FALSE)*'Material Quantities &amp; Embodied '!$G233/1000</f>
        <v>0.11564418348623853</v>
      </c>
      <c r="L233" s="178">
        <f>VLOOKUP($F233,'Carbon Factors'!$B$5:$L$41,7,FALSE)*'Material Quantities &amp; Embodied '!$G233/1000</f>
        <v>0.16041182605504589</v>
      </c>
      <c r="M233" s="178">
        <f>VLOOKUP($F233,'Carbon Factors'!$B$5:$L$41,8,FALSE)*'Material Quantities &amp; Embodied '!$G233/1000</f>
        <v>3.1223929541284408</v>
      </c>
      <c r="N233" s="178">
        <f>VLOOKUP($F233,'Carbon Factors'!$B$5:$L$41,9,FALSE)*'Material Quantities &amp; Embodied '!$G233/1000</f>
        <v>7.4273074857900925</v>
      </c>
      <c r="O233" s="178">
        <f>VLOOKUP($F233,'Carbon Factors'!$B$5:$L$41,10,FALSE)*'Material Quantities &amp; Embodied '!$G233/1000</f>
        <v>7.5877193118451389</v>
      </c>
      <c r="P233" s="178">
        <f>VLOOKUP($F233,'Carbon Factors'!$B$5:$L$41,11,FALSE)*'Material Quantities &amp; Embodied '!$G233/1000</f>
        <v>0</v>
      </c>
    </row>
    <row r="234" spans="1:16">
      <c r="E234" s="150" t="s">
        <v>143</v>
      </c>
      <c r="F234" s="150" t="str">
        <f>IF(Summary!F$10="Basic Oxygen Furnace","Steel - Structural_sections - UK open sections","Steel - Structural_sections - Europe avg EPD")</f>
        <v>Steel - Structural_sections - Europe avg EPD</v>
      </c>
      <c r="G234" s="1301">
        <f>IF(A232=0,0,IF(Summary!J$8="No",Database!J24*1.1*Summary!C$13*Summary!C$14*Summary!C$15*Summary!C$16*Summary!C$17,Database!J24*Summary!C$13*Summary!C$14*Summary!C$15*Summary!C$16*(Summary!C$17-1)))</f>
        <v>106054.08000000002</v>
      </c>
      <c r="H234" s="178">
        <f>VLOOKUP($F234,'Carbon Factors'!$B$5:$L$41,2,FALSE)*'Material Quantities &amp; Embodied '!$G234/1000</f>
        <v>119.84111040000001</v>
      </c>
      <c r="I234" s="178">
        <f>VLOOKUP($F234,'Carbon Factors'!$B$5:$L$41,3,FALSE)*'Material Quantities &amp; Embodied '!$G234/1000</f>
        <v>16.968652800000005</v>
      </c>
      <c r="J234" s="178">
        <f>VLOOKUP($F234,'Carbon Factors'!$B$5:$L$41,5,FALSE)*'Material Quantities &amp; Embodied '!$G234/1000</f>
        <v>0.53164910304000002</v>
      </c>
      <c r="K234" s="178">
        <f>VLOOKUP($F234,'Carbon Factors'!$B$5:$L$41,6,FALSE)*'Material Quantities &amp; Embodied '!$G234/1000</f>
        <v>1.37870304</v>
      </c>
      <c r="L234" s="178">
        <f>VLOOKUP($F234,'Carbon Factors'!$B$5:$L$41,7,FALSE)*'Material Quantities &amp; Embodied '!$G234/1000</f>
        <v>1.9103521430400001</v>
      </c>
      <c r="M234" s="178">
        <f>VLOOKUP($F234,'Carbon Factors'!$B$5:$L$41,8,FALSE)*'Material Quantities &amp; Embodied '!$G234/1000</f>
        <v>-43.800335040000007</v>
      </c>
      <c r="N234" s="178">
        <f>VLOOKUP($F234,'Carbon Factors'!$B$5:$L$41,9,FALSE)*'Material Quantities &amp; Embodied '!$G234/1000</f>
        <v>138.19696435343042</v>
      </c>
      <c r="O234" s="178">
        <f>VLOOKUP($F234,'Carbon Factors'!$B$5:$L$41,10,FALSE)*'Material Quantities &amp; Embodied '!$G234/1000</f>
        <v>140.10731649647039</v>
      </c>
      <c r="P234" s="178">
        <f>VLOOKUP($F234,'Carbon Factors'!$B$5:$L$41,11,FALSE)*'Material Quantities &amp; Embodied '!$G234/1000</f>
        <v>0</v>
      </c>
    </row>
    <row r="235" spans="1:16" s="188" customFormat="1">
      <c r="A235" s="148"/>
      <c r="B235" s="187"/>
      <c r="C235" s="187"/>
      <c r="D235" s="187"/>
      <c r="E235" s="150" t="s">
        <v>147</v>
      </c>
      <c r="F235" s="150" t="s">
        <v>148</v>
      </c>
      <c r="G235" s="1301">
        <f>IF(A232=0,0,IF(Summary!J$8="No",11.21*Summary!C$13*Summary!C$14*Summary!C$15*Summary!C$16*Summary!C$17,11.21*Summary!C$13*Summary!C$14*Summary!C$15*Summary!C$16*(Summary!C$17-1)))</f>
        <v>64569.600000000006</v>
      </c>
      <c r="H235" s="178">
        <f>VLOOKUP($F235,'Carbon Factors'!$B$5:$L$41,2,FALSE)*'Material Quantities &amp; Embodied '!$G235/1000</f>
        <v>176.92070400000003</v>
      </c>
      <c r="I235" s="178">
        <f>VLOOKUP($F235,'Carbon Factors'!$B$5:$L$41,3,FALSE)*'Material Quantities &amp; Embodied '!$G235/1000</f>
        <v>2.0662272000000002</v>
      </c>
      <c r="J235" s="178">
        <f>VLOOKUP($F235,'Carbon Factors'!$B$5:$L$41,5,FALSE)*'Material Quantities &amp; Embodied '!$G235/1000</f>
        <v>0.32368740479999997</v>
      </c>
      <c r="K235" s="178">
        <f>VLOOKUP($F235,'Carbon Factors'!$B$5:$L$41,6,FALSE)*'Material Quantities &amp; Embodied '!$G235/1000</f>
        <v>0.83940480000000006</v>
      </c>
      <c r="L235" s="178">
        <f>VLOOKUP($F235,'Carbon Factors'!$B$5:$L$41,7,FALSE)*'Material Quantities &amp; Embodied '!$G235/1000</f>
        <v>1.1630922048000001</v>
      </c>
      <c r="M235" s="178">
        <f>VLOOKUP($F235,'Carbon Factors'!$B$5:$L$41,8,FALSE)*'Material Quantities &amp; Embodied '!$G235/1000</f>
        <v>-74.255040000000008</v>
      </c>
      <c r="N235" s="178">
        <f>VLOOKUP($F235,'Carbon Factors'!$B$5:$L$41,9,FALSE)*'Material Quantities &amp; Embodied '!$G235/1000</f>
        <v>180.78843143404802</v>
      </c>
      <c r="O235" s="178">
        <f>VLOOKUP($F235,'Carbon Factors'!$B$5:$L$41,10,FALSE)*'Material Quantities &amp; Embodied '!$G235/1000</f>
        <v>181.95152363884802</v>
      </c>
      <c r="P235" s="178">
        <f>VLOOKUP($F235,'Carbon Factors'!$B$5:$L$41,11,FALSE)*'Material Quantities &amp; Embodied '!$G235/1000</f>
        <v>0</v>
      </c>
    </row>
    <row r="236" spans="1:16">
      <c r="D236" s="150" t="s">
        <v>119</v>
      </c>
      <c r="E236" s="150" t="s">
        <v>143</v>
      </c>
      <c r="F236" s="150" t="str">
        <f>IF(Summary!F$10="Basic Oxygen Furnace","Steel - Structural_sections - UK open sections","Steel - Structural_sections - Europe avg EPD")</f>
        <v>Steel - Structural_sections - Europe avg EPD</v>
      </c>
      <c r="G236" s="1301">
        <f>IF(A232=0,0,'Steel Column'!K59*1.1*1000)</f>
        <v>32132.760000000006</v>
      </c>
      <c r="H236" s="178">
        <f>VLOOKUP($F236,'Carbon Factors'!$B$5:$L$41,2,FALSE)*'Material Quantities &amp; Embodied '!$G236/1000</f>
        <v>36.310018800000009</v>
      </c>
      <c r="I236" s="178">
        <f>VLOOKUP($F236,'Carbon Factors'!$B$5:$L$41,3,FALSE)*'Material Quantities &amp; Embodied '!$G236/1000</f>
        <v>5.1412416000000016</v>
      </c>
      <c r="J236" s="178">
        <f>VLOOKUP($F236,'Carbon Factors'!$B$5:$L$41,5,FALSE)*'Material Quantities &amp; Embodied '!$G236/1000</f>
        <v>0.16108152588000002</v>
      </c>
      <c r="K236" s="178">
        <f>VLOOKUP($F236,'Carbon Factors'!$B$5:$L$41,6,FALSE)*'Material Quantities &amp; Embodied '!$G236/1000</f>
        <v>0.41772588000000005</v>
      </c>
      <c r="L236" s="178">
        <f>VLOOKUP($F236,'Carbon Factors'!$B$5:$L$41,7,FALSE)*'Material Quantities &amp; Embodied '!$G236/1000</f>
        <v>0.57880740588000001</v>
      </c>
      <c r="M236" s="178">
        <f>VLOOKUP($F236,'Carbon Factors'!$B$5:$L$41,8,FALSE)*'Material Quantities &amp; Embodied '!$G236/1000</f>
        <v>-13.270829880000001</v>
      </c>
      <c r="N236" s="178">
        <f>VLOOKUP($F236,'Carbon Factors'!$B$5:$L$41,9,FALSE)*'Material Quantities &amp; Embodied '!$G236/1000</f>
        <v>41.871561078058804</v>
      </c>
      <c r="O236" s="178">
        <f>VLOOKUP($F236,'Carbon Factors'!$B$5:$L$41,10,FALSE)*'Material Quantities &amp; Embodied '!$G236/1000</f>
        <v>42.450368483938803</v>
      </c>
      <c r="P236" s="178">
        <f>VLOOKUP($F236,'Carbon Factors'!$B$5:$L$41,11,FALSE)*'Material Quantities &amp; Embodied '!$G236/1000</f>
        <v>0</v>
      </c>
    </row>
    <row r="237" spans="1:16">
      <c r="D237" s="150" t="s">
        <v>120</v>
      </c>
      <c r="E237" s="150" t="s">
        <v>121</v>
      </c>
      <c r="F237" s="150" t="str">
        <f>F6</f>
        <v>C32/40 - 25% GGBS</v>
      </c>
      <c r="G237" s="1301">
        <f>IF(A232=0,0,SUM('Shear Walls'!AS84,'Shear Walls'!AS118))</f>
        <v>45217.893577981653</v>
      </c>
      <c r="H237" s="178">
        <f>VLOOKUP($F237,'Carbon Factors'!$B$5:$L$41,2,FALSE)*'Material Quantities &amp; Embodied '!$G237/1000</f>
        <v>5.4261472293577979</v>
      </c>
      <c r="I237" s="178">
        <f>VLOOKUP($F237,'Carbon Factors'!$B$5:$L$41,3,FALSE)*'Material Quantities &amp; Embodied '!$G237/1000</f>
        <v>0.22608946788990827</v>
      </c>
      <c r="J237" s="178">
        <f>VLOOKUP($F237,'Carbon Factors'!$B$5:$L$41,5,FALSE)*'Material Quantities &amp; Embodied '!$G237/1000</f>
        <v>0.22755904943119271</v>
      </c>
      <c r="K237" s="178">
        <f>VLOOKUP($F237,'Carbon Factors'!$B$5:$L$41,6,FALSE)*'Material Quantities &amp; Embodied '!$G237/1000</f>
        <v>0.5878326165137614</v>
      </c>
      <c r="L237" s="178">
        <f>VLOOKUP($F237,'Carbon Factors'!$B$5:$L$41,7,FALSE)*'Material Quantities &amp; Embodied '!$G237/1000</f>
        <v>0.81539166594495416</v>
      </c>
      <c r="M237" s="178">
        <f>VLOOKUP($F237,'Carbon Factors'!$B$5:$L$41,8,FALSE)*'Material Quantities &amp; Embodied '!$G237/1000</f>
        <v>0.19895873174311926</v>
      </c>
      <c r="N237" s="178">
        <f>VLOOKUP($F237,'Carbon Factors'!$B$5:$L$41,9,FALSE)*'Material Quantities &amp; Embodied '!$G237/1000</f>
        <v>5.9950210004969176</v>
      </c>
      <c r="O237" s="178">
        <f>VLOOKUP($F237,'Carbon Factors'!$B$5:$L$41,10,FALSE)*'Material Quantities &amp; Embodied '!$G237/1000</f>
        <v>6.8104126664418718</v>
      </c>
      <c r="P237" s="178">
        <f>VLOOKUP($F237,'Carbon Factors'!$B$5:$L$41,11,FALSE)*'Material Quantities &amp; Embodied '!$G237/1000</f>
        <v>0</v>
      </c>
    </row>
    <row r="238" spans="1:16">
      <c r="E238" s="150" t="s">
        <v>117</v>
      </c>
      <c r="F238" s="150" t="s">
        <v>118</v>
      </c>
      <c r="G238" s="1301">
        <f>IF(A232=0,0,SUM('Shear Walls'!AS85,'Shear Walls'!AS119))</f>
        <v>1421.0976963989597</v>
      </c>
      <c r="H238" s="178">
        <f>VLOOKUP($F238,'Carbon Factors'!$B$5:$L$41,2,FALSE)*'Material Quantities &amp; Embodied '!$G238/1000</f>
        <v>1.0800342492632093</v>
      </c>
      <c r="I238" s="178">
        <f>VLOOKUP($F238,'Carbon Factors'!$B$5:$L$41,3,FALSE)*'Material Quantities &amp; Embodied '!$G238/1000</f>
        <v>4.5475126284766708E-2</v>
      </c>
      <c r="J238" s="178">
        <f>VLOOKUP($F238,'Carbon Factors'!$B$5:$L$41,5,FALSE)*'Material Quantities &amp; Embodied '!$G238/1000</f>
        <v>7.151674157127765E-3</v>
      </c>
      <c r="K238" s="178">
        <f>VLOOKUP($F238,'Carbon Factors'!$B$5:$L$41,6,FALSE)*'Material Quantities &amp; Embodied '!$G238/1000</f>
        <v>1.8474270053186477E-2</v>
      </c>
      <c r="L238" s="178">
        <f>VLOOKUP($F238,'Carbon Factors'!$B$5:$L$41,7,FALSE)*'Material Quantities &amp; Embodied '!$G238/1000</f>
        <v>2.5625944210314243E-2</v>
      </c>
      <c r="M238" s="178">
        <f>VLOOKUP($F238,'Carbon Factors'!$B$5:$L$41,8,FALSE)*'Material Quantities &amp; Embodied '!$G238/1000</f>
        <v>0.4988052914360348</v>
      </c>
      <c r="N238" s="178">
        <f>VLOOKUP($F238,'Carbon Factors'!$B$5:$L$41,9,FALSE)*'Material Quantities &amp; Embodied '!$G238/1000</f>
        <v>1.1865195474951653</v>
      </c>
      <c r="O238" s="178">
        <f>VLOOKUP($F238,'Carbon Factors'!$B$5:$L$41,10,FALSE)*'Material Quantities &amp; Embodied '!$G238/1000</f>
        <v>1.2121454917054797</v>
      </c>
      <c r="P238" s="178">
        <f>VLOOKUP($F238,'Carbon Factors'!$B$5:$L$41,11,FALSE)*'Material Quantities &amp; Embodied '!$G238/1000</f>
        <v>0</v>
      </c>
    </row>
    <row r="239" spans="1:16">
      <c r="D239" s="150" t="s">
        <v>122</v>
      </c>
      <c r="E239" s="150" t="s">
        <v>116</v>
      </c>
      <c r="F239" s="150" t="str">
        <f>Summary!F$9</f>
        <v>C32/40 - 25% GGBS</v>
      </c>
      <c r="G239" s="1301">
        <f>IF(A232=0,0,IF(Summary!J$8="Yes",Summary!C$13*Summary!C$14*Summary!C$15*Summary!C$16*Summary!J$9*24*1000/9.81,0))</f>
        <v>0</v>
      </c>
      <c r="H239" s="178">
        <f>VLOOKUP($F239,'Carbon Factors'!$B$5:$L$41,2,FALSE)*'Material Quantities &amp; Embodied '!$G239/1000</f>
        <v>0</v>
      </c>
      <c r="I239" s="178">
        <f>VLOOKUP($F239,'Carbon Factors'!$B$5:$L$41,3,FALSE)*'Material Quantities &amp; Embodied '!$G239/1000</f>
        <v>0</v>
      </c>
      <c r="J239" s="178">
        <f>VLOOKUP($F239,'Carbon Factors'!$B$5:$L$41,5,FALSE)*'Material Quantities &amp; Embodied '!$G239/1000</f>
        <v>0</v>
      </c>
      <c r="K239" s="178">
        <f>VLOOKUP($F239,'Carbon Factors'!$B$5:$L$41,6,FALSE)*'Material Quantities &amp; Embodied '!$G239/1000</f>
        <v>0</v>
      </c>
      <c r="L239" s="178">
        <f>VLOOKUP($F239,'Carbon Factors'!$B$5:$L$41,7,FALSE)*'Material Quantities &amp; Embodied '!$G239/1000</f>
        <v>0</v>
      </c>
      <c r="M239" s="178">
        <f>VLOOKUP($F239,'Carbon Factors'!$B$5:$L$41,8,FALSE)*'Material Quantities &amp; Embodied '!$G239/1000</f>
        <v>0</v>
      </c>
      <c r="N239" s="178">
        <f>VLOOKUP($F239,'Carbon Factors'!$B$5:$L$41,9,FALSE)*'Material Quantities &amp; Embodied '!$G239/1000</f>
        <v>0</v>
      </c>
      <c r="O239" s="178">
        <f>VLOOKUP($F239,'Carbon Factors'!$B$5:$L$41,10,FALSE)*'Material Quantities &amp; Embodied '!$G239/1000</f>
        <v>0</v>
      </c>
      <c r="P239" s="178">
        <f>VLOOKUP($F239,'Carbon Factors'!$B$5:$L$41,11,FALSE)*'Material Quantities &amp; Embodied '!$G239/1000</f>
        <v>0</v>
      </c>
    </row>
    <row r="240" spans="1:16">
      <c r="E240" s="150" t="s">
        <v>117</v>
      </c>
      <c r="F240" s="150" t="s">
        <v>118</v>
      </c>
      <c r="G240" s="1301">
        <f>IF(A232=0,0,IF(Summary!J$8="Yes",Summary!C$13*Summary!C$14*Summary!C$15*Summary!C$16*Summary!J$9*Summary!J$10,0))</f>
        <v>0</v>
      </c>
      <c r="H240" s="178">
        <f>VLOOKUP($F240,'Carbon Factors'!$B$5:$L$41,2,FALSE)*'Material Quantities &amp; Embodied '!$G240/1000</f>
        <v>0</v>
      </c>
      <c r="I240" s="178">
        <f>VLOOKUP($F240,'Carbon Factors'!$B$5:$L$41,3,FALSE)*'Material Quantities &amp; Embodied '!$G240/1000</f>
        <v>0</v>
      </c>
      <c r="J240" s="178">
        <f>VLOOKUP($F240,'Carbon Factors'!$B$5:$L$41,5,FALSE)*'Material Quantities &amp; Embodied '!$G240/1000</f>
        <v>0</v>
      </c>
      <c r="K240" s="178">
        <f>VLOOKUP($F240,'Carbon Factors'!$B$5:$L$41,6,FALSE)*'Material Quantities &amp; Embodied '!$G240/1000</f>
        <v>0</v>
      </c>
      <c r="L240" s="178">
        <f>VLOOKUP($F240,'Carbon Factors'!$B$5:$L$41,7,FALSE)*'Material Quantities &amp; Embodied '!$G240/1000</f>
        <v>0</v>
      </c>
      <c r="M240" s="178">
        <f>VLOOKUP($F240,'Carbon Factors'!$B$5:$L$41,8,FALSE)*'Material Quantities &amp; Embodied '!$G240/1000</f>
        <v>0</v>
      </c>
      <c r="N240" s="178">
        <f>VLOOKUP($F240,'Carbon Factors'!$B$5:$L$41,9,FALSE)*'Material Quantities &amp; Embodied '!$G240/1000</f>
        <v>0</v>
      </c>
      <c r="O240" s="178">
        <f>VLOOKUP($F240,'Carbon Factors'!$B$5:$L$41,10,FALSE)*'Material Quantities &amp; Embodied '!$G240/1000</f>
        <v>0</v>
      </c>
      <c r="P240" s="178">
        <f>VLOOKUP($F240,'Carbon Factors'!$B$5:$L$41,11,FALSE)*'Material Quantities &amp; Embodied '!$G240/1000</f>
        <v>0</v>
      </c>
    </row>
    <row r="241" spans="3:16">
      <c r="C241" s="179"/>
      <c r="D241" s="179" t="s">
        <v>144</v>
      </c>
      <c r="E241" s="179" t="s">
        <v>145</v>
      </c>
      <c r="F241" s="179" t="s">
        <v>146</v>
      </c>
      <c r="G241" s="1302">
        <f>Intumescent!N5</f>
        <v>4070.5083120000008</v>
      </c>
      <c r="H241" s="181">
        <f>VLOOKUP($F241,'Carbon Factors'!$B$5:$L$41,2,FALSE)*'Material Quantities &amp; Embodied '!$G241/1000</f>
        <v>9.4028742007200012</v>
      </c>
      <c r="I241" s="181">
        <f>VLOOKUP($F241,'Carbon Factors'!$B$5:$L$41,3,FALSE)*'Material Quantities &amp; Embodied '!$G241/1000</f>
        <v>0.65128132992000021</v>
      </c>
      <c r="J241" s="181">
        <f>VLOOKUP($F241,'Carbon Factors'!$B$5:$L$41,5,FALSE)*'Material Quantities &amp; Embodied '!$G241/1000</f>
        <v>2.0484833080140007E-2</v>
      </c>
      <c r="K241" s="181">
        <f>VLOOKUP($F241,'Carbon Factors'!$B$5:$L$41,6,FALSE)*'Material Quantities &amp; Embodied '!$G241/1000</f>
        <v>5.2916608056000007E-2</v>
      </c>
      <c r="L241" s="181">
        <f>VLOOKUP($F241,'Carbon Factors'!$B$5:$L$41,7,FALSE)*'Material Quantities &amp; Embodied '!$G241/1000</f>
        <v>7.3401441136140014E-2</v>
      </c>
      <c r="M241" s="181">
        <f>VLOOKUP($F241,'Carbon Factors'!$B$5:$L$41,8,FALSE)*'Material Quantities &amp; Embodied '!$G241/1000</f>
        <v>0</v>
      </c>
      <c r="N241" s="181">
        <f>VLOOKUP($F241,'Carbon Factors'!$B$5:$L$41,9,FALSE)*'Material Quantities &amp; Embodied '!$G241/1000</f>
        <v>10.590916050144138</v>
      </c>
      <c r="O241" s="181">
        <f>VLOOKUP($F241,'Carbon Factors'!$B$5:$L$41,10,FALSE)*'Material Quantities &amp; Embodied '!$G241/1000</f>
        <v>10.664317491280279</v>
      </c>
      <c r="P241" s="181">
        <f>VLOOKUP($F241,'Carbon Factors'!$B$5:$L$41,11,FALSE)*'Material Quantities &amp; Embodied '!$G241/1000</f>
        <v>0</v>
      </c>
    </row>
    <row r="242" spans="3:16">
      <c r="C242" s="150" t="s">
        <v>123</v>
      </c>
      <c r="D242" s="150" t="s">
        <v>124</v>
      </c>
      <c r="E242" s="150" t="s">
        <v>116</v>
      </c>
      <c r="F242" s="150" t="str">
        <f>F6</f>
        <v>C32/40 - 25% GGBS</v>
      </c>
      <c r="G242" s="1301">
        <f>IF(A232=0,0,IF(Summary!J13="No",(480*Summary!C13*Summary!C14*Summary!C15*Summary!C16),(Basement!C11*Summary!C13*Summary!C14*Summary!C15*Summary!C16)))</f>
        <v>1382400</v>
      </c>
      <c r="H242" s="178">
        <f>VLOOKUP($F242,'Carbon Factors'!$B$5:$L$41,2,FALSE)*'Material Quantities &amp; Embodied '!$G242/1000</f>
        <v>165.88800000000001</v>
      </c>
      <c r="I242" s="178">
        <f>VLOOKUP($F242,'Carbon Factors'!$B$5:$L$41,3,FALSE)*'Material Quantities &amp; Embodied '!$G242/1000</f>
        <v>6.9119999999999999</v>
      </c>
      <c r="J242" s="178">
        <f>VLOOKUP($F242,'Carbon Factors'!$B$5:$L$41,5,FALSE)*'Material Quantities &amp; Embodied '!$G242/1000</f>
        <v>6.9569280000000004</v>
      </c>
      <c r="K242" s="178">
        <f>VLOOKUP($F242,'Carbon Factors'!$B$5:$L$41,6,FALSE)*'Material Quantities &amp; Embodied '!$G242/1000</f>
        <v>17.9712</v>
      </c>
      <c r="L242" s="178">
        <f>VLOOKUP($F242,'Carbon Factors'!$B$5:$L$41,7,FALSE)*'Material Quantities &amp; Embodied '!$G242/1000</f>
        <v>24.928128000000001</v>
      </c>
      <c r="M242" s="178">
        <f>VLOOKUP($F242,'Carbon Factors'!$B$5:$L$41,8,FALSE)*'Material Quantities &amp; Embodied '!$G242/1000</f>
        <v>6.08256</v>
      </c>
      <c r="N242" s="178">
        <f>VLOOKUP($F242,'Carbon Factors'!$B$5:$L$41,9,FALSE)*'Material Quantities &amp; Embodied '!$G242/1000</f>
        <v>183.27959078399999</v>
      </c>
      <c r="O242" s="178">
        <f>VLOOKUP($F242,'Carbon Factors'!$B$5:$L$41,10,FALSE)*'Material Quantities &amp; Embodied '!$G242/1000</f>
        <v>208.20771878400001</v>
      </c>
      <c r="P242" s="178">
        <f>VLOOKUP($F242,'Carbon Factors'!$B$5:$L$41,11,FALSE)*'Material Quantities &amp; Embodied '!$G242/1000</f>
        <v>0</v>
      </c>
    </row>
    <row r="243" spans="3:16">
      <c r="E243" s="150" t="s">
        <v>117</v>
      </c>
      <c r="F243" s="150" t="s">
        <v>118</v>
      </c>
      <c r="G243" s="1301">
        <f>IF(A232=0,0,IF(Summary!J13="No",(12*Summary!C13*Summary!C14*Summary!C15*Summary!C16),(Basement!C10*Summary!C13*Summary!C14*Summary!C15*Summary!C16)))</f>
        <v>34560</v>
      </c>
      <c r="H243" s="178">
        <f>VLOOKUP($F243,'Carbon Factors'!$B$5:$L$41,2,FALSE)*'Material Quantities &amp; Embodied '!$G243/1000</f>
        <v>26.265599999999999</v>
      </c>
      <c r="I243" s="178">
        <f>VLOOKUP($F243,'Carbon Factors'!$B$5:$L$41,3,FALSE)*'Material Quantities &amp; Embodied '!$G243/1000</f>
        <v>1.10592</v>
      </c>
      <c r="J243" s="178">
        <f>VLOOKUP($F243,'Carbon Factors'!$B$5:$L$41,5,FALSE)*'Material Quantities &amp; Embodied '!$G243/1000</f>
        <v>0.1739232</v>
      </c>
      <c r="K243" s="178">
        <f>VLOOKUP($F243,'Carbon Factors'!$B$5:$L$41,6,FALSE)*'Material Quantities &amp; Embodied '!$G243/1000</f>
        <v>0.44927999999999996</v>
      </c>
      <c r="L243" s="178">
        <f>VLOOKUP($F243,'Carbon Factors'!$B$5:$L$41,7,FALSE)*'Material Quantities &amp; Embodied '!$G243/1000</f>
        <v>0.62320320000000007</v>
      </c>
      <c r="M243" s="178">
        <f>VLOOKUP($F243,'Carbon Factors'!$B$5:$L$41,8,FALSE)*'Material Quantities &amp; Embodied '!$G243/1000</f>
        <v>12.130559999999999</v>
      </c>
      <c r="N243" s="178">
        <f>VLOOKUP($F243,'Carbon Factors'!$B$5:$L$41,9,FALSE)*'Material Quantities &amp; Embodied '!$G243/1000</f>
        <v>28.855240329600001</v>
      </c>
      <c r="O243" s="178">
        <f>VLOOKUP($F243,'Carbon Factors'!$B$5:$L$41,10,FALSE)*'Material Quantities &amp; Embodied '!$G243/1000</f>
        <v>29.4784435296</v>
      </c>
      <c r="P243" s="178">
        <f>VLOOKUP($F243,'Carbon Factors'!$B$5:$L$41,11,FALSE)*'Material Quantities &amp; Embodied '!$G243/1000</f>
        <v>0</v>
      </c>
    </row>
    <row r="244" spans="3:16">
      <c r="D244" s="150" t="s">
        <v>126</v>
      </c>
      <c r="E244" s="150" t="s">
        <v>116</v>
      </c>
      <c r="F244" s="150" t="s">
        <v>127</v>
      </c>
      <c r="G244" s="1301">
        <f>IF(A232=0,0,Summary!C13*Summary!C14*Summary!C15*Summary!C16*0.05*24*1000/9.81)</f>
        <v>352293.57798165135</v>
      </c>
      <c r="H244" s="178">
        <f>VLOOKUP($F244,'Carbon Factors'!$B$5:$L$41,2,FALSE)*'Material Quantities &amp; Embodied '!$G244/1000</f>
        <v>52.491743119266054</v>
      </c>
      <c r="I244" s="178">
        <f>VLOOKUP($F244,'Carbon Factors'!$B$5:$L$41,3,FALSE)*'Material Quantities &amp; Embodied '!$G244/1000</f>
        <v>1.761467889908257</v>
      </c>
      <c r="J244" s="178">
        <f>VLOOKUP($F244,'Carbon Factors'!$B$5:$L$41,5,FALSE)*'Material Quantities &amp; Embodied '!$G244/1000</f>
        <v>1.7729174311926605</v>
      </c>
      <c r="K244" s="178">
        <f>VLOOKUP($F244,'Carbon Factors'!$B$5:$L$41,6,FALSE)*'Material Quantities &amp; Embodied '!$G244/1000</f>
        <v>4.5798165137614681</v>
      </c>
      <c r="L244" s="178">
        <f>VLOOKUP($F244,'Carbon Factors'!$B$5:$L$41,7,FALSE)*'Material Quantities &amp; Embodied '!$G244/1000</f>
        <v>6.352733944954128</v>
      </c>
      <c r="M244" s="178">
        <f>VLOOKUP($F244,'Carbon Factors'!$B$5:$L$41,8,FALSE)*'Material Quantities &amp; Embodied '!$G244/1000</f>
        <v>1.550091743119266</v>
      </c>
      <c r="N244" s="178">
        <f>VLOOKUP($F244,'Carbon Factors'!$B$5:$L$41,9,FALSE)*'Material Quantities &amp; Embodied '!$G244/1000</f>
        <v>57.465326091743115</v>
      </c>
      <c r="O244" s="178">
        <f>VLOOKUP($F244,'Carbon Factors'!$B$5:$L$41,10,FALSE)*'Material Quantities &amp; Embodied '!$G244/1000</f>
        <v>63.818060036697247</v>
      </c>
      <c r="P244" s="178">
        <f>VLOOKUP($F244,'Carbon Factors'!$B$5:$L$41,11,FALSE)*'Material Quantities &amp; Embodied '!$G244/1000</f>
        <v>0</v>
      </c>
    </row>
    <row r="245" spans="3:16">
      <c r="D245" s="150" t="s">
        <v>128</v>
      </c>
      <c r="E245" s="150" t="s">
        <v>129</v>
      </c>
      <c r="F245" s="150" t="s">
        <v>130</v>
      </c>
      <c r="G245" s="1301">
        <f>IF(A232=0,0,Summary!C13*Summary!C14*Summary!C15*Summary!C16*0.15*20*1000/9.81)</f>
        <v>880733.94495412835</v>
      </c>
      <c r="H245" s="178">
        <f>VLOOKUP($F245,'Carbon Factors'!$B$5:$L$41,2,FALSE)*'Material Quantities &amp; Embodied '!$G245/1000</f>
        <v>6.5790825688073395</v>
      </c>
      <c r="I245" s="178">
        <f>VLOOKUP($F245,'Carbon Factors'!$B$5:$L$41,3,FALSE)*'Material Quantities &amp; Embodied '!$G245/1000</f>
        <v>4.4036697247706416</v>
      </c>
      <c r="J245" s="178">
        <f>VLOOKUP($F245,'Carbon Factors'!$B$5:$L$41,5,FALSE)*'Material Quantities &amp; Embodied '!$G245/1000</f>
        <v>4.4036697247706416</v>
      </c>
      <c r="K245" s="178">
        <f>VLOOKUP($F245,'Carbon Factors'!$B$5:$L$41,6,FALSE)*'Material Quantities &amp; Embodied '!$G245/1000</f>
        <v>11.449541284403667</v>
      </c>
      <c r="L245" s="178">
        <f>VLOOKUP($F245,'Carbon Factors'!$B$5:$L$41,7,FALSE)*'Material Quantities &amp; Embodied '!$G245/1000</f>
        <v>15.853211009174309</v>
      </c>
      <c r="M245" s="178">
        <f>VLOOKUP($F245,'Carbon Factors'!$B$5:$L$41,8,FALSE)*'Material Quantities &amp; Embodied '!$G245/1000</f>
        <v>0</v>
      </c>
      <c r="N245" s="178">
        <f>VLOOKUP($F245,'Carbon Factors'!$B$5:$L$41,9,FALSE)*'Material Quantities &amp; Embodied '!$G245/1000</f>
        <v>12.405058348623852</v>
      </c>
      <c r="O245" s="178">
        <f>VLOOKUP($F245,'Carbon Factors'!$B$5:$L$41,10,FALSE)*'Material Quantities &amp; Embodied '!$G245/1000</f>
        <v>28.258269357798163</v>
      </c>
      <c r="P245" s="178">
        <f>VLOOKUP($F245,'Carbon Factors'!$B$5:$L$41,11,FALSE)*'Material Quantities &amp; Embodied '!$G245/1000</f>
        <v>0</v>
      </c>
    </row>
    <row r="246" spans="3:16">
      <c r="D246" s="150" t="s">
        <v>131</v>
      </c>
      <c r="E246" s="150" t="s">
        <v>116</v>
      </c>
      <c r="F246" s="150" t="str">
        <f>F6</f>
        <v>C32/40 - 25% GGBS</v>
      </c>
      <c r="G246" s="1301">
        <f>IF(A232=0,0,Pile!DA468*24*1000/9.81)</f>
        <v>600336.73963779642</v>
      </c>
      <c r="H246" s="178">
        <f>VLOOKUP($F246,'Carbon Factors'!$B$5:$L$41,2,FALSE)*'Material Quantities &amp; Embodied '!$G246/1000</f>
        <v>72.04040875653557</v>
      </c>
      <c r="I246" s="178">
        <f>VLOOKUP($F246,'Carbon Factors'!$B$5:$L$41,3,FALSE)*'Material Quantities &amp; Embodied '!$G246/1000</f>
        <v>3.0016836981889825</v>
      </c>
      <c r="J246" s="178">
        <f>VLOOKUP($F246,'Carbon Factors'!$B$5:$L$41,5,FALSE)*'Material Quantities &amp; Embodied '!$G246/1000</f>
        <v>3.0211946422272109</v>
      </c>
      <c r="K246" s="178">
        <f>VLOOKUP($F246,'Carbon Factors'!$B$5:$L$41,6,FALSE)*'Material Quantities &amp; Embodied '!$G246/1000</f>
        <v>7.8043776152913535</v>
      </c>
      <c r="L246" s="178">
        <f>VLOOKUP($F246,'Carbon Factors'!$B$5:$L$41,7,FALSE)*'Material Quantities &amp; Embodied '!$G246/1000</f>
        <v>10.825572257518564</v>
      </c>
      <c r="M246" s="178">
        <f>VLOOKUP($F246,'Carbon Factors'!$B$5:$L$41,8,FALSE)*'Material Quantities &amp; Embodied '!$G246/1000</f>
        <v>2.641481654406304</v>
      </c>
      <c r="N246" s="178">
        <f>VLOOKUP($F246,'Carbon Factors'!$B$5:$L$41,9,FALSE)*'Material Quantities &amp; Embodied '!$G246/1000</f>
        <v>79.59307868447344</v>
      </c>
      <c r="O246" s="178">
        <f>VLOOKUP($F246,'Carbon Factors'!$B$5:$L$41,10,FALSE)*'Material Quantities &amp; Embodied '!$G246/1000</f>
        <v>90.418650941991999</v>
      </c>
      <c r="P246" s="178">
        <f>VLOOKUP($F246,'Carbon Factors'!$B$5:$L$41,11,FALSE)*'Material Quantities &amp; Embodied '!$G246/1000</f>
        <v>0</v>
      </c>
    </row>
    <row r="247" spans="3:16">
      <c r="E247" s="150" t="s">
        <v>117</v>
      </c>
      <c r="F247" s="150" t="s">
        <v>118</v>
      </c>
      <c r="G247" s="1301">
        <f>IF(A232=0,0,Pile!DA474*1000)</f>
        <v>23370.861743999994</v>
      </c>
      <c r="H247" s="178">
        <f>VLOOKUP($F247,'Carbon Factors'!$B$5:$L$41,2,FALSE)*'Material Quantities &amp; Embodied '!$G247/1000</f>
        <v>17.761854925439994</v>
      </c>
      <c r="I247" s="178">
        <f>VLOOKUP($F247,'Carbon Factors'!$B$5:$L$41,3,FALSE)*'Material Quantities &amp; Embodied '!$G247/1000</f>
        <v>0.7478675758079999</v>
      </c>
      <c r="J247" s="178">
        <f>VLOOKUP($F247,'Carbon Factors'!$B$5:$L$41,5,FALSE)*'Material Quantities &amp; Embodied '!$G247/1000</f>
        <v>0.11761386172667998</v>
      </c>
      <c r="K247" s="178">
        <f>VLOOKUP($F247,'Carbon Factors'!$B$5:$L$41,6,FALSE)*'Material Quantities &amp; Embodied '!$G247/1000</f>
        <v>0.30382120267199991</v>
      </c>
      <c r="L247" s="178">
        <f>VLOOKUP($F247,'Carbon Factors'!$B$5:$L$41,7,FALSE)*'Material Quantities &amp; Embodied '!$G247/1000</f>
        <v>0.42143506439867989</v>
      </c>
      <c r="M247" s="178">
        <f>VLOOKUP($F247,'Carbon Factors'!$B$5:$L$41,8,FALSE)*'Material Quantities &amp; Embodied '!$G247/1000</f>
        <v>8.2031724721439971</v>
      </c>
      <c r="N247" s="178">
        <f>VLOOKUP($F247,'Carbon Factors'!$B$5:$L$41,9,FALSE)*'Material Quantities &amp; Embodied '!$G247/1000</f>
        <v>19.513073852227269</v>
      </c>
      <c r="O247" s="178">
        <f>VLOOKUP($F247,'Carbon Factors'!$B$5:$L$41,10,FALSE)*'Material Quantities &amp; Embodied '!$G247/1000</f>
        <v>19.934508916625951</v>
      </c>
      <c r="P247" s="178">
        <f>VLOOKUP($F247,'Carbon Factors'!$B$5:$L$41,11,FALSE)*'Material Quantities &amp; Embodied '!$G247/1000</f>
        <v>0</v>
      </c>
    </row>
    <row r="248" spans="3:16">
      <c r="D248" s="150" t="s">
        <v>132</v>
      </c>
      <c r="E248" s="150" t="s">
        <v>116</v>
      </c>
      <c r="F248" s="150" t="str">
        <f>F6</f>
        <v>C32/40 - 25% GGBS</v>
      </c>
      <c r="G248" s="1301">
        <f>IF(A232=0,0,Pile!DA480*24*1000/9.81)</f>
        <v>158256.88073394494</v>
      </c>
      <c r="H248" s="178">
        <f>VLOOKUP($F248,'Carbon Factors'!$B$5:$L$41,2,FALSE)*'Material Quantities &amp; Embodied '!$G248/1000</f>
        <v>18.990825688073393</v>
      </c>
      <c r="I248" s="178">
        <f>VLOOKUP($F248,'Carbon Factors'!$B$5:$L$41,3,FALSE)*'Material Quantities &amp; Embodied '!$G248/1000</f>
        <v>0.79128440366972475</v>
      </c>
      <c r="J248" s="178">
        <f>VLOOKUP($F248,'Carbon Factors'!$B$5:$L$41,5,FALSE)*'Material Quantities &amp; Embodied '!$G248/1000</f>
        <v>0.79642775229357798</v>
      </c>
      <c r="K248" s="178">
        <f>VLOOKUP($F248,'Carbon Factors'!$B$5:$L$41,6,FALSE)*'Material Quantities &amp; Embodied '!$G248/1000</f>
        <v>2.057339449541284</v>
      </c>
      <c r="L248" s="178">
        <f>VLOOKUP($F248,'Carbon Factors'!$B$5:$L$41,7,FALSE)*'Material Quantities &amp; Embodied '!$G248/1000</f>
        <v>2.8537672018348621</v>
      </c>
      <c r="M248" s="178">
        <f>VLOOKUP($F248,'Carbon Factors'!$B$5:$L$41,8,FALSE)*'Material Quantities &amp; Embodied '!$G248/1000</f>
        <v>0.69633027522935775</v>
      </c>
      <c r="N248" s="178">
        <f>VLOOKUP($F248,'Carbon Factors'!$B$5:$L$41,9,FALSE)*'Material Quantities &amp; Embodied '!$G248/1000</f>
        <v>20.981811588302751</v>
      </c>
      <c r="O248" s="178">
        <f>VLOOKUP($F248,'Carbon Factors'!$B$5:$L$41,10,FALSE)*'Material Quantities &amp; Embodied '!$G248/1000</f>
        <v>23.835578790137614</v>
      </c>
      <c r="P248" s="178">
        <f>VLOOKUP($F248,'Carbon Factors'!$B$5:$L$41,11,FALSE)*'Material Quantities &amp; Embodied '!$G248/1000</f>
        <v>0</v>
      </c>
    </row>
    <row r="249" spans="3:16">
      <c r="E249" s="150" t="s">
        <v>117</v>
      </c>
      <c r="F249" s="150" t="s">
        <v>118</v>
      </c>
      <c r="G249" s="1301">
        <f>IF(A232=0,0,Pile!DB480*1000)</f>
        <v>7115.625</v>
      </c>
      <c r="H249" s="178">
        <f>VLOOKUP($F249,'Carbon Factors'!$B$5:$L$41,2,FALSE)*'Material Quantities &amp; Embodied '!$G249/1000</f>
        <v>5.4078749999999998</v>
      </c>
      <c r="I249" s="178">
        <f>VLOOKUP($F249,'Carbon Factors'!$B$5:$L$41,3,FALSE)*'Material Quantities &amp; Embodied '!$G249/1000</f>
        <v>0.22770000000000001</v>
      </c>
      <c r="J249" s="178">
        <f>VLOOKUP($F249,'Carbon Factors'!$B$5:$L$41,5,FALSE)*'Material Quantities &amp; Embodied '!$G249/1000</f>
        <v>3.5809382812500005E-2</v>
      </c>
      <c r="K249" s="178">
        <f>VLOOKUP($F249,'Carbon Factors'!$B$5:$L$41,6,FALSE)*'Material Quantities &amp; Embodied '!$G249/1000</f>
        <v>9.2503124999999992E-2</v>
      </c>
      <c r="L249" s="178">
        <f>VLOOKUP($F249,'Carbon Factors'!$B$5:$L$41,7,FALSE)*'Material Quantities &amp; Embodied '!$G249/1000</f>
        <v>0.1283125078125</v>
      </c>
      <c r="M249" s="178">
        <f>VLOOKUP($F249,'Carbon Factors'!$B$5:$L$41,8,FALSE)*'Material Quantities &amp; Embodied '!$G249/1000</f>
        <v>2.4975843749999997</v>
      </c>
      <c r="N249" s="178">
        <f>VLOOKUP($F249,'Carbon Factors'!$B$5:$L$41,9,FALSE)*'Material Quantities &amp; Embodied '!$G249/1000</f>
        <v>5.9410610379140625</v>
      </c>
      <c r="O249" s="178">
        <f>VLOOKUP($F249,'Carbon Factors'!$B$5:$L$41,10,FALSE)*'Material Quantities &amp; Embodied '!$G249/1000</f>
        <v>6.0693735457265632</v>
      </c>
      <c r="P249" s="178">
        <f>VLOOKUP($F249,'Carbon Factors'!$B$5:$L$41,11,FALSE)*'Material Quantities &amp; Embodied '!$G249/1000</f>
        <v>0</v>
      </c>
    </row>
    <row r="250" spans="3:16">
      <c r="D250" s="150" t="s">
        <v>134</v>
      </c>
      <c r="E250" s="150" t="s">
        <v>116</v>
      </c>
      <c r="F250" s="150" t="str">
        <f>F6</f>
        <v>C32/40 - 25% GGBS</v>
      </c>
      <c r="G250" s="1301">
        <f>IF(A232=0,0,Basement!C31*Summary!C13*Summary!C14*Summary!C15*Summary!C16)</f>
        <v>0</v>
      </c>
      <c r="H250" s="178">
        <f>VLOOKUP($F250,'Carbon Factors'!$B$5:$L$41,2,FALSE)*'Material Quantities &amp; Embodied '!$G250/1000</f>
        <v>0</v>
      </c>
      <c r="I250" s="178">
        <f>VLOOKUP($F250,'Carbon Factors'!$B$5:$L$41,3,FALSE)*'Material Quantities &amp; Embodied '!$G250/1000</f>
        <v>0</v>
      </c>
      <c r="J250" s="178">
        <f>VLOOKUP($F250,'Carbon Factors'!$B$5:$L$41,5,FALSE)*'Material Quantities &amp; Embodied '!$G250/1000</f>
        <v>0</v>
      </c>
      <c r="K250" s="178">
        <f>VLOOKUP($F250,'Carbon Factors'!$B$5:$L$41,6,FALSE)*'Material Quantities &amp; Embodied '!$G250/1000</f>
        <v>0</v>
      </c>
      <c r="L250" s="178">
        <f>VLOOKUP($F250,'Carbon Factors'!$B$5:$L$41,7,FALSE)*'Material Quantities &amp; Embodied '!$G250/1000</f>
        <v>0</v>
      </c>
      <c r="M250" s="178">
        <f>VLOOKUP($F250,'Carbon Factors'!$B$5:$L$41,8,FALSE)*'Material Quantities &amp; Embodied '!$G250/1000</f>
        <v>0</v>
      </c>
      <c r="N250" s="178">
        <f>VLOOKUP($F250,'Carbon Factors'!$B$5:$L$41,9,FALSE)*'Material Quantities &amp; Embodied '!$G250/1000</f>
        <v>0</v>
      </c>
      <c r="O250" s="178">
        <f>VLOOKUP($F250,'Carbon Factors'!$B$5:$L$41,10,FALSE)*'Material Quantities &amp; Embodied '!$G250/1000</f>
        <v>0</v>
      </c>
      <c r="P250" s="178">
        <f>VLOOKUP($F250,'Carbon Factors'!$B$5:$L$41,11,FALSE)*'Material Quantities &amp; Embodied '!$G250/1000</f>
        <v>0</v>
      </c>
    </row>
    <row r="251" spans="3:16">
      <c r="E251" s="150" t="s">
        <v>117</v>
      </c>
      <c r="F251" s="150" t="s">
        <v>118</v>
      </c>
      <c r="G251" s="1301">
        <f>IF(A232=0,0,Basement!C30*Summary!C13*Summary!C14*Summary!C15*Summary!C16)</f>
        <v>0</v>
      </c>
      <c r="H251" s="178">
        <f>VLOOKUP($F251,'Carbon Factors'!$B$5:$L$41,2,FALSE)*'Material Quantities &amp; Embodied '!$G251/1000</f>
        <v>0</v>
      </c>
      <c r="I251" s="178">
        <f>VLOOKUP($F251,'Carbon Factors'!$B$5:$L$41,3,FALSE)*'Material Quantities &amp; Embodied '!$G251/1000</f>
        <v>0</v>
      </c>
      <c r="J251" s="178">
        <f>VLOOKUP($F251,'Carbon Factors'!$B$5:$L$41,5,FALSE)*'Material Quantities &amp; Embodied '!$G251/1000</f>
        <v>0</v>
      </c>
      <c r="K251" s="178">
        <f>VLOOKUP($F251,'Carbon Factors'!$B$5:$L$41,6,FALSE)*'Material Quantities &amp; Embodied '!$G251/1000</f>
        <v>0</v>
      </c>
      <c r="L251" s="178">
        <f>VLOOKUP($F251,'Carbon Factors'!$B$5:$L$41,7,FALSE)*'Material Quantities &amp; Embodied '!$G251/1000</f>
        <v>0</v>
      </c>
      <c r="M251" s="178">
        <f>VLOOKUP($F251,'Carbon Factors'!$B$5:$L$41,8,FALSE)*'Material Quantities &amp; Embodied '!$G251/1000</f>
        <v>0</v>
      </c>
      <c r="N251" s="178">
        <f>VLOOKUP($F251,'Carbon Factors'!$B$5:$L$41,9,FALSE)*'Material Quantities &amp; Embodied '!$G251/1000</f>
        <v>0</v>
      </c>
      <c r="O251" s="178">
        <f>VLOOKUP($F251,'Carbon Factors'!$B$5:$L$41,10,FALSE)*'Material Quantities &amp; Embodied '!$G251/1000</f>
        <v>0</v>
      </c>
      <c r="P251" s="178">
        <f>VLOOKUP($F251,'Carbon Factors'!$B$5:$L$41,11,FALSE)*'Material Quantities &amp; Embodied '!$G251/1000</f>
        <v>0</v>
      </c>
    </row>
    <row r="252" spans="3:16">
      <c r="D252" s="150" t="s">
        <v>135</v>
      </c>
      <c r="E252" s="150" t="s">
        <v>116</v>
      </c>
      <c r="F252" s="150" t="str">
        <f>F6</f>
        <v>C32/40 - 25% GGBS</v>
      </c>
      <c r="G252" s="1301">
        <f>IF(A232=0,0,(Summary!J14*(Summary!C13*Summary!C15*2+Summary!C14*Summary!C16*2))*Basement!K79)</f>
        <v>0</v>
      </c>
      <c r="H252" s="178">
        <f>VLOOKUP($F252,'Carbon Factors'!$B$5:$L$41,2,FALSE)*'Material Quantities &amp; Embodied '!$G252/1000</f>
        <v>0</v>
      </c>
      <c r="I252" s="178">
        <f>VLOOKUP($F252,'Carbon Factors'!$B$5:$L$41,3,FALSE)*'Material Quantities &amp; Embodied '!$G252/1000</f>
        <v>0</v>
      </c>
      <c r="J252" s="178">
        <f>VLOOKUP($F252,'Carbon Factors'!$B$5:$L$41,5,FALSE)*'Material Quantities &amp; Embodied '!$G252/1000</f>
        <v>0</v>
      </c>
      <c r="K252" s="178">
        <f>VLOOKUP($F252,'Carbon Factors'!$B$5:$L$41,6,FALSE)*'Material Quantities &amp; Embodied '!$G252/1000</f>
        <v>0</v>
      </c>
      <c r="L252" s="178">
        <f>VLOOKUP($F252,'Carbon Factors'!$B$5:$L$41,7,FALSE)*'Material Quantities &amp; Embodied '!$G252/1000</f>
        <v>0</v>
      </c>
      <c r="M252" s="178">
        <f>VLOOKUP($F252,'Carbon Factors'!$B$5:$L$41,8,FALSE)*'Material Quantities &amp; Embodied '!$G252/1000</f>
        <v>0</v>
      </c>
      <c r="N252" s="178">
        <f>VLOOKUP($F252,'Carbon Factors'!$B$5:$L$41,9,FALSE)*'Material Quantities &amp; Embodied '!$G252/1000</f>
        <v>0</v>
      </c>
      <c r="O252" s="178">
        <f>VLOOKUP($F252,'Carbon Factors'!$B$5:$L$41,10,FALSE)*'Material Quantities &amp; Embodied '!$G252/1000</f>
        <v>0</v>
      </c>
      <c r="P252" s="178">
        <f>VLOOKUP($F252,'Carbon Factors'!$B$5:$L$41,11,FALSE)*'Material Quantities &amp; Embodied '!$G252/1000</f>
        <v>0</v>
      </c>
    </row>
    <row r="253" spans="3:16">
      <c r="E253" s="150" t="s">
        <v>117</v>
      </c>
      <c r="F253" s="150" t="s">
        <v>118</v>
      </c>
      <c r="G253" s="1301">
        <f>IF(A232=0,0,(Summary!J14*(Summary!C13*Summary!C15*2+Summary!C14*Summary!C16*2))*Basement!K78)</f>
        <v>0</v>
      </c>
      <c r="H253" s="178">
        <f>VLOOKUP($F253,'Carbon Factors'!$B$5:$L$41,2,FALSE)*'Material Quantities &amp; Embodied '!$G253/1000</f>
        <v>0</v>
      </c>
      <c r="I253" s="178">
        <f>VLOOKUP($F253,'Carbon Factors'!$B$5:$L$41,3,FALSE)*'Material Quantities &amp; Embodied '!$G253/1000</f>
        <v>0</v>
      </c>
      <c r="J253" s="178">
        <f>VLOOKUP($F253,'Carbon Factors'!$B$5:$L$41,5,FALSE)*'Material Quantities &amp; Embodied '!$G253/1000</f>
        <v>0</v>
      </c>
      <c r="K253" s="178">
        <f>VLOOKUP($F253,'Carbon Factors'!$B$5:$L$41,6,FALSE)*'Material Quantities &amp; Embodied '!$G253/1000</f>
        <v>0</v>
      </c>
      <c r="L253" s="178">
        <f>VLOOKUP($F253,'Carbon Factors'!$B$5:$L$41,7,FALSE)*'Material Quantities &amp; Embodied '!$G253/1000</f>
        <v>0</v>
      </c>
      <c r="M253" s="178">
        <f>VLOOKUP($F253,'Carbon Factors'!$B$5:$L$41,8,FALSE)*'Material Quantities &amp; Embodied '!$G253/1000</f>
        <v>0</v>
      </c>
      <c r="N253" s="178">
        <f>VLOOKUP($F253,'Carbon Factors'!$B$5:$L$41,9,FALSE)*'Material Quantities &amp; Embodied '!$G253/1000</f>
        <v>0</v>
      </c>
      <c r="O253" s="178">
        <f>VLOOKUP($F253,'Carbon Factors'!$B$5:$L$41,10,FALSE)*'Material Quantities &amp; Embodied '!$G253/1000</f>
        <v>0</v>
      </c>
      <c r="P253" s="178">
        <f>VLOOKUP($F253,'Carbon Factors'!$B$5:$L$41,11,FALSE)*'Material Quantities &amp; Embodied '!$G253/1000</f>
        <v>0</v>
      </c>
    </row>
    <row r="254" spans="3:16">
      <c r="D254" s="150" t="s">
        <v>136</v>
      </c>
      <c r="E254" s="150" t="s">
        <v>116</v>
      </c>
      <c r="F254" s="150" t="str">
        <f>F6</f>
        <v>C32/40 - 25% GGBS</v>
      </c>
      <c r="G254" s="1301">
        <f>IF(A232=0,0,(Basement!M104+Basement!M117+Basement!M130)*24*1000/9.81)</f>
        <v>0</v>
      </c>
      <c r="H254" s="178">
        <f>VLOOKUP($F254,'Carbon Factors'!$B$5:$L$41,2,FALSE)*'Material Quantities &amp; Embodied '!$G254/1000</f>
        <v>0</v>
      </c>
      <c r="I254" s="178">
        <f>VLOOKUP($F254,'Carbon Factors'!$B$5:$L$41,3,FALSE)*'Material Quantities &amp; Embodied '!$G254/1000</f>
        <v>0</v>
      </c>
      <c r="J254" s="178">
        <f>VLOOKUP($F254,'Carbon Factors'!$B$5:$L$41,5,FALSE)*'Material Quantities &amp; Embodied '!$G254/1000</f>
        <v>0</v>
      </c>
      <c r="K254" s="178">
        <f>VLOOKUP($F254,'Carbon Factors'!$B$5:$L$41,6,FALSE)*'Material Quantities &amp; Embodied '!$G254/1000</f>
        <v>0</v>
      </c>
      <c r="L254" s="178">
        <f>VLOOKUP($F254,'Carbon Factors'!$B$5:$L$41,7,FALSE)*'Material Quantities &amp; Embodied '!$G254/1000</f>
        <v>0</v>
      </c>
      <c r="M254" s="178">
        <f>VLOOKUP($F254,'Carbon Factors'!$B$5:$L$41,8,FALSE)*'Material Quantities &amp; Embodied '!$G254/1000</f>
        <v>0</v>
      </c>
      <c r="N254" s="178">
        <f>VLOOKUP($F254,'Carbon Factors'!$B$5:$L$41,9,FALSE)*'Material Quantities &amp; Embodied '!$G254/1000</f>
        <v>0</v>
      </c>
      <c r="O254" s="178">
        <f>VLOOKUP($F254,'Carbon Factors'!$B$5:$L$41,10,FALSE)*'Material Quantities &amp; Embodied '!$G254/1000</f>
        <v>0</v>
      </c>
      <c r="P254" s="178">
        <f>VLOOKUP($F254,'Carbon Factors'!$B$5:$L$41,11,FALSE)*'Material Quantities &amp; Embodied '!$G254/1000</f>
        <v>0</v>
      </c>
    </row>
    <row r="255" spans="3:16">
      <c r="E255" s="150" t="s">
        <v>117</v>
      </c>
      <c r="F255" s="150" t="s">
        <v>118</v>
      </c>
      <c r="G255" s="1301">
        <f>IF(A232=0,0,(Basement!N104+Basement!N117+Basement!N130)*1000)</f>
        <v>0</v>
      </c>
      <c r="H255" s="178">
        <f>VLOOKUP($F255,'Carbon Factors'!$B$5:$L$41,2,FALSE)*'Material Quantities &amp; Embodied '!$G255/1000</f>
        <v>0</v>
      </c>
      <c r="I255" s="178">
        <f>VLOOKUP($F255,'Carbon Factors'!$B$5:$L$41,3,FALSE)*'Material Quantities &amp; Embodied '!$G255/1000</f>
        <v>0</v>
      </c>
      <c r="J255" s="178">
        <f>VLOOKUP($F255,'Carbon Factors'!$B$5:$L$41,5,FALSE)*'Material Quantities &amp; Embodied '!$G255/1000</f>
        <v>0</v>
      </c>
      <c r="K255" s="178">
        <f>VLOOKUP($F255,'Carbon Factors'!$B$5:$L$41,6,FALSE)*'Material Quantities &amp; Embodied '!$G255/1000</f>
        <v>0</v>
      </c>
      <c r="L255" s="178">
        <f>VLOOKUP($F255,'Carbon Factors'!$B$5:$L$41,7,FALSE)*'Material Quantities &amp; Embodied '!$G255/1000</f>
        <v>0</v>
      </c>
      <c r="M255" s="178">
        <f>VLOOKUP($F255,'Carbon Factors'!$B$5:$L$41,8,FALSE)*'Material Quantities &amp; Embodied '!$G255/1000</f>
        <v>0</v>
      </c>
      <c r="N255" s="178">
        <f>VLOOKUP($F255,'Carbon Factors'!$B$5:$L$41,9,FALSE)*'Material Quantities &amp; Embodied '!$G255/1000</f>
        <v>0</v>
      </c>
      <c r="O255" s="178">
        <f>VLOOKUP($F255,'Carbon Factors'!$B$5:$L$41,10,FALSE)*'Material Quantities &amp; Embodied '!$G255/1000</f>
        <v>0</v>
      </c>
      <c r="P255" s="178">
        <f>VLOOKUP($F255,'Carbon Factors'!$B$5:$L$41,11,FALSE)*'Material Quantities &amp; Embodied '!$G255/1000</f>
        <v>0</v>
      </c>
    </row>
    <row r="256" spans="3:16">
      <c r="D256" s="182" t="s">
        <v>137</v>
      </c>
      <c r="E256" s="150" t="s">
        <v>116</v>
      </c>
      <c r="F256" s="150" t="str">
        <f>F28</f>
        <v>C32/40 - 25% GGBS</v>
      </c>
      <c r="G256" s="1301">
        <f>IF(A232=0,0,Basement!D162*24*1000/9.81)</f>
        <v>0</v>
      </c>
      <c r="H256" s="178">
        <f>VLOOKUP($F256,'Carbon Factors'!$B$5:$L$41,2,FALSE)*'Material Quantities &amp; Embodied '!$G256/1000</f>
        <v>0</v>
      </c>
      <c r="I256" s="178">
        <f>VLOOKUP($F256,'Carbon Factors'!$B$5:$L$41,3,FALSE)*'Material Quantities &amp; Embodied '!$G256/1000</f>
        <v>0</v>
      </c>
      <c r="J256" s="178">
        <f>VLOOKUP($F256,'Carbon Factors'!$B$5:$L$41,5,FALSE)*'Material Quantities &amp; Embodied '!$G256/1000</f>
        <v>0</v>
      </c>
      <c r="K256" s="178">
        <f>VLOOKUP($F256,'Carbon Factors'!$B$5:$L$41,6,FALSE)*'Material Quantities &amp; Embodied '!$G256/1000</f>
        <v>0</v>
      </c>
      <c r="L256" s="178">
        <f>VLOOKUP($F256,'Carbon Factors'!$B$5:$L$41,7,FALSE)*'Material Quantities &amp; Embodied '!$G256/1000</f>
        <v>0</v>
      </c>
      <c r="M256" s="178">
        <f>VLOOKUP($F256,'Carbon Factors'!$B$5:$L$41,8,FALSE)*'Material Quantities &amp; Embodied '!$G256/1000</f>
        <v>0</v>
      </c>
      <c r="N256" s="178">
        <f>VLOOKUP($F256,'Carbon Factors'!$B$5:$L$41,9,FALSE)*'Material Quantities &amp; Embodied '!$G256/1000</f>
        <v>0</v>
      </c>
      <c r="O256" s="178">
        <f>VLOOKUP($F256,'Carbon Factors'!$B$5:$L$41,10,FALSE)*'Material Quantities &amp; Embodied '!$G256/1000</f>
        <v>0</v>
      </c>
      <c r="P256" s="178">
        <f>VLOOKUP($F256,'Carbon Factors'!$B$5:$L$41,11,FALSE)*'Material Quantities &amp; Embodied '!$G256/1000</f>
        <v>0</v>
      </c>
    </row>
    <row r="257" spans="1:16">
      <c r="D257" s="152"/>
      <c r="E257" s="150" t="s">
        <v>117</v>
      </c>
      <c r="F257" s="150" t="s">
        <v>118</v>
      </c>
      <c r="G257" s="1301">
        <f>IF(A232=0,0,G256*0.02)</f>
        <v>0</v>
      </c>
      <c r="H257" s="178">
        <f>VLOOKUP($F257,'Carbon Factors'!$B$5:$L$41,2,FALSE)*'Material Quantities &amp; Embodied '!$G257/1000</f>
        <v>0</v>
      </c>
      <c r="I257" s="178">
        <f>VLOOKUP($F257,'Carbon Factors'!$B$5:$L$41,3,FALSE)*'Material Quantities &amp; Embodied '!$G257/1000</f>
        <v>0</v>
      </c>
      <c r="J257" s="178">
        <f>VLOOKUP($F257,'Carbon Factors'!$B$5:$L$41,5,FALSE)*'Material Quantities &amp; Embodied '!$G257/1000</f>
        <v>0</v>
      </c>
      <c r="K257" s="178">
        <f>VLOOKUP($F257,'Carbon Factors'!$B$5:$L$41,6,FALSE)*'Material Quantities &amp; Embodied '!$G257/1000</f>
        <v>0</v>
      </c>
      <c r="L257" s="178">
        <f>VLOOKUP($F257,'Carbon Factors'!$B$5:$L$41,7,FALSE)*'Material Quantities &amp; Embodied '!$G257/1000</f>
        <v>0</v>
      </c>
      <c r="M257" s="178">
        <f>VLOOKUP($F257,'Carbon Factors'!$B$5:$L$41,8,FALSE)*'Material Quantities &amp; Embodied '!$G257/1000</f>
        <v>0</v>
      </c>
      <c r="N257" s="178">
        <f>VLOOKUP($F257,'Carbon Factors'!$B$5:$L$41,9,FALSE)*'Material Quantities &amp; Embodied '!$G257/1000</f>
        <v>0</v>
      </c>
      <c r="O257" s="178">
        <f>VLOOKUP($F257,'Carbon Factors'!$B$5:$L$41,10,FALSE)*'Material Quantities &amp; Embodied '!$G257/1000</f>
        <v>0</v>
      </c>
      <c r="P257" s="178">
        <f>VLOOKUP($F257,'Carbon Factors'!$B$5:$L$41,11,FALSE)*'Material Quantities &amp; Embodied '!$G257/1000</f>
        <v>0</v>
      </c>
    </row>
    <row r="258" spans="1:16">
      <c r="D258" s="182" t="s">
        <v>138</v>
      </c>
      <c r="G258" s="1301">
        <f>IF(A232=0,0,IF(Summary!J$13="Yes",(G250*18/24),(G242*18/24))+G244*18/24+G245*18/20)</f>
        <v>2093680.7339449541</v>
      </c>
      <c r="H258" s="178">
        <v>0</v>
      </c>
      <c r="I258" s="178">
        <f>G258*50*0.1065*0.001*0.001</f>
        <v>11.14884990825688</v>
      </c>
      <c r="J258" s="178">
        <v>0</v>
      </c>
      <c r="K258" s="178">
        <v>0</v>
      </c>
      <c r="L258" s="178">
        <v>0</v>
      </c>
      <c r="M258" s="178">
        <v>0</v>
      </c>
      <c r="N258" s="178">
        <f>I258</f>
        <v>11.14884990825688</v>
      </c>
      <c r="O258" s="178">
        <f>N258</f>
        <v>11.14884990825688</v>
      </c>
      <c r="P258" s="178">
        <v>0</v>
      </c>
    </row>
    <row r="259" spans="1:16">
      <c r="D259" s="182" t="s">
        <v>139</v>
      </c>
      <c r="G259" s="1301">
        <f>IF(A232=0,0,G248*(18/24))</f>
        <v>118692.66055045871</v>
      </c>
      <c r="H259" s="178">
        <v>0</v>
      </c>
      <c r="I259" s="178">
        <f t="shared" ref="I259:I260" si="28">G259*50*0.1065*0.001*0.001</f>
        <v>0.6320384174311926</v>
      </c>
      <c r="J259" s="178">
        <v>0</v>
      </c>
      <c r="K259" s="178">
        <v>0</v>
      </c>
      <c r="L259" s="178">
        <v>0</v>
      </c>
      <c r="M259" s="178">
        <v>0</v>
      </c>
      <c r="N259" s="178">
        <f t="shared" ref="N259:N260" si="29">I259</f>
        <v>0.6320384174311926</v>
      </c>
      <c r="O259" s="178">
        <f t="shared" ref="O259:O260" si="30">N259</f>
        <v>0.6320384174311926</v>
      </c>
      <c r="P259" s="178">
        <v>0</v>
      </c>
    </row>
    <row r="260" spans="1:16">
      <c r="B260" s="179"/>
      <c r="C260" s="179"/>
      <c r="D260" s="183" t="s">
        <v>140</v>
      </c>
      <c r="E260" s="184"/>
      <c r="F260" s="184"/>
      <c r="G260" s="1302">
        <f>IF(A232=0,0,IF(Summary!J$13="Yes",18*1000/9.81*Summary!C$13*Summary!C$14*Summary!C$15*Summary!C$16*Summary!J$14,0))</f>
        <v>0</v>
      </c>
      <c r="H260" s="181">
        <v>0</v>
      </c>
      <c r="I260" s="181">
        <f t="shared" si="28"/>
        <v>0</v>
      </c>
      <c r="J260" s="181">
        <v>0</v>
      </c>
      <c r="K260" s="181">
        <v>0</v>
      </c>
      <c r="L260" s="181">
        <v>0</v>
      </c>
      <c r="M260" s="181">
        <v>0</v>
      </c>
      <c r="N260" s="181">
        <f t="shared" si="29"/>
        <v>0</v>
      </c>
      <c r="O260" s="181">
        <f t="shared" si="30"/>
        <v>0</v>
      </c>
      <c r="P260" s="181">
        <v>0</v>
      </c>
    </row>
    <row r="261" spans="1:16">
      <c r="H261" s="185">
        <f>SUM(H232:H260)</f>
        <v>921.26976811177542</v>
      </c>
      <c r="I261" s="185">
        <f t="shared" ref="I261:P261" si="31">SUM(I232:I260)</f>
        <v>64.453726426532029</v>
      </c>
      <c r="J261" s="185">
        <f t="shared" si="31"/>
        <v>26.986674402292465</v>
      </c>
      <c r="K261" s="185">
        <f t="shared" si="31"/>
        <v>69.796378753916571</v>
      </c>
      <c r="L261" s="185">
        <f t="shared" si="31"/>
        <v>96.783053156209021</v>
      </c>
      <c r="M261" s="185">
        <f t="shared" si="31"/>
        <v>-86.367166505362306</v>
      </c>
      <c r="N261" s="185">
        <f t="shared" si="31"/>
        <v>1026.9532456030454</v>
      </c>
      <c r="O261" s="185">
        <f t="shared" si="31"/>
        <v>1123.7362987592539</v>
      </c>
      <c r="P261" s="185">
        <f t="shared" si="31"/>
        <v>0</v>
      </c>
    </row>
    <row r="262" spans="1:16" ht="12.75" thickBot="1">
      <c r="B262" s="172"/>
      <c r="C262" s="172"/>
      <c r="D262" s="172"/>
      <c r="E262" s="172"/>
      <c r="F262" s="172"/>
      <c r="G262" s="173"/>
      <c r="H262" s="186"/>
      <c r="I262" s="186"/>
      <c r="J262" s="186"/>
      <c r="K262" s="186"/>
      <c r="L262" s="186"/>
      <c r="M262" s="186"/>
      <c r="N262" s="186"/>
      <c r="O262" s="186"/>
      <c r="P262" s="186"/>
    </row>
    <row r="263" spans="1:16"/>
    <row r="264" spans="1:16">
      <c r="H264" s="1311" t="s">
        <v>99</v>
      </c>
      <c r="I264" s="1311"/>
      <c r="J264" s="1311"/>
      <c r="K264" s="1311"/>
      <c r="L264" s="1311"/>
      <c r="M264" s="1311"/>
      <c r="N264" s="1311"/>
      <c r="O264" s="1311"/>
      <c r="P264" s="1311"/>
    </row>
    <row r="265" spans="1:16" ht="12.75" thickBot="1">
      <c r="B265" s="175" t="s">
        <v>22</v>
      </c>
      <c r="C265" s="175" t="s">
        <v>100</v>
      </c>
      <c r="D265" s="175" t="s">
        <v>101</v>
      </c>
      <c r="E265" s="175" t="s">
        <v>102</v>
      </c>
      <c r="F265" s="175" t="s">
        <v>103</v>
      </c>
      <c r="G265" s="72" t="s">
        <v>104</v>
      </c>
      <c r="H265" s="176" t="s">
        <v>105</v>
      </c>
      <c r="I265" s="176" t="s">
        <v>106</v>
      </c>
      <c r="J265" s="176" t="s">
        <v>107</v>
      </c>
      <c r="K265" s="176" t="s">
        <v>108</v>
      </c>
      <c r="L265" s="176" t="s">
        <v>109</v>
      </c>
      <c r="M265" s="176" t="s">
        <v>110</v>
      </c>
      <c r="N265" s="176" t="s">
        <v>111</v>
      </c>
      <c r="O265" s="176" t="s">
        <v>112</v>
      </c>
      <c r="P265" s="176" t="s">
        <v>113</v>
      </c>
    </row>
    <row r="266" spans="1:16">
      <c r="A266" s="148">
        <f>MIN(Pile!DN464,Database!E25)</f>
        <v>0.57475999999999994</v>
      </c>
      <c r="B266" s="150" t="str">
        <f>Database!D25</f>
        <v>Composite Cell Beams with Metal Decking</v>
      </c>
      <c r="C266" s="150" t="s">
        <v>114</v>
      </c>
      <c r="D266" s="150" t="s">
        <v>115</v>
      </c>
      <c r="E266" s="150" t="s">
        <v>116</v>
      </c>
      <c r="F266" s="150" t="str">
        <f>F6</f>
        <v>C32/40 - 25% GGBS</v>
      </c>
      <c r="G266" s="1301">
        <f>IF(A266=0,0,IF(Summary!J$8="No",Database!G25*Summary!C$13*Summary!C$14*Summary!C$15*Summary!C$16*Summary!C$17,Database!G25*Summary!C$13*Summary!C$14*Summary!C$15*Summary!C$16*(Summary!C$17-1)))</f>
        <v>1667522.935779816</v>
      </c>
      <c r="H266" s="178">
        <f>VLOOKUP($F266,'Carbon Factors'!$B$5:$L$41,2,FALSE)*'Material Quantities &amp; Embodied '!$G266/1000</f>
        <v>200.10275229357791</v>
      </c>
      <c r="I266" s="178">
        <f>VLOOKUP($F266,'Carbon Factors'!$B$5:$L$41,3,FALSE)*'Material Quantities &amp; Embodied '!$G266/1000</f>
        <v>8.3376146788990813</v>
      </c>
      <c r="J266" s="178">
        <f>VLOOKUP($F266,'Carbon Factors'!$B$5:$L$41,5,FALSE)*'Material Quantities &amp; Embodied '!$G266/1000</f>
        <v>8.3918091743119252</v>
      </c>
      <c r="K266" s="178">
        <f>VLOOKUP($F266,'Carbon Factors'!$B$5:$L$41,6,FALSE)*'Material Quantities &amp; Embodied '!$G266/1000</f>
        <v>21.677798165137606</v>
      </c>
      <c r="L266" s="178">
        <f>VLOOKUP($F266,'Carbon Factors'!$B$5:$L$41,7,FALSE)*'Material Quantities &amp; Embodied '!$G266/1000</f>
        <v>30.069607339449533</v>
      </c>
      <c r="M266" s="178">
        <f>VLOOKUP($F266,'Carbon Factors'!$B$5:$L$41,8,FALSE)*'Material Quantities &amp; Embodied '!$G266/1000</f>
        <v>7.337100917431191</v>
      </c>
      <c r="N266" s="178">
        <f>VLOOKUP($F266,'Carbon Factors'!$B$5:$L$41,9,FALSE)*'Material Quantities &amp; Embodied '!$G266/1000</f>
        <v>221.0813956110091</v>
      </c>
      <c r="O266" s="178">
        <f>VLOOKUP($F266,'Carbon Factors'!$B$5:$L$41,10,FALSE)*'Material Quantities &amp; Embodied '!$G266/1000</f>
        <v>251.15100295045863</v>
      </c>
      <c r="P266" s="178">
        <f>VLOOKUP($F266,'Carbon Factors'!$B$5:$L$41,11,FALSE)*'Material Quantities &amp; Embodied '!$G266/1000</f>
        <v>0</v>
      </c>
    </row>
    <row r="267" spans="1:16">
      <c r="E267" s="150" t="s">
        <v>117</v>
      </c>
      <c r="F267" s="150" t="s">
        <v>118</v>
      </c>
      <c r="G267" s="1301">
        <f>IF(A266=0,0,IF(Summary!J$8="No",Database!H25*Summary!C$13*Summary!C$14*Summary!C$15*Summary!C$16*Summary!C$17,Database!H25*Summary!C$13*Summary!C$14*Summary!C$15*Summary!C$16*(Summary!C$17-1)))</f>
        <v>18568.600495048559</v>
      </c>
      <c r="H267" s="178">
        <f>VLOOKUP($F267,'Carbon Factors'!$B$5:$L$41,2,FALSE)*'Material Quantities &amp; Embodied '!$G267/1000</f>
        <v>14.112136376236904</v>
      </c>
      <c r="I267" s="178">
        <f>VLOOKUP($F267,'Carbon Factors'!$B$5:$L$41,3,FALSE)*'Material Quantities &amp; Embodied '!$G267/1000</f>
        <v>0.59419521584155388</v>
      </c>
      <c r="J267" s="178">
        <f>VLOOKUP($F267,'Carbon Factors'!$B$5:$L$41,5,FALSE)*'Material Quantities &amp; Embodied '!$G267/1000</f>
        <v>9.3446481991331876E-2</v>
      </c>
      <c r="K267" s="178">
        <f>VLOOKUP($F267,'Carbon Factors'!$B$5:$L$41,6,FALSE)*'Material Quantities &amp; Embodied '!$G267/1000</f>
        <v>0.24139180643563124</v>
      </c>
      <c r="L267" s="178">
        <f>VLOOKUP($F267,'Carbon Factors'!$B$5:$L$41,7,FALSE)*'Material Quantities &amp; Embodied '!$G267/1000</f>
        <v>0.33483828842696312</v>
      </c>
      <c r="M267" s="178">
        <f>VLOOKUP($F267,'Carbon Factors'!$B$5:$L$41,8,FALSE)*'Material Quantities &amp; Embodied '!$G267/1000</f>
        <v>6.5175787737620441</v>
      </c>
      <c r="N267" s="178">
        <f>VLOOKUP($F267,'Carbon Factors'!$B$5:$L$41,9,FALSE)*'Material Quantities &amp; Embodied '!$G267/1000</f>
        <v>15.503513595745245</v>
      </c>
      <c r="O267" s="178">
        <f>VLOOKUP($F267,'Carbon Factors'!$B$5:$L$41,10,FALSE)*'Material Quantities &amp; Embodied '!$G267/1000</f>
        <v>15.838351884172209</v>
      </c>
      <c r="P267" s="178">
        <f>VLOOKUP($F267,'Carbon Factors'!$B$5:$L$41,11,FALSE)*'Material Quantities &amp; Embodied '!$G267/1000</f>
        <v>0</v>
      </c>
    </row>
    <row r="268" spans="1:16">
      <c r="E268" s="150" t="s">
        <v>143</v>
      </c>
      <c r="F268" s="150" t="str">
        <f>IF(Summary!F$10="Basic Oxygen Furnace","Steel - Structural_sections - UK open sections","Steel - Structural_sections - Europe avg EPD")</f>
        <v>Steel - Structural_sections - Europe avg EPD</v>
      </c>
      <c r="G268" s="1301">
        <f>IF(A266=0,0,IF(Summary!J$8="No",Database!J25*1.1*Summary!C$13*Summary!C$14*Summary!C$15*Summary!C$16*Summary!C$17,Database!J25*Summary!C$13*Summary!C$14*Summary!C$15*Summary!C$16*(Summary!C$17-1)))</f>
        <v>244153.63339595424</v>
      </c>
      <c r="H268" s="178">
        <f>VLOOKUP($F268,'Carbon Factors'!$B$5:$L$41,2,FALSE)*'Material Quantities &amp; Embodied '!$G268/1000</f>
        <v>275.89360573742823</v>
      </c>
      <c r="I268" s="178">
        <f>VLOOKUP($F268,'Carbon Factors'!$B$5:$L$41,3,FALSE)*'Material Quantities &amp; Embodied '!$G268/1000</f>
        <v>39.064581343352678</v>
      </c>
      <c r="J268" s="178">
        <f>VLOOKUP($F268,'Carbon Factors'!$B$5:$L$41,5,FALSE)*'Material Quantities &amp; Embodied '!$G268/1000</f>
        <v>1.2239421642139183</v>
      </c>
      <c r="K268" s="178">
        <f>VLOOKUP($F268,'Carbon Factors'!$B$5:$L$41,6,FALSE)*'Material Quantities &amp; Embodied '!$G268/1000</f>
        <v>3.173997234147405</v>
      </c>
      <c r="L268" s="178">
        <f>VLOOKUP($F268,'Carbon Factors'!$B$5:$L$41,7,FALSE)*'Material Quantities &amp; Embodied '!$G268/1000</f>
        <v>4.3979393983613235</v>
      </c>
      <c r="M268" s="178">
        <f>VLOOKUP($F268,'Carbon Factors'!$B$5:$L$41,8,FALSE)*'Material Quantities &amp; Embodied '!$G268/1000</f>
        <v>-100.8354505925291</v>
      </c>
      <c r="N268" s="178">
        <f>VLOOKUP($F268,'Carbon Factors'!$B$5:$L$41,9,FALSE)*'Material Quantities &amp; Embodied '!$G268/1000</f>
        <v>318.1517483455724</v>
      </c>
      <c r="O268" s="178">
        <f>VLOOKUP($F268,'Carbon Factors'!$B$5:$L$41,10,FALSE)*'Material Quantities &amp; Embodied '!$G268/1000</f>
        <v>322.54968774393365</v>
      </c>
      <c r="P268" s="178">
        <f>VLOOKUP($F268,'Carbon Factors'!$B$5:$L$41,11,FALSE)*'Material Quantities &amp; Embodied '!$G268/1000</f>
        <v>0</v>
      </c>
    </row>
    <row r="269" spans="1:16">
      <c r="E269" s="150" t="s">
        <v>147</v>
      </c>
      <c r="F269" s="150" t="s">
        <v>148</v>
      </c>
      <c r="G269" s="1301">
        <f>IF(A266=0,0,IF(Summary!J$8="No",11.21*Summary!C$13*Summary!C$14*Summary!C$15*Summary!C$16*Summary!C$17,11.21*Summary!C$13*Summary!C$14*Summary!C$15*Summary!C$16*(Summary!C$17-1)))</f>
        <v>64569.600000000006</v>
      </c>
      <c r="H269" s="178">
        <f>VLOOKUP($F269,'Carbon Factors'!$B$5:$L$41,2,FALSE)*'Material Quantities &amp; Embodied '!$G269/1000</f>
        <v>176.92070400000003</v>
      </c>
      <c r="I269" s="178">
        <f>VLOOKUP($F269,'Carbon Factors'!$B$5:$L$41,3,FALSE)*'Material Quantities &amp; Embodied '!$G269/1000</f>
        <v>2.0662272000000002</v>
      </c>
      <c r="J269" s="178">
        <f>VLOOKUP($F269,'Carbon Factors'!$B$5:$L$41,5,FALSE)*'Material Quantities &amp; Embodied '!$G269/1000</f>
        <v>0.32368740479999997</v>
      </c>
      <c r="K269" s="178">
        <f>VLOOKUP($F269,'Carbon Factors'!$B$5:$L$41,6,FALSE)*'Material Quantities &amp; Embodied '!$G269/1000</f>
        <v>0.83940480000000006</v>
      </c>
      <c r="L269" s="178">
        <f>VLOOKUP($F269,'Carbon Factors'!$B$5:$L$41,7,FALSE)*'Material Quantities &amp; Embodied '!$G269/1000</f>
        <v>1.1630922048000001</v>
      </c>
      <c r="M269" s="178">
        <f>VLOOKUP($F269,'Carbon Factors'!$B$5:$L$41,8,FALSE)*'Material Quantities &amp; Embodied '!$G269/1000</f>
        <v>-74.255040000000008</v>
      </c>
      <c r="N269" s="178">
        <f>VLOOKUP($F269,'Carbon Factors'!$B$5:$L$41,9,FALSE)*'Material Quantities &amp; Embodied '!$G269/1000</f>
        <v>180.78843143404802</v>
      </c>
      <c r="O269" s="178">
        <f>VLOOKUP($F269,'Carbon Factors'!$B$5:$L$41,10,FALSE)*'Material Quantities &amp; Embodied '!$G269/1000</f>
        <v>181.95152363884802</v>
      </c>
      <c r="P269" s="178">
        <f>VLOOKUP($F269,'Carbon Factors'!$B$5:$L$41,11,FALSE)*'Material Quantities &amp; Embodied '!$G269/1000</f>
        <v>0</v>
      </c>
    </row>
    <row r="270" spans="1:16">
      <c r="D270" s="150" t="s">
        <v>119</v>
      </c>
      <c r="E270" s="150" t="s">
        <v>143</v>
      </c>
      <c r="F270" s="150" t="str">
        <f>IF(Summary!F$10="Basic Oxygen Furnace","Steel - Structural_sections - UK open sections","Steel - Structural_sections - Europe avg EPD")</f>
        <v>Steel - Structural_sections - Europe avg EPD</v>
      </c>
      <c r="G270" s="1301">
        <f>IF(A266=0,0,'Steel Column'!K60*1.1*1000)</f>
        <v>34877.040000000008</v>
      </c>
      <c r="H270" s="178">
        <f>VLOOKUP($F270,'Carbon Factors'!$B$5:$L$41,2,FALSE)*'Material Quantities &amp; Embodied '!$G270/1000</f>
        <v>39.4110552</v>
      </c>
      <c r="I270" s="178">
        <f>VLOOKUP($F270,'Carbon Factors'!$B$5:$L$41,3,FALSE)*'Material Quantities &amp; Embodied '!$G270/1000</f>
        <v>5.5803264000000015</v>
      </c>
      <c r="J270" s="178">
        <f>VLOOKUP($F270,'Carbon Factors'!$B$5:$L$41,5,FALSE)*'Material Quantities &amp; Embodied '!$G270/1000</f>
        <v>0.17483860152000003</v>
      </c>
      <c r="K270" s="178">
        <f>VLOOKUP($F270,'Carbon Factors'!$B$5:$L$41,6,FALSE)*'Material Quantities &amp; Embodied '!$G270/1000</f>
        <v>0.45340152000000006</v>
      </c>
      <c r="L270" s="178">
        <f>VLOOKUP($F270,'Carbon Factors'!$B$5:$L$41,7,FALSE)*'Material Quantities &amp; Embodied '!$G270/1000</f>
        <v>0.62824012152000008</v>
      </c>
      <c r="M270" s="178">
        <f>VLOOKUP($F270,'Carbon Factors'!$B$5:$L$41,8,FALSE)*'Material Quantities &amp; Embodied '!$G270/1000</f>
        <v>-14.404217520000001</v>
      </c>
      <c r="N270" s="178">
        <f>VLOOKUP($F270,'Carbon Factors'!$B$5:$L$41,9,FALSE)*'Material Quantities &amp; Embodied '!$G270/1000</f>
        <v>45.447577817215205</v>
      </c>
      <c r="O270" s="178">
        <f>VLOOKUP($F270,'Carbon Factors'!$B$5:$L$41,10,FALSE)*'Material Quantities &amp; Embodied '!$G270/1000</f>
        <v>46.075817938735199</v>
      </c>
      <c r="P270" s="178">
        <f>VLOOKUP($F270,'Carbon Factors'!$B$5:$L$41,11,FALSE)*'Material Quantities &amp; Embodied '!$G270/1000</f>
        <v>0</v>
      </c>
    </row>
    <row r="271" spans="1:16">
      <c r="D271" s="150" t="s">
        <v>120</v>
      </c>
      <c r="E271" s="150" t="s">
        <v>121</v>
      </c>
      <c r="F271" s="150" t="str">
        <f>F6</f>
        <v>C32/40 - 25% GGBS</v>
      </c>
      <c r="G271" s="1301">
        <f>IF(A266=0,0,SUM('Shear Walls'!AY84,'Shear Walls'!AY118))</f>
        <v>37001.40522204771</v>
      </c>
      <c r="H271" s="178">
        <f>VLOOKUP($F271,'Carbon Factors'!$B$5:$L$41,2,FALSE)*'Material Quantities &amp; Embodied '!$G271/1000</f>
        <v>4.4401686266457245</v>
      </c>
      <c r="I271" s="178">
        <f>VLOOKUP($F271,'Carbon Factors'!$B$5:$L$41,3,FALSE)*'Material Quantities &amp; Embodied '!$G271/1000</f>
        <v>0.18500702611023853</v>
      </c>
      <c r="J271" s="178">
        <f>VLOOKUP($F271,'Carbon Factors'!$B$5:$L$41,5,FALSE)*'Material Quantities &amp; Embodied '!$G271/1000</f>
        <v>0.18620957177995512</v>
      </c>
      <c r="K271" s="178">
        <f>VLOOKUP($F271,'Carbon Factors'!$B$5:$L$41,6,FALSE)*'Material Quantities &amp; Embodied '!$G271/1000</f>
        <v>0.48101826788662022</v>
      </c>
      <c r="L271" s="178">
        <f>VLOOKUP($F271,'Carbon Factors'!$B$5:$L$41,7,FALSE)*'Material Quantities &amp; Embodied '!$G271/1000</f>
        <v>0.66722783966657528</v>
      </c>
      <c r="M271" s="178">
        <f>VLOOKUP($F271,'Carbon Factors'!$B$5:$L$41,8,FALSE)*'Material Quantities &amp; Embodied '!$G271/1000</f>
        <v>0.16280618297700994</v>
      </c>
      <c r="N271" s="178">
        <f>VLOOKUP($F271,'Carbon Factors'!$B$5:$L$41,9,FALSE)*'Material Quantities &amp; Embodied '!$G271/1000</f>
        <v>4.905673037854358</v>
      </c>
      <c r="O271" s="178">
        <f>VLOOKUP($F271,'Carbon Factors'!$B$5:$L$41,10,FALSE)*'Material Quantities &amp; Embodied '!$G271/1000</f>
        <v>5.5729008775209339</v>
      </c>
      <c r="P271" s="178">
        <f>VLOOKUP($F271,'Carbon Factors'!$B$5:$L$41,11,FALSE)*'Material Quantities &amp; Embodied '!$G271/1000</f>
        <v>0</v>
      </c>
    </row>
    <row r="272" spans="1:16">
      <c r="E272" s="150" t="s">
        <v>117</v>
      </c>
      <c r="F272" s="150" t="s">
        <v>118</v>
      </c>
      <c r="G272" s="1301">
        <f>IF(A266=0,0,SUM('Shear Walls'!AY85,'Shear Walls'!AY119))</f>
        <v>1308.2307358729677</v>
      </c>
      <c r="H272" s="178">
        <f>VLOOKUP($F272,'Carbon Factors'!$B$5:$L$41,2,FALSE)*'Material Quantities &amp; Embodied '!$G272/1000</f>
        <v>0.99425535926345554</v>
      </c>
      <c r="I272" s="178">
        <f>VLOOKUP($F272,'Carbon Factors'!$B$5:$L$41,3,FALSE)*'Material Quantities &amp; Embodied '!$G272/1000</f>
        <v>4.1863383547934965E-2</v>
      </c>
      <c r="J272" s="178">
        <f>VLOOKUP($F272,'Carbon Factors'!$B$5:$L$41,5,FALSE)*'Material Quantities &amp; Embodied '!$G272/1000</f>
        <v>6.5836711782807106E-3</v>
      </c>
      <c r="K272" s="178">
        <f>VLOOKUP($F272,'Carbon Factors'!$B$5:$L$41,6,FALSE)*'Material Quantities &amp; Embodied '!$G272/1000</f>
        <v>1.7006999566348577E-2</v>
      </c>
      <c r="L272" s="178">
        <f>VLOOKUP($F272,'Carbon Factors'!$B$5:$L$41,7,FALSE)*'Material Quantities &amp; Embodied '!$G272/1000</f>
        <v>2.359067074462929E-2</v>
      </c>
      <c r="M272" s="178">
        <f>VLOOKUP($F272,'Carbon Factors'!$B$5:$L$41,8,FALSE)*'Material Quantities &amp; Embodied '!$G272/1000</f>
        <v>0.45918898829141164</v>
      </c>
      <c r="N272" s="178">
        <f>VLOOKUP($F272,'Carbon Factors'!$B$5:$L$41,9,FALSE)*'Material Quantities &amp; Embodied '!$G272/1000</f>
        <v>1.0922833417298596</v>
      </c>
      <c r="O272" s="178">
        <f>VLOOKUP($F272,'Carbon Factors'!$B$5:$L$41,10,FALSE)*'Material Quantities &amp; Embodied '!$G272/1000</f>
        <v>1.1158740124744888</v>
      </c>
      <c r="P272" s="178">
        <f>VLOOKUP($F272,'Carbon Factors'!$B$5:$L$41,11,FALSE)*'Material Quantities &amp; Embodied '!$G272/1000</f>
        <v>0</v>
      </c>
    </row>
    <row r="273" spans="3:16">
      <c r="D273" s="150" t="s">
        <v>122</v>
      </c>
      <c r="E273" s="150" t="s">
        <v>116</v>
      </c>
      <c r="F273" s="150" t="str">
        <f>Summary!F$9</f>
        <v>C32/40 - 25% GGBS</v>
      </c>
      <c r="G273" s="1301">
        <f>IF(A266=0,0,IF(Summary!J$8="Yes",Summary!C$13*Summary!C$14*Summary!C$15*Summary!C$16*Summary!J$9*24*1000/9.81,0))</f>
        <v>0</v>
      </c>
      <c r="H273" s="178">
        <f>VLOOKUP($F273,'Carbon Factors'!$B$5:$L$41,2,FALSE)*'Material Quantities &amp; Embodied '!$G273/1000</f>
        <v>0</v>
      </c>
      <c r="I273" s="178">
        <f>VLOOKUP($F273,'Carbon Factors'!$B$5:$L$41,3,FALSE)*'Material Quantities &amp; Embodied '!$G273/1000</f>
        <v>0</v>
      </c>
      <c r="J273" s="178">
        <f>VLOOKUP($F273,'Carbon Factors'!$B$5:$L$41,5,FALSE)*'Material Quantities &amp; Embodied '!$G273/1000</f>
        <v>0</v>
      </c>
      <c r="K273" s="178">
        <f>VLOOKUP($F273,'Carbon Factors'!$B$5:$L$41,6,FALSE)*'Material Quantities &amp; Embodied '!$G273/1000</f>
        <v>0</v>
      </c>
      <c r="L273" s="178">
        <f>VLOOKUP($F273,'Carbon Factors'!$B$5:$L$41,7,FALSE)*'Material Quantities &amp; Embodied '!$G273/1000</f>
        <v>0</v>
      </c>
      <c r="M273" s="178">
        <f>VLOOKUP($F273,'Carbon Factors'!$B$5:$L$41,8,FALSE)*'Material Quantities &amp; Embodied '!$G273/1000</f>
        <v>0</v>
      </c>
      <c r="N273" s="178">
        <f>VLOOKUP($F273,'Carbon Factors'!$B$5:$L$41,9,FALSE)*'Material Quantities &amp; Embodied '!$G273/1000</f>
        <v>0</v>
      </c>
      <c r="O273" s="178">
        <f>VLOOKUP($F273,'Carbon Factors'!$B$5:$L$41,10,FALSE)*'Material Quantities &amp; Embodied '!$G273/1000</f>
        <v>0</v>
      </c>
      <c r="P273" s="178">
        <f>VLOOKUP($F273,'Carbon Factors'!$B$5:$L$41,11,FALSE)*'Material Quantities &amp; Embodied '!$G273/1000</f>
        <v>0</v>
      </c>
    </row>
    <row r="274" spans="3:16">
      <c r="E274" s="150" t="s">
        <v>117</v>
      </c>
      <c r="F274" s="150" t="s">
        <v>118</v>
      </c>
      <c r="G274" s="1301">
        <f>IF(A266=0,0,IF(Summary!J$8="Yes",Summary!C$13*Summary!C$14*Summary!C$15*Summary!C$16*Summary!J$9*Summary!J$10,0))</f>
        <v>0</v>
      </c>
      <c r="H274" s="178">
        <f>VLOOKUP($F274,'Carbon Factors'!$B$5:$L$41,2,FALSE)*'Material Quantities &amp; Embodied '!$G274/1000</f>
        <v>0</v>
      </c>
      <c r="I274" s="178">
        <f>VLOOKUP($F274,'Carbon Factors'!$B$5:$L$41,3,FALSE)*'Material Quantities &amp; Embodied '!$G274/1000</f>
        <v>0</v>
      </c>
      <c r="J274" s="178">
        <f>VLOOKUP($F274,'Carbon Factors'!$B$5:$L$41,5,FALSE)*'Material Quantities &amp; Embodied '!$G274/1000</f>
        <v>0</v>
      </c>
      <c r="K274" s="178">
        <f>VLOOKUP($F274,'Carbon Factors'!$B$5:$L$41,6,FALSE)*'Material Quantities &amp; Embodied '!$G274/1000</f>
        <v>0</v>
      </c>
      <c r="L274" s="178">
        <f>VLOOKUP($F274,'Carbon Factors'!$B$5:$L$41,7,FALSE)*'Material Quantities &amp; Embodied '!$G274/1000</f>
        <v>0</v>
      </c>
      <c r="M274" s="178">
        <f>VLOOKUP($F274,'Carbon Factors'!$B$5:$L$41,8,FALSE)*'Material Quantities &amp; Embodied '!$G274/1000</f>
        <v>0</v>
      </c>
      <c r="N274" s="178">
        <f>VLOOKUP($F274,'Carbon Factors'!$B$5:$L$41,9,FALSE)*'Material Quantities &amp; Embodied '!$G274/1000</f>
        <v>0</v>
      </c>
      <c r="O274" s="178">
        <f>VLOOKUP($F274,'Carbon Factors'!$B$5:$L$41,10,FALSE)*'Material Quantities &amp; Embodied '!$G274/1000</f>
        <v>0</v>
      </c>
      <c r="P274" s="178">
        <f>VLOOKUP($F274,'Carbon Factors'!$B$5:$L$41,11,FALSE)*'Material Quantities &amp; Embodied '!$G274/1000</f>
        <v>0</v>
      </c>
    </row>
    <row r="275" spans="3:16">
      <c r="C275" s="179"/>
      <c r="D275" s="179" t="s">
        <v>144</v>
      </c>
      <c r="E275" s="179" t="s">
        <v>145</v>
      </c>
      <c r="F275" s="179" t="s">
        <v>146</v>
      </c>
      <c r="G275" s="1302">
        <f>Intumescent!N6</f>
        <v>3918.9380880000003</v>
      </c>
      <c r="H275" s="181">
        <f>VLOOKUP($F275,'Carbon Factors'!$B$5:$L$41,2,FALSE)*'Material Quantities &amp; Embodied '!$G275/1000</f>
        <v>9.0527469832800023</v>
      </c>
      <c r="I275" s="181">
        <f>VLOOKUP($F275,'Carbon Factors'!$B$5:$L$41,3,FALSE)*'Material Quantities &amp; Embodied '!$G275/1000</f>
        <v>0.62703009407999999</v>
      </c>
      <c r="J275" s="181">
        <f>VLOOKUP($F275,'Carbon Factors'!$B$5:$L$41,5,FALSE)*'Material Quantities &amp; Embodied '!$G275/1000</f>
        <v>1.9722055927860006E-2</v>
      </c>
      <c r="K275" s="181">
        <f>VLOOKUP($F275,'Carbon Factors'!$B$5:$L$41,6,FALSE)*'Material Quantities &amp; Embodied '!$G275/1000</f>
        <v>5.0946195143999999E-2</v>
      </c>
      <c r="L275" s="181">
        <f>VLOOKUP($F275,'Carbon Factors'!$B$5:$L$41,7,FALSE)*'Material Quantities &amp; Embodied '!$G275/1000</f>
        <v>7.0668251071860019E-2</v>
      </c>
      <c r="M275" s="181">
        <f>VLOOKUP($F275,'Carbon Factors'!$B$5:$L$41,8,FALSE)*'Material Quantities &amp; Embodied '!$G275/1000</f>
        <v>0</v>
      </c>
      <c r="N275" s="181">
        <f>VLOOKUP($F275,'Carbon Factors'!$B$5:$L$41,9,FALSE)*'Material Quantities &amp; Embodied '!$G275/1000</f>
        <v>10.196550679766892</v>
      </c>
      <c r="O275" s="181">
        <f>VLOOKUP($F275,'Carbon Factors'!$B$5:$L$41,10,FALSE)*'Material Quantities &amp; Embodied '!$G275/1000</f>
        <v>10.26721893083875</v>
      </c>
      <c r="P275" s="181">
        <f>VLOOKUP($F275,'Carbon Factors'!$B$5:$L$41,11,FALSE)*'Material Quantities &amp; Embodied '!$G275/1000</f>
        <v>0</v>
      </c>
    </row>
    <row r="276" spans="3:16">
      <c r="C276" s="150" t="s">
        <v>123</v>
      </c>
      <c r="D276" s="150" t="s">
        <v>124</v>
      </c>
      <c r="E276" s="150" t="s">
        <v>116</v>
      </c>
      <c r="F276" s="150" t="str">
        <f>F6</f>
        <v>C32/40 - 25% GGBS</v>
      </c>
      <c r="G276" s="1301">
        <f>IF(A266=0,0,IF(Summary!J13="No",(480*Summary!C13*Summary!C14*Summary!C15*Summary!C16),(Basement!C11*Summary!C13*Summary!C14*Summary!C15*Summary!C16)))</f>
        <v>1382400</v>
      </c>
      <c r="H276" s="178">
        <f>VLOOKUP($F276,'Carbon Factors'!$B$5:$L$41,2,FALSE)*'Material Quantities &amp; Embodied '!$G276/1000</f>
        <v>165.88800000000001</v>
      </c>
      <c r="I276" s="178">
        <f>VLOOKUP($F276,'Carbon Factors'!$B$5:$L$41,3,FALSE)*'Material Quantities &amp; Embodied '!$G276/1000</f>
        <v>6.9119999999999999</v>
      </c>
      <c r="J276" s="178">
        <f>VLOOKUP($F276,'Carbon Factors'!$B$5:$L$41,5,FALSE)*'Material Quantities &amp; Embodied '!$G276/1000</f>
        <v>6.9569280000000004</v>
      </c>
      <c r="K276" s="178">
        <f>VLOOKUP($F276,'Carbon Factors'!$B$5:$L$41,6,FALSE)*'Material Quantities &amp; Embodied '!$G276/1000</f>
        <v>17.9712</v>
      </c>
      <c r="L276" s="178">
        <f>VLOOKUP($F276,'Carbon Factors'!$B$5:$L$41,7,FALSE)*'Material Quantities &amp; Embodied '!$G276/1000</f>
        <v>24.928128000000001</v>
      </c>
      <c r="M276" s="178">
        <f>VLOOKUP($F276,'Carbon Factors'!$B$5:$L$41,8,FALSE)*'Material Quantities &amp; Embodied '!$G276/1000</f>
        <v>6.08256</v>
      </c>
      <c r="N276" s="178">
        <f>VLOOKUP($F276,'Carbon Factors'!$B$5:$L$41,9,FALSE)*'Material Quantities &amp; Embodied '!$G276/1000</f>
        <v>183.27959078399999</v>
      </c>
      <c r="O276" s="178">
        <f>VLOOKUP($F276,'Carbon Factors'!$B$5:$L$41,10,FALSE)*'Material Quantities &amp; Embodied '!$G276/1000</f>
        <v>208.20771878400001</v>
      </c>
      <c r="P276" s="178">
        <f>VLOOKUP($F276,'Carbon Factors'!$B$5:$L$41,11,FALSE)*'Material Quantities &amp; Embodied '!$G276/1000</f>
        <v>0</v>
      </c>
    </row>
    <row r="277" spans="3:16">
      <c r="E277" s="150" t="s">
        <v>117</v>
      </c>
      <c r="F277" s="150" t="s">
        <v>118</v>
      </c>
      <c r="G277" s="1301">
        <f>IF(A266=0,0,IF(Summary!J13="No",(12*Summary!C13*Summary!C14*Summary!C15*Summary!C16),(Basement!C10*Summary!C13*Summary!C14*Summary!C15*Summary!C16)))</f>
        <v>34560</v>
      </c>
      <c r="H277" s="178">
        <f>VLOOKUP($F277,'Carbon Factors'!$B$5:$L$41,2,FALSE)*'Material Quantities &amp; Embodied '!$G277/1000</f>
        <v>26.265599999999999</v>
      </c>
      <c r="I277" s="178">
        <f>VLOOKUP($F277,'Carbon Factors'!$B$5:$L$41,3,FALSE)*'Material Quantities &amp; Embodied '!$G277/1000</f>
        <v>1.10592</v>
      </c>
      <c r="J277" s="178">
        <f>VLOOKUP($F277,'Carbon Factors'!$B$5:$L$41,5,FALSE)*'Material Quantities &amp; Embodied '!$G277/1000</f>
        <v>0.1739232</v>
      </c>
      <c r="K277" s="178">
        <f>VLOOKUP($F277,'Carbon Factors'!$B$5:$L$41,6,FALSE)*'Material Quantities &amp; Embodied '!$G277/1000</f>
        <v>0.44927999999999996</v>
      </c>
      <c r="L277" s="178">
        <f>VLOOKUP($F277,'Carbon Factors'!$B$5:$L$41,7,FALSE)*'Material Quantities &amp; Embodied '!$G277/1000</f>
        <v>0.62320320000000007</v>
      </c>
      <c r="M277" s="178">
        <f>VLOOKUP($F277,'Carbon Factors'!$B$5:$L$41,8,FALSE)*'Material Quantities &amp; Embodied '!$G277/1000</f>
        <v>12.130559999999999</v>
      </c>
      <c r="N277" s="178">
        <f>VLOOKUP($F277,'Carbon Factors'!$B$5:$L$41,9,FALSE)*'Material Quantities &amp; Embodied '!$G277/1000</f>
        <v>28.855240329600001</v>
      </c>
      <c r="O277" s="178">
        <f>VLOOKUP($F277,'Carbon Factors'!$B$5:$L$41,10,FALSE)*'Material Quantities &amp; Embodied '!$G277/1000</f>
        <v>29.4784435296</v>
      </c>
      <c r="P277" s="178">
        <f>VLOOKUP($F277,'Carbon Factors'!$B$5:$L$41,11,FALSE)*'Material Quantities &amp; Embodied '!$G277/1000</f>
        <v>0</v>
      </c>
    </row>
    <row r="278" spans="3:16">
      <c r="D278" s="150" t="s">
        <v>126</v>
      </c>
      <c r="E278" s="150" t="s">
        <v>116</v>
      </c>
      <c r="F278" s="150" t="s">
        <v>127</v>
      </c>
      <c r="G278" s="1301">
        <f>IF(A266=0,0,Summary!C13*Summary!C14*Summary!C15*Summary!C16*0.05*24*1000/9.81)</f>
        <v>352293.57798165135</v>
      </c>
      <c r="H278" s="178">
        <f>VLOOKUP($F278,'Carbon Factors'!$B$5:$L$41,2,FALSE)*'Material Quantities &amp; Embodied '!$G278/1000</f>
        <v>52.491743119266054</v>
      </c>
      <c r="I278" s="178">
        <f>VLOOKUP($F278,'Carbon Factors'!$B$5:$L$41,3,FALSE)*'Material Quantities &amp; Embodied '!$G278/1000</f>
        <v>1.761467889908257</v>
      </c>
      <c r="J278" s="178">
        <f>VLOOKUP($F278,'Carbon Factors'!$B$5:$L$41,5,FALSE)*'Material Quantities &amp; Embodied '!$G278/1000</f>
        <v>1.7729174311926605</v>
      </c>
      <c r="K278" s="178">
        <f>VLOOKUP($F278,'Carbon Factors'!$B$5:$L$41,6,FALSE)*'Material Quantities &amp; Embodied '!$G278/1000</f>
        <v>4.5798165137614681</v>
      </c>
      <c r="L278" s="178">
        <f>VLOOKUP($F278,'Carbon Factors'!$B$5:$L$41,7,FALSE)*'Material Quantities &amp; Embodied '!$G278/1000</f>
        <v>6.352733944954128</v>
      </c>
      <c r="M278" s="178">
        <f>VLOOKUP($F278,'Carbon Factors'!$B$5:$L$41,8,FALSE)*'Material Quantities &amp; Embodied '!$G278/1000</f>
        <v>1.550091743119266</v>
      </c>
      <c r="N278" s="178">
        <f>VLOOKUP($F278,'Carbon Factors'!$B$5:$L$41,9,FALSE)*'Material Quantities &amp; Embodied '!$G278/1000</f>
        <v>57.465326091743115</v>
      </c>
      <c r="O278" s="178">
        <f>VLOOKUP($F278,'Carbon Factors'!$B$5:$L$41,10,FALSE)*'Material Quantities &amp; Embodied '!$G278/1000</f>
        <v>63.818060036697247</v>
      </c>
      <c r="P278" s="178">
        <f>VLOOKUP($F278,'Carbon Factors'!$B$5:$L$41,11,FALSE)*'Material Quantities &amp; Embodied '!$G278/1000</f>
        <v>0</v>
      </c>
    </row>
    <row r="279" spans="3:16">
      <c r="D279" s="150" t="s">
        <v>128</v>
      </c>
      <c r="E279" s="150" t="s">
        <v>129</v>
      </c>
      <c r="F279" s="150" t="s">
        <v>130</v>
      </c>
      <c r="G279" s="1301">
        <f>IF(A266=0,0,Summary!C13*Summary!C14*Summary!C15*Summary!C16*0.15*20*1000/9.81)</f>
        <v>880733.94495412835</v>
      </c>
      <c r="H279" s="178">
        <f>VLOOKUP($F279,'Carbon Factors'!$B$5:$L$41,2,FALSE)*'Material Quantities &amp; Embodied '!$G279/1000</f>
        <v>6.5790825688073395</v>
      </c>
      <c r="I279" s="178">
        <f>VLOOKUP($F279,'Carbon Factors'!$B$5:$L$41,3,FALSE)*'Material Quantities &amp; Embodied '!$G279/1000</f>
        <v>4.4036697247706416</v>
      </c>
      <c r="J279" s="178">
        <f>VLOOKUP($F279,'Carbon Factors'!$B$5:$L$41,5,FALSE)*'Material Quantities &amp; Embodied '!$G279/1000</f>
        <v>4.4036697247706416</v>
      </c>
      <c r="K279" s="178">
        <f>VLOOKUP($F279,'Carbon Factors'!$B$5:$L$41,6,FALSE)*'Material Quantities &amp; Embodied '!$G279/1000</f>
        <v>11.449541284403667</v>
      </c>
      <c r="L279" s="178">
        <f>VLOOKUP($F279,'Carbon Factors'!$B$5:$L$41,7,FALSE)*'Material Quantities &amp; Embodied '!$G279/1000</f>
        <v>15.853211009174309</v>
      </c>
      <c r="M279" s="178">
        <f>VLOOKUP($F279,'Carbon Factors'!$B$5:$L$41,8,FALSE)*'Material Quantities &amp; Embodied '!$G279/1000</f>
        <v>0</v>
      </c>
      <c r="N279" s="178">
        <f>VLOOKUP($F279,'Carbon Factors'!$B$5:$L$41,9,FALSE)*'Material Quantities &amp; Embodied '!$G279/1000</f>
        <v>12.405058348623852</v>
      </c>
      <c r="O279" s="178">
        <f>VLOOKUP($F279,'Carbon Factors'!$B$5:$L$41,10,FALSE)*'Material Quantities &amp; Embodied '!$G279/1000</f>
        <v>28.258269357798163</v>
      </c>
      <c r="P279" s="178">
        <f>VLOOKUP($F279,'Carbon Factors'!$B$5:$L$41,11,FALSE)*'Material Quantities &amp; Embodied '!$G279/1000</f>
        <v>0</v>
      </c>
    </row>
    <row r="280" spans="3:16">
      <c r="D280" s="150" t="s">
        <v>131</v>
      </c>
      <c r="E280" s="150" t="s">
        <v>116</v>
      </c>
      <c r="F280" s="150" t="str">
        <f>F6</f>
        <v>C32/40 - 25% GGBS</v>
      </c>
      <c r="G280" s="1301">
        <f>IF(A266=0,0,Pile!DN468*24*1000/9.81)</f>
        <v>589831.13851638837</v>
      </c>
      <c r="H280" s="178">
        <f>VLOOKUP($F280,'Carbon Factors'!$B$5:$L$41,2,FALSE)*'Material Quantities &amp; Embodied '!$G280/1000</f>
        <v>70.779736621966606</v>
      </c>
      <c r="I280" s="178">
        <f>VLOOKUP($F280,'Carbon Factors'!$B$5:$L$41,3,FALSE)*'Material Quantities &amp; Embodied '!$G280/1000</f>
        <v>2.9491556925819418</v>
      </c>
      <c r="J280" s="178">
        <f>VLOOKUP($F280,'Carbon Factors'!$B$5:$L$41,5,FALSE)*'Material Quantities &amp; Embodied '!$G280/1000</f>
        <v>2.9683252045837247</v>
      </c>
      <c r="K280" s="178">
        <f>VLOOKUP($F280,'Carbon Factors'!$B$5:$L$41,6,FALSE)*'Material Quantities &amp; Embodied '!$G280/1000</f>
        <v>7.6678048007130482</v>
      </c>
      <c r="L280" s="178">
        <f>VLOOKUP($F280,'Carbon Factors'!$B$5:$L$41,7,FALSE)*'Material Quantities &amp; Embodied '!$G280/1000</f>
        <v>10.636130005296772</v>
      </c>
      <c r="M280" s="178">
        <f>VLOOKUP($F280,'Carbon Factors'!$B$5:$L$41,8,FALSE)*'Material Quantities &amp; Embodied '!$G280/1000</f>
        <v>2.595257009472109</v>
      </c>
      <c r="N280" s="178">
        <f>VLOOKUP($F280,'Carbon Factors'!$B$5:$L$41,9,FALSE)*'Material Quantities &amp; Embodied '!$G280/1000</f>
        <v>78.200238497500351</v>
      </c>
      <c r="O280" s="178">
        <f>VLOOKUP($F280,'Carbon Factors'!$B$5:$L$41,10,FALSE)*'Material Quantities &amp; Embodied '!$G280/1000</f>
        <v>88.836368502797129</v>
      </c>
      <c r="P280" s="178">
        <f>VLOOKUP($F280,'Carbon Factors'!$B$5:$L$41,11,FALSE)*'Material Quantities &amp; Embodied '!$G280/1000</f>
        <v>0</v>
      </c>
    </row>
    <row r="281" spans="3:16">
      <c r="E281" s="150" t="s">
        <v>117</v>
      </c>
      <c r="F281" s="150" t="s">
        <v>118</v>
      </c>
      <c r="G281" s="1301">
        <f>IF(A266=0,0,Pile!DN474*1000)</f>
        <v>22961.883023999995</v>
      </c>
      <c r="H281" s="178">
        <f>VLOOKUP($F281,'Carbon Factors'!$B$5:$L$41,2,FALSE)*'Material Quantities &amp; Embodied '!$G281/1000</f>
        <v>17.451031098239998</v>
      </c>
      <c r="I281" s="178">
        <f>VLOOKUP($F281,'Carbon Factors'!$B$5:$L$41,3,FALSE)*'Material Quantities &amp; Embodied '!$G281/1000</f>
        <v>0.73478025676799985</v>
      </c>
      <c r="J281" s="178">
        <f>VLOOKUP($F281,'Carbon Factors'!$B$5:$L$41,5,FALSE)*'Material Quantities &amp; Embodied '!$G281/1000</f>
        <v>0.11555567631828</v>
      </c>
      <c r="K281" s="178">
        <f>VLOOKUP($F281,'Carbon Factors'!$B$5:$L$41,6,FALSE)*'Material Quantities &amp; Embodied '!$G281/1000</f>
        <v>0.29850447931199997</v>
      </c>
      <c r="L281" s="178">
        <f>VLOOKUP($F281,'Carbon Factors'!$B$5:$L$41,7,FALSE)*'Material Quantities &amp; Embodied '!$G281/1000</f>
        <v>0.41406015563027987</v>
      </c>
      <c r="M281" s="178">
        <f>VLOOKUP($F281,'Carbon Factors'!$B$5:$L$41,8,FALSE)*'Material Quantities &amp; Embodied '!$G281/1000</f>
        <v>8.0596209414239972</v>
      </c>
      <c r="N281" s="178">
        <f>VLOOKUP($F281,'Carbon Factors'!$B$5:$L$41,9,FALSE)*'Material Quantities &amp; Embodied '!$G281/1000</f>
        <v>19.171604545071826</v>
      </c>
      <c r="O281" s="178">
        <f>VLOOKUP($F281,'Carbon Factors'!$B$5:$L$41,10,FALSE)*'Material Quantities &amp; Embodied '!$G281/1000</f>
        <v>19.585664700702104</v>
      </c>
      <c r="P281" s="178">
        <f>VLOOKUP($F281,'Carbon Factors'!$B$5:$L$41,11,FALSE)*'Material Quantities &amp; Embodied '!$G281/1000</f>
        <v>0</v>
      </c>
    </row>
    <row r="282" spans="3:16">
      <c r="D282" s="150" t="s">
        <v>132</v>
      </c>
      <c r="E282" s="150" t="s">
        <v>116</v>
      </c>
      <c r="F282" s="150" t="str">
        <f>F6</f>
        <v>C32/40 - 25% GGBS</v>
      </c>
      <c r="G282" s="1301">
        <f>IF(A266=0,0,Pile!DN480*24*1000/9.81)</f>
        <v>155504.58715596329</v>
      </c>
      <c r="H282" s="178">
        <f>VLOOKUP($F282,'Carbon Factors'!$B$5:$L$41,2,FALSE)*'Material Quantities &amp; Embodied '!$G282/1000</f>
        <v>18.660550458715594</v>
      </c>
      <c r="I282" s="178">
        <f>VLOOKUP($F282,'Carbon Factors'!$B$5:$L$41,3,FALSE)*'Material Quantities &amp; Embodied '!$G282/1000</f>
        <v>0.77752293577981657</v>
      </c>
      <c r="J282" s="178">
        <f>VLOOKUP($F282,'Carbon Factors'!$B$5:$L$41,5,FALSE)*'Material Quantities &amp; Embodied '!$G282/1000</f>
        <v>0.78257683486238538</v>
      </c>
      <c r="K282" s="178">
        <f>VLOOKUP($F282,'Carbon Factors'!$B$5:$L$41,6,FALSE)*'Material Quantities &amp; Embodied '!$G282/1000</f>
        <v>2.0215596330275227</v>
      </c>
      <c r="L282" s="178">
        <f>VLOOKUP($F282,'Carbon Factors'!$B$5:$L$41,7,FALSE)*'Material Quantities &amp; Embodied '!$G282/1000</f>
        <v>2.8041364678899079</v>
      </c>
      <c r="M282" s="178">
        <f>VLOOKUP($F282,'Carbon Factors'!$B$5:$L$41,8,FALSE)*'Material Quantities &amp; Embodied '!$G282/1000</f>
        <v>0.68422018348623848</v>
      </c>
      <c r="N282" s="178">
        <f>VLOOKUP($F282,'Carbon Factors'!$B$5:$L$41,9,FALSE)*'Material Quantities &amp; Embodied '!$G282/1000</f>
        <v>20.616910517201831</v>
      </c>
      <c r="O282" s="178">
        <f>VLOOKUP($F282,'Carbon Factors'!$B$5:$L$41,10,FALSE)*'Material Quantities &amp; Embodied '!$G282/1000</f>
        <v>23.421046985091742</v>
      </c>
      <c r="P282" s="178">
        <f>VLOOKUP($F282,'Carbon Factors'!$B$5:$L$41,11,FALSE)*'Material Quantities &amp; Embodied '!$G282/1000</f>
        <v>0</v>
      </c>
    </row>
    <row r="283" spans="3:16">
      <c r="E283" s="150" t="s">
        <v>117</v>
      </c>
      <c r="F283" s="150" t="s">
        <v>118</v>
      </c>
      <c r="G283" s="1301">
        <f>IF(A266=0,0,Pile!DO480*1000)</f>
        <v>6991.875</v>
      </c>
      <c r="H283" s="178">
        <f>VLOOKUP($F283,'Carbon Factors'!$B$5:$L$41,2,FALSE)*'Material Quantities &amp; Embodied '!$G283/1000</f>
        <v>5.3138249999999996</v>
      </c>
      <c r="I283" s="178">
        <f>VLOOKUP($F283,'Carbon Factors'!$B$5:$L$41,3,FALSE)*'Material Quantities &amp; Embodied '!$G283/1000</f>
        <v>0.22374000000000002</v>
      </c>
      <c r="J283" s="178">
        <f>VLOOKUP($F283,'Carbon Factors'!$B$5:$L$41,5,FALSE)*'Material Quantities &amp; Embodied '!$G283/1000</f>
        <v>3.5186610937500008E-2</v>
      </c>
      <c r="K283" s="178">
        <f>VLOOKUP($F283,'Carbon Factors'!$B$5:$L$41,6,FALSE)*'Material Quantities &amp; Embodied '!$G283/1000</f>
        <v>9.0894374999999999E-2</v>
      </c>
      <c r="L283" s="178">
        <f>VLOOKUP($F283,'Carbon Factors'!$B$5:$L$41,7,FALSE)*'Material Quantities &amp; Embodied '!$G283/1000</f>
        <v>0.1260809859375</v>
      </c>
      <c r="M283" s="178">
        <f>VLOOKUP($F283,'Carbon Factors'!$B$5:$L$41,8,FALSE)*'Material Quantities &amp; Embodied '!$G283/1000</f>
        <v>2.4541481249999997</v>
      </c>
      <c r="N283" s="178">
        <f>VLOOKUP($F283,'Carbon Factors'!$B$5:$L$41,9,FALSE)*'Material Quantities &amp; Embodied '!$G283/1000</f>
        <v>5.8377382372546878</v>
      </c>
      <c r="O283" s="178">
        <f>VLOOKUP($F283,'Carbon Factors'!$B$5:$L$41,10,FALSE)*'Material Quantities &amp; Embodied '!$G283/1000</f>
        <v>5.9638192231921874</v>
      </c>
      <c r="P283" s="178">
        <f>VLOOKUP($F283,'Carbon Factors'!$B$5:$L$41,11,FALSE)*'Material Quantities &amp; Embodied '!$G283/1000</f>
        <v>0</v>
      </c>
    </row>
    <row r="284" spans="3:16">
      <c r="D284" s="150" t="s">
        <v>134</v>
      </c>
      <c r="E284" s="150" t="s">
        <v>116</v>
      </c>
      <c r="F284" s="150" t="str">
        <f>F6</f>
        <v>C32/40 - 25% GGBS</v>
      </c>
      <c r="G284" s="1301">
        <f>IF(A266=0,0,Basement!C31*Summary!C13*Summary!C14*Summary!C15*Summary!C16)</f>
        <v>0</v>
      </c>
      <c r="H284" s="178">
        <f>VLOOKUP($F284,'Carbon Factors'!$B$5:$L$41,2,FALSE)*'Material Quantities &amp; Embodied '!$G284/1000</f>
        <v>0</v>
      </c>
      <c r="I284" s="178">
        <f>VLOOKUP($F284,'Carbon Factors'!$B$5:$L$41,3,FALSE)*'Material Quantities &amp; Embodied '!$G284/1000</f>
        <v>0</v>
      </c>
      <c r="J284" s="178">
        <f>VLOOKUP($F284,'Carbon Factors'!$B$5:$L$41,5,FALSE)*'Material Quantities &amp; Embodied '!$G284/1000</f>
        <v>0</v>
      </c>
      <c r="K284" s="178">
        <f>VLOOKUP($F284,'Carbon Factors'!$B$5:$L$41,6,FALSE)*'Material Quantities &amp; Embodied '!$G284/1000</f>
        <v>0</v>
      </c>
      <c r="L284" s="178">
        <f>VLOOKUP($F284,'Carbon Factors'!$B$5:$L$41,7,FALSE)*'Material Quantities &amp; Embodied '!$G284/1000</f>
        <v>0</v>
      </c>
      <c r="M284" s="178">
        <f>VLOOKUP($F284,'Carbon Factors'!$B$5:$L$41,8,FALSE)*'Material Quantities &amp; Embodied '!$G284/1000</f>
        <v>0</v>
      </c>
      <c r="N284" s="178">
        <f>VLOOKUP($F284,'Carbon Factors'!$B$5:$L$41,9,FALSE)*'Material Quantities &amp; Embodied '!$G284/1000</f>
        <v>0</v>
      </c>
      <c r="O284" s="178">
        <f>VLOOKUP($F284,'Carbon Factors'!$B$5:$L$41,10,FALSE)*'Material Quantities &amp; Embodied '!$G284/1000</f>
        <v>0</v>
      </c>
      <c r="P284" s="178">
        <f>VLOOKUP($F284,'Carbon Factors'!$B$5:$L$41,11,FALSE)*'Material Quantities &amp; Embodied '!$G284/1000</f>
        <v>0</v>
      </c>
    </row>
    <row r="285" spans="3:16">
      <c r="E285" s="150" t="s">
        <v>117</v>
      </c>
      <c r="F285" s="150" t="s">
        <v>118</v>
      </c>
      <c r="G285" s="1301">
        <f>IF(A266=0,0,Basement!C30*Summary!C13*Summary!C14*Summary!C15*Summary!C16)</f>
        <v>0</v>
      </c>
      <c r="H285" s="178">
        <f>VLOOKUP($F285,'Carbon Factors'!$B$5:$L$41,2,FALSE)*'Material Quantities &amp; Embodied '!$G285/1000</f>
        <v>0</v>
      </c>
      <c r="I285" s="178">
        <f>VLOOKUP($F285,'Carbon Factors'!$B$5:$L$41,3,FALSE)*'Material Quantities &amp; Embodied '!$G285/1000</f>
        <v>0</v>
      </c>
      <c r="J285" s="178">
        <f>VLOOKUP($F285,'Carbon Factors'!$B$5:$L$41,5,FALSE)*'Material Quantities &amp; Embodied '!$G285/1000</f>
        <v>0</v>
      </c>
      <c r="K285" s="178">
        <f>VLOOKUP($F285,'Carbon Factors'!$B$5:$L$41,6,FALSE)*'Material Quantities &amp; Embodied '!$G285/1000</f>
        <v>0</v>
      </c>
      <c r="L285" s="178">
        <f>VLOOKUP($F285,'Carbon Factors'!$B$5:$L$41,7,FALSE)*'Material Quantities &amp; Embodied '!$G285/1000</f>
        <v>0</v>
      </c>
      <c r="M285" s="178">
        <f>VLOOKUP($F285,'Carbon Factors'!$B$5:$L$41,8,FALSE)*'Material Quantities &amp; Embodied '!$G285/1000</f>
        <v>0</v>
      </c>
      <c r="N285" s="178">
        <f>VLOOKUP($F285,'Carbon Factors'!$B$5:$L$41,9,FALSE)*'Material Quantities &amp; Embodied '!$G285/1000</f>
        <v>0</v>
      </c>
      <c r="O285" s="178">
        <f>VLOOKUP($F285,'Carbon Factors'!$B$5:$L$41,10,FALSE)*'Material Quantities &amp; Embodied '!$G285/1000</f>
        <v>0</v>
      </c>
      <c r="P285" s="178">
        <f>VLOOKUP($F285,'Carbon Factors'!$B$5:$L$41,11,FALSE)*'Material Quantities &amp; Embodied '!$G285/1000</f>
        <v>0</v>
      </c>
    </row>
    <row r="286" spans="3:16">
      <c r="D286" s="150" t="s">
        <v>135</v>
      </c>
      <c r="E286" s="150" t="s">
        <v>116</v>
      </c>
      <c r="F286" s="150" t="str">
        <f>F6</f>
        <v>C32/40 - 25% GGBS</v>
      </c>
      <c r="G286" s="1301">
        <f>IF(A266=0,0,(Summary!J14*(Summary!C13*Summary!C15*2+Summary!C14*Summary!C16*2))*Basement!K79)</f>
        <v>0</v>
      </c>
      <c r="H286" s="178">
        <f>VLOOKUP($F286,'Carbon Factors'!$B$5:$L$41,2,FALSE)*'Material Quantities &amp; Embodied '!$G286/1000</f>
        <v>0</v>
      </c>
      <c r="I286" s="178">
        <f>VLOOKUP($F286,'Carbon Factors'!$B$5:$L$41,3,FALSE)*'Material Quantities &amp; Embodied '!$G286/1000</f>
        <v>0</v>
      </c>
      <c r="J286" s="178">
        <f>VLOOKUP($F286,'Carbon Factors'!$B$5:$L$41,5,FALSE)*'Material Quantities &amp; Embodied '!$G286/1000</f>
        <v>0</v>
      </c>
      <c r="K286" s="178">
        <f>VLOOKUP($F286,'Carbon Factors'!$B$5:$L$41,6,FALSE)*'Material Quantities &amp; Embodied '!$G286/1000</f>
        <v>0</v>
      </c>
      <c r="L286" s="178">
        <f>VLOOKUP($F286,'Carbon Factors'!$B$5:$L$41,7,FALSE)*'Material Quantities &amp; Embodied '!$G286/1000</f>
        <v>0</v>
      </c>
      <c r="M286" s="178">
        <f>VLOOKUP($F286,'Carbon Factors'!$B$5:$L$41,8,FALSE)*'Material Quantities &amp; Embodied '!$G286/1000</f>
        <v>0</v>
      </c>
      <c r="N286" s="178">
        <f>VLOOKUP($F286,'Carbon Factors'!$B$5:$L$41,9,FALSE)*'Material Quantities &amp; Embodied '!$G286/1000</f>
        <v>0</v>
      </c>
      <c r="O286" s="178">
        <f>VLOOKUP($F286,'Carbon Factors'!$B$5:$L$41,10,FALSE)*'Material Quantities &amp; Embodied '!$G286/1000</f>
        <v>0</v>
      </c>
      <c r="P286" s="178">
        <f>VLOOKUP($F286,'Carbon Factors'!$B$5:$L$41,11,FALSE)*'Material Quantities &amp; Embodied '!$G286/1000</f>
        <v>0</v>
      </c>
    </row>
    <row r="287" spans="3:16">
      <c r="E287" s="150" t="s">
        <v>117</v>
      </c>
      <c r="F287" s="150" t="s">
        <v>118</v>
      </c>
      <c r="G287" s="1301">
        <f>IF(A266=0,0,(Summary!J14*(Summary!C13*Summary!C15*2+Summary!C14*Summary!C16*2))*Basement!K78)</f>
        <v>0</v>
      </c>
      <c r="H287" s="178">
        <f>VLOOKUP($F287,'Carbon Factors'!$B$5:$L$41,2,FALSE)*'Material Quantities &amp; Embodied '!$G287/1000</f>
        <v>0</v>
      </c>
      <c r="I287" s="178">
        <f>VLOOKUP($F287,'Carbon Factors'!$B$5:$L$41,3,FALSE)*'Material Quantities &amp; Embodied '!$G287/1000</f>
        <v>0</v>
      </c>
      <c r="J287" s="178">
        <f>VLOOKUP($F287,'Carbon Factors'!$B$5:$L$41,5,FALSE)*'Material Quantities &amp; Embodied '!$G287/1000</f>
        <v>0</v>
      </c>
      <c r="K287" s="178">
        <f>VLOOKUP($F287,'Carbon Factors'!$B$5:$L$41,6,FALSE)*'Material Quantities &amp; Embodied '!$G287/1000</f>
        <v>0</v>
      </c>
      <c r="L287" s="178">
        <f>VLOOKUP($F287,'Carbon Factors'!$B$5:$L$41,7,FALSE)*'Material Quantities &amp; Embodied '!$G287/1000</f>
        <v>0</v>
      </c>
      <c r="M287" s="178">
        <f>VLOOKUP($F287,'Carbon Factors'!$B$5:$L$41,8,FALSE)*'Material Quantities &amp; Embodied '!$G287/1000</f>
        <v>0</v>
      </c>
      <c r="N287" s="178">
        <f>VLOOKUP($F287,'Carbon Factors'!$B$5:$L$41,9,FALSE)*'Material Quantities &amp; Embodied '!$G287/1000</f>
        <v>0</v>
      </c>
      <c r="O287" s="178">
        <f>VLOOKUP($F287,'Carbon Factors'!$B$5:$L$41,10,FALSE)*'Material Quantities &amp; Embodied '!$G287/1000</f>
        <v>0</v>
      </c>
      <c r="P287" s="178">
        <f>VLOOKUP($F287,'Carbon Factors'!$B$5:$L$41,11,FALSE)*'Material Quantities &amp; Embodied '!$G287/1000</f>
        <v>0</v>
      </c>
    </row>
    <row r="288" spans="3:16">
      <c r="D288" s="150" t="s">
        <v>136</v>
      </c>
      <c r="E288" s="150" t="s">
        <v>116</v>
      </c>
      <c r="F288" s="150" t="str">
        <f>F6</f>
        <v>C32/40 - 25% GGBS</v>
      </c>
      <c r="G288" s="1301">
        <f>IF(A266=0,0,(Basement!M105+Basement!M118+Basement!M131)*24*1000/9.81)</f>
        <v>0</v>
      </c>
      <c r="H288" s="178">
        <f>VLOOKUP($F288,'Carbon Factors'!$B$5:$L$41,2,FALSE)*'Material Quantities &amp; Embodied '!$G288/1000</f>
        <v>0</v>
      </c>
      <c r="I288" s="178">
        <f>VLOOKUP($F288,'Carbon Factors'!$B$5:$L$41,3,FALSE)*'Material Quantities &amp; Embodied '!$G288/1000</f>
        <v>0</v>
      </c>
      <c r="J288" s="178">
        <f>VLOOKUP($F288,'Carbon Factors'!$B$5:$L$41,5,FALSE)*'Material Quantities &amp; Embodied '!$G288/1000</f>
        <v>0</v>
      </c>
      <c r="K288" s="178">
        <f>VLOOKUP($F288,'Carbon Factors'!$B$5:$L$41,6,FALSE)*'Material Quantities &amp; Embodied '!$G288/1000</f>
        <v>0</v>
      </c>
      <c r="L288" s="178">
        <f>VLOOKUP($F288,'Carbon Factors'!$B$5:$L$41,7,FALSE)*'Material Quantities &amp; Embodied '!$G288/1000</f>
        <v>0</v>
      </c>
      <c r="M288" s="178">
        <f>VLOOKUP($F288,'Carbon Factors'!$B$5:$L$41,8,FALSE)*'Material Quantities &amp; Embodied '!$G288/1000</f>
        <v>0</v>
      </c>
      <c r="N288" s="178">
        <f>VLOOKUP($F288,'Carbon Factors'!$B$5:$L$41,9,FALSE)*'Material Quantities &amp; Embodied '!$G288/1000</f>
        <v>0</v>
      </c>
      <c r="O288" s="178">
        <f>VLOOKUP($F288,'Carbon Factors'!$B$5:$L$41,10,FALSE)*'Material Quantities &amp; Embodied '!$G288/1000</f>
        <v>0</v>
      </c>
      <c r="P288" s="178">
        <f>VLOOKUP($F288,'Carbon Factors'!$B$5:$L$41,11,FALSE)*'Material Quantities &amp; Embodied '!$G288/1000</f>
        <v>0</v>
      </c>
    </row>
    <row r="289" spans="1:16">
      <c r="E289" s="150" t="s">
        <v>117</v>
      </c>
      <c r="F289" s="150" t="s">
        <v>118</v>
      </c>
      <c r="G289" s="1301">
        <f>IF(A266=0,0,(Basement!N105+Basement!N118+Basement!N131)*1000)</f>
        <v>0</v>
      </c>
      <c r="H289" s="178">
        <f>VLOOKUP($F289,'Carbon Factors'!$B$5:$L$41,2,FALSE)*'Material Quantities &amp; Embodied '!$G289/1000</f>
        <v>0</v>
      </c>
      <c r="I289" s="178">
        <f>VLOOKUP($F289,'Carbon Factors'!$B$5:$L$41,3,FALSE)*'Material Quantities &amp; Embodied '!$G289/1000</f>
        <v>0</v>
      </c>
      <c r="J289" s="178">
        <f>VLOOKUP($F289,'Carbon Factors'!$B$5:$L$41,5,FALSE)*'Material Quantities &amp; Embodied '!$G289/1000</f>
        <v>0</v>
      </c>
      <c r="K289" s="178">
        <f>VLOOKUP($F289,'Carbon Factors'!$B$5:$L$41,6,FALSE)*'Material Quantities &amp; Embodied '!$G289/1000</f>
        <v>0</v>
      </c>
      <c r="L289" s="178">
        <f>VLOOKUP($F289,'Carbon Factors'!$B$5:$L$41,7,FALSE)*'Material Quantities &amp; Embodied '!$G289/1000</f>
        <v>0</v>
      </c>
      <c r="M289" s="178">
        <f>VLOOKUP($F289,'Carbon Factors'!$B$5:$L$41,8,FALSE)*'Material Quantities &amp; Embodied '!$G289/1000</f>
        <v>0</v>
      </c>
      <c r="N289" s="178">
        <f>VLOOKUP($F289,'Carbon Factors'!$B$5:$L$41,9,FALSE)*'Material Quantities &amp; Embodied '!$G289/1000</f>
        <v>0</v>
      </c>
      <c r="O289" s="178">
        <f>VLOOKUP($F289,'Carbon Factors'!$B$5:$L$41,10,FALSE)*'Material Quantities &amp; Embodied '!$G289/1000</f>
        <v>0</v>
      </c>
      <c r="P289" s="178">
        <f>VLOOKUP($F289,'Carbon Factors'!$B$5:$L$41,11,FALSE)*'Material Quantities &amp; Embodied '!$G289/1000</f>
        <v>0</v>
      </c>
    </row>
    <row r="290" spans="1:16">
      <c r="D290" s="182" t="s">
        <v>137</v>
      </c>
      <c r="E290" s="150" t="s">
        <v>116</v>
      </c>
      <c r="F290" s="150" t="str">
        <f>F28</f>
        <v>C32/40 - 25% GGBS</v>
      </c>
      <c r="G290" s="1301">
        <f>IF(A266=0,0,Basement!D162*24*1000/9.81)</f>
        <v>0</v>
      </c>
      <c r="H290" s="178">
        <f>VLOOKUP($F290,'Carbon Factors'!$B$5:$L$41,2,FALSE)*'Material Quantities &amp; Embodied '!$G290/1000</f>
        <v>0</v>
      </c>
      <c r="I290" s="178">
        <f>VLOOKUP($F290,'Carbon Factors'!$B$5:$L$41,3,FALSE)*'Material Quantities &amp; Embodied '!$G290/1000</f>
        <v>0</v>
      </c>
      <c r="J290" s="178">
        <f>VLOOKUP($F290,'Carbon Factors'!$B$5:$L$41,5,FALSE)*'Material Quantities &amp; Embodied '!$G290/1000</f>
        <v>0</v>
      </c>
      <c r="K290" s="178">
        <f>VLOOKUP($F290,'Carbon Factors'!$B$5:$L$41,6,FALSE)*'Material Quantities &amp; Embodied '!$G290/1000</f>
        <v>0</v>
      </c>
      <c r="L290" s="178">
        <f>VLOOKUP($F290,'Carbon Factors'!$B$5:$L$41,7,FALSE)*'Material Quantities &amp; Embodied '!$G290/1000</f>
        <v>0</v>
      </c>
      <c r="M290" s="178">
        <f>VLOOKUP($F290,'Carbon Factors'!$B$5:$L$41,8,FALSE)*'Material Quantities &amp; Embodied '!$G290/1000</f>
        <v>0</v>
      </c>
      <c r="N290" s="178">
        <f>VLOOKUP($F290,'Carbon Factors'!$B$5:$L$41,9,FALSE)*'Material Quantities &amp; Embodied '!$G290/1000</f>
        <v>0</v>
      </c>
      <c r="O290" s="178">
        <f>VLOOKUP($F290,'Carbon Factors'!$B$5:$L$41,10,FALSE)*'Material Quantities &amp; Embodied '!$G290/1000</f>
        <v>0</v>
      </c>
      <c r="P290" s="178">
        <f>VLOOKUP($F290,'Carbon Factors'!$B$5:$L$41,11,FALSE)*'Material Quantities &amp; Embodied '!$G290/1000</f>
        <v>0</v>
      </c>
    </row>
    <row r="291" spans="1:16">
      <c r="D291" s="152"/>
      <c r="E291" s="150" t="s">
        <v>117</v>
      </c>
      <c r="F291" s="150" t="s">
        <v>118</v>
      </c>
      <c r="G291" s="1301">
        <f>IF(A266=0,0,G290*0.02)</f>
        <v>0</v>
      </c>
      <c r="H291" s="178">
        <f>VLOOKUP($F291,'Carbon Factors'!$B$5:$L$41,2,FALSE)*'Material Quantities &amp; Embodied '!$G291/1000</f>
        <v>0</v>
      </c>
      <c r="I291" s="178">
        <f>VLOOKUP($F291,'Carbon Factors'!$B$5:$L$41,3,FALSE)*'Material Quantities &amp; Embodied '!$G291/1000</f>
        <v>0</v>
      </c>
      <c r="J291" s="178">
        <f>VLOOKUP($F291,'Carbon Factors'!$B$5:$L$41,5,FALSE)*'Material Quantities &amp; Embodied '!$G291/1000</f>
        <v>0</v>
      </c>
      <c r="K291" s="178">
        <f>VLOOKUP($F291,'Carbon Factors'!$B$5:$L$41,6,FALSE)*'Material Quantities &amp; Embodied '!$G291/1000</f>
        <v>0</v>
      </c>
      <c r="L291" s="178">
        <f>VLOOKUP($F291,'Carbon Factors'!$B$5:$L$41,7,FALSE)*'Material Quantities &amp; Embodied '!$G291/1000</f>
        <v>0</v>
      </c>
      <c r="M291" s="178">
        <f>VLOOKUP($F291,'Carbon Factors'!$B$5:$L$41,8,FALSE)*'Material Quantities &amp; Embodied '!$G291/1000</f>
        <v>0</v>
      </c>
      <c r="N291" s="178">
        <f>VLOOKUP($F291,'Carbon Factors'!$B$5:$L$41,9,FALSE)*'Material Quantities &amp; Embodied '!$G291/1000</f>
        <v>0</v>
      </c>
      <c r="O291" s="178">
        <f>VLOOKUP($F291,'Carbon Factors'!$B$5:$L$41,10,FALSE)*'Material Quantities &amp; Embodied '!$G291/1000</f>
        <v>0</v>
      </c>
      <c r="P291" s="178">
        <f>VLOOKUP($F291,'Carbon Factors'!$B$5:$L$41,11,FALSE)*'Material Quantities &amp; Embodied '!$G291/1000</f>
        <v>0</v>
      </c>
    </row>
    <row r="292" spans="1:16">
      <c r="D292" s="182" t="s">
        <v>138</v>
      </c>
      <c r="G292" s="1301">
        <f>IF(A266=0,0,IF(Summary!J$13="Yes",(G284*18/24),(G276*18/24))+G278*18/24+G279*18/20)</f>
        <v>2093680.7339449541</v>
      </c>
      <c r="H292" s="178">
        <v>0</v>
      </c>
      <c r="I292" s="178">
        <f>G292*50*0.1065*0.001*0.001</f>
        <v>11.14884990825688</v>
      </c>
      <c r="J292" s="178">
        <v>0</v>
      </c>
      <c r="K292" s="178">
        <v>0</v>
      </c>
      <c r="L292" s="178">
        <v>0</v>
      </c>
      <c r="M292" s="178">
        <v>0</v>
      </c>
      <c r="N292" s="178">
        <f>I292</f>
        <v>11.14884990825688</v>
      </c>
      <c r="O292" s="178">
        <f>N292</f>
        <v>11.14884990825688</v>
      </c>
      <c r="P292" s="178">
        <v>0</v>
      </c>
    </row>
    <row r="293" spans="1:16">
      <c r="D293" s="182" t="s">
        <v>139</v>
      </c>
      <c r="G293" s="1301">
        <f>IF(A266=0,0,G282*(18/24))</f>
        <v>116628.44036697247</v>
      </c>
      <c r="H293" s="178">
        <v>0</v>
      </c>
      <c r="I293" s="178">
        <f t="shared" ref="I293:I294" si="32">G293*50*0.1065*0.001*0.001</f>
        <v>0.62104644495412831</v>
      </c>
      <c r="J293" s="178">
        <v>0</v>
      </c>
      <c r="K293" s="178">
        <v>0</v>
      </c>
      <c r="L293" s="178">
        <v>0</v>
      </c>
      <c r="M293" s="178">
        <v>0</v>
      </c>
      <c r="N293" s="178">
        <f t="shared" ref="N293:N294" si="33">I293</f>
        <v>0.62104644495412831</v>
      </c>
      <c r="O293" s="178">
        <f t="shared" ref="O293:O294" si="34">N293</f>
        <v>0.62104644495412831</v>
      </c>
      <c r="P293" s="178">
        <v>0</v>
      </c>
    </row>
    <row r="294" spans="1:16">
      <c r="B294" s="179"/>
      <c r="C294" s="179"/>
      <c r="D294" s="183" t="s">
        <v>140</v>
      </c>
      <c r="E294" s="184"/>
      <c r="F294" s="184"/>
      <c r="G294" s="1302">
        <f>IF(A266=0,0,IF(Summary!J$13="Yes",18*1000/9.81*Summary!C$13*Summary!C$14*Summary!C$15*Summary!C$16*Summary!J$14,0))</f>
        <v>0</v>
      </c>
      <c r="H294" s="181">
        <v>0</v>
      </c>
      <c r="I294" s="181">
        <f t="shared" si="32"/>
        <v>0</v>
      </c>
      <c r="J294" s="181">
        <v>0</v>
      </c>
      <c r="K294" s="181">
        <v>0</v>
      </c>
      <c r="L294" s="181">
        <v>0</v>
      </c>
      <c r="M294" s="181">
        <v>0</v>
      </c>
      <c r="N294" s="181">
        <f t="shared" si="33"/>
        <v>0</v>
      </c>
      <c r="O294" s="181">
        <f t="shared" si="34"/>
        <v>0</v>
      </c>
      <c r="P294" s="181">
        <v>0</v>
      </c>
    </row>
    <row r="295" spans="1:16">
      <c r="H295" s="185">
        <f>SUM(H266:H294)</f>
        <v>1084.3569934434277</v>
      </c>
      <c r="I295" s="185">
        <f t="shared" ref="I295:P295" si="35">SUM(I266:I294)</f>
        <v>87.134998194851164</v>
      </c>
      <c r="J295" s="185">
        <f t="shared" si="35"/>
        <v>27.629321808388461</v>
      </c>
      <c r="K295" s="185">
        <f t="shared" si="35"/>
        <v>71.463566074535322</v>
      </c>
      <c r="L295" s="185">
        <f t="shared" si="35"/>
        <v>99.09288788292379</v>
      </c>
      <c r="M295" s="185">
        <f t="shared" si="35"/>
        <v>-141.46157524756586</v>
      </c>
      <c r="N295" s="185">
        <f t="shared" si="35"/>
        <v>1214.7687775671477</v>
      </c>
      <c r="O295" s="185">
        <f t="shared" si="35"/>
        <v>1313.8616654500715</v>
      </c>
      <c r="P295" s="185">
        <f t="shared" si="35"/>
        <v>0</v>
      </c>
    </row>
    <row r="296" spans="1:16" ht="12.75" thickBot="1">
      <c r="B296" s="172"/>
      <c r="C296" s="172"/>
      <c r="D296" s="172"/>
      <c r="E296" s="172"/>
      <c r="F296" s="172"/>
      <c r="G296" s="173"/>
      <c r="H296" s="173"/>
      <c r="I296" s="173"/>
      <c r="J296" s="173"/>
      <c r="K296" s="173"/>
      <c r="L296" s="173"/>
      <c r="M296" s="174"/>
      <c r="N296" s="174"/>
      <c r="O296" s="174"/>
      <c r="P296" s="174"/>
    </row>
    <row r="297" spans="1:16"/>
    <row r="298" spans="1:16">
      <c r="H298" s="1311" t="s">
        <v>99</v>
      </c>
      <c r="I298" s="1311"/>
      <c r="J298" s="1311"/>
      <c r="K298" s="1311"/>
      <c r="L298" s="1311"/>
      <c r="M298" s="1311"/>
      <c r="N298" s="1311"/>
      <c r="O298" s="1311"/>
      <c r="P298" s="1311"/>
    </row>
    <row r="299" spans="1:16" ht="12.75" thickBot="1">
      <c r="B299" s="175" t="s">
        <v>22</v>
      </c>
      <c r="C299" s="175" t="s">
        <v>100</v>
      </c>
      <c r="D299" s="175" t="s">
        <v>101</v>
      </c>
      <c r="E299" s="175" t="s">
        <v>102</v>
      </c>
      <c r="F299" s="175" t="s">
        <v>103</v>
      </c>
      <c r="G299" s="72" t="s">
        <v>104</v>
      </c>
      <c r="H299" s="176" t="s">
        <v>105</v>
      </c>
      <c r="I299" s="176" t="s">
        <v>106</v>
      </c>
      <c r="J299" s="176" t="s">
        <v>107</v>
      </c>
      <c r="K299" s="176" t="s">
        <v>108</v>
      </c>
      <c r="L299" s="176" t="s">
        <v>109</v>
      </c>
      <c r="M299" s="176" t="s">
        <v>110</v>
      </c>
      <c r="N299" s="176" t="s">
        <v>111</v>
      </c>
      <c r="O299" s="176" t="s">
        <v>112</v>
      </c>
      <c r="P299" s="176" t="s">
        <v>113</v>
      </c>
    </row>
    <row r="300" spans="1:16">
      <c r="A300" s="148">
        <f>MIN(Pile!EA464,Database!E26)</f>
        <v>0.45900000000000002</v>
      </c>
      <c r="B300" s="150" t="str">
        <f>Database!D26</f>
        <v>Steel Frame with CLT Slabs</v>
      </c>
      <c r="C300" s="150" t="s">
        <v>114</v>
      </c>
      <c r="D300" s="150" t="s">
        <v>115</v>
      </c>
      <c r="E300" s="150" t="s">
        <v>143</v>
      </c>
      <c r="F300" s="150" t="str">
        <f>IF(Summary!F$10="Basic Oxygen Furnace","Steel - Structural_sections - UK open sections","Steel - Structural_sections - Europe avg EPD")</f>
        <v>Steel - Structural_sections - Europe avg EPD</v>
      </c>
      <c r="G300" s="1301">
        <f>IF(A300=0,0,IF(Summary!J$8="No",Database!J26*1.1*Summary!C$13*Summary!C$14*Summary!C$15*Summary!C$16*Summary!C$17,Database!J26*Summary!C$13*Summary!C$14*Summary!C$15*Summary!C$16*(Summary!C$17-1)))</f>
        <v>103963.20000000024</v>
      </c>
      <c r="H300" s="178">
        <f>VLOOKUP($F300,'Carbon Factors'!$B$5:$L$41,2,FALSE)*'Material Quantities &amp; Embodied '!$G300/1000</f>
        <v>117.47841600000027</v>
      </c>
      <c r="I300" s="178">
        <f>VLOOKUP($F300,'Carbon Factors'!$B$5:$L$41,3,FALSE)*'Material Quantities &amp; Embodied '!$G300/1000</f>
        <v>16.634112000000041</v>
      </c>
      <c r="J300" s="178">
        <f>VLOOKUP($F300,'Carbon Factors'!$B$5:$L$41,5,FALSE)*'Material Quantities &amp; Embodied '!$G300/1000</f>
        <v>0.52116752160000113</v>
      </c>
      <c r="K300" s="178">
        <f>VLOOKUP($F300,'Carbon Factors'!$B$5:$L$41,6,FALSE)*'Material Quantities &amp; Embodied '!$G300/1000</f>
        <v>1.3515216000000032</v>
      </c>
      <c r="L300" s="178">
        <f>VLOOKUP($F300,'Carbon Factors'!$B$5:$L$41,7,FALSE)*'Material Quantities &amp; Embodied '!$G300/1000</f>
        <v>1.8726891216000043</v>
      </c>
      <c r="M300" s="178">
        <f>VLOOKUP($F300,'Carbon Factors'!$B$5:$L$41,8,FALSE)*'Material Quantities &amp; Embodied '!$G300/1000</f>
        <v>-42.936801600000102</v>
      </c>
      <c r="N300" s="178">
        <f>VLOOKUP($F300,'Carbon Factors'!$B$5:$L$41,9,FALSE)*'Material Quantities &amp; Embodied '!$G300/1000</f>
        <v>135.47238017121629</v>
      </c>
      <c r="O300" s="178">
        <f>VLOOKUP($F300,'Carbon Factors'!$B$5:$L$41,10,FALSE)*'Material Quantities &amp; Embodied '!$G300/1000</f>
        <v>137.34506929281631</v>
      </c>
      <c r="P300" s="178">
        <f>VLOOKUP($F300,'Carbon Factors'!$B$5:$L$41,11,FALSE)*'Material Quantities &amp; Embodied '!$G300/1000</f>
        <v>0</v>
      </c>
    </row>
    <row r="301" spans="1:16">
      <c r="E301" s="150" t="s">
        <v>149</v>
      </c>
      <c r="F301" s="150" t="s">
        <v>150</v>
      </c>
      <c r="G301" s="1301">
        <f>IF(A300=0,0,IF(Summary!J$8="No",Database!L26*Summary!C$13*Summary!C$14*Summary!C$15*Summary!C$16*Summary!C$17,Database!L26*Summary!C$13*Summary!C$14*Summary!C$15*Summary!C$16*(Summary!C$17-1)))</f>
        <v>322935.77981651388</v>
      </c>
      <c r="H301" s="178">
        <f>VLOOKUP($F301,'Carbon Factors'!$B$5:$L$41,2,FALSE)*'Material Quantities &amp; Embodied '!$G301/1000</f>
        <v>80.733944954128475</v>
      </c>
      <c r="I301" s="178">
        <f>VLOOKUP($F301,'Carbon Factors'!$B$5:$L$41,3,FALSE)*'Material Quantities &amp; Embodied '!$G301/1000</f>
        <v>51.992660550458737</v>
      </c>
      <c r="J301" s="178">
        <f>VLOOKUP($F301,'Carbon Factors'!$B$5:$L$41,5,FALSE)*'Material Quantities &amp; Embodied '!$G301/1000</f>
        <v>1.6146788990825693</v>
      </c>
      <c r="K301" s="178">
        <f>VLOOKUP($F301,'Carbon Factors'!$B$5:$L$41,6,FALSE)*'Material Quantities &amp; Embodied '!$G301/1000</f>
        <v>536.71926605504598</v>
      </c>
      <c r="L301" s="178">
        <f>VLOOKUP($F301,'Carbon Factors'!$B$5:$L$41,7,FALSE)*'Material Quantities &amp; Embodied '!$G301/1000</f>
        <v>538.33394495412858</v>
      </c>
      <c r="M301" s="178">
        <f>VLOOKUP($F301,'Carbon Factors'!$B$5:$L$41,8,FALSE)*'Material Quantities &amp; Embodied '!$G301/1000</f>
        <v>-169.2183486238533</v>
      </c>
      <c r="N301" s="178">
        <f>VLOOKUP($F301,'Carbon Factors'!$B$5:$L$41,9,FALSE)*'Material Quantities &amp; Embodied '!$G301/1000</f>
        <v>139.43721100917438</v>
      </c>
      <c r="O301" s="178">
        <f>VLOOKUP($F301,'Carbon Factors'!$B$5:$L$41,10,FALSE)*'Material Quantities &amp; Embodied '!$G301/1000</f>
        <v>148.1564770642203</v>
      </c>
      <c r="P301" s="178">
        <f>VLOOKUP($F301,'Carbon Factors'!$B$5:$L$41,11,FALSE)*'Material Quantities &amp; Embodied '!$G301/1000</f>
        <v>-529.61467889908272</v>
      </c>
    </row>
    <row r="302" spans="1:16">
      <c r="D302" s="150" t="s">
        <v>119</v>
      </c>
      <c r="E302" s="150" t="s">
        <v>143</v>
      </c>
      <c r="F302" s="150" t="str">
        <f>IF(Summary!F$10="Basic Oxygen Furnace","Steel - Structural_sections - UK open sections","Steel - Structural_sections - Europe avg EPD")</f>
        <v>Steel - Structural_sections - Europe avg EPD</v>
      </c>
      <c r="G302" s="1301">
        <f>IF(A300=0,0,'Steel Column'!K61*1.1*1000)</f>
        <v>27762.240000000005</v>
      </c>
      <c r="H302" s="178">
        <f>VLOOKUP($F302,'Carbon Factors'!$B$5:$L$41,2,FALSE)*'Material Quantities &amp; Embodied '!$G302/1000</f>
        <v>31.371331200000004</v>
      </c>
      <c r="I302" s="178">
        <f>VLOOKUP($F302,'Carbon Factors'!$B$5:$L$41,3,FALSE)*'Material Quantities &amp; Embodied '!$G302/1000</f>
        <v>4.4419584000000016</v>
      </c>
      <c r="J302" s="178">
        <f>VLOOKUP($F302,'Carbon Factors'!$B$5:$L$41,5,FALSE)*'Material Quantities &amp; Embodied '!$G302/1000</f>
        <v>0.13917210912000003</v>
      </c>
      <c r="K302" s="178">
        <f>VLOOKUP($F302,'Carbon Factors'!$B$5:$L$41,6,FALSE)*'Material Quantities &amp; Embodied '!$G302/1000</f>
        <v>0.36090912000000003</v>
      </c>
      <c r="L302" s="178">
        <f>VLOOKUP($F302,'Carbon Factors'!$B$5:$L$41,7,FALSE)*'Material Quantities &amp; Embodied '!$G302/1000</f>
        <v>0.50008122912000008</v>
      </c>
      <c r="M302" s="178">
        <f>VLOOKUP($F302,'Carbon Factors'!$B$5:$L$41,8,FALSE)*'Material Quantities &amp; Embodied '!$G302/1000</f>
        <v>-11.465805120000001</v>
      </c>
      <c r="N302" s="178">
        <f>VLOOKUP($F302,'Carbon Factors'!$B$5:$L$41,9,FALSE)*'Material Quantities &amp; Embodied '!$G302/1000</f>
        <v>36.176423308291206</v>
      </c>
      <c r="O302" s="178">
        <f>VLOOKUP($F302,'Carbon Factors'!$B$5:$L$41,10,FALSE)*'Material Quantities &amp; Embodied '!$G302/1000</f>
        <v>36.676504537411205</v>
      </c>
      <c r="P302" s="178">
        <f>VLOOKUP($F302,'Carbon Factors'!$B$5:$L$41,11,FALSE)*'Material Quantities &amp; Embodied '!$G302/1000</f>
        <v>0</v>
      </c>
    </row>
    <row r="303" spans="1:16">
      <c r="D303" s="150" t="s">
        <v>120</v>
      </c>
      <c r="E303" s="150" t="s">
        <v>121</v>
      </c>
      <c r="F303" s="150" t="str">
        <f>F6</f>
        <v>C32/40 - 25% GGBS</v>
      </c>
      <c r="G303" s="1301">
        <f>IF(A300=0,0,SUM('Shear Walls'!BE84,'Shear Walls'!BE118))</f>
        <v>44138.242348623855</v>
      </c>
      <c r="H303" s="178">
        <f>VLOOKUP($F303,'Carbon Factors'!$B$5:$L$41,2,FALSE)*'Material Quantities &amp; Embodied '!$G303/1000</f>
        <v>5.2965890818348624</v>
      </c>
      <c r="I303" s="178">
        <f>VLOOKUP($F303,'Carbon Factors'!$B$5:$L$41,3,FALSE)*'Material Quantities &amp; Embodied '!$G303/1000</f>
        <v>0.22069121174311929</v>
      </c>
      <c r="J303" s="178">
        <f>VLOOKUP($F303,'Carbon Factors'!$B$5:$L$41,5,FALSE)*'Material Quantities &amp; Embodied '!$G303/1000</f>
        <v>0.22212570461944958</v>
      </c>
      <c r="K303" s="178">
        <f>VLOOKUP($F303,'Carbon Factors'!$B$5:$L$41,6,FALSE)*'Material Quantities &amp; Embodied '!$G303/1000</f>
        <v>0.57379715053211011</v>
      </c>
      <c r="L303" s="178">
        <f>VLOOKUP($F303,'Carbon Factors'!$B$5:$L$41,7,FALSE)*'Material Quantities &amp; Embodied '!$G303/1000</f>
        <v>0.79592285515155969</v>
      </c>
      <c r="M303" s="178">
        <f>VLOOKUP($F303,'Carbon Factors'!$B$5:$L$41,8,FALSE)*'Material Quantities &amp; Embodied '!$G303/1000</f>
        <v>0.19420826633394497</v>
      </c>
      <c r="N303" s="178">
        <f>VLOOKUP($F303,'Carbon Factors'!$B$5:$L$41,9,FALSE)*'Material Quantities &amp; Embodied '!$G303/1000</f>
        <v>5.8518800604606476</v>
      </c>
      <c r="O303" s="178">
        <f>VLOOKUP($F303,'Carbon Factors'!$B$5:$L$41,10,FALSE)*'Material Quantities &amp; Embodied '!$G303/1000</f>
        <v>6.6478029156122078</v>
      </c>
      <c r="P303" s="178">
        <f>VLOOKUP($F303,'Carbon Factors'!$B$5:$L$41,11,FALSE)*'Material Quantities &amp; Embodied '!$G303/1000</f>
        <v>0</v>
      </c>
    </row>
    <row r="304" spans="1:16">
      <c r="E304" s="150" t="s">
        <v>117</v>
      </c>
      <c r="F304" s="150" t="s">
        <v>118</v>
      </c>
      <c r="G304" s="1301">
        <f>IF(A300=0,0,SUM('Shear Walls'!BE85,'Shear Walls'!BE119))</f>
        <v>1387.1666626079082</v>
      </c>
      <c r="H304" s="178">
        <f>VLOOKUP($F304,'Carbon Factors'!$B$5:$L$41,2,FALSE)*'Material Quantities &amp; Embodied '!$G304/1000</f>
        <v>1.05424666358201</v>
      </c>
      <c r="I304" s="178">
        <f>VLOOKUP($F304,'Carbon Factors'!$B$5:$L$41,3,FALSE)*'Material Quantities &amp; Embodied '!$G304/1000</f>
        <v>4.4389333203453063E-2</v>
      </c>
      <c r="J304" s="178">
        <f>VLOOKUP($F304,'Carbon Factors'!$B$5:$L$41,5,FALSE)*'Material Quantities &amp; Embodied '!$G304/1000</f>
        <v>6.980916229574299E-3</v>
      </c>
      <c r="K304" s="178">
        <f>VLOOKUP($F304,'Carbon Factors'!$B$5:$L$41,6,FALSE)*'Material Quantities &amp; Embodied '!$G304/1000</f>
        <v>1.8033166613902803E-2</v>
      </c>
      <c r="L304" s="178">
        <f>VLOOKUP($F304,'Carbon Factors'!$B$5:$L$41,7,FALSE)*'Material Quantities &amp; Embodied '!$G304/1000</f>
        <v>2.5014082843477104E-2</v>
      </c>
      <c r="M304" s="178">
        <f>VLOOKUP($F304,'Carbon Factors'!$B$5:$L$41,8,FALSE)*'Material Quantities &amp; Embodied '!$G304/1000</f>
        <v>0.48689549857537573</v>
      </c>
      <c r="N304" s="178">
        <f>VLOOKUP($F304,'Carbon Factors'!$B$5:$L$41,9,FALSE)*'Material Quantities &amp; Embodied '!$G304/1000</f>
        <v>1.1581894510057971</v>
      </c>
      <c r="O304" s="178">
        <f>VLOOKUP($F304,'Carbon Factors'!$B$5:$L$41,10,FALSE)*'Material Quantities &amp; Embodied '!$G304/1000</f>
        <v>1.1832035338492741</v>
      </c>
      <c r="P304" s="178">
        <f>VLOOKUP($F304,'Carbon Factors'!$B$5:$L$41,11,FALSE)*'Material Quantities &amp; Embodied '!$G304/1000</f>
        <v>0</v>
      </c>
    </row>
    <row r="305" spans="3:16">
      <c r="D305" s="150" t="s">
        <v>122</v>
      </c>
      <c r="E305" s="150" t="s">
        <v>116</v>
      </c>
      <c r="F305" s="150" t="str">
        <f>Summary!F$9</f>
        <v>C32/40 - 25% GGBS</v>
      </c>
      <c r="G305" s="1301">
        <f>IF(A300=0,0,IF(Summary!J$8="Yes",Summary!C$13*Summary!C$14*Summary!C$15*Summary!C$16*Summary!J$9*24*1000/9.81,0))</f>
        <v>0</v>
      </c>
      <c r="H305" s="178">
        <f>VLOOKUP($F305,'Carbon Factors'!$B$5:$L$41,2,FALSE)*'Material Quantities &amp; Embodied '!$G305/1000</f>
        <v>0</v>
      </c>
      <c r="I305" s="178">
        <f>VLOOKUP($F305,'Carbon Factors'!$B$5:$L$41,3,FALSE)*'Material Quantities &amp; Embodied '!$G305/1000</f>
        <v>0</v>
      </c>
      <c r="J305" s="178">
        <f>VLOOKUP($F305,'Carbon Factors'!$B$5:$L$41,5,FALSE)*'Material Quantities &amp; Embodied '!$G305/1000</f>
        <v>0</v>
      </c>
      <c r="K305" s="178">
        <f>VLOOKUP($F305,'Carbon Factors'!$B$5:$L$41,6,FALSE)*'Material Quantities &amp; Embodied '!$G305/1000</f>
        <v>0</v>
      </c>
      <c r="L305" s="178">
        <f>VLOOKUP($F305,'Carbon Factors'!$B$5:$L$41,7,FALSE)*'Material Quantities &amp; Embodied '!$G305/1000</f>
        <v>0</v>
      </c>
      <c r="M305" s="178">
        <f>VLOOKUP($F305,'Carbon Factors'!$B$5:$L$41,8,FALSE)*'Material Quantities &amp; Embodied '!$G305/1000</f>
        <v>0</v>
      </c>
      <c r="N305" s="178">
        <f>VLOOKUP($F305,'Carbon Factors'!$B$5:$L$41,9,FALSE)*'Material Quantities &amp; Embodied '!$G305/1000</f>
        <v>0</v>
      </c>
      <c r="O305" s="178">
        <f>VLOOKUP($F305,'Carbon Factors'!$B$5:$L$41,10,FALSE)*'Material Quantities &amp; Embodied '!$G305/1000</f>
        <v>0</v>
      </c>
      <c r="P305" s="178">
        <f>VLOOKUP($F305,'Carbon Factors'!$B$5:$L$41,11,FALSE)*'Material Quantities &amp; Embodied '!$G305/1000</f>
        <v>0</v>
      </c>
    </row>
    <row r="306" spans="3:16">
      <c r="E306" s="150" t="s">
        <v>117</v>
      </c>
      <c r="F306" s="150" t="s">
        <v>118</v>
      </c>
      <c r="G306" s="1301">
        <f>IF(A300=0,0,IF(Summary!J$8="Yes",Summary!C$13*Summary!C$14*Summary!C$15*Summary!C$16*Summary!J$9*Summary!J$10,0))</f>
        <v>0</v>
      </c>
      <c r="H306" s="178">
        <f>VLOOKUP($F306,'Carbon Factors'!$B$5:$L$41,2,FALSE)*'Material Quantities &amp; Embodied '!$G306/1000</f>
        <v>0</v>
      </c>
      <c r="I306" s="178">
        <f>VLOOKUP($F306,'Carbon Factors'!$B$5:$L$41,3,FALSE)*'Material Quantities &amp; Embodied '!$G306/1000</f>
        <v>0</v>
      </c>
      <c r="J306" s="178">
        <f>VLOOKUP($F306,'Carbon Factors'!$B$5:$L$41,5,FALSE)*'Material Quantities &amp; Embodied '!$G306/1000</f>
        <v>0</v>
      </c>
      <c r="K306" s="178">
        <f>VLOOKUP($F306,'Carbon Factors'!$B$5:$L$41,6,FALSE)*'Material Quantities &amp; Embodied '!$G306/1000</f>
        <v>0</v>
      </c>
      <c r="L306" s="178">
        <f>VLOOKUP($F306,'Carbon Factors'!$B$5:$L$41,7,FALSE)*'Material Quantities &amp; Embodied '!$G306/1000</f>
        <v>0</v>
      </c>
      <c r="M306" s="178">
        <f>VLOOKUP($F306,'Carbon Factors'!$B$5:$L$41,8,FALSE)*'Material Quantities &amp; Embodied '!$G306/1000</f>
        <v>0</v>
      </c>
      <c r="N306" s="178">
        <f>VLOOKUP($F306,'Carbon Factors'!$B$5:$L$41,9,FALSE)*'Material Quantities &amp; Embodied '!$G306/1000</f>
        <v>0</v>
      </c>
      <c r="O306" s="178">
        <f>VLOOKUP($F306,'Carbon Factors'!$B$5:$L$41,10,FALSE)*'Material Quantities &amp; Embodied '!$G306/1000</f>
        <v>0</v>
      </c>
      <c r="P306" s="178">
        <f>VLOOKUP($F306,'Carbon Factors'!$B$5:$L$41,11,FALSE)*'Material Quantities &amp; Embodied '!$G306/1000</f>
        <v>0</v>
      </c>
    </row>
    <row r="307" spans="3:16">
      <c r="C307" s="179"/>
      <c r="D307" s="179" t="s">
        <v>144</v>
      </c>
      <c r="E307" s="179" t="s">
        <v>145</v>
      </c>
      <c r="F307" s="179" t="s">
        <v>146</v>
      </c>
      <c r="G307" s="1302">
        <f>Intumescent!N7</f>
        <v>3476.7785519999998</v>
      </c>
      <c r="H307" s="181">
        <f>VLOOKUP($F307,'Carbon Factors'!$B$5:$L$41,2,FALSE)*'Material Quantities &amp; Embodied '!$G307/1000</f>
        <v>8.0313584551199995</v>
      </c>
      <c r="I307" s="181">
        <f>VLOOKUP($F307,'Carbon Factors'!$B$5:$L$41,3,FALSE)*'Material Quantities &amp; Embodied '!$G307/1000</f>
        <v>0.55628456831999995</v>
      </c>
      <c r="J307" s="181">
        <f>VLOOKUP($F307,'Carbon Factors'!$B$5:$L$41,5,FALSE)*'Material Quantities &amp; Embodied '!$G307/1000</f>
        <v>1.7496888062940003E-2</v>
      </c>
      <c r="K307" s="181">
        <f>VLOOKUP($F307,'Carbon Factors'!$B$5:$L$41,6,FALSE)*'Material Quantities &amp; Embodied '!$G307/1000</f>
        <v>4.5198121175999993E-2</v>
      </c>
      <c r="L307" s="181">
        <f>VLOOKUP($F307,'Carbon Factors'!$B$5:$L$41,7,FALSE)*'Material Quantities &amp; Embodied '!$G307/1000</f>
        <v>6.2695009238939989E-2</v>
      </c>
      <c r="M307" s="181">
        <f>VLOOKUP($F307,'Carbon Factors'!$B$5:$L$41,8,FALSE)*'Material Quantities &amp; Embodied '!$G307/1000</f>
        <v>0</v>
      </c>
      <c r="N307" s="181">
        <f>VLOOKUP($F307,'Carbon Factors'!$B$5:$L$41,9,FALSE)*'Material Quantities &amp; Embodied '!$G307/1000</f>
        <v>9.0461109391719834</v>
      </c>
      <c r="O307" s="181">
        <f>VLOOKUP($F307,'Carbon Factors'!$B$5:$L$41,10,FALSE)*'Material Quantities &amp; Embodied '!$G307/1000</f>
        <v>9.1088059484109234</v>
      </c>
      <c r="P307" s="181">
        <f>VLOOKUP($F307,'Carbon Factors'!$B$5:$L$41,11,FALSE)*'Material Quantities &amp; Embodied '!$G307/1000</f>
        <v>0</v>
      </c>
    </row>
    <row r="308" spans="3:16">
      <c r="C308" s="150" t="s">
        <v>123</v>
      </c>
      <c r="D308" s="150" t="s">
        <v>124</v>
      </c>
      <c r="E308" s="150" t="s">
        <v>116</v>
      </c>
      <c r="F308" s="150" t="str">
        <f>F6</f>
        <v>C32/40 - 25% GGBS</v>
      </c>
      <c r="G308" s="1301">
        <f>IF(A300=0,0,IF(Summary!J13="No",(480*Summary!C13*Summary!C14*Summary!C15*Summary!C16),(Basement!C11*Summary!C13*Summary!C14*Summary!C15*Summary!C16)))</f>
        <v>1382400</v>
      </c>
      <c r="H308" s="178">
        <f>VLOOKUP($F308,'Carbon Factors'!$B$5:$L$41,2,FALSE)*'Material Quantities &amp; Embodied '!$G308/1000</f>
        <v>165.88800000000001</v>
      </c>
      <c r="I308" s="178">
        <f>VLOOKUP($F308,'Carbon Factors'!$B$5:$L$41,3,FALSE)*'Material Quantities &amp; Embodied '!$G308/1000</f>
        <v>6.9119999999999999</v>
      </c>
      <c r="J308" s="178">
        <f>VLOOKUP($F308,'Carbon Factors'!$B$5:$L$41,5,FALSE)*'Material Quantities &amp; Embodied '!$G308/1000</f>
        <v>6.9569280000000004</v>
      </c>
      <c r="K308" s="178">
        <f>VLOOKUP($F308,'Carbon Factors'!$B$5:$L$41,6,FALSE)*'Material Quantities &amp; Embodied '!$G308/1000</f>
        <v>17.9712</v>
      </c>
      <c r="L308" s="178">
        <f>VLOOKUP($F308,'Carbon Factors'!$B$5:$L$41,7,FALSE)*'Material Quantities &amp; Embodied '!$G308/1000</f>
        <v>24.928128000000001</v>
      </c>
      <c r="M308" s="178">
        <f>VLOOKUP($F308,'Carbon Factors'!$B$5:$L$41,8,FALSE)*'Material Quantities &amp; Embodied '!$G308/1000</f>
        <v>6.08256</v>
      </c>
      <c r="N308" s="178">
        <f>VLOOKUP($F308,'Carbon Factors'!$B$5:$L$41,9,FALSE)*'Material Quantities &amp; Embodied '!$G308/1000</f>
        <v>183.27959078399999</v>
      </c>
      <c r="O308" s="178">
        <f>VLOOKUP($F308,'Carbon Factors'!$B$5:$L$41,10,FALSE)*'Material Quantities &amp; Embodied '!$G308/1000</f>
        <v>208.20771878400001</v>
      </c>
      <c r="P308" s="178">
        <f>VLOOKUP($F308,'Carbon Factors'!$B$5:$L$41,11,FALSE)*'Material Quantities &amp; Embodied '!$G308/1000</f>
        <v>0</v>
      </c>
    </row>
    <row r="309" spans="3:16">
      <c r="E309" s="150" t="s">
        <v>117</v>
      </c>
      <c r="F309" s="150" t="s">
        <v>118</v>
      </c>
      <c r="G309" s="1301">
        <f>IF(A300=0,0,IF(Summary!J13="No",(12*Summary!C13*Summary!C14*Summary!C15*Summary!C16),(Basement!C10*Summary!C13*Summary!C14*Summary!C15*Summary!C16)))</f>
        <v>34560</v>
      </c>
      <c r="H309" s="178">
        <f>VLOOKUP($F309,'Carbon Factors'!$B$5:$L$41,2,FALSE)*'Material Quantities &amp; Embodied '!$G309/1000</f>
        <v>26.265599999999999</v>
      </c>
      <c r="I309" s="178">
        <f>VLOOKUP($F309,'Carbon Factors'!$B$5:$L$41,3,FALSE)*'Material Quantities &amp; Embodied '!$G309/1000</f>
        <v>1.10592</v>
      </c>
      <c r="J309" s="178">
        <f>VLOOKUP($F309,'Carbon Factors'!$B$5:$L$41,5,FALSE)*'Material Quantities &amp; Embodied '!$G309/1000</f>
        <v>0.1739232</v>
      </c>
      <c r="K309" s="178">
        <f>VLOOKUP($F309,'Carbon Factors'!$B$5:$L$41,6,FALSE)*'Material Quantities &amp; Embodied '!$G309/1000</f>
        <v>0.44927999999999996</v>
      </c>
      <c r="L309" s="178">
        <f>VLOOKUP($F309,'Carbon Factors'!$B$5:$L$41,7,FALSE)*'Material Quantities &amp; Embodied '!$G309/1000</f>
        <v>0.62320320000000007</v>
      </c>
      <c r="M309" s="178">
        <f>VLOOKUP($F309,'Carbon Factors'!$B$5:$L$41,8,FALSE)*'Material Quantities &amp; Embodied '!$G309/1000</f>
        <v>12.130559999999999</v>
      </c>
      <c r="N309" s="178">
        <f>VLOOKUP($F309,'Carbon Factors'!$B$5:$L$41,9,FALSE)*'Material Quantities &amp; Embodied '!$G309/1000</f>
        <v>28.855240329600001</v>
      </c>
      <c r="O309" s="178">
        <f>VLOOKUP($F309,'Carbon Factors'!$B$5:$L$41,10,FALSE)*'Material Quantities &amp; Embodied '!$G309/1000</f>
        <v>29.4784435296</v>
      </c>
      <c r="P309" s="178">
        <f>VLOOKUP($F309,'Carbon Factors'!$B$5:$L$41,11,FALSE)*'Material Quantities &amp; Embodied '!$G309/1000</f>
        <v>0</v>
      </c>
    </row>
    <row r="310" spans="3:16">
      <c r="D310" s="150" t="s">
        <v>126</v>
      </c>
      <c r="E310" s="150" t="s">
        <v>116</v>
      </c>
      <c r="F310" s="150" t="s">
        <v>127</v>
      </c>
      <c r="G310" s="1301">
        <f>IF(A300=0,0,Summary!C13*Summary!C14*Summary!C15*Summary!C16*0.05*24*1000/9.81)</f>
        <v>352293.57798165135</v>
      </c>
      <c r="H310" s="178">
        <f>VLOOKUP($F310,'Carbon Factors'!$B$5:$L$41,2,FALSE)*'Material Quantities &amp; Embodied '!$G310/1000</f>
        <v>52.491743119266054</v>
      </c>
      <c r="I310" s="178">
        <f>VLOOKUP($F310,'Carbon Factors'!$B$5:$L$41,3,FALSE)*'Material Quantities &amp; Embodied '!$G310/1000</f>
        <v>1.761467889908257</v>
      </c>
      <c r="J310" s="178">
        <f>VLOOKUP($F310,'Carbon Factors'!$B$5:$L$41,5,FALSE)*'Material Quantities &amp; Embodied '!$G310/1000</f>
        <v>1.7729174311926605</v>
      </c>
      <c r="K310" s="178">
        <f>VLOOKUP($F310,'Carbon Factors'!$B$5:$L$41,6,FALSE)*'Material Quantities &amp; Embodied '!$G310/1000</f>
        <v>4.5798165137614681</v>
      </c>
      <c r="L310" s="178">
        <f>VLOOKUP($F310,'Carbon Factors'!$B$5:$L$41,7,FALSE)*'Material Quantities &amp; Embodied '!$G310/1000</f>
        <v>6.352733944954128</v>
      </c>
      <c r="M310" s="178">
        <f>VLOOKUP($F310,'Carbon Factors'!$B$5:$L$41,8,FALSE)*'Material Quantities &amp; Embodied '!$G310/1000</f>
        <v>1.550091743119266</v>
      </c>
      <c r="N310" s="178">
        <f>VLOOKUP($F310,'Carbon Factors'!$B$5:$L$41,9,FALSE)*'Material Quantities &amp; Embodied '!$G310/1000</f>
        <v>57.465326091743115</v>
      </c>
      <c r="O310" s="178">
        <f>VLOOKUP($F310,'Carbon Factors'!$B$5:$L$41,10,FALSE)*'Material Quantities &amp; Embodied '!$G310/1000</f>
        <v>63.818060036697247</v>
      </c>
      <c r="P310" s="178">
        <f>VLOOKUP($F310,'Carbon Factors'!$B$5:$L$41,11,FALSE)*'Material Quantities &amp; Embodied '!$G310/1000</f>
        <v>0</v>
      </c>
    </row>
    <row r="311" spans="3:16">
      <c r="D311" s="150" t="s">
        <v>128</v>
      </c>
      <c r="E311" s="150" t="s">
        <v>129</v>
      </c>
      <c r="F311" s="150" t="s">
        <v>130</v>
      </c>
      <c r="G311" s="1301">
        <f>IF(A300=0,0,Summary!C13*Summary!C14*Summary!C15*Summary!C16*0.15*20*1000/9.81)</f>
        <v>880733.94495412835</v>
      </c>
      <c r="H311" s="178">
        <f>VLOOKUP($F311,'Carbon Factors'!$B$5:$L$41,2,FALSE)*'Material Quantities &amp; Embodied '!$G311/1000</f>
        <v>6.5790825688073395</v>
      </c>
      <c r="I311" s="178">
        <f>VLOOKUP($F311,'Carbon Factors'!$B$5:$L$41,3,FALSE)*'Material Quantities &amp; Embodied '!$G311/1000</f>
        <v>4.4036697247706416</v>
      </c>
      <c r="J311" s="178">
        <f>VLOOKUP($F311,'Carbon Factors'!$B$5:$L$41,5,FALSE)*'Material Quantities &amp; Embodied '!$G311/1000</f>
        <v>4.4036697247706416</v>
      </c>
      <c r="K311" s="178">
        <f>VLOOKUP($F311,'Carbon Factors'!$B$5:$L$41,6,FALSE)*'Material Quantities &amp; Embodied '!$G311/1000</f>
        <v>11.449541284403667</v>
      </c>
      <c r="L311" s="178">
        <f>VLOOKUP($F311,'Carbon Factors'!$B$5:$L$41,7,FALSE)*'Material Quantities &amp; Embodied '!$G311/1000</f>
        <v>15.853211009174309</v>
      </c>
      <c r="M311" s="178">
        <f>VLOOKUP($F311,'Carbon Factors'!$B$5:$L$41,8,FALSE)*'Material Quantities &amp; Embodied '!$G311/1000</f>
        <v>0</v>
      </c>
      <c r="N311" s="178">
        <f>VLOOKUP($F311,'Carbon Factors'!$B$5:$L$41,9,FALSE)*'Material Quantities &amp; Embodied '!$G311/1000</f>
        <v>12.405058348623852</v>
      </c>
      <c r="O311" s="178">
        <f>VLOOKUP($F311,'Carbon Factors'!$B$5:$L$41,10,FALSE)*'Material Quantities &amp; Embodied '!$G311/1000</f>
        <v>28.258269357798163</v>
      </c>
      <c r="P311" s="178">
        <f>VLOOKUP($F311,'Carbon Factors'!$B$5:$L$41,11,FALSE)*'Material Quantities &amp; Embodied '!$G311/1000</f>
        <v>0</v>
      </c>
    </row>
    <row r="312" spans="3:16">
      <c r="D312" s="150" t="s">
        <v>131</v>
      </c>
      <c r="E312" s="150" t="s">
        <v>116</v>
      </c>
      <c r="F312" s="150" t="str">
        <f>F6</f>
        <v>C32/40 - 25% GGBS</v>
      </c>
      <c r="G312" s="1301">
        <f>IF(A300=0,0,Pile!EA468*24*1000/9.81)</f>
        <v>639674.37939240225</v>
      </c>
      <c r="H312" s="178">
        <f>VLOOKUP($F312,'Carbon Factors'!$B$5:$L$41,2,FALSE)*'Material Quantities &amp; Embodied '!$G312/1000</f>
        <v>76.760925527088276</v>
      </c>
      <c r="I312" s="178">
        <f>VLOOKUP($F312,'Carbon Factors'!$B$5:$L$41,3,FALSE)*'Material Quantities &amp; Embodied '!$G312/1000</f>
        <v>3.1983718969620112</v>
      </c>
      <c r="J312" s="178">
        <f>VLOOKUP($F312,'Carbon Factors'!$B$5:$L$41,5,FALSE)*'Material Quantities &amp; Embodied '!$G312/1000</f>
        <v>3.2191613142922648</v>
      </c>
      <c r="K312" s="178">
        <f>VLOOKUP($F312,'Carbon Factors'!$B$5:$L$41,6,FALSE)*'Material Quantities &amp; Embodied '!$G312/1000</f>
        <v>8.3157669321012282</v>
      </c>
      <c r="L312" s="178">
        <f>VLOOKUP($F312,'Carbon Factors'!$B$5:$L$41,7,FALSE)*'Material Quantities &amp; Embodied '!$G312/1000</f>
        <v>11.534928246393495</v>
      </c>
      <c r="M312" s="178">
        <f>VLOOKUP($F312,'Carbon Factors'!$B$5:$L$41,8,FALSE)*'Material Quantities &amp; Embodied '!$G312/1000</f>
        <v>2.8145672693265702</v>
      </c>
      <c r="N312" s="178">
        <f>VLOOKUP($F312,'Carbon Factors'!$B$5:$L$41,9,FALSE)*'Material Quantities &amp; Embodied '!$G312/1000</f>
        <v>84.808491384583803</v>
      </c>
      <c r="O312" s="178">
        <f>VLOOKUP($F312,'Carbon Factors'!$B$5:$L$41,10,FALSE)*'Material Quantities &amp; Embodied '!$G312/1000</f>
        <v>96.343419630977294</v>
      </c>
      <c r="P312" s="178">
        <f>VLOOKUP($F312,'Carbon Factors'!$B$5:$L$41,11,FALSE)*'Material Quantities &amp; Embodied '!$G312/1000</f>
        <v>0</v>
      </c>
    </row>
    <row r="313" spans="3:16">
      <c r="E313" s="150" t="s">
        <v>117</v>
      </c>
      <c r="F313" s="150" t="s">
        <v>118</v>
      </c>
      <c r="G313" s="1301">
        <f>IF(A300=0,0,Pile!EA474*1000)</f>
        <v>24902.259839999992</v>
      </c>
      <c r="H313" s="178">
        <f>VLOOKUP($F313,'Carbon Factors'!$B$5:$L$41,2,FALSE)*'Material Quantities &amp; Embodied '!$G313/1000</f>
        <v>18.925717478399996</v>
      </c>
      <c r="I313" s="178">
        <f>VLOOKUP($F313,'Carbon Factors'!$B$5:$L$41,3,FALSE)*'Material Quantities &amp; Embodied '!$G313/1000</f>
        <v>0.79687231487999977</v>
      </c>
      <c r="J313" s="178">
        <f>VLOOKUP($F313,'Carbon Factors'!$B$5:$L$41,5,FALSE)*'Material Quantities &amp; Embodied '!$G313/1000</f>
        <v>0.12532062264479996</v>
      </c>
      <c r="K313" s="178">
        <f>VLOOKUP($F313,'Carbon Factors'!$B$5:$L$41,6,FALSE)*'Material Quantities &amp; Embodied '!$G313/1000</f>
        <v>0.32372937791999989</v>
      </c>
      <c r="L313" s="178">
        <f>VLOOKUP($F313,'Carbon Factors'!$B$5:$L$41,7,FALSE)*'Material Quantities &amp; Embodied '!$G313/1000</f>
        <v>0.44905000056479988</v>
      </c>
      <c r="M313" s="178">
        <f>VLOOKUP($F313,'Carbon Factors'!$B$5:$L$41,8,FALSE)*'Material Quantities &amp; Embodied '!$G313/1000</f>
        <v>8.7406932038399976</v>
      </c>
      <c r="N313" s="178">
        <f>VLOOKUP($F313,'Carbon Factors'!$B$5:$L$41,9,FALSE)*'Material Quantities &amp; Embodied '!$G313/1000</f>
        <v>20.791686702353768</v>
      </c>
      <c r="O313" s="178">
        <f>VLOOKUP($F313,'Carbon Factors'!$B$5:$L$41,10,FALSE)*'Material Quantities &amp; Embodied '!$G313/1000</f>
        <v>21.240736702918571</v>
      </c>
      <c r="P313" s="178">
        <f>VLOOKUP($F313,'Carbon Factors'!$B$5:$L$41,11,FALSE)*'Material Quantities &amp; Embodied '!$G313/1000</f>
        <v>0</v>
      </c>
    </row>
    <row r="314" spans="3:16">
      <c r="D314" s="150" t="s">
        <v>132</v>
      </c>
      <c r="E314" s="150" t="s">
        <v>116</v>
      </c>
      <c r="F314" s="150" t="str">
        <f>F6</f>
        <v>C32/40 - 25% GGBS</v>
      </c>
      <c r="G314" s="1301">
        <f>IF(A300=0,0,Pile!EA480*24*1000/9.81)</f>
        <v>170642.20183486238</v>
      </c>
      <c r="H314" s="178">
        <f>VLOOKUP($F314,'Carbon Factors'!$B$5:$L$41,2,FALSE)*'Material Quantities &amp; Embodied '!$G314/1000</f>
        <v>20.477064220183486</v>
      </c>
      <c r="I314" s="178">
        <f>VLOOKUP($F314,'Carbon Factors'!$B$5:$L$41,3,FALSE)*'Material Quantities &amp; Embodied '!$G314/1000</f>
        <v>0.85321100917431192</v>
      </c>
      <c r="J314" s="178">
        <f>VLOOKUP($F314,'Carbon Factors'!$B$5:$L$41,5,FALSE)*'Material Quantities &amp; Embodied '!$G314/1000</f>
        <v>0.85875688073394507</v>
      </c>
      <c r="K314" s="178">
        <f>VLOOKUP($F314,'Carbon Factors'!$B$5:$L$41,6,FALSE)*'Material Quantities &amp; Embodied '!$G314/1000</f>
        <v>2.2183486238532111</v>
      </c>
      <c r="L314" s="178">
        <f>VLOOKUP($F314,'Carbon Factors'!$B$5:$L$41,7,FALSE)*'Material Quantities &amp; Embodied '!$G314/1000</f>
        <v>3.0771055045871556</v>
      </c>
      <c r="M314" s="178">
        <f>VLOOKUP($F314,'Carbon Factors'!$B$5:$L$41,8,FALSE)*'Material Quantities &amp; Embodied '!$G314/1000</f>
        <v>0.75082568807339456</v>
      </c>
      <c r="N314" s="178">
        <f>VLOOKUP($F314,'Carbon Factors'!$B$5:$L$41,9,FALSE)*'Material Quantities &amp; Embodied '!$G314/1000</f>
        <v>22.62386640825688</v>
      </c>
      <c r="O314" s="178">
        <f>VLOOKUP($F314,'Carbon Factors'!$B$5:$L$41,10,FALSE)*'Material Quantities &amp; Embodied '!$G314/1000</f>
        <v>25.700971912844036</v>
      </c>
      <c r="P314" s="178">
        <f>VLOOKUP($F314,'Carbon Factors'!$B$5:$L$41,11,FALSE)*'Material Quantities &amp; Embodied '!$G314/1000</f>
        <v>0</v>
      </c>
    </row>
    <row r="315" spans="3:16">
      <c r="E315" s="150" t="s">
        <v>117</v>
      </c>
      <c r="F315" s="150" t="s">
        <v>118</v>
      </c>
      <c r="G315" s="1301">
        <f>IF(A300=0,0,Pile!EB480*1000)</f>
        <v>7672.5</v>
      </c>
      <c r="H315" s="178">
        <f>VLOOKUP($F315,'Carbon Factors'!$B$5:$L$41,2,FALSE)*'Material Quantities &amp; Embodied '!$G315/1000</f>
        <v>5.8311000000000002</v>
      </c>
      <c r="I315" s="178">
        <f>VLOOKUP($F315,'Carbon Factors'!$B$5:$L$41,3,FALSE)*'Material Quantities &amp; Embodied '!$G315/1000</f>
        <v>0.24552000000000002</v>
      </c>
      <c r="J315" s="178">
        <f>VLOOKUP($F315,'Carbon Factors'!$B$5:$L$41,5,FALSE)*'Material Quantities &amp; Embodied '!$G315/1000</f>
        <v>3.861185625E-2</v>
      </c>
      <c r="K315" s="178">
        <f>VLOOKUP($F315,'Carbon Factors'!$B$5:$L$41,6,FALSE)*'Material Quantities &amp; Embodied '!$G315/1000</f>
        <v>9.9742499999999998E-2</v>
      </c>
      <c r="L315" s="178">
        <f>VLOOKUP($F315,'Carbon Factors'!$B$5:$L$41,7,FALSE)*'Material Quantities &amp; Embodied '!$G315/1000</f>
        <v>0.13835435625</v>
      </c>
      <c r="M315" s="178">
        <f>VLOOKUP($F315,'Carbon Factors'!$B$5:$L$41,8,FALSE)*'Material Quantities &amp; Embodied '!$G315/1000</f>
        <v>2.6930474999999996</v>
      </c>
      <c r="N315" s="178">
        <f>VLOOKUP($F315,'Carbon Factors'!$B$5:$L$41,9,FALSE)*'Material Quantities &amp; Embodied '!$G315/1000</f>
        <v>6.40601364088125</v>
      </c>
      <c r="O315" s="178">
        <f>VLOOKUP($F315,'Carbon Factors'!$B$5:$L$41,10,FALSE)*'Material Quantities &amp; Embodied '!$G315/1000</f>
        <v>6.5443679971312507</v>
      </c>
      <c r="P315" s="178">
        <f>VLOOKUP($F315,'Carbon Factors'!$B$5:$L$41,11,FALSE)*'Material Quantities &amp; Embodied '!$G315/1000</f>
        <v>0</v>
      </c>
    </row>
    <row r="316" spans="3:16">
      <c r="D316" s="150" t="s">
        <v>134</v>
      </c>
      <c r="E316" s="150" t="s">
        <v>116</v>
      </c>
      <c r="F316" s="150" t="str">
        <f>F6</f>
        <v>C32/40 - 25% GGBS</v>
      </c>
      <c r="G316" s="1301">
        <f>IF(A300=0,0,Basement!C31*Summary!C13*Summary!C14*Summary!C15*Summary!C16)</f>
        <v>0</v>
      </c>
      <c r="H316" s="178">
        <f>VLOOKUP($F316,'Carbon Factors'!$B$5:$L$41,2,FALSE)*'Material Quantities &amp; Embodied '!$G316/1000</f>
        <v>0</v>
      </c>
      <c r="I316" s="178">
        <f>VLOOKUP($F316,'Carbon Factors'!$B$5:$L$41,3,FALSE)*'Material Quantities &amp; Embodied '!$G316/1000</f>
        <v>0</v>
      </c>
      <c r="J316" s="178">
        <f>VLOOKUP($F316,'Carbon Factors'!$B$5:$L$41,5,FALSE)*'Material Quantities &amp; Embodied '!$G316/1000</f>
        <v>0</v>
      </c>
      <c r="K316" s="178">
        <f>VLOOKUP($F316,'Carbon Factors'!$B$5:$L$41,6,FALSE)*'Material Quantities &amp; Embodied '!$G316/1000</f>
        <v>0</v>
      </c>
      <c r="L316" s="178">
        <f>VLOOKUP($F316,'Carbon Factors'!$B$5:$L$41,7,FALSE)*'Material Quantities &amp; Embodied '!$G316/1000</f>
        <v>0</v>
      </c>
      <c r="M316" s="178">
        <f>VLOOKUP($F316,'Carbon Factors'!$B$5:$L$41,8,FALSE)*'Material Quantities &amp; Embodied '!$G316/1000</f>
        <v>0</v>
      </c>
      <c r="N316" s="178">
        <f>VLOOKUP($F316,'Carbon Factors'!$B$5:$L$41,9,FALSE)*'Material Quantities &amp; Embodied '!$G316/1000</f>
        <v>0</v>
      </c>
      <c r="O316" s="178">
        <f>VLOOKUP($F316,'Carbon Factors'!$B$5:$L$41,10,FALSE)*'Material Quantities &amp; Embodied '!$G316/1000</f>
        <v>0</v>
      </c>
      <c r="P316" s="178">
        <f>VLOOKUP($F316,'Carbon Factors'!$B$5:$L$41,11,FALSE)*'Material Quantities &amp; Embodied '!$G316/1000</f>
        <v>0</v>
      </c>
    </row>
    <row r="317" spans="3:16">
      <c r="E317" s="150" t="s">
        <v>117</v>
      </c>
      <c r="F317" s="150" t="s">
        <v>118</v>
      </c>
      <c r="G317" s="1301">
        <f>IF(A300=0,0,Basement!C30*Summary!C13*Summary!C14*Summary!C15*Summary!C16)</f>
        <v>0</v>
      </c>
      <c r="H317" s="178">
        <f>VLOOKUP($F317,'Carbon Factors'!$B$5:$L$41,2,FALSE)*'Material Quantities &amp; Embodied '!$G317/1000</f>
        <v>0</v>
      </c>
      <c r="I317" s="178">
        <f>VLOOKUP($F317,'Carbon Factors'!$B$5:$L$41,3,FALSE)*'Material Quantities &amp; Embodied '!$G317/1000</f>
        <v>0</v>
      </c>
      <c r="J317" s="178">
        <f>VLOOKUP($F317,'Carbon Factors'!$B$5:$L$41,5,FALSE)*'Material Quantities &amp; Embodied '!$G317/1000</f>
        <v>0</v>
      </c>
      <c r="K317" s="178">
        <f>VLOOKUP($F317,'Carbon Factors'!$B$5:$L$41,6,FALSE)*'Material Quantities &amp; Embodied '!$G317/1000</f>
        <v>0</v>
      </c>
      <c r="L317" s="178">
        <f>VLOOKUP($F317,'Carbon Factors'!$B$5:$L$41,7,FALSE)*'Material Quantities &amp; Embodied '!$G317/1000</f>
        <v>0</v>
      </c>
      <c r="M317" s="178">
        <f>VLOOKUP($F317,'Carbon Factors'!$B$5:$L$41,8,FALSE)*'Material Quantities &amp; Embodied '!$G317/1000</f>
        <v>0</v>
      </c>
      <c r="N317" s="178">
        <f>VLOOKUP($F317,'Carbon Factors'!$B$5:$L$41,9,FALSE)*'Material Quantities &amp; Embodied '!$G317/1000</f>
        <v>0</v>
      </c>
      <c r="O317" s="178">
        <f>VLOOKUP($F317,'Carbon Factors'!$B$5:$L$41,10,FALSE)*'Material Quantities &amp; Embodied '!$G317/1000</f>
        <v>0</v>
      </c>
      <c r="P317" s="178">
        <f>VLOOKUP($F317,'Carbon Factors'!$B$5:$L$41,11,FALSE)*'Material Quantities &amp; Embodied '!$G317/1000</f>
        <v>0</v>
      </c>
    </row>
    <row r="318" spans="3:16">
      <c r="D318" s="150" t="s">
        <v>135</v>
      </c>
      <c r="E318" s="150" t="s">
        <v>116</v>
      </c>
      <c r="F318" s="150" t="str">
        <f>F6</f>
        <v>C32/40 - 25% GGBS</v>
      </c>
      <c r="G318" s="1301">
        <f>IF(A300=0,0,(Summary!J14*(Summary!C13*Summary!C15*2+Summary!C14*Summary!C16*2))*Basement!K79)</f>
        <v>0</v>
      </c>
      <c r="H318" s="178">
        <f>VLOOKUP($F318,'Carbon Factors'!$B$5:$L$41,2,FALSE)*'Material Quantities &amp; Embodied '!$G318/1000</f>
        <v>0</v>
      </c>
      <c r="I318" s="178">
        <f>VLOOKUP($F318,'Carbon Factors'!$B$5:$L$41,3,FALSE)*'Material Quantities &amp; Embodied '!$G318/1000</f>
        <v>0</v>
      </c>
      <c r="J318" s="178">
        <f>VLOOKUP($F318,'Carbon Factors'!$B$5:$L$41,5,FALSE)*'Material Quantities &amp; Embodied '!$G318/1000</f>
        <v>0</v>
      </c>
      <c r="K318" s="178">
        <f>VLOOKUP($F318,'Carbon Factors'!$B$5:$L$41,6,FALSE)*'Material Quantities &amp; Embodied '!$G318/1000</f>
        <v>0</v>
      </c>
      <c r="L318" s="178">
        <f>VLOOKUP($F318,'Carbon Factors'!$B$5:$L$41,7,FALSE)*'Material Quantities &amp; Embodied '!$G318/1000</f>
        <v>0</v>
      </c>
      <c r="M318" s="178">
        <f>VLOOKUP($F318,'Carbon Factors'!$B$5:$L$41,8,FALSE)*'Material Quantities &amp; Embodied '!$G318/1000</f>
        <v>0</v>
      </c>
      <c r="N318" s="178">
        <f>VLOOKUP($F318,'Carbon Factors'!$B$5:$L$41,9,FALSE)*'Material Quantities &amp; Embodied '!$G318/1000</f>
        <v>0</v>
      </c>
      <c r="O318" s="178">
        <f>VLOOKUP($F318,'Carbon Factors'!$B$5:$L$41,10,FALSE)*'Material Quantities &amp; Embodied '!$G318/1000</f>
        <v>0</v>
      </c>
      <c r="P318" s="178">
        <f>VLOOKUP($F318,'Carbon Factors'!$B$5:$L$41,11,FALSE)*'Material Quantities &amp; Embodied '!$G318/1000</f>
        <v>0</v>
      </c>
    </row>
    <row r="319" spans="3:16">
      <c r="E319" s="150" t="s">
        <v>117</v>
      </c>
      <c r="F319" s="150" t="s">
        <v>118</v>
      </c>
      <c r="G319" s="1301">
        <f>IF(A300=0,0,(Summary!J14*(Summary!C13*Summary!C15*2+Summary!C14*Summary!C16*2))*Basement!K78)</f>
        <v>0</v>
      </c>
      <c r="H319" s="178">
        <f>VLOOKUP($F319,'Carbon Factors'!$B$5:$L$41,2,FALSE)*'Material Quantities &amp; Embodied '!$G319/1000</f>
        <v>0</v>
      </c>
      <c r="I319" s="178">
        <f>VLOOKUP($F319,'Carbon Factors'!$B$5:$L$41,3,FALSE)*'Material Quantities &amp; Embodied '!$G319/1000</f>
        <v>0</v>
      </c>
      <c r="J319" s="178">
        <f>VLOOKUP($F319,'Carbon Factors'!$B$5:$L$41,5,FALSE)*'Material Quantities &amp; Embodied '!$G319/1000</f>
        <v>0</v>
      </c>
      <c r="K319" s="178">
        <f>VLOOKUP($F319,'Carbon Factors'!$B$5:$L$41,6,FALSE)*'Material Quantities &amp; Embodied '!$G319/1000</f>
        <v>0</v>
      </c>
      <c r="L319" s="178">
        <f>VLOOKUP($F319,'Carbon Factors'!$B$5:$L$41,7,FALSE)*'Material Quantities &amp; Embodied '!$G319/1000</f>
        <v>0</v>
      </c>
      <c r="M319" s="178">
        <f>VLOOKUP($F319,'Carbon Factors'!$B$5:$L$41,8,FALSE)*'Material Quantities &amp; Embodied '!$G319/1000</f>
        <v>0</v>
      </c>
      <c r="N319" s="178">
        <f>VLOOKUP($F319,'Carbon Factors'!$B$5:$L$41,9,FALSE)*'Material Quantities &amp; Embodied '!$G319/1000</f>
        <v>0</v>
      </c>
      <c r="O319" s="178">
        <f>VLOOKUP($F319,'Carbon Factors'!$B$5:$L$41,10,FALSE)*'Material Quantities &amp; Embodied '!$G319/1000</f>
        <v>0</v>
      </c>
      <c r="P319" s="178">
        <f>VLOOKUP($F319,'Carbon Factors'!$B$5:$L$41,11,FALSE)*'Material Quantities &amp; Embodied '!$G319/1000</f>
        <v>0</v>
      </c>
    </row>
    <row r="320" spans="3:16">
      <c r="D320" s="150" t="s">
        <v>136</v>
      </c>
      <c r="E320" s="150" t="s">
        <v>116</v>
      </c>
      <c r="F320" s="150" t="str">
        <f>F6</f>
        <v>C32/40 - 25% GGBS</v>
      </c>
      <c r="G320" s="1301">
        <f>IF(A300=0,0,(Basement!M106+Basement!M119+Basement!M132)*24*1000/9.81)</f>
        <v>0</v>
      </c>
      <c r="H320" s="178">
        <f>VLOOKUP($F320,'Carbon Factors'!$B$5:$L$41,2,FALSE)*'Material Quantities &amp; Embodied '!$G320/1000</f>
        <v>0</v>
      </c>
      <c r="I320" s="178">
        <f>VLOOKUP($F320,'Carbon Factors'!$B$5:$L$41,3,FALSE)*'Material Quantities &amp; Embodied '!$G320/1000</f>
        <v>0</v>
      </c>
      <c r="J320" s="178">
        <f>VLOOKUP($F320,'Carbon Factors'!$B$5:$L$41,5,FALSE)*'Material Quantities &amp; Embodied '!$G320/1000</f>
        <v>0</v>
      </c>
      <c r="K320" s="178">
        <f>VLOOKUP($F320,'Carbon Factors'!$B$5:$L$41,6,FALSE)*'Material Quantities &amp; Embodied '!$G320/1000</f>
        <v>0</v>
      </c>
      <c r="L320" s="178">
        <f>VLOOKUP($F320,'Carbon Factors'!$B$5:$L$41,7,FALSE)*'Material Quantities &amp; Embodied '!$G320/1000</f>
        <v>0</v>
      </c>
      <c r="M320" s="178">
        <f>VLOOKUP($F320,'Carbon Factors'!$B$5:$L$41,8,FALSE)*'Material Quantities &amp; Embodied '!$G320/1000</f>
        <v>0</v>
      </c>
      <c r="N320" s="178">
        <f>VLOOKUP($F320,'Carbon Factors'!$B$5:$L$41,9,FALSE)*'Material Quantities &amp; Embodied '!$G320/1000</f>
        <v>0</v>
      </c>
      <c r="O320" s="178">
        <f>VLOOKUP($F320,'Carbon Factors'!$B$5:$L$41,10,FALSE)*'Material Quantities &amp; Embodied '!$G320/1000</f>
        <v>0</v>
      </c>
      <c r="P320" s="178">
        <f>VLOOKUP($F320,'Carbon Factors'!$B$5:$L$41,11,FALSE)*'Material Quantities &amp; Embodied '!$G320/1000</f>
        <v>0</v>
      </c>
    </row>
    <row r="321" spans="1:16">
      <c r="E321" s="150" t="s">
        <v>117</v>
      </c>
      <c r="F321" s="150" t="s">
        <v>118</v>
      </c>
      <c r="G321" s="1301">
        <f>IF(A300=0,0,(Basement!N106+Basement!N119+Basement!N132)*1000)</f>
        <v>0</v>
      </c>
      <c r="H321" s="178">
        <f>VLOOKUP($F321,'Carbon Factors'!$B$5:$L$41,2,FALSE)*'Material Quantities &amp; Embodied '!$G321/1000</f>
        <v>0</v>
      </c>
      <c r="I321" s="178">
        <f>VLOOKUP($F321,'Carbon Factors'!$B$5:$L$41,3,FALSE)*'Material Quantities &amp; Embodied '!$G321/1000</f>
        <v>0</v>
      </c>
      <c r="J321" s="178">
        <f>VLOOKUP($F321,'Carbon Factors'!$B$5:$L$41,5,FALSE)*'Material Quantities &amp; Embodied '!$G321/1000</f>
        <v>0</v>
      </c>
      <c r="K321" s="178">
        <f>VLOOKUP($F321,'Carbon Factors'!$B$5:$L$41,6,FALSE)*'Material Quantities &amp; Embodied '!$G321/1000</f>
        <v>0</v>
      </c>
      <c r="L321" s="178">
        <f>VLOOKUP($F321,'Carbon Factors'!$B$5:$L$41,7,FALSE)*'Material Quantities &amp; Embodied '!$G321/1000</f>
        <v>0</v>
      </c>
      <c r="M321" s="178">
        <f>VLOOKUP($F321,'Carbon Factors'!$B$5:$L$41,8,FALSE)*'Material Quantities &amp; Embodied '!$G321/1000</f>
        <v>0</v>
      </c>
      <c r="N321" s="178">
        <f>VLOOKUP($F321,'Carbon Factors'!$B$5:$L$41,9,FALSE)*'Material Quantities &amp; Embodied '!$G321/1000</f>
        <v>0</v>
      </c>
      <c r="O321" s="178">
        <f>VLOOKUP($F321,'Carbon Factors'!$B$5:$L$41,10,FALSE)*'Material Quantities &amp; Embodied '!$G321/1000</f>
        <v>0</v>
      </c>
      <c r="P321" s="178">
        <f>VLOOKUP($F321,'Carbon Factors'!$B$5:$L$41,11,FALSE)*'Material Quantities &amp; Embodied '!$G321/1000</f>
        <v>0</v>
      </c>
    </row>
    <row r="322" spans="1:16">
      <c r="D322" s="182" t="s">
        <v>137</v>
      </c>
      <c r="E322" s="150" t="s">
        <v>116</v>
      </c>
      <c r="F322" s="150" t="str">
        <f>F28</f>
        <v>C32/40 - 25% GGBS</v>
      </c>
      <c r="G322" s="1301">
        <f>IF(A300=0,0,Basement!D162*24*1000/9.81)</f>
        <v>0</v>
      </c>
      <c r="H322" s="178">
        <f>VLOOKUP($F322,'Carbon Factors'!$B$5:$L$41,2,FALSE)*'Material Quantities &amp; Embodied '!$G322/1000</f>
        <v>0</v>
      </c>
      <c r="I322" s="178">
        <f>VLOOKUP($F322,'Carbon Factors'!$B$5:$L$41,3,FALSE)*'Material Quantities &amp; Embodied '!$G322/1000</f>
        <v>0</v>
      </c>
      <c r="J322" s="178">
        <f>VLOOKUP($F322,'Carbon Factors'!$B$5:$L$41,5,FALSE)*'Material Quantities &amp; Embodied '!$G322/1000</f>
        <v>0</v>
      </c>
      <c r="K322" s="178">
        <f>VLOOKUP($F322,'Carbon Factors'!$B$5:$L$41,6,FALSE)*'Material Quantities &amp; Embodied '!$G322/1000</f>
        <v>0</v>
      </c>
      <c r="L322" s="178">
        <f>VLOOKUP($F322,'Carbon Factors'!$B$5:$L$41,7,FALSE)*'Material Quantities &amp; Embodied '!$G322/1000</f>
        <v>0</v>
      </c>
      <c r="M322" s="178">
        <f>VLOOKUP($F322,'Carbon Factors'!$B$5:$L$41,8,FALSE)*'Material Quantities &amp; Embodied '!$G322/1000</f>
        <v>0</v>
      </c>
      <c r="N322" s="178">
        <f>VLOOKUP($F322,'Carbon Factors'!$B$5:$L$41,9,FALSE)*'Material Quantities &amp; Embodied '!$G322/1000</f>
        <v>0</v>
      </c>
      <c r="O322" s="178">
        <f>VLOOKUP($F322,'Carbon Factors'!$B$5:$L$41,10,FALSE)*'Material Quantities &amp; Embodied '!$G322/1000</f>
        <v>0</v>
      </c>
      <c r="P322" s="178">
        <f>VLOOKUP($F322,'Carbon Factors'!$B$5:$L$41,11,FALSE)*'Material Quantities &amp; Embodied '!$G322/1000</f>
        <v>0</v>
      </c>
    </row>
    <row r="323" spans="1:16">
      <c r="D323" s="152"/>
      <c r="E323" s="150" t="s">
        <v>117</v>
      </c>
      <c r="F323" s="150" t="s">
        <v>118</v>
      </c>
      <c r="G323" s="1301">
        <f>IF(A300=0,0,G322*0.02)</f>
        <v>0</v>
      </c>
      <c r="H323" s="178">
        <f>VLOOKUP($F323,'Carbon Factors'!$B$5:$L$41,2,FALSE)*'Material Quantities &amp; Embodied '!$G323/1000</f>
        <v>0</v>
      </c>
      <c r="I323" s="178">
        <f>VLOOKUP($F323,'Carbon Factors'!$B$5:$L$41,3,FALSE)*'Material Quantities &amp; Embodied '!$G323/1000</f>
        <v>0</v>
      </c>
      <c r="J323" s="178">
        <f>VLOOKUP($F323,'Carbon Factors'!$B$5:$L$41,5,FALSE)*'Material Quantities &amp; Embodied '!$G323/1000</f>
        <v>0</v>
      </c>
      <c r="K323" s="178">
        <f>VLOOKUP($F323,'Carbon Factors'!$B$5:$L$41,6,FALSE)*'Material Quantities &amp; Embodied '!$G323/1000</f>
        <v>0</v>
      </c>
      <c r="L323" s="178">
        <f>VLOOKUP($F323,'Carbon Factors'!$B$5:$L$41,7,FALSE)*'Material Quantities &amp; Embodied '!$G323/1000</f>
        <v>0</v>
      </c>
      <c r="M323" s="178">
        <f>VLOOKUP($F323,'Carbon Factors'!$B$5:$L$41,8,FALSE)*'Material Quantities &amp; Embodied '!$G323/1000</f>
        <v>0</v>
      </c>
      <c r="N323" s="178">
        <f>VLOOKUP($F323,'Carbon Factors'!$B$5:$L$41,9,FALSE)*'Material Quantities &amp; Embodied '!$G323/1000</f>
        <v>0</v>
      </c>
      <c r="O323" s="178">
        <f>VLOOKUP($F323,'Carbon Factors'!$B$5:$L$41,10,FALSE)*'Material Quantities &amp; Embodied '!$G323/1000</f>
        <v>0</v>
      </c>
      <c r="P323" s="178">
        <f>VLOOKUP($F323,'Carbon Factors'!$B$5:$L$41,11,FALSE)*'Material Quantities &amp; Embodied '!$G323/1000</f>
        <v>0</v>
      </c>
    </row>
    <row r="324" spans="1:16">
      <c r="D324" s="182" t="s">
        <v>138</v>
      </c>
      <c r="G324" s="1301">
        <f>IF(A300=0,0,IF(Summary!J$13="Yes",(G316*18/24),(G308*18/24))+G310*18/24+G311*18/20)</f>
        <v>2093680.7339449541</v>
      </c>
      <c r="H324" s="178">
        <v>0</v>
      </c>
      <c r="I324" s="178">
        <f>G324*50*0.1065*0.001*0.001</f>
        <v>11.14884990825688</v>
      </c>
      <c r="J324" s="178">
        <v>0</v>
      </c>
      <c r="K324" s="178">
        <v>0</v>
      </c>
      <c r="L324" s="178">
        <v>0</v>
      </c>
      <c r="M324" s="178">
        <v>0</v>
      </c>
      <c r="N324" s="178">
        <f>I324</f>
        <v>11.14884990825688</v>
      </c>
      <c r="O324" s="178">
        <f>N324</f>
        <v>11.14884990825688</v>
      </c>
      <c r="P324" s="178">
        <v>0</v>
      </c>
    </row>
    <row r="325" spans="1:16">
      <c r="D325" s="182" t="s">
        <v>139</v>
      </c>
      <c r="G325" s="1301">
        <f>IF(A300=0,0,G314*(18/24))</f>
        <v>127981.65137614679</v>
      </c>
      <c r="H325" s="178">
        <v>0</v>
      </c>
      <c r="I325" s="178">
        <f t="shared" ref="I325:I326" si="36">G325*50*0.1065*0.001*0.001</f>
        <v>0.68150229357798164</v>
      </c>
      <c r="J325" s="178">
        <v>0</v>
      </c>
      <c r="K325" s="178">
        <v>0</v>
      </c>
      <c r="L325" s="178">
        <v>0</v>
      </c>
      <c r="M325" s="178">
        <v>0</v>
      </c>
      <c r="N325" s="178">
        <f t="shared" ref="N325:N326" si="37">I325</f>
        <v>0.68150229357798164</v>
      </c>
      <c r="O325" s="178">
        <f t="shared" ref="O325:O326" si="38">N325</f>
        <v>0.68150229357798164</v>
      </c>
      <c r="P325" s="178">
        <v>0</v>
      </c>
    </row>
    <row r="326" spans="1:16">
      <c r="B326" s="179"/>
      <c r="C326" s="179"/>
      <c r="D326" s="183" t="s">
        <v>140</v>
      </c>
      <c r="E326" s="184"/>
      <c r="F326" s="184"/>
      <c r="G326" s="1302">
        <f>IF(A300=0,0,IF(Summary!J$13="Yes",18*1000/9.81*Summary!C$13*Summary!C$14*Summary!C$15*Summary!C$16*Summary!J$14,0))</f>
        <v>0</v>
      </c>
      <c r="H326" s="181">
        <v>0</v>
      </c>
      <c r="I326" s="181">
        <f t="shared" si="36"/>
        <v>0</v>
      </c>
      <c r="J326" s="181">
        <v>0</v>
      </c>
      <c r="K326" s="181">
        <v>0</v>
      </c>
      <c r="L326" s="181">
        <v>0</v>
      </c>
      <c r="M326" s="181">
        <v>0</v>
      </c>
      <c r="N326" s="181">
        <f t="shared" si="37"/>
        <v>0</v>
      </c>
      <c r="O326" s="181">
        <f t="shared" si="38"/>
        <v>0</v>
      </c>
      <c r="P326" s="181">
        <v>0</v>
      </c>
    </row>
    <row r="327" spans="1:16">
      <c r="H327" s="185">
        <f>SUM(H300:H326)</f>
        <v>617.18511926841074</v>
      </c>
      <c r="I327" s="185">
        <f t="shared" ref="I327:P327" si="39">SUM(I300:I326)</f>
        <v>104.99748110125545</v>
      </c>
      <c r="J327" s="185">
        <f t="shared" si="39"/>
        <v>20.070911068598846</v>
      </c>
      <c r="K327" s="185">
        <f t="shared" si="39"/>
        <v>584.4761504454076</v>
      </c>
      <c r="L327" s="185">
        <f t="shared" si="39"/>
        <v>604.54706151400671</v>
      </c>
      <c r="M327" s="185">
        <f t="shared" si="39"/>
        <v>-188.17750617458483</v>
      </c>
      <c r="N327" s="185">
        <f t="shared" si="39"/>
        <v>755.60782083119773</v>
      </c>
      <c r="O327" s="185">
        <f t="shared" si="39"/>
        <v>830.54020344612172</v>
      </c>
      <c r="P327" s="185">
        <f t="shared" si="39"/>
        <v>-529.61467889908272</v>
      </c>
    </row>
    <row r="328" spans="1:16" ht="12.75" thickBot="1">
      <c r="B328" s="172"/>
      <c r="C328" s="172"/>
      <c r="D328" s="172"/>
      <c r="E328" s="172"/>
      <c r="F328" s="172"/>
      <c r="G328" s="173"/>
      <c r="H328" s="173"/>
      <c r="I328" s="173"/>
      <c r="J328" s="173"/>
      <c r="K328" s="173"/>
      <c r="L328" s="173"/>
      <c r="M328" s="174"/>
      <c r="N328" s="174"/>
      <c r="O328" s="174"/>
      <c r="P328" s="174"/>
    </row>
    <row r="329" spans="1:16"/>
    <row r="330" spans="1:16">
      <c r="H330" s="1311" t="s">
        <v>99</v>
      </c>
      <c r="I330" s="1311"/>
      <c r="J330" s="1311"/>
      <c r="K330" s="1311"/>
      <c r="L330" s="1311"/>
      <c r="M330" s="1311"/>
      <c r="N330" s="1311"/>
      <c r="O330" s="1311"/>
      <c r="P330" s="1311"/>
    </row>
    <row r="331" spans="1:16" ht="12.75" thickBot="1">
      <c r="B331" s="175" t="s">
        <v>22</v>
      </c>
      <c r="C331" s="175" t="s">
        <v>100</v>
      </c>
      <c r="D331" s="175" t="s">
        <v>101</v>
      </c>
      <c r="E331" s="175" t="s">
        <v>102</v>
      </c>
      <c r="F331" s="175" t="s">
        <v>103</v>
      </c>
      <c r="G331" s="72" t="s">
        <v>104</v>
      </c>
      <c r="H331" s="176" t="s">
        <v>105</v>
      </c>
      <c r="I331" s="176" t="s">
        <v>106</v>
      </c>
      <c r="J331" s="176" t="s">
        <v>107</v>
      </c>
      <c r="K331" s="176" t="s">
        <v>108</v>
      </c>
      <c r="L331" s="176" t="s">
        <v>109</v>
      </c>
      <c r="M331" s="176" t="s">
        <v>110</v>
      </c>
      <c r="N331" s="176" t="s">
        <v>111</v>
      </c>
      <c r="O331" s="176" t="s">
        <v>112</v>
      </c>
      <c r="P331" s="176" t="s">
        <v>113</v>
      </c>
    </row>
    <row r="332" spans="1:16">
      <c r="A332" s="148">
        <f>MIN(Pile!EN464,Database!E27)</f>
        <v>0.55000000000000004</v>
      </c>
      <c r="B332" s="150" t="str">
        <f>Database!D27</f>
        <v>CLT, Glulam and Steel Column Hybrid</v>
      </c>
      <c r="C332" s="150" t="s">
        <v>114</v>
      </c>
      <c r="D332" s="150" t="s">
        <v>115</v>
      </c>
      <c r="E332" s="150" t="s">
        <v>151</v>
      </c>
      <c r="F332" s="150" t="s">
        <v>152</v>
      </c>
      <c r="G332" s="1301">
        <f>IF(A332=0,0,IF(Summary!J$8="No",Database!K27*Summary!C$13*Summary!C$14*Summary!C$15*Summary!C$16*Summary!C$17,Database!K27*Summary!C$13*Summary!C$14*Summary!C$15*Summary!C$16*(Summary!C$17-1)))</f>
        <v>144115.19999999995</v>
      </c>
      <c r="H332" s="178">
        <f>VLOOKUP($F332,'Carbon Factors'!$B$5:$L$41,2,FALSE)*'Material Quantities &amp; Embodied '!$G332/1000</f>
        <v>40.352255999999997</v>
      </c>
      <c r="I332" s="178">
        <f>VLOOKUP($F332,'Carbon Factors'!$B$5:$L$41,3,FALSE)*'Material Quantities &amp; Embodied '!$G332/1000</f>
        <v>23.202547199999994</v>
      </c>
      <c r="J332" s="178">
        <f>VLOOKUP($F332,'Carbon Factors'!$B$5:$L$41,5,FALSE)*'Material Quantities &amp; Embodied '!$G332/1000</f>
        <v>0.72057599999999977</v>
      </c>
      <c r="K332" s="178">
        <f>VLOOKUP($F332,'Carbon Factors'!$B$5:$L$41,6,FALSE)*'Material Quantities &amp; Embodied '!$G332/1000</f>
        <v>239.5194623999999</v>
      </c>
      <c r="L332" s="178">
        <f>VLOOKUP($F332,'Carbon Factors'!$B$5:$L$41,7,FALSE)*'Material Quantities &amp; Embodied '!$G332/1000</f>
        <v>240.24003839999989</v>
      </c>
      <c r="M332" s="178">
        <f>VLOOKUP($F332,'Carbon Factors'!$B$5:$L$41,8,FALSE)*'Material Quantities &amp; Embodied '!$G332/1000</f>
        <v>-75.516364799999977</v>
      </c>
      <c r="N332" s="178">
        <f>VLOOKUP($F332,'Carbon Factors'!$B$5:$L$41,9,FALSE)*'Material Quantities &amp; Embodied '!$G332/1000</f>
        <v>66.592751615999973</v>
      </c>
      <c r="O332" s="178">
        <f>VLOOKUP($F332,'Carbon Factors'!$B$5:$L$41,10,FALSE)*'Material Quantities &amp; Embodied '!$G332/1000</f>
        <v>70.483862016000003</v>
      </c>
      <c r="P332" s="178">
        <f>VLOOKUP($F332,'Carbon Factors'!$B$5:$L$41,11,FALSE)*'Material Quantities &amp; Embodied '!$G332/1000</f>
        <v>-236.34892799999989</v>
      </c>
    </row>
    <row r="333" spans="1:16">
      <c r="E333" s="150" t="s">
        <v>149</v>
      </c>
      <c r="F333" s="150" t="s">
        <v>150</v>
      </c>
      <c r="G333" s="1301">
        <f>IF(A332=0,0,IF(Summary!J$8="No",Database!L27*Summary!C$13*Summary!C$14*Summary!C$15*Summary!C$16*Summary!C$17,Database!L27*Summary!C$13*Summary!C$14*Summary!C$15*Summary!C$16*(Summary!C$17-1)))</f>
        <v>316799.99999999994</v>
      </c>
      <c r="H333" s="178">
        <f>VLOOKUP($F333,'Carbon Factors'!$B$5:$L$41,2,FALSE)*'Material Quantities &amp; Embodied '!$G333/1000</f>
        <v>79.199999999999989</v>
      </c>
      <c r="I333" s="178">
        <f>VLOOKUP($F333,'Carbon Factors'!$B$5:$L$41,3,FALSE)*'Material Quantities &amp; Embodied '!$G333/1000</f>
        <v>51.004799999999989</v>
      </c>
      <c r="J333" s="178">
        <f>VLOOKUP($F333,'Carbon Factors'!$B$5:$L$41,5,FALSE)*'Material Quantities &amp; Embodied '!$G333/1000</f>
        <v>1.5839999999999999</v>
      </c>
      <c r="K333" s="178">
        <f>VLOOKUP($F333,'Carbon Factors'!$B$5:$L$41,6,FALSE)*'Material Quantities &amp; Embodied '!$G333/1000</f>
        <v>526.52159999999981</v>
      </c>
      <c r="L333" s="178">
        <f>VLOOKUP($F333,'Carbon Factors'!$B$5:$L$41,7,FALSE)*'Material Quantities &amp; Embodied '!$G333/1000</f>
        <v>528.10559999999987</v>
      </c>
      <c r="M333" s="178">
        <f>VLOOKUP($F333,'Carbon Factors'!$B$5:$L$41,8,FALSE)*'Material Quantities &amp; Embodied '!$G333/1000</f>
        <v>-166.00319999999999</v>
      </c>
      <c r="N333" s="178">
        <f>VLOOKUP($F333,'Carbon Factors'!$B$5:$L$41,9,FALSE)*'Material Quantities &amp; Embodied '!$G333/1000</f>
        <v>136.78790399999997</v>
      </c>
      <c r="O333" s="178">
        <f>VLOOKUP($F333,'Carbon Factors'!$B$5:$L$41,10,FALSE)*'Material Quantities &amp; Embodied '!$G333/1000</f>
        <v>145.34150400000004</v>
      </c>
      <c r="P333" s="178">
        <f>VLOOKUP($F333,'Carbon Factors'!$B$5:$L$41,11,FALSE)*'Material Quantities &amp; Embodied '!$G333/1000</f>
        <v>-519.55199999999991</v>
      </c>
    </row>
    <row r="334" spans="1:16">
      <c r="D334" s="150" t="s">
        <v>119</v>
      </c>
      <c r="E334" s="150" t="s">
        <v>143</v>
      </c>
      <c r="F334" s="150" t="str">
        <f>IF(Summary!F$10="Basic Oxygen Furnace","Steel - Structural_sections - UK open sections","Steel - Structural_sections - Europe avg EPD")</f>
        <v>Steel - Structural_sections - Europe avg EPD</v>
      </c>
      <c r="G334" s="1301">
        <f>IF(A332=0,0,'Steel Column'!K62*1.1*1000)</f>
        <v>27762.240000000005</v>
      </c>
      <c r="H334" s="178">
        <f>VLOOKUP($F334,'Carbon Factors'!$B$5:$L$41,2,FALSE)*'Material Quantities &amp; Embodied '!$G334/1000</f>
        <v>31.371331200000004</v>
      </c>
      <c r="I334" s="178">
        <f>VLOOKUP($F334,'Carbon Factors'!$B$5:$L$41,3,FALSE)*'Material Quantities &amp; Embodied '!$G334/1000</f>
        <v>4.4419584000000016</v>
      </c>
      <c r="J334" s="178">
        <f>VLOOKUP($F334,'Carbon Factors'!$B$5:$L$41,5,FALSE)*'Material Quantities &amp; Embodied '!$G334/1000</f>
        <v>0.13917210912000003</v>
      </c>
      <c r="K334" s="178">
        <f>VLOOKUP($F334,'Carbon Factors'!$B$5:$L$41,6,FALSE)*'Material Quantities &amp; Embodied '!$G334/1000</f>
        <v>0.36090912000000003</v>
      </c>
      <c r="L334" s="178">
        <f>VLOOKUP($F334,'Carbon Factors'!$B$5:$L$41,7,FALSE)*'Material Quantities &amp; Embodied '!$G334/1000</f>
        <v>0.50008122912000008</v>
      </c>
      <c r="M334" s="178">
        <f>VLOOKUP($F334,'Carbon Factors'!$B$5:$L$41,8,FALSE)*'Material Quantities &amp; Embodied '!$G334/1000</f>
        <v>-11.465805120000001</v>
      </c>
      <c r="N334" s="178">
        <f>VLOOKUP($F334,'Carbon Factors'!$B$5:$L$41,9,FALSE)*'Material Quantities &amp; Embodied '!$G334/1000</f>
        <v>36.176423308291206</v>
      </c>
      <c r="O334" s="178">
        <f>VLOOKUP($F334,'Carbon Factors'!$B$5:$L$41,10,FALSE)*'Material Quantities &amp; Embodied '!$G334/1000</f>
        <v>36.676504537411205</v>
      </c>
      <c r="P334" s="178">
        <f>VLOOKUP($F334,'Carbon Factors'!$B$5:$L$41,11,FALSE)*'Material Quantities &amp; Embodied '!$G334/1000</f>
        <v>0</v>
      </c>
    </row>
    <row r="335" spans="1:16">
      <c r="D335" s="150" t="s">
        <v>120</v>
      </c>
      <c r="E335" s="150" t="s">
        <v>121</v>
      </c>
      <c r="F335" s="150" t="str">
        <f>F6</f>
        <v>C32/40 - 25% GGBS</v>
      </c>
      <c r="G335" s="1301">
        <f>IF(A332=0,0,'Shear Walls'!BK84+'Shear Walls'!BK118)</f>
        <v>46286.697247706419</v>
      </c>
      <c r="H335" s="178">
        <f>VLOOKUP($F335,'Carbon Factors'!$B$5:$L$41,2,FALSE)*'Material Quantities &amp; Embodied '!$G335/1000</f>
        <v>5.5544036697247705</v>
      </c>
      <c r="I335" s="178">
        <f>VLOOKUP($F335,'Carbon Factors'!$B$5:$L$41,3,FALSE)*'Material Quantities &amp; Embodied '!$G335/1000</f>
        <v>0.2314334862385321</v>
      </c>
      <c r="J335" s="178">
        <f>VLOOKUP($F335,'Carbon Factors'!$B$5:$L$41,5,FALSE)*'Material Quantities &amp; Embodied '!$G335/1000</f>
        <v>0.23293780389908258</v>
      </c>
      <c r="K335" s="178">
        <f>VLOOKUP($F335,'Carbon Factors'!$B$5:$L$41,6,FALSE)*'Material Quantities &amp; Embodied '!$G335/1000</f>
        <v>0.60172706422018341</v>
      </c>
      <c r="L335" s="178">
        <f>VLOOKUP($F335,'Carbon Factors'!$B$5:$L$41,7,FALSE)*'Material Quantities &amp; Embodied '!$G335/1000</f>
        <v>0.83466486811926599</v>
      </c>
      <c r="M335" s="178">
        <f>VLOOKUP($F335,'Carbon Factors'!$B$5:$L$41,8,FALSE)*'Material Quantities &amp; Embodied '!$G335/1000</f>
        <v>0.20366146788990827</v>
      </c>
      <c r="N335" s="178">
        <f>VLOOKUP($F335,'Carbon Factors'!$B$5:$L$41,9,FALSE)*'Material Quantities &amp; Embodied '!$G335/1000</f>
        <v>6.1367237632396785</v>
      </c>
      <c r="O335" s="178">
        <f>VLOOKUP($F335,'Carbon Factors'!$B$5:$L$41,10,FALSE)*'Material Quantities &amp; Embodied '!$G335/1000</f>
        <v>6.9713886313589448</v>
      </c>
      <c r="P335" s="178">
        <f>VLOOKUP($F335,'Carbon Factors'!$B$5:$L$41,11,FALSE)*'Material Quantities &amp; Embodied '!$G335/1000</f>
        <v>0</v>
      </c>
    </row>
    <row r="336" spans="1:16">
      <c r="E336" s="150" t="s">
        <v>117</v>
      </c>
      <c r="F336" s="150" t="s">
        <v>118</v>
      </c>
      <c r="G336" s="1301">
        <f>IF(A332=0,0,'Shear Walls'!BK85+'Shear Walls'!BK119)</f>
        <v>1454.6878155479026</v>
      </c>
      <c r="H336" s="178">
        <f>VLOOKUP($F336,'Carbon Factors'!$B$5:$L$41,2,FALSE)*'Material Quantities &amp; Embodied '!$G336/1000</f>
        <v>1.1055627398164061</v>
      </c>
      <c r="I336" s="178">
        <f>VLOOKUP($F336,'Carbon Factors'!$B$5:$L$41,3,FALSE)*'Material Quantities &amp; Embodied '!$G336/1000</f>
        <v>4.655001009753288E-2</v>
      </c>
      <c r="J336" s="178">
        <f>VLOOKUP($F336,'Carbon Factors'!$B$5:$L$41,5,FALSE)*'Material Quantities &amp; Embodied '!$G336/1000</f>
        <v>7.3207164317448201E-3</v>
      </c>
      <c r="K336" s="178">
        <f>VLOOKUP($F336,'Carbon Factors'!$B$5:$L$41,6,FALSE)*'Material Quantities &amp; Embodied '!$G336/1000</f>
        <v>1.8910941602122734E-2</v>
      </c>
      <c r="L336" s="178">
        <f>VLOOKUP($F336,'Carbon Factors'!$B$5:$L$41,7,FALSE)*'Material Quantities &amp; Embodied '!$G336/1000</f>
        <v>2.6231658033867553E-2</v>
      </c>
      <c r="M336" s="178">
        <f>VLOOKUP($F336,'Carbon Factors'!$B$5:$L$41,8,FALSE)*'Material Quantities &amp; Embodied '!$G336/1000</f>
        <v>0.51059542325731377</v>
      </c>
      <c r="N336" s="178">
        <f>VLOOKUP($F336,'Carbon Factors'!$B$5:$L$41,9,FALSE)*'Material Quantities &amp; Embodied '!$G336/1000</f>
        <v>1.2145650035351725</v>
      </c>
      <c r="O336" s="178">
        <f>VLOOKUP($F336,'Carbon Factors'!$B$5:$L$41,10,FALSE)*'Material Quantities &amp; Embodied '!$G336/1000</f>
        <v>1.2407966615690402</v>
      </c>
      <c r="P336" s="178">
        <f>VLOOKUP($F336,'Carbon Factors'!$B$5:$L$41,11,FALSE)*'Material Quantities &amp; Embodied '!$G336/1000</f>
        <v>0</v>
      </c>
    </row>
    <row r="337" spans="3:16">
      <c r="D337" s="150" t="s">
        <v>122</v>
      </c>
      <c r="E337" s="150" t="s">
        <v>116</v>
      </c>
      <c r="F337" s="150" t="str">
        <f>Summary!F$9</f>
        <v>C32/40 - 25% GGBS</v>
      </c>
      <c r="G337" s="1301">
        <f>IF(A332=0,0,IF(Summary!J$8="Yes",Summary!C$13*Summary!C$14*Summary!C$15*Summary!C$16*Summary!J$9*24*1000/9.81,0))</f>
        <v>0</v>
      </c>
      <c r="H337" s="178">
        <f>VLOOKUP($F337,'Carbon Factors'!$B$5:$L$41,2,FALSE)*'Material Quantities &amp; Embodied '!$G337/1000</f>
        <v>0</v>
      </c>
      <c r="I337" s="178">
        <f>VLOOKUP($F337,'Carbon Factors'!$B$5:$L$41,3,FALSE)*'Material Quantities &amp; Embodied '!$G337/1000</f>
        <v>0</v>
      </c>
      <c r="J337" s="178">
        <f>VLOOKUP($F337,'Carbon Factors'!$B$5:$L$41,5,FALSE)*'Material Quantities &amp; Embodied '!$G337/1000</f>
        <v>0</v>
      </c>
      <c r="K337" s="178">
        <f>VLOOKUP($F337,'Carbon Factors'!$B$5:$L$41,6,FALSE)*'Material Quantities &amp; Embodied '!$G337/1000</f>
        <v>0</v>
      </c>
      <c r="L337" s="178">
        <f>VLOOKUP($F337,'Carbon Factors'!$B$5:$L$41,7,FALSE)*'Material Quantities &amp; Embodied '!$G337/1000</f>
        <v>0</v>
      </c>
      <c r="M337" s="178">
        <f>VLOOKUP($F337,'Carbon Factors'!$B$5:$L$41,8,FALSE)*'Material Quantities &amp; Embodied '!$G337/1000</f>
        <v>0</v>
      </c>
      <c r="N337" s="178">
        <f>VLOOKUP($F337,'Carbon Factors'!$B$5:$L$41,9,FALSE)*'Material Quantities &amp; Embodied '!$G337/1000</f>
        <v>0</v>
      </c>
      <c r="O337" s="178">
        <f>VLOOKUP($F337,'Carbon Factors'!$B$5:$L$41,10,FALSE)*'Material Quantities &amp; Embodied '!$G337/1000</f>
        <v>0</v>
      </c>
      <c r="P337" s="178">
        <f>VLOOKUP($F337,'Carbon Factors'!$B$5:$L$41,11,FALSE)*'Material Quantities &amp; Embodied '!$G337/1000</f>
        <v>0</v>
      </c>
    </row>
    <row r="338" spans="3:16">
      <c r="E338" s="150" t="s">
        <v>117</v>
      </c>
      <c r="F338" s="150" t="s">
        <v>118</v>
      </c>
      <c r="G338" s="1301">
        <f>IF(A332=0,0,IF(Summary!J$8="Yes",Summary!C$13*Summary!C$14*Summary!C$15*Summary!C$16*Summary!J$9*Summary!J$10,0))</f>
        <v>0</v>
      </c>
      <c r="H338" s="178">
        <f>VLOOKUP($F338,'Carbon Factors'!$B$5:$L$41,2,FALSE)*'Material Quantities &amp; Embodied '!$G338/1000</f>
        <v>0</v>
      </c>
      <c r="I338" s="178">
        <f>VLOOKUP($F338,'Carbon Factors'!$B$5:$L$41,3,FALSE)*'Material Quantities &amp; Embodied '!$G338/1000</f>
        <v>0</v>
      </c>
      <c r="J338" s="178">
        <f>VLOOKUP($F338,'Carbon Factors'!$B$5:$L$41,5,FALSE)*'Material Quantities &amp; Embodied '!$G338/1000</f>
        <v>0</v>
      </c>
      <c r="K338" s="178">
        <f>VLOOKUP($F338,'Carbon Factors'!$B$5:$L$41,6,FALSE)*'Material Quantities &amp; Embodied '!$G338/1000</f>
        <v>0</v>
      </c>
      <c r="L338" s="178">
        <f>VLOOKUP($F338,'Carbon Factors'!$B$5:$L$41,7,FALSE)*'Material Quantities &amp; Embodied '!$G338/1000</f>
        <v>0</v>
      </c>
      <c r="M338" s="178">
        <f>VLOOKUP($F338,'Carbon Factors'!$B$5:$L$41,8,FALSE)*'Material Quantities &amp; Embodied '!$G338/1000</f>
        <v>0</v>
      </c>
      <c r="N338" s="178">
        <f>VLOOKUP($F338,'Carbon Factors'!$B$5:$L$41,9,FALSE)*'Material Quantities &amp; Embodied '!$G338/1000</f>
        <v>0</v>
      </c>
      <c r="O338" s="178">
        <f>VLOOKUP($F338,'Carbon Factors'!$B$5:$L$41,10,FALSE)*'Material Quantities &amp; Embodied '!$G338/1000</f>
        <v>0</v>
      </c>
      <c r="P338" s="178">
        <f>VLOOKUP($F338,'Carbon Factors'!$B$5:$L$41,11,FALSE)*'Material Quantities &amp; Embodied '!$G338/1000</f>
        <v>0</v>
      </c>
    </row>
    <row r="339" spans="3:16">
      <c r="C339" s="179"/>
      <c r="D339" s="179" t="s">
        <v>144</v>
      </c>
      <c r="E339" s="179" t="s">
        <v>145</v>
      </c>
      <c r="F339" s="179" t="s">
        <v>146</v>
      </c>
      <c r="G339" s="1302">
        <f>Intumescent!N8</f>
        <v>777.11119200000019</v>
      </c>
      <c r="H339" s="181">
        <f>VLOOKUP($F339,'Carbon Factors'!$B$5:$L$41,2,FALSE)*'Material Quantities &amp; Embodied '!$G339/1000</f>
        <v>1.7951268535200005</v>
      </c>
      <c r="I339" s="181">
        <f>VLOOKUP($F339,'Carbon Factors'!$B$5:$L$41,3,FALSE)*'Material Quantities &amp; Embodied '!$G339/1000</f>
        <v>0.12433779072000004</v>
      </c>
      <c r="J339" s="181">
        <f>VLOOKUP($F339,'Carbon Factors'!$B$5:$L$41,5,FALSE)*'Material Quantities &amp; Embodied '!$G339/1000</f>
        <v>3.9108120737400016E-3</v>
      </c>
      <c r="K339" s="181">
        <f>VLOOKUP($F339,'Carbon Factors'!$B$5:$L$41,6,FALSE)*'Material Quantities &amp; Embodied '!$G339/1000</f>
        <v>1.0102445496000001E-2</v>
      </c>
      <c r="L339" s="181">
        <f>VLOOKUP($F339,'Carbon Factors'!$B$5:$L$41,7,FALSE)*'Material Quantities &amp; Embodied '!$G339/1000</f>
        <v>1.4013257569740005E-2</v>
      </c>
      <c r="M339" s="181">
        <f>VLOOKUP($F339,'Carbon Factors'!$B$5:$L$41,8,FALSE)*'Material Quantities &amp; Embodied '!$G339/1000</f>
        <v>0</v>
      </c>
      <c r="N339" s="181">
        <f>VLOOKUP($F339,'Carbon Factors'!$B$5:$L$41,9,FALSE)*'Material Quantities &amp; Embodied '!$G339/1000</f>
        <v>2.0219389730359167</v>
      </c>
      <c r="O339" s="181">
        <f>VLOOKUP($F339,'Carbon Factors'!$B$5:$L$41,10,FALSE)*'Material Quantities &amp; Embodied '!$G339/1000</f>
        <v>2.0359522306056568</v>
      </c>
      <c r="P339" s="181">
        <f>VLOOKUP($F339,'Carbon Factors'!$B$5:$L$41,11,FALSE)*'Material Quantities &amp; Embodied '!$G339/1000</f>
        <v>0</v>
      </c>
    </row>
    <row r="340" spans="3:16">
      <c r="C340" s="150" t="s">
        <v>123</v>
      </c>
      <c r="D340" s="150" t="s">
        <v>124</v>
      </c>
      <c r="E340" s="150" t="s">
        <v>116</v>
      </c>
      <c r="F340" s="150" t="str">
        <f>F6</f>
        <v>C32/40 - 25% GGBS</v>
      </c>
      <c r="G340" s="1301">
        <f>IF(A332=0,0,IF(Summary!J13="No",(480*Summary!C13*Summary!C14*Summary!C15*Summary!C16),(Basement!C11*Summary!C13*Summary!C14*Summary!C15*Summary!C16)))</f>
        <v>1382400</v>
      </c>
      <c r="H340" s="178">
        <f>VLOOKUP($F340,'Carbon Factors'!$B$5:$L$41,2,FALSE)*'Material Quantities &amp; Embodied '!$G340/1000</f>
        <v>165.88800000000001</v>
      </c>
      <c r="I340" s="178">
        <f>VLOOKUP($F340,'Carbon Factors'!$B$5:$L$41,3,FALSE)*'Material Quantities &amp; Embodied '!$G340/1000</f>
        <v>6.9119999999999999</v>
      </c>
      <c r="J340" s="178">
        <f>VLOOKUP($F340,'Carbon Factors'!$B$5:$L$41,5,FALSE)*'Material Quantities &amp; Embodied '!$G340/1000</f>
        <v>6.9569280000000004</v>
      </c>
      <c r="K340" s="178">
        <f>VLOOKUP($F340,'Carbon Factors'!$B$5:$L$41,6,FALSE)*'Material Quantities &amp; Embodied '!$G340/1000</f>
        <v>17.9712</v>
      </c>
      <c r="L340" s="178">
        <f>VLOOKUP($F340,'Carbon Factors'!$B$5:$L$41,7,FALSE)*'Material Quantities &amp; Embodied '!$G340/1000</f>
        <v>24.928128000000001</v>
      </c>
      <c r="M340" s="178">
        <f>VLOOKUP($F340,'Carbon Factors'!$B$5:$L$41,8,FALSE)*'Material Quantities &amp; Embodied '!$G340/1000</f>
        <v>6.08256</v>
      </c>
      <c r="N340" s="178">
        <f>VLOOKUP($F340,'Carbon Factors'!$B$5:$L$41,9,FALSE)*'Material Quantities &amp; Embodied '!$G340/1000</f>
        <v>183.27959078399999</v>
      </c>
      <c r="O340" s="178">
        <f>VLOOKUP($F340,'Carbon Factors'!$B$5:$L$41,10,FALSE)*'Material Quantities &amp; Embodied '!$G340/1000</f>
        <v>208.20771878400001</v>
      </c>
      <c r="P340" s="178">
        <f>VLOOKUP($F340,'Carbon Factors'!$B$5:$L$41,11,FALSE)*'Material Quantities &amp; Embodied '!$G340/1000</f>
        <v>0</v>
      </c>
    </row>
    <row r="341" spans="3:16">
      <c r="E341" s="150" t="s">
        <v>117</v>
      </c>
      <c r="F341" s="150" t="s">
        <v>118</v>
      </c>
      <c r="G341" s="1301">
        <f>IF(A332=0,0,IF(Summary!J13="No",(12*Summary!C13*Summary!C14*Summary!C15*Summary!C16),(Basement!C10*Summary!C13*Summary!C14*Summary!C15*Summary!C16)))</f>
        <v>34560</v>
      </c>
      <c r="H341" s="178">
        <f>VLOOKUP($F341,'Carbon Factors'!$B$5:$L$41,2,FALSE)*'Material Quantities &amp; Embodied '!$G341/1000</f>
        <v>26.265599999999999</v>
      </c>
      <c r="I341" s="178">
        <f>VLOOKUP($F341,'Carbon Factors'!$B$5:$L$41,3,FALSE)*'Material Quantities &amp; Embodied '!$G341/1000</f>
        <v>1.10592</v>
      </c>
      <c r="J341" s="178">
        <f>VLOOKUP($F341,'Carbon Factors'!$B$5:$L$41,5,FALSE)*'Material Quantities &amp; Embodied '!$G341/1000</f>
        <v>0.1739232</v>
      </c>
      <c r="K341" s="178">
        <f>VLOOKUP($F341,'Carbon Factors'!$B$5:$L$41,6,FALSE)*'Material Quantities &amp; Embodied '!$G341/1000</f>
        <v>0.44927999999999996</v>
      </c>
      <c r="L341" s="178">
        <f>VLOOKUP($F341,'Carbon Factors'!$B$5:$L$41,7,FALSE)*'Material Quantities &amp; Embodied '!$G341/1000</f>
        <v>0.62320320000000007</v>
      </c>
      <c r="M341" s="178">
        <f>VLOOKUP($F341,'Carbon Factors'!$B$5:$L$41,8,FALSE)*'Material Quantities &amp; Embodied '!$G341/1000</f>
        <v>12.130559999999999</v>
      </c>
      <c r="N341" s="178">
        <f>VLOOKUP($F341,'Carbon Factors'!$B$5:$L$41,9,FALSE)*'Material Quantities &amp; Embodied '!$G341/1000</f>
        <v>28.855240329600001</v>
      </c>
      <c r="O341" s="178">
        <f>VLOOKUP($F341,'Carbon Factors'!$B$5:$L$41,10,FALSE)*'Material Quantities &amp; Embodied '!$G341/1000</f>
        <v>29.4784435296</v>
      </c>
      <c r="P341" s="178">
        <f>VLOOKUP($F341,'Carbon Factors'!$B$5:$L$41,11,FALSE)*'Material Quantities &amp; Embodied '!$G341/1000</f>
        <v>0</v>
      </c>
    </row>
    <row r="342" spans="3:16">
      <c r="D342" s="150" t="s">
        <v>126</v>
      </c>
      <c r="E342" s="150" t="s">
        <v>116</v>
      </c>
      <c r="F342" s="150" t="s">
        <v>127</v>
      </c>
      <c r="G342" s="1301">
        <f>IF(A332=0,0,Summary!C13*Summary!C14*Summary!C15*Summary!C16*0.05*24*1000/9.81)</f>
        <v>352293.57798165135</v>
      </c>
      <c r="H342" s="178">
        <f>VLOOKUP($F342,'Carbon Factors'!$B$5:$L$41,2,FALSE)*'Material Quantities &amp; Embodied '!$G342/1000</f>
        <v>52.491743119266054</v>
      </c>
      <c r="I342" s="178">
        <f>VLOOKUP($F342,'Carbon Factors'!$B$5:$L$41,3,FALSE)*'Material Quantities &amp; Embodied '!$G342/1000</f>
        <v>1.761467889908257</v>
      </c>
      <c r="J342" s="178">
        <f>VLOOKUP($F342,'Carbon Factors'!$B$5:$L$41,5,FALSE)*'Material Quantities &amp; Embodied '!$G342/1000</f>
        <v>1.7729174311926605</v>
      </c>
      <c r="K342" s="178">
        <f>VLOOKUP($F342,'Carbon Factors'!$B$5:$L$41,6,FALSE)*'Material Quantities &amp; Embodied '!$G342/1000</f>
        <v>4.5798165137614681</v>
      </c>
      <c r="L342" s="178">
        <f>VLOOKUP($F342,'Carbon Factors'!$B$5:$L$41,7,FALSE)*'Material Quantities &amp; Embodied '!$G342/1000</f>
        <v>6.352733944954128</v>
      </c>
      <c r="M342" s="178">
        <f>VLOOKUP($F342,'Carbon Factors'!$B$5:$L$41,8,FALSE)*'Material Quantities &amp; Embodied '!$G342/1000</f>
        <v>1.550091743119266</v>
      </c>
      <c r="N342" s="178">
        <f>VLOOKUP($F342,'Carbon Factors'!$B$5:$L$41,9,FALSE)*'Material Quantities &amp; Embodied '!$G342/1000</f>
        <v>57.465326091743115</v>
      </c>
      <c r="O342" s="178">
        <f>VLOOKUP($F342,'Carbon Factors'!$B$5:$L$41,10,FALSE)*'Material Quantities &amp; Embodied '!$G342/1000</f>
        <v>63.818060036697247</v>
      </c>
      <c r="P342" s="178">
        <f>VLOOKUP($F342,'Carbon Factors'!$B$5:$L$41,11,FALSE)*'Material Quantities &amp; Embodied '!$G342/1000</f>
        <v>0</v>
      </c>
    </row>
    <row r="343" spans="3:16">
      <c r="D343" s="150" t="s">
        <v>128</v>
      </c>
      <c r="E343" s="150" t="s">
        <v>129</v>
      </c>
      <c r="F343" s="150" t="s">
        <v>130</v>
      </c>
      <c r="G343" s="1301">
        <f>IF(A332=0,0,Summary!C13*Summary!C14*Summary!C15*Summary!C16*0.15*20*1000/9.81)</f>
        <v>880733.94495412835</v>
      </c>
      <c r="H343" s="178">
        <f>VLOOKUP($F343,'Carbon Factors'!$B$5:$L$41,2,FALSE)*'Material Quantities &amp; Embodied '!$G343/1000</f>
        <v>6.5790825688073395</v>
      </c>
      <c r="I343" s="178">
        <f>VLOOKUP($F343,'Carbon Factors'!$B$5:$L$41,3,FALSE)*'Material Quantities &amp; Embodied '!$G343/1000</f>
        <v>4.4036697247706416</v>
      </c>
      <c r="J343" s="178">
        <f>VLOOKUP($F343,'Carbon Factors'!$B$5:$L$41,5,FALSE)*'Material Quantities &amp; Embodied '!$G343/1000</f>
        <v>4.4036697247706416</v>
      </c>
      <c r="K343" s="178">
        <f>VLOOKUP($F343,'Carbon Factors'!$B$5:$L$41,6,FALSE)*'Material Quantities &amp; Embodied '!$G343/1000</f>
        <v>11.449541284403667</v>
      </c>
      <c r="L343" s="178">
        <f>VLOOKUP($F343,'Carbon Factors'!$B$5:$L$41,7,FALSE)*'Material Quantities &amp; Embodied '!$G343/1000</f>
        <v>15.853211009174309</v>
      </c>
      <c r="M343" s="178">
        <f>VLOOKUP($F343,'Carbon Factors'!$B$5:$L$41,8,FALSE)*'Material Quantities &amp; Embodied '!$G343/1000</f>
        <v>0</v>
      </c>
      <c r="N343" s="178">
        <f>VLOOKUP($F343,'Carbon Factors'!$B$5:$L$41,9,FALSE)*'Material Quantities &amp; Embodied '!$G343/1000</f>
        <v>12.405058348623852</v>
      </c>
      <c r="O343" s="178">
        <f>VLOOKUP($F343,'Carbon Factors'!$B$5:$L$41,10,FALSE)*'Material Quantities &amp; Embodied '!$G343/1000</f>
        <v>28.258269357798163</v>
      </c>
      <c r="P343" s="178">
        <f>VLOOKUP($F343,'Carbon Factors'!$B$5:$L$41,11,FALSE)*'Material Quantities &amp; Embodied '!$G343/1000</f>
        <v>0</v>
      </c>
    </row>
    <row r="344" spans="3:16">
      <c r="D344" s="150" t="s">
        <v>131</v>
      </c>
      <c r="E344" s="150" t="s">
        <v>116</v>
      </c>
      <c r="F344" s="150" t="str">
        <f>F6</f>
        <v>C32/40 - 25% GGBS</v>
      </c>
      <c r="G344" s="1301">
        <f>IF(A332=0,0,Pile!EN468*24*1000/9.81)</f>
        <v>639674.37939240225</v>
      </c>
      <c r="H344" s="178">
        <f>VLOOKUP($F344,'Carbon Factors'!$B$5:$L$41,2,FALSE)*'Material Quantities &amp; Embodied '!$G344/1000</f>
        <v>76.760925527088276</v>
      </c>
      <c r="I344" s="178">
        <f>VLOOKUP($F344,'Carbon Factors'!$B$5:$L$41,3,FALSE)*'Material Quantities &amp; Embodied '!$G344/1000</f>
        <v>3.1983718969620112</v>
      </c>
      <c r="J344" s="178">
        <f>VLOOKUP($F344,'Carbon Factors'!$B$5:$L$41,5,FALSE)*'Material Quantities &amp; Embodied '!$G344/1000</f>
        <v>3.2191613142922648</v>
      </c>
      <c r="K344" s="178">
        <f>VLOOKUP($F344,'Carbon Factors'!$B$5:$L$41,6,FALSE)*'Material Quantities &amp; Embodied '!$G344/1000</f>
        <v>8.3157669321012282</v>
      </c>
      <c r="L344" s="178">
        <f>VLOOKUP($F344,'Carbon Factors'!$B$5:$L$41,7,FALSE)*'Material Quantities &amp; Embodied '!$G344/1000</f>
        <v>11.534928246393495</v>
      </c>
      <c r="M344" s="178">
        <f>VLOOKUP($F344,'Carbon Factors'!$B$5:$L$41,8,FALSE)*'Material Quantities &amp; Embodied '!$G344/1000</f>
        <v>2.8145672693265702</v>
      </c>
      <c r="N344" s="178">
        <f>VLOOKUP($F344,'Carbon Factors'!$B$5:$L$41,9,FALSE)*'Material Quantities &amp; Embodied '!$G344/1000</f>
        <v>84.808491384583803</v>
      </c>
      <c r="O344" s="178">
        <f>VLOOKUP($F344,'Carbon Factors'!$B$5:$L$41,10,FALSE)*'Material Quantities &amp; Embodied '!$G344/1000</f>
        <v>96.343419630977294</v>
      </c>
      <c r="P344" s="178">
        <f>VLOOKUP($F344,'Carbon Factors'!$B$5:$L$41,11,FALSE)*'Material Quantities &amp; Embodied '!$G344/1000</f>
        <v>0</v>
      </c>
    </row>
    <row r="345" spans="3:16">
      <c r="E345" s="150" t="s">
        <v>117</v>
      </c>
      <c r="F345" s="150" t="s">
        <v>118</v>
      </c>
      <c r="G345" s="1301">
        <f>IF(A332=0,0,Pile!EN474*1000)</f>
        <v>24902.259839999992</v>
      </c>
      <c r="H345" s="178">
        <f>VLOOKUP($F345,'Carbon Factors'!$B$5:$L$41,2,FALSE)*'Material Quantities &amp; Embodied '!$G345/1000</f>
        <v>18.925717478399996</v>
      </c>
      <c r="I345" s="178">
        <f>VLOOKUP($F345,'Carbon Factors'!$B$5:$L$41,3,FALSE)*'Material Quantities &amp; Embodied '!$G345/1000</f>
        <v>0.79687231487999977</v>
      </c>
      <c r="J345" s="178">
        <f>VLOOKUP($F345,'Carbon Factors'!$B$5:$L$41,5,FALSE)*'Material Quantities &amp; Embodied '!$G345/1000</f>
        <v>0.12532062264479996</v>
      </c>
      <c r="K345" s="178">
        <f>VLOOKUP($F345,'Carbon Factors'!$B$5:$L$41,6,FALSE)*'Material Quantities &amp; Embodied '!$G345/1000</f>
        <v>0.32372937791999989</v>
      </c>
      <c r="L345" s="178">
        <f>VLOOKUP($F345,'Carbon Factors'!$B$5:$L$41,7,FALSE)*'Material Quantities &amp; Embodied '!$G345/1000</f>
        <v>0.44905000056479988</v>
      </c>
      <c r="M345" s="178">
        <f>VLOOKUP($F345,'Carbon Factors'!$B$5:$L$41,8,FALSE)*'Material Quantities &amp; Embodied '!$G345/1000</f>
        <v>8.7406932038399976</v>
      </c>
      <c r="N345" s="178">
        <f>VLOOKUP($F345,'Carbon Factors'!$B$5:$L$41,9,FALSE)*'Material Quantities &amp; Embodied '!$G345/1000</f>
        <v>20.791686702353768</v>
      </c>
      <c r="O345" s="178">
        <f>VLOOKUP($F345,'Carbon Factors'!$B$5:$L$41,10,FALSE)*'Material Quantities &amp; Embodied '!$G345/1000</f>
        <v>21.240736702918571</v>
      </c>
      <c r="P345" s="178">
        <f>VLOOKUP($F345,'Carbon Factors'!$B$5:$L$41,11,FALSE)*'Material Quantities &amp; Embodied '!$G345/1000</f>
        <v>0</v>
      </c>
    </row>
    <row r="346" spans="3:16">
      <c r="D346" s="150" t="s">
        <v>132</v>
      </c>
      <c r="E346" s="150" t="s">
        <v>116</v>
      </c>
      <c r="F346" s="150" t="str">
        <f>F6</f>
        <v>C32/40 - 25% GGBS</v>
      </c>
      <c r="G346" s="1301">
        <f>IF(A332=0,0,Pile!EN480*24*1000/9.81)</f>
        <v>170642.20183486238</v>
      </c>
      <c r="H346" s="178">
        <f>VLOOKUP($F346,'Carbon Factors'!$B$5:$L$41,2,FALSE)*'Material Quantities &amp; Embodied '!$G346/1000</f>
        <v>20.477064220183486</v>
      </c>
      <c r="I346" s="178">
        <f>VLOOKUP($F346,'Carbon Factors'!$B$5:$L$41,3,FALSE)*'Material Quantities &amp; Embodied '!$G346/1000</f>
        <v>0.85321100917431192</v>
      </c>
      <c r="J346" s="178">
        <f>VLOOKUP($F346,'Carbon Factors'!$B$5:$L$41,5,FALSE)*'Material Quantities &amp; Embodied '!$G346/1000</f>
        <v>0.85875688073394507</v>
      </c>
      <c r="K346" s="178">
        <f>VLOOKUP($F346,'Carbon Factors'!$B$5:$L$41,6,FALSE)*'Material Quantities &amp; Embodied '!$G346/1000</f>
        <v>2.2183486238532111</v>
      </c>
      <c r="L346" s="178">
        <f>VLOOKUP($F346,'Carbon Factors'!$B$5:$L$41,7,FALSE)*'Material Quantities &amp; Embodied '!$G346/1000</f>
        <v>3.0771055045871556</v>
      </c>
      <c r="M346" s="178">
        <f>VLOOKUP($F346,'Carbon Factors'!$B$5:$L$41,8,FALSE)*'Material Quantities &amp; Embodied '!$G346/1000</f>
        <v>0.75082568807339456</v>
      </c>
      <c r="N346" s="178">
        <f>VLOOKUP($F346,'Carbon Factors'!$B$5:$L$41,9,FALSE)*'Material Quantities &amp; Embodied '!$G346/1000</f>
        <v>22.62386640825688</v>
      </c>
      <c r="O346" s="178">
        <f>VLOOKUP($F346,'Carbon Factors'!$B$5:$L$41,10,FALSE)*'Material Quantities &amp; Embodied '!$G346/1000</f>
        <v>25.700971912844036</v>
      </c>
      <c r="P346" s="178">
        <f>VLOOKUP($F346,'Carbon Factors'!$B$5:$L$41,11,FALSE)*'Material Quantities &amp; Embodied '!$G346/1000</f>
        <v>0</v>
      </c>
    </row>
    <row r="347" spans="3:16">
      <c r="E347" s="150" t="s">
        <v>117</v>
      </c>
      <c r="F347" s="150" t="s">
        <v>118</v>
      </c>
      <c r="G347" s="1301">
        <f>IF(A332=0,0,Pile!EO480*1000)</f>
        <v>7672.5</v>
      </c>
      <c r="H347" s="178">
        <f>VLOOKUP($F347,'Carbon Factors'!$B$5:$L$41,2,FALSE)*'Material Quantities &amp; Embodied '!$G347/1000</f>
        <v>5.8311000000000002</v>
      </c>
      <c r="I347" s="178">
        <f>VLOOKUP($F347,'Carbon Factors'!$B$5:$L$41,3,FALSE)*'Material Quantities &amp; Embodied '!$G347/1000</f>
        <v>0.24552000000000002</v>
      </c>
      <c r="J347" s="178">
        <f>VLOOKUP($F347,'Carbon Factors'!$B$5:$L$41,5,FALSE)*'Material Quantities &amp; Embodied '!$G347/1000</f>
        <v>3.861185625E-2</v>
      </c>
      <c r="K347" s="178">
        <f>VLOOKUP($F347,'Carbon Factors'!$B$5:$L$41,6,FALSE)*'Material Quantities &amp; Embodied '!$G347/1000</f>
        <v>9.9742499999999998E-2</v>
      </c>
      <c r="L347" s="178">
        <f>VLOOKUP($F347,'Carbon Factors'!$B$5:$L$41,7,FALSE)*'Material Quantities &amp; Embodied '!$G347/1000</f>
        <v>0.13835435625</v>
      </c>
      <c r="M347" s="178">
        <f>VLOOKUP($F347,'Carbon Factors'!$B$5:$L$41,8,FALSE)*'Material Quantities &amp; Embodied '!$G347/1000</f>
        <v>2.6930474999999996</v>
      </c>
      <c r="N347" s="178">
        <f>VLOOKUP($F347,'Carbon Factors'!$B$5:$L$41,9,FALSE)*'Material Quantities &amp; Embodied '!$G347/1000</f>
        <v>6.40601364088125</v>
      </c>
      <c r="O347" s="178">
        <f>VLOOKUP($F347,'Carbon Factors'!$B$5:$L$41,10,FALSE)*'Material Quantities &amp; Embodied '!$G347/1000</f>
        <v>6.5443679971312507</v>
      </c>
      <c r="P347" s="178">
        <f>VLOOKUP($F347,'Carbon Factors'!$B$5:$L$41,11,FALSE)*'Material Quantities &amp; Embodied '!$G347/1000</f>
        <v>0</v>
      </c>
    </row>
    <row r="348" spans="3:16">
      <c r="D348" s="150" t="s">
        <v>134</v>
      </c>
      <c r="E348" s="150" t="s">
        <v>116</v>
      </c>
      <c r="F348" s="150" t="str">
        <f>F6</f>
        <v>C32/40 - 25% GGBS</v>
      </c>
      <c r="G348" s="1301">
        <f>IF(A332=0,0,Basement!C31*Summary!C13*Summary!C14*Summary!C15*Summary!C16)</f>
        <v>0</v>
      </c>
      <c r="H348" s="178">
        <f>VLOOKUP($F348,'Carbon Factors'!$B$5:$L$41,2,FALSE)*'Material Quantities &amp; Embodied '!$G348/1000</f>
        <v>0</v>
      </c>
      <c r="I348" s="178">
        <f>VLOOKUP($F348,'Carbon Factors'!$B$5:$L$41,3,FALSE)*'Material Quantities &amp; Embodied '!$G348/1000</f>
        <v>0</v>
      </c>
      <c r="J348" s="178">
        <f>VLOOKUP($F348,'Carbon Factors'!$B$5:$L$41,5,FALSE)*'Material Quantities &amp; Embodied '!$G348/1000</f>
        <v>0</v>
      </c>
      <c r="K348" s="178">
        <f>VLOOKUP($F348,'Carbon Factors'!$B$5:$L$41,6,FALSE)*'Material Quantities &amp; Embodied '!$G348/1000</f>
        <v>0</v>
      </c>
      <c r="L348" s="178">
        <f>VLOOKUP($F348,'Carbon Factors'!$B$5:$L$41,7,FALSE)*'Material Quantities &amp; Embodied '!$G348/1000</f>
        <v>0</v>
      </c>
      <c r="M348" s="178">
        <f>VLOOKUP($F348,'Carbon Factors'!$B$5:$L$41,8,FALSE)*'Material Quantities &amp; Embodied '!$G348/1000</f>
        <v>0</v>
      </c>
      <c r="N348" s="178">
        <f>VLOOKUP($F348,'Carbon Factors'!$B$5:$L$41,9,FALSE)*'Material Quantities &amp; Embodied '!$G348/1000</f>
        <v>0</v>
      </c>
      <c r="O348" s="178">
        <f>VLOOKUP($F348,'Carbon Factors'!$B$5:$L$41,10,FALSE)*'Material Quantities &amp; Embodied '!$G348/1000</f>
        <v>0</v>
      </c>
      <c r="P348" s="178">
        <f>VLOOKUP($F348,'Carbon Factors'!$B$5:$L$41,11,FALSE)*'Material Quantities &amp; Embodied '!$G348/1000</f>
        <v>0</v>
      </c>
    </row>
    <row r="349" spans="3:16">
      <c r="E349" s="150" t="s">
        <v>117</v>
      </c>
      <c r="F349" s="150" t="s">
        <v>118</v>
      </c>
      <c r="G349" s="1301">
        <f>IF(A332=0,0,Basement!C30*Summary!C13*Summary!C14*Summary!C15*Summary!C16)</f>
        <v>0</v>
      </c>
      <c r="H349" s="178">
        <f>VLOOKUP($F349,'Carbon Factors'!$B$5:$L$41,2,FALSE)*'Material Quantities &amp; Embodied '!$G349/1000</f>
        <v>0</v>
      </c>
      <c r="I349" s="178">
        <f>VLOOKUP($F349,'Carbon Factors'!$B$5:$L$41,3,FALSE)*'Material Quantities &amp; Embodied '!$G349/1000</f>
        <v>0</v>
      </c>
      <c r="J349" s="178">
        <f>VLOOKUP($F349,'Carbon Factors'!$B$5:$L$41,5,FALSE)*'Material Quantities &amp; Embodied '!$G349/1000</f>
        <v>0</v>
      </c>
      <c r="K349" s="178">
        <f>VLOOKUP($F349,'Carbon Factors'!$B$5:$L$41,6,FALSE)*'Material Quantities &amp; Embodied '!$G349/1000</f>
        <v>0</v>
      </c>
      <c r="L349" s="178">
        <f>VLOOKUP($F349,'Carbon Factors'!$B$5:$L$41,7,FALSE)*'Material Quantities &amp; Embodied '!$G349/1000</f>
        <v>0</v>
      </c>
      <c r="M349" s="178">
        <f>VLOOKUP($F349,'Carbon Factors'!$B$5:$L$41,8,FALSE)*'Material Quantities &amp; Embodied '!$G349/1000</f>
        <v>0</v>
      </c>
      <c r="N349" s="178">
        <f>VLOOKUP($F349,'Carbon Factors'!$B$5:$L$41,9,FALSE)*'Material Quantities &amp; Embodied '!$G349/1000</f>
        <v>0</v>
      </c>
      <c r="O349" s="178">
        <f>VLOOKUP($F349,'Carbon Factors'!$B$5:$L$41,10,FALSE)*'Material Quantities &amp; Embodied '!$G349/1000</f>
        <v>0</v>
      </c>
      <c r="P349" s="178">
        <f>VLOOKUP($F349,'Carbon Factors'!$B$5:$L$41,11,FALSE)*'Material Quantities &amp; Embodied '!$G349/1000</f>
        <v>0</v>
      </c>
    </row>
    <row r="350" spans="3:16">
      <c r="D350" s="150" t="s">
        <v>135</v>
      </c>
      <c r="E350" s="150" t="s">
        <v>116</v>
      </c>
      <c r="F350" s="150" t="str">
        <f>F6</f>
        <v>C32/40 - 25% GGBS</v>
      </c>
      <c r="G350" s="1301">
        <f>IF(A332=0,0,(Summary!J14*(Summary!C13*Summary!C15*2+Summary!C14*Summary!C16*2))*Basement!K79)</f>
        <v>0</v>
      </c>
      <c r="H350" s="178">
        <f>VLOOKUP($F350,'Carbon Factors'!$B$5:$L$41,2,FALSE)*'Material Quantities &amp; Embodied '!$G350/1000</f>
        <v>0</v>
      </c>
      <c r="I350" s="178">
        <f>VLOOKUP($F350,'Carbon Factors'!$B$5:$L$41,3,FALSE)*'Material Quantities &amp; Embodied '!$G350/1000</f>
        <v>0</v>
      </c>
      <c r="J350" s="178">
        <f>VLOOKUP($F350,'Carbon Factors'!$B$5:$L$41,5,FALSE)*'Material Quantities &amp; Embodied '!$G350/1000</f>
        <v>0</v>
      </c>
      <c r="K350" s="178">
        <f>VLOOKUP($F350,'Carbon Factors'!$B$5:$L$41,6,FALSE)*'Material Quantities &amp; Embodied '!$G350/1000</f>
        <v>0</v>
      </c>
      <c r="L350" s="178">
        <f>VLOOKUP($F350,'Carbon Factors'!$B$5:$L$41,7,FALSE)*'Material Quantities &amp; Embodied '!$G350/1000</f>
        <v>0</v>
      </c>
      <c r="M350" s="178">
        <f>VLOOKUP($F350,'Carbon Factors'!$B$5:$L$41,8,FALSE)*'Material Quantities &amp; Embodied '!$G350/1000</f>
        <v>0</v>
      </c>
      <c r="N350" s="178">
        <f>VLOOKUP($F350,'Carbon Factors'!$B$5:$L$41,9,FALSE)*'Material Quantities &amp; Embodied '!$G350/1000</f>
        <v>0</v>
      </c>
      <c r="O350" s="178">
        <f>VLOOKUP($F350,'Carbon Factors'!$B$5:$L$41,10,FALSE)*'Material Quantities &amp; Embodied '!$G350/1000</f>
        <v>0</v>
      </c>
      <c r="P350" s="178">
        <f>VLOOKUP($F350,'Carbon Factors'!$B$5:$L$41,11,FALSE)*'Material Quantities &amp; Embodied '!$G350/1000</f>
        <v>0</v>
      </c>
    </row>
    <row r="351" spans="3:16">
      <c r="E351" s="150" t="s">
        <v>117</v>
      </c>
      <c r="F351" s="150" t="s">
        <v>118</v>
      </c>
      <c r="G351" s="1301">
        <f>IF(A332=0,0,(Summary!J14*(Summary!C13*Summary!C15*2+Summary!C14*Summary!C16*2))*Basement!K78)</f>
        <v>0</v>
      </c>
      <c r="H351" s="178">
        <f>VLOOKUP($F351,'Carbon Factors'!$B$5:$L$41,2,FALSE)*'Material Quantities &amp; Embodied '!$G351/1000</f>
        <v>0</v>
      </c>
      <c r="I351" s="178">
        <f>VLOOKUP($F351,'Carbon Factors'!$B$5:$L$41,3,FALSE)*'Material Quantities &amp; Embodied '!$G351/1000</f>
        <v>0</v>
      </c>
      <c r="J351" s="178">
        <f>VLOOKUP($F351,'Carbon Factors'!$B$5:$L$41,5,FALSE)*'Material Quantities &amp; Embodied '!$G351/1000</f>
        <v>0</v>
      </c>
      <c r="K351" s="178">
        <f>VLOOKUP($F351,'Carbon Factors'!$B$5:$L$41,6,FALSE)*'Material Quantities &amp; Embodied '!$G351/1000</f>
        <v>0</v>
      </c>
      <c r="L351" s="178">
        <f>VLOOKUP($F351,'Carbon Factors'!$B$5:$L$41,7,FALSE)*'Material Quantities &amp; Embodied '!$G351/1000</f>
        <v>0</v>
      </c>
      <c r="M351" s="178">
        <f>VLOOKUP($F351,'Carbon Factors'!$B$5:$L$41,8,FALSE)*'Material Quantities &amp; Embodied '!$G351/1000</f>
        <v>0</v>
      </c>
      <c r="N351" s="178">
        <f>VLOOKUP($F351,'Carbon Factors'!$B$5:$L$41,9,FALSE)*'Material Quantities &amp; Embodied '!$G351/1000</f>
        <v>0</v>
      </c>
      <c r="O351" s="178">
        <f>VLOOKUP($F351,'Carbon Factors'!$B$5:$L$41,10,FALSE)*'Material Quantities &amp; Embodied '!$G351/1000</f>
        <v>0</v>
      </c>
      <c r="P351" s="178">
        <f>VLOOKUP($F351,'Carbon Factors'!$B$5:$L$41,11,FALSE)*'Material Quantities &amp; Embodied '!$G351/1000</f>
        <v>0</v>
      </c>
    </row>
    <row r="352" spans="3:16">
      <c r="D352" s="150" t="s">
        <v>136</v>
      </c>
      <c r="E352" s="150" t="s">
        <v>116</v>
      </c>
      <c r="F352" s="150" t="str">
        <f>F6</f>
        <v>C32/40 - 25% GGBS</v>
      </c>
      <c r="G352" s="1301">
        <f>IF(A332=0,0,(Basement!M107+Basement!M120+Basement!M133)*24*1000/9.81)</f>
        <v>0</v>
      </c>
      <c r="H352" s="178">
        <f>VLOOKUP($F352,'Carbon Factors'!$B$5:$L$41,2,FALSE)*'Material Quantities &amp; Embodied '!$G352/1000</f>
        <v>0</v>
      </c>
      <c r="I352" s="178">
        <f>VLOOKUP($F352,'Carbon Factors'!$B$5:$L$41,3,FALSE)*'Material Quantities &amp; Embodied '!$G352/1000</f>
        <v>0</v>
      </c>
      <c r="J352" s="178">
        <f>VLOOKUP($F352,'Carbon Factors'!$B$5:$L$41,5,FALSE)*'Material Quantities &amp; Embodied '!$G352/1000</f>
        <v>0</v>
      </c>
      <c r="K352" s="178">
        <f>VLOOKUP($F352,'Carbon Factors'!$B$5:$L$41,6,FALSE)*'Material Quantities &amp; Embodied '!$G352/1000</f>
        <v>0</v>
      </c>
      <c r="L352" s="178">
        <f>VLOOKUP($F352,'Carbon Factors'!$B$5:$L$41,7,FALSE)*'Material Quantities &amp; Embodied '!$G352/1000</f>
        <v>0</v>
      </c>
      <c r="M352" s="178">
        <f>VLOOKUP($F352,'Carbon Factors'!$B$5:$L$41,8,FALSE)*'Material Quantities &amp; Embodied '!$G352/1000</f>
        <v>0</v>
      </c>
      <c r="N352" s="178">
        <f>VLOOKUP($F352,'Carbon Factors'!$B$5:$L$41,9,FALSE)*'Material Quantities &amp; Embodied '!$G352/1000</f>
        <v>0</v>
      </c>
      <c r="O352" s="178">
        <f>VLOOKUP($F352,'Carbon Factors'!$B$5:$L$41,10,FALSE)*'Material Quantities &amp; Embodied '!$G352/1000</f>
        <v>0</v>
      </c>
      <c r="P352" s="178">
        <f>VLOOKUP($F352,'Carbon Factors'!$B$5:$L$41,11,FALSE)*'Material Quantities &amp; Embodied '!$G352/1000</f>
        <v>0</v>
      </c>
    </row>
    <row r="353" spans="2:16">
      <c r="E353" s="150" t="s">
        <v>117</v>
      </c>
      <c r="F353" s="150" t="s">
        <v>118</v>
      </c>
      <c r="G353" s="1301">
        <f>IF(A332=0,0,(Basement!N107+Basement!N120+Basement!N133)*1000)</f>
        <v>0</v>
      </c>
      <c r="H353" s="178">
        <f>VLOOKUP($F353,'Carbon Factors'!$B$5:$L$41,2,FALSE)*'Material Quantities &amp; Embodied '!$G353/1000</f>
        <v>0</v>
      </c>
      <c r="I353" s="178">
        <f>VLOOKUP($F353,'Carbon Factors'!$B$5:$L$41,3,FALSE)*'Material Quantities &amp; Embodied '!$G353/1000</f>
        <v>0</v>
      </c>
      <c r="J353" s="178">
        <f>VLOOKUP($F353,'Carbon Factors'!$B$5:$L$41,5,FALSE)*'Material Quantities &amp; Embodied '!$G353/1000</f>
        <v>0</v>
      </c>
      <c r="K353" s="178">
        <f>VLOOKUP($F353,'Carbon Factors'!$B$5:$L$41,6,FALSE)*'Material Quantities &amp; Embodied '!$G353/1000</f>
        <v>0</v>
      </c>
      <c r="L353" s="178">
        <f>VLOOKUP($F353,'Carbon Factors'!$B$5:$L$41,7,FALSE)*'Material Quantities &amp; Embodied '!$G353/1000</f>
        <v>0</v>
      </c>
      <c r="M353" s="178">
        <f>VLOOKUP($F353,'Carbon Factors'!$B$5:$L$41,8,FALSE)*'Material Quantities &amp; Embodied '!$G353/1000</f>
        <v>0</v>
      </c>
      <c r="N353" s="178">
        <f>VLOOKUP($F353,'Carbon Factors'!$B$5:$L$41,9,FALSE)*'Material Quantities &amp; Embodied '!$G353/1000</f>
        <v>0</v>
      </c>
      <c r="O353" s="178">
        <f>VLOOKUP($F353,'Carbon Factors'!$B$5:$L$41,10,FALSE)*'Material Quantities &amp; Embodied '!$G353/1000</f>
        <v>0</v>
      </c>
      <c r="P353" s="178">
        <f>VLOOKUP($F353,'Carbon Factors'!$B$5:$L$41,11,FALSE)*'Material Quantities &amp; Embodied '!$G353/1000</f>
        <v>0</v>
      </c>
    </row>
    <row r="354" spans="2:16">
      <c r="D354" s="182" t="s">
        <v>137</v>
      </c>
      <c r="E354" s="150" t="s">
        <v>116</v>
      </c>
      <c r="F354" s="150" t="str">
        <f>F28</f>
        <v>C32/40 - 25% GGBS</v>
      </c>
      <c r="G354" s="1301">
        <f>IF(A332=0,0,Basement!D162*24*1000/9.81)</f>
        <v>0</v>
      </c>
      <c r="H354" s="178">
        <f>VLOOKUP($F354,'Carbon Factors'!$B$5:$L$41,2,FALSE)*'Material Quantities &amp; Embodied '!$G354/1000</f>
        <v>0</v>
      </c>
      <c r="I354" s="178">
        <f>VLOOKUP($F354,'Carbon Factors'!$B$5:$L$41,3,FALSE)*'Material Quantities &amp; Embodied '!$G354/1000</f>
        <v>0</v>
      </c>
      <c r="J354" s="178">
        <f>VLOOKUP($F354,'Carbon Factors'!$B$5:$L$41,5,FALSE)*'Material Quantities &amp; Embodied '!$G354/1000</f>
        <v>0</v>
      </c>
      <c r="K354" s="178">
        <f>VLOOKUP($F354,'Carbon Factors'!$B$5:$L$41,6,FALSE)*'Material Quantities &amp; Embodied '!$G354/1000</f>
        <v>0</v>
      </c>
      <c r="L354" s="178">
        <f>VLOOKUP($F354,'Carbon Factors'!$B$5:$L$41,7,FALSE)*'Material Quantities &amp; Embodied '!$G354/1000</f>
        <v>0</v>
      </c>
      <c r="M354" s="178">
        <f>VLOOKUP($F354,'Carbon Factors'!$B$5:$L$41,8,FALSE)*'Material Quantities &amp; Embodied '!$G354/1000</f>
        <v>0</v>
      </c>
      <c r="N354" s="178">
        <f>VLOOKUP($F354,'Carbon Factors'!$B$5:$L$41,9,FALSE)*'Material Quantities &amp; Embodied '!$G354/1000</f>
        <v>0</v>
      </c>
      <c r="O354" s="178">
        <f>VLOOKUP($F354,'Carbon Factors'!$B$5:$L$41,10,FALSE)*'Material Quantities &amp; Embodied '!$G354/1000</f>
        <v>0</v>
      </c>
      <c r="P354" s="178">
        <f>VLOOKUP($F354,'Carbon Factors'!$B$5:$L$41,11,FALSE)*'Material Quantities &amp; Embodied '!$G354/1000</f>
        <v>0</v>
      </c>
    </row>
    <row r="355" spans="2:16">
      <c r="D355" s="152"/>
      <c r="E355" s="150" t="s">
        <v>117</v>
      </c>
      <c r="F355" s="150" t="s">
        <v>118</v>
      </c>
      <c r="G355" s="1301">
        <f>IF(A332=0,0,G354*0.02)</f>
        <v>0</v>
      </c>
      <c r="H355" s="178">
        <f>VLOOKUP($F355,'Carbon Factors'!$B$5:$L$41,2,FALSE)*'Material Quantities &amp; Embodied '!$G355/1000</f>
        <v>0</v>
      </c>
      <c r="I355" s="178">
        <f>VLOOKUP($F355,'Carbon Factors'!$B$5:$L$41,3,FALSE)*'Material Quantities &amp; Embodied '!$G355/1000</f>
        <v>0</v>
      </c>
      <c r="J355" s="178">
        <f>VLOOKUP($F355,'Carbon Factors'!$B$5:$L$41,5,FALSE)*'Material Quantities &amp; Embodied '!$G355/1000</f>
        <v>0</v>
      </c>
      <c r="K355" s="178">
        <f>VLOOKUP($F355,'Carbon Factors'!$B$5:$L$41,6,FALSE)*'Material Quantities &amp; Embodied '!$G355/1000</f>
        <v>0</v>
      </c>
      <c r="L355" s="178">
        <f>VLOOKUP($F355,'Carbon Factors'!$B$5:$L$41,7,FALSE)*'Material Quantities &amp; Embodied '!$G355/1000</f>
        <v>0</v>
      </c>
      <c r="M355" s="178">
        <f>VLOOKUP($F355,'Carbon Factors'!$B$5:$L$41,8,FALSE)*'Material Quantities &amp; Embodied '!$G355/1000</f>
        <v>0</v>
      </c>
      <c r="N355" s="178">
        <f>VLOOKUP($F355,'Carbon Factors'!$B$5:$L$41,9,FALSE)*'Material Quantities &amp; Embodied '!$G355/1000</f>
        <v>0</v>
      </c>
      <c r="O355" s="178">
        <f>VLOOKUP($F355,'Carbon Factors'!$B$5:$L$41,10,FALSE)*'Material Quantities &amp; Embodied '!$G355/1000</f>
        <v>0</v>
      </c>
      <c r="P355" s="178">
        <f>VLOOKUP($F355,'Carbon Factors'!$B$5:$L$41,11,FALSE)*'Material Quantities &amp; Embodied '!$G355/1000</f>
        <v>0</v>
      </c>
    </row>
    <row r="356" spans="2:16">
      <c r="D356" s="182" t="s">
        <v>138</v>
      </c>
      <c r="G356" s="1301">
        <f>IF(A332=0,0,IF(Summary!J$13="Yes",(G348*18/24),(G340*18/24))+G342*18/24+G343*18/20)</f>
        <v>2093680.7339449541</v>
      </c>
      <c r="H356" s="178">
        <v>0</v>
      </c>
      <c r="I356" s="178">
        <f>G356*50*0.1065*0.001*0.001</f>
        <v>11.14884990825688</v>
      </c>
      <c r="J356" s="178">
        <v>0</v>
      </c>
      <c r="K356" s="178">
        <v>0</v>
      </c>
      <c r="L356" s="178">
        <v>0</v>
      </c>
      <c r="M356" s="178">
        <v>0</v>
      </c>
      <c r="N356" s="178">
        <f>I356</f>
        <v>11.14884990825688</v>
      </c>
      <c r="O356" s="178">
        <f>N356</f>
        <v>11.14884990825688</v>
      </c>
      <c r="P356" s="178">
        <v>0</v>
      </c>
    </row>
    <row r="357" spans="2:16">
      <c r="D357" s="182" t="s">
        <v>139</v>
      </c>
      <c r="G357" s="1301">
        <f>IF(A332=0,0,G346*(18/24))</f>
        <v>127981.65137614679</v>
      </c>
      <c r="H357" s="178">
        <v>0</v>
      </c>
      <c r="I357" s="178">
        <f t="shared" ref="I357:I358" si="40">G357*50*0.1065*0.001*0.001</f>
        <v>0.68150229357798164</v>
      </c>
      <c r="J357" s="178">
        <v>0</v>
      </c>
      <c r="K357" s="178">
        <v>0</v>
      </c>
      <c r="L357" s="178">
        <v>0</v>
      </c>
      <c r="M357" s="178">
        <v>0</v>
      </c>
      <c r="N357" s="178">
        <f t="shared" ref="N357:N358" si="41">I357</f>
        <v>0.68150229357798164</v>
      </c>
      <c r="O357" s="178">
        <f t="shared" ref="O357:O358" si="42">N357</f>
        <v>0.68150229357798164</v>
      </c>
      <c r="P357" s="178">
        <v>0</v>
      </c>
    </row>
    <row r="358" spans="2:16">
      <c r="B358" s="179"/>
      <c r="C358" s="179"/>
      <c r="D358" s="183" t="s">
        <v>140</v>
      </c>
      <c r="E358" s="184"/>
      <c r="F358" s="184"/>
      <c r="G358" s="1302">
        <f>IF(A332=0,0,IF(Summary!J$13="Yes",18*1000/9.81*Summary!C$13*Summary!C$14*Summary!C$15*Summary!C$16*Summary!J$14,0))</f>
        <v>0</v>
      </c>
      <c r="H358" s="181">
        <v>0</v>
      </c>
      <c r="I358" s="181">
        <f t="shared" si="40"/>
        <v>0</v>
      </c>
      <c r="J358" s="181">
        <v>0</v>
      </c>
      <c r="K358" s="181">
        <v>0</v>
      </c>
      <c r="L358" s="181">
        <v>0</v>
      </c>
      <c r="M358" s="181">
        <v>0</v>
      </c>
      <c r="N358" s="181">
        <f t="shared" si="41"/>
        <v>0</v>
      </c>
      <c r="O358" s="181">
        <f t="shared" si="42"/>
        <v>0</v>
      </c>
      <c r="P358" s="181">
        <v>0</v>
      </c>
    </row>
    <row r="359" spans="2:16">
      <c r="D359" s="152"/>
      <c r="H359" s="185">
        <f>SUM(H332:H358)</f>
        <v>532.59791337680633</v>
      </c>
      <c r="I359" s="185">
        <f t="shared" ref="I359:P359" si="43">SUM(I332:I358)</f>
        <v>110.15901192458615</v>
      </c>
      <c r="J359" s="185">
        <f t="shared" si="43"/>
        <v>20.237206471408882</v>
      </c>
      <c r="K359" s="185">
        <f t="shared" si="43"/>
        <v>812.44013720335772</v>
      </c>
      <c r="L359" s="185">
        <f t="shared" si="43"/>
        <v>832.6773436747668</v>
      </c>
      <c r="M359" s="185">
        <f t="shared" si="43"/>
        <v>-217.50876762449349</v>
      </c>
      <c r="N359" s="185">
        <f t="shared" si="43"/>
        <v>677.39593255597947</v>
      </c>
      <c r="O359" s="185">
        <f>SUM(O332:O358)</f>
        <v>754.17234823074637</v>
      </c>
      <c r="P359" s="185">
        <f t="shared" si="43"/>
        <v>-755.90092799999979</v>
      </c>
    </row>
    <row r="360" spans="2:16" ht="12.75" thickBot="1">
      <c r="B360" s="172"/>
      <c r="C360" s="172"/>
      <c r="D360" s="172"/>
      <c r="E360" s="172"/>
      <c r="F360" s="172"/>
      <c r="G360" s="173"/>
      <c r="H360" s="173"/>
      <c r="I360" s="173"/>
      <c r="J360" s="173"/>
      <c r="K360" s="173"/>
      <c r="L360" s="173"/>
      <c r="M360" s="174"/>
      <c r="N360" s="174"/>
      <c r="O360" s="174"/>
      <c r="P360" s="174"/>
    </row>
    <row r="361" spans="2:16" ht="15.75">
      <c r="B361" s="189"/>
      <c r="H361" s="185"/>
      <c r="I361" s="185"/>
      <c r="J361" s="185"/>
      <c r="K361" s="185"/>
      <c r="L361" s="185"/>
      <c r="M361" s="185"/>
      <c r="N361" s="185"/>
      <c r="O361" s="185"/>
      <c r="P361" s="185"/>
    </row>
    <row r="362" spans="2:16">
      <c r="H362" s="185"/>
      <c r="I362" s="185"/>
      <c r="J362" s="185"/>
      <c r="K362" s="185"/>
      <c r="L362" s="185"/>
      <c r="M362" s="185"/>
      <c r="N362" s="185"/>
      <c r="O362" s="185"/>
      <c r="P362" s="185"/>
    </row>
    <row r="363" spans="2:16"/>
  </sheetData>
  <mergeCells count="11">
    <mergeCell ref="H197:P197"/>
    <mergeCell ref="H230:P230"/>
    <mergeCell ref="H264:P264"/>
    <mergeCell ref="H298:P298"/>
    <mergeCell ref="H330:P330"/>
    <mergeCell ref="H164:P164"/>
    <mergeCell ref="H4:P4"/>
    <mergeCell ref="H36:P36"/>
    <mergeCell ref="H68:P68"/>
    <mergeCell ref="H100:P100"/>
    <mergeCell ref="H132:P132"/>
  </mergeCells>
  <pageMargins left="0.25" right="0.25" top="0.75" bottom="0.75" header="0.3" footer="0.3"/>
  <pageSetup paperSize="8" scale="53" fitToHeight="0" orientation="portrait" horizontalDpi="300" verticalDpi="3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C8FA30C6-3D77-42F2-9B8B-17478BDCEF9D}">
          <x14:formula1>
            <xm:f>'Carbon Factors'!$B$5:$B$41</xm:f>
          </x14:formula1>
          <xm:sqref>F65:F67 F129:F131 F97:F99 F227:F229 F161:F163 F295:F297 F261:F263 F327:F329 F194:F196 F359:F1048576 F6:F31 F38:F63 F70:F95 F102:F127 F134:F159 F166:F192 F308:F325 F208:F225 F242:F259 F276:F293 F33:F35 F199:F206 F232:F240 F266:F274 F300:F306 F332:F338 F340:F357</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537F6-BF0B-432E-9A0A-DAC5459DCD8B}">
  <sheetPr codeName="Sheet24"/>
  <dimension ref="A1:Q68"/>
  <sheetViews>
    <sheetView showRowColHeaders="0" workbookViewId="0">
      <selection activeCell="I2" sqref="I2"/>
    </sheetView>
  </sheetViews>
  <sheetFormatPr defaultColWidth="9.140625" defaultRowHeight="15"/>
  <cols>
    <col min="1" max="1" width="2.7109375" style="308" customWidth="1"/>
    <col min="2" max="2" width="11.7109375" style="308" customWidth="1"/>
    <col min="3" max="3" width="14.42578125" style="308" customWidth="1"/>
    <col min="4" max="4" width="15.7109375" style="308" customWidth="1"/>
    <col min="5" max="5" width="7.28515625" style="308" bestFit="1" customWidth="1"/>
    <col min="6" max="16" width="19.28515625" style="308" customWidth="1"/>
    <col min="17" max="17" width="2.7109375" style="308" customWidth="1"/>
    <col min="18" max="18" width="14.7109375" style="308" customWidth="1"/>
    <col min="19" max="16384" width="9.140625" style="308"/>
  </cols>
  <sheetData>
    <row r="1" spans="1:17">
      <c r="A1" s="857"/>
      <c r="B1" s="857"/>
      <c r="C1" s="857"/>
      <c r="D1" s="858"/>
      <c r="E1" s="858"/>
      <c r="F1" s="857"/>
      <c r="G1" s="857"/>
      <c r="H1" s="857"/>
      <c r="I1" s="857"/>
      <c r="J1" s="857"/>
      <c r="K1" s="857"/>
      <c r="L1" s="857"/>
      <c r="M1" s="857"/>
      <c r="N1" s="857"/>
      <c r="O1" s="857"/>
      <c r="P1" s="857"/>
      <c r="Q1" s="857"/>
    </row>
    <row r="2" spans="1:17" ht="34.5">
      <c r="A2" s="150"/>
      <c r="B2" s="170" t="s">
        <v>153</v>
      </c>
      <c r="C2" s="150"/>
      <c r="D2" s="150"/>
      <c r="E2" s="150"/>
      <c r="F2" s="150"/>
      <c r="G2" s="150"/>
      <c r="H2" s="150"/>
      <c r="I2" s="150"/>
      <c r="J2" s="150"/>
      <c r="K2" s="150"/>
      <c r="L2" s="150"/>
      <c r="M2" s="150"/>
      <c r="N2" s="150"/>
      <c r="O2" s="150"/>
      <c r="P2" s="150"/>
      <c r="Q2" s="150"/>
    </row>
    <row r="3" spans="1:17">
      <c r="A3" s="857"/>
      <c r="B3" s="857"/>
      <c r="C3" s="857"/>
      <c r="D3" s="858"/>
      <c r="E3" s="858"/>
      <c r="F3" s="859">
        <f>IF(F5="Design Available",1,0)</f>
        <v>1</v>
      </c>
      <c r="G3" s="859">
        <f t="shared" ref="G3:P3" si="0">IF(G5="Design Available",1,0)</f>
        <v>1</v>
      </c>
      <c r="H3" s="859">
        <f t="shared" si="0"/>
        <v>1</v>
      </c>
      <c r="I3" s="859">
        <f t="shared" si="0"/>
        <v>1</v>
      </c>
      <c r="J3" s="859">
        <f t="shared" si="0"/>
        <v>1</v>
      </c>
      <c r="K3" s="859">
        <f t="shared" si="0"/>
        <v>1</v>
      </c>
      <c r="L3" s="859">
        <f t="shared" si="0"/>
        <v>1</v>
      </c>
      <c r="M3" s="859">
        <f t="shared" si="0"/>
        <v>1</v>
      </c>
      <c r="N3" s="859">
        <f t="shared" si="0"/>
        <v>1</v>
      </c>
      <c r="O3" s="859">
        <f t="shared" si="0"/>
        <v>1</v>
      </c>
      <c r="P3" s="859">
        <f t="shared" si="0"/>
        <v>1</v>
      </c>
      <c r="Q3" s="857"/>
    </row>
    <row r="4" spans="1:17" ht="35.25" thickBot="1">
      <c r="A4" s="247"/>
      <c r="B4" s="860" t="s">
        <v>154</v>
      </c>
      <c r="C4" s="861"/>
      <c r="D4" s="862" t="s">
        <v>155</v>
      </c>
      <c r="E4" s="862" t="s">
        <v>156</v>
      </c>
      <c r="F4" s="863" t="s">
        <v>86</v>
      </c>
      <c r="G4" s="863" t="s">
        <v>157</v>
      </c>
      <c r="H4" s="863" t="s">
        <v>158</v>
      </c>
      <c r="I4" s="863" t="s">
        <v>159</v>
      </c>
      <c r="J4" s="863" t="s">
        <v>160</v>
      </c>
      <c r="K4" s="863" t="s">
        <v>161</v>
      </c>
      <c r="L4" s="863" t="s">
        <v>162</v>
      </c>
      <c r="M4" s="863" t="s">
        <v>163</v>
      </c>
      <c r="N4" s="863" t="s">
        <v>164</v>
      </c>
      <c r="O4" s="863" t="s">
        <v>165</v>
      </c>
      <c r="P4" s="863" t="s">
        <v>166</v>
      </c>
      <c r="Q4" s="247"/>
    </row>
    <row r="5" spans="1:17">
      <c r="A5" s="247"/>
      <c r="B5" s="864"/>
      <c r="C5" s="864"/>
      <c r="D5" s="865"/>
      <c r="E5" s="865"/>
      <c r="F5" s="866" t="str">
        <f>IF('Material Quantities &amp; Embodied '!$A$6=0,"Design Unavailable","Design Available")</f>
        <v>Design Available</v>
      </c>
      <c r="G5" s="866" t="str">
        <f>IF('Material Quantities &amp; Embodied '!$A$38=0,"Design Unavailable","Design Available")</f>
        <v>Design Available</v>
      </c>
      <c r="H5" s="866" t="str">
        <f>IF('Material Quantities &amp; Embodied '!$A$70=0,"Design Unavailable","Design Available")</f>
        <v>Design Available</v>
      </c>
      <c r="I5" s="866" t="str">
        <f>IF('Material Quantities &amp; Embodied '!$A$102=0,"Design Unavailable","Design Available")</f>
        <v>Design Available</v>
      </c>
      <c r="J5" s="866" t="str">
        <f>IF('Material Quantities &amp; Embodied '!$A$134=0,"Design Unavailable","Design Available")</f>
        <v>Design Available</v>
      </c>
      <c r="K5" s="866" t="str">
        <f>IF('Material Quantities &amp; Embodied '!$A$166=0,"Design Unavailable","Design Available")</f>
        <v>Design Available</v>
      </c>
      <c r="L5" s="866" t="str">
        <f>IF('Material Quantities &amp; Embodied '!$A$199=0,"Design Unavailable","Design Available")</f>
        <v>Design Available</v>
      </c>
      <c r="M5" s="866" t="str">
        <f>IF('Material Quantities &amp; Embodied '!$A$232=0,"Design Unavailable","Design Available")</f>
        <v>Design Available</v>
      </c>
      <c r="N5" s="866" t="str">
        <f>IF('Material Quantities &amp; Embodied '!$A$266=0,"Design Unavailable","Design Available")</f>
        <v>Design Available</v>
      </c>
      <c r="O5" s="866" t="str">
        <f>IF('Material Quantities &amp; Embodied '!$A$300=0,"Design Unavailable","Design Available")</f>
        <v>Design Available</v>
      </c>
      <c r="P5" s="866" t="str">
        <f>IF('Material Quantities &amp; Embodied '!$A$6=332,"Design Unavailable","Design Available")</f>
        <v>Design Available</v>
      </c>
      <c r="Q5" s="780"/>
    </row>
    <row r="6" spans="1:17">
      <c r="A6" s="237"/>
      <c r="B6" s="237" t="s">
        <v>114</v>
      </c>
      <c r="C6" s="241" t="s">
        <v>167</v>
      </c>
      <c r="D6" s="237" t="s">
        <v>168</v>
      </c>
      <c r="E6" s="237" t="s">
        <v>15</v>
      </c>
      <c r="F6" s="867">
        <f>IF(F3=0,0,Database!E17)</f>
        <v>0.21</v>
      </c>
      <c r="G6" s="867">
        <f>IF(G3=0,0,Database!E18)</f>
        <v>0.2</v>
      </c>
      <c r="H6" s="867">
        <f>IF(H3=0,0,Database!E19)</f>
        <v>0.3</v>
      </c>
      <c r="I6" s="867">
        <f>IF(I3=0,0,Database!E20)</f>
        <v>0.27500000000000002</v>
      </c>
      <c r="J6" s="867">
        <f>IF(J3=0,0,Database!E21)</f>
        <v>0.35</v>
      </c>
      <c r="K6" s="867">
        <f>IF(K3=0,0,Database!E22)</f>
        <v>0.35</v>
      </c>
      <c r="L6" s="867">
        <f>IF(L3=0,0,Database!E23)</f>
        <v>0.55800000000000005</v>
      </c>
      <c r="M6" s="867">
        <f>IF(M3=0,0,Database!E24)</f>
        <v>0.505</v>
      </c>
      <c r="N6" s="867">
        <f>Database!E25</f>
        <v>0.57475999999999994</v>
      </c>
      <c r="O6" s="867">
        <f>IF(O3=0,0,Database!E26)</f>
        <v>0.45900000000000002</v>
      </c>
      <c r="P6" s="867">
        <f>IF(P3=0,0,Database!E27)</f>
        <v>0.55000000000000004</v>
      </c>
      <c r="Q6" s="857"/>
    </row>
    <row r="7" spans="1:17">
      <c r="A7" s="237"/>
      <c r="B7" s="237"/>
      <c r="C7" s="857"/>
      <c r="D7" s="237" t="s">
        <v>169</v>
      </c>
      <c r="E7" s="237" t="s">
        <v>15</v>
      </c>
      <c r="F7" s="867">
        <f>IF(F3=0,0,Database!F17)</f>
        <v>0.21</v>
      </c>
      <c r="G7" s="867">
        <f>IF(G3=0,0,Database!F18)</f>
        <v>0.2</v>
      </c>
      <c r="H7" s="867">
        <f>IF(H3=0,0,Database!F19)</f>
        <v>0.25</v>
      </c>
      <c r="I7" s="867">
        <f>IF(I3=0,0,Database!F20)</f>
        <v>0.125</v>
      </c>
      <c r="J7" s="867">
        <f>IF(J3=0,0,Database!F21)</f>
        <v>0.17</v>
      </c>
      <c r="K7" s="867">
        <f>IF(K3=0,0,Database!F22)</f>
        <v>0.2</v>
      </c>
      <c r="L7" s="867">
        <f>IF(L3=0,0,Database!F23)</f>
        <v>0.2</v>
      </c>
      <c r="M7" s="867">
        <f>IF(M3=0,0,Database!F24)</f>
        <v>0.15</v>
      </c>
      <c r="N7" s="868">
        <f>IF(N3=0,0,Database!F25)</f>
        <v>0.15</v>
      </c>
      <c r="O7" s="867">
        <f>IF(O3=0,0,Database!F26)</f>
        <v>0.11</v>
      </c>
      <c r="P7" s="867">
        <f>IF(P3=0,0,Database!F27)</f>
        <v>0.11</v>
      </c>
      <c r="Q7" s="857"/>
    </row>
    <row r="8" spans="1:17">
      <c r="A8" s="237"/>
      <c r="B8" s="237"/>
      <c r="C8" s="238"/>
      <c r="D8" s="869" t="s">
        <v>170</v>
      </c>
      <c r="E8" s="869" t="s">
        <v>171</v>
      </c>
      <c r="F8" s="870">
        <f>IF(F3=0,0,Database!H17)</f>
        <v>14.7</v>
      </c>
      <c r="G8" s="870">
        <f>IF(G3=0,0,Database!H18)</f>
        <v>18</v>
      </c>
      <c r="H8" s="870">
        <f>IF(H3=0,0,Database!H19)</f>
        <v>19.254032258064498</v>
      </c>
      <c r="I8" s="870">
        <f>IF(I3=0,0,Database!H20)</f>
        <v>14.437938288920099</v>
      </c>
      <c r="J8" s="870">
        <f>IF(J3=0,0,Database!H21)</f>
        <v>16.482724842216001</v>
      </c>
      <c r="K8" s="870">
        <f>IF(K3=0,0,Database!H22)</f>
        <v>16.777386570827499</v>
      </c>
      <c r="L8" s="870">
        <f>IF(L3=0,0,Database!H23)</f>
        <v>0</v>
      </c>
      <c r="M8" s="870">
        <f>IF(M3=0,0,Database!H24)</f>
        <v>1.5443934760448521</v>
      </c>
      <c r="N8" s="870">
        <f>IF(N3=0,0,Database!H25)</f>
        <v>3.2237153637237084</v>
      </c>
      <c r="O8" s="870">
        <f>IF(O3=0,0,Database!G26)</f>
        <v>0</v>
      </c>
      <c r="P8" s="870">
        <f>IF(P3=0,0,Database!H27)</f>
        <v>0</v>
      </c>
      <c r="Q8" s="857"/>
    </row>
    <row r="9" spans="1:17">
      <c r="A9" s="237"/>
      <c r="B9" s="237"/>
      <c r="C9" s="241" t="s">
        <v>172</v>
      </c>
      <c r="D9" s="237" t="s">
        <v>173</v>
      </c>
      <c r="E9" s="237"/>
      <c r="F9" s="868">
        <f>IF(F3=0,0,Database!O17)</f>
        <v>0</v>
      </c>
      <c r="G9" s="868">
        <f>IF(G3=0,0,Database!O18)</f>
        <v>0</v>
      </c>
      <c r="H9" s="868">
        <f>IF(H3=0,0,Database!O19)</f>
        <v>0</v>
      </c>
      <c r="I9" s="868">
        <f>IF(I3=0,0,Database!O20)</f>
        <v>0</v>
      </c>
      <c r="J9" s="868">
        <f>IF(J3=0,0,Database!O21)</f>
        <v>0</v>
      </c>
      <c r="K9" s="868">
        <f>IF(K3=0,0,Database!O22)</f>
        <v>0</v>
      </c>
      <c r="L9" s="868">
        <f>IF(L3=0,0,Database!O23)</f>
        <v>0</v>
      </c>
      <c r="M9" s="868">
        <f>IF(M3=0,0,Database!O24)</f>
        <v>1</v>
      </c>
      <c r="N9" s="868">
        <f>IF(N3=0,0,Database!O25)</f>
        <v>1</v>
      </c>
      <c r="O9" s="868">
        <f>IF(O3=0,0,Database!O26)</f>
        <v>1</v>
      </c>
      <c r="P9" s="868">
        <f>IF(P3=0,0,Database!O27)</f>
        <v>1</v>
      </c>
      <c r="Q9" s="857"/>
    </row>
    <row r="10" spans="1:17">
      <c r="A10" s="857"/>
      <c r="B10" s="857"/>
      <c r="C10" s="239" t="s">
        <v>143</v>
      </c>
      <c r="D10" s="237" t="s">
        <v>174</v>
      </c>
      <c r="E10" s="237"/>
      <c r="F10" s="868">
        <f>IF(F3=0,0,Database!M17)</f>
        <v>0</v>
      </c>
      <c r="G10" s="868">
        <f>IF(G3=0,0,Database!M18)</f>
        <v>0</v>
      </c>
      <c r="H10" s="868">
        <f>IF(H3=0,0,Database!M19)</f>
        <v>0</v>
      </c>
      <c r="I10" s="868">
        <f>IF(I3=0,0,Database!M20)</f>
        <v>0</v>
      </c>
      <c r="J10" s="868">
        <f>IF(J3=0,0,Database!M21)</f>
        <v>0</v>
      </c>
      <c r="K10" s="868">
        <f>IF(K3=0,0,Database!M22)</f>
        <v>0</v>
      </c>
      <c r="L10" s="868" t="str">
        <f>IF(L3=0,0,Database!M23&amp;" UB")</f>
        <v>356 x 171 x 57 UB</v>
      </c>
      <c r="M10" s="868" t="str">
        <f>IF(M3=0,0,Database!M24&amp;" UB")</f>
        <v>356 x 171 x 51 UB</v>
      </c>
      <c r="N10" s="868" t="str">
        <f>IF(N3=0,0,Database!M25&amp;" UB")</f>
        <v>305 x 165 x 40 UB</v>
      </c>
      <c r="O10" s="868" t="str">
        <f>IF(O3=0,0,Database!M26&amp;" UB")</f>
        <v>356 x 127 x 33 UB</v>
      </c>
      <c r="P10" s="868">
        <f>IF(P3=0,0,Database!M27)</f>
        <v>0</v>
      </c>
      <c r="Q10" s="857"/>
    </row>
    <row r="11" spans="1:17">
      <c r="A11" s="857"/>
      <c r="B11" s="857"/>
      <c r="C11" s="871"/>
      <c r="D11" s="237" t="s">
        <v>175</v>
      </c>
      <c r="E11" s="237"/>
      <c r="F11" s="868">
        <f>IF(F3=0,0,Database!N17)</f>
        <v>0</v>
      </c>
      <c r="G11" s="868">
        <f>IF(G3=0,0,Database!N18)</f>
        <v>0</v>
      </c>
      <c r="H11" s="868">
        <f>IF(H3=0,0,Database!N19)</f>
        <v>0</v>
      </c>
      <c r="I11" s="868">
        <f>IF(I3=0,0,Database!N20)</f>
        <v>0</v>
      </c>
      <c r="J11" s="868">
        <f>IF(J3=0,0,Database!N21)</f>
        <v>0</v>
      </c>
      <c r="K11" s="868">
        <f>IF(K3=0,0,Database!N22)</f>
        <v>0</v>
      </c>
      <c r="L11" s="868" t="str">
        <f>IF(L3=0,0,Database!N23&amp;" UB")</f>
        <v>203 x 133 x 30 UB</v>
      </c>
      <c r="M11" s="868" t="str">
        <f>IF(M3=0,0,Database!N24&amp;" UB")</f>
        <v>305 x 165 x 40 UB</v>
      </c>
      <c r="N11" s="868" t="str">
        <f>IF(N3=0,0,Database!N25&amp;" UB")</f>
        <v>305 x 165 x 40 UB</v>
      </c>
      <c r="O11" s="868" t="str">
        <f>IF(O3=0,0,Database!N26&amp;" UB")</f>
        <v>305 x 102 x 28 UB</v>
      </c>
      <c r="P11" s="868">
        <f>IF(P3=0,0,Database!N27)</f>
        <v>0</v>
      </c>
      <c r="Q11" s="857"/>
    </row>
    <row r="12" spans="1:17">
      <c r="A12" s="857"/>
      <c r="B12" s="857"/>
      <c r="C12" s="239" t="s">
        <v>176</v>
      </c>
      <c r="D12" s="237" t="s">
        <v>177</v>
      </c>
      <c r="E12" s="237" t="s">
        <v>15</v>
      </c>
      <c r="F12" s="868">
        <f>IF(F3=0,0,Database!P17)</f>
        <v>0</v>
      </c>
      <c r="G12" s="868">
        <f>IF(G3=0,0,Database!P18)</f>
        <v>0</v>
      </c>
      <c r="H12" s="868">
        <f>IF(H3=0,0,Database!P19)</f>
        <v>0</v>
      </c>
      <c r="I12" s="868">
        <f>IF(I3=0,0,Database!P20)</f>
        <v>0.27500000000000002</v>
      </c>
      <c r="J12" s="868">
        <f>IF(J3=0,0,Database!P21)</f>
        <v>0</v>
      </c>
      <c r="K12" s="868">
        <f>IF(K3=0,0,Database!P22)</f>
        <v>0</v>
      </c>
      <c r="L12" s="868">
        <f>IF(L3=0,0,Database!P23)</f>
        <v>0</v>
      </c>
      <c r="M12" s="868">
        <f>IF(M3=0,0,Database!P24)</f>
        <v>0</v>
      </c>
      <c r="N12" s="868">
        <f>IF(N3=0,0,Database!P25)</f>
        <v>0</v>
      </c>
      <c r="O12" s="868">
        <f>IF(O3=0,0,Database!P26)</f>
        <v>0</v>
      </c>
      <c r="P12" s="868">
        <f>IF(P3=0,0,Database!P27)</f>
        <v>0.44</v>
      </c>
      <c r="Q12" s="857"/>
    </row>
    <row r="13" spans="1:17">
      <c r="A13" s="857"/>
      <c r="B13" s="857"/>
      <c r="C13" s="857"/>
      <c r="D13" s="237" t="s">
        <v>178</v>
      </c>
      <c r="E13" s="237" t="s">
        <v>15</v>
      </c>
      <c r="F13" s="868">
        <f>IF(F3=0,0,Database!Q17)</f>
        <v>0</v>
      </c>
      <c r="G13" s="868">
        <f>IF(G3=0,0,Database!Q18)</f>
        <v>0</v>
      </c>
      <c r="H13" s="868">
        <f>IF(H3=0,0,Database!Q19)</f>
        <v>0.3</v>
      </c>
      <c r="I13" s="868">
        <f>IF(I3=0,0,Database!Q20)</f>
        <v>0.27500000000000002</v>
      </c>
      <c r="J13" s="868">
        <f>IF(J3=0,0,Database!Q21)</f>
        <v>0.35</v>
      </c>
      <c r="K13" s="868">
        <f>IF(K3=0,0,Database!Q22)</f>
        <v>0.35</v>
      </c>
      <c r="L13" s="868">
        <f>IF(L3=0,0,Database!Q23)</f>
        <v>0</v>
      </c>
      <c r="M13" s="868">
        <f>IF(M3=0,0,Database!Q24)</f>
        <v>0</v>
      </c>
      <c r="N13" s="868">
        <f>IF(N3=0,0,Database!Q25)</f>
        <v>0</v>
      </c>
      <c r="O13" s="868">
        <f>IF(O3=0,0,Database!Q26)</f>
        <v>0</v>
      </c>
      <c r="P13" s="868">
        <f>IF(P3=0,0,Database!Q27)</f>
        <v>0.36</v>
      </c>
      <c r="Q13" s="857"/>
    </row>
    <row r="14" spans="1:17">
      <c r="A14" s="857"/>
      <c r="B14" s="857"/>
      <c r="C14" s="857"/>
      <c r="D14" s="237" t="s">
        <v>179</v>
      </c>
      <c r="E14" s="237" t="s">
        <v>15</v>
      </c>
      <c r="F14" s="868">
        <f>IF(F3=0,0,Database!R17)</f>
        <v>0</v>
      </c>
      <c r="G14" s="868">
        <f>IF(G3=0,0,Database!R18)</f>
        <v>0</v>
      </c>
      <c r="H14" s="868">
        <f>IF(H3=0,0,Database!R19)</f>
        <v>0</v>
      </c>
      <c r="I14" s="868">
        <f>IF(I3=0,0,Database!R20)</f>
        <v>0.3</v>
      </c>
      <c r="J14" s="868">
        <f>IF(J3=0,0,Database!R21)</f>
        <v>0</v>
      </c>
      <c r="K14" s="868">
        <f>IF(K3=0,0,Database!R22)</f>
        <v>0</v>
      </c>
      <c r="L14" s="868">
        <f>IF(L3=0,0,Database!R23)</f>
        <v>0</v>
      </c>
      <c r="M14" s="868">
        <f>IF(M3=0,0,Database!R24)</f>
        <v>0</v>
      </c>
      <c r="N14" s="868">
        <f>IF(N3=0,0,Database!R25)</f>
        <v>0</v>
      </c>
      <c r="O14" s="868">
        <f>IF(O3=0,0,Database!R26)</f>
        <v>0</v>
      </c>
      <c r="P14" s="868">
        <f>IF(P3=0,0,Database!R27)</f>
        <v>0.3</v>
      </c>
      <c r="Q14" s="857"/>
    </row>
    <row r="15" spans="1:17">
      <c r="A15" s="857"/>
      <c r="B15" s="857"/>
      <c r="C15" s="872"/>
      <c r="D15" s="869" t="s">
        <v>180</v>
      </c>
      <c r="E15" s="869" t="s">
        <v>15</v>
      </c>
      <c r="F15" s="873">
        <f>IF(F3=0,0,Database!S17)</f>
        <v>0</v>
      </c>
      <c r="G15" s="873">
        <f>IF(G3=0,0,Database!S18)</f>
        <v>0</v>
      </c>
      <c r="H15" s="873">
        <f>IF(H3=0,0,Database!S19)</f>
        <v>0.6</v>
      </c>
      <c r="I15" s="873">
        <f>IF(I3=0,0,Database!S20)</f>
        <v>0.3</v>
      </c>
      <c r="J15" s="873">
        <f>IF(J3=0,0,Database!S21)</f>
        <v>0.3</v>
      </c>
      <c r="K15" s="873">
        <f>IF(K3=0,0,Database!S22)</f>
        <v>2.4</v>
      </c>
      <c r="L15" s="873">
        <f>IF(L3=0,0,Database!S23)</f>
        <v>0</v>
      </c>
      <c r="M15" s="873">
        <f>IF(M3=0,0,Database!S24)</f>
        <v>0</v>
      </c>
      <c r="N15" s="873">
        <f>IF(N3=0,0,Database!S25)</f>
        <v>0</v>
      </c>
      <c r="O15" s="873">
        <f>IF(O3=0,0,Database!S26)</f>
        <v>0</v>
      </c>
      <c r="P15" s="873">
        <f>IF(P3=0,0,Database!S27)</f>
        <v>0.28000000000000003</v>
      </c>
      <c r="Q15" s="857"/>
    </row>
    <row r="16" spans="1:17">
      <c r="A16" s="237"/>
      <c r="B16" s="237"/>
      <c r="C16" s="241" t="s">
        <v>119</v>
      </c>
      <c r="D16" s="237" t="s">
        <v>181</v>
      </c>
      <c r="E16" s="237"/>
      <c r="F16" s="868" t="s">
        <v>182</v>
      </c>
      <c r="G16" s="868" t="s">
        <v>182</v>
      </c>
      <c r="H16" s="868" t="s">
        <v>182</v>
      </c>
      <c r="I16" s="868" t="s">
        <v>182</v>
      </c>
      <c r="J16" s="868" t="s">
        <v>182</v>
      </c>
      <c r="K16" s="868" t="s">
        <v>182</v>
      </c>
      <c r="L16" s="868" t="s">
        <v>143</v>
      </c>
      <c r="M16" s="868" t="s">
        <v>143</v>
      </c>
      <c r="N16" s="868" t="s">
        <v>143</v>
      </c>
      <c r="O16" s="868" t="s">
        <v>143</v>
      </c>
      <c r="P16" s="868" t="s">
        <v>143</v>
      </c>
      <c r="Q16" s="857"/>
    </row>
    <row r="17" spans="1:17">
      <c r="A17" s="237"/>
      <c r="B17" s="237"/>
      <c r="C17" s="239" t="s">
        <v>183</v>
      </c>
      <c r="D17" s="237" t="s">
        <v>184</v>
      </c>
      <c r="E17" s="237" t="s">
        <v>185</v>
      </c>
      <c r="F17" s="868" t="str">
        <f>IF(F3=0,0,'RC Column'!H36&amp;" x "&amp;'RC Column'!H36)</f>
        <v>250 x 250</v>
      </c>
      <c r="G17" s="868" t="str">
        <f>IF(G3=0,0,'RC Column'!H37&amp;" x "&amp;'RC Column'!H37)</f>
        <v>250 x 250</v>
      </c>
      <c r="H17" s="868" t="str">
        <f>IF(H3=0,0,'RC Column'!H38&amp;" x "&amp;'RC Column'!H38)</f>
        <v>250 x 250</v>
      </c>
      <c r="I17" s="868" t="str">
        <f>IF(I3=0,0,'RC Column'!H39&amp;" x "&amp;'RC Column'!H39)</f>
        <v>250 x 250</v>
      </c>
      <c r="J17" s="868" t="str">
        <f>IF(J3=0,0,'RC Column'!H40&amp;" x "&amp;'RC Column'!H40)</f>
        <v>250 x 250</v>
      </c>
      <c r="K17" s="868" t="str">
        <f>IF(K3=0,0,'RC Column'!H41&amp;" x "&amp;'RC Column'!H41)</f>
        <v>250 x 250</v>
      </c>
      <c r="L17" s="868" t="str">
        <f>IF(L3=0,0,'Steel Column'!G32)</f>
        <v>203 x 203 x 60 UC</v>
      </c>
      <c r="M17" s="868" t="str">
        <f>IF(M3=0,0,'Steel Column'!G33)</f>
        <v>203 x 203 x 46 UC</v>
      </c>
      <c r="N17" s="868" t="str">
        <f>IF(N3=0,0,'Steel Column'!G34)</f>
        <v>203 x 203 x 52 UC</v>
      </c>
      <c r="O17" s="868" t="str">
        <f>IF(O3=0,0,'Steel Column'!G35)</f>
        <v>152 x 152 x 44 UC</v>
      </c>
      <c r="P17" s="868" t="str">
        <f>IF(P3=0,0,'Steel Column'!G36)</f>
        <v>152 x 152 x 44 UC</v>
      </c>
      <c r="Q17" s="857"/>
    </row>
    <row r="18" spans="1:17">
      <c r="A18" s="237"/>
      <c r="B18" s="237"/>
      <c r="C18" s="240"/>
      <c r="D18" s="237" t="s">
        <v>38</v>
      </c>
      <c r="E18" s="237" t="s">
        <v>186</v>
      </c>
      <c r="F18" s="868">
        <f>IF(F3=0,0,'RC Column'!$C$21*7850)</f>
        <v>314</v>
      </c>
      <c r="G18" s="868">
        <f>IF(G3=0,0,'RC Column'!$C$21*7850)</f>
        <v>314</v>
      </c>
      <c r="H18" s="868">
        <f>IF(H3=0,0,'RC Column'!$C$21*7850)</f>
        <v>314</v>
      </c>
      <c r="I18" s="868">
        <f>IF(I3=0,0,'RC Column'!$C$21*7850)</f>
        <v>314</v>
      </c>
      <c r="J18" s="868">
        <f>IF(J3=0,0,'RC Column'!$C$21*7850)</f>
        <v>314</v>
      </c>
      <c r="K18" s="868">
        <f>IF(K3=0,0,'RC Column'!$C$21*7850)</f>
        <v>314</v>
      </c>
      <c r="L18" s="868">
        <f>IF(L3=0,0,'RC Column'!$C$21*7850)</f>
        <v>314</v>
      </c>
      <c r="M18" s="868">
        <f>IF(M3=0,0,'RC Column'!$C$21*7850)</f>
        <v>314</v>
      </c>
      <c r="N18" s="868">
        <f>IF(N3=0,0,'RC Column'!$C$21*7850)</f>
        <v>314</v>
      </c>
      <c r="O18" s="868">
        <f>IF(O3=0,0,'RC Column'!$C$21*7850)</f>
        <v>314</v>
      </c>
      <c r="P18" s="868">
        <f>IF(P3=0,0,'RC Column'!$C$21*7850)</f>
        <v>314</v>
      </c>
      <c r="Q18" s="857"/>
    </row>
    <row r="19" spans="1:17">
      <c r="A19" s="237"/>
      <c r="B19" s="237"/>
      <c r="C19" s="239" t="s">
        <v>187</v>
      </c>
      <c r="D19" s="237" t="s">
        <v>184</v>
      </c>
      <c r="E19" s="237" t="s">
        <v>185</v>
      </c>
      <c r="F19" s="868" t="str">
        <f>IF(F3=0,0,'RC Column'!H44&amp;" x "&amp;'RC Column'!H44)</f>
        <v>250 x 250</v>
      </c>
      <c r="G19" s="868" t="str">
        <f>IF(G3=0,0,'RC Column'!H45&amp;" x "&amp;'RC Column'!H45)</f>
        <v>250 x 250</v>
      </c>
      <c r="H19" s="868" t="str">
        <f>IF(H3=0,0,'RC Column'!H46&amp;" x "&amp;'RC Column'!H46)</f>
        <v>250 x 250</v>
      </c>
      <c r="I19" s="868" t="str">
        <f>IF(I3=0,0,'RC Column'!H47&amp;" x "&amp;'RC Column'!H47)</f>
        <v>250 x 250</v>
      </c>
      <c r="J19" s="868" t="str">
        <f>IF(J3=0,0,'RC Column'!H48&amp;" x "&amp;'RC Column'!H48)</f>
        <v>250 x 250</v>
      </c>
      <c r="K19" s="868" t="str">
        <f>IF(K3=0,0,'RC Column'!H49&amp;" x "&amp;'RC Column'!H49)</f>
        <v>250 x 250</v>
      </c>
      <c r="L19" s="868" t="str">
        <f>IF(L3=0,0,'Steel Column'!G41)</f>
        <v>152 x 152 x 51 UC</v>
      </c>
      <c r="M19" s="868" t="str">
        <f>IF(M3=0,0,'Steel Column'!G42)</f>
        <v>152 x 152 x 44 UC</v>
      </c>
      <c r="N19" s="868" t="str">
        <f>IF(N3=0,0,'Steel Column'!G43)</f>
        <v>152 x 152 x 44 UC</v>
      </c>
      <c r="O19" s="868" t="str">
        <f>IF(O3=0,0,'Steel Column'!G44)</f>
        <v>152 x 152 x 30 UC</v>
      </c>
      <c r="P19" s="868" t="str">
        <f>IF(P3=0,0,'Steel Column'!G45)</f>
        <v>152 x 152 x 30 UC</v>
      </c>
      <c r="Q19" s="857"/>
    </row>
    <row r="20" spans="1:17">
      <c r="A20" s="237"/>
      <c r="B20" s="237"/>
      <c r="C20" s="240"/>
      <c r="D20" s="237" t="s">
        <v>38</v>
      </c>
      <c r="E20" s="237" t="s">
        <v>186</v>
      </c>
      <c r="F20" s="868">
        <f>IF(F3=0,0,'RC Column'!$C$21*7850)</f>
        <v>314</v>
      </c>
      <c r="G20" s="868">
        <f>IF(G3=0,0,'RC Column'!$C$21*7850)</f>
        <v>314</v>
      </c>
      <c r="H20" s="868">
        <f>IF(H3=0,0,'RC Column'!$C$21*7850)</f>
        <v>314</v>
      </c>
      <c r="I20" s="868">
        <f>IF(I3=0,0,'RC Column'!$C$21*7850)</f>
        <v>314</v>
      </c>
      <c r="J20" s="868">
        <f>IF(J3=0,0,'RC Column'!$C$21*7850)</f>
        <v>314</v>
      </c>
      <c r="K20" s="868">
        <f>IF(K3=0,0,'RC Column'!$C$21*7850)</f>
        <v>314</v>
      </c>
      <c r="L20" s="868">
        <f>IF(L3=0,0,'RC Column'!$C$21*7850)</f>
        <v>314</v>
      </c>
      <c r="M20" s="868">
        <f>IF(M3=0,0,'RC Column'!$C$21*7850)</f>
        <v>314</v>
      </c>
      <c r="N20" s="868">
        <f>IF(N3=0,0,'RC Column'!$C$21*7850)</f>
        <v>314</v>
      </c>
      <c r="O20" s="868">
        <f>IF(O3=0,0,'RC Column'!$C$21*7850)</f>
        <v>314</v>
      </c>
      <c r="P20" s="868">
        <f>IF(P3=0,0,'RC Column'!$C$21*7850)</f>
        <v>314</v>
      </c>
      <c r="Q20" s="857"/>
    </row>
    <row r="21" spans="1:17">
      <c r="A21" s="237"/>
      <c r="B21" s="237"/>
      <c r="C21" s="239" t="s">
        <v>188</v>
      </c>
      <c r="D21" s="237" t="s">
        <v>184</v>
      </c>
      <c r="E21" s="237" t="s">
        <v>185</v>
      </c>
      <c r="F21" s="868" t="str">
        <f>IF(F3=0,0,'RC Column'!H52&amp;" x "&amp;'RC Column'!H52)</f>
        <v>250 x 250</v>
      </c>
      <c r="G21" s="868" t="str">
        <f>IF(G3=0,0,'RC Column'!H53&amp;" x "&amp;'RC Column'!H53)</f>
        <v>250 x 250</v>
      </c>
      <c r="H21" s="868" t="str">
        <f>IF(H3=0,0,'RC Column'!H54&amp;" x "&amp;'RC Column'!H54)</f>
        <v>250 x 250</v>
      </c>
      <c r="I21" s="868" t="str">
        <f>IF(I3=0,0,'RC Column'!H55&amp;" x "&amp;'RC Column'!H55)</f>
        <v>250 x 250</v>
      </c>
      <c r="J21" s="868" t="str">
        <f>IF(J3=0,0,'RC Column'!H56&amp;" x "&amp;'RC Column'!H56)</f>
        <v>250 x 250</v>
      </c>
      <c r="K21" s="868" t="str">
        <f>IF(K3=0,0,'RC Column'!H57&amp;" x "&amp;'RC Column'!H57)</f>
        <v>250 x 250</v>
      </c>
      <c r="L21" s="868" t="str">
        <f>IF(L3=0,0,'Steel Column'!G50)</f>
        <v>152 x 152 x 30 UC</v>
      </c>
      <c r="M21" s="868" t="str">
        <f>IF(M3=0,0,'Steel Column'!G51)</f>
        <v>152 x 152 x 30 UC</v>
      </c>
      <c r="N21" s="868" t="str">
        <f>IF(N3=0,0,'Steel Column'!G52)</f>
        <v>152 x 152 x 30 UC</v>
      </c>
      <c r="O21" s="868" t="str">
        <f>IF(O3=0,0,'Steel Column'!G53)</f>
        <v>152 x 152 x 23 UC</v>
      </c>
      <c r="P21" s="868" t="str">
        <f>IF(P3=0,0,'Steel Column'!G54)</f>
        <v>152 x 152 x 23 UC</v>
      </c>
      <c r="Q21" s="857"/>
    </row>
    <row r="22" spans="1:17">
      <c r="A22" s="237"/>
      <c r="B22" s="237"/>
      <c r="C22" s="242"/>
      <c r="D22" s="869" t="s">
        <v>38</v>
      </c>
      <c r="E22" s="869" t="s">
        <v>186</v>
      </c>
      <c r="F22" s="873">
        <f>IF(F3=0,0,'RC Column'!$C$21*7850)</f>
        <v>314</v>
      </c>
      <c r="G22" s="873">
        <f>IF(G3=0,0,'RC Column'!$C$21*7850)</f>
        <v>314</v>
      </c>
      <c r="H22" s="873">
        <f>IF(H3=0,0,'RC Column'!$C$21*7850)</f>
        <v>314</v>
      </c>
      <c r="I22" s="873">
        <f>IF(I3=0,0,'RC Column'!$C$21*7850)</f>
        <v>314</v>
      </c>
      <c r="J22" s="873">
        <f>IF(J3=0,0,'RC Column'!$C$21*7850)</f>
        <v>314</v>
      </c>
      <c r="K22" s="873">
        <f>IF(K3=0,0,'RC Column'!$C$21*7850)</f>
        <v>314</v>
      </c>
      <c r="L22" s="873">
        <f>IF(L3=0,0,'RC Column'!$C$21*7850)</f>
        <v>314</v>
      </c>
      <c r="M22" s="873">
        <f>IF(M3=0,0,'RC Column'!$C$21*7850)</f>
        <v>314</v>
      </c>
      <c r="N22" s="873">
        <f>IF(N3=0,0,'RC Column'!$C$21*7850)</f>
        <v>314</v>
      </c>
      <c r="O22" s="873">
        <f>IF(O3=0,0,'RC Column'!$C$21*7850)</f>
        <v>314</v>
      </c>
      <c r="P22" s="873">
        <f>IF(P3=0,0,'RC Column'!$C$21*7850)</f>
        <v>314</v>
      </c>
      <c r="Q22" s="857"/>
    </row>
    <row r="23" spans="1:17">
      <c r="A23" s="237"/>
      <c r="B23" s="237"/>
      <c r="C23" s="241" t="s">
        <v>120</v>
      </c>
      <c r="D23" s="237" t="s">
        <v>189</v>
      </c>
      <c r="E23" s="237" t="s">
        <v>15</v>
      </c>
      <c r="F23" s="868">
        <f>IF(F3=0,0,'Shear Walls'!C69/1000)</f>
        <v>0.2</v>
      </c>
      <c r="G23" s="868">
        <f>IF(G3=0,0,'Shear Walls'!I69/1000)</f>
        <v>0.2</v>
      </c>
      <c r="H23" s="868">
        <f>IF(H3=0,0,'Shear Walls'!O69/1000)</f>
        <v>0.2</v>
      </c>
      <c r="I23" s="868">
        <f>IF(I3=0,0,'Shear Walls'!U69/1000)</f>
        <v>0.2</v>
      </c>
      <c r="J23" s="868">
        <f>IF(J3=0,0,'Shear Walls'!AA69/1000)</f>
        <v>0.2</v>
      </c>
      <c r="K23" s="868">
        <f>IF(K3=0,0,'Shear Walls'!AG69/1000)</f>
        <v>0.2</v>
      </c>
      <c r="L23" s="868">
        <f>IF(L3=0,0,'Shear Walls'!AM69/1000)</f>
        <v>0.22500000000000001</v>
      </c>
      <c r="M23" s="868">
        <f>IF(M3=0,0,'Shear Walls'!AS69/1000)</f>
        <v>0.22500000000000001</v>
      </c>
      <c r="N23" s="868">
        <f>IF(N3=0,0,'Shear Walls'!AY69/1000)</f>
        <v>0.2</v>
      </c>
      <c r="O23" s="868">
        <f>IF(O3=0,0,'Shear Walls'!BE69/1000)</f>
        <v>0.22500000000000001</v>
      </c>
      <c r="P23" s="868">
        <f>IF(P3=0,0,'Shear Walls'!BK69/1000)</f>
        <v>0.22500000000000001</v>
      </c>
      <c r="Q23" s="857"/>
    </row>
    <row r="24" spans="1:17">
      <c r="A24" s="237"/>
      <c r="B24" s="237"/>
      <c r="C24" s="238"/>
      <c r="D24" s="869" t="s">
        <v>38</v>
      </c>
      <c r="E24" s="869" t="s">
        <v>186</v>
      </c>
      <c r="F24" s="874">
        <f>IF(F3=0,0,Cost!F18*1000/Cost!F17)</f>
        <v>35.356244662120126</v>
      </c>
      <c r="G24" s="874">
        <f>IF(G3=0,0,Cost!F61*1000/Cost!F60)</f>
        <v>35.356244662120126</v>
      </c>
      <c r="H24" s="874">
        <f>IF(H3=0,0,Cost!F104*1000/Cost!F103)</f>
        <v>35.356244662120126</v>
      </c>
      <c r="I24" s="874">
        <f>IF(I3=0,0,Cost!F149*1000/Cost!F148)</f>
        <v>35.356244662120112</v>
      </c>
      <c r="J24" s="874">
        <f>IF(J3=0,0,Cost!F193*1000/Cost!F192)</f>
        <v>35.356244662120119</v>
      </c>
      <c r="K24" s="874">
        <f>IF(K3=0,0,Cost!F236*1000/Cost!F235)</f>
        <v>35.356244662120119</v>
      </c>
      <c r="L24" s="874">
        <f>IF(L3=0,0,Cost!F279*1000/Cost!F278)</f>
        <v>31.427773032995667</v>
      </c>
      <c r="M24" s="874">
        <f>IF(M3=0,0,Cost!F323*1000/Cost!F322)</f>
        <v>31.427773032995667</v>
      </c>
      <c r="N24" s="874">
        <f>IF(N3=0,0,Cost!F367*1000/Cost!F366)</f>
        <v>35.356244662120112</v>
      </c>
      <c r="O24" s="874">
        <f>IF(O3=0,0,Cost!F409*1000/Cost!F408)</f>
        <v>31.42777303299567</v>
      </c>
      <c r="P24" s="874">
        <f>IF(P3=0,0,Cost!F451*1000/Cost!F450)</f>
        <v>31.427773032995667</v>
      </c>
      <c r="Q24" s="857"/>
    </row>
    <row r="25" spans="1:17">
      <c r="A25" s="237"/>
      <c r="B25" s="237"/>
      <c r="C25" s="241" t="s">
        <v>122</v>
      </c>
      <c r="D25" s="237" t="s">
        <v>169</v>
      </c>
      <c r="E25" s="237" t="s">
        <v>15</v>
      </c>
      <c r="F25" s="868">
        <f>IF(F3=0,0,IF(Summary!$J$8="no",0,Summary!$J9))</f>
        <v>0</v>
      </c>
      <c r="G25" s="868">
        <f>IF(G3=0,0,IF(Summary!$J$8="no",0,Summary!$J9))</f>
        <v>0</v>
      </c>
      <c r="H25" s="868">
        <f>IF(H3=0,0,IF(Summary!$J$8="no",0,Summary!$J9))</f>
        <v>0</v>
      </c>
      <c r="I25" s="868">
        <f>IF(I3=0,0,IF(Summary!$J$8="no",0,Summary!$J9))</f>
        <v>0</v>
      </c>
      <c r="J25" s="868">
        <f>IF(J3=0,0,IF(Summary!$J$8="no",0,Summary!$J9))</f>
        <v>0</v>
      </c>
      <c r="K25" s="868">
        <f>IF(K3=0,0,IF(Summary!$J$8="no",0,Summary!$J9))</f>
        <v>0</v>
      </c>
      <c r="L25" s="868">
        <f>IF(L3=0,0,IF(Summary!$J$8="no",0,Summary!$J9))</f>
        <v>0</v>
      </c>
      <c r="M25" s="868">
        <f>IF(M3=0,0,IF(Summary!$J$8="no",0,Summary!$J9))</f>
        <v>0</v>
      </c>
      <c r="N25" s="868">
        <f>IF(N3=0,0,IF(Summary!$J$8="no",0,Summary!$J9))</f>
        <v>0</v>
      </c>
      <c r="O25" s="868">
        <f>IF(O3=0,0,IF(Summary!$J$8="no",0,Summary!$J9))</f>
        <v>0</v>
      </c>
      <c r="P25" s="868">
        <f>IF(P3=0,0,IF(Summary!$J$8="no",0,Summary!$J9))</f>
        <v>0</v>
      </c>
      <c r="Q25" s="857"/>
    </row>
    <row r="26" spans="1:17">
      <c r="A26" s="857"/>
      <c r="B26" s="872"/>
      <c r="C26" s="238"/>
      <c r="D26" s="869" t="s">
        <v>38</v>
      </c>
      <c r="E26" s="869" t="s">
        <v>186</v>
      </c>
      <c r="F26" s="873">
        <f>IF(F3=0,0,IF(Summary!$J$8="no",0,Summary!$J10))</f>
        <v>0</v>
      </c>
      <c r="G26" s="873">
        <f>IF(G3=0,0,IF(Summary!$J$8="no",0,Summary!$J10))</f>
        <v>0</v>
      </c>
      <c r="H26" s="873">
        <f>IF(H3=0,0,IF(Summary!$J$8="no",0,Summary!$J10))</f>
        <v>0</v>
      </c>
      <c r="I26" s="873">
        <f>IF(I3=0,0,IF(Summary!$J$8="no",0,Summary!$J10))</f>
        <v>0</v>
      </c>
      <c r="J26" s="873">
        <f>IF(J3=0,0,IF(Summary!$J$8="no",0,Summary!$J10))</f>
        <v>0</v>
      </c>
      <c r="K26" s="873">
        <f>IF(K3=0,0,IF(Summary!$J$8="no",0,Summary!$J10))</f>
        <v>0</v>
      </c>
      <c r="L26" s="873">
        <f>IF(L3=0,0,IF(Summary!$J$8="no",0,Summary!$J10))</f>
        <v>0</v>
      </c>
      <c r="M26" s="873">
        <f>IF(M3=0,0,IF(Summary!$J$8="no",0,Summary!$J10))</f>
        <v>0</v>
      </c>
      <c r="N26" s="873">
        <f>IF(N3=0,0,IF(Summary!$J$8="no",0,Summary!$J10))</f>
        <v>0</v>
      </c>
      <c r="O26" s="873">
        <f>IF(O3=0,0,IF(Summary!$J$8="no",0,Summary!$J10))</f>
        <v>0</v>
      </c>
      <c r="P26" s="873">
        <f>IF(P3=0,0,IF(Summary!$J$8="no",0,Summary!$J10))</f>
        <v>0</v>
      </c>
      <c r="Q26" s="857"/>
    </row>
    <row r="27" spans="1:17">
      <c r="A27" s="237"/>
      <c r="B27" s="237" t="s">
        <v>123</v>
      </c>
      <c r="C27" s="241" t="s">
        <v>124</v>
      </c>
      <c r="D27" s="237" t="s">
        <v>181</v>
      </c>
      <c r="E27" s="237"/>
      <c r="F27" s="868" t="str">
        <f>IF(F3=0,0,IF(Summary!$J$13="Yes","Suspended RC Flat Slab","Ground Bearing RC Slab"))</f>
        <v>Ground Bearing RC Slab</v>
      </c>
      <c r="G27" s="868" t="str">
        <f>IF(G3=0,0,IF(Summary!$J$13="Yes","Suspended RC Flat Slab","Ground Bearing RC Slab"))</f>
        <v>Ground Bearing RC Slab</v>
      </c>
      <c r="H27" s="868" t="str">
        <f>IF(H3=0,0,IF(Summary!$J$13="Yes","Suspended RC Flat Slab","Ground Bearing RC Slab"))</f>
        <v>Ground Bearing RC Slab</v>
      </c>
      <c r="I27" s="868" t="str">
        <f>IF(I3=0,0,IF(Summary!$J$13="Yes","Suspended RC Flat Slab","Ground Bearing RC Slab"))</f>
        <v>Ground Bearing RC Slab</v>
      </c>
      <c r="J27" s="868" t="str">
        <f>IF(J3=0,0,IF(Summary!$J$13="Yes","Suspended RC Flat Slab","Ground Bearing RC Slab"))</f>
        <v>Ground Bearing RC Slab</v>
      </c>
      <c r="K27" s="868" t="str">
        <f>IF(K3=0,0,IF(Summary!$J$13="Yes","Suspended RC Flat Slab","Ground Bearing RC Slab"))</f>
        <v>Ground Bearing RC Slab</v>
      </c>
      <c r="L27" s="868" t="str">
        <f>IF(L3=0,0,IF(Summary!$J$13="Yes","Suspended RC Flat Slab","Ground Bearing RC Slab"))</f>
        <v>Ground Bearing RC Slab</v>
      </c>
      <c r="M27" s="868" t="str">
        <f>IF(M3=0,0,IF(Summary!$J$13="Yes","Suspended RC Flat Slab","Ground Bearing RC Slab"))</f>
        <v>Ground Bearing RC Slab</v>
      </c>
      <c r="N27" s="868" t="str">
        <f>IF(N3=0,0,IF(Summary!$J$13="Yes","Suspended RC Flat Slab","Ground Bearing RC Slab"))</f>
        <v>Ground Bearing RC Slab</v>
      </c>
      <c r="O27" s="868" t="str">
        <f>IF(O3=0,0,IF(Summary!$J$13="Yes","Suspended RC Flat Slab","Ground Bearing RC Slab"))</f>
        <v>Ground Bearing RC Slab</v>
      </c>
      <c r="P27" s="868" t="str">
        <f>IF(P3=0,0,IF(Summary!$J$13="Yes","Suspended RC Flat Slab","Ground Bearing RC Slab"))</f>
        <v>Ground Bearing RC Slab</v>
      </c>
      <c r="Q27" s="857"/>
    </row>
    <row r="28" spans="1:17">
      <c r="A28" s="237"/>
      <c r="B28" s="237"/>
      <c r="C28" s="239"/>
      <c r="D28" s="237" t="s">
        <v>169</v>
      </c>
      <c r="E28" s="237" t="s">
        <v>15</v>
      </c>
      <c r="F28" s="868" t="str">
        <f>IF(F3=0,0,IF(Summary!$J$13="Yes",$F7,"0.2"))</f>
        <v>0.2</v>
      </c>
      <c r="G28" s="868" t="str">
        <f>IF(G3=0,0,IF(Summary!$J$13="Yes",$F7,"0.2"))</f>
        <v>0.2</v>
      </c>
      <c r="H28" s="868" t="str">
        <f>IF(H3=0,0,IF(Summary!$J$13="Yes",$F7,"0.2"))</f>
        <v>0.2</v>
      </c>
      <c r="I28" s="868" t="str">
        <f>IF(I3=0,0,IF(Summary!$J$13="Yes",$F7,"0.2"))</f>
        <v>0.2</v>
      </c>
      <c r="J28" s="868" t="str">
        <f>IF(J3=0,0,IF(Summary!$J$13="Yes",$F7,"0.2"))</f>
        <v>0.2</v>
      </c>
      <c r="K28" s="868" t="str">
        <f>IF(K3=0,0,IF(Summary!$J$13="Yes",$F7,"0.2"))</f>
        <v>0.2</v>
      </c>
      <c r="L28" s="868" t="str">
        <f>IF(L3=0,0,IF(Summary!$J$13="Yes",$F7,"0.2"))</f>
        <v>0.2</v>
      </c>
      <c r="M28" s="868" t="str">
        <f>IF(M3=0,0,IF(Summary!$J$13="Yes",$F7,"0.2"))</f>
        <v>0.2</v>
      </c>
      <c r="N28" s="868" t="str">
        <f>IF(N3=0,0,IF(Summary!$J$13="Yes",$F7,"0.2"))</f>
        <v>0.2</v>
      </c>
      <c r="O28" s="868" t="str">
        <f>IF(O3=0,0,IF(Summary!$J$13="Yes",$F7,"0.2"))</f>
        <v>0.2</v>
      </c>
      <c r="P28" s="868" t="str">
        <f>IF(P3=0,0,IF(Summary!$J$13="Yes",$F7,"0.2"))</f>
        <v>0.2</v>
      </c>
      <c r="Q28" s="857"/>
    </row>
    <row r="29" spans="1:17">
      <c r="A29" s="237"/>
      <c r="B29" s="237"/>
      <c r="C29" s="238"/>
      <c r="D29" s="869" t="s">
        <v>38</v>
      </c>
      <c r="E29" s="869" t="s">
        <v>171</v>
      </c>
      <c r="F29" s="873" t="str">
        <f>IF(F3=0,0,IF(Summary!$J$13="Yes",$F8,"12"))</f>
        <v>12</v>
      </c>
      <c r="G29" s="873" t="str">
        <f>IF(G3=0,0,IF(Summary!$J$13="Yes",$F8,"12"))</f>
        <v>12</v>
      </c>
      <c r="H29" s="873" t="str">
        <f>IF(H3=0,0,IF(Summary!$J$13="Yes",$F8,"12"))</f>
        <v>12</v>
      </c>
      <c r="I29" s="873" t="str">
        <f>IF(I3=0,0,IF(Summary!$J$13="Yes",$F8,"12"))</f>
        <v>12</v>
      </c>
      <c r="J29" s="873" t="str">
        <f>IF(J3=0,0,IF(Summary!$J$13="Yes",$F8,"12"))</f>
        <v>12</v>
      </c>
      <c r="K29" s="873" t="str">
        <f>IF(K3=0,0,IF(Summary!$J$13="Yes",$F8,"12"))</f>
        <v>12</v>
      </c>
      <c r="L29" s="873" t="str">
        <f>IF(L3=0,0,IF(Summary!$J$13="Yes",$F8,"12"))</f>
        <v>12</v>
      </c>
      <c r="M29" s="873" t="str">
        <f>IF(M3=0,0,IF(Summary!$J$13="Yes",$F8,"12"))</f>
        <v>12</v>
      </c>
      <c r="N29" s="873" t="str">
        <f>IF(N3=0,0,IF(Summary!$J$13="Yes",$F8,"12"))</f>
        <v>12</v>
      </c>
      <c r="O29" s="873" t="str">
        <f>IF(O3=0,0,IF(Summary!$J$13="Yes",$F8,"12"))</f>
        <v>12</v>
      </c>
      <c r="P29" s="873" t="str">
        <f>IF(P3=0,0,IF(Summary!$J$13="Yes",$F8,"12"))</f>
        <v>12</v>
      </c>
      <c r="Q29" s="857"/>
    </row>
    <row r="30" spans="1:17">
      <c r="A30" s="237"/>
      <c r="B30" s="237"/>
      <c r="C30" s="243" t="s">
        <v>126</v>
      </c>
      <c r="D30" s="875" t="s">
        <v>169</v>
      </c>
      <c r="E30" s="875" t="s">
        <v>15</v>
      </c>
      <c r="F30" s="876">
        <f t="shared" ref="F30:P30" si="1">IF(F3=0,0,0.05)</f>
        <v>0.05</v>
      </c>
      <c r="G30" s="876">
        <f t="shared" si="1"/>
        <v>0.05</v>
      </c>
      <c r="H30" s="876">
        <f t="shared" si="1"/>
        <v>0.05</v>
      </c>
      <c r="I30" s="876">
        <f t="shared" si="1"/>
        <v>0.05</v>
      </c>
      <c r="J30" s="876">
        <f t="shared" si="1"/>
        <v>0.05</v>
      </c>
      <c r="K30" s="876">
        <f t="shared" si="1"/>
        <v>0.05</v>
      </c>
      <c r="L30" s="876">
        <f t="shared" si="1"/>
        <v>0.05</v>
      </c>
      <c r="M30" s="876">
        <f t="shared" si="1"/>
        <v>0.05</v>
      </c>
      <c r="N30" s="876">
        <f t="shared" si="1"/>
        <v>0.05</v>
      </c>
      <c r="O30" s="876">
        <f t="shared" si="1"/>
        <v>0.05</v>
      </c>
      <c r="P30" s="876">
        <f t="shared" si="1"/>
        <v>0.05</v>
      </c>
      <c r="Q30" s="857"/>
    </row>
    <row r="31" spans="1:17">
      <c r="A31" s="237"/>
      <c r="B31" s="237"/>
      <c r="C31" s="243" t="s">
        <v>128</v>
      </c>
      <c r="D31" s="875" t="s">
        <v>169</v>
      </c>
      <c r="E31" s="875" t="s">
        <v>15</v>
      </c>
      <c r="F31" s="876">
        <f t="shared" ref="F31:P31" si="2">IF(F3=0,0,0.15)</f>
        <v>0.15</v>
      </c>
      <c r="G31" s="876">
        <f t="shared" si="2"/>
        <v>0.15</v>
      </c>
      <c r="H31" s="876">
        <f t="shared" si="2"/>
        <v>0.15</v>
      </c>
      <c r="I31" s="876">
        <f t="shared" si="2"/>
        <v>0.15</v>
      </c>
      <c r="J31" s="876">
        <f t="shared" si="2"/>
        <v>0.15</v>
      </c>
      <c r="K31" s="876">
        <f t="shared" si="2"/>
        <v>0.15</v>
      </c>
      <c r="L31" s="876">
        <f t="shared" si="2"/>
        <v>0.15</v>
      </c>
      <c r="M31" s="876">
        <f t="shared" si="2"/>
        <v>0.15</v>
      </c>
      <c r="N31" s="876">
        <f t="shared" si="2"/>
        <v>0.15</v>
      </c>
      <c r="O31" s="876">
        <f t="shared" si="2"/>
        <v>0.15</v>
      </c>
      <c r="P31" s="876">
        <f t="shared" si="2"/>
        <v>0.15</v>
      </c>
      <c r="Q31" s="857"/>
    </row>
    <row r="32" spans="1:17">
      <c r="A32" s="237"/>
      <c r="B32" s="237"/>
      <c r="C32" s="241" t="s">
        <v>131</v>
      </c>
      <c r="D32" s="237" t="s">
        <v>181</v>
      </c>
      <c r="E32" s="237"/>
      <c r="F32" s="868" t="str">
        <f>IF(F3=0,0,Pile!I463)</f>
        <v>Driven</v>
      </c>
      <c r="G32" s="868" t="str">
        <f>IF(G3=0,0,Pile!V463)</f>
        <v>Driven</v>
      </c>
      <c r="H32" s="868" t="str">
        <f>IF(H3=0,0,Pile!AI463)</f>
        <v>CFA</v>
      </c>
      <c r="I32" s="868" t="str">
        <f>IF(I3=0,0,Pile!AV463)</f>
        <v>CFA</v>
      </c>
      <c r="J32" s="868" t="str">
        <f>IF(J3=0,0,Pile!BI463)</f>
        <v>Driven</v>
      </c>
      <c r="K32" s="868" t="str">
        <f>IF(K3=0,0,Pile!BV463)</f>
        <v>Driven</v>
      </c>
      <c r="L32" s="868" t="str">
        <f>IF(L3=0,0,Pile!CI463)</f>
        <v>CFA</v>
      </c>
      <c r="M32" s="868" t="str">
        <f>IF(M3=0,0,Pile!CV463)</f>
        <v>CFA</v>
      </c>
      <c r="N32" s="868" t="str">
        <f>IF(N3=0,0,Pile!DI463)</f>
        <v>CFA</v>
      </c>
      <c r="O32" s="868" t="str">
        <f>IF(O3=0,0,Pile!DV463)</f>
        <v>CFA</v>
      </c>
      <c r="P32" s="868" t="str">
        <f>IF(P3=0,0,Pile!EI463)</f>
        <v>CFA</v>
      </c>
      <c r="Q32" s="857"/>
    </row>
    <row r="33" spans="1:17">
      <c r="A33" s="237"/>
      <c r="B33" s="237"/>
      <c r="C33" s="239" t="s">
        <v>183</v>
      </c>
      <c r="D33" s="237" t="s">
        <v>190</v>
      </c>
      <c r="E33" s="237" t="s">
        <v>58</v>
      </c>
      <c r="F33" s="877">
        <f>IF(F3=0,0,Pile!J464)</f>
        <v>450</v>
      </c>
      <c r="G33" s="877">
        <f>IF(G3=0,0,Pile!W464)</f>
        <v>450</v>
      </c>
      <c r="H33" s="877">
        <f>IF(H3=0,0,Pile!AJ464)</f>
        <v>450</v>
      </c>
      <c r="I33" s="877">
        <f>IF(I3=0,0,Pile!AW464)</f>
        <v>450</v>
      </c>
      <c r="J33" s="877">
        <f>IF(J3=0,0,Pile!BJ464)</f>
        <v>450</v>
      </c>
      <c r="K33" s="877">
        <f>IF(K3=0,0,Pile!BW464)</f>
        <v>450</v>
      </c>
      <c r="L33" s="877">
        <f>IF(L3=0,0,Pile!CJ464)</f>
        <v>450</v>
      </c>
      <c r="M33" s="877">
        <f>IF(M3=0,0,Pile!CW464)</f>
        <v>450</v>
      </c>
      <c r="N33" s="877">
        <f>IF(N3=0,0,Pile!DJ464)</f>
        <v>450</v>
      </c>
      <c r="O33" s="877">
        <f>IF(O3=0,0,Pile!DW464)</f>
        <v>450</v>
      </c>
      <c r="P33" s="877">
        <f>IF(P3=0,0,Pile!EJ464)</f>
        <v>450</v>
      </c>
      <c r="Q33" s="857"/>
    </row>
    <row r="34" spans="1:17">
      <c r="A34" s="237"/>
      <c r="B34" s="237"/>
      <c r="C34" s="241"/>
      <c r="D34" s="237" t="s">
        <v>191</v>
      </c>
      <c r="E34" s="237" t="s">
        <v>15</v>
      </c>
      <c r="F34" s="877">
        <f>IF(F3=0,0,Pile!K464)</f>
        <v>13.499999999999996</v>
      </c>
      <c r="G34" s="877">
        <f>IF(G3=0,0,Pile!X464)</f>
        <v>13.499999999999996</v>
      </c>
      <c r="H34" s="877">
        <f>IF(H3=0,0,Pile!AK464)</f>
        <v>13.499999999999996</v>
      </c>
      <c r="I34" s="877">
        <f>IF(I3=0,0,Pile!AX464)</f>
        <v>13.499999999999996</v>
      </c>
      <c r="J34" s="877">
        <f>IF(J3=0,0,Pile!BK464)</f>
        <v>13.499999999999996</v>
      </c>
      <c r="K34" s="877">
        <f>IF(K3=0,0,Pile!BX464)</f>
        <v>14.999999999999996</v>
      </c>
      <c r="L34" s="877">
        <f>IF(L3=0,0,Pile!CK464)</f>
        <v>13.499999999999996</v>
      </c>
      <c r="M34" s="877">
        <f>IF(M3=0,0,Pile!CX464)</f>
        <v>13.499999999999996</v>
      </c>
      <c r="N34" s="877">
        <f>IF(N3=0,0,Pile!DK464)</f>
        <v>13.499999999999996</v>
      </c>
      <c r="O34" s="877">
        <f>IF(O3=0,0,Pile!DX464)</f>
        <v>13.499999999999996</v>
      </c>
      <c r="P34" s="877">
        <f>IF(P3=0,0,Pile!EK464)</f>
        <v>13.499999999999996</v>
      </c>
      <c r="Q34" s="857"/>
    </row>
    <row r="35" spans="1:17">
      <c r="A35" s="237"/>
      <c r="B35" s="237"/>
      <c r="C35" s="241"/>
      <c r="D35" s="237" t="s">
        <v>192</v>
      </c>
      <c r="E35" s="237" t="s">
        <v>193</v>
      </c>
      <c r="F35" s="877">
        <f>IF(F3=0,0,SUM(Pile!M464,Pile!M467))</f>
        <v>73</v>
      </c>
      <c r="G35" s="877">
        <f>IF(G3=0,0,Pile!Z464+Pile!Z467)</f>
        <v>74</v>
      </c>
      <c r="H35" s="877">
        <f>IF(H3=0,0,Pile!AM464+Pile!AM467)</f>
        <v>74</v>
      </c>
      <c r="I35" s="877">
        <f>IF(I3=0,0,Pile!AZ464+Pile!AZ467)</f>
        <v>76</v>
      </c>
      <c r="J35" s="877">
        <f>IF(J3=0,0,Pile!BM464+Pile!BM467)</f>
        <v>74</v>
      </c>
      <c r="K35" s="877">
        <f>IF(K3=0,0,Pile!BZ464+Pile!BZ467)</f>
        <v>72</v>
      </c>
      <c r="L35" s="877">
        <f>IF(L3=0,0,Pile!CM464+Pile!CM467)</f>
        <v>76</v>
      </c>
      <c r="M35" s="877">
        <f>IF(M3=0,0,Pile!CZ464+Pile!CZ467)</f>
        <v>79</v>
      </c>
      <c r="N35" s="877">
        <f>IF(N3=0,0,Pile!DM464+Pile!DM467)</f>
        <v>77</v>
      </c>
      <c r="O35" s="877">
        <f>IF(O3=0,0,Pile!DZ464+Pile!DZ467)</f>
        <v>88</v>
      </c>
      <c r="P35" s="877">
        <f>IF(P3=0,0,Pile!EM464+Pile!EM467)</f>
        <v>88</v>
      </c>
      <c r="Q35" s="857"/>
    </row>
    <row r="36" spans="1:17">
      <c r="A36" s="237"/>
      <c r="B36" s="237"/>
      <c r="C36" s="239" t="s">
        <v>187</v>
      </c>
      <c r="D36" s="237" t="s">
        <v>190</v>
      </c>
      <c r="E36" s="237" t="s">
        <v>58</v>
      </c>
      <c r="F36" s="877">
        <f>IF(F3=0,0,Pile!J465)</f>
        <v>450</v>
      </c>
      <c r="G36" s="877">
        <f>IF(G3=0,0,Pile!W465)</f>
        <v>450</v>
      </c>
      <c r="H36" s="877">
        <f>IF(H3=0,0,Pile!AJ465)</f>
        <v>450</v>
      </c>
      <c r="I36" s="877">
        <f>IF(I3=0,0,Pile!AW465)</f>
        <v>450</v>
      </c>
      <c r="J36" s="877">
        <f>IF(J3=0,0,Pile!BJ465)</f>
        <v>450</v>
      </c>
      <c r="K36" s="877">
        <f>IF(K3=0,0,Pile!BW465)</f>
        <v>450</v>
      </c>
      <c r="L36" s="877">
        <f>IF(L3=0,0,Pile!CJ465)</f>
        <v>450</v>
      </c>
      <c r="M36" s="877">
        <f>IF(M3=0,0,Pile!CW465)</f>
        <v>450</v>
      </c>
      <c r="N36" s="877">
        <f>IF(N3=0,0,Pile!DJ465)</f>
        <v>450</v>
      </c>
      <c r="O36" s="877">
        <f>IF(O3=0,0,Pile!DW465)</f>
        <v>450</v>
      </c>
      <c r="P36" s="877">
        <f>IF(P3=0,0,Pile!EJ465)</f>
        <v>450</v>
      </c>
      <c r="Q36" s="857"/>
    </row>
    <row r="37" spans="1:17">
      <c r="A37" s="237"/>
      <c r="B37" s="237"/>
      <c r="C37" s="241"/>
      <c r="D37" s="237" t="s">
        <v>191</v>
      </c>
      <c r="E37" s="237" t="s">
        <v>15</v>
      </c>
      <c r="F37" s="877">
        <f>IF(F3=0,0,Pile!K465)</f>
        <v>13.499999999999996</v>
      </c>
      <c r="G37" s="877">
        <f>IF(G3=0,0,Pile!X465)</f>
        <v>13.499999999999996</v>
      </c>
      <c r="H37" s="877">
        <f>IF(H3=0,0,Pile!AK465)</f>
        <v>13.499999999999996</v>
      </c>
      <c r="I37" s="877">
        <f>IF(I3=0,0,Pile!AX465)</f>
        <v>13.499999999999996</v>
      </c>
      <c r="J37" s="877">
        <f>IF(J3=0,0,Pile!BK465)</f>
        <v>13.499999999999996</v>
      </c>
      <c r="K37" s="877">
        <f>IF(K3=0,0,Pile!BX465)</f>
        <v>13.499999999999996</v>
      </c>
      <c r="L37" s="877">
        <f>IF(L3=0,0,Pile!CK465)</f>
        <v>13.499999999999996</v>
      </c>
      <c r="M37" s="877">
        <f>IF(M3=0,0,Pile!CX465)</f>
        <v>13.499999999999996</v>
      </c>
      <c r="N37" s="877">
        <f>IF(N3=0,0,Pile!DK465)</f>
        <v>13.499999999999996</v>
      </c>
      <c r="O37" s="877">
        <f>IF(O3=0,0,Pile!DX465)</f>
        <v>13.499999999999996</v>
      </c>
      <c r="P37" s="877">
        <f>IF(P3=0,0,Pile!EK465)</f>
        <v>13.499999999999996</v>
      </c>
      <c r="Q37" s="857"/>
    </row>
    <row r="38" spans="1:17">
      <c r="A38" s="237"/>
      <c r="B38" s="237"/>
      <c r="C38" s="241"/>
      <c r="D38" s="237" t="s">
        <v>192</v>
      </c>
      <c r="E38" s="237" t="s">
        <v>193</v>
      </c>
      <c r="F38" s="877">
        <f>IF(F3=0,0,Pile!M465)</f>
        <v>32</v>
      </c>
      <c r="G38" s="877">
        <f>IF(G3=0,0,Pile!Z465)</f>
        <v>32</v>
      </c>
      <c r="H38" s="877">
        <f>IF(H3=0,0,Pile!AM465)</f>
        <v>32</v>
      </c>
      <c r="I38" s="877">
        <f>IF(I3=0,0,Pile!AZ465)</f>
        <v>32</v>
      </c>
      <c r="J38" s="877">
        <f>IF(J3=0,0,Pile!BM465)</f>
        <v>32</v>
      </c>
      <c r="K38" s="877">
        <f>IF(K3=0,0,Pile!BZ465)</f>
        <v>32</v>
      </c>
      <c r="L38" s="877">
        <f>IF(L3=0,0,Pile!CM465)</f>
        <v>32</v>
      </c>
      <c r="M38" s="877">
        <f>IF(M3=0,0,Pile!CZ465)</f>
        <v>32</v>
      </c>
      <c r="N38" s="877">
        <f>IF(N3=0,0,Pile!DM465)</f>
        <v>32</v>
      </c>
      <c r="O38" s="877">
        <f>IF(O3=0,0,Pile!DZ465)</f>
        <v>32</v>
      </c>
      <c r="P38" s="877">
        <f>IF(P3=0,0,Pile!EM465)</f>
        <v>32</v>
      </c>
      <c r="Q38" s="857"/>
    </row>
    <row r="39" spans="1:17">
      <c r="A39" s="237"/>
      <c r="B39" s="237"/>
      <c r="C39" s="239" t="s">
        <v>188</v>
      </c>
      <c r="D39" s="237" t="s">
        <v>190</v>
      </c>
      <c r="E39" s="237" t="s">
        <v>58</v>
      </c>
      <c r="F39" s="877">
        <f>IF(F3=0,0,Pile!J466)</f>
        <v>450</v>
      </c>
      <c r="G39" s="877">
        <f>IF(G3=0,0,Pile!W466)</f>
        <v>450</v>
      </c>
      <c r="H39" s="877">
        <f>IF(H3=0,0,Pile!AJ466)</f>
        <v>450</v>
      </c>
      <c r="I39" s="877">
        <f>IF(I3=0,0,Pile!AW466)</f>
        <v>450</v>
      </c>
      <c r="J39" s="877">
        <f>IF(J3=0,0,Pile!BJ466)</f>
        <v>450</v>
      </c>
      <c r="K39" s="877">
        <f>IF(K3=0,0,Pile!BW466)</f>
        <v>450</v>
      </c>
      <c r="L39" s="877">
        <f>IF(L3=0,0,Pile!CJ466)</f>
        <v>450</v>
      </c>
      <c r="M39" s="877">
        <f>IF(M3=0,0,Pile!CW466)</f>
        <v>450</v>
      </c>
      <c r="N39" s="877">
        <f>IF(N3=0,0,Pile!DJ466)</f>
        <v>450</v>
      </c>
      <c r="O39" s="877">
        <f>IF(O3=0,0,Pile!DW466)</f>
        <v>450</v>
      </c>
      <c r="P39" s="877">
        <f>IF(P3=0,0,Pile!EJ466)</f>
        <v>450</v>
      </c>
      <c r="Q39" s="857"/>
    </row>
    <row r="40" spans="1:17">
      <c r="A40" s="237"/>
      <c r="B40" s="237"/>
      <c r="C40" s="241"/>
      <c r="D40" s="237" t="s">
        <v>191</v>
      </c>
      <c r="E40" s="237" t="s">
        <v>15</v>
      </c>
      <c r="F40" s="877">
        <f>IF(F3=0,0,Pile!K466)</f>
        <v>13.499999999999996</v>
      </c>
      <c r="G40" s="877">
        <f>IF(G3=0,0,Pile!X466)</f>
        <v>13.499999999999996</v>
      </c>
      <c r="H40" s="877">
        <f>IF(H3=0,0,Pile!AK466)</f>
        <v>13.499999999999996</v>
      </c>
      <c r="I40" s="877">
        <f>IF(I3=0,0,Pile!AX466)</f>
        <v>13.499999999999996</v>
      </c>
      <c r="J40" s="877">
        <f>IF(J3=0,0,Pile!BK466)</f>
        <v>13.499999999999996</v>
      </c>
      <c r="K40" s="877">
        <f>IF(K3=0,0,Pile!BX466)</f>
        <v>13.499999999999996</v>
      </c>
      <c r="L40" s="877">
        <f>IF(L3=0,0,Pile!CK466)</f>
        <v>11.999999999999996</v>
      </c>
      <c r="M40" s="877">
        <f>IF(M3=0,0,Pile!CX466)</f>
        <v>11.099999999999996</v>
      </c>
      <c r="N40" s="877">
        <f>IF(N3=0,0,Pile!DK466)</f>
        <v>11.099999999999996</v>
      </c>
      <c r="O40" s="877">
        <f>IF(O3=0,0,Pile!DX466)</f>
        <v>5.9999999999999982</v>
      </c>
      <c r="P40" s="877">
        <f>IF(P3=0,0,Pile!EK466)</f>
        <v>5.9999999999999982</v>
      </c>
      <c r="Q40" s="857"/>
    </row>
    <row r="41" spans="1:17">
      <c r="A41" s="237"/>
      <c r="B41" s="237"/>
      <c r="C41" s="244"/>
      <c r="D41" s="869" t="s">
        <v>192</v>
      </c>
      <c r="E41" s="869" t="s">
        <v>193</v>
      </c>
      <c r="F41" s="878">
        <f>IF(F3=0,0,Pile!M466)</f>
        <v>4</v>
      </c>
      <c r="G41" s="878">
        <f>IF(G3=0,0,Pile!Z466)</f>
        <v>4</v>
      </c>
      <c r="H41" s="878">
        <f>IF(H3=0,0,Pile!AM466)</f>
        <v>4</v>
      </c>
      <c r="I41" s="878">
        <f>IF(I3=0,0,Pile!AZ466)</f>
        <v>4</v>
      </c>
      <c r="J41" s="878">
        <f>IF(J3=0,0,Pile!BM466)</f>
        <v>4</v>
      </c>
      <c r="K41" s="878">
        <f>IF(K3=0,0,Pile!BZ466)</f>
        <v>4</v>
      </c>
      <c r="L41" s="878">
        <f>IF(L3=0,0,Pile!CM466)</f>
        <v>4</v>
      </c>
      <c r="M41" s="878">
        <f>IF(M3=0,0,Pile!CZ466)</f>
        <v>4</v>
      </c>
      <c r="N41" s="878">
        <f>IF(N3=0,0,Pile!DM466)</f>
        <v>4</v>
      </c>
      <c r="O41" s="878">
        <f>IF(O3=0,0,Pile!DZ466)</f>
        <v>4</v>
      </c>
      <c r="P41" s="878">
        <f>IF(P3=0,0,Pile!EM466)</f>
        <v>4</v>
      </c>
      <c r="Q41" s="857"/>
    </row>
    <row r="42" spans="1:17">
      <c r="A42" s="237"/>
      <c r="B42" s="237"/>
      <c r="C42" s="241" t="s">
        <v>132</v>
      </c>
      <c r="D42" s="237" t="s">
        <v>38</v>
      </c>
      <c r="E42" s="237" t="s">
        <v>186</v>
      </c>
      <c r="F42" s="868">
        <f t="shared" ref="F42:P42" si="3">IF(F3=0,0,110)</f>
        <v>110</v>
      </c>
      <c r="G42" s="868">
        <f t="shared" si="3"/>
        <v>110</v>
      </c>
      <c r="H42" s="868">
        <f t="shared" si="3"/>
        <v>110</v>
      </c>
      <c r="I42" s="868">
        <f t="shared" si="3"/>
        <v>110</v>
      </c>
      <c r="J42" s="868">
        <f t="shared" si="3"/>
        <v>110</v>
      </c>
      <c r="K42" s="868">
        <f t="shared" si="3"/>
        <v>110</v>
      </c>
      <c r="L42" s="868">
        <f t="shared" si="3"/>
        <v>110</v>
      </c>
      <c r="M42" s="868">
        <f t="shared" si="3"/>
        <v>110</v>
      </c>
      <c r="N42" s="868">
        <f t="shared" si="3"/>
        <v>110</v>
      </c>
      <c r="O42" s="868">
        <f t="shared" si="3"/>
        <v>110</v>
      </c>
      <c r="P42" s="868">
        <f t="shared" si="3"/>
        <v>110</v>
      </c>
      <c r="Q42" s="857"/>
    </row>
    <row r="43" spans="1:17">
      <c r="A43" s="237"/>
      <c r="B43" s="237"/>
      <c r="C43" s="239" t="s">
        <v>183</v>
      </c>
      <c r="D43" s="237" t="s">
        <v>181</v>
      </c>
      <c r="E43" s="237"/>
      <c r="F43" s="868" t="str">
        <f>IF(F3=0,0,"PC"&amp;Pile!L464&amp;"-"&amp;F33)</f>
        <v>PC1-450</v>
      </c>
      <c r="G43" s="868" t="str">
        <f>IF(G3=0,0,"PC"&amp;Pile!Y464&amp;"-"&amp;G33)</f>
        <v>PC1-450</v>
      </c>
      <c r="H43" s="868" t="str">
        <f>IF(H3=0,0,"PC"&amp;Pile!AL464&amp;"-"&amp;H33)</f>
        <v>PC1-450</v>
      </c>
      <c r="I43" s="868" t="str">
        <f>IF(I3=0,0,"PC"&amp;Pile!AY464&amp;"-"&amp;I33)</f>
        <v>PC1-450</v>
      </c>
      <c r="J43" s="868" t="str">
        <f>IF(J3=0,0,"PC"&amp;Pile!BL464&amp;"-"&amp;J33)</f>
        <v>PC1-450</v>
      </c>
      <c r="K43" s="868" t="str">
        <f>IF(K3=0,0,"PC"&amp;Pile!BY464&amp;"-"&amp;K33)</f>
        <v>PC1-450</v>
      </c>
      <c r="L43" s="868" t="str">
        <f>IF(L3=0,0,"PC"&amp;Pile!CL464&amp;"-"&amp;L33)</f>
        <v>PC1-450</v>
      </c>
      <c r="M43" s="868" t="str">
        <f>IF(M3=0,0,"PC"&amp;Pile!CY464&amp;"-"&amp;M33)</f>
        <v>PC1-450</v>
      </c>
      <c r="N43" s="868" t="str">
        <f>IF(N3=0,0,"PC"&amp;Pile!DL464&amp;"-"&amp;N33)</f>
        <v>PC1-450</v>
      </c>
      <c r="O43" s="868" t="str">
        <f>IF(O3=0,0,"PC"&amp;Pile!DY464&amp;"-"&amp;O33)</f>
        <v>PC1-450</v>
      </c>
      <c r="P43" s="868" t="str">
        <f>IF(P3=0,0,"PC"&amp;Pile!EL464&amp;"-"&amp;P33)</f>
        <v>PC1-450</v>
      </c>
      <c r="Q43" s="857"/>
    </row>
    <row r="44" spans="1:17">
      <c r="A44" s="237"/>
      <c r="B44" s="237"/>
      <c r="C44" s="241"/>
      <c r="D44" s="237" t="s">
        <v>169</v>
      </c>
      <c r="E44" s="237" t="s">
        <v>15</v>
      </c>
      <c r="F44" s="879">
        <f>IF(F3=0,0,INDEX(Pile!$C459:$C464,MATCH(F33,Pile!$B459:$B464,0)))</f>
        <v>1</v>
      </c>
      <c r="G44" s="879">
        <f>IF(G3=0,0,INDEX(Pile!$C459:$C464,MATCH(G33,Pile!$B459:$B464,0)))</f>
        <v>1</v>
      </c>
      <c r="H44" s="879">
        <f>IF(H3=0,0,INDEX(Pile!$C459:$C464,MATCH(H33,Pile!$B459:$B464,0)))</f>
        <v>1</v>
      </c>
      <c r="I44" s="879">
        <f>IF(I3=0,0,INDEX(Pile!$C459:$C464,MATCH(I33,Pile!$B459:$B464,0)))</f>
        <v>1</v>
      </c>
      <c r="J44" s="879">
        <f>IF(J3=0,0,INDEX(Pile!$C459:$C464,MATCH(J33,Pile!$B459:$B464,0)))</f>
        <v>1</v>
      </c>
      <c r="K44" s="879">
        <f>IF(K3=0,0,INDEX(Pile!$C459:$C464,MATCH(K33,Pile!$B459:$B464,0)))</f>
        <v>1</v>
      </c>
      <c r="L44" s="879">
        <f>IF(L3=0,0,INDEX(Pile!$C459:$C464,MATCH(L33,Pile!$B459:$B464,0)))</f>
        <v>1</v>
      </c>
      <c r="M44" s="879">
        <f>IF(M3=0,0,INDEX(Pile!$C459:$C464,MATCH(M33,Pile!$B459:$B464,0)))</f>
        <v>1</v>
      </c>
      <c r="N44" s="879">
        <f>IF(N3=0,0,INDEX(Pile!$C459:$C464,MATCH(N33,Pile!$B459:$B464,0)))</f>
        <v>1</v>
      </c>
      <c r="O44" s="879">
        <f>IF(O3=0,0,INDEX(Pile!$C459:$C464,MATCH(O33,Pile!$B459:$B464,0)))</f>
        <v>1</v>
      </c>
      <c r="P44" s="879">
        <f>IF(P3=0,0,INDEX(Pile!$C459:$C464,MATCH(P33,Pile!$B459:$B464,0)))</f>
        <v>1</v>
      </c>
      <c r="Q44" s="857"/>
    </row>
    <row r="45" spans="1:17">
      <c r="A45" s="237"/>
      <c r="B45" s="237"/>
      <c r="C45" s="241"/>
      <c r="D45" s="237" t="s">
        <v>194</v>
      </c>
      <c r="E45" s="237" t="s">
        <v>195</v>
      </c>
      <c r="F45" s="879">
        <f>IF(F3=0,0,Pile!L477)</f>
        <v>0.5625</v>
      </c>
      <c r="G45" s="879">
        <f>IF(G3=0,0,Pile!Y477)</f>
        <v>0.5625</v>
      </c>
      <c r="H45" s="879">
        <f>IF(H3=0,0,Pile!AL477)</f>
        <v>0.5625</v>
      </c>
      <c r="I45" s="879">
        <f>IF(I3=0,0,Pile!AY477)</f>
        <v>0.5625</v>
      </c>
      <c r="J45" s="879">
        <f>IF(J3=0,0,Pile!BL477)</f>
        <v>0.5625</v>
      </c>
      <c r="K45" s="879">
        <f>IF(K3=0,0,Pile!BY477)</f>
        <v>0.5625</v>
      </c>
      <c r="L45" s="879">
        <f>IF(L3=0,0,Pile!CL477)</f>
        <v>0.5625</v>
      </c>
      <c r="M45" s="879">
        <f>IF(M3=0,0,Pile!CY477)</f>
        <v>0.5625</v>
      </c>
      <c r="N45" s="879">
        <f>IF(N3=0,0,Pile!DL477)</f>
        <v>0.5625</v>
      </c>
      <c r="O45" s="879">
        <f>IF(O3=0,0,Pile!DY477)</f>
        <v>0.5625</v>
      </c>
      <c r="P45" s="879">
        <f>IF(P3=0,0,Pile!EL477)</f>
        <v>0.5625</v>
      </c>
      <c r="Q45" s="857"/>
    </row>
    <row r="46" spans="1:17">
      <c r="A46" s="237"/>
      <c r="B46" s="237"/>
      <c r="C46" s="239" t="s">
        <v>187</v>
      </c>
      <c r="D46" s="237" t="s">
        <v>181</v>
      </c>
      <c r="E46" s="237"/>
      <c r="F46" s="868" t="str">
        <f>IF(F3=0,0,"PC"&amp;Pile!L465&amp;"-"&amp;F36)</f>
        <v>PC1-450</v>
      </c>
      <c r="G46" s="868" t="str">
        <f>IF(G3=0,0,"PC"&amp;Pile!Y465&amp;"-"&amp;G36)</f>
        <v>PC1-450</v>
      </c>
      <c r="H46" s="868" t="str">
        <f>IF(H3=0,0,"PC"&amp;Pile!AL465&amp;"-"&amp;H36)</f>
        <v>PC1-450</v>
      </c>
      <c r="I46" s="868" t="str">
        <f>IF(I3=0,0,"PC"&amp;Pile!AY465&amp;"-"&amp;I36)</f>
        <v>PC1-450</v>
      </c>
      <c r="J46" s="868" t="str">
        <f>IF(J3=0,0,"PC"&amp;Pile!BL465&amp;"-"&amp;J36)</f>
        <v>PC1-450</v>
      </c>
      <c r="K46" s="868" t="str">
        <f>IF(K3=0,0,"PC"&amp;Pile!BY465&amp;"-"&amp;K36)</f>
        <v>PC1-450</v>
      </c>
      <c r="L46" s="868" t="str">
        <f>IF(L3=0,0,"PC"&amp;Pile!CL465&amp;"-"&amp;L36)</f>
        <v>PC1-450</v>
      </c>
      <c r="M46" s="868" t="str">
        <f>IF(M3=0,0,"PC"&amp;Pile!CY465&amp;"-"&amp;M36)</f>
        <v>PC1-450</v>
      </c>
      <c r="N46" s="868" t="str">
        <f>IF(N3=0,0,"PC"&amp;Pile!DL465&amp;"-"&amp;N36)</f>
        <v>PC1-450</v>
      </c>
      <c r="O46" s="868" t="str">
        <f>IF(O3=0,0,"PC"&amp;Pile!DY465&amp;"-"&amp;O36)</f>
        <v>PC1-450</v>
      </c>
      <c r="P46" s="868" t="str">
        <f>IF(P3=0,0,"PC"&amp;Pile!EL465&amp;"-"&amp;P36)</f>
        <v>PC1-450</v>
      </c>
      <c r="Q46" s="857"/>
    </row>
    <row r="47" spans="1:17">
      <c r="A47" s="237"/>
      <c r="B47" s="237"/>
      <c r="C47" s="239"/>
      <c r="D47" s="237" t="s">
        <v>169</v>
      </c>
      <c r="E47" s="237" t="s">
        <v>15</v>
      </c>
      <c r="F47" s="879">
        <f>IF(F3=0,0,INDEX(Pile!$C459:$C464,MATCH(F36,Pile!$B459:$B464,0)))</f>
        <v>1</v>
      </c>
      <c r="G47" s="879">
        <f>IF(G3=0,0,INDEX(Pile!$C459:$C464,MATCH(G36,Pile!$B459:$B464,0)))</f>
        <v>1</v>
      </c>
      <c r="H47" s="879">
        <f>IF(H3=0,0,INDEX(Pile!$C459:$C464,MATCH(H36,Pile!$B459:$B464,0)))</f>
        <v>1</v>
      </c>
      <c r="I47" s="879">
        <f>IF(I3=0,0,INDEX(Pile!$C459:$C464,MATCH(I36,Pile!$B459:$B464,0)))</f>
        <v>1</v>
      </c>
      <c r="J47" s="879">
        <f>IF(J3=0,0,INDEX(Pile!$C459:$C464,MATCH(J36,Pile!$B459:$B464,0)))</f>
        <v>1</v>
      </c>
      <c r="K47" s="879">
        <f>IF(K3=0,0,INDEX(Pile!$C459:$C464,MATCH(K36,Pile!$B459:$B464,0)))</f>
        <v>1</v>
      </c>
      <c r="L47" s="879">
        <f>IF(L3=0,0,INDEX(Pile!$C459:$C464,MATCH(L36,Pile!$B459:$B464,0)))</f>
        <v>1</v>
      </c>
      <c r="M47" s="879">
        <f>IF(M3=0,0,INDEX(Pile!$C459:$C464,MATCH(M36,Pile!$B459:$B464,0)))</f>
        <v>1</v>
      </c>
      <c r="N47" s="879">
        <f>IF(N3=0,0,INDEX(Pile!$C459:$C464,MATCH(N36,Pile!$B459:$B464,0)))</f>
        <v>1</v>
      </c>
      <c r="O47" s="879">
        <f>IF(O3=0,0,INDEX(Pile!$C459:$C464,MATCH(O36,Pile!$B459:$B464,0)))</f>
        <v>1</v>
      </c>
      <c r="P47" s="879">
        <f>IF(P3=0,0,INDEX(Pile!$C459:$C464,MATCH(P36,Pile!$B459:$B464,0)))</f>
        <v>1</v>
      </c>
      <c r="Q47" s="857"/>
    </row>
    <row r="48" spans="1:17">
      <c r="A48" s="237"/>
      <c r="B48" s="237"/>
      <c r="C48" s="239"/>
      <c r="D48" s="237" t="s">
        <v>194</v>
      </c>
      <c r="E48" s="237" t="s">
        <v>195</v>
      </c>
      <c r="F48" s="879">
        <f>IF(F3=0,0,Pile!L478)</f>
        <v>0.5625</v>
      </c>
      <c r="G48" s="879">
        <f>IF(G3=0,0,Pile!Y478)</f>
        <v>0.5625</v>
      </c>
      <c r="H48" s="879">
        <f>IF(H3=0,0,Pile!AL478)</f>
        <v>0.5625</v>
      </c>
      <c r="I48" s="879">
        <f>IF(I3=0,0,Pile!AY478)</f>
        <v>0.5625</v>
      </c>
      <c r="J48" s="879">
        <f>IF(J3=0,0,Pile!BL478)</f>
        <v>0.5625</v>
      </c>
      <c r="K48" s="879">
        <f>IF(K3=0,0,Pile!BY478)</f>
        <v>0.5625</v>
      </c>
      <c r="L48" s="879">
        <f>IF(L3=0,0,Pile!CL478)</f>
        <v>0.5625</v>
      </c>
      <c r="M48" s="879">
        <f>IF(M3=0,0,Pile!CY478)</f>
        <v>0.5625</v>
      </c>
      <c r="N48" s="879">
        <f>IF(N3=0,0,Pile!DL478)</f>
        <v>0.5625</v>
      </c>
      <c r="O48" s="879">
        <f>IF(O3=0,0,Pile!DY478)</f>
        <v>0.5625</v>
      </c>
      <c r="P48" s="879">
        <f>IF(P3=0,0,Pile!EL478)</f>
        <v>0.5625</v>
      </c>
      <c r="Q48" s="857"/>
    </row>
    <row r="49" spans="1:17">
      <c r="A49" s="237"/>
      <c r="B49" s="237"/>
      <c r="C49" s="239" t="s">
        <v>188</v>
      </c>
      <c r="D49" s="237" t="s">
        <v>181</v>
      </c>
      <c r="E49" s="237"/>
      <c r="F49" s="868" t="str">
        <f>IF(F3=0,0,"PC"&amp;Pile!L466&amp;"-"&amp;F39)</f>
        <v>PC1-450</v>
      </c>
      <c r="G49" s="868" t="str">
        <f>IF(G3=0,0,"PC"&amp;Pile!Y466&amp;"-"&amp;G39)</f>
        <v>PC1-450</v>
      </c>
      <c r="H49" s="868" t="str">
        <f>IF(H3=0,0,"PC"&amp;Pile!AL466&amp;"-"&amp;H39)</f>
        <v>PC1-450</v>
      </c>
      <c r="I49" s="868" t="str">
        <f>IF(I3=0,0,"PC"&amp;Pile!AY466&amp;"-"&amp;I39)</f>
        <v>PC1-450</v>
      </c>
      <c r="J49" s="868" t="str">
        <f>IF(J3=0,0,"PC"&amp;Pile!BL466&amp;"-"&amp;J39)</f>
        <v>PC1-450</v>
      </c>
      <c r="K49" s="868" t="str">
        <f>IF(K3=0,0,"PC"&amp;Pile!BY466&amp;"-"&amp;K39)</f>
        <v>PC1-450</v>
      </c>
      <c r="L49" s="868" t="str">
        <f>IF(L3=0,0,"PC"&amp;Pile!CL466&amp;"-"&amp;L39)</f>
        <v>PC1-450</v>
      </c>
      <c r="M49" s="868" t="str">
        <f>IF(M3=0,0,"PC"&amp;Pile!CY466&amp;"-"&amp;M39)</f>
        <v>PC1-450</v>
      </c>
      <c r="N49" s="868" t="str">
        <f>IF(N3=0,0,"PC"&amp;Pile!DL466&amp;"-"&amp;N39)</f>
        <v>PC1-450</v>
      </c>
      <c r="O49" s="868" t="str">
        <f>IF(O3=0,0,"PC"&amp;Pile!DY466&amp;"-"&amp;O39)</f>
        <v>PC1-450</v>
      </c>
      <c r="P49" s="868" t="str">
        <f>IF(P3=0,0,"PC"&amp;Pile!EL466&amp;"-"&amp;P39)</f>
        <v>PC1-450</v>
      </c>
      <c r="Q49" s="857"/>
    </row>
    <row r="50" spans="1:17">
      <c r="A50" s="237"/>
      <c r="B50" s="237"/>
      <c r="C50" s="239"/>
      <c r="D50" s="237" t="s">
        <v>169</v>
      </c>
      <c r="E50" s="237" t="s">
        <v>15</v>
      </c>
      <c r="F50" s="879">
        <f>IF(F3=0,0,INDEX(Pile!$C459:$C464,MATCH(F36,Pile!$B459:$B464,0)))</f>
        <v>1</v>
      </c>
      <c r="G50" s="879">
        <f>IF(G3=0,0,INDEX(Pile!$C459:$C464,MATCH(G36,Pile!$B459:$B464,0)))</f>
        <v>1</v>
      </c>
      <c r="H50" s="879">
        <f>IF(H3=0,0,INDEX(Pile!$C459:$C464,MATCH(H36,Pile!$B459:$B464,0)))</f>
        <v>1</v>
      </c>
      <c r="I50" s="879">
        <f>IF(I3=0,0,INDEX(Pile!$C459:$C464,MATCH(I36,Pile!$B459:$B464,0)))</f>
        <v>1</v>
      </c>
      <c r="J50" s="879">
        <f>IF(J3=0,0,INDEX(Pile!$C459:$C464,MATCH(J36,Pile!$B459:$B464,0)))</f>
        <v>1</v>
      </c>
      <c r="K50" s="879">
        <f>IF(K3=0,0,INDEX(Pile!$C459:$C464,MATCH(K36,Pile!$B459:$B464,0)))</f>
        <v>1</v>
      </c>
      <c r="L50" s="879">
        <f>IF(L3=0,0,INDEX(Pile!$C459:$C464,MATCH(L36,Pile!$B459:$B464,0)))</f>
        <v>1</v>
      </c>
      <c r="M50" s="879">
        <f>IF(M3=0,0,INDEX(Pile!$C459:$C464,MATCH(M36,Pile!$B459:$B464,0)))</f>
        <v>1</v>
      </c>
      <c r="N50" s="879">
        <f>IF(N3=0,0,INDEX(Pile!$C459:$C464,MATCH(N36,Pile!$B459:$B464,0)))</f>
        <v>1</v>
      </c>
      <c r="O50" s="879">
        <f>IF(O3=0,0,INDEX(Pile!$C459:$C464,MATCH(O36,Pile!$B459:$B464,0)))</f>
        <v>1</v>
      </c>
      <c r="P50" s="879">
        <f>IF(P3=0,0,INDEX(Pile!$C459:$C464,MATCH(P36,Pile!$B459:$B464,0)))</f>
        <v>1</v>
      </c>
      <c r="Q50" s="857"/>
    </row>
    <row r="51" spans="1:17">
      <c r="A51" s="237"/>
      <c r="B51" s="237"/>
      <c r="C51" s="238"/>
      <c r="D51" s="869" t="s">
        <v>194</v>
      </c>
      <c r="E51" s="869" t="s">
        <v>195</v>
      </c>
      <c r="F51" s="874">
        <f>IF(F3=0,0,Pile!L479)</f>
        <v>0.5625</v>
      </c>
      <c r="G51" s="874">
        <f>IF(G3=0,0,Pile!Y479)</f>
        <v>0.5625</v>
      </c>
      <c r="H51" s="874">
        <f>IF(H3=0,0,Pile!AL479)</f>
        <v>0.5625</v>
      </c>
      <c r="I51" s="874">
        <f>IF(I3=0,0,Pile!AY479)</f>
        <v>0.5625</v>
      </c>
      <c r="J51" s="874">
        <f>IF(J3=0,0,Pile!BL479)</f>
        <v>0.5625</v>
      </c>
      <c r="K51" s="874">
        <f>IF(K3=0,0,Pile!BY479)</f>
        <v>0.5625</v>
      </c>
      <c r="L51" s="874">
        <f>IF(L3=0,0,Pile!CL479)</f>
        <v>0.5625</v>
      </c>
      <c r="M51" s="874">
        <f>IF(M3=0,0,Pile!CY479)</f>
        <v>0.5625</v>
      </c>
      <c r="N51" s="874">
        <f>IF(N3=0,0,Pile!DL479)</f>
        <v>0.5625</v>
      </c>
      <c r="O51" s="874">
        <f>IF(O3=0,0,Pile!DY479)</f>
        <v>0.5625</v>
      </c>
      <c r="P51" s="874">
        <f>IF(P3=0,0,Pile!EL479)</f>
        <v>0.5625</v>
      </c>
      <c r="Q51" s="857"/>
    </row>
    <row r="52" spans="1:17">
      <c r="A52" s="237"/>
      <c r="B52" s="237"/>
      <c r="C52" s="241" t="s">
        <v>134</v>
      </c>
      <c r="D52" s="237" t="s">
        <v>169</v>
      </c>
      <c r="E52" s="237" t="s">
        <v>15</v>
      </c>
      <c r="F52" s="868" t="str">
        <f>IF(F3=0,0,IF(Summary!$J$13="Yes",Basement!$C27,"0"))</f>
        <v>0</v>
      </c>
      <c r="G52" s="868" t="str">
        <f>IF(G3=0,0,IF(Summary!$J$13="Yes",Basement!$C27,"0"))</f>
        <v>0</v>
      </c>
      <c r="H52" s="868" t="str">
        <f>IF(H3=0,0,IF(Summary!$J$13="Yes",Basement!$C27,"0"))</f>
        <v>0</v>
      </c>
      <c r="I52" s="868" t="str">
        <f>IF(I3=0,0,IF(Summary!$J$13="Yes",Basement!$C27,"0"))</f>
        <v>0</v>
      </c>
      <c r="J52" s="868" t="str">
        <f>IF(J3=0,0,IF(Summary!$J$13="Yes",Basement!$C27,"0"))</f>
        <v>0</v>
      </c>
      <c r="K52" s="868" t="str">
        <f>IF(K3=0,0,IF(Summary!$J$13="Yes",Basement!$C27,"0"))</f>
        <v>0</v>
      </c>
      <c r="L52" s="868" t="str">
        <f>IF(L3=0,0,IF(Summary!$J$13="Yes",Basement!$C27,"0"))</f>
        <v>0</v>
      </c>
      <c r="M52" s="868" t="str">
        <f>IF(M3=0,0,IF(Summary!$J$13="Yes",Basement!$C27,"0"))</f>
        <v>0</v>
      </c>
      <c r="N52" s="868" t="str">
        <f>IF(N3=0,0,IF(Summary!$J$13="Yes",Basement!$C27,"0"))</f>
        <v>0</v>
      </c>
      <c r="O52" s="868" t="str">
        <f>IF(O3=0,0,IF(Summary!$J$13="Yes",Basement!$C27,"0"))</f>
        <v>0</v>
      </c>
      <c r="P52" s="868" t="str">
        <f>IF(P3=0,0,IF(Summary!$J$13="Yes",Basement!$C27,"0"))</f>
        <v>0</v>
      </c>
      <c r="Q52" s="857"/>
    </row>
    <row r="53" spans="1:17">
      <c r="A53" s="237"/>
      <c r="B53" s="237"/>
      <c r="C53" s="244"/>
      <c r="D53" s="869" t="s">
        <v>38</v>
      </c>
      <c r="E53" s="869" t="s">
        <v>186</v>
      </c>
      <c r="F53" s="874" t="str">
        <f>IF(F3=0,0,IF(Summary!$J$13="Yes",Basement!$C30,"0"))</f>
        <v>0</v>
      </c>
      <c r="G53" s="874" t="str">
        <f>IF(G3=0,0,IF(Summary!$J$13="Yes",Basement!$C30,"0"))</f>
        <v>0</v>
      </c>
      <c r="H53" s="874" t="str">
        <f>IF(H3=0,0,IF(Summary!$J$13="Yes",Basement!$C30,"0"))</f>
        <v>0</v>
      </c>
      <c r="I53" s="874" t="str">
        <f>IF(I3=0,0,IF(Summary!$J$13="Yes",Basement!$C30,"0"))</f>
        <v>0</v>
      </c>
      <c r="J53" s="874" t="str">
        <f>IF(J3=0,0,IF(Summary!$J$13="Yes",Basement!$C30,"0"))</f>
        <v>0</v>
      </c>
      <c r="K53" s="874" t="str">
        <f>IF(K3=0,0,IF(Summary!$J$13="Yes",Basement!$C30,"0"))</f>
        <v>0</v>
      </c>
      <c r="L53" s="874" t="str">
        <f>IF(L3=0,0,IF(Summary!$J$13="Yes",Basement!$C30,"0"))</f>
        <v>0</v>
      </c>
      <c r="M53" s="874" t="str">
        <f>IF(M3=0,0,IF(Summary!$J$13="Yes",Basement!$C30,"0"))</f>
        <v>0</v>
      </c>
      <c r="N53" s="874" t="str">
        <f>IF(N3=0,0,IF(Summary!$J$13="Yes",Basement!$C30,"0"))</f>
        <v>0</v>
      </c>
      <c r="O53" s="874" t="str">
        <f>IF(O3=0,0,IF(Summary!$J$13="Yes",Basement!$C30,"0"))</f>
        <v>0</v>
      </c>
      <c r="P53" s="874" t="str">
        <f>IF(P3=0,0,IF(Summary!$J$13="Yes",Basement!$C30,"0"))</f>
        <v>0</v>
      </c>
      <c r="Q53" s="857"/>
    </row>
    <row r="54" spans="1:17">
      <c r="A54" s="237"/>
      <c r="B54" s="237"/>
      <c r="C54" s="1313" t="s">
        <v>135</v>
      </c>
      <c r="D54" s="237" t="s">
        <v>189</v>
      </c>
      <c r="E54" s="237" t="s">
        <v>15</v>
      </c>
      <c r="F54" s="868" t="str">
        <f>IF(F3=0,0,IF(Summary!$J$13="Yes",Basement!$D62,"0"))</f>
        <v>0</v>
      </c>
      <c r="G54" s="868" t="str">
        <f>IF(G3=0,0,IF(Summary!$J$13="Yes",Basement!$D62,"0"))</f>
        <v>0</v>
      </c>
      <c r="H54" s="868" t="str">
        <f>IF(H3=0,0,IF(Summary!$J$13="Yes",Basement!$D62,"0"))</f>
        <v>0</v>
      </c>
      <c r="I54" s="868" t="str">
        <f>IF(I3=0,0,IF(Summary!$J$13="Yes",Basement!$D62,"0"))</f>
        <v>0</v>
      </c>
      <c r="J54" s="868" t="str">
        <f>IF(J3=0,0,IF(Summary!$J$13="Yes",Basement!$D62,"0"))</f>
        <v>0</v>
      </c>
      <c r="K54" s="868" t="str">
        <f>IF(K3=0,0,IF(Summary!$J$13="Yes",Basement!$D62,"0"))</f>
        <v>0</v>
      </c>
      <c r="L54" s="868" t="str">
        <f>IF(L3=0,0,IF(Summary!$J$13="Yes",Basement!$D62,"0"))</f>
        <v>0</v>
      </c>
      <c r="M54" s="868" t="str">
        <f>IF(M3=0,0,IF(Summary!$J$13="Yes",Basement!$D62,"0"))</f>
        <v>0</v>
      </c>
      <c r="N54" s="868" t="str">
        <f>IF(N3=0,0,IF(Summary!$J$13="Yes",Basement!$D62,"0"))</f>
        <v>0</v>
      </c>
      <c r="O54" s="868" t="str">
        <f>IF(O3=0,0,IF(Summary!$J$13="Yes",Basement!$D62,"0"))</f>
        <v>0</v>
      </c>
      <c r="P54" s="868" t="str">
        <f>IF(P3=0,0,IF(Summary!$J$13="Yes",Basement!$D62,"0"))</f>
        <v>0</v>
      </c>
      <c r="Q54" s="857"/>
    </row>
    <row r="55" spans="1:17">
      <c r="A55" s="237"/>
      <c r="B55" s="237"/>
      <c r="C55" s="1314"/>
      <c r="D55" s="869" t="s">
        <v>38</v>
      </c>
      <c r="E55" s="869" t="s">
        <v>171</v>
      </c>
      <c r="F55" s="874" t="str">
        <f>IF(F3=0,0,IF(Summary!$J$13="Yes",Basement!$K78,"0"))</f>
        <v>0</v>
      </c>
      <c r="G55" s="874" t="str">
        <f>IF(G3=0,0,IF(Summary!$J$13="Yes",Basement!$K78,"0"))</f>
        <v>0</v>
      </c>
      <c r="H55" s="874" t="str">
        <f>IF(H3=0,0,IF(Summary!$J$13="Yes",Basement!$K78,"0"))</f>
        <v>0</v>
      </c>
      <c r="I55" s="874" t="str">
        <f>IF(I3=0,0,IF(Summary!$J$13="Yes",Basement!$K78,"0"))</f>
        <v>0</v>
      </c>
      <c r="J55" s="874" t="str">
        <f>IF(J3=0,0,IF(Summary!$J$13="Yes",Basement!$K78,"0"))</f>
        <v>0</v>
      </c>
      <c r="K55" s="874" t="str">
        <f>IF(K3=0,0,IF(Summary!$J$13="Yes",Basement!$K78,"0"))</f>
        <v>0</v>
      </c>
      <c r="L55" s="874" t="str">
        <f>IF(L3=0,0,IF(Summary!$J$13="Yes",Basement!$K78,"0"))</f>
        <v>0</v>
      </c>
      <c r="M55" s="874" t="str">
        <f>IF(M3=0,0,IF(Summary!$J$13="Yes",Basement!$K78,"0"))</f>
        <v>0</v>
      </c>
      <c r="N55" s="874" t="str">
        <f>IF(N3=0,0,IF(Summary!$J$13="Yes",Basement!$K78,"0"))</f>
        <v>0</v>
      </c>
      <c r="O55" s="874" t="str">
        <f>IF(O3=0,0,IF(Summary!$J$13="Yes",Basement!$K78,"0"))</f>
        <v>0</v>
      </c>
      <c r="P55" s="874" t="str">
        <f>IF(P3=0,0,IF(Summary!$J$13="Yes",Basement!$K78,"0"))</f>
        <v>0</v>
      </c>
      <c r="Q55" s="857"/>
    </row>
    <row r="56" spans="1:17">
      <c r="A56" s="237"/>
      <c r="B56" s="237"/>
      <c r="C56" s="241" t="s">
        <v>136</v>
      </c>
      <c r="D56" s="237" t="s">
        <v>181</v>
      </c>
      <c r="E56" s="237"/>
      <c r="F56" s="868" t="str">
        <f>IF(F3=0,0,IF(Summary!$J$13="Yes","RC","0"))</f>
        <v>0</v>
      </c>
      <c r="G56" s="868" t="str">
        <f>IF(G3=0,0,IF(Summary!$J$13="Yes","RC","0"))</f>
        <v>0</v>
      </c>
      <c r="H56" s="868" t="str">
        <f>IF(H3=0,0,IF(Summary!$J$13="Yes","RC","0"))</f>
        <v>0</v>
      </c>
      <c r="I56" s="868" t="str">
        <f>IF(I3=0,0,IF(Summary!$J$13="Yes","RC","0"))</f>
        <v>0</v>
      </c>
      <c r="J56" s="868" t="str">
        <f>IF(J3=0,0,IF(Summary!$J$13="Yes","RC","0"))</f>
        <v>0</v>
      </c>
      <c r="K56" s="868" t="str">
        <f>IF(K3=0,0,IF(Summary!$J$13="Yes","RC","0"))</f>
        <v>0</v>
      </c>
      <c r="L56" s="868" t="str">
        <f>IF(L3=0,0,IF(Summary!$J$13="Yes","RC","0"))</f>
        <v>0</v>
      </c>
      <c r="M56" s="868" t="str">
        <f>IF(M3=0,0,IF(Summary!$J$13="Yes","RC","0"))</f>
        <v>0</v>
      </c>
      <c r="N56" s="868" t="str">
        <f>IF(N3=0,0,IF(Summary!$J$13="Yes","RC","0"))</f>
        <v>0</v>
      </c>
      <c r="O56" s="868" t="str">
        <f>IF(O3=0,0,IF(Summary!$J$13="Yes","RC","0"))</f>
        <v>0</v>
      </c>
      <c r="P56" s="868" t="str">
        <f>IF(P3=0,0,IF(Summary!$J$13="Yes","RC","0"))</f>
        <v>0</v>
      </c>
      <c r="Q56" s="857"/>
    </row>
    <row r="57" spans="1:17">
      <c r="A57" s="237"/>
      <c r="B57" s="237"/>
      <c r="C57" s="239" t="s">
        <v>183</v>
      </c>
      <c r="D57" s="237" t="s">
        <v>184</v>
      </c>
      <c r="E57" s="237" t="s">
        <v>185</v>
      </c>
      <c r="F57" s="868" t="str">
        <f>IF(F3=0,0,Basement!$H$97&amp;" x "&amp;Basement!$H$97)</f>
        <v>250 x 250</v>
      </c>
      <c r="G57" s="868" t="str">
        <f>IF(G3=0,0,Basement!$H$98&amp;" x "&amp;Basement!$H$98)</f>
        <v>250 x 250</v>
      </c>
      <c r="H57" s="868" t="str">
        <f>IF(H3=0,0,Basement!$H$99&amp;" x "&amp;Basement!$H$99)</f>
        <v>250 x 250</v>
      </c>
      <c r="I57" s="868" t="str">
        <f>IF(I3=0,0,Basement!$H$100&amp;" x "&amp;Basement!$H$100)</f>
        <v>250 x 250</v>
      </c>
      <c r="J57" s="868" t="str">
        <f>IF(J3=0,0,Basement!$H$101&amp;" x "&amp;Basement!$H$101)</f>
        <v>250 x 250</v>
      </c>
      <c r="K57" s="868" t="str">
        <f>IF(K3=0,0,Basement!$H$102&amp;" x "&amp;Basement!$H$102)</f>
        <v>250 x 250</v>
      </c>
      <c r="L57" s="868" t="str">
        <f>IF(L3=0,0,Basement!$H$103&amp;" x "&amp;Basement!$H$103)</f>
        <v>250 x 250</v>
      </c>
      <c r="M57" s="868" t="str">
        <f>IF(M3=0,0,Basement!$H$104&amp;" x "&amp;Basement!$H$104)</f>
        <v>250 x 250</v>
      </c>
      <c r="N57" s="868" t="str">
        <f>IF(N3=0,0,Basement!$H$105&amp;" x "&amp;Basement!$H$105)</f>
        <v>250 x 250</v>
      </c>
      <c r="O57" s="868" t="str">
        <f>IF(O3=0,0,Basement!$H$106&amp;" x "&amp;Basement!$H$106)</f>
        <v>250 x 250</v>
      </c>
      <c r="P57" s="868" t="str">
        <f>IF(P3=0,0,Basement!$H$107&amp;" x "&amp;Basement!$H$107)</f>
        <v>250 x 250</v>
      </c>
      <c r="Q57" s="857"/>
    </row>
    <row r="58" spans="1:17">
      <c r="A58" s="237"/>
      <c r="B58" s="237"/>
      <c r="C58" s="239"/>
      <c r="D58" s="237" t="s">
        <v>38</v>
      </c>
      <c r="E58" s="237" t="s">
        <v>186</v>
      </c>
      <c r="F58" s="868">
        <f>IF(F3=0,0,'RC Column'!$C$21*7850)</f>
        <v>314</v>
      </c>
      <c r="G58" s="868">
        <f>IF(G3=0,0,'RC Column'!$C$21*7850)</f>
        <v>314</v>
      </c>
      <c r="H58" s="868">
        <f>IF(H3=0,0,'RC Column'!$C$21*7850)</f>
        <v>314</v>
      </c>
      <c r="I58" s="868">
        <f>IF(I3=0,0,'RC Column'!$C$21*7850)</f>
        <v>314</v>
      </c>
      <c r="J58" s="868">
        <f>IF(J3=0,0,'RC Column'!$C$21*7850)</f>
        <v>314</v>
      </c>
      <c r="K58" s="868">
        <f>IF(K3=0,0,'RC Column'!$C$21*7850)</f>
        <v>314</v>
      </c>
      <c r="L58" s="868">
        <f>IF(L3=0,0,'RC Column'!$C$21*7850)</f>
        <v>314</v>
      </c>
      <c r="M58" s="868">
        <f>IF(M3=0,0,'RC Column'!$C$21*7850)</f>
        <v>314</v>
      </c>
      <c r="N58" s="868">
        <f>IF(N3=0,0,'RC Column'!$C$21*7850)</f>
        <v>314</v>
      </c>
      <c r="O58" s="868">
        <f>IF(O3=0,0,'RC Column'!$C$21*7850)</f>
        <v>314</v>
      </c>
      <c r="P58" s="868">
        <f>IF(P3=0,0,'RC Column'!$C$21*7850)</f>
        <v>314</v>
      </c>
      <c r="Q58" s="857"/>
    </row>
    <row r="59" spans="1:17">
      <c r="A59" s="237"/>
      <c r="B59" s="237"/>
      <c r="C59" s="239" t="s">
        <v>187</v>
      </c>
      <c r="D59" s="237" t="s">
        <v>184</v>
      </c>
      <c r="E59" s="237" t="s">
        <v>185</v>
      </c>
      <c r="F59" s="868" t="str">
        <f>IF(F3=0,0,Basement!$H$110&amp;" x "&amp;Basement!$H$110)</f>
        <v>250 x 250</v>
      </c>
      <c r="G59" s="868" t="str">
        <f>IF(G3=0,0,Basement!$H$111&amp;" x "&amp;Basement!$H$111)</f>
        <v>250 x 250</v>
      </c>
      <c r="H59" s="868" t="str">
        <f>IF(H3=0,0,Basement!$H$112&amp;" x "&amp;Basement!$H$112)</f>
        <v>250 x 250</v>
      </c>
      <c r="I59" s="868" t="str">
        <f>IF(I3=0,0,Basement!$H$113&amp;" x "&amp;Basement!$H$113)</f>
        <v>250 x 250</v>
      </c>
      <c r="J59" s="868" t="str">
        <f>IF(J3=0,0,Basement!$H$114&amp;" x "&amp;Basement!$H$114)</f>
        <v>250 x 250</v>
      </c>
      <c r="K59" s="868" t="str">
        <f>IF(K3=0,0,Basement!$H$115&amp;" x "&amp;Basement!$H$115)</f>
        <v>250 x 250</v>
      </c>
      <c r="L59" s="868" t="str">
        <f>IF(L3=0,0,Basement!$H$116&amp;" x "&amp;Basement!$H$116)</f>
        <v>250 x 250</v>
      </c>
      <c r="M59" s="868" t="str">
        <f>IF(M3=0,0,Basement!$H$117&amp;" x "&amp;Basement!$H$117)</f>
        <v>250 x 250</v>
      </c>
      <c r="N59" s="868" t="str">
        <f>IF(N3=0,0,Basement!$H$118&amp;" x "&amp;Basement!$H$118)</f>
        <v>250 x 250</v>
      </c>
      <c r="O59" s="868" t="str">
        <f>IF(O3=0,0,Basement!$H$119&amp;" x "&amp;Basement!$H$119)</f>
        <v>250 x 250</v>
      </c>
      <c r="P59" s="868" t="str">
        <f>IF(P3=0,0,Basement!$H$120&amp;" x "&amp;Basement!$H$120)</f>
        <v>250 x 250</v>
      </c>
      <c r="Q59" s="857"/>
    </row>
    <row r="60" spans="1:17">
      <c r="A60" s="237"/>
      <c r="B60" s="237"/>
      <c r="C60" s="239"/>
      <c r="D60" s="237" t="s">
        <v>38</v>
      </c>
      <c r="E60" s="237" t="s">
        <v>186</v>
      </c>
      <c r="F60" s="868">
        <f>IF(F3=0,0,'RC Column'!$C$21*7850)</f>
        <v>314</v>
      </c>
      <c r="G60" s="868">
        <f>IF(G3=0,0,'RC Column'!$C$21*7850)</f>
        <v>314</v>
      </c>
      <c r="H60" s="868">
        <f>IF(H3=0,0,'RC Column'!$C$21*7850)</f>
        <v>314</v>
      </c>
      <c r="I60" s="868">
        <f>IF(I3=0,0,'RC Column'!$C$21*7850)</f>
        <v>314</v>
      </c>
      <c r="J60" s="868">
        <f>IF(J3=0,0,'RC Column'!$C$21*7850)</f>
        <v>314</v>
      </c>
      <c r="K60" s="868">
        <f>IF(K3=0,0,'RC Column'!$C$21*7850)</f>
        <v>314</v>
      </c>
      <c r="L60" s="868">
        <f>IF(L3=0,0,'RC Column'!$C$21*7850)</f>
        <v>314</v>
      </c>
      <c r="M60" s="868">
        <f>IF(M3=0,0,'RC Column'!$C$21*7850)</f>
        <v>314</v>
      </c>
      <c r="N60" s="868">
        <f>IF(N3=0,0,'RC Column'!$C$21*7850)</f>
        <v>314</v>
      </c>
      <c r="O60" s="868">
        <f>IF(O3=0,0,'RC Column'!$C$21*7850)</f>
        <v>314</v>
      </c>
      <c r="P60" s="868">
        <f>IF(P3=0,0,'RC Column'!$C$21*7850)</f>
        <v>314</v>
      </c>
      <c r="Q60" s="857"/>
    </row>
    <row r="61" spans="1:17">
      <c r="A61" s="237"/>
      <c r="B61" s="237"/>
      <c r="C61" s="239" t="s">
        <v>188</v>
      </c>
      <c r="D61" s="237" t="s">
        <v>184</v>
      </c>
      <c r="E61" s="237" t="s">
        <v>185</v>
      </c>
      <c r="F61" s="868" t="str">
        <f>IF(F3=0,0,Basement!$H$123&amp;" x "&amp;Basement!$H$123)</f>
        <v>250 x 250</v>
      </c>
      <c r="G61" s="868" t="str">
        <f>IF(G3=0,0,Basement!$H$124&amp;" x "&amp;Basement!$H$124)</f>
        <v>250 x 250</v>
      </c>
      <c r="H61" s="868" t="str">
        <f>IF(H3=0,0,Basement!$H$125&amp;" x "&amp;Basement!$H$125)</f>
        <v>250 x 250</v>
      </c>
      <c r="I61" s="868" t="str">
        <f>IF(I3=0,0,Basement!$H$126&amp;" x "&amp;Basement!$H$126)</f>
        <v>250 x 250</v>
      </c>
      <c r="J61" s="868" t="str">
        <f>IF(J3=0,0,Basement!$H$127&amp;" x "&amp;Basement!$H$127)</f>
        <v>250 x 250</v>
      </c>
      <c r="K61" s="868" t="str">
        <f>IF(K3=0,0,Basement!$H$128&amp;" x "&amp;Basement!$H$128)</f>
        <v>250 x 250</v>
      </c>
      <c r="L61" s="868" t="str">
        <f>IF(L3=0,0,Basement!$H$129&amp;" x "&amp;Basement!$H$129)</f>
        <v>250 x 250</v>
      </c>
      <c r="M61" s="868" t="str">
        <f>IF(M3=0,0,Basement!$H$130&amp;" x "&amp;Basement!$H$130)</f>
        <v>250 x 250</v>
      </c>
      <c r="N61" s="868" t="str">
        <f>IF(N3=0,0,Basement!$H$131&amp;" x "&amp;Basement!$H$131)</f>
        <v>250 x 250</v>
      </c>
      <c r="O61" s="868" t="str">
        <f>IF(O3=0,0,Basement!$H$132&amp;" x "&amp;Basement!$H$132)</f>
        <v>250 x 250</v>
      </c>
      <c r="P61" s="868" t="str">
        <f>IF(P3=0,0,Basement!$H$133&amp;" x "&amp;Basement!$H$133)</f>
        <v>250 x 250</v>
      </c>
      <c r="Q61" s="857"/>
    </row>
    <row r="62" spans="1:17">
      <c r="A62" s="237"/>
      <c r="B62" s="237"/>
      <c r="C62" s="238"/>
      <c r="D62" s="869" t="s">
        <v>38</v>
      </c>
      <c r="E62" s="869" t="s">
        <v>186</v>
      </c>
      <c r="F62" s="873">
        <f>IF(F3=0,0,'RC Column'!$C$21*7850)</f>
        <v>314</v>
      </c>
      <c r="G62" s="873">
        <f>IF(G3=0,0,'RC Column'!$C$21*7850)</f>
        <v>314</v>
      </c>
      <c r="H62" s="873">
        <f>IF(H3=0,0,'RC Column'!$C$21*7850)</f>
        <v>314</v>
      </c>
      <c r="I62" s="873">
        <f>IF(I3=0,0,'RC Column'!$C$21*7850)</f>
        <v>314</v>
      </c>
      <c r="J62" s="873">
        <f>IF(J3=0,0,'RC Column'!$C$21*7850)</f>
        <v>314</v>
      </c>
      <c r="K62" s="873">
        <f>IF(K3=0,0,'RC Column'!$C$21*7850)</f>
        <v>314</v>
      </c>
      <c r="L62" s="873">
        <f>IF(L3=0,0,'RC Column'!$C$21*7850)</f>
        <v>314</v>
      </c>
      <c r="M62" s="873">
        <f>IF(M3=0,0,'RC Column'!$C$21*7850)</f>
        <v>314</v>
      </c>
      <c r="N62" s="873">
        <f>IF(N3=0,0,'RC Column'!$C$21*7850)</f>
        <v>314</v>
      </c>
      <c r="O62" s="873">
        <f>IF(O3=0,0,'RC Column'!$C$21*7850)</f>
        <v>314</v>
      </c>
      <c r="P62" s="873">
        <f>IF(P3=0,0,'RC Column'!$C$21*7850)</f>
        <v>314</v>
      </c>
      <c r="Q62" s="857"/>
    </row>
    <row r="63" spans="1:17">
      <c r="A63" s="857"/>
      <c r="B63" s="857"/>
      <c r="C63" s="1312" t="s">
        <v>137</v>
      </c>
      <c r="D63" s="237" t="s">
        <v>181</v>
      </c>
      <c r="E63" s="237"/>
      <c r="F63" s="868">
        <f>IF(F3=0,0,IF(Summary!$J$13="No",0,IF(Basement!$N$147="Yes","Contiguous","Secant")))</f>
        <v>0</v>
      </c>
      <c r="G63" s="868">
        <f>IF(G3=0,0,IF(Summary!$J$13="No",0,IF(Basement!$N$147="Yes","Contiguous","Secant")))</f>
        <v>0</v>
      </c>
      <c r="H63" s="868">
        <f>IF(H3=0,0,IF(Summary!$J$13="No",0,IF(Basement!$N$147="Yes","Contiguous","Secant")))</f>
        <v>0</v>
      </c>
      <c r="I63" s="868">
        <f>IF(I3=0,0,IF(Summary!$J$13="No",0,IF(Basement!$N$147="Yes","Contiguous","Secant")))</f>
        <v>0</v>
      </c>
      <c r="J63" s="868">
        <f>IF(J3=0,0,IF(Summary!$J$13="No",0,IF(Basement!$N$147="Yes","Contiguous","Secant")))</f>
        <v>0</v>
      </c>
      <c r="K63" s="868">
        <f>IF(K3=0,0,IF(Summary!$J$13="No",0,IF(Basement!$N$147="Yes","Contiguous","Secant")))</f>
        <v>0</v>
      </c>
      <c r="L63" s="868">
        <f>IF(L3=0,0,IF(Summary!$J$13="No",0,IF(Basement!$N$147="Yes","Contiguous","Secant")))</f>
        <v>0</v>
      </c>
      <c r="M63" s="868">
        <f>IF(M3=0,0,IF(Summary!$J$13="No",0,IF(Basement!$N$147="Yes","Contiguous","Secant")))</f>
        <v>0</v>
      </c>
      <c r="N63" s="868">
        <f>IF(N3=0,0,IF(Summary!$J$13="No",0,IF(Basement!$N$147="Yes","Contiguous","Secant")))</f>
        <v>0</v>
      </c>
      <c r="O63" s="868">
        <f>IF(O3=0,0,IF(Summary!$J$13="No",0,IF(Basement!$N$147="Yes","Contiguous","Secant")))</f>
        <v>0</v>
      </c>
      <c r="P63" s="868">
        <f>IF(P3=0,0,IF(Summary!$J$13="No",0,IF(Basement!$N$147="Yes","Contiguous","Secant")))</f>
        <v>0</v>
      </c>
      <c r="Q63" s="857"/>
    </row>
    <row r="64" spans="1:17">
      <c r="A64" s="857"/>
      <c r="B64" s="857"/>
      <c r="C64" s="1312"/>
      <c r="D64" s="237" t="s">
        <v>190</v>
      </c>
      <c r="E64" s="237" t="s">
        <v>58</v>
      </c>
      <c r="F64" s="868" t="str">
        <f>IF(F3=0,0,IF(Summary!$J$13="Yes",Summary!$J$16,"0"))</f>
        <v>0</v>
      </c>
      <c r="G64" s="868" t="str">
        <f>IF(G3=0,0,IF(Summary!$J$13="Yes",Summary!$J$16,"0"))</f>
        <v>0</v>
      </c>
      <c r="H64" s="868" t="str">
        <f>IF(H3=0,0,IF(Summary!$J$13="Yes",Summary!$J$16,"0"))</f>
        <v>0</v>
      </c>
      <c r="I64" s="868" t="str">
        <f>IF(I3=0,0,IF(Summary!$J$13="Yes",Summary!$J$16,"0"))</f>
        <v>0</v>
      </c>
      <c r="J64" s="868" t="str">
        <f>IF(J3=0,0,IF(Summary!$J$13="Yes",Summary!$J$16,"0"))</f>
        <v>0</v>
      </c>
      <c r="K64" s="868" t="str">
        <f>IF(K3=0,0,IF(Summary!$J$13="Yes",Summary!$J$16,"0"))</f>
        <v>0</v>
      </c>
      <c r="L64" s="868" t="str">
        <f>IF(L3=0,0,IF(Summary!$J$13="Yes",Summary!$J$16,"0"))</f>
        <v>0</v>
      </c>
      <c r="M64" s="868" t="str">
        <f>IF(M3=0,0,IF(Summary!$J$13="Yes",Summary!$J$16,"0"))</f>
        <v>0</v>
      </c>
      <c r="N64" s="868" t="str">
        <f>IF(N3=0,0,IF(Summary!$J$13="Yes",Summary!$J$16,"0"))</f>
        <v>0</v>
      </c>
      <c r="O64" s="868" t="str">
        <f>IF(O3=0,0,IF(Summary!$J$13="Yes",Summary!$J$16,"0"))</f>
        <v>0</v>
      </c>
      <c r="P64" s="868" t="str">
        <f>IF(P3=0,0,IF(Summary!$J$13="Yes",Summary!$J$16,"0"))</f>
        <v>0</v>
      </c>
      <c r="Q64" s="857"/>
    </row>
    <row r="65" spans="1:17">
      <c r="A65" s="857"/>
      <c r="B65" s="857"/>
      <c r="C65" s="857"/>
      <c r="D65" s="237" t="s">
        <v>196</v>
      </c>
      <c r="E65" s="237" t="s">
        <v>58</v>
      </c>
      <c r="F65" s="868">
        <f>IF(F3=0,0,IF(Summary!$J$13="No",0,IF(F63="Contiguous",INDEX(Basement!$N$149:$N$152,MATCH(F64,Basement!$M$149:$M$152,0)),INDEX(Basement!$N$159:$N$162,MATCH(F64,Basement!$M$159:$M$162,0)))))</f>
        <v>0</v>
      </c>
      <c r="G65" s="868">
        <f>IF(G3=0,0,IF(Summary!$J$13="No",0,IF(G63="Contiguous",INDEX(Basement!$N$149:$N$152,MATCH(G64,Basement!$M$149:$M$152,0)),INDEX(Basement!$N$159:$N$162,MATCH(G64,Basement!$M$159:$M$162,0)))))</f>
        <v>0</v>
      </c>
      <c r="H65" s="868">
        <f>IF(H3=0,0,IF(Summary!$J$13="No",0,IF(H63="Contiguous",INDEX(Basement!$N$149:$N$152,MATCH(H64,Basement!$M$149:$M$152,0)),INDEX(Basement!$N$159:$N$162,MATCH(H64,Basement!$M$159:$M$162,0)))))</f>
        <v>0</v>
      </c>
      <c r="I65" s="868">
        <f>IF(I3=0,0,IF(Summary!$J$13="No",0,IF(I63="Contiguous",INDEX(Basement!$N$149:$N$152,MATCH(I64,Basement!$M$149:$M$152,0)),INDEX(Basement!$N$159:$N$162,MATCH(I64,Basement!$M$159:$M$162,0)))))</f>
        <v>0</v>
      </c>
      <c r="J65" s="868">
        <f>IF(J3=0,0,IF(Summary!$J$13="No",0,IF(J63="Contiguous",INDEX(Basement!$N$149:$N$152,MATCH(J64,Basement!$M$149:$M$152,0)),INDEX(Basement!$N$159:$N$162,MATCH(J64,Basement!$M$159:$M$162,0)))))</f>
        <v>0</v>
      </c>
      <c r="K65" s="868">
        <f>IF(K3=0,0,IF(Summary!$J$13="No",0,IF(K63="Contiguous",INDEX(Basement!$N$149:$N$152,MATCH(K64,Basement!$M$149:$M$152,0)),INDEX(Basement!$N$159:$N$162,MATCH(K64,Basement!$M$159:$M$162,0)))))</f>
        <v>0</v>
      </c>
      <c r="L65" s="868">
        <f>IF(L3=0,0,IF(Summary!$J$13="No",0,IF(L63="Contiguous",INDEX(Basement!$N$149:$N$152,MATCH(L64,Basement!$M$149:$M$152,0)),INDEX(Basement!$N$159:$N$162,MATCH(L64,Basement!$M$159:$M$162,0)))))</f>
        <v>0</v>
      </c>
      <c r="M65" s="868">
        <f>IF(M3=0,0,IF(Summary!$J$13="No",0,IF(M63="Contiguous",INDEX(Basement!$N$149:$N$152,MATCH(M64,Basement!$M$149:$M$152,0)),INDEX(Basement!$N$159:$N$162,MATCH(M64,Basement!$M$159:$M$162,0)))))</f>
        <v>0</v>
      </c>
      <c r="N65" s="868">
        <f>IF(N3=0,0,IF(Summary!$J$13="No",0,IF(N63="Contiguous",INDEX(Basement!$N$149:$N$152,MATCH(N64,Basement!$M$149:$M$152,0)),INDEX(Basement!$N$159:$N$162,MATCH(N64,Basement!$M$159:$M$162,0)))))</f>
        <v>0</v>
      </c>
      <c r="O65" s="868">
        <f>IF(O3=0,0,IF(Summary!$J$13="No",0,IF(O63="Contiguous",INDEX(Basement!$N$149:$N$152,MATCH(O64,Basement!$M$149:$M$152,0)),INDEX(Basement!$N$159:$N$162,MATCH(O64,Basement!$M$159:$M$162,0)))))</f>
        <v>0</v>
      </c>
      <c r="P65" s="868">
        <f>IF(P3=0,0,IF(Summary!$J$13="No",0,IF(P63="Contiguous",INDEX(Basement!$N$149:$N$152,MATCH(P64,Basement!$M$149:$M$152,0)),INDEX(Basement!$N$159:$N$162,MATCH(P64,Basement!$M$159:$M$162,0)))))</f>
        <v>0</v>
      </c>
      <c r="Q65" s="857"/>
    </row>
    <row r="66" spans="1:17">
      <c r="A66" s="857"/>
      <c r="B66" s="857"/>
      <c r="C66" s="857"/>
      <c r="D66" s="237" t="s">
        <v>197</v>
      </c>
      <c r="E66" s="237" t="s">
        <v>15</v>
      </c>
      <c r="F66" s="868">
        <f>IF(F3=0,0,IF(Summary!$J$13="No",0,IF(F63="Contiguous",Basement!$B158,Basement!$G158)))</f>
        <v>0</v>
      </c>
      <c r="G66" s="868">
        <f>IF(G3=0,0,IF(Summary!$J$13="No",0,IF(G63="Contiguous",Basement!$B158,Basement!$G158)))</f>
        <v>0</v>
      </c>
      <c r="H66" s="868">
        <f>IF(H3=0,0,IF(Summary!$J$13="No",0,IF(H63="Contiguous",Basement!$B158,Basement!$G158)))</f>
        <v>0</v>
      </c>
      <c r="I66" s="868">
        <f>IF(I3=0,0,IF(Summary!$J$13="No",0,IF(I63="Contiguous",Basement!$B158,Basement!$G158)))</f>
        <v>0</v>
      </c>
      <c r="J66" s="868">
        <f>IF(J3=0,0,IF(Summary!$J$13="No",0,IF(J63="Contiguous",Basement!$B158,Basement!$G158)))</f>
        <v>0</v>
      </c>
      <c r="K66" s="868">
        <f>IF(K3=0,0,IF(Summary!$J$13="No",0,IF(K63="Contiguous",Basement!$B158,Basement!$G158)))</f>
        <v>0</v>
      </c>
      <c r="L66" s="868">
        <f>IF(L3=0,0,IF(Summary!$J$13="No",0,IF(L63="Contiguous",Basement!$B158,Basement!$G158)))</f>
        <v>0</v>
      </c>
      <c r="M66" s="868">
        <f>IF(M3=0,0,IF(Summary!$J$13="No",0,IF(M63="Contiguous",Basement!$B158,Basement!$G158)))</f>
        <v>0</v>
      </c>
      <c r="N66" s="868">
        <f>IF(N3=0,0,IF(Summary!$J$13="No",0,IF(N63="Contiguous",Basement!$B158,Basement!$G158)))</f>
        <v>0</v>
      </c>
      <c r="O66" s="868">
        <f>IF(O3=0,0,IF(Summary!$J$13="No",0,IF(O63="Contiguous",Basement!$B158,Basement!$G158)))</f>
        <v>0</v>
      </c>
      <c r="P66" s="868">
        <f>IF(P3=0,0,IF(Summary!$J$13="No",0,IF(P63="Contiguous",Basement!$B158,Basement!$G158)))</f>
        <v>0</v>
      </c>
      <c r="Q66" s="857"/>
    </row>
    <row r="67" spans="1:17">
      <c r="A67" s="857"/>
      <c r="B67" s="857"/>
      <c r="C67" s="857"/>
      <c r="D67" s="237" t="s">
        <v>198</v>
      </c>
      <c r="E67" s="237" t="s">
        <v>15</v>
      </c>
      <c r="F67" s="868">
        <f>IF(F3=0,0,IF(Summary!$J$13="No",0,IF(F63="Contiguous",0,Basement!$J158)))</f>
        <v>0</v>
      </c>
      <c r="G67" s="868">
        <f>IF(G3=0,0,IF(Summary!$J$13="No",0,IF(G63="Contiguous",0,Basement!$J158)))</f>
        <v>0</v>
      </c>
      <c r="H67" s="868">
        <f>IF(H3=0,0,IF(Summary!$J$13="No",0,IF(H63="Contiguous",0,Basement!$J158)))</f>
        <v>0</v>
      </c>
      <c r="I67" s="868">
        <f>IF(I3=0,0,IF(Summary!$J$13="No",0,IF(I63="Contiguous",0,Basement!$J158)))</f>
        <v>0</v>
      </c>
      <c r="J67" s="868">
        <f>IF(J3=0,0,IF(Summary!$J$13="No",0,IF(J63="Contiguous",0,Basement!$J158)))</f>
        <v>0</v>
      </c>
      <c r="K67" s="868">
        <f>IF(K3=0,0,IF(Summary!$J$13="No",0,IF(K63="Contiguous",0,Basement!$J158)))</f>
        <v>0</v>
      </c>
      <c r="L67" s="868">
        <f>IF(L3=0,0,IF(Summary!$J$13="No",0,IF(L63="Contiguous",0,Basement!$J158)))</f>
        <v>0</v>
      </c>
      <c r="M67" s="868">
        <f>IF(M3=0,0,IF(Summary!$J$13="No",0,IF(M63="Contiguous",0,Basement!$J158)))</f>
        <v>0</v>
      </c>
      <c r="N67" s="868">
        <f>IF(N3=0,0,IF(Summary!$J$13="No",0,IF(N63="Contiguous",0,Basement!$J158)))</f>
        <v>0</v>
      </c>
      <c r="O67" s="868">
        <f>IF(O3=0,0,IF(Summary!$J$13="No",0,IF(O63="Contiguous",0,Basement!$J158)))</f>
        <v>0</v>
      </c>
      <c r="P67" s="868">
        <f>IF(P3=0,0,IF(Summary!$J$13="No",0,IF(P63="Contiguous",0,Basement!$J158)))</f>
        <v>0</v>
      </c>
      <c r="Q67" s="857"/>
    </row>
    <row r="68" spans="1:17">
      <c r="A68" s="857"/>
      <c r="B68" s="857"/>
      <c r="C68" s="857"/>
      <c r="D68" s="858"/>
      <c r="E68" s="858"/>
      <c r="F68" s="857"/>
      <c r="G68" s="857"/>
      <c r="H68" s="857"/>
      <c r="I68" s="857"/>
      <c r="J68" s="857"/>
      <c r="K68" s="857"/>
      <c r="L68" s="857"/>
      <c r="M68" s="857"/>
      <c r="N68" s="857"/>
      <c r="O68" s="857"/>
      <c r="P68" s="857"/>
      <c r="Q68" s="857"/>
    </row>
  </sheetData>
  <mergeCells count="2">
    <mergeCell ref="C63:C64"/>
    <mergeCell ref="C54:C55"/>
  </mergeCells>
  <pageMargins left="0.7" right="0.7" top="0.75" bottom="0.75" header="0.3" footer="0.3"/>
  <pageSetup paperSize="9" orientation="portrait" horizontalDpi="300" verticalDpi="0"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E64A9-E939-4217-B05E-8C4D3D50A1A9}">
  <sheetPr codeName="Sheet13"/>
  <dimension ref="A1:Q559"/>
  <sheetViews>
    <sheetView showRowColHeaders="0" topLeftCell="A296" workbookViewId="0">
      <selection activeCell="B329" sqref="B329"/>
    </sheetView>
  </sheetViews>
  <sheetFormatPr defaultColWidth="0" defaultRowHeight="12" zeroHeight="1"/>
  <cols>
    <col min="1" max="1" width="2.5703125" style="190" customWidth="1"/>
    <col min="2" max="2" width="40" style="177" customWidth="1"/>
    <col min="3" max="3" width="18.5703125" style="177" customWidth="1"/>
    <col min="4" max="4" width="23" style="177" customWidth="1"/>
    <col min="5" max="5" width="55.7109375" style="177" bestFit="1" customWidth="1"/>
    <col min="6" max="7" width="12.5703125" style="177" customWidth="1"/>
    <col min="8" max="9" width="12.5703125" style="73" customWidth="1"/>
    <col min="10" max="10" width="20.5703125" style="73" customWidth="1"/>
    <col min="11" max="11" width="20.5703125" style="191" customWidth="1"/>
    <col min="12" max="12" width="2.5703125" style="192" customWidth="1"/>
    <col min="13" max="13" width="26.85546875" style="73" hidden="1" customWidth="1"/>
    <col min="14" max="16" width="10.5703125" style="73" hidden="1" customWidth="1"/>
    <col min="17" max="17" width="10.5703125" style="192" hidden="1" customWidth="1"/>
    <col min="18" max="16384" width="9.140625" style="177" hidden="1"/>
  </cols>
  <sheetData>
    <row r="1" spans="1:17"/>
    <row r="2" spans="1:17" ht="34.5">
      <c r="B2" s="170" t="s">
        <v>199</v>
      </c>
    </row>
    <row r="3" spans="1:17" s="150" customFormat="1" ht="12.75" thickBot="1">
      <c r="A3" s="190"/>
      <c r="B3" s="172"/>
      <c r="C3" s="172"/>
      <c r="D3" s="172"/>
      <c r="E3" s="172"/>
      <c r="F3" s="172"/>
      <c r="G3" s="172"/>
      <c r="H3" s="193"/>
      <c r="I3" s="193"/>
      <c r="J3" s="193"/>
      <c r="K3" s="194"/>
      <c r="L3" s="73"/>
      <c r="M3" s="73"/>
      <c r="N3" s="73"/>
      <c r="O3" s="73"/>
      <c r="P3" s="73"/>
      <c r="Q3" s="73"/>
    </row>
    <row r="4" spans="1:17">
      <c r="H4" s="192"/>
      <c r="I4" s="192"/>
      <c r="J4" s="192"/>
      <c r="K4" s="195"/>
    </row>
    <row r="5" spans="1:17" ht="18">
      <c r="B5" s="128" t="s">
        <v>200</v>
      </c>
      <c r="G5" s="192"/>
      <c r="H5" s="192"/>
      <c r="I5" s="192"/>
      <c r="J5" s="196"/>
    </row>
    <row r="6" spans="1:17">
      <c r="G6" s="192"/>
      <c r="H6" s="192"/>
      <c r="I6" s="192"/>
      <c r="J6" s="196"/>
    </row>
    <row r="7" spans="1:17" ht="24.75" thickBot="1">
      <c r="B7" s="175" t="s">
        <v>22</v>
      </c>
      <c r="C7" s="175" t="s">
        <v>100</v>
      </c>
      <c r="D7" s="175" t="s">
        <v>101</v>
      </c>
      <c r="E7" s="175" t="s">
        <v>103</v>
      </c>
      <c r="F7" s="72" t="s">
        <v>104</v>
      </c>
      <c r="G7" s="72" t="s">
        <v>201</v>
      </c>
      <c r="H7" s="72" t="s">
        <v>192</v>
      </c>
      <c r="I7" s="72" t="s">
        <v>202</v>
      </c>
      <c r="J7" s="197" t="s">
        <v>203</v>
      </c>
      <c r="K7" s="197" t="s">
        <v>204</v>
      </c>
      <c r="L7" s="245"/>
      <c r="M7" s="177"/>
      <c r="N7" s="177"/>
      <c r="O7" s="177"/>
      <c r="P7" s="177"/>
      <c r="Q7" s="177"/>
    </row>
    <row r="8" spans="1:17">
      <c r="A8" s="190">
        <f>'Material Quantities &amp; Embodied '!A6</f>
        <v>0.21</v>
      </c>
      <c r="B8" s="150" t="str">
        <f>Database!D17</f>
        <v>RC Flat Slab</v>
      </c>
      <c r="C8" s="150" t="s">
        <v>114</v>
      </c>
      <c r="D8" s="150" t="s">
        <v>115</v>
      </c>
      <c r="E8" s="150" t="str">
        <f>'Material Quantities &amp; Embodied '!F6</f>
        <v>C32/40 - 25% GGBS</v>
      </c>
      <c r="F8" s="1301">
        <f>'Material Quantities &amp; Embodied '!G6</f>
        <v>2903040</v>
      </c>
      <c r="G8" s="198" t="s">
        <v>205</v>
      </c>
      <c r="H8" s="1304">
        <f>F8/(24*1000/9.81)</f>
        <v>1186.6176</v>
      </c>
      <c r="I8" s="1304">
        <f>F$495</f>
        <v>195</v>
      </c>
      <c r="J8" s="199">
        <f>H8*I8</f>
        <v>231390.432</v>
      </c>
      <c r="L8" s="73"/>
      <c r="M8" s="177"/>
      <c r="N8" s="177"/>
      <c r="O8" s="177"/>
      <c r="P8" s="177"/>
      <c r="Q8" s="177"/>
    </row>
    <row r="9" spans="1:17">
      <c r="B9" s="150"/>
      <c r="C9" s="150"/>
      <c r="D9" s="150"/>
      <c r="E9" s="150" t="str">
        <f>'Material Quantities &amp; Embodied '!F7</f>
        <v>Steel - Rebar - UK: UK CARES avg EPD</v>
      </c>
      <c r="F9" s="1301">
        <f>'Material Quantities &amp; Embodied '!G7</f>
        <v>127008</v>
      </c>
      <c r="G9" s="73" t="s">
        <v>206</v>
      </c>
      <c r="H9" s="1304">
        <f>F9/1000</f>
        <v>127.008</v>
      </c>
      <c r="I9" s="1304">
        <f>F$498</f>
        <v>1250</v>
      </c>
      <c r="J9" s="199">
        <f t="shared" ref="J9:J38" si="0">H9*I9</f>
        <v>158760</v>
      </c>
      <c r="L9" s="73"/>
      <c r="M9" s="177"/>
      <c r="N9" s="177"/>
      <c r="O9" s="177"/>
      <c r="P9" s="177"/>
      <c r="Q9" s="177"/>
    </row>
    <row r="10" spans="1:17">
      <c r="B10" s="150"/>
      <c r="C10" s="150"/>
      <c r="D10" s="150"/>
      <c r="E10" s="150" t="s">
        <v>207</v>
      </c>
      <c r="F10" s="1301"/>
      <c r="G10" s="73" t="s">
        <v>208</v>
      </c>
      <c r="H10" s="1304">
        <f>IF(A8=0,0,Summary!C$13*Summary!C$14*Summary!C$15*Summary!C$16*Summary!C$17)</f>
        <v>5760</v>
      </c>
      <c r="I10" s="1304">
        <f>F503</f>
        <v>50</v>
      </c>
      <c r="J10" s="199">
        <f t="shared" si="0"/>
        <v>288000</v>
      </c>
      <c r="L10" s="73"/>
      <c r="M10" s="177"/>
      <c r="N10" s="177"/>
      <c r="O10" s="177"/>
      <c r="P10" s="177"/>
      <c r="Q10" s="177"/>
    </row>
    <row r="11" spans="1:17">
      <c r="B11" s="150"/>
      <c r="C11" s="150"/>
      <c r="D11" s="150"/>
      <c r="E11" s="150" t="s">
        <v>209</v>
      </c>
      <c r="F11" s="1301"/>
      <c r="G11" s="73" t="s">
        <v>15</v>
      </c>
      <c r="H11" s="1304">
        <f>IF(A8=0,0,Summary!C17*2*(Summary!C13*Summary!C15+Summary!C14*Summary!C16))</f>
        <v>432</v>
      </c>
      <c r="I11" s="1304">
        <v>20</v>
      </c>
      <c r="J11" s="199">
        <f t="shared" si="0"/>
        <v>8640</v>
      </c>
      <c r="L11" s="73"/>
      <c r="M11" s="177"/>
      <c r="N11" s="177"/>
      <c r="O11" s="177"/>
      <c r="P11" s="177"/>
      <c r="Q11" s="177"/>
    </row>
    <row r="12" spans="1:17">
      <c r="B12" s="150"/>
      <c r="C12" s="150"/>
      <c r="D12" s="150" t="s">
        <v>27</v>
      </c>
      <c r="E12" s="150" t="str">
        <f>'Material Quantities &amp; Embodied '!F12</f>
        <v>C32/40 - 25% GGBS</v>
      </c>
      <c r="F12" s="1301">
        <f>'Material Quantities &amp; Embodied '!G12</f>
        <v>0</v>
      </c>
      <c r="G12" s="73" t="s">
        <v>205</v>
      </c>
      <c r="H12" s="1304">
        <f>F12/(24*1000/9.81)</f>
        <v>0</v>
      </c>
      <c r="I12" s="1304">
        <f>F$495</f>
        <v>195</v>
      </c>
      <c r="J12" s="199">
        <f t="shared" si="0"/>
        <v>0</v>
      </c>
      <c r="L12" s="73"/>
      <c r="M12" s="177"/>
      <c r="N12" s="177"/>
      <c r="O12" s="177"/>
      <c r="P12" s="177"/>
      <c r="Q12" s="177"/>
    </row>
    <row r="13" spans="1:17">
      <c r="B13" s="150"/>
      <c r="C13" s="150"/>
      <c r="D13" s="150"/>
      <c r="E13" s="150" t="str">
        <f>'Material Quantities &amp; Embodied '!F13</f>
        <v>Steel - Rebar - UK: UK CARES avg EPD</v>
      </c>
      <c r="F13" s="1301">
        <f>'Material Quantities &amp; Embodied '!G13</f>
        <v>0</v>
      </c>
      <c r="G13" s="73" t="s">
        <v>206</v>
      </c>
      <c r="H13" s="1304">
        <f>F13/1000</f>
        <v>0</v>
      </c>
      <c r="I13" s="1304">
        <f>F$498</f>
        <v>1250</v>
      </c>
      <c r="J13" s="199">
        <f t="shared" si="0"/>
        <v>0</v>
      </c>
      <c r="L13" s="73"/>
      <c r="M13" s="177"/>
      <c r="N13" s="177"/>
      <c r="O13" s="177"/>
      <c r="P13" s="177"/>
      <c r="Q13" s="177"/>
    </row>
    <row r="14" spans="1:17">
      <c r="B14" s="150"/>
      <c r="C14" s="150"/>
      <c r="D14" s="150" t="s">
        <v>119</v>
      </c>
      <c r="E14" s="150" t="str">
        <f>'Material Quantities &amp; Embodied '!F8</f>
        <v>C32/40 - 25% GGBS</v>
      </c>
      <c r="F14" s="1301">
        <f>'Material Quantities &amp; Embodied '!G8</f>
        <v>90825.688073394485</v>
      </c>
      <c r="G14" s="73" t="s">
        <v>205</v>
      </c>
      <c r="H14" s="1304">
        <f>F14/(24*1000/9.81)</f>
        <v>37.125</v>
      </c>
      <c r="I14" s="1304">
        <f>F496</f>
        <v>215</v>
      </c>
      <c r="J14" s="199">
        <f t="shared" si="0"/>
        <v>7981.875</v>
      </c>
      <c r="L14" s="73"/>
      <c r="M14" s="177"/>
      <c r="N14" s="177"/>
      <c r="O14" s="177"/>
      <c r="P14" s="177"/>
      <c r="Q14" s="177"/>
    </row>
    <row r="15" spans="1:17">
      <c r="B15" s="150"/>
      <c r="C15" s="150"/>
      <c r="D15" s="150"/>
      <c r="E15" s="150" t="str">
        <f>'Material Quantities &amp; Embodied '!F9</f>
        <v>Steel - Rebar - UK: UK CARES avg EPD</v>
      </c>
      <c r="F15" s="1301">
        <f>'Material Quantities &amp; Embodied '!G9</f>
        <v>11657.250000000002</v>
      </c>
      <c r="G15" s="73" t="s">
        <v>206</v>
      </c>
      <c r="H15" s="1304">
        <f>F15/1000</f>
        <v>11.657250000000001</v>
      </c>
      <c r="I15" s="1304">
        <v>1200</v>
      </c>
      <c r="J15" s="199">
        <f t="shared" si="0"/>
        <v>13988.7</v>
      </c>
      <c r="L15" s="73"/>
      <c r="M15" s="177"/>
      <c r="N15" s="177"/>
      <c r="O15" s="177"/>
      <c r="P15" s="177"/>
      <c r="Q15" s="177"/>
    </row>
    <row r="16" spans="1:17">
      <c r="B16" s="150"/>
      <c r="C16" s="150"/>
      <c r="D16" s="150"/>
      <c r="E16" s="150" t="s">
        <v>210</v>
      </c>
      <c r="F16" s="1301"/>
      <c r="G16" s="73" t="s">
        <v>208</v>
      </c>
      <c r="H16" s="1304">
        <f>IF(A8=0,0,'RC Column'!O60)</f>
        <v>594</v>
      </c>
      <c r="I16" s="1304">
        <v>80</v>
      </c>
      <c r="J16" s="199">
        <f t="shared" si="0"/>
        <v>47520</v>
      </c>
      <c r="L16" s="73"/>
      <c r="M16" s="177"/>
      <c r="N16" s="177"/>
      <c r="O16" s="177"/>
      <c r="P16" s="177"/>
      <c r="Q16" s="177"/>
    </row>
    <row r="17" spans="2:17">
      <c r="B17" s="150"/>
      <c r="C17" s="150"/>
      <c r="D17" s="150" t="s">
        <v>120</v>
      </c>
      <c r="E17" s="150" t="str">
        <f>'Material Quantities &amp; Embodied '!F10</f>
        <v>C32/40 - 25% GGBS</v>
      </c>
      <c r="F17" s="1301">
        <f>'Material Quantities &amp; Embodied '!G10</f>
        <v>34240.420795107035</v>
      </c>
      <c r="G17" s="73" t="s">
        <v>205</v>
      </c>
      <c r="H17" s="1304">
        <f t="shared" ref="H17" si="1">F17/(24*1000/9.81)</f>
        <v>13.995772000000002</v>
      </c>
      <c r="I17" s="1304">
        <v>170</v>
      </c>
      <c r="J17" s="199">
        <f t="shared" si="0"/>
        <v>2379.2812400000003</v>
      </c>
      <c r="L17" s="73"/>
      <c r="M17" s="177"/>
      <c r="N17" s="177"/>
      <c r="O17" s="177"/>
      <c r="P17" s="177"/>
      <c r="Q17" s="177"/>
    </row>
    <row r="18" spans="2:17">
      <c r="B18" s="150"/>
      <c r="C18" s="150"/>
      <c r="D18" s="150"/>
      <c r="E18" s="150" t="str">
        <f>'Material Quantities &amp; Embodied '!F11</f>
        <v>Steel - Rebar - UK: UK CARES avg EPD</v>
      </c>
      <c r="F18" s="1301">
        <f>'Material Quantities &amp; Embodied '!G11</f>
        <v>1210.6126949657501</v>
      </c>
      <c r="G18" s="73" t="s">
        <v>206</v>
      </c>
      <c r="H18" s="1304">
        <f>F18/1000</f>
        <v>1.2106126949657501</v>
      </c>
      <c r="I18" s="1304">
        <v>1150</v>
      </c>
      <c r="J18" s="199">
        <f t="shared" si="0"/>
        <v>1392.2045992106125</v>
      </c>
      <c r="L18" s="73"/>
      <c r="M18" s="177"/>
      <c r="N18" s="177"/>
      <c r="O18" s="177"/>
      <c r="P18" s="177"/>
      <c r="Q18" s="177"/>
    </row>
    <row r="19" spans="2:17">
      <c r="B19" s="150"/>
      <c r="C19" s="179"/>
      <c r="D19" s="179"/>
      <c r="E19" s="179" t="s">
        <v>210</v>
      </c>
      <c r="F19" s="1302"/>
      <c r="G19" s="200" t="s">
        <v>208</v>
      </c>
      <c r="H19" s="1305">
        <f>IF(A8=0,0,'Shear Walls'!C132)</f>
        <v>159.75371999999999</v>
      </c>
      <c r="I19" s="1305">
        <f>F$505</f>
        <v>70</v>
      </c>
      <c r="J19" s="202">
        <f t="shared" si="0"/>
        <v>11182.760399999999</v>
      </c>
      <c r="K19" s="203">
        <f>SUM(J8:J19)</f>
        <v>771235.2532392107</v>
      </c>
      <c r="L19" s="73"/>
      <c r="M19" s="177"/>
      <c r="N19" s="177"/>
      <c r="O19" s="177"/>
      <c r="P19" s="177"/>
      <c r="Q19" s="177"/>
    </row>
    <row r="20" spans="2:17">
      <c r="B20" s="150"/>
      <c r="C20" s="150" t="s">
        <v>123</v>
      </c>
      <c r="D20" s="150" t="s">
        <v>124</v>
      </c>
      <c r="E20" s="150" t="str">
        <f>'Material Quantities &amp; Embodied '!F14</f>
        <v>C32/40 - 50% GGBS</v>
      </c>
      <c r="F20" s="1301">
        <f>'Material Quantities &amp; Embodied '!G14</f>
        <v>1382400</v>
      </c>
      <c r="G20" s="73" t="s">
        <v>205</v>
      </c>
      <c r="H20" s="1304">
        <f>F20/(24*1000/9.81)</f>
        <v>565.05600000000004</v>
      </c>
      <c r="I20" s="1304">
        <f>F$495</f>
        <v>195</v>
      </c>
      <c r="J20" s="199">
        <f t="shared" si="0"/>
        <v>110185.92000000001</v>
      </c>
      <c r="L20" s="73"/>
      <c r="M20" s="177"/>
      <c r="N20" s="177"/>
      <c r="O20" s="177"/>
      <c r="P20" s="177"/>
      <c r="Q20" s="177"/>
    </row>
    <row r="21" spans="2:17">
      <c r="B21" s="150"/>
      <c r="C21" s="150"/>
      <c r="D21" s="150"/>
      <c r="E21" s="150" t="str">
        <f>'Material Quantities &amp; Embodied '!F15</f>
        <v>Steel - Rebar - UK: UK CARES avg EPD</v>
      </c>
      <c r="F21" s="1301">
        <f>'Material Quantities &amp; Embodied '!G15</f>
        <v>34560</v>
      </c>
      <c r="G21" s="73" t="s">
        <v>206</v>
      </c>
      <c r="H21" s="1304">
        <f>F21/1000</f>
        <v>34.56</v>
      </c>
      <c r="I21" s="1304">
        <f>F$498</f>
        <v>1250</v>
      </c>
      <c r="J21" s="199">
        <f t="shared" si="0"/>
        <v>43200</v>
      </c>
      <c r="L21" s="73"/>
      <c r="M21" s="177"/>
      <c r="N21" s="177"/>
      <c r="O21" s="177"/>
      <c r="P21" s="177"/>
      <c r="Q21" s="177"/>
    </row>
    <row r="22" spans="2:17">
      <c r="B22" s="150"/>
      <c r="C22" s="150"/>
      <c r="D22" s="150"/>
      <c r="E22" s="150" t="s">
        <v>207</v>
      </c>
      <c r="F22" s="1301"/>
      <c r="G22" s="73" t="s">
        <v>208</v>
      </c>
      <c r="H22" s="1304">
        <f>IF(A8=0,0,IF(Summary!J$13="Yes",Summary!C$13*Summary!C$14*Summary!C$15*Summary!C$16,0))</f>
        <v>0</v>
      </c>
      <c r="I22" s="1304">
        <v>50</v>
      </c>
      <c r="J22" s="199">
        <f t="shared" si="0"/>
        <v>0</v>
      </c>
      <c r="L22" s="73"/>
      <c r="M22" s="177"/>
      <c r="N22" s="177"/>
      <c r="O22" s="177"/>
      <c r="P22" s="177"/>
      <c r="Q22" s="177"/>
    </row>
    <row r="23" spans="2:17">
      <c r="B23" s="150"/>
      <c r="C23" s="150"/>
      <c r="D23" s="150"/>
      <c r="E23" s="150" t="s">
        <v>209</v>
      </c>
      <c r="F23" s="1301"/>
      <c r="G23" s="73" t="s">
        <v>15</v>
      </c>
      <c r="H23" s="1304">
        <f>IF(A8=0,0,2*(Summary!C13*Summary!C15+Summary!C14*Summary!C16))</f>
        <v>216</v>
      </c>
      <c r="I23" s="1304">
        <v>20</v>
      </c>
      <c r="J23" s="199">
        <f t="shared" ref="J23" si="2">H23*I23</f>
        <v>4320</v>
      </c>
      <c r="L23" s="73"/>
      <c r="M23" s="177"/>
      <c r="N23" s="177"/>
      <c r="O23" s="177"/>
      <c r="P23" s="177"/>
      <c r="Q23" s="177"/>
    </row>
    <row r="24" spans="2:17">
      <c r="B24" s="150"/>
      <c r="C24" s="150"/>
      <c r="D24" s="150" t="s">
        <v>126</v>
      </c>
      <c r="E24" s="150" t="str">
        <f>'Material Quantities &amp; Embodied '!F16</f>
        <v>Concrete - Mortar_screed - 1:4 cement:sand mix avg UK cement mix</v>
      </c>
      <c r="F24" s="1301">
        <f>'Material Quantities &amp; Embodied '!G16</f>
        <v>352293.57798165135</v>
      </c>
      <c r="G24" s="73" t="s">
        <v>208</v>
      </c>
      <c r="H24" s="1304">
        <f>IF(A8=0,0,Summary!C$13*Summary!C$14*Summary!C$15*Summary!C$16)</f>
        <v>2880</v>
      </c>
      <c r="I24" s="1304">
        <v>50</v>
      </c>
      <c r="J24" s="199">
        <f t="shared" si="0"/>
        <v>144000</v>
      </c>
      <c r="L24" s="73"/>
      <c r="M24" s="177"/>
      <c r="N24" s="177"/>
      <c r="O24" s="177"/>
      <c r="P24" s="177"/>
      <c r="Q24" s="177"/>
    </row>
    <row r="25" spans="2:17">
      <c r="B25" s="150"/>
      <c r="C25" s="150"/>
      <c r="D25" s="150" t="s">
        <v>128</v>
      </c>
      <c r="E25" s="150" t="str">
        <f>'Material Quantities &amp; Embodied '!F17</f>
        <v xml:space="preserve">Other - Granular_fill - </v>
      </c>
      <c r="F25" s="1301">
        <f>'Material Quantities &amp; Embodied '!G17</f>
        <v>880733.94495412835</v>
      </c>
      <c r="G25" s="73" t="s">
        <v>205</v>
      </c>
      <c r="H25" s="1304">
        <f>IF(A8=0,0,Summary!C$13*Summary!C$14*Summary!C$15*Summary!C$16*0.15)</f>
        <v>432</v>
      </c>
      <c r="I25" s="1304">
        <v>45</v>
      </c>
      <c r="J25" s="199">
        <f t="shared" si="0"/>
        <v>19440</v>
      </c>
      <c r="L25" s="73"/>
      <c r="M25" s="177"/>
      <c r="N25" s="177"/>
      <c r="O25" s="177"/>
      <c r="P25" s="177"/>
      <c r="Q25" s="177"/>
    </row>
    <row r="26" spans="2:17">
      <c r="B26" s="150"/>
      <c r="C26" s="150"/>
      <c r="D26" s="150" t="s">
        <v>211</v>
      </c>
      <c r="E26" s="150"/>
      <c r="F26" s="1301"/>
      <c r="G26" s="73"/>
      <c r="H26" s="1304">
        <f>IF(A8=0,0,Summary!C$13*Summary!C$14*Summary!C$15*Summary!C$16)</f>
        <v>2880</v>
      </c>
      <c r="I26" s="1304">
        <f>F$494</f>
        <v>50</v>
      </c>
      <c r="J26" s="199">
        <f t="shared" si="0"/>
        <v>144000</v>
      </c>
      <c r="L26" s="73"/>
      <c r="M26" s="177"/>
      <c r="N26" s="177"/>
      <c r="O26" s="177"/>
      <c r="P26" s="177"/>
      <c r="Q26" s="177"/>
    </row>
    <row r="27" spans="2:17">
      <c r="B27" s="150"/>
      <c r="C27" s="150"/>
      <c r="D27" s="150" t="s">
        <v>131</v>
      </c>
      <c r="E27" s="150" t="str">
        <f>'Material Quantities &amp; Embodied '!F18</f>
        <v>C32/40 - 50% GGBS</v>
      </c>
      <c r="F27" s="1301">
        <f>'Material Quantities &amp; Embodied '!G18</f>
        <v>572555.2611167396</v>
      </c>
      <c r="G27" s="73"/>
      <c r="H27" s="1304"/>
      <c r="I27" s="1304"/>
      <c r="J27" s="199">
        <f>Pile!N490</f>
        <v>237372.49999999994</v>
      </c>
      <c r="L27" s="73"/>
      <c r="M27" s="177"/>
      <c r="N27" s="177"/>
      <c r="O27" s="177"/>
      <c r="P27" s="177"/>
      <c r="Q27" s="177"/>
    </row>
    <row r="28" spans="2:17">
      <c r="B28" s="150"/>
      <c r="C28" s="150"/>
      <c r="D28" s="150" t="s">
        <v>132</v>
      </c>
      <c r="E28" s="150" t="str">
        <f>'Material Quantities &amp; Embodied '!F20</f>
        <v>C32/40 - 75% GGBS</v>
      </c>
      <c r="F28" s="1301">
        <f>'Material Quantities &amp; Embodied '!G20</f>
        <v>150000</v>
      </c>
      <c r="G28" s="73" t="s">
        <v>205</v>
      </c>
      <c r="H28" s="1304"/>
      <c r="I28" s="1304"/>
      <c r="J28" s="199">
        <f>Pile!U490</f>
        <v>24371.71875</v>
      </c>
      <c r="L28" s="73"/>
      <c r="M28" s="177"/>
      <c r="N28" s="177"/>
      <c r="O28" s="177"/>
      <c r="P28" s="177"/>
      <c r="Q28" s="177"/>
    </row>
    <row r="29" spans="2:17">
      <c r="B29" s="150"/>
      <c r="C29" s="150"/>
      <c r="D29" s="150" t="s">
        <v>212</v>
      </c>
      <c r="E29" s="150"/>
      <c r="F29" s="1301"/>
      <c r="G29" s="73" t="s">
        <v>208</v>
      </c>
      <c r="H29" s="1304">
        <f>IF(A8=0,0,Summary!C13*Summary!C14*Summary!C15*Summary!C16)</f>
        <v>2880</v>
      </c>
      <c r="I29" s="1304">
        <v>100</v>
      </c>
      <c r="J29" s="199">
        <f>H29*I29</f>
        <v>288000</v>
      </c>
      <c r="L29" s="73"/>
      <c r="M29" s="177"/>
      <c r="N29" s="177"/>
      <c r="O29" s="177"/>
      <c r="P29" s="177"/>
      <c r="Q29" s="177"/>
    </row>
    <row r="30" spans="2:17">
      <c r="B30" s="150"/>
      <c r="C30" s="150"/>
      <c r="D30" s="150" t="s">
        <v>213</v>
      </c>
      <c r="E30" s="150"/>
      <c r="F30" s="1301"/>
      <c r="G30" s="73" t="s">
        <v>214</v>
      </c>
      <c r="H30" s="1304">
        <f>IF(A8=0,0,CEILING((Summary!C$13*Summary!C$14*Summary!C$15*Summary!C$16)/(PI()*25^2),1))</f>
        <v>2</v>
      </c>
      <c r="I30" s="1304">
        <f>F$516</f>
        <v>20000</v>
      </c>
      <c r="J30" s="199">
        <f>H30*I30</f>
        <v>40000</v>
      </c>
      <c r="L30" s="73"/>
      <c r="M30" s="177"/>
      <c r="N30" s="177"/>
      <c r="O30" s="177"/>
      <c r="P30" s="177"/>
      <c r="Q30" s="177"/>
    </row>
    <row r="31" spans="2:17">
      <c r="B31" s="150"/>
      <c r="C31" s="150"/>
      <c r="D31" s="150" t="s">
        <v>134</v>
      </c>
      <c r="E31" s="150" t="str">
        <f>'Material Quantities &amp; Embodied '!F22</f>
        <v>C32/40 - 25% GGBS</v>
      </c>
      <c r="F31" s="1301">
        <f>'Material Quantities &amp; Embodied '!G22</f>
        <v>0</v>
      </c>
      <c r="G31" s="73" t="s">
        <v>205</v>
      </c>
      <c r="H31" s="1304">
        <f>F31/(24*1000/9.81)</f>
        <v>0</v>
      </c>
      <c r="I31" s="1304">
        <f>F$495</f>
        <v>195</v>
      </c>
      <c r="J31" s="199">
        <f t="shared" si="0"/>
        <v>0</v>
      </c>
      <c r="L31" s="73"/>
      <c r="M31" s="177"/>
      <c r="N31" s="177"/>
      <c r="O31" s="177"/>
      <c r="P31" s="177"/>
      <c r="Q31" s="177"/>
    </row>
    <row r="32" spans="2:17">
      <c r="B32" s="150"/>
      <c r="C32" s="150"/>
      <c r="D32" s="150"/>
      <c r="E32" s="150" t="str">
        <f>'Material Quantities &amp; Embodied '!F23</f>
        <v>Steel - Rebar - UK: UK CARES avg EPD</v>
      </c>
      <c r="F32" s="1301">
        <f>'Material Quantities &amp; Embodied '!G23</f>
        <v>0</v>
      </c>
      <c r="G32" s="73" t="s">
        <v>206</v>
      </c>
      <c r="H32" s="1304">
        <f>F32/1000</f>
        <v>0</v>
      </c>
      <c r="I32" s="1304">
        <f>F$498</f>
        <v>1250</v>
      </c>
      <c r="J32" s="199">
        <f t="shared" si="0"/>
        <v>0</v>
      </c>
      <c r="L32" s="73"/>
      <c r="M32" s="177"/>
      <c r="N32" s="177"/>
      <c r="O32" s="177"/>
      <c r="P32" s="177"/>
      <c r="Q32" s="177"/>
    </row>
    <row r="33" spans="2:17">
      <c r="B33" s="150"/>
      <c r="C33" s="150"/>
      <c r="D33" s="150" t="s">
        <v>135</v>
      </c>
      <c r="E33" s="150" t="str">
        <f>'Material Quantities &amp; Embodied '!F24</f>
        <v>C32/40 - 25% GGBS</v>
      </c>
      <c r="F33" s="1301">
        <f>'Material Quantities &amp; Embodied '!G24</f>
        <v>0</v>
      </c>
      <c r="G33" s="73" t="s">
        <v>205</v>
      </c>
      <c r="H33" s="1304">
        <f>F33/(24*1000/9.81)</f>
        <v>0</v>
      </c>
      <c r="I33" s="1304">
        <f>F$497</f>
        <v>205</v>
      </c>
      <c r="J33" s="199">
        <f t="shared" si="0"/>
        <v>0</v>
      </c>
      <c r="L33" s="73"/>
      <c r="M33" s="177"/>
      <c r="N33" s="177"/>
      <c r="O33" s="177"/>
      <c r="P33" s="177"/>
      <c r="Q33" s="177"/>
    </row>
    <row r="34" spans="2:17">
      <c r="B34" s="150"/>
      <c r="C34" s="150"/>
      <c r="D34" s="150"/>
      <c r="E34" s="150" t="str">
        <f>'Material Quantities &amp; Embodied '!F25</f>
        <v>Steel - Rebar - UK: UK CARES avg EPD</v>
      </c>
      <c r="F34" s="1301">
        <f>'Material Quantities &amp; Embodied '!G25</f>
        <v>0</v>
      </c>
      <c r="G34" s="73" t="s">
        <v>206</v>
      </c>
      <c r="H34" s="1304">
        <f>F34/1000</f>
        <v>0</v>
      </c>
      <c r="I34" s="1304">
        <f>F$500</f>
        <v>1250</v>
      </c>
      <c r="J34" s="199">
        <f t="shared" si="0"/>
        <v>0</v>
      </c>
      <c r="L34" s="73"/>
      <c r="M34" s="177"/>
      <c r="N34" s="177"/>
      <c r="O34" s="177"/>
      <c r="P34" s="177"/>
      <c r="Q34" s="177"/>
    </row>
    <row r="35" spans="2:17">
      <c r="B35" s="150"/>
      <c r="C35" s="150"/>
      <c r="D35" s="150"/>
      <c r="E35" s="150" t="s">
        <v>210</v>
      </c>
      <c r="F35" s="1301"/>
      <c r="G35" s="73" t="s">
        <v>208</v>
      </c>
      <c r="H35" s="1304">
        <f>IF(A8=0,0,IF(Summary!J$13="Yes",Summary!J$14*2*(Summary!C$13*Summary!C$15+Summary!C$15*Summary!C$16),0))</f>
        <v>0</v>
      </c>
      <c r="I35" s="1304">
        <f>F$495</f>
        <v>195</v>
      </c>
      <c r="J35" s="199">
        <f t="shared" si="0"/>
        <v>0</v>
      </c>
      <c r="L35" s="73"/>
      <c r="M35" s="177"/>
      <c r="N35" s="177"/>
      <c r="O35" s="177"/>
      <c r="P35" s="177"/>
      <c r="Q35" s="177"/>
    </row>
    <row r="36" spans="2:17">
      <c r="B36" s="150"/>
      <c r="C36" s="150"/>
      <c r="D36" s="150" t="s">
        <v>136</v>
      </c>
      <c r="E36" s="150" t="str">
        <f>'Material Quantities &amp; Embodied '!F26</f>
        <v>C32/40 - 25% GGBS</v>
      </c>
      <c r="F36" s="1301">
        <f>'Material Quantities &amp; Embodied '!G26</f>
        <v>0</v>
      </c>
      <c r="G36" s="73" t="s">
        <v>205</v>
      </c>
      <c r="H36" s="1304">
        <f>F36/(24*1000/9.81)</f>
        <v>0</v>
      </c>
      <c r="I36" s="1304">
        <f>F$496</f>
        <v>215</v>
      </c>
      <c r="J36" s="199">
        <f t="shared" si="0"/>
        <v>0</v>
      </c>
      <c r="L36" s="73"/>
      <c r="M36" s="177"/>
      <c r="N36" s="177"/>
      <c r="O36" s="177"/>
      <c r="P36" s="177"/>
      <c r="Q36" s="177"/>
    </row>
    <row r="37" spans="2:17">
      <c r="B37" s="150"/>
      <c r="C37" s="150"/>
      <c r="D37" s="150"/>
      <c r="E37" s="150" t="str">
        <f>'Material Quantities &amp; Embodied '!F27</f>
        <v>Steel - Rebar - UK: UK CARES avg EPD</v>
      </c>
      <c r="F37" s="1301">
        <f>'Material Quantities &amp; Embodied '!G27</f>
        <v>0</v>
      </c>
      <c r="G37" s="73" t="s">
        <v>206</v>
      </c>
      <c r="H37" s="1304">
        <f>F37/1000</f>
        <v>0</v>
      </c>
      <c r="I37" s="1304">
        <f>F$499</f>
        <v>1250</v>
      </c>
      <c r="J37" s="199">
        <f t="shared" si="0"/>
        <v>0</v>
      </c>
      <c r="L37" s="73"/>
      <c r="M37" s="177"/>
      <c r="N37" s="177"/>
      <c r="O37" s="177"/>
      <c r="P37" s="177"/>
      <c r="Q37" s="177"/>
    </row>
    <row r="38" spans="2:17">
      <c r="B38" s="150"/>
      <c r="C38" s="150"/>
      <c r="D38" s="150"/>
      <c r="E38" s="150" t="s">
        <v>210</v>
      </c>
      <c r="F38" s="1301"/>
      <c r="G38" s="73" t="s">
        <v>208</v>
      </c>
      <c r="H38" s="1304">
        <f>IF(A8=0,0,SUM(Basement!O97,Basement!O110,Basement!O123))</f>
        <v>0</v>
      </c>
      <c r="I38" s="1304">
        <f>F$504</f>
        <v>80</v>
      </c>
      <c r="J38" s="199">
        <f t="shared" si="0"/>
        <v>0</v>
      </c>
      <c r="L38" s="73"/>
      <c r="M38" s="177"/>
      <c r="N38" s="177"/>
      <c r="O38" s="177"/>
      <c r="P38" s="177"/>
      <c r="Q38" s="177"/>
    </row>
    <row r="39" spans="2:17">
      <c r="B39" s="150"/>
      <c r="C39" s="150"/>
      <c r="D39" s="182" t="s">
        <v>137</v>
      </c>
      <c r="E39" s="150" t="str">
        <f>'Material Quantities &amp; Embodied '!F28</f>
        <v>C32/40 - 25% GGBS</v>
      </c>
      <c r="F39" s="1301">
        <f>'Material Quantities &amp; Embodied '!G28</f>
        <v>0</v>
      </c>
      <c r="G39" s="73"/>
      <c r="H39" s="1304"/>
      <c r="I39" s="1304"/>
      <c r="J39" s="199">
        <f>IF(A8=0,0,H$546)</f>
        <v>0</v>
      </c>
      <c r="L39" s="73"/>
      <c r="M39" s="177"/>
      <c r="N39" s="177"/>
      <c r="O39" s="177"/>
      <c r="P39" s="177"/>
      <c r="Q39" s="177"/>
    </row>
    <row r="40" spans="2:17">
      <c r="B40" s="150"/>
      <c r="C40" s="150"/>
      <c r="D40" s="152"/>
      <c r="E40" s="150" t="str">
        <f>'Material Quantities &amp; Embodied '!F29</f>
        <v>Steel - Rebar - UK: UK CARES avg EPD</v>
      </c>
      <c r="F40" s="1301">
        <f>'Material Quantities &amp; Embodied '!G29</f>
        <v>0</v>
      </c>
      <c r="G40" s="151"/>
      <c r="H40" s="1301"/>
      <c r="I40" s="1301"/>
      <c r="J40" s="204" t="s">
        <v>215</v>
      </c>
      <c r="K40" s="205"/>
      <c r="L40" s="73"/>
      <c r="M40" s="177"/>
      <c r="N40" s="177"/>
      <c r="O40" s="177"/>
      <c r="P40" s="177"/>
      <c r="Q40" s="177"/>
    </row>
    <row r="41" spans="2:17">
      <c r="B41" s="150"/>
      <c r="C41" s="150"/>
      <c r="D41" s="182" t="s">
        <v>216</v>
      </c>
      <c r="E41" s="150"/>
      <c r="F41" s="1301">
        <f>'Material Quantities &amp; Embodied '!G30</f>
        <v>2093680.7339449541</v>
      </c>
      <c r="G41" s="151" t="s">
        <v>205</v>
      </c>
      <c r="H41" s="1301">
        <f>F41/(20*1000/9.81)</f>
        <v>1026.9503999999999</v>
      </c>
      <c r="I41" s="1301">
        <f>F$493</f>
        <v>65</v>
      </c>
      <c r="J41" s="204">
        <f>H41*I41</f>
        <v>66751.775999999998</v>
      </c>
      <c r="K41" s="205"/>
      <c r="L41" s="73"/>
      <c r="M41" s="177"/>
      <c r="N41" s="177"/>
      <c r="O41" s="177"/>
      <c r="P41" s="177"/>
      <c r="Q41" s="177"/>
    </row>
    <row r="42" spans="2:17">
      <c r="B42" s="150"/>
      <c r="C42" s="179"/>
      <c r="D42" s="183" t="s">
        <v>217</v>
      </c>
      <c r="E42" s="179"/>
      <c r="F42" s="1302">
        <f>'Material Quantities &amp; Embodied '!G32</f>
        <v>0</v>
      </c>
      <c r="G42" s="180" t="s">
        <v>205</v>
      </c>
      <c r="H42" s="1302">
        <f>F42/(20*1000/9.81)</f>
        <v>0</v>
      </c>
      <c r="I42" s="1302">
        <f>F$493</f>
        <v>65</v>
      </c>
      <c r="J42" s="206">
        <f>H42*I42</f>
        <v>0</v>
      </c>
      <c r="K42" s="203">
        <f>SUM(J20:J42)</f>
        <v>1121641.91475</v>
      </c>
      <c r="L42" s="73"/>
      <c r="M42" s="177"/>
      <c r="N42" s="177"/>
      <c r="O42" s="177"/>
      <c r="P42" s="177"/>
      <c r="Q42" s="177"/>
    </row>
    <row r="43" spans="2:17">
      <c r="B43" s="150"/>
      <c r="C43" s="150" t="s">
        <v>218</v>
      </c>
      <c r="D43" s="150" t="s">
        <v>219</v>
      </c>
      <c r="E43" s="150"/>
      <c r="F43" s="151"/>
      <c r="G43" s="151"/>
      <c r="H43" s="151"/>
      <c r="I43" s="151"/>
      <c r="J43" s="204">
        <f>0.05*SUM(J8:J42)</f>
        <v>94643.858399460543</v>
      </c>
      <c r="L43" s="73"/>
      <c r="M43" s="177"/>
      <c r="N43" s="177"/>
      <c r="O43" s="177"/>
      <c r="P43" s="177"/>
      <c r="Q43" s="177"/>
    </row>
    <row r="44" spans="2:17">
      <c r="B44" s="150"/>
      <c r="C44" s="150"/>
      <c r="D44" s="150" t="s">
        <v>220</v>
      </c>
      <c r="E44" s="150"/>
      <c r="F44" s="151"/>
      <c r="G44" s="151"/>
      <c r="H44" s="151"/>
      <c r="I44" s="151"/>
      <c r="J44" s="204">
        <f>0.22*SUM(J8:J42)</f>
        <v>416432.97695762635</v>
      </c>
      <c r="L44" s="73"/>
      <c r="M44" s="177"/>
      <c r="N44" s="177"/>
      <c r="O44" s="177"/>
      <c r="P44" s="177"/>
      <c r="Q44" s="177"/>
    </row>
    <row r="45" spans="2:17">
      <c r="B45" s="179"/>
      <c r="C45" s="179"/>
      <c r="D45" s="179" t="s">
        <v>221</v>
      </c>
      <c r="E45" s="179"/>
      <c r="F45" s="180"/>
      <c r="G45" s="180"/>
      <c r="H45" s="180"/>
      <c r="I45" s="180"/>
      <c r="J45" s="206">
        <f>0.1*SUM(J8:J42)</f>
        <v>189287.71679892109</v>
      </c>
      <c r="K45" s="203">
        <f>SUM(J43:J45)</f>
        <v>700364.55215600797</v>
      </c>
      <c r="L45" s="73"/>
      <c r="M45" s="177"/>
      <c r="N45" s="177"/>
      <c r="O45" s="177"/>
      <c r="P45" s="177"/>
      <c r="Q45" s="177"/>
    </row>
    <row r="46" spans="2:17">
      <c r="B46" s="150"/>
      <c r="C46" s="150"/>
      <c r="D46" s="150"/>
      <c r="E46" s="150"/>
      <c r="F46" s="151"/>
      <c r="G46" s="73"/>
      <c r="I46" s="198"/>
      <c r="J46" s="199"/>
      <c r="K46" s="191">
        <f>SUM(K8:K45)</f>
        <v>2593241.7201452185</v>
      </c>
      <c r="M46" s="177"/>
      <c r="N46" s="177"/>
      <c r="O46" s="177"/>
      <c r="P46" s="177"/>
      <c r="Q46" s="177"/>
    </row>
    <row r="47" spans="2:17" ht="12.75" thickBot="1">
      <c r="B47" s="172"/>
      <c r="C47" s="172"/>
      <c r="D47" s="172"/>
      <c r="E47" s="172"/>
      <c r="F47" s="173"/>
      <c r="G47" s="173"/>
      <c r="H47" s="173"/>
      <c r="I47" s="173"/>
      <c r="J47" s="173"/>
      <c r="K47" s="186"/>
      <c r="M47" s="177"/>
      <c r="N47" s="177"/>
      <c r="O47" s="177"/>
      <c r="P47" s="177"/>
      <c r="Q47" s="177"/>
    </row>
    <row r="48" spans="2:17">
      <c r="B48" s="150"/>
      <c r="C48" s="150"/>
      <c r="D48" s="150"/>
      <c r="E48" s="150"/>
      <c r="F48" s="151"/>
      <c r="G48" s="73"/>
      <c r="I48" s="198"/>
      <c r="J48" s="199"/>
      <c r="M48" s="177"/>
      <c r="N48" s="177"/>
      <c r="O48" s="177"/>
      <c r="P48" s="177"/>
      <c r="Q48" s="177"/>
    </row>
    <row r="49" spans="1:17">
      <c r="B49" s="150"/>
      <c r="C49" s="150"/>
      <c r="D49" s="150"/>
      <c r="E49" s="150"/>
      <c r="F49" s="151"/>
      <c r="G49" s="73"/>
      <c r="I49" s="198"/>
      <c r="J49" s="199"/>
      <c r="M49" s="177"/>
      <c r="N49" s="177"/>
      <c r="O49" s="177"/>
      <c r="P49" s="177"/>
      <c r="Q49" s="177"/>
    </row>
    <row r="50" spans="1:17" ht="24.75" thickBot="1">
      <c r="B50" s="175" t="s">
        <v>22</v>
      </c>
      <c r="C50" s="175" t="s">
        <v>100</v>
      </c>
      <c r="D50" s="175" t="s">
        <v>101</v>
      </c>
      <c r="E50" s="175" t="s">
        <v>103</v>
      </c>
      <c r="F50" s="72" t="str">
        <f>'Material Quantities &amp; Embodied '!G37</f>
        <v>Material Quantity [kg]</v>
      </c>
      <c r="G50" s="72" t="s">
        <v>201</v>
      </c>
      <c r="H50" s="72" t="s">
        <v>192</v>
      </c>
      <c r="I50" s="72" t="s">
        <v>222</v>
      </c>
      <c r="J50" s="197" t="s">
        <v>203</v>
      </c>
      <c r="K50" s="197" t="s">
        <v>204</v>
      </c>
      <c r="M50" s="177"/>
      <c r="N50" s="177"/>
      <c r="O50" s="177"/>
      <c r="P50" s="177"/>
      <c r="Q50" s="177"/>
    </row>
    <row r="51" spans="1:17">
      <c r="A51" s="190">
        <f>'Material Quantities &amp; Embodied '!A38</f>
        <v>0.2</v>
      </c>
      <c r="B51" s="150" t="str">
        <f>Database!D18</f>
        <v>PT RC Flat Slab</v>
      </c>
      <c r="C51" s="150" t="s">
        <v>114</v>
      </c>
      <c r="D51" s="150" t="s">
        <v>115</v>
      </c>
      <c r="E51" s="150" t="str">
        <f>'Material Quantities &amp; Embodied '!F38</f>
        <v>C32/40 - 25% GGBS</v>
      </c>
      <c r="F51" s="1301">
        <f>'Material Quantities &amp; Embodied '!G38</f>
        <v>2764800</v>
      </c>
      <c r="G51" s="198" t="s">
        <v>205</v>
      </c>
      <c r="H51" s="1304">
        <f>F51/(24*1000/9.81)</f>
        <v>1130.1120000000001</v>
      </c>
      <c r="I51" s="1304">
        <f>F495</f>
        <v>195</v>
      </c>
      <c r="J51" s="199">
        <f>H51*I51</f>
        <v>220371.84000000003</v>
      </c>
      <c r="L51" s="73"/>
      <c r="M51" s="177"/>
      <c r="N51" s="177"/>
      <c r="O51" s="177"/>
      <c r="P51" s="177"/>
      <c r="Q51" s="177"/>
    </row>
    <row r="52" spans="1:17">
      <c r="B52" s="150"/>
      <c r="C52" s="150"/>
      <c r="D52" s="150"/>
      <c r="E52" s="150" t="str">
        <f>'Material Quantities &amp; Embodied '!F39</f>
        <v>Steel - Rebar - UK: UK CARES avg EPD</v>
      </c>
      <c r="F52" s="1301">
        <f>'Material Quantities &amp; Embodied '!G39</f>
        <v>103680</v>
      </c>
      <c r="G52" s="198" t="s">
        <v>206</v>
      </c>
      <c r="H52" s="1304">
        <f>F52/1000</f>
        <v>103.68</v>
      </c>
      <c r="I52" s="1304">
        <f>F501</f>
        <v>4500</v>
      </c>
      <c r="J52" s="199">
        <f t="shared" ref="J52:J67" si="3">H52*I52</f>
        <v>466560.00000000006</v>
      </c>
      <c r="L52" s="73"/>
      <c r="M52" s="177"/>
      <c r="N52" s="177"/>
      <c r="O52" s="177"/>
      <c r="P52" s="177"/>
      <c r="Q52" s="177"/>
    </row>
    <row r="53" spans="1:17">
      <c r="B53" s="150"/>
      <c r="C53" s="150"/>
      <c r="D53" s="150"/>
      <c r="E53" s="150" t="s">
        <v>207</v>
      </c>
      <c r="F53" s="1301"/>
      <c r="G53" s="198" t="s">
        <v>208</v>
      </c>
      <c r="H53" s="1304">
        <f>IF(A51=0,0,Summary!C$13*Summary!C$14*Summary!C$15*Summary!C$16*Summary!C$17)</f>
        <v>5760</v>
      </c>
      <c r="I53" s="1304">
        <f>F$503</f>
        <v>50</v>
      </c>
      <c r="J53" s="199">
        <f t="shared" si="3"/>
        <v>288000</v>
      </c>
      <c r="L53" s="73"/>
      <c r="M53" s="150"/>
      <c r="N53" s="207"/>
      <c r="O53" s="152"/>
      <c r="P53" s="152"/>
      <c r="Q53" s="73"/>
    </row>
    <row r="54" spans="1:17">
      <c r="B54" s="150"/>
      <c r="C54" s="150"/>
      <c r="D54" s="150"/>
      <c r="E54" s="150" t="s">
        <v>209</v>
      </c>
      <c r="F54" s="1301"/>
      <c r="G54" s="198" t="s">
        <v>15</v>
      </c>
      <c r="H54" s="1304">
        <f>IF(A51=0,0,Summary!C$17*2*(Summary!C$13*Summary!C$15+Summary!C$14*Summary!C$16))</f>
        <v>432</v>
      </c>
      <c r="I54" s="1304">
        <v>20</v>
      </c>
      <c r="J54" s="199">
        <f t="shared" si="3"/>
        <v>8640</v>
      </c>
      <c r="L54" s="73"/>
      <c r="M54" s="150"/>
      <c r="N54" s="207"/>
      <c r="O54" s="152"/>
      <c r="P54" s="152"/>
      <c r="Q54" s="73"/>
    </row>
    <row r="55" spans="1:17">
      <c r="B55" s="150"/>
      <c r="C55" s="150"/>
      <c r="D55" s="150" t="s">
        <v>27</v>
      </c>
      <c r="E55" s="150" t="str">
        <f>'Material Quantities &amp; Embodied '!F44</f>
        <v>C32/40 - 25% GGBS</v>
      </c>
      <c r="F55" s="1301">
        <f>'Material Quantities &amp; Embodied '!G44</f>
        <v>0</v>
      </c>
      <c r="G55" s="198" t="s">
        <v>205</v>
      </c>
      <c r="H55" s="1304">
        <f>F55/(24*1000/9.81)</f>
        <v>0</v>
      </c>
      <c r="I55" s="1304">
        <f>F$495</f>
        <v>195</v>
      </c>
      <c r="J55" s="199">
        <f t="shared" si="3"/>
        <v>0</v>
      </c>
      <c r="L55" s="73"/>
      <c r="M55" s="150"/>
      <c r="N55" s="207"/>
      <c r="O55" s="152"/>
      <c r="P55" s="152"/>
      <c r="Q55" s="73"/>
    </row>
    <row r="56" spans="1:17">
      <c r="B56" s="150"/>
      <c r="C56" s="150"/>
      <c r="D56" s="150"/>
      <c r="E56" s="150" t="str">
        <f>'Material Quantities &amp; Embodied '!F45</f>
        <v>Steel - Rebar - UK: UK CARES avg EPD</v>
      </c>
      <c r="F56" s="1301">
        <f>'Material Quantities &amp; Embodied '!G45</f>
        <v>0</v>
      </c>
      <c r="G56" s="198" t="s">
        <v>206</v>
      </c>
      <c r="H56" s="1304">
        <f>F56/1000</f>
        <v>0</v>
      </c>
      <c r="I56" s="1304">
        <f>F$498</f>
        <v>1250</v>
      </c>
      <c r="J56" s="199">
        <f t="shared" si="3"/>
        <v>0</v>
      </c>
      <c r="L56" s="73"/>
      <c r="M56" s="150"/>
      <c r="N56" s="207"/>
      <c r="O56" s="152"/>
      <c r="P56" s="152"/>
      <c r="Q56" s="73"/>
    </row>
    <row r="57" spans="1:17">
      <c r="B57" s="150"/>
      <c r="C57" s="150"/>
      <c r="D57" s="150" t="s">
        <v>119</v>
      </c>
      <c r="E57" s="150" t="str">
        <f>'Material Quantities &amp; Embodied '!F40</f>
        <v>C32/40 - 25% GGBS</v>
      </c>
      <c r="F57" s="1301">
        <f>'Material Quantities &amp; Embodied '!G40</f>
        <v>90825.688073394485</v>
      </c>
      <c r="G57" s="198" t="s">
        <v>205</v>
      </c>
      <c r="H57" s="1304">
        <f>F57/(24*1000/9.81)</f>
        <v>37.125</v>
      </c>
      <c r="I57" s="1304">
        <f>F$496</f>
        <v>215</v>
      </c>
      <c r="J57" s="199">
        <f t="shared" si="3"/>
        <v>7981.875</v>
      </c>
      <c r="L57" s="73"/>
      <c r="M57" s="177"/>
      <c r="N57" s="177"/>
      <c r="O57" s="177"/>
      <c r="P57" s="177"/>
      <c r="Q57" s="73"/>
    </row>
    <row r="58" spans="1:17">
      <c r="B58" s="150"/>
      <c r="C58" s="150"/>
      <c r="D58" s="150"/>
      <c r="E58" s="150" t="str">
        <f>'Material Quantities &amp; Embodied '!F41</f>
        <v>Steel - Rebar - UK: UK CARES avg EPD</v>
      </c>
      <c r="F58" s="1301">
        <f>'Material Quantities &amp; Embodied '!G41</f>
        <v>11657.250000000002</v>
      </c>
      <c r="G58" s="198" t="s">
        <v>206</v>
      </c>
      <c r="H58" s="1304">
        <f>F58/1000</f>
        <v>11.657250000000001</v>
      </c>
      <c r="I58" s="1304">
        <f>F$499</f>
        <v>1250</v>
      </c>
      <c r="J58" s="199">
        <f t="shared" si="3"/>
        <v>14571.562500000002</v>
      </c>
      <c r="L58" s="73"/>
      <c r="M58" s="177"/>
      <c r="N58" s="177"/>
      <c r="O58" s="177"/>
      <c r="P58" s="177"/>
      <c r="Q58" s="73"/>
    </row>
    <row r="59" spans="1:17">
      <c r="B59" s="150"/>
      <c r="C59" s="150"/>
      <c r="D59" s="150"/>
      <c r="E59" s="150" t="s">
        <v>210</v>
      </c>
      <c r="F59" s="1301"/>
      <c r="G59" s="198" t="s">
        <v>208</v>
      </c>
      <c r="H59" s="1304">
        <f>IF(A51=0,0,'RC Column'!O61)</f>
        <v>594</v>
      </c>
      <c r="I59" s="1304">
        <f>F$504</f>
        <v>80</v>
      </c>
      <c r="J59" s="199">
        <f t="shared" si="3"/>
        <v>47520</v>
      </c>
      <c r="L59" s="73"/>
      <c r="M59" s="177"/>
      <c r="N59" s="177"/>
      <c r="O59" s="177"/>
      <c r="P59" s="177"/>
      <c r="Q59" s="73"/>
    </row>
    <row r="60" spans="1:17">
      <c r="B60" s="150"/>
      <c r="C60" s="150"/>
      <c r="D60" s="150" t="s">
        <v>120</v>
      </c>
      <c r="E60" s="150" t="str">
        <f>'Material Quantities &amp; Embodied '!F42</f>
        <v>C32/40 - 25% GGBS</v>
      </c>
      <c r="F60" s="1301">
        <f>'Material Quantities &amp; Embodied '!G42</f>
        <v>34046.972477064228</v>
      </c>
      <c r="G60" s="198" t="s">
        <v>205</v>
      </c>
      <c r="H60" s="1304">
        <f>F60/(24*1000/9.81)</f>
        <v>13.916700000000004</v>
      </c>
      <c r="I60" s="1304">
        <f>F$497</f>
        <v>205</v>
      </c>
      <c r="J60" s="199">
        <f t="shared" si="3"/>
        <v>2852.9235000000008</v>
      </c>
      <c r="L60" s="73"/>
      <c r="M60" s="177"/>
      <c r="N60" s="177"/>
      <c r="O60" s="177"/>
      <c r="P60" s="177"/>
      <c r="Q60" s="73"/>
    </row>
    <row r="61" spans="1:17">
      <c r="B61" s="150"/>
      <c r="C61" s="150"/>
      <c r="D61" s="150"/>
      <c r="E61" s="150" t="str">
        <f>'Material Quantities &amp; Embodied '!F43</f>
        <v>Steel - Rebar - UK: UK CARES avg EPD</v>
      </c>
      <c r="F61" s="1301">
        <f>'Material Quantities &amp; Embodied '!G43</f>
        <v>1203.7730889035529</v>
      </c>
      <c r="G61" s="198" t="s">
        <v>206</v>
      </c>
      <c r="H61" s="1304">
        <f>F61/1000</f>
        <v>1.2037730889035529</v>
      </c>
      <c r="I61" s="1304">
        <f>F$500</f>
        <v>1250</v>
      </c>
      <c r="J61" s="199">
        <f t="shared" si="3"/>
        <v>1504.7163611294411</v>
      </c>
      <c r="L61" s="73"/>
      <c r="M61" s="177"/>
      <c r="N61" s="177"/>
      <c r="O61" s="177"/>
      <c r="P61" s="177"/>
      <c r="Q61" s="73"/>
    </row>
    <row r="62" spans="1:17">
      <c r="B62" s="150"/>
      <c r="C62" s="179"/>
      <c r="D62" s="179"/>
      <c r="E62" s="179" t="s">
        <v>210</v>
      </c>
      <c r="F62" s="1302"/>
      <c r="G62" s="201" t="s">
        <v>208</v>
      </c>
      <c r="H62" s="1305">
        <f>IF(A51=0,0,'Shear Walls'!I132)</f>
        <v>158.90700000000004</v>
      </c>
      <c r="I62" s="1305">
        <f>F$505</f>
        <v>70</v>
      </c>
      <c r="J62" s="202">
        <f t="shared" si="3"/>
        <v>11123.490000000003</v>
      </c>
      <c r="K62" s="203">
        <f>SUM(J51:J62)</f>
        <v>1069126.4073611295</v>
      </c>
      <c r="L62" s="73"/>
      <c r="M62" s="177"/>
      <c r="N62" s="177"/>
      <c r="O62" s="177"/>
      <c r="P62" s="177"/>
      <c r="Q62" s="73"/>
    </row>
    <row r="63" spans="1:17">
      <c r="B63" s="150"/>
      <c r="C63" s="150" t="s">
        <v>123</v>
      </c>
      <c r="D63" s="150" t="s">
        <v>124</v>
      </c>
      <c r="E63" s="150" t="str">
        <f>'Material Quantities &amp; Embodied '!F46</f>
        <v>C32/40 - 25% GGBS</v>
      </c>
      <c r="F63" s="1301">
        <f>'Material Quantities &amp; Embodied '!G46</f>
        <v>1382400</v>
      </c>
      <c r="G63" s="73" t="s">
        <v>205</v>
      </c>
      <c r="H63" s="1304">
        <f>F63/(24*1000/9.81)</f>
        <v>565.05600000000004</v>
      </c>
      <c r="I63" s="1304">
        <f>F$495</f>
        <v>195</v>
      </c>
      <c r="J63" s="199">
        <f t="shared" si="3"/>
        <v>110185.92000000001</v>
      </c>
      <c r="L63" s="73"/>
      <c r="M63" s="177"/>
      <c r="N63" s="177"/>
      <c r="O63" s="177"/>
      <c r="P63" s="177"/>
      <c r="Q63" s="73"/>
    </row>
    <row r="64" spans="1:17">
      <c r="B64" s="150"/>
      <c r="C64" s="150"/>
      <c r="D64" s="150"/>
      <c r="E64" s="150" t="str">
        <f>'Material Quantities &amp; Embodied '!F47</f>
        <v>Steel - Rebar - UK: UK CARES avg EPD</v>
      </c>
      <c r="F64" s="1301">
        <f>'Material Quantities &amp; Embodied '!G47</f>
        <v>34560</v>
      </c>
      <c r="G64" s="73" t="s">
        <v>206</v>
      </c>
      <c r="H64" s="1304">
        <f>F64/1000</f>
        <v>34.56</v>
      </c>
      <c r="I64" s="1304">
        <f>F$498</f>
        <v>1250</v>
      </c>
      <c r="J64" s="199">
        <f t="shared" si="3"/>
        <v>43200</v>
      </c>
      <c r="L64" s="73"/>
      <c r="M64" s="177"/>
      <c r="N64" s="177"/>
      <c r="O64" s="177"/>
      <c r="P64" s="177"/>
      <c r="Q64" s="177"/>
    </row>
    <row r="65" spans="2:17">
      <c r="B65" s="150"/>
      <c r="C65" s="150"/>
      <c r="D65" s="150"/>
      <c r="E65" s="150" t="s">
        <v>207</v>
      </c>
      <c r="F65" s="1301"/>
      <c r="G65" s="73" t="s">
        <v>208</v>
      </c>
      <c r="H65" s="1304">
        <f>IF(A51=0,0,IF(Summary!J$13="Yes",Summary!C$13*Summary!C$14*Summary!C$15*Summary!C$16,0))</f>
        <v>0</v>
      </c>
      <c r="I65" s="1304">
        <v>50</v>
      </c>
      <c r="J65" s="199">
        <f t="shared" si="3"/>
        <v>0</v>
      </c>
      <c r="L65" s="73"/>
      <c r="M65" s="177"/>
      <c r="N65" s="177"/>
      <c r="O65" s="177"/>
      <c r="P65" s="177"/>
      <c r="Q65" s="177"/>
    </row>
    <row r="66" spans="2:17">
      <c r="B66" s="150"/>
      <c r="C66" s="150"/>
      <c r="D66" s="150"/>
      <c r="E66" s="150" t="s">
        <v>209</v>
      </c>
      <c r="F66" s="1301"/>
      <c r="G66" s="73" t="s">
        <v>15</v>
      </c>
      <c r="H66" s="1304">
        <f>IF(A51=0,0,2*(Summary!C$13*Summary!C$15+Summary!C$14*Summary!C$16))</f>
        <v>216</v>
      </c>
      <c r="I66" s="1304">
        <v>20</v>
      </c>
      <c r="J66" s="199">
        <f t="shared" si="3"/>
        <v>4320</v>
      </c>
      <c r="L66" s="73"/>
      <c r="M66" s="177"/>
      <c r="N66" s="177"/>
      <c r="O66" s="177"/>
      <c r="P66" s="177"/>
      <c r="Q66" s="177"/>
    </row>
    <row r="67" spans="2:17">
      <c r="B67" s="150"/>
      <c r="C67" s="150"/>
      <c r="D67" s="150" t="s">
        <v>126</v>
      </c>
      <c r="E67" s="150" t="str">
        <f>'Material Quantities &amp; Embodied '!F48</f>
        <v>Concrete - Mortar_screed - 1:4 cement:sand mix avg UK cement mix</v>
      </c>
      <c r="F67" s="1301">
        <f>'Material Quantities &amp; Embodied '!G48</f>
        <v>352293.57798165135</v>
      </c>
      <c r="G67" s="73" t="s">
        <v>208</v>
      </c>
      <c r="H67" s="1304">
        <f>IF(A51=0,0,Summary!C$13*Summary!C$14*Summary!C$15*Summary!C$16)</f>
        <v>2880</v>
      </c>
      <c r="I67" s="1304">
        <v>50</v>
      </c>
      <c r="J67" s="199">
        <f t="shared" si="3"/>
        <v>144000</v>
      </c>
      <c r="L67" s="73"/>
      <c r="Q67" s="73"/>
    </row>
    <row r="68" spans="2:17">
      <c r="B68" s="150"/>
      <c r="C68" s="150"/>
      <c r="D68" s="150" t="s">
        <v>128</v>
      </c>
      <c r="E68" s="150" t="str">
        <f>'Material Quantities &amp; Embodied '!F49</f>
        <v xml:space="preserve">Other - Granular_fill - </v>
      </c>
      <c r="F68" s="1301">
        <f>'Material Quantities &amp; Embodied '!G49</f>
        <v>880733.94495412835</v>
      </c>
      <c r="G68" s="73" t="s">
        <v>205</v>
      </c>
      <c r="H68" s="1304">
        <f>IF(A51=0,0,Summary!C$13*Summary!C$14*Summary!C$15*Summary!C$16*0.15)</f>
        <v>432</v>
      </c>
      <c r="I68" s="1304">
        <v>45</v>
      </c>
      <c r="J68" s="199">
        <f t="shared" ref="J68" si="4">H68*I68</f>
        <v>19440</v>
      </c>
      <c r="L68" s="73"/>
      <c r="Q68" s="73"/>
    </row>
    <row r="69" spans="2:17">
      <c r="B69" s="150"/>
      <c r="C69" s="150"/>
      <c r="D69" s="150" t="s">
        <v>211</v>
      </c>
      <c r="E69" s="150"/>
      <c r="F69" s="1301"/>
      <c r="G69" s="198" t="s">
        <v>208</v>
      </c>
      <c r="H69" s="1304">
        <f>IF(A51=0,0,Summary!C$13*Summary!C$14*Summary!C$15*Summary!C$16)</f>
        <v>2880</v>
      </c>
      <c r="I69" s="1304">
        <f>F$494</f>
        <v>50</v>
      </c>
      <c r="J69" s="199">
        <f t="shared" ref="J69" si="5">H69*I69</f>
        <v>144000</v>
      </c>
      <c r="L69" s="73"/>
      <c r="M69" s="150"/>
      <c r="N69" s="207"/>
      <c r="O69" s="152"/>
      <c r="P69" s="182"/>
      <c r="Q69" s="73"/>
    </row>
    <row r="70" spans="2:17">
      <c r="B70" s="150"/>
      <c r="C70" s="150"/>
      <c r="D70" s="150" t="s">
        <v>131</v>
      </c>
      <c r="E70" s="150" t="str">
        <f>'Material Quantities &amp; Embodied '!F50</f>
        <v>C32/40 - 25% GGBS</v>
      </c>
      <c r="F70" s="1301">
        <f>'Material Quantities &amp; Embodied '!G50</f>
        <v>577808.06167744356</v>
      </c>
      <c r="G70" s="198"/>
      <c r="H70" s="1304"/>
      <c r="I70" s="1304"/>
      <c r="J70" s="199">
        <f>Pile!N491</f>
        <v>239274.99999999994</v>
      </c>
      <c r="L70" s="73"/>
      <c r="Q70" s="73"/>
    </row>
    <row r="71" spans="2:17">
      <c r="B71" s="150"/>
      <c r="C71" s="150"/>
      <c r="D71" s="150" t="s">
        <v>132</v>
      </c>
      <c r="E71" s="150" t="str">
        <f>'Material Quantities &amp; Embodied '!F52</f>
        <v>C32/40 - 25% GGBS</v>
      </c>
      <c r="F71" s="1301">
        <f>'Material Quantities &amp; Embodied '!G52</f>
        <v>151376.14678899082</v>
      </c>
      <c r="G71" s="198" t="s">
        <v>205</v>
      </c>
      <c r="H71" s="1304"/>
      <c r="I71" s="1304"/>
      <c r="J71" s="199">
        <f>Pile!U491</f>
        <v>24595.3125</v>
      </c>
      <c r="L71" s="73"/>
      <c r="Q71" s="73"/>
    </row>
    <row r="72" spans="2:17">
      <c r="B72" s="150"/>
      <c r="C72" s="150"/>
      <c r="D72" s="150" t="s">
        <v>212</v>
      </c>
      <c r="E72" s="150"/>
      <c r="F72" s="1301"/>
      <c r="G72" s="198" t="s">
        <v>208</v>
      </c>
      <c r="H72" s="1304">
        <f>IF(A51=0,0,Summary!C$13*Summary!C$14*Summary!C$15*Summary!C$16)</f>
        <v>2880</v>
      </c>
      <c r="I72" s="1304">
        <f>F514</f>
        <v>100</v>
      </c>
      <c r="J72" s="199">
        <f>H72*I72</f>
        <v>288000</v>
      </c>
      <c r="L72" s="73"/>
      <c r="Q72" s="73"/>
    </row>
    <row r="73" spans="2:17">
      <c r="B73" s="150"/>
      <c r="C73" s="150"/>
      <c r="D73" s="150" t="s">
        <v>213</v>
      </c>
      <c r="E73" s="150"/>
      <c r="F73" s="1301"/>
      <c r="G73" s="73" t="s">
        <v>214</v>
      </c>
      <c r="H73" s="1304">
        <f>IF(A51=0,0,CEILING((Summary!C$13*Summary!C$14*Summary!C$15*Summary!C$16)/(PI()*25^2),1))</f>
        <v>2</v>
      </c>
      <c r="I73" s="1304">
        <f>F$516</f>
        <v>20000</v>
      </c>
      <c r="J73" s="199">
        <f>H73*I73</f>
        <v>40000</v>
      </c>
      <c r="L73" s="73"/>
      <c r="M73" s="177"/>
      <c r="N73" s="177"/>
      <c r="O73" s="177"/>
      <c r="P73" s="177"/>
      <c r="Q73" s="177"/>
    </row>
    <row r="74" spans="2:17">
      <c r="B74" s="150"/>
      <c r="C74" s="150"/>
      <c r="D74" s="150" t="s">
        <v>134</v>
      </c>
      <c r="E74" s="150" t="str">
        <f>'Material Quantities &amp; Embodied '!F54</f>
        <v>C32/40 - 25% GGBS</v>
      </c>
      <c r="F74" s="1301">
        <f>'Material Quantities &amp; Embodied '!G54</f>
        <v>0</v>
      </c>
      <c r="G74" s="73" t="s">
        <v>205</v>
      </c>
      <c r="H74" s="1304">
        <f>F74/(24*1000/9.81)</f>
        <v>0</v>
      </c>
      <c r="I74" s="1304">
        <f>F$495</f>
        <v>195</v>
      </c>
      <c r="J74" s="199">
        <f t="shared" ref="J74:J81" si="6">H74*I74</f>
        <v>0</v>
      </c>
      <c r="L74" s="73"/>
      <c r="Q74" s="73"/>
    </row>
    <row r="75" spans="2:17">
      <c r="B75" s="150"/>
      <c r="C75" s="150"/>
      <c r="D75" s="150"/>
      <c r="E75" s="150" t="str">
        <f>'Material Quantities &amp; Embodied '!F55</f>
        <v>Steel - Rebar - UK: UK CARES avg EPD</v>
      </c>
      <c r="F75" s="1301">
        <f>'Material Quantities &amp; Embodied '!G55</f>
        <v>0</v>
      </c>
      <c r="G75" s="73" t="s">
        <v>206</v>
      </c>
      <c r="H75" s="1304">
        <f>F75/1000</f>
        <v>0</v>
      </c>
      <c r="I75" s="1304">
        <f>F$498</f>
        <v>1250</v>
      </c>
      <c r="J75" s="199">
        <f t="shared" si="6"/>
        <v>0</v>
      </c>
      <c r="L75" s="73"/>
      <c r="Q75" s="73"/>
    </row>
    <row r="76" spans="2:17">
      <c r="B76" s="150"/>
      <c r="C76" s="150"/>
      <c r="D76" s="150" t="s">
        <v>135</v>
      </c>
      <c r="E76" s="150" t="str">
        <f>'Material Quantities &amp; Embodied '!F56</f>
        <v>C32/40 - 25% GGBS</v>
      </c>
      <c r="F76" s="1301">
        <f>'Material Quantities &amp; Embodied '!G56</f>
        <v>0</v>
      </c>
      <c r="G76" s="73" t="s">
        <v>205</v>
      </c>
      <c r="H76" s="1304">
        <f>F76/(24*1000/9.81)</f>
        <v>0</v>
      </c>
      <c r="I76" s="1304">
        <f>F$497</f>
        <v>205</v>
      </c>
      <c r="J76" s="199">
        <f t="shared" si="6"/>
        <v>0</v>
      </c>
      <c r="L76" s="73"/>
      <c r="Q76" s="73"/>
    </row>
    <row r="77" spans="2:17">
      <c r="B77" s="150"/>
      <c r="C77" s="150"/>
      <c r="D77" s="150"/>
      <c r="E77" s="150" t="str">
        <f>'Material Quantities &amp; Embodied '!F57</f>
        <v>Steel - Rebar - UK: UK CARES avg EPD</v>
      </c>
      <c r="F77" s="1301">
        <f>'Material Quantities &amp; Embodied '!G57</f>
        <v>0</v>
      </c>
      <c r="G77" s="73" t="s">
        <v>206</v>
      </c>
      <c r="H77" s="1304">
        <f>F77/1000</f>
        <v>0</v>
      </c>
      <c r="I77" s="1304">
        <f>F$500</f>
        <v>1250</v>
      </c>
      <c r="J77" s="199">
        <f t="shared" si="6"/>
        <v>0</v>
      </c>
      <c r="L77" s="73"/>
      <c r="Q77" s="73"/>
    </row>
    <row r="78" spans="2:17">
      <c r="B78" s="150"/>
      <c r="C78" s="150"/>
      <c r="D78" s="150"/>
      <c r="E78" s="150" t="s">
        <v>210</v>
      </c>
      <c r="F78" s="1301"/>
      <c r="G78" s="73" t="s">
        <v>208</v>
      </c>
      <c r="H78" s="1304">
        <f>IF(A51=0,0,IF(Summary!J$13="Yes",Summary!J$14*2*(Summary!C$13*Summary!C$15+Summary!C$15*Summary!C$16),0))</f>
        <v>0</v>
      </c>
      <c r="I78" s="1304">
        <f>F$495</f>
        <v>195</v>
      </c>
      <c r="J78" s="199">
        <f t="shared" si="6"/>
        <v>0</v>
      </c>
      <c r="L78" s="73"/>
      <c r="M78" s="177"/>
      <c r="N78" s="177"/>
      <c r="O78" s="177"/>
      <c r="P78" s="177"/>
      <c r="Q78" s="177"/>
    </row>
    <row r="79" spans="2:17">
      <c r="B79" s="150"/>
      <c r="C79" s="150"/>
      <c r="D79" s="150" t="s">
        <v>136</v>
      </c>
      <c r="E79" s="150" t="str">
        <f>'Material Quantities &amp; Embodied '!F58</f>
        <v>C32/40 - 25% GGBS</v>
      </c>
      <c r="F79" s="1301">
        <f>'Material Quantities &amp; Embodied '!G58</f>
        <v>0</v>
      </c>
      <c r="G79" s="73" t="s">
        <v>205</v>
      </c>
      <c r="H79" s="1304">
        <f>F79/(24*1000/9.81)</f>
        <v>0</v>
      </c>
      <c r="I79" s="1304">
        <f>F$496</f>
        <v>215</v>
      </c>
      <c r="J79" s="199">
        <f t="shared" si="6"/>
        <v>0</v>
      </c>
      <c r="L79" s="73"/>
      <c r="Q79" s="73"/>
    </row>
    <row r="80" spans="2:17">
      <c r="B80" s="150"/>
      <c r="C80" s="150"/>
      <c r="D80" s="150"/>
      <c r="E80" s="150" t="str">
        <f>'Material Quantities &amp; Embodied '!F59</f>
        <v>Steel - Rebar - UK: UK CARES avg EPD</v>
      </c>
      <c r="F80" s="1301">
        <f>'Material Quantities &amp; Embodied '!G59</f>
        <v>0</v>
      </c>
      <c r="G80" s="73" t="s">
        <v>206</v>
      </c>
      <c r="H80" s="1304">
        <f>F80/1000</f>
        <v>0</v>
      </c>
      <c r="I80" s="1304">
        <f>F$499</f>
        <v>1250</v>
      </c>
      <c r="J80" s="199">
        <f t="shared" si="6"/>
        <v>0</v>
      </c>
      <c r="L80" s="73"/>
      <c r="Q80" s="73"/>
    </row>
    <row r="81" spans="1:17">
      <c r="B81" s="150"/>
      <c r="C81" s="150"/>
      <c r="D81" s="150"/>
      <c r="E81" s="150" t="s">
        <v>210</v>
      </c>
      <c r="F81" s="1301"/>
      <c r="G81" s="73" t="s">
        <v>208</v>
      </c>
      <c r="H81" s="1304">
        <f>IF(A51=0,0,SUM(Basement!O98,Basement!O111,Basement!O124))</f>
        <v>0</v>
      </c>
      <c r="I81" s="1304">
        <f>F$504</f>
        <v>80</v>
      </c>
      <c r="J81" s="199">
        <f t="shared" si="6"/>
        <v>0</v>
      </c>
      <c r="L81" s="73"/>
      <c r="Q81" s="73"/>
    </row>
    <row r="82" spans="1:17">
      <c r="B82" s="182"/>
      <c r="C82" s="150"/>
      <c r="D82" s="182" t="s">
        <v>137</v>
      </c>
      <c r="E82" s="150" t="str">
        <f>'Material Quantities &amp; Embodied '!F60</f>
        <v>C32/40 - 25% GGBS</v>
      </c>
      <c r="F82" s="1301">
        <f>'Material Quantities &amp; Embodied '!G60</f>
        <v>0</v>
      </c>
      <c r="G82" s="198" t="s">
        <v>205</v>
      </c>
      <c r="H82" s="1304"/>
      <c r="I82" s="1304"/>
      <c r="J82" s="199">
        <f>IF(A51=0,0,H$546)</f>
        <v>0</v>
      </c>
      <c r="L82" s="73"/>
      <c r="Q82" s="73"/>
    </row>
    <row r="83" spans="1:17">
      <c r="B83" s="152"/>
      <c r="C83" s="150"/>
      <c r="D83" s="152"/>
      <c r="E83" s="150" t="str">
        <f>'Material Quantities &amp; Embodied '!F61</f>
        <v>Steel - Rebar - UK: UK CARES avg EPD</v>
      </c>
      <c r="F83" s="1301">
        <f>'Material Quantities &amp; Embodied '!G61</f>
        <v>0</v>
      </c>
      <c r="G83" s="198" t="s">
        <v>206</v>
      </c>
      <c r="H83" s="1304"/>
      <c r="I83" s="1304"/>
      <c r="J83" s="199" t="s">
        <v>215</v>
      </c>
      <c r="L83" s="73"/>
      <c r="Q83" s="73"/>
    </row>
    <row r="84" spans="1:17">
      <c r="B84" s="150"/>
      <c r="C84" s="150"/>
      <c r="D84" s="182" t="s">
        <v>216</v>
      </c>
      <c r="E84" s="150"/>
      <c r="F84" s="1301">
        <f>'Material Quantities &amp; Embodied '!G62</f>
        <v>2093680.7339449541</v>
      </c>
      <c r="G84" s="151" t="s">
        <v>205</v>
      </c>
      <c r="H84" s="1301">
        <f>F84/(20*1000/9.81)</f>
        <v>1026.9503999999999</v>
      </c>
      <c r="I84" s="1301">
        <f>F$493</f>
        <v>65</v>
      </c>
      <c r="J84" s="204">
        <f>H84*I84</f>
        <v>66751.775999999998</v>
      </c>
      <c r="K84" s="205"/>
      <c r="L84" s="73"/>
      <c r="M84" s="177"/>
      <c r="N84" s="177"/>
      <c r="O84" s="177"/>
      <c r="P84" s="177"/>
      <c r="Q84" s="177"/>
    </row>
    <row r="85" spans="1:17">
      <c r="B85" s="150"/>
      <c r="C85" s="179"/>
      <c r="D85" s="183" t="s">
        <v>217</v>
      </c>
      <c r="E85" s="179"/>
      <c r="F85" s="1302">
        <f>'Material Quantities &amp; Embodied '!G64</f>
        <v>0</v>
      </c>
      <c r="G85" s="180" t="s">
        <v>205</v>
      </c>
      <c r="H85" s="1302">
        <f>F85/(20*1000/9.81)</f>
        <v>0</v>
      </c>
      <c r="I85" s="1302">
        <f>F$493</f>
        <v>65</v>
      </c>
      <c r="J85" s="206">
        <f>H85*I85</f>
        <v>0</v>
      </c>
      <c r="K85" s="203">
        <f>SUM(J63:J85)</f>
        <v>1123768.0085</v>
      </c>
      <c r="L85" s="73"/>
      <c r="M85" s="177"/>
      <c r="N85" s="177"/>
      <c r="O85" s="177"/>
      <c r="P85" s="177"/>
      <c r="Q85" s="177"/>
    </row>
    <row r="86" spans="1:17">
      <c r="B86" s="150"/>
      <c r="C86" s="150" t="s">
        <v>218</v>
      </c>
      <c r="D86" s="150" t="s">
        <v>219</v>
      </c>
      <c r="E86" s="150"/>
      <c r="F86" s="151"/>
      <c r="G86" s="151"/>
      <c r="H86" s="151"/>
      <c r="I86" s="151"/>
      <c r="J86" s="204">
        <f>0.05*SUM(J51:J85)</f>
        <v>109644.72079305648</v>
      </c>
      <c r="L86" s="73"/>
      <c r="M86" s="177"/>
      <c r="N86" s="177"/>
      <c r="O86" s="177"/>
      <c r="P86" s="177"/>
      <c r="Q86" s="177"/>
    </row>
    <row r="87" spans="1:17">
      <c r="B87" s="152"/>
      <c r="C87" s="150"/>
      <c r="D87" s="150" t="s">
        <v>220</v>
      </c>
      <c r="E87" s="150"/>
      <c r="F87" s="151"/>
      <c r="G87" s="151"/>
      <c r="H87" s="151"/>
      <c r="I87" s="151"/>
      <c r="J87" s="204">
        <f>0.22*SUM(J51:J85)</f>
        <v>482436.77148944844</v>
      </c>
      <c r="L87" s="73"/>
      <c r="Q87" s="73"/>
    </row>
    <row r="88" spans="1:17">
      <c r="B88" s="184"/>
      <c r="C88" s="179"/>
      <c r="D88" s="179" t="s">
        <v>221</v>
      </c>
      <c r="E88" s="179"/>
      <c r="F88" s="180"/>
      <c r="G88" s="180"/>
      <c r="H88" s="180"/>
      <c r="I88" s="180"/>
      <c r="J88" s="206">
        <f>0.1*SUM(J51:J85)</f>
        <v>219289.44158611295</v>
      </c>
      <c r="K88" s="203">
        <f>SUM(J86:J88)</f>
        <v>811370.93386861787</v>
      </c>
      <c r="L88" s="73"/>
      <c r="Q88" s="73"/>
    </row>
    <row r="89" spans="1:17">
      <c r="B89" s="150"/>
      <c r="C89" s="150"/>
      <c r="D89" s="150"/>
      <c r="E89" s="150"/>
      <c r="F89" s="151"/>
      <c r="G89" s="73"/>
      <c r="I89" s="198"/>
      <c r="J89" s="199"/>
      <c r="K89" s="191">
        <f>SUM(K51:K88)</f>
        <v>3004265.3497297475</v>
      </c>
      <c r="L89" s="73"/>
      <c r="Q89" s="73"/>
    </row>
    <row r="90" spans="1:17" ht="12.75" thickBot="1">
      <c r="B90" s="172"/>
      <c r="C90" s="172"/>
      <c r="D90" s="172"/>
      <c r="E90" s="172"/>
      <c r="F90" s="173"/>
      <c r="G90" s="193"/>
      <c r="H90" s="193"/>
      <c r="I90" s="208"/>
      <c r="J90" s="209"/>
      <c r="K90" s="194"/>
      <c r="L90" s="73"/>
      <c r="Q90" s="73"/>
    </row>
    <row r="91" spans="1:17">
      <c r="B91" s="150"/>
      <c r="C91" s="150"/>
      <c r="D91" s="150"/>
      <c r="E91" s="150"/>
      <c r="F91" s="151"/>
      <c r="G91" s="73"/>
      <c r="I91" s="198"/>
      <c r="J91" s="199"/>
      <c r="L91" s="73"/>
      <c r="Q91" s="73"/>
    </row>
    <row r="92" spans="1:17">
      <c r="B92" s="150"/>
      <c r="C92" s="150"/>
      <c r="D92" s="150"/>
      <c r="E92" s="150"/>
      <c r="F92" s="151"/>
      <c r="G92" s="73"/>
      <c r="I92" s="198"/>
      <c r="J92" s="199"/>
      <c r="L92" s="73"/>
      <c r="Q92" s="73"/>
    </row>
    <row r="93" spans="1:17" ht="24.75" thickBot="1">
      <c r="B93" s="175" t="s">
        <v>22</v>
      </c>
      <c r="C93" s="175" t="s">
        <v>100</v>
      </c>
      <c r="D93" s="175" t="s">
        <v>101</v>
      </c>
      <c r="E93" s="175" t="s">
        <v>103</v>
      </c>
      <c r="F93" s="72" t="str">
        <f>'Material Quantities &amp; Embodied '!G69</f>
        <v>Material Quantity [kg]</v>
      </c>
      <c r="G93" s="72" t="s">
        <v>201</v>
      </c>
      <c r="H93" s="72" t="s">
        <v>192</v>
      </c>
      <c r="I93" s="72" t="s">
        <v>222</v>
      </c>
      <c r="J93" s="197" t="s">
        <v>203</v>
      </c>
      <c r="K93" s="197" t="s">
        <v>204</v>
      </c>
      <c r="L93" s="73"/>
      <c r="Q93" s="73"/>
    </row>
    <row r="94" spans="1:17">
      <c r="A94" s="190">
        <f>'Material Quantities &amp; Embodied '!A70</f>
        <v>0.3</v>
      </c>
      <c r="B94" s="150" t="str">
        <f>Database!D19</f>
        <v>RC Rib Slab</v>
      </c>
      <c r="C94" s="150" t="s">
        <v>114</v>
      </c>
      <c r="D94" s="150" t="s">
        <v>115</v>
      </c>
      <c r="E94" s="150" t="str">
        <f>'Material Quantities &amp; Embodied '!F70</f>
        <v>C32/40 - 25% GGBS</v>
      </c>
      <c r="F94" s="1301">
        <f>'Material Quantities &amp; Embodied '!G70</f>
        <v>2453090.4908835897</v>
      </c>
      <c r="G94" s="73" t="s">
        <v>205</v>
      </c>
      <c r="H94" s="1304">
        <f>F94/(24*1000/9.81)</f>
        <v>1002.7007381486674</v>
      </c>
      <c r="I94" s="1304">
        <f>F$495</f>
        <v>195</v>
      </c>
      <c r="J94" s="199">
        <f>H94*I94</f>
        <v>195526.64393899014</v>
      </c>
      <c r="L94" s="73"/>
      <c r="Q94" s="73"/>
    </row>
    <row r="95" spans="1:17">
      <c r="B95" s="150"/>
      <c r="C95" s="150"/>
      <c r="D95" s="150"/>
      <c r="E95" s="150" t="str">
        <f>'Material Quantities &amp; Embodied '!F71</f>
        <v>Steel - Rebar - UK: UK CARES avg EPD</v>
      </c>
      <c r="F95" s="1301">
        <f>'Material Quantities &amp; Embodied '!G71</f>
        <v>110903.22580645152</v>
      </c>
      <c r="G95" s="73" t="s">
        <v>206</v>
      </c>
      <c r="H95" s="1304">
        <f>F95/1000</f>
        <v>110.90322580645152</v>
      </c>
      <c r="I95" s="1304">
        <f>F$498</f>
        <v>1250</v>
      </c>
      <c r="J95" s="199">
        <f>H95*I95</f>
        <v>138629.0322580644</v>
      </c>
      <c r="L95" s="73"/>
      <c r="Q95" s="73"/>
    </row>
    <row r="96" spans="1:17">
      <c r="B96" s="150"/>
      <c r="C96" s="150"/>
      <c r="D96" s="150"/>
      <c r="E96" s="150" t="s">
        <v>223</v>
      </c>
      <c r="F96" s="1301"/>
      <c r="G96" s="73" t="s">
        <v>208</v>
      </c>
      <c r="H96" s="1304">
        <f>IF(A94=0,0,1.8*Summary!C$13*Summary!C$14*Summary!C$15*Summary!C$16*Summary!C$17)</f>
        <v>10368.000000000002</v>
      </c>
      <c r="I96" s="1304">
        <f>F$503</f>
        <v>50</v>
      </c>
      <c r="J96" s="199">
        <f t="shared" ref="J96:J102" si="7">H96*I96</f>
        <v>518400.00000000012</v>
      </c>
      <c r="L96" s="73"/>
      <c r="Q96" s="73"/>
    </row>
    <row r="97" spans="2:17">
      <c r="B97" s="150"/>
      <c r="C97" s="150"/>
      <c r="D97" s="150"/>
      <c r="E97" s="150" t="s">
        <v>209</v>
      </c>
      <c r="F97" s="1301"/>
      <c r="G97" s="73" t="s">
        <v>15</v>
      </c>
      <c r="H97" s="1304">
        <f>IF(A94=0,0,Summary!C$17*2*(Summary!C$13*Summary!C$15+Summary!C$14*Summary!C$16))</f>
        <v>432</v>
      </c>
      <c r="I97" s="1304">
        <v>20</v>
      </c>
      <c r="J97" s="199">
        <f t="shared" si="7"/>
        <v>8640</v>
      </c>
      <c r="L97" s="73"/>
      <c r="Q97" s="73"/>
    </row>
    <row r="98" spans="2:17">
      <c r="B98" s="150"/>
      <c r="C98" s="150"/>
      <c r="D98" s="150" t="s">
        <v>27</v>
      </c>
      <c r="E98" s="150" t="str">
        <f>'Material Quantities &amp; Embodied '!F76</f>
        <v>C32/40 - 25% GGBS</v>
      </c>
      <c r="F98" s="1301">
        <f>'Material Quantities &amp; Embodied '!G76</f>
        <v>0</v>
      </c>
      <c r="G98" s="73" t="s">
        <v>205</v>
      </c>
      <c r="H98" s="1304">
        <f>F98/(24*1000/9.81)</f>
        <v>0</v>
      </c>
      <c r="I98" s="1304">
        <f>F$495</f>
        <v>195</v>
      </c>
      <c r="J98" s="199">
        <f t="shared" si="7"/>
        <v>0</v>
      </c>
      <c r="L98" s="73"/>
      <c r="Q98" s="73"/>
    </row>
    <row r="99" spans="2:17">
      <c r="B99" s="150"/>
      <c r="C99" s="150"/>
      <c r="D99" s="150"/>
      <c r="E99" s="150" t="str">
        <f>'Material Quantities &amp; Embodied '!F77</f>
        <v>Steel - Rebar - UK: UK CARES avg EPD</v>
      </c>
      <c r="F99" s="1301">
        <f>'Material Quantities &amp; Embodied '!G77</f>
        <v>0</v>
      </c>
      <c r="G99" s="73" t="s">
        <v>206</v>
      </c>
      <c r="H99" s="1304">
        <f>F99/1000</f>
        <v>0</v>
      </c>
      <c r="I99" s="1304">
        <f>F$498</f>
        <v>1250</v>
      </c>
      <c r="J99" s="199">
        <f t="shared" si="7"/>
        <v>0</v>
      </c>
      <c r="L99" s="73"/>
      <c r="Q99" s="73"/>
    </row>
    <row r="100" spans="2:17">
      <c r="B100" s="150"/>
      <c r="C100" s="150"/>
      <c r="D100" s="150" t="s">
        <v>119</v>
      </c>
      <c r="E100" s="150" t="str">
        <f>'Material Quantities &amp; Embodied '!F72</f>
        <v>C32/40 - 25% GGBS</v>
      </c>
      <c r="F100" s="1301">
        <f>'Material Quantities &amp; Embodied '!G72</f>
        <v>90825.688073394485</v>
      </c>
      <c r="G100" s="73" t="s">
        <v>205</v>
      </c>
      <c r="H100" s="1304">
        <f>F100/(24*1000/9.81)</f>
        <v>37.125</v>
      </c>
      <c r="I100" s="1304">
        <f>F$496</f>
        <v>215</v>
      </c>
      <c r="J100" s="199">
        <f t="shared" si="7"/>
        <v>7981.875</v>
      </c>
      <c r="L100" s="73"/>
      <c r="Q100" s="73"/>
    </row>
    <row r="101" spans="2:17">
      <c r="B101" s="150"/>
      <c r="C101" s="150"/>
      <c r="D101" s="150"/>
      <c r="E101" s="150" t="str">
        <f>'Material Quantities &amp; Embodied '!F73</f>
        <v>Steel - Rebar - UK: UK CARES avg EPD</v>
      </c>
      <c r="F101" s="1301">
        <f>'Material Quantities &amp; Embodied '!G73</f>
        <v>11657.250000000002</v>
      </c>
      <c r="G101" s="73" t="s">
        <v>206</v>
      </c>
      <c r="H101" s="1304">
        <f>F101/1000</f>
        <v>11.657250000000001</v>
      </c>
      <c r="I101" s="1304">
        <f>F$499</f>
        <v>1250</v>
      </c>
      <c r="J101" s="199">
        <f t="shared" si="7"/>
        <v>14571.562500000002</v>
      </c>
      <c r="L101" s="73"/>
      <c r="Q101" s="73"/>
    </row>
    <row r="102" spans="2:17">
      <c r="B102" s="150"/>
      <c r="C102" s="150"/>
      <c r="D102" s="150"/>
      <c r="E102" s="150" t="s">
        <v>210</v>
      </c>
      <c r="F102" s="1301"/>
      <c r="G102" s="73" t="s">
        <v>208</v>
      </c>
      <c r="H102" s="1304">
        <f>IF(A94=0,0,'RC Column'!O62)</f>
        <v>594</v>
      </c>
      <c r="I102" s="1304">
        <f>F$504</f>
        <v>80</v>
      </c>
      <c r="J102" s="199">
        <f t="shared" si="7"/>
        <v>47520</v>
      </c>
      <c r="L102" s="73"/>
      <c r="Q102" s="73"/>
    </row>
    <row r="103" spans="2:17">
      <c r="B103" s="150"/>
      <c r="C103" s="150"/>
      <c r="D103" s="150" t="s">
        <v>120</v>
      </c>
      <c r="E103" s="150" t="str">
        <f>'Material Quantities &amp; Embodied '!F74</f>
        <v>C32/40 - 25% GGBS</v>
      </c>
      <c r="F103" s="1301">
        <f>'Material Quantities &amp; Embodied '!G74</f>
        <v>36006.116207951069</v>
      </c>
      <c r="G103" s="73" t="s">
        <v>205</v>
      </c>
      <c r="H103" s="1304">
        <f>F103/(24*1000/9.81)</f>
        <v>14.717500000000001</v>
      </c>
      <c r="I103" s="1304">
        <f>F$497</f>
        <v>205</v>
      </c>
      <c r="J103" s="199">
        <f t="shared" ref="J103:J104" si="8">H103*I103</f>
        <v>3017.0875000000001</v>
      </c>
      <c r="L103" s="73"/>
      <c r="Q103" s="73"/>
    </row>
    <row r="104" spans="2:17">
      <c r="B104" s="150"/>
      <c r="C104" s="150"/>
      <c r="D104" s="150"/>
      <c r="E104" s="150" t="str">
        <f>'Material Quantities &amp; Embodied '!F75</f>
        <v>Steel - Rebar - UK: UK CARES avg EPD</v>
      </c>
      <c r="F104" s="1301">
        <f>'Material Quantities &amp; Embodied '!G75</f>
        <v>1273.0410539810468</v>
      </c>
      <c r="G104" s="73" t="s">
        <v>206</v>
      </c>
      <c r="H104" s="1304">
        <f>F104/1000</f>
        <v>1.2730410539810468</v>
      </c>
      <c r="I104" s="1304">
        <f>F$500</f>
        <v>1250</v>
      </c>
      <c r="J104" s="199">
        <f t="shared" si="8"/>
        <v>1591.3013174763084</v>
      </c>
      <c r="L104" s="73"/>
      <c r="Q104" s="73"/>
    </row>
    <row r="105" spans="2:17">
      <c r="B105" s="150"/>
      <c r="C105" s="179"/>
      <c r="D105" s="179"/>
      <c r="E105" s="179" t="s">
        <v>210</v>
      </c>
      <c r="F105" s="1302"/>
      <c r="G105" s="200" t="s">
        <v>208</v>
      </c>
      <c r="H105" s="1305">
        <f>IF(A94=0,0,'Shear Walls'!O132)</f>
        <v>167.47500000000002</v>
      </c>
      <c r="I105" s="1305">
        <f>F505</f>
        <v>70</v>
      </c>
      <c r="J105" s="202">
        <f t="shared" ref="J105:J111" si="9">H105*I105</f>
        <v>11723.250000000002</v>
      </c>
      <c r="K105" s="203">
        <f>SUM(J94:J105)</f>
        <v>947600.75251453102</v>
      </c>
      <c r="L105" s="73"/>
      <c r="Q105" s="73"/>
    </row>
    <row r="106" spans="2:17">
      <c r="B106" s="150"/>
      <c r="C106" s="150" t="s">
        <v>123</v>
      </c>
      <c r="D106" s="150" t="s">
        <v>124</v>
      </c>
      <c r="E106" s="150" t="str">
        <f>'Material Quantities &amp; Embodied '!F78</f>
        <v>C32/40 - 25% GGBS</v>
      </c>
      <c r="F106" s="1301">
        <f>'Material Quantities &amp; Embodied '!G78</f>
        <v>1382400</v>
      </c>
      <c r="G106" s="73" t="s">
        <v>205</v>
      </c>
      <c r="H106" s="1304">
        <f>F106/(24*1000/9.81)</f>
        <v>565.05600000000004</v>
      </c>
      <c r="I106" s="1304">
        <f>F$495</f>
        <v>195</v>
      </c>
      <c r="J106" s="199">
        <f t="shared" si="9"/>
        <v>110185.92000000001</v>
      </c>
      <c r="L106" s="73"/>
      <c r="Q106" s="73"/>
    </row>
    <row r="107" spans="2:17">
      <c r="B107" s="150"/>
      <c r="C107" s="150"/>
      <c r="D107" s="150"/>
      <c r="E107" s="150" t="str">
        <f>'Material Quantities &amp; Embodied '!F79</f>
        <v>Steel - Rebar - UK: UK CARES avg EPD</v>
      </c>
      <c r="F107" s="1301">
        <f>'Material Quantities &amp; Embodied '!G79</f>
        <v>34560</v>
      </c>
      <c r="G107" s="73" t="s">
        <v>206</v>
      </c>
      <c r="H107" s="1304">
        <f>F107/1000</f>
        <v>34.56</v>
      </c>
      <c r="I107" s="1304">
        <f>F$498</f>
        <v>1250</v>
      </c>
      <c r="J107" s="199">
        <f t="shared" si="9"/>
        <v>43200</v>
      </c>
      <c r="L107" s="73"/>
      <c r="Q107" s="73"/>
    </row>
    <row r="108" spans="2:17">
      <c r="B108" s="150"/>
      <c r="C108" s="150"/>
      <c r="D108" s="150"/>
      <c r="E108" s="150" t="s">
        <v>207</v>
      </c>
      <c r="F108" s="1301"/>
      <c r="G108" s="73" t="s">
        <v>208</v>
      </c>
      <c r="H108" s="1304">
        <f>IF(A94=0,0,IF(Summary!J$13="Yes",Summary!C$13*Summary!C$14*Summary!C$15*Summary!C$16,0))</f>
        <v>0</v>
      </c>
      <c r="I108" s="1304">
        <v>50</v>
      </c>
      <c r="J108" s="199">
        <f t="shared" si="9"/>
        <v>0</v>
      </c>
      <c r="L108" s="73"/>
      <c r="Q108" s="73"/>
    </row>
    <row r="109" spans="2:17">
      <c r="B109" s="150"/>
      <c r="C109" s="150"/>
      <c r="D109" s="150"/>
      <c r="E109" s="150" t="s">
        <v>209</v>
      </c>
      <c r="F109" s="1301"/>
      <c r="G109" s="73" t="s">
        <v>15</v>
      </c>
      <c r="H109" s="1304">
        <f>IF(A94=0,0,2*(Summary!C$13*Summary!C$15+Summary!C$14*Summary!C$16))</f>
        <v>216</v>
      </c>
      <c r="I109" s="1304">
        <v>20</v>
      </c>
      <c r="J109" s="199">
        <f t="shared" si="9"/>
        <v>4320</v>
      </c>
      <c r="L109" s="73"/>
      <c r="Q109" s="73"/>
    </row>
    <row r="110" spans="2:17">
      <c r="B110" s="150"/>
      <c r="C110" s="150"/>
      <c r="D110" s="150" t="s">
        <v>126</v>
      </c>
      <c r="E110" s="150" t="str">
        <f>'Material Quantities &amp; Embodied '!F80</f>
        <v>Concrete - Mortar_screed - 1:4 cement:sand mix avg UK cement mix</v>
      </c>
      <c r="F110" s="1301">
        <f>'Material Quantities &amp; Embodied '!G80</f>
        <v>352293.57798165135</v>
      </c>
      <c r="G110" s="73" t="s">
        <v>208</v>
      </c>
      <c r="H110" s="1304">
        <f>IF(A94=0,0,Summary!C$13*Summary!C$14*Summary!C$15*Summary!C$16)</f>
        <v>2880</v>
      </c>
      <c r="I110" s="1304">
        <v>50</v>
      </c>
      <c r="J110" s="199">
        <f t="shared" si="9"/>
        <v>144000</v>
      </c>
      <c r="L110" s="73"/>
      <c r="Q110" s="73"/>
    </row>
    <row r="111" spans="2:17">
      <c r="B111" s="150"/>
      <c r="C111" s="150"/>
      <c r="D111" s="150" t="s">
        <v>128</v>
      </c>
      <c r="E111" s="150" t="str">
        <f>'Material Quantities &amp; Embodied '!F81</f>
        <v xml:space="preserve">Other - Granular_fill - </v>
      </c>
      <c r="F111" s="1301">
        <f>'Material Quantities &amp; Embodied '!G81</f>
        <v>880733.94495412835</v>
      </c>
      <c r="G111" s="73" t="s">
        <v>205</v>
      </c>
      <c r="H111" s="1304">
        <f>IF(A94=0,0,Summary!C$13*Summary!C$14*Summary!C$15*Summary!C$16*0.15)</f>
        <v>432</v>
      </c>
      <c r="I111" s="1304">
        <v>45</v>
      </c>
      <c r="J111" s="199">
        <f t="shared" si="9"/>
        <v>19440</v>
      </c>
      <c r="L111" s="73"/>
      <c r="Q111" s="73"/>
    </row>
    <row r="112" spans="2:17">
      <c r="B112" s="150"/>
      <c r="C112" s="150"/>
      <c r="D112" s="150" t="s">
        <v>211</v>
      </c>
      <c r="E112" s="150"/>
      <c r="F112" s="1301"/>
      <c r="G112" s="73" t="s">
        <v>208</v>
      </c>
      <c r="H112" s="1304">
        <f>IF(A94=0,0,Summary!C$13*Summary!C$14*Summary!C$15*Summary!C$16)</f>
        <v>2880</v>
      </c>
      <c r="I112" s="1304">
        <f>F$494</f>
        <v>50</v>
      </c>
      <c r="J112" s="199">
        <f t="shared" ref="J112" si="10">H112*I112</f>
        <v>144000</v>
      </c>
      <c r="L112" s="73"/>
      <c r="M112" s="150"/>
      <c r="N112" s="207"/>
      <c r="O112" s="152"/>
      <c r="P112" s="182"/>
      <c r="Q112" s="73"/>
    </row>
    <row r="113" spans="2:17">
      <c r="B113" s="150"/>
      <c r="C113" s="150"/>
      <c r="D113" s="150" t="s">
        <v>131</v>
      </c>
      <c r="E113" s="150" t="str">
        <f>'Material Quantities &amp; Embodied '!F82</f>
        <v>C32/40 - 25% GGBS</v>
      </c>
      <c r="F113" s="1301">
        <f>'Material Quantities &amp; Embodied '!G82</f>
        <v>577808.06167744356</v>
      </c>
      <c r="G113" s="73"/>
      <c r="H113" s="1304"/>
      <c r="I113" s="1304"/>
      <c r="J113" s="199">
        <f>Pile!N492</f>
        <v>239274.99999999994</v>
      </c>
      <c r="L113" s="73"/>
      <c r="Q113" s="73"/>
    </row>
    <row r="114" spans="2:17">
      <c r="B114" s="150"/>
      <c r="C114" s="150"/>
      <c r="D114" s="150" t="s">
        <v>132</v>
      </c>
      <c r="E114" s="150" t="str">
        <f>'Material Quantities &amp; Embodied '!F84</f>
        <v>C32/40 - 25% GGBS</v>
      </c>
      <c r="F114" s="1301">
        <f>'Material Quantities &amp; Embodied '!G84</f>
        <v>151376.14678899082</v>
      </c>
      <c r="G114" s="73"/>
      <c r="H114" s="1304"/>
      <c r="I114" s="1304"/>
      <c r="J114" s="199">
        <f>Pile!U492</f>
        <v>24595.3125</v>
      </c>
      <c r="L114" s="73"/>
      <c r="Q114" s="73"/>
    </row>
    <row r="115" spans="2:17">
      <c r="B115" s="150"/>
      <c r="C115" s="150"/>
      <c r="D115" s="150" t="s">
        <v>212</v>
      </c>
      <c r="E115" s="150"/>
      <c r="F115" s="1301"/>
      <c r="G115" s="198" t="s">
        <v>208</v>
      </c>
      <c r="H115" s="1304">
        <f>IF(A94=0,0,Summary!C$13*Summary!C$14*Summary!C$15*Summary!C$16)</f>
        <v>2880</v>
      </c>
      <c r="I115" s="1304">
        <f>F$514</f>
        <v>100</v>
      </c>
      <c r="J115" s="199">
        <f>H115*I115</f>
        <v>288000</v>
      </c>
      <c r="L115" s="73"/>
      <c r="Q115" s="73"/>
    </row>
    <row r="116" spans="2:17">
      <c r="B116" s="150"/>
      <c r="C116" s="150"/>
      <c r="D116" s="150" t="s">
        <v>213</v>
      </c>
      <c r="E116" s="150"/>
      <c r="F116" s="1301"/>
      <c r="G116" s="73" t="s">
        <v>214</v>
      </c>
      <c r="H116" s="1304">
        <f>IF(A94=0,0,CEILING((Summary!C$13*Summary!C$14*Summary!C$15*Summary!C$16)/(PI()*25^2),1))</f>
        <v>2</v>
      </c>
      <c r="I116" s="1304">
        <f>F$516</f>
        <v>20000</v>
      </c>
      <c r="J116" s="199">
        <f>H116*I116</f>
        <v>40000</v>
      </c>
      <c r="L116" s="73"/>
      <c r="M116" s="177"/>
      <c r="N116" s="177"/>
      <c r="O116" s="177"/>
      <c r="P116" s="177"/>
      <c r="Q116" s="177"/>
    </row>
    <row r="117" spans="2:17">
      <c r="B117" s="150"/>
      <c r="C117" s="150"/>
      <c r="D117" s="150" t="s">
        <v>134</v>
      </c>
      <c r="E117" s="150" t="str">
        <f>'Material Quantities &amp; Embodied '!F86</f>
        <v>C32/40 - 25% GGBS</v>
      </c>
      <c r="F117" s="1301">
        <f>'Material Quantities &amp; Embodied '!G86</f>
        <v>0</v>
      </c>
      <c r="G117" s="73" t="s">
        <v>205</v>
      </c>
      <c r="H117" s="1304">
        <f>F117/(24*1000/9.81)</f>
        <v>0</v>
      </c>
      <c r="I117" s="1304">
        <f>F$495</f>
        <v>195</v>
      </c>
      <c r="J117" s="199">
        <f t="shared" ref="J117:J124" si="11">H117*I117</f>
        <v>0</v>
      </c>
      <c r="L117" s="73"/>
      <c r="Q117" s="73"/>
    </row>
    <row r="118" spans="2:17">
      <c r="B118" s="150"/>
      <c r="C118" s="150"/>
      <c r="D118" s="150"/>
      <c r="E118" s="150" t="str">
        <f>'Material Quantities &amp; Embodied '!F87</f>
        <v>Steel - Rebar - UK: UK CARES avg EPD</v>
      </c>
      <c r="F118" s="1301">
        <f>'Material Quantities &amp; Embodied '!G87</f>
        <v>0</v>
      </c>
      <c r="G118" s="73" t="s">
        <v>206</v>
      </c>
      <c r="H118" s="1304">
        <f>F118/1000</f>
        <v>0</v>
      </c>
      <c r="I118" s="1304">
        <f>F$498</f>
        <v>1250</v>
      </c>
      <c r="J118" s="199">
        <f t="shared" si="11"/>
        <v>0</v>
      </c>
      <c r="L118" s="73"/>
      <c r="Q118" s="73"/>
    </row>
    <row r="119" spans="2:17">
      <c r="B119" s="150"/>
      <c r="C119" s="150"/>
      <c r="D119" s="150" t="s">
        <v>135</v>
      </c>
      <c r="E119" s="150" t="str">
        <f>'Material Quantities &amp; Embodied '!F88</f>
        <v>C32/40 - 25% GGBS</v>
      </c>
      <c r="F119" s="1301">
        <f>'Material Quantities &amp; Embodied '!G88</f>
        <v>0</v>
      </c>
      <c r="G119" s="73" t="s">
        <v>205</v>
      </c>
      <c r="H119" s="1304">
        <f>F119/(24*1000/9.81)</f>
        <v>0</v>
      </c>
      <c r="I119" s="1304">
        <f>F$497</f>
        <v>205</v>
      </c>
      <c r="J119" s="199">
        <f t="shared" si="11"/>
        <v>0</v>
      </c>
      <c r="L119" s="73"/>
      <c r="Q119" s="73"/>
    </row>
    <row r="120" spans="2:17">
      <c r="B120" s="150"/>
      <c r="C120" s="150"/>
      <c r="D120" s="150"/>
      <c r="E120" s="150" t="str">
        <f>'Material Quantities &amp; Embodied '!F89</f>
        <v>Steel - Rebar - UK: UK CARES avg EPD</v>
      </c>
      <c r="F120" s="1301">
        <f>'Material Quantities &amp; Embodied '!G89</f>
        <v>0</v>
      </c>
      <c r="G120" s="73" t="s">
        <v>206</v>
      </c>
      <c r="H120" s="1304">
        <f>F120/1000</f>
        <v>0</v>
      </c>
      <c r="I120" s="1304">
        <f>F$500</f>
        <v>1250</v>
      </c>
      <c r="J120" s="199">
        <f t="shared" si="11"/>
        <v>0</v>
      </c>
      <c r="L120" s="73"/>
      <c r="Q120" s="73"/>
    </row>
    <row r="121" spans="2:17">
      <c r="B121" s="150"/>
      <c r="C121" s="150"/>
      <c r="D121" s="150"/>
      <c r="E121" s="150" t="s">
        <v>210</v>
      </c>
      <c r="F121" s="1301"/>
      <c r="G121" s="73" t="s">
        <v>208</v>
      </c>
      <c r="H121" s="1304">
        <f>IF(A94=0,0,IF(Summary!J$13="Yes",Summary!J$14*2*(Summary!C$13*Summary!C$15+Summary!C$15*Summary!C$16),0))</f>
        <v>0</v>
      </c>
      <c r="I121" s="1304">
        <f>F$495</f>
        <v>195</v>
      </c>
      <c r="J121" s="199">
        <f t="shared" si="11"/>
        <v>0</v>
      </c>
      <c r="L121" s="73"/>
      <c r="M121" s="177"/>
      <c r="N121" s="177"/>
      <c r="O121" s="177"/>
      <c r="P121" s="177"/>
      <c r="Q121" s="177"/>
    </row>
    <row r="122" spans="2:17">
      <c r="B122" s="150"/>
      <c r="C122" s="150"/>
      <c r="D122" s="150" t="s">
        <v>136</v>
      </c>
      <c r="E122" s="150" t="str">
        <f>'Material Quantities &amp; Embodied '!F90</f>
        <v>C32/40 - 25% GGBS</v>
      </c>
      <c r="F122" s="1301">
        <f>'Material Quantities &amp; Embodied '!G90</f>
        <v>0</v>
      </c>
      <c r="G122" s="73" t="s">
        <v>205</v>
      </c>
      <c r="H122" s="1304">
        <f>F122/(24*1000/9.81)</f>
        <v>0</v>
      </c>
      <c r="I122" s="1304">
        <f>F$496</f>
        <v>215</v>
      </c>
      <c r="J122" s="199">
        <f t="shared" si="11"/>
        <v>0</v>
      </c>
      <c r="L122" s="73"/>
      <c r="Q122" s="73"/>
    </row>
    <row r="123" spans="2:17">
      <c r="B123" s="150"/>
      <c r="C123" s="150"/>
      <c r="D123" s="150"/>
      <c r="E123" s="150" t="str">
        <f>'Material Quantities &amp; Embodied '!F91</f>
        <v>Steel - Rebar - UK: UK CARES avg EPD</v>
      </c>
      <c r="F123" s="1301">
        <f>'Material Quantities &amp; Embodied '!G91</f>
        <v>0</v>
      </c>
      <c r="G123" s="73" t="s">
        <v>206</v>
      </c>
      <c r="H123" s="1304">
        <f>F123/1000</f>
        <v>0</v>
      </c>
      <c r="I123" s="1304">
        <f>F$499</f>
        <v>1250</v>
      </c>
      <c r="J123" s="199">
        <f t="shared" si="11"/>
        <v>0</v>
      </c>
      <c r="L123" s="73"/>
      <c r="Q123" s="73"/>
    </row>
    <row r="124" spans="2:17">
      <c r="B124" s="150"/>
      <c r="C124" s="150"/>
      <c r="D124" s="150"/>
      <c r="E124" s="150" t="s">
        <v>210</v>
      </c>
      <c r="F124" s="1301"/>
      <c r="G124" s="73" t="s">
        <v>208</v>
      </c>
      <c r="H124" s="1304">
        <f>IF(A94=0,0,SUM(Basement!O99,Basement!O112,Basement!O125))</f>
        <v>0</v>
      </c>
      <c r="I124" s="1304">
        <f>F$504</f>
        <v>80</v>
      </c>
      <c r="J124" s="199">
        <f t="shared" si="11"/>
        <v>0</v>
      </c>
      <c r="L124" s="73"/>
      <c r="Q124" s="73"/>
    </row>
    <row r="125" spans="2:17">
      <c r="B125" s="150"/>
      <c r="C125" s="150"/>
      <c r="D125" s="182" t="s">
        <v>137</v>
      </c>
      <c r="E125" s="150" t="str">
        <f>'Material Quantities &amp; Embodied '!F92</f>
        <v>C32/40 - 25% GGBS</v>
      </c>
      <c r="F125" s="1301">
        <f>'Material Quantities &amp; Embodied '!G92</f>
        <v>0</v>
      </c>
      <c r="G125" s="73"/>
      <c r="H125" s="1304"/>
      <c r="I125" s="1304"/>
      <c r="J125" s="199">
        <f>IF(A94=0,0,H$546)</f>
        <v>0</v>
      </c>
      <c r="L125" s="73"/>
      <c r="Q125" s="73"/>
    </row>
    <row r="126" spans="2:17">
      <c r="B126" s="150"/>
      <c r="C126" s="150"/>
      <c r="D126" s="182"/>
      <c r="E126" s="150" t="str">
        <f>'Material Quantities &amp; Embodied '!F93</f>
        <v>Steel - Rebar - UK: UK CARES avg EPD</v>
      </c>
      <c r="F126" s="1301">
        <f>'Material Quantities &amp; Embodied '!G93</f>
        <v>0</v>
      </c>
      <c r="G126" s="73"/>
      <c r="H126" s="1304"/>
      <c r="I126" s="1304"/>
      <c r="J126" s="199" t="s">
        <v>215</v>
      </c>
      <c r="L126" s="73"/>
      <c r="Q126" s="73"/>
    </row>
    <row r="127" spans="2:17">
      <c r="B127" s="150"/>
      <c r="C127" s="150"/>
      <c r="D127" s="182" t="s">
        <v>216</v>
      </c>
      <c r="E127" s="150"/>
      <c r="F127" s="1301">
        <f>'Material Quantities &amp; Embodied '!G94</f>
        <v>2093680.7339449541</v>
      </c>
      <c r="G127" s="151" t="s">
        <v>205</v>
      </c>
      <c r="H127" s="1301">
        <f>F127/(20*1000/9.81)</f>
        <v>1026.9503999999999</v>
      </c>
      <c r="I127" s="1301">
        <f>F$493</f>
        <v>65</v>
      </c>
      <c r="J127" s="204">
        <f>H127*I127</f>
        <v>66751.775999999998</v>
      </c>
      <c r="K127" s="205"/>
      <c r="L127" s="73"/>
      <c r="M127" s="177"/>
      <c r="N127" s="177"/>
      <c r="O127" s="177"/>
      <c r="P127" s="177"/>
      <c r="Q127" s="177"/>
    </row>
    <row r="128" spans="2:17">
      <c r="B128" s="150"/>
      <c r="C128" s="179"/>
      <c r="D128" s="183" t="s">
        <v>217</v>
      </c>
      <c r="E128" s="179"/>
      <c r="F128" s="1302">
        <f>'Material Quantities &amp; Embodied '!G96</f>
        <v>0</v>
      </c>
      <c r="G128" s="180" t="s">
        <v>205</v>
      </c>
      <c r="H128" s="1302">
        <f>F128/(20*1000/9.81)</f>
        <v>0</v>
      </c>
      <c r="I128" s="1302">
        <f>F$493</f>
        <v>65</v>
      </c>
      <c r="J128" s="206">
        <f>H128*I128</f>
        <v>0</v>
      </c>
      <c r="K128" s="203">
        <f>SUM(J106:J128)</f>
        <v>1123768.0085</v>
      </c>
      <c r="L128" s="73"/>
      <c r="M128" s="177"/>
      <c r="N128" s="177"/>
      <c r="O128" s="177"/>
      <c r="P128" s="177"/>
      <c r="Q128" s="177"/>
    </row>
    <row r="129" spans="1:17">
      <c r="B129" s="150"/>
      <c r="C129" s="150" t="s">
        <v>218</v>
      </c>
      <c r="D129" s="150" t="s">
        <v>219</v>
      </c>
      <c r="E129" s="150"/>
      <c r="F129" s="151"/>
      <c r="G129" s="151"/>
      <c r="H129" s="151"/>
      <c r="I129" s="151"/>
      <c r="J129" s="204">
        <f>0.05*SUM(J94:J128)</f>
        <v>103568.43805072656</v>
      </c>
      <c r="L129" s="73"/>
      <c r="M129" s="177"/>
      <c r="N129" s="177"/>
      <c r="O129" s="177"/>
      <c r="P129" s="177"/>
      <c r="Q129" s="177"/>
    </row>
    <row r="130" spans="1:17">
      <c r="B130" s="152"/>
      <c r="C130" s="150"/>
      <c r="D130" s="150" t="s">
        <v>220</v>
      </c>
      <c r="E130" s="150"/>
      <c r="F130" s="151"/>
      <c r="G130" s="151"/>
      <c r="H130" s="151"/>
      <c r="I130" s="151"/>
      <c r="J130" s="204">
        <f>0.22*SUM(J94:J128)</f>
        <v>455701.12742319686</v>
      </c>
      <c r="L130" s="73"/>
      <c r="Q130" s="73"/>
    </row>
    <row r="131" spans="1:17">
      <c r="B131" s="184"/>
      <c r="C131" s="179"/>
      <c r="D131" s="179" t="s">
        <v>221</v>
      </c>
      <c r="E131" s="179"/>
      <c r="F131" s="180"/>
      <c r="G131" s="180"/>
      <c r="H131" s="180"/>
      <c r="I131" s="180"/>
      <c r="J131" s="206">
        <f>0.1*SUM(J94:J128)</f>
        <v>207136.87610145312</v>
      </c>
      <c r="K131" s="203">
        <f>SUM(J129:J131)</f>
        <v>766406.44157537655</v>
      </c>
      <c r="L131" s="73"/>
      <c r="Q131" s="73"/>
    </row>
    <row r="132" spans="1:17">
      <c r="B132" s="150"/>
      <c r="C132" s="150"/>
      <c r="D132" s="150"/>
      <c r="E132" s="150"/>
      <c r="F132" s="151"/>
      <c r="G132" s="73"/>
      <c r="I132" s="198"/>
      <c r="J132" s="199"/>
      <c r="K132" s="191">
        <f>SUM(K94:K131)</f>
        <v>2837775.2025899077</v>
      </c>
      <c r="L132" s="73"/>
      <c r="Q132" s="73"/>
    </row>
    <row r="133" spans="1:17">
      <c r="B133" s="150"/>
      <c r="C133" s="150"/>
      <c r="D133" s="150"/>
      <c r="E133" s="150"/>
      <c r="F133" s="151"/>
      <c r="G133" s="73"/>
      <c r="I133" s="198"/>
      <c r="J133" s="199"/>
      <c r="L133" s="73"/>
      <c r="Q133" s="73"/>
    </row>
    <row r="134" spans="1:17" ht="12.75" thickBot="1">
      <c r="B134" s="172"/>
      <c r="C134" s="172"/>
      <c r="D134" s="172"/>
      <c r="E134" s="172"/>
      <c r="F134" s="173"/>
      <c r="G134" s="193"/>
      <c r="H134" s="193"/>
      <c r="I134" s="208"/>
      <c r="J134" s="209"/>
      <c r="K134" s="194"/>
      <c r="L134" s="73"/>
      <c r="Q134" s="73"/>
    </row>
    <row r="135" spans="1:17">
      <c r="B135" s="150"/>
      <c r="C135" s="150"/>
      <c r="D135" s="150"/>
      <c r="E135" s="150"/>
      <c r="F135" s="151"/>
      <c r="G135" s="73"/>
      <c r="I135" s="198"/>
      <c r="J135" s="199"/>
      <c r="L135" s="73"/>
      <c r="Q135" s="73"/>
    </row>
    <row r="136" spans="1:17">
      <c r="B136" s="150"/>
      <c r="C136" s="150"/>
      <c r="D136" s="150"/>
      <c r="E136" s="150"/>
      <c r="F136" s="151"/>
      <c r="G136" s="73"/>
      <c r="I136" s="198"/>
      <c r="J136" s="199"/>
      <c r="L136" s="73"/>
      <c r="Q136" s="73"/>
    </row>
    <row r="137" spans="1:17" ht="24.75" thickBot="1">
      <c r="B137" s="175" t="s">
        <v>22</v>
      </c>
      <c r="C137" s="175" t="s">
        <v>100</v>
      </c>
      <c r="D137" s="175" t="s">
        <v>101</v>
      </c>
      <c r="E137" s="175" t="s">
        <v>103</v>
      </c>
      <c r="F137" s="72" t="str">
        <f>'Material Quantities &amp; Embodied '!G101</f>
        <v>Material Quantity [kg]</v>
      </c>
      <c r="G137" s="72" t="s">
        <v>201</v>
      </c>
      <c r="H137" s="72" t="s">
        <v>192</v>
      </c>
      <c r="I137" s="72" t="s">
        <v>222</v>
      </c>
      <c r="J137" s="197" t="s">
        <v>203</v>
      </c>
      <c r="K137" s="197" t="s">
        <v>204</v>
      </c>
      <c r="L137" s="73"/>
      <c r="Q137" s="73"/>
    </row>
    <row r="138" spans="1:17">
      <c r="A138" s="190">
        <f>'Material Quantities &amp; Embodied '!A102</f>
        <v>0.27500000000000002</v>
      </c>
      <c r="B138" s="150" t="str">
        <f>Database!D20</f>
        <v>Two-way RC Slab</v>
      </c>
      <c r="C138" s="150" t="s">
        <v>114</v>
      </c>
      <c r="D138" s="150" t="s">
        <v>115</v>
      </c>
      <c r="E138" s="150" t="str">
        <f>'Material Quantities &amp; Embodied '!F102</f>
        <v>C32/40 - 25% GGBS</v>
      </c>
      <c r="F138" s="1301">
        <f>'Material Quantities &amp; Embodied '!G102</f>
        <v>2161514.7265077159</v>
      </c>
      <c r="G138" s="73" t="s">
        <v>205</v>
      </c>
      <c r="H138" s="1304">
        <f>F138/(24*1000/9.81)</f>
        <v>883.519144460029</v>
      </c>
      <c r="I138" s="1304">
        <f>F$495</f>
        <v>195</v>
      </c>
      <c r="J138" s="199">
        <f>H138*I138</f>
        <v>172286.23316970567</v>
      </c>
      <c r="L138" s="73"/>
      <c r="Q138" s="73"/>
    </row>
    <row r="139" spans="1:17">
      <c r="B139" s="150"/>
      <c r="C139" s="150"/>
      <c r="D139" s="150"/>
      <c r="E139" s="150" t="str">
        <f>'Material Quantities &amp; Embodied '!F103</f>
        <v>Steel - Rebar - UK: UK CARES avg EPD</v>
      </c>
      <c r="F139" s="1301">
        <f>'Material Quantities &amp; Embodied '!G103</f>
        <v>166325.04908835952</v>
      </c>
      <c r="G139" s="73" t="s">
        <v>206</v>
      </c>
      <c r="H139" s="1304">
        <f>F139/1000</f>
        <v>166.32504908835952</v>
      </c>
      <c r="I139" s="1304">
        <f>F$498</f>
        <v>1250</v>
      </c>
      <c r="J139" s="199">
        <f t="shared" ref="J139:J147" si="12">H139*I139</f>
        <v>207906.31136044941</v>
      </c>
      <c r="L139" s="73"/>
      <c r="Q139" s="73"/>
    </row>
    <row r="140" spans="1:17">
      <c r="B140" s="150"/>
      <c r="C140" s="150"/>
      <c r="D140" s="150"/>
      <c r="E140" s="150" t="s">
        <v>207</v>
      </c>
      <c r="F140" s="1301"/>
      <c r="G140" s="73" t="s">
        <v>208</v>
      </c>
      <c r="H140" s="1304">
        <f>IF(A138=0,0,Summary!C$13*Summary!C$14*Summary!C$15*Summary!C$16*Summary!C$17)</f>
        <v>5760</v>
      </c>
      <c r="I140" s="1304">
        <f>F$503</f>
        <v>50</v>
      </c>
      <c r="J140" s="199">
        <f>H141*I140</f>
        <v>61379.999999999993</v>
      </c>
      <c r="L140" s="73"/>
      <c r="Q140" s="73"/>
    </row>
    <row r="141" spans="1:17">
      <c r="B141" s="150"/>
      <c r="C141" s="150"/>
      <c r="D141" s="150"/>
      <c r="E141" s="150" t="s">
        <v>224</v>
      </c>
      <c r="F141" s="1301"/>
      <c r="G141" s="73" t="s">
        <v>208</v>
      </c>
      <c r="H141" s="1304">
        <f>IF(A138=0,0,IF(Summary!J8="No",(2*Database!Q19*Summary!C$14*(Summary!C$15+1)*Summary!C$16*Summary!C$17+2*Database!P20*Summary!C$13*Summary!C$15*(Summary!C$16+1)*Summary!C$17),(2*Database!Q19*Summary!C$14*(Summary!C$15+1)*Summary!C$16*Summary!C$17+2*Database!P20*Summary!C$13*Summary!C$15*(Summary!C$16+1)*(Summary!C$17-1))))</f>
        <v>1227.5999999999999</v>
      </c>
      <c r="I141" s="1304">
        <f>F504</f>
        <v>80</v>
      </c>
      <c r="J141" s="199">
        <f>H141*I141</f>
        <v>98208</v>
      </c>
      <c r="L141" s="73"/>
      <c r="Q141" s="73"/>
    </row>
    <row r="142" spans="1:17">
      <c r="B142" s="150"/>
      <c r="C142" s="150"/>
      <c r="D142" s="150"/>
      <c r="E142" s="150" t="s">
        <v>209</v>
      </c>
      <c r="F142" s="1301"/>
      <c r="G142" s="73" t="s">
        <v>15</v>
      </c>
      <c r="H142" s="1304">
        <f>IF(A138=0,0,Summary!C$17*2*(Summary!C$13*Summary!C$15+Summary!C$14*Summary!C$16))</f>
        <v>432</v>
      </c>
      <c r="I142" s="1304">
        <v>20</v>
      </c>
      <c r="J142" s="199">
        <f t="shared" si="12"/>
        <v>8640</v>
      </c>
      <c r="L142" s="73"/>
      <c r="Q142" s="73"/>
    </row>
    <row r="143" spans="1:17">
      <c r="B143" s="150"/>
      <c r="C143" s="150"/>
      <c r="D143" s="150" t="s">
        <v>27</v>
      </c>
      <c r="E143" s="150" t="str">
        <f>'Material Quantities &amp; Embodied '!F108</f>
        <v>C32/40 - 25% GGBS</v>
      </c>
      <c r="F143" s="1301">
        <f>'Material Quantities &amp; Embodied '!G108</f>
        <v>0</v>
      </c>
      <c r="G143" s="73" t="s">
        <v>205</v>
      </c>
      <c r="H143" s="1304">
        <f>F143/(24*1000/9.81)</f>
        <v>0</v>
      </c>
      <c r="I143" s="1304">
        <f>F$495</f>
        <v>195</v>
      </c>
      <c r="J143" s="199">
        <f t="shared" si="12"/>
        <v>0</v>
      </c>
      <c r="L143" s="73"/>
      <c r="Q143" s="73"/>
    </row>
    <row r="144" spans="1:17">
      <c r="B144" s="150"/>
      <c r="C144" s="150"/>
      <c r="D144" s="150"/>
      <c r="E144" s="150" t="str">
        <f>'Material Quantities &amp; Embodied '!F109</f>
        <v>Steel - Rebar - UK: UK CARES avg EPD</v>
      </c>
      <c r="F144" s="1301">
        <f>'Material Quantities &amp; Embodied '!G109</f>
        <v>0</v>
      </c>
      <c r="G144" s="73" t="s">
        <v>206</v>
      </c>
      <c r="H144" s="1304">
        <f>F144/1000</f>
        <v>0</v>
      </c>
      <c r="I144" s="1304">
        <f>F$498</f>
        <v>1250</v>
      </c>
      <c r="J144" s="199">
        <f t="shared" si="12"/>
        <v>0</v>
      </c>
      <c r="L144" s="73"/>
      <c r="Q144" s="73"/>
    </row>
    <row r="145" spans="2:17">
      <c r="B145" s="150"/>
      <c r="C145" s="150"/>
      <c r="D145" s="150" t="s">
        <v>119</v>
      </c>
      <c r="E145" s="150" t="str">
        <f>'Material Quantities &amp; Embodied '!F104</f>
        <v>C32/40 - 25% GGBS</v>
      </c>
      <c r="F145" s="1301">
        <f>'Material Quantities &amp; Embodied '!G104</f>
        <v>90825.688073394485</v>
      </c>
      <c r="G145" s="73" t="s">
        <v>205</v>
      </c>
      <c r="H145" s="1304">
        <f>F145/(24*1000/9.81)</f>
        <v>37.125</v>
      </c>
      <c r="I145" s="1304">
        <f>F$496</f>
        <v>215</v>
      </c>
      <c r="J145" s="199">
        <f t="shared" si="12"/>
        <v>7981.875</v>
      </c>
      <c r="L145" s="73"/>
      <c r="Q145" s="73"/>
    </row>
    <row r="146" spans="2:17">
      <c r="B146" s="150"/>
      <c r="C146" s="150"/>
      <c r="D146" s="150"/>
      <c r="E146" s="150" t="str">
        <f>'Material Quantities &amp; Embodied '!F105</f>
        <v>Steel - Rebar - UK: UK CARES avg EPD</v>
      </c>
      <c r="F146" s="1301">
        <f>'Material Quantities &amp; Embodied '!G105</f>
        <v>11657.250000000002</v>
      </c>
      <c r="G146" s="73" t="s">
        <v>206</v>
      </c>
      <c r="H146" s="1304">
        <f>F146/1000</f>
        <v>11.657250000000001</v>
      </c>
      <c r="I146" s="1304">
        <f>F$499</f>
        <v>1250</v>
      </c>
      <c r="J146" s="199">
        <f t="shared" si="12"/>
        <v>14571.562500000002</v>
      </c>
      <c r="L146" s="73"/>
      <c r="Q146" s="73"/>
    </row>
    <row r="147" spans="2:17">
      <c r="B147" s="150"/>
      <c r="C147" s="150"/>
      <c r="D147" s="150"/>
      <c r="E147" s="150" t="s">
        <v>210</v>
      </c>
      <c r="F147" s="1301"/>
      <c r="G147" s="73" t="s">
        <v>208</v>
      </c>
      <c r="H147" s="1304">
        <f>IF(A138=0,0,'RC Column'!O63)</f>
        <v>594</v>
      </c>
      <c r="I147" s="1304">
        <f>F$504</f>
        <v>80</v>
      </c>
      <c r="J147" s="199">
        <f t="shared" si="12"/>
        <v>47520</v>
      </c>
      <c r="L147" s="73"/>
      <c r="Q147" s="73"/>
    </row>
    <row r="148" spans="2:17">
      <c r="B148" s="150"/>
      <c r="C148" s="150"/>
      <c r="D148" s="150" t="s">
        <v>120</v>
      </c>
      <c r="E148" s="150" t="str">
        <f>'Material Quantities &amp; Embodied '!F106</f>
        <v>C32/40 - 25% GGBS</v>
      </c>
      <c r="F148" s="1301">
        <f>'Material Quantities &amp; Embodied '!G106</f>
        <v>35511.192660550463</v>
      </c>
      <c r="G148" s="73" t="s">
        <v>205</v>
      </c>
      <c r="H148" s="1304">
        <f>F148/(24*1000/9.81)</f>
        <v>14.515200000000004</v>
      </c>
      <c r="I148" s="1304">
        <f>F$497</f>
        <v>205</v>
      </c>
      <c r="J148" s="199">
        <f t="shared" ref="J148:J149" si="13">H148*I148</f>
        <v>2975.6160000000009</v>
      </c>
      <c r="L148" s="73"/>
      <c r="Q148" s="73"/>
    </row>
    <row r="149" spans="2:17">
      <c r="B149" s="150"/>
      <c r="C149" s="150"/>
      <c r="D149" s="150"/>
      <c r="E149" s="150" t="str">
        <f>'Material Quantities &amp; Embodied '!F107</f>
        <v>Steel - Rebar - UK: UK CARES avg EPD</v>
      </c>
      <c r="F149" s="1301">
        <f>'Material Quantities &amp; Embodied '!G107</f>
        <v>1255.5424159501063</v>
      </c>
      <c r="G149" s="73" t="s">
        <v>206</v>
      </c>
      <c r="H149" s="1304">
        <f>F149/1000</f>
        <v>1.2555424159501063</v>
      </c>
      <c r="I149" s="1304">
        <f>F$500</f>
        <v>1250</v>
      </c>
      <c r="J149" s="199">
        <f t="shared" si="13"/>
        <v>1569.4280199376328</v>
      </c>
    </row>
    <row r="150" spans="2:17">
      <c r="B150" s="150"/>
      <c r="C150" s="179"/>
      <c r="D150" s="179"/>
      <c r="E150" s="179" t="s">
        <v>210</v>
      </c>
      <c r="F150" s="1302"/>
      <c r="G150" s="200" t="s">
        <v>208</v>
      </c>
      <c r="H150" s="1305">
        <f>IF(A138=0,0,'Shear Walls'!U132)</f>
        <v>165.31200000000001</v>
      </c>
      <c r="I150" s="1305">
        <f>F505</f>
        <v>70</v>
      </c>
      <c r="J150" s="202">
        <f t="shared" ref="J150:J156" si="14">H150*I150</f>
        <v>11571.84</v>
      </c>
      <c r="K150" s="203">
        <f>SUM(J138:J150)</f>
        <v>634610.86605009274</v>
      </c>
    </row>
    <row r="151" spans="2:17">
      <c r="B151" s="150"/>
      <c r="C151" s="150" t="s">
        <v>123</v>
      </c>
      <c r="D151" s="150" t="s">
        <v>124</v>
      </c>
      <c r="E151" s="150" t="str">
        <f>'Material Quantities &amp; Embodied '!F110</f>
        <v>C32/40 - 25% GGBS</v>
      </c>
      <c r="F151" s="1301">
        <f>'Material Quantities &amp; Embodied '!G110</f>
        <v>1382400</v>
      </c>
      <c r="G151" s="73" t="s">
        <v>205</v>
      </c>
      <c r="H151" s="1304">
        <f>F151/(24*1000/9.81)</f>
        <v>565.05600000000004</v>
      </c>
      <c r="I151" s="1304">
        <f>F$495</f>
        <v>195</v>
      </c>
      <c r="J151" s="199">
        <f t="shared" si="14"/>
        <v>110185.92000000001</v>
      </c>
    </row>
    <row r="152" spans="2:17">
      <c r="B152" s="150"/>
      <c r="C152" s="150"/>
      <c r="D152" s="150"/>
      <c r="E152" s="150" t="str">
        <f>'Material Quantities &amp; Embodied '!F111</f>
        <v>Steel - Rebar - UK: UK CARES avg EPD</v>
      </c>
      <c r="F152" s="1301">
        <f>'Material Quantities &amp; Embodied '!G111</f>
        <v>34560</v>
      </c>
      <c r="G152" s="73" t="s">
        <v>206</v>
      </c>
      <c r="H152" s="1304">
        <f>F152/1000</f>
        <v>34.56</v>
      </c>
      <c r="I152" s="1304">
        <f>F$498</f>
        <v>1250</v>
      </c>
      <c r="J152" s="199">
        <f t="shared" si="14"/>
        <v>43200</v>
      </c>
    </row>
    <row r="153" spans="2:17">
      <c r="B153" s="150"/>
      <c r="C153" s="150"/>
      <c r="D153" s="150"/>
      <c r="E153" s="150" t="s">
        <v>207</v>
      </c>
      <c r="F153" s="1301"/>
      <c r="G153" s="73" t="s">
        <v>208</v>
      </c>
      <c r="H153" s="1304">
        <f>IF(A138=0,0,IF(Summary!J$13="Yes",Summary!C$13*Summary!C$14*Summary!C$15*Summary!C$16,0))</f>
        <v>0</v>
      </c>
      <c r="I153" s="1304">
        <v>50</v>
      </c>
      <c r="J153" s="199">
        <f>H153*I153</f>
        <v>0</v>
      </c>
    </row>
    <row r="154" spans="2:17">
      <c r="B154" s="150"/>
      <c r="C154" s="150"/>
      <c r="D154" s="150"/>
      <c r="E154" s="150" t="s">
        <v>209</v>
      </c>
      <c r="F154" s="1306"/>
      <c r="G154" s="73" t="s">
        <v>15</v>
      </c>
      <c r="H154" s="1304">
        <f>IF(A138=0,0,2*(Summary!C$13*Summary!C$15+Summary!C$14*Summary!C$16))</f>
        <v>216</v>
      </c>
      <c r="I154" s="1304">
        <v>20</v>
      </c>
      <c r="J154" s="199">
        <f>H154*I154</f>
        <v>4320</v>
      </c>
    </row>
    <row r="155" spans="2:17">
      <c r="B155" s="150"/>
      <c r="C155" s="150"/>
      <c r="D155" s="150" t="s">
        <v>126</v>
      </c>
      <c r="E155" s="150" t="str">
        <f>'Material Quantities &amp; Embodied '!F112</f>
        <v>Concrete - Mortar_screed - 1:4 cement:sand mix avg UK cement mix</v>
      </c>
      <c r="F155" s="1301">
        <f>'Material Quantities &amp; Embodied '!G112</f>
        <v>352293.57798165135</v>
      </c>
      <c r="G155" s="73" t="s">
        <v>208</v>
      </c>
      <c r="H155" s="1304">
        <f>Summary!C$13*Summary!C$14*Summary!C$15*Summary!C$16</f>
        <v>2880</v>
      </c>
      <c r="I155" s="1304">
        <v>50</v>
      </c>
      <c r="J155" s="199">
        <f t="shared" si="14"/>
        <v>144000</v>
      </c>
    </row>
    <row r="156" spans="2:17">
      <c r="B156" s="150"/>
      <c r="C156" s="150"/>
      <c r="D156" s="150" t="s">
        <v>128</v>
      </c>
      <c r="E156" s="150" t="str">
        <f>'Material Quantities &amp; Embodied '!F113</f>
        <v xml:space="preserve">Other - Granular_fill - </v>
      </c>
      <c r="F156" s="1301">
        <f>'Material Quantities &amp; Embodied '!G113</f>
        <v>880733.94495412835</v>
      </c>
      <c r="G156" s="73" t="s">
        <v>205</v>
      </c>
      <c r="H156" s="1304">
        <f>IF(A138=0,0,Summary!C$13*Summary!C$14*Summary!C$15*Summary!C$16*0.15)</f>
        <v>432</v>
      </c>
      <c r="I156" s="1304">
        <v>45</v>
      </c>
      <c r="J156" s="199">
        <f t="shared" si="14"/>
        <v>19440</v>
      </c>
    </row>
    <row r="157" spans="2:17">
      <c r="B157" s="150"/>
      <c r="C157" s="150"/>
      <c r="D157" s="150" t="s">
        <v>211</v>
      </c>
      <c r="E157" s="150"/>
      <c r="F157" s="1301"/>
      <c r="G157" s="73" t="s">
        <v>208</v>
      </c>
      <c r="H157" s="1304">
        <f>IF(A138=0,0,Summary!C$13*Summary!C$14*Summary!C$15*Summary!C$16)</f>
        <v>2880</v>
      </c>
      <c r="I157" s="1304">
        <f>F$494</f>
        <v>50</v>
      </c>
      <c r="J157" s="199">
        <f t="shared" ref="J157" si="15">H157*I157</f>
        <v>144000</v>
      </c>
      <c r="L157" s="73"/>
      <c r="M157" s="150"/>
      <c r="N157" s="207"/>
      <c r="O157" s="152"/>
      <c r="P157" s="182"/>
      <c r="Q157" s="73"/>
    </row>
    <row r="158" spans="2:17">
      <c r="B158" s="150"/>
      <c r="C158" s="150"/>
      <c r="D158" s="150" t="s">
        <v>131</v>
      </c>
      <c r="E158" s="150" t="str">
        <f>'Material Quantities &amp; Embodied '!F114</f>
        <v>C32/40 - 25% GGBS</v>
      </c>
      <c r="F158" s="1301">
        <f>'Material Quantities &amp; Embodied '!G114</f>
        <v>588313.66279885173</v>
      </c>
      <c r="G158" s="73"/>
      <c r="H158" s="1304"/>
      <c r="I158" s="1304"/>
      <c r="J158" s="199">
        <f>Pile!N493</f>
        <v>243079.99999999994</v>
      </c>
    </row>
    <row r="159" spans="2:17">
      <c r="B159" s="150"/>
      <c r="C159" s="150"/>
      <c r="D159" s="150" t="s">
        <v>132</v>
      </c>
      <c r="E159" s="150" t="str">
        <f>'Material Quantities &amp; Embodied '!F116</f>
        <v>C32/40 - 25% GGBS</v>
      </c>
      <c r="F159" s="1301">
        <f>'Material Quantities &amp; Embodied '!G116</f>
        <v>154128.44036697247</v>
      </c>
      <c r="G159" s="73"/>
      <c r="H159" s="1304"/>
      <c r="I159" s="1304"/>
      <c r="J159" s="199">
        <f>Pile!U493</f>
        <v>25042.5</v>
      </c>
    </row>
    <row r="160" spans="2:17">
      <c r="B160" s="150"/>
      <c r="C160" s="150"/>
      <c r="D160" s="150" t="s">
        <v>212</v>
      </c>
      <c r="E160" s="150"/>
      <c r="F160" s="1301"/>
      <c r="G160" s="198" t="s">
        <v>208</v>
      </c>
      <c r="H160" s="1304">
        <f>IF(A138=0,0,Summary!C$13*Summary!C$14*Summary!C$15*Summary!C$16)</f>
        <v>2880</v>
      </c>
      <c r="I160" s="1304">
        <f>F$514</f>
        <v>100</v>
      </c>
      <c r="J160" s="199">
        <f>H160*I160</f>
        <v>288000</v>
      </c>
    </row>
    <row r="161" spans="2:17">
      <c r="B161" s="150"/>
      <c r="C161" s="150"/>
      <c r="D161" s="150" t="s">
        <v>213</v>
      </c>
      <c r="E161" s="150"/>
      <c r="F161" s="1301"/>
      <c r="G161" s="73" t="s">
        <v>214</v>
      </c>
      <c r="H161" s="1304">
        <f>IF(A138=0,0,CEILING((Summary!C$13*Summary!C$14*Summary!C$15*Summary!C$16)/(PI()*25^2),1))</f>
        <v>2</v>
      </c>
      <c r="I161" s="1304">
        <f>F$516</f>
        <v>20000</v>
      </c>
      <c r="J161" s="199">
        <f>H161*I161</f>
        <v>40000</v>
      </c>
      <c r="L161" s="73"/>
      <c r="M161" s="177"/>
      <c r="N161" s="177"/>
      <c r="O161" s="177"/>
      <c r="P161" s="177"/>
      <c r="Q161" s="177"/>
    </row>
    <row r="162" spans="2:17">
      <c r="B162" s="150"/>
      <c r="C162" s="150"/>
      <c r="D162" s="150" t="s">
        <v>134</v>
      </c>
      <c r="E162" s="150" t="str">
        <f>'Material Quantities &amp; Embodied '!F118</f>
        <v>C32/40 - 25% GGBS</v>
      </c>
      <c r="F162" s="1301">
        <f>'Material Quantities &amp; Embodied '!G118</f>
        <v>0</v>
      </c>
      <c r="G162" s="73" t="s">
        <v>205</v>
      </c>
      <c r="H162" s="1304">
        <f>F162/(24*1000/9.81)</f>
        <v>0</v>
      </c>
      <c r="I162" s="1304">
        <f>F$495</f>
        <v>195</v>
      </c>
      <c r="J162" s="199">
        <f t="shared" ref="J162:J169" si="16">H162*I162</f>
        <v>0</v>
      </c>
    </row>
    <row r="163" spans="2:17">
      <c r="B163" s="150"/>
      <c r="C163" s="150"/>
      <c r="D163" s="150"/>
      <c r="E163" s="150" t="str">
        <f>'Material Quantities &amp; Embodied '!F119</f>
        <v>Steel - Rebar - UK: UK CARES avg EPD</v>
      </c>
      <c r="F163" s="1301">
        <f>'Material Quantities &amp; Embodied '!G119</f>
        <v>0</v>
      </c>
      <c r="G163" s="73" t="s">
        <v>206</v>
      </c>
      <c r="H163" s="1304">
        <f>F163/1000</f>
        <v>0</v>
      </c>
      <c r="I163" s="1304">
        <f>F$498</f>
        <v>1250</v>
      </c>
      <c r="J163" s="199">
        <f t="shared" si="16"/>
        <v>0</v>
      </c>
    </row>
    <row r="164" spans="2:17">
      <c r="B164" s="150"/>
      <c r="C164" s="150"/>
      <c r="D164" s="150" t="s">
        <v>135</v>
      </c>
      <c r="E164" s="150" t="str">
        <f>'Material Quantities &amp; Embodied '!F120</f>
        <v>C32/40 - 25% GGBS</v>
      </c>
      <c r="F164" s="1301">
        <f>'Material Quantities &amp; Embodied '!G120</f>
        <v>0</v>
      </c>
      <c r="G164" s="73" t="s">
        <v>205</v>
      </c>
      <c r="H164" s="1304">
        <f>F164/(24*1000/9.81)</f>
        <v>0</v>
      </c>
      <c r="I164" s="1304">
        <f>F$497</f>
        <v>205</v>
      </c>
      <c r="J164" s="199">
        <f t="shared" si="16"/>
        <v>0</v>
      </c>
    </row>
    <row r="165" spans="2:17">
      <c r="B165" s="150"/>
      <c r="C165" s="150"/>
      <c r="D165" s="150"/>
      <c r="E165" s="150" t="str">
        <f>'Material Quantities &amp; Embodied '!F121</f>
        <v>Steel - Rebar - UK: UK CARES avg EPD</v>
      </c>
      <c r="F165" s="1301">
        <f>'Material Quantities &amp; Embodied '!G121</f>
        <v>0</v>
      </c>
      <c r="G165" s="73" t="s">
        <v>206</v>
      </c>
      <c r="H165" s="1304">
        <f>F165/1000</f>
        <v>0</v>
      </c>
      <c r="I165" s="1304">
        <f>F$500</f>
        <v>1250</v>
      </c>
      <c r="J165" s="199">
        <f t="shared" si="16"/>
        <v>0</v>
      </c>
    </row>
    <row r="166" spans="2:17">
      <c r="B166" s="150"/>
      <c r="C166" s="150"/>
      <c r="D166" s="150"/>
      <c r="E166" s="150" t="s">
        <v>210</v>
      </c>
      <c r="F166" s="1301"/>
      <c r="G166" s="73" t="s">
        <v>208</v>
      </c>
      <c r="H166" s="1304">
        <f>IF(A138=0,0,IF(Summary!J$13="Yes",Summary!J$14*2*(Summary!C$13*Summary!C$15+Summary!C$15*Summary!C$16),0))</f>
        <v>0</v>
      </c>
      <c r="I166" s="1304">
        <f>F$495</f>
        <v>195</v>
      </c>
      <c r="J166" s="199">
        <f t="shared" si="16"/>
        <v>0</v>
      </c>
      <c r="L166" s="73"/>
      <c r="M166" s="177"/>
      <c r="N166" s="177"/>
      <c r="O166" s="177"/>
      <c r="P166" s="177"/>
      <c r="Q166" s="177"/>
    </row>
    <row r="167" spans="2:17">
      <c r="B167" s="150"/>
      <c r="C167" s="150"/>
      <c r="D167" s="150" t="s">
        <v>136</v>
      </c>
      <c r="E167" s="150" t="str">
        <f>'Material Quantities &amp; Embodied '!F122</f>
        <v>C32/40 - 25% GGBS</v>
      </c>
      <c r="F167" s="1301">
        <f>'Material Quantities &amp; Embodied '!G122</f>
        <v>0</v>
      </c>
      <c r="G167" s="73" t="s">
        <v>205</v>
      </c>
      <c r="H167" s="1304">
        <f>F167/(24*1000/9.81)</f>
        <v>0</v>
      </c>
      <c r="I167" s="1304">
        <f>F$496</f>
        <v>215</v>
      </c>
      <c r="J167" s="199">
        <f t="shared" si="16"/>
        <v>0</v>
      </c>
    </row>
    <row r="168" spans="2:17">
      <c r="B168" s="150"/>
      <c r="C168" s="150"/>
      <c r="D168" s="150"/>
      <c r="E168" s="150" t="str">
        <f>'Material Quantities &amp; Embodied '!F123</f>
        <v>Steel - Rebar - UK: UK CARES avg EPD</v>
      </c>
      <c r="F168" s="1301">
        <f>'Material Quantities &amp; Embodied '!G123</f>
        <v>0</v>
      </c>
      <c r="G168" s="73" t="s">
        <v>206</v>
      </c>
      <c r="H168" s="1304">
        <f>F168/1000</f>
        <v>0</v>
      </c>
      <c r="I168" s="1304">
        <f>F$499</f>
        <v>1250</v>
      </c>
      <c r="J168" s="199">
        <f t="shared" si="16"/>
        <v>0</v>
      </c>
    </row>
    <row r="169" spans="2:17">
      <c r="B169" s="150"/>
      <c r="C169" s="150"/>
      <c r="D169" s="150"/>
      <c r="E169" s="150" t="s">
        <v>210</v>
      </c>
      <c r="F169" s="1301"/>
      <c r="G169" s="73" t="s">
        <v>208</v>
      </c>
      <c r="H169" s="1304">
        <f>IF(A138=0,0,SUM(Basement!O100,Basement!O113,Basement!O126))</f>
        <v>0</v>
      </c>
      <c r="I169" s="1304">
        <f>F$504</f>
        <v>80</v>
      </c>
      <c r="J169" s="199">
        <f t="shared" si="16"/>
        <v>0</v>
      </c>
    </row>
    <row r="170" spans="2:17">
      <c r="B170" s="150"/>
      <c r="C170" s="150"/>
      <c r="D170" s="182" t="s">
        <v>137</v>
      </c>
      <c r="E170" s="150" t="str">
        <f>'Material Quantities &amp; Embodied '!F124</f>
        <v>C32/40 - 25% GGBS</v>
      </c>
      <c r="F170" s="1301">
        <f>'Material Quantities &amp; Embodied '!G124</f>
        <v>0</v>
      </c>
      <c r="G170" s="73"/>
      <c r="H170" s="1304"/>
      <c r="I170" s="1304"/>
      <c r="J170" s="199">
        <f>IF(A138=0,0,H$546)</f>
        <v>0</v>
      </c>
    </row>
    <row r="171" spans="2:17">
      <c r="B171" s="150"/>
      <c r="C171" s="150"/>
      <c r="D171" s="182"/>
      <c r="E171" s="150" t="str">
        <f>'Material Quantities &amp; Embodied '!F125</f>
        <v>Steel - Rebar - UK: UK CARES avg EPD</v>
      </c>
      <c r="F171" s="1301">
        <f>'Material Quantities &amp; Embodied '!G125</f>
        <v>0</v>
      </c>
      <c r="G171" s="73"/>
      <c r="H171" s="1304"/>
      <c r="I171" s="1304"/>
      <c r="J171" s="199" t="s">
        <v>215</v>
      </c>
    </row>
    <row r="172" spans="2:17">
      <c r="B172" s="150"/>
      <c r="C172" s="150"/>
      <c r="D172" s="182" t="s">
        <v>216</v>
      </c>
      <c r="E172" s="150"/>
      <c r="F172" s="1301">
        <f>'Material Quantities &amp; Embodied '!G126</f>
        <v>2093680.7339449541</v>
      </c>
      <c r="G172" s="151" t="s">
        <v>205</v>
      </c>
      <c r="H172" s="1301">
        <f>F172/(20*1000/9.81)</f>
        <v>1026.9503999999999</v>
      </c>
      <c r="I172" s="1301">
        <f>F$493</f>
        <v>65</v>
      </c>
      <c r="J172" s="204">
        <f>H172*I172</f>
        <v>66751.775999999998</v>
      </c>
      <c r="K172" s="205"/>
      <c r="L172" s="73"/>
      <c r="M172" s="177"/>
      <c r="N172" s="177"/>
      <c r="O172" s="177"/>
      <c r="P172" s="177"/>
      <c r="Q172" s="177"/>
    </row>
    <row r="173" spans="2:17">
      <c r="B173" s="150"/>
      <c r="C173" s="179"/>
      <c r="D173" s="183" t="s">
        <v>217</v>
      </c>
      <c r="E173" s="179"/>
      <c r="F173" s="1302">
        <f>'Material Quantities &amp; Embodied '!G128</f>
        <v>0</v>
      </c>
      <c r="G173" s="180" t="s">
        <v>205</v>
      </c>
      <c r="H173" s="1302">
        <f>F173/(20*1000/9.81)</f>
        <v>0</v>
      </c>
      <c r="I173" s="1302">
        <f>F$493</f>
        <v>65</v>
      </c>
      <c r="J173" s="206">
        <f>H173*I173</f>
        <v>0</v>
      </c>
      <c r="K173" s="203">
        <f>SUM(J151:J173)</f>
        <v>1128020.196</v>
      </c>
      <c r="L173" s="73"/>
      <c r="M173" s="177"/>
      <c r="N173" s="177"/>
      <c r="O173" s="177"/>
      <c r="P173" s="177"/>
      <c r="Q173" s="177"/>
    </row>
    <row r="174" spans="2:17">
      <c r="B174" s="150"/>
      <c r="C174" s="150" t="s">
        <v>218</v>
      </c>
      <c r="D174" s="150" t="s">
        <v>219</v>
      </c>
      <c r="E174" s="150"/>
      <c r="F174" s="151"/>
      <c r="G174" s="151"/>
      <c r="H174" s="151"/>
      <c r="I174" s="151"/>
      <c r="J174" s="204">
        <f>0.05*SUM(J138:J173)</f>
        <v>88131.553102504651</v>
      </c>
      <c r="L174" s="73"/>
      <c r="M174" s="177"/>
      <c r="N174" s="177"/>
      <c r="O174" s="177"/>
      <c r="P174" s="177"/>
      <c r="Q174" s="177"/>
    </row>
    <row r="175" spans="2:17">
      <c r="B175" s="152"/>
      <c r="C175" s="150"/>
      <c r="D175" s="150" t="s">
        <v>220</v>
      </c>
      <c r="E175" s="150"/>
      <c r="F175" s="151"/>
      <c r="G175" s="151"/>
      <c r="H175" s="151"/>
      <c r="I175" s="151"/>
      <c r="J175" s="204">
        <f>0.22*SUM(J138:J173)</f>
        <v>387778.83365102048</v>
      </c>
      <c r="L175" s="73"/>
      <c r="Q175" s="73"/>
    </row>
    <row r="176" spans="2:17">
      <c r="B176" s="184"/>
      <c r="C176" s="179"/>
      <c r="D176" s="179" t="s">
        <v>221</v>
      </c>
      <c r="E176" s="179"/>
      <c r="F176" s="180"/>
      <c r="G176" s="180"/>
      <c r="H176" s="180"/>
      <c r="I176" s="180"/>
      <c r="J176" s="206">
        <f>0.1*SUM(J138:J173)</f>
        <v>176263.1062050093</v>
      </c>
      <c r="K176" s="203">
        <f>SUM(J174:J176)</f>
        <v>652173.49295853439</v>
      </c>
      <c r="L176" s="73"/>
      <c r="Q176" s="73"/>
    </row>
    <row r="177" spans="1:11">
      <c r="B177" s="150"/>
      <c r="C177" s="150"/>
      <c r="D177" s="150"/>
      <c r="E177" s="150"/>
      <c r="F177" s="151"/>
      <c r="G177" s="73"/>
      <c r="I177" s="198"/>
      <c r="J177" s="199"/>
      <c r="K177" s="191">
        <f>SUM(K138:K176)</f>
        <v>2414804.555008627</v>
      </c>
    </row>
    <row r="178" spans="1:11" ht="12.75" thickBot="1">
      <c r="B178" s="172"/>
      <c r="C178" s="172"/>
      <c r="D178" s="172"/>
      <c r="E178" s="172"/>
      <c r="F178" s="173"/>
      <c r="G178" s="193"/>
      <c r="H178" s="193"/>
      <c r="I178" s="208"/>
      <c r="J178" s="209"/>
      <c r="K178" s="194"/>
    </row>
    <row r="179" spans="1:11">
      <c r="B179" s="150"/>
      <c r="C179" s="150"/>
      <c r="D179" s="150"/>
      <c r="E179" s="150"/>
      <c r="F179" s="151"/>
      <c r="G179" s="73"/>
      <c r="I179" s="198"/>
      <c r="J179" s="199"/>
    </row>
    <row r="180" spans="1:11">
      <c r="B180" s="150"/>
      <c r="C180" s="150"/>
      <c r="D180" s="150"/>
      <c r="E180" s="150"/>
      <c r="F180" s="151"/>
      <c r="G180" s="73"/>
      <c r="I180" s="198"/>
      <c r="J180" s="199"/>
    </row>
    <row r="181" spans="1:11" ht="24.75" thickBot="1">
      <c r="B181" s="175" t="s">
        <v>22</v>
      </c>
      <c r="C181" s="175" t="s">
        <v>100</v>
      </c>
      <c r="D181" s="175" t="s">
        <v>101</v>
      </c>
      <c r="E181" s="175" t="s">
        <v>103</v>
      </c>
      <c r="F181" s="72" t="str">
        <f>'Material Quantities &amp; Embodied '!G133</f>
        <v>Material Quantity [kg]</v>
      </c>
      <c r="G181" s="72" t="s">
        <v>201</v>
      </c>
      <c r="H181" s="72" t="s">
        <v>192</v>
      </c>
      <c r="I181" s="72" t="s">
        <v>222</v>
      </c>
      <c r="J181" s="197" t="s">
        <v>203</v>
      </c>
      <c r="K181" s="197" t="s">
        <v>204</v>
      </c>
    </row>
    <row r="182" spans="1:11">
      <c r="A182" s="190">
        <f>'Material Quantities &amp; Embodied '!A134</f>
        <v>0.35</v>
      </c>
      <c r="B182" s="150" t="str">
        <f>Database!D21</f>
        <v>One-Way Spanning RC</v>
      </c>
      <c r="C182" s="150" t="s">
        <v>114</v>
      </c>
      <c r="D182" s="150" t="s">
        <v>115</v>
      </c>
      <c r="E182" s="150" t="str">
        <f>'Material Quantities &amp; Embodied '!F134</f>
        <v>C32/40 - 25% GGBS</v>
      </c>
      <c r="F182" s="1301">
        <f>'Material Quantities &amp; Embodied '!G134</f>
        <v>2499932.2720897612</v>
      </c>
      <c r="G182" s="73" t="s">
        <v>205</v>
      </c>
      <c r="H182" s="1304">
        <f>F182/(24*1000/9.81)</f>
        <v>1021.8473162166899</v>
      </c>
      <c r="I182" s="1304">
        <f>F$495</f>
        <v>195</v>
      </c>
      <c r="J182" s="199">
        <f t="shared" ref="J182:J191" si="17">H182*I182</f>
        <v>199260.22666225454</v>
      </c>
    </row>
    <row r="183" spans="1:11">
      <c r="B183" s="150"/>
      <c r="C183" s="150"/>
      <c r="D183" s="150"/>
      <c r="E183" s="150" t="str">
        <f>'Material Quantities &amp; Embodied '!F135</f>
        <v>Steel - Rebar - UK: UK CARES avg EPD</v>
      </c>
      <c r="F183" s="1301">
        <f>'Material Quantities &amp; Embodied '!G135</f>
        <v>118675.6188639552</v>
      </c>
      <c r="G183" s="73" t="s">
        <v>206</v>
      </c>
      <c r="H183" s="1304">
        <f>F183/1000</f>
        <v>118.67561886395519</v>
      </c>
      <c r="I183" s="1304">
        <f>F$498</f>
        <v>1250</v>
      </c>
      <c r="J183" s="199">
        <f t="shared" si="17"/>
        <v>148344.52357994398</v>
      </c>
    </row>
    <row r="184" spans="1:11">
      <c r="B184" s="150"/>
      <c r="C184" s="150"/>
      <c r="D184" s="150"/>
      <c r="E184" s="150" t="s">
        <v>207</v>
      </c>
      <c r="F184" s="1301"/>
      <c r="G184" s="73" t="s">
        <v>208</v>
      </c>
      <c r="H184" s="1304">
        <f>IF(A182=0,0,Summary!C$13*Summary!C$14*Summary!C$15*Summary!C$16*Summary!C$17)</f>
        <v>5760</v>
      </c>
      <c r="I184" s="1304">
        <f>F$503</f>
        <v>50</v>
      </c>
      <c r="J184" s="199">
        <f t="shared" si="17"/>
        <v>288000</v>
      </c>
    </row>
    <row r="185" spans="1:11">
      <c r="B185" s="150"/>
      <c r="C185" s="150"/>
      <c r="D185" s="150"/>
      <c r="E185" s="150" t="s">
        <v>224</v>
      </c>
      <c r="F185" s="1301"/>
      <c r="G185" s="73" t="s">
        <v>208</v>
      </c>
      <c r="H185" s="1304">
        <f>IF(A182=0,0,IF(Summary!J8="No",(2*(Database!Q21-Database!F21)*Summary!C$14*(Summary!C$15+1)*Summary!C$16*Summary!C$17),(2*(Database!Q21-Database!F21)*Summary!C$14*(Summary!C$15+1)*Summary!C$16*(Summary!C$17-1))))</f>
        <v>380.15999999999997</v>
      </c>
      <c r="I185" s="1304">
        <v>80</v>
      </c>
      <c r="J185" s="199">
        <f>H185*I185</f>
        <v>30412.799999999996</v>
      </c>
    </row>
    <row r="186" spans="1:11">
      <c r="B186" s="150"/>
      <c r="C186" s="150"/>
      <c r="D186" s="150"/>
      <c r="E186" s="150" t="s">
        <v>209</v>
      </c>
      <c r="F186" s="1301"/>
      <c r="G186" s="73" t="s">
        <v>15</v>
      </c>
      <c r="H186" s="1304">
        <f>IF(A182=0,0,Summary!C$17*2*(Summary!C$13*Summary!C$15+Summary!C$14*Summary!C$16))</f>
        <v>432</v>
      </c>
      <c r="I186" s="1304">
        <v>20</v>
      </c>
      <c r="J186" s="199">
        <f>H186*I186</f>
        <v>8640</v>
      </c>
    </row>
    <row r="187" spans="1:11">
      <c r="B187" s="150"/>
      <c r="C187" s="150"/>
      <c r="D187" s="150" t="s">
        <v>27</v>
      </c>
      <c r="E187" s="150" t="str">
        <f>'Material Quantities &amp; Embodied '!F140</f>
        <v>C32/40 - 25% GGBS</v>
      </c>
      <c r="F187" s="1301">
        <f>'Material Quantities &amp; Embodied '!G140</f>
        <v>0</v>
      </c>
      <c r="G187" s="73" t="s">
        <v>205</v>
      </c>
      <c r="H187" s="1304">
        <f>F187/(24*1000/9.81)</f>
        <v>0</v>
      </c>
      <c r="I187" s="1304">
        <f>F$495</f>
        <v>195</v>
      </c>
      <c r="J187" s="199">
        <f t="shared" ref="J187:J188" si="18">H187*I187</f>
        <v>0</v>
      </c>
    </row>
    <row r="188" spans="1:11">
      <c r="B188" s="150"/>
      <c r="C188" s="150"/>
      <c r="D188" s="150"/>
      <c r="E188" s="150" t="str">
        <f>'Material Quantities &amp; Embodied '!F141</f>
        <v>Steel - Rebar - UK: UK CARES avg EPD</v>
      </c>
      <c r="F188" s="1301">
        <f>'Material Quantities &amp; Embodied '!G141</f>
        <v>0</v>
      </c>
      <c r="G188" s="73" t="s">
        <v>206</v>
      </c>
      <c r="H188" s="1304">
        <f>F188/1000</f>
        <v>0</v>
      </c>
      <c r="I188" s="1304">
        <f>F$498</f>
        <v>1250</v>
      </c>
      <c r="J188" s="199">
        <f t="shared" si="18"/>
        <v>0</v>
      </c>
    </row>
    <row r="189" spans="1:11">
      <c r="B189" s="150"/>
      <c r="C189" s="150"/>
      <c r="D189" s="150" t="s">
        <v>119</v>
      </c>
      <c r="E189" s="150" t="str">
        <f>'Material Quantities &amp; Embodied '!F136</f>
        <v>C32/40 - 25% GGBS</v>
      </c>
      <c r="F189" s="1301">
        <f>'Material Quantities &amp; Embodied '!G136</f>
        <v>90825.688073394485</v>
      </c>
      <c r="G189" s="73" t="s">
        <v>205</v>
      </c>
      <c r="H189" s="1304">
        <f>F189/(24*1000/9.81)</f>
        <v>37.125</v>
      </c>
      <c r="I189" s="1304">
        <f>F$496</f>
        <v>215</v>
      </c>
      <c r="J189" s="199">
        <f t="shared" si="17"/>
        <v>7981.875</v>
      </c>
    </row>
    <row r="190" spans="1:11">
      <c r="B190" s="150"/>
      <c r="C190" s="150"/>
      <c r="D190" s="150"/>
      <c r="E190" s="150" t="str">
        <f>'Material Quantities &amp; Embodied '!F137</f>
        <v>Steel - Rebar - UK: UK CARES avg EPD</v>
      </c>
      <c r="F190" s="1301">
        <f>'Material Quantities &amp; Embodied '!G137</f>
        <v>11657.250000000002</v>
      </c>
      <c r="G190" s="73" t="s">
        <v>206</v>
      </c>
      <c r="H190" s="1304">
        <f>F190/1000</f>
        <v>11.657250000000001</v>
      </c>
      <c r="I190" s="1304">
        <f>F$499</f>
        <v>1250</v>
      </c>
      <c r="J190" s="199">
        <f t="shared" si="17"/>
        <v>14571.562500000002</v>
      </c>
    </row>
    <row r="191" spans="1:11">
      <c r="B191" s="150"/>
      <c r="C191" s="150"/>
      <c r="D191" s="150"/>
      <c r="E191" s="150" t="s">
        <v>210</v>
      </c>
      <c r="F191" s="1301"/>
      <c r="G191" s="73" t="s">
        <v>208</v>
      </c>
      <c r="H191" s="1304">
        <f>IF(A182=0,0,'RC Column'!O64)</f>
        <v>594</v>
      </c>
      <c r="I191" s="1304">
        <f>F$504</f>
        <v>80</v>
      </c>
      <c r="J191" s="199">
        <f t="shared" si="17"/>
        <v>47520</v>
      </c>
    </row>
    <row r="192" spans="1:11">
      <c r="B192" s="150"/>
      <c r="C192" s="150"/>
      <c r="D192" s="150" t="s">
        <v>120</v>
      </c>
      <c r="E192" s="150" t="str">
        <f>'Material Quantities &amp; Embodied '!F138</f>
        <v>C32/40 - 25% GGBS</v>
      </c>
      <c r="F192" s="1301">
        <f>'Material Quantities &amp; Embodied '!G138</f>
        <v>37006.238532110103</v>
      </c>
      <c r="G192" s="73" t="s">
        <v>205</v>
      </c>
      <c r="H192" s="1304">
        <f>F192/(24*1000/9.81)</f>
        <v>15.126300000000006</v>
      </c>
      <c r="I192" s="1304">
        <f>F$497</f>
        <v>205</v>
      </c>
      <c r="J192" s="199">
        <f t="shared" ref="J192:J193" si="19">H192*I192</f>
        <v>3100.8915000000011</v>
      </c>
    </row>
    <row r="193" spans="2:17">
      <c r="B193" s="150"/>
      <c r="C193" s="150"/>
      <c r="D193" s="150"/>
      <c r="E193" s="150" t="str">
        <f>'Material Quantities &amp; Embodied '!F139</f>
        <v>Steel - Rebar - UK: UK CARES avg EPD</v>
      </c>
      <c r="F193" s="1301">
        <f>'Material Quantities &amp; Embodied '!G139</f>
        <v>1308.4016235660617</v>
      </c>
      <c r="G193" s="73" t="s">
        <v>206</v>
      </c>
      <c r="H193" s="1304">
        <f>F193/1000</f>
        <v>1.3084016235660618</v>
      </c>
      <c r="I193" s="1304">
        <f>F$500</f>
        <v>1250</v>
      </c>
      <c r="J193" s="199">
        <f t="shared" si="19"/>
        <v>1635.5020294575772</v>
      </c>
    </row>
    <row r="194" spans="2:17">
      <c r="B194" s="150"/>
      <c r="C194" s="179"/>
      <c r="D194" s="179"/>
      <c r="E194" s="179" t="s">
        <v>210</v>
      </c>
      <c r="F194" s="1302"/>
      <c r="G194" s="200" t="s">
        <v>208</v>
      </c>
      <c r="H194" s="1305">
        <f>IF(A182=0,0,'Shear Walls'!AA132)</f>
        <v>171.84300000000002</v>
      </c>
      <c r="I194" s="1305">
        <f>F505</f>
        <v>70</v>
      </c>
      <c r="J194" s="202">
        <f t="shared" ref="J194:J200" si="20">H194*I194</f>
        <v>12029.010000000002</v>
      </c>
      <c r="K194" s="203">
        <f>SUM(J182:J194)</f>
        <v>761496.39127165626</v>
      </c>
    </row>
    <row r="195" spans="2:17">
      <c r="B195" s="150"/>
      <c r="C195" s="150" t="s">
        <v>123</v>
      </c>
      <c r="D195" s="150" t="s">
        <v>124</v>
      </c>
      <c r="E195" s="150" t="str">
        <f>'Material Quantities &amp; Embodied '!F142</f>
        <v>C32/40 - 25% GGBS</v>
      </c>
      <c r="F195" s="1301">
        <f>'Material Quantities &amp; Embodied '!G142</f>
        <v>1382400</v>
      </c>
      <c r="G195" s="73" t="s">
        <v>205</v>
      </c>
      <c r="H195" s="1304">
        <f>F195/(24*1000/9.81)</f>
        <v>565.05600000000004</v>
      </c>
      <c r="I195" s="1304">
        <f>F$495</f>
        <v>195</v>
      </c>
      <c r="J195" s="199">
        <f t="shared" si="20"/>
        <v>110185.92000000001</v>
      </c>
    </row>
    <row r="196" spans="2:17">
      <c r="B196" s="150"/>
      <c r="C196" s="150"/>
      <c r="D196" s="150"/>
      <c r="E196" s="150" t="str">
        <f>'Material Quantities &amp; Embodied '!F143</f>
        <v>Steel - Rebar - UK: UK CARES avg EPD</v>
      </c>
      <c r="F196" s="1301">
        <f>'Material Quantities &amp; Embodied '!G143</f>
        <v>34560</v>
      </c>
      <c r="G196" s="73" t="s">
        <v>206</v>
      </c>
      <c r="H196" s="1304">
        <f>F196/1000</f>
        <v>34.56</v>
      </c>
      <c r="I196" s="1304">
        <f>F$498</f>
        <v>1250</v>
      </c>
      <c r="J196" s="199">
        <f t="shared" si="20"/>
        <v>43200</v>
      </c>
    </row>
    <row r="197" spans="2:17">
      <c r="B197" s="150"/>
      <c r="C197" s="150"/>
      <c r="D197" s="150"/>
      <c r="E197" s="150" t="s">
        <v>207</v>
      </c>
      <c r="F197" s="1301"/>
      <c r="G197" s="73" t="s">
        <v>208</v>
      </c>
      <c r="H197" s="1304">
        <f>IF(A182=0,0,IF(Summary!J$13="Yes",Summary!C$13*Summary!C$14*Summary!C$15*Summary!C$16,0))</f>
        <v>0</v>
      </c>
      <c r="I197" s="1304">
        <v>50</v>
      </c>
      <c r="J197" s="199">
        <f t="shared" si="20"/>
        <v>0</v>
      </c>
    </row>
    <row r="198" spans="2:17">
      <c r="B198" s="150"/>
      <c r="C198" s="150"/>
      <c r="D198" s="150"/>
      <c r="E198" s="150" t="s">
        <v>209</v>
      </c>
      <c r="F198" s="1301"/>
      <c r="G198" s="73" t="s">
        <v>15</v>
      </c>
      <c r="H198" s="1304">
        <f>IF(A182=0,0,2*(Summary!C$13*Summary!C$15+Summary!C$14*Summary!C$16))</f>
        <v>216</v>
      </c>
      <c r="I198" s="1304">
        <v>20</v>
      </c>
      <c r="J198" s="199">
        <f t="shared" si="20"/>
        <v>4320</v>
      </c>
    </row>
    <row r="199" spans="2:17">
      <c r="B199" s="150"/>
      <c r="C199" s="150"/>
      <c r="D199" s="150" t="s">
        <v>126</v>
      </c>
      <c r="E199" s="150" t="str">
        <f>'Material Quantities &amp; Embodied '!F144</f>
        <v>Concrete - Mortar_screed - 1:4 cement:sand mix avg UK cement mix</v>
      </c>
      <c r="F199" s="1301">
        <f>'Material Quantities &amp; Embodied '!G144</f>
        <v>352293.57798165135</v>
      </c>
      <c r="G199" s="73" t="s">
        <v>208</v>
      </c>
      <c r="H199" s="1304">
        <f>IF(A182=0,0,Summary!C$13*Summary!C$14*Summary!C$15*Summary!C$16)</f>
        <v>2880</v>
      </c>
      <c r="I199" s="1304">
        <v>50</v>
      </c>
      <c r="J199" s="199">
        <f t="shared" si="20"/>
        <v>144000</v>
      </c>
    </row>
    <row r="200" spans="2:17">
      <c r="B200" s="150"/>
      <c r="C200" s="150"/>
      <c r="D200" s="150" t="s">
        <v>128</v>
      </c>
      <c r="E200" s="150" t="str">
        <f>'Material Quantities &amp; Embodied '!F145</f>
        <v xml:space="preserve">Other - Granular_fill - </v>
      </c>
      <c r="F200" s="1301">
        <f>'Material Quantities &amp; Embodied '!G145</f>
        <v>880733.94495412835</v>
      </c>
      <c r="G200" s="73" t="s">
        <v>205</v>
      </c>
      <c r="H200" s="1304">
        <f>IF(A182=0,0,Summary!C$13*Summary!C$14*Summary!C$15*Summary!C$16*0.15)</f>
        <v>432</v>
      </c>
      <c r="I200" s="1304">
        <v>45</v>
      </c>
      <c r="J200" s="199">
        <f t="shared" si="20"/>
        <v>19440</v>
      </c>
    </row>
    <row r="201" spans="2:17">
      <c r="B201" s="150"/>
      <c r="C201" s="150"/>
      <c r="D201" s="150" t="s">
        <v>211</v>
      </c>
      <c r="E201" s="150"/>
      <c r="F201" s="1301"/>
      <c r="G201" s="73" t="s">
        <v>208</v>
      </c>
      <c r="H201" s="1304">
        <f>IF(A182=0,0,Summary!C$13*Summary!C$14*Summary!C$15*Summary!C$16)</f>
        <v>2880</v>
      </c>
      <c r="I201" s="1304">
        <f>F$494</f>
        <v>50</v>
      </c>
      <c r="J201" s="199">
        <f t="shared" ref="J201" si="21">H201*I201</f>
        <v>144000</v>
      </c>
      <c r="L201" s="73"/>
      <c r="M201" s="150"/>
      <c r="N201" s="207"/>
      <c r="O201" s="152"/>
      <c r="P201" s="182"/>
      <c r="Q201" s="73"/>
    </row>
    <row r="202" spans="2:17">
      <c r="B202" s="150"/>
      <c r="C202" s="150"/>
      <c r="D202" s="150" t="s">
        <v>131</v>
      </c>
      <c r="E202" s="150" t="str">
        <f>'Material Quantities &amp; Embodied '!F146</f>
        <v>C32/40 - 25% GGBS</v>
      </c>
      <c r="F202" s="1301">
        <f>'Material Quantities &amp; Embodied '!G146</f>
        <v>577808.06167744356</v>
      </c>
      <c r="G202" s="73"/>
      <c r="H202" s="1304"/>
      <c r="I202" s="1304"/>
      <c r="J202" s="199">
        <f>Pile!N494</f>
        <v>239274.99999999994</v>
      </c>
    </row>
    <row r="203" spans="2:17">
      <c r="B203" s="150"/>
      <c r="C203" s="150"/>
      <c r="D203" s="150" t="s">
        <v>132</v>
      </c>
      <c r="E203" s="150" t="str">
        <f>'Material Quantities &amp; Embodied '!F148</f>
        <v>C32/40 - 25% GGBS</v>
      </c>
      <c r="F203" s="1301">
        <f>'Material Quantities &amp; Embodied '!G148</f>
        <v>151376.14678899082</v>
      </c>
      <c r="G203" s="73"/>
      <c r="H203" s="1304"/>
      <c r="I203" s="1304"/>
      <c r="J203" s="199">
        <f>Pile!U494</f>
        <v>24595.3125</v>
      </c>
    </row>
    <row r="204" spans="2:17">
      <c r="B204" s="150"/>
      <c r="C204" s="150"/>
      <c r="D204" s="150" t="s">
        <v>212</v>
      </c>
      <c r="E204" s="150"/>
      <c r="F204" s="1301"/>
      <c r="G204" s="198" t="s">
        <v>208</v>
      </c>
      <c r="H204" s="1304">
        <f>IF(A182=0,0,Summary!C$13*Summary!C$14*Summary!C$15*Summary!C$16)</f>
        <v>2880</v>
      </c>
      <c r="I204" s="1304">
        <f>F$514</f>
        <v>100</v>
      </c>
      <c r="J204" s="199">
        <f>H204*I204</f>
        <v>288000</v>
      </c>
    </row>
    <row r="205" spans="2:17">
      <c r="B205" s="150"/>
      <c r="C205" s="150"/>
      <c r="D205" s="150" t="s">
        <v>213</v>
      </c>
      <c r="E205" s="150"/>
      <c r="F205" s="1301"/>
      <c r="G205" s="73" t="s">
        <v>214</v>
      </c>
      <c r="H205" s="1304">
        <f>IF(A182=0,0,CEILING((Summary!C$13*Summary!C$14*Summary!C$15*Summary!C$16)/(PI()*25^2),1))</f>
        <v>2</v>
      </c>
      <c r="I205" s="1304">
        <f>F$516</f>
        <v>20000</v>
      </c>
      <c r="J205" s="199">
        <f>H205*I205</f>
        <v>40000</v>
      </c>
      <c r="L205" s="73"/>
      <c r="M205" s="177"/>
      <c r="N205" s="177"/>
      <c r="O205" s="177"/>
      <c r="P205" s="177"/>
      <c r="Q205" s="177"/>
    </row>
    <row r="206" spans="2:17">
      <c r="B206" s="150"/>
      <c r="C206" s="150"/>
      <c r="D206" s="150" t="s">
        <v>134</v>
      </c>
      <c r="E206" s="150" t="str">
        <f>'Material Quantities &amp; Embodied '!F150</f>
        <v>C32/40 - 25% GGBS</v>
      </c>
      <c r="F206" s="1301">
        <f>'Material Quantities &amp; Embodied '!G150</f>
        <v>0</v>
      </c>
      <c r="G206" s="73" t="s">
        <v>205</v>
      </c>
      <c r="H206" s="1304">
        <f>F206/(24*1000/9.81)</f>
        <v>0</v>
      </c>
      <c r="I206" s="1304">
        <f>F$495</f>
        <v>195</v>
      </c>
      <c r="J206" s="199">
        <f t="shared" ref="J206:J213" si="22">H206*I206</f>
        <v>0</v>
      </c>
    </row>
    <row r="207" spans="2:17">
      <c r="B207" s="150"/>
      <c r="C207" s="150"/>
      <c r="D207" s="150"/>
      <c r="E207" s="150" t="str">
        <f>'Material Quantities &amp; Embodied '!F151</f>
        <v>Steel - Rebar - UK: UK CARES avg EPD</v>
      </c>
      <c r="F207" s="1301">
        <f>'Material Quantities &amp; Embodied '!G151</f>
        <v>0</v>
      </c>
      <c r="G207" s="73" t="s">
        <v>206</v>
      </c>
      <c r="H207" s="1304">
        <f>F207/1000</f>
        <v>0</v>
      </c>
      <c r="I207" s="1304">
        <f>F$498</f>
        <v>1250</v>
      </c>
      <c r="J207" s="199">
        <f t="shared" si="22"/>
        <v>0</v>
      </c>
    </row>
    <row r="208" spans="2:17">
      <c r="B208" s="150"/>
      <c r="C208" s="150"/>
      <c r="D208" s="150" t="s">
        <v>135</v>
      </c>
      <c r="E208" s="150" t="str">
        <f>'Material Quantities &amp; Embodied '!F152</f>
        <v>C32/40 - 25% GGBS</v>
      </c>
      <c r="F208" s="1301">
        <f>'Material Quantities &amp; Embodied '!G152</f>
        <v>0</v>
      </c>
      <c r="G208" s="73" t="s">
        <v>205</v>
      </c>
      <c r="H208" s="1304">
        <f>F208/(24*1000/9.81)</f>
        <v>0</v>
      </c>
      <c r="I208" s="1304">
        <f>F$497</f>
        <v>205</v>
      </c>
      <c r="J208" s="199">
        <f t="shared" si="22"/>
        <v>0</v>
      </c>
    </row>
    <row r="209" spans="2:17">
      <c r="B209" s="150"/>
      <c r="C209" s="150"/>
      <c r="D209" s="150"/>
      <c r="E209" s="150" t="str">
        <f>'Material Quantities &amp; Embodied '!F153</f>
        <v>Steel - Rebar - UK: UK CARES avg EPD</v>
      </c>
      <c r="F209" s="1301">
        <f>'Material Quantities &amp; Embodied '!G153</f>
        <v>0</v>
      </c>
      <c r="G209" s="73" t="s">
        <v>206</v>
      </c>
      <c r="H209" s="1304">
        <f>F209/1000</f>
        <v>0</v>
      </c>
      <c r="I209" s="1304">
        <f>F$500</f>
        <v>1250</v>
      </c>
      <c r="J209" s="199">
        <f t="shared" si="22"/>
        <v>0</v>
      </c>
    </row>
    <row r="210" spans="2:17">
      <c r="B210" s="150"/>
      <c r="C210" s="150"/>
      <c r="D210" s="150"/>
      <c r="E210" s="150" t="s">
        <v>210</v>
      </c>
      <c r="F210" s="1301"/>
      <c r="G210" s="73" t="s">
        <v>208</v>
      </c>
      <c r="H210" s="1304">
        <f>IF(A182=0,0,IF(Summary!J$13="Yes",Summary!J$14*2*(Summary!C$13*Summary!C$15+Summary!C$15*Summary!C$16),0))</f>
        <v>0</v>
      </c>
      <c r="I210" s="1304">
        <f>F$495</f>
        <v>195</v>
      </c>
      <c r="J210" s="199">
        <f t="shared" si="22"/>
        <v>0</v>
      </c>
      <c r="L210" s="73"/>
      <c r="M210" s="177"/>
      <c r="N210" s="177"/>
      <c r="O210" s="177"/>
      <c r="P210" s="177"/>
      <c r="Q210" s="177"/>
    </row>
    <row r="211" spans="2:17">
      <c r="B211" s="150"/>
      <c r="C211" s="150"/>
      <c r="D211" s="150" t="s">
        <v>136</v>
      </c>
      <c r="E211" s="150" t="str">
        <f>'Material Quantities &amp; Embodied '!F154</f>
        <v>C32/40 - 25% GGBS</v>
      </c>
      <c r="F211" s="1301">
        <f>'Material Quantities &amp; Embodied '!G154</f>
        <v>0</v>
      </c>
      <c r="G211" s="73" t="s">
        <v>205</v>
      </c>
      <c r="H211" s="1304">
        <f>F211/(24*1000/9.81)</f>
        <v>0</v>
      </c>
      <c r="I211" s="1304">
        <f>F$496</f>
        <v>215</v>
      </c>
      <c r="J211" s="199">
        <f t="shared" si="22"/>
        <v>0</v>
      </c>
    </row>
    <row r="212" spans="2:17">
      <c r="B212" s="150"/>
      <c r="C212" s="150"/>
      <c r="D212" s="150"/>
      <c r="E212" s="150" t="str">
        <f>'Material Quantities &amp; Embodied '!F155</f>
        <v>Steel - Rebar - UK: UK CARES avg EPD</v>
      </c>
      <c r="F212" s="1301">
        <f>'Material Quantities &amp; Embodied '!G155</f>
        <v>0</v>
      </c>
      <c r="G212" s="73" t="s">
        <v>206</v>
      </c>
      <c r="H212" s="1304">
        <f>F212/1000</f>
        <v>0</v>
      </c>
      <c r="I212" s="1304">
        <f>F$499</f>
        <v>1250</v>
      </c>
      <c r="J212" s="199">
        <f t="shared" si="22"/>
        <v>0</v>
      </c>
    </row>
    <row r="213" spans="2:17">
      <c r="B213" s="150"/>
      <c r="C213" s="150"/>
      <c r="D213" s="150"/>
      <c r="E213" s="150" t="s">
        <v>210</v>
      </c>
      <c r="F213" s="1301"/>
      <c r="G213" s="73" t="s">
        <v>208</v>
      </c>
      <c r="H213" s="1304">
        <f>IF(A182=0,0,SUM(Basement!O101,Basement!O114,Basement!O127))</f>
        <v>0</v>
      </c>
      <c r="I213" s="1304">
        <f>F$504</f>
        <v>80</v>
      </c>
      <c r="J213" s="199">
        <f t="shared" si="22"/>
        <v>0</v>
      </c>
    </row>
    <row r="214" spans="2:17">
      <c r="B214" s="150"/>
      <c r="C214" s="150"/>
      <c r="D214" s="182" t="s">
        <v>137</v>
      </c>
      <c r="E214" s="150" t="str">
        <f>'Material Quantities &amp; Embodied '!F156</f>
        <v>C32/40 - 25% GGBS</v>
      </c>
      <c r="F214" s="1301">
        <f>'Material Quantities &amp; Embodied '!G156</f>
        <v>0</v>
      </c>
      <c r="G214" s="73"/>
      <c r="H214" s="1304"/>
      <c r="I214" s="1304"/>
      <c r="J214" s="199">
        <f>IF(A182=0,0,H$546)</f>
        <v>0</v>
      </c>
    </row>
    <row r="215" spans="2:17">
      <c r="B215" s="150"/>
      <c r="C215" s="150"/>
      <c r="D215" s="182"/>
      <c r="E215" s="150" t="str">
        <f>'Material Quantities &amp; Embodied '!F157</f>
        <v>Steel - Rebar - UK: UK CARES avg EPD</v>
      </c>
      <c r="F215" s="1301">
        <f>'Material Quantities &amp; Embodied '!G157</f>
        <v>0</v>
      </c>
      <c r="G215" s="73"/>
      <c r="H215" s="1304"/>
      <c r="I215" s="1304"/>
      <c r="J215" s="199" t="s">
        <v>215</v>
      </c>
    </row>
    <row r="216" spans="2:17">
      <c r="B216" s="150"/>
      <c r="C216" s="150"/>
      <c r="D216" s="182" t="s">
        <v>216</v>
      </c>
      <c r="E216" s="150"/>
      <c r="F216" s="1301">
        <f>'Material Quantities &amp; Embodied '!G158</f>
        <v>2093680.7339449541</v>
      </c>
      <c r="G216" s="151" t="s">
        <v>205</v>
      </c>
      <c r="H216" s="1301">
        <f>F216/(20*1000/9.81)</f>
        <v>1026.9503999999999</v>
      </c>
      <c r="I216" s="1301">
        <f>F$493</f>
        <v>65</v>
      </c>
      <c r="J216" s="204">
        <f>H216*I216</f>
        <v>66751.775999999998</v>
      </c>
      <c r="K216" s="205"/>
      <c r="L216" s="73"/>
      <c r="M216" s="177"/>
      <c r="N216" s="177"/>
      <c r="O216" s="177"/>
      <c r="P216" s="177"/>
      <c r="Q216" s="177"/>
    </row>
    <row r="217" spans="2:17">
      <c r="B217" s="150"/>
      <c r="C217" s="179"/>
      <c r="D217" s="183" t="s">
        <v>217</v>
      </c>
      <c r="E217" s="179"/>
      <c r="F217" s="1302">
        <f>'Material Quantities &amp; Embodied '!G160</f>
        <v>0</v>
      </c>
      <c r="G217" s="180" t="s">
        <v>205</v>
      </c>
      <c r="H217" s="1302">
        <f>F217/(20*1000/9.81)</f>
        <v>0</v>
      </c>
      <c r="I217" s="1302">
        <f>F$493</f>
        <v>65</v>
      </c>
      <c r="J217" s="206">
        <f>H217*I217</f>
        <v>0</v>
      </c>
      <c r="K217" s="203">
        <f>SUM(J195:J217)</f>
        <v>1123768.0085</v>
      </c>
      <c r="L217" s="73"/>
      <c r="M217" s="177"/>
      <c r="N217" s="177"/>
      <c r="O217" s="177"/>
      <c r="P217" s="177"/>
      <c r="Q217" s="177"/>
    </row>
    <row r="218" spans="2:17">
      <c r="B218" s="150"/>
      <c r="C218" s="150" t="s">
        <v>218</v>
      </c>
      <c r="D218" s="150" t="s">
        <v>219</v>
      </c>
      <c r="E218" s="150"/>
      <c r="F218" s="151"/>
      <c r="G218" s="151"/>
      <c r="H218" s="151"/>
      <c r="I218" s="151"/>
      <c r="J218" s="204">
        <f>0.05*SUM(J182:J217)</f>
        <v>94263.21998858283</v>
      </c>
      <c r="L218" s="73"/>
      <c r="M218" s="177"/>
      <c r="N218" s="177"/>
      <c r="O218" s="177"/>
      <c r="P218" s="177"/>
      <c r="Q218" s="177"/>
    </row>
    <row r="219" spans="2:17">
      <c r="B219" s="152"/>
      <c r="C219" s="150"/>
      <c r="D219" s="150" t="s">
        <v>220</v>
      </c>
      <c r="E219" s="150"/>
      <c r="F219" s="151"/>
      <c r="G219" s="151"/>
      <c r="H219" s="151"/>
      <c r="I219" s="151"/>
      <c r="J219" s="204">
        <f>0.22*SUM(J182:J217)</f>
        <v>414758.16794976441</v>
      </c>
      <c r="L219" s="73"/>
      <c r="Q219" s="73"/>
    </row>
    <row r="220" spans="2:17">
      <c r="B220" s="184"/>
      <c r="C220" s="179"/>
      <c r="D220" s="179" t="s">
        <v>221</v>
      </c>
      <c r="E220" s="179"/>
      <c r="F220" s="180"/>
      <c r="G220" s="180"/>
      <c r="H220" s="180"/>
      <c r="I220" s="180"/>
      <c r="J220" s="206">
        <f>0.1*SUM(J182:J217)</f>
        <v>188526.43997716566</v>
      </c>
      <c r="K220" s="203">
        <f>SUM(J218:J220)</f>
        <v>697547.82791551296</v>
      </c>
      <c r="L220" s="73"/>
      <c r="Q220" s="73"/>
    </row>
    <row r="221" spans="2:17">
      <c r="B221" s="150"/>
      <c r="C221" s="150"/>
      <c r="D221" s="150"/>
      <c r="E221" s="150"/>
      <c r="F221" s="151"/>
      <c r="G221" s="73"/>
      <c r="I221" s="198"/>
      <c r="J221" s="199"/>
      <c r="K221" s="191">
        <f>SUM(K182:K220)</f>
        <v>2582812.2276871693</v>
      </c>
    </row>
    <row r="222" spans="2:17" ht="12.75" thickBot="1">
      <c r="B222" s="172"/>
      <c r="C222" s="172"/>
      <c r="D222" s="172"/>
      <c r="E222" s="172"/>
      <c r="F222" s="173"/>
      <c r="G222" s="193"/>
      <c r="H222" s="193"/>
      <c r="I222" s="208"/>
      <c r="J222" s="209"/>
      <c r="K222" s="194"/>
    </row>
    <row r="223" spans="2:17">
      <c r="B223" s="150"/>
      <c r="C223" s="150"/>
      <c r="D223" s="150"/>
      <c r="E223" s="150"/>
      <c r="F223" s="151"/>
      <c r="G223" s="73"/>
      <c r="I223" s="198"/>
      <c r="J223" s="199"/>
    </row>
    <row r="224" spans="2:17">
      <c r="B224" s="150"/>
      <c r="C224" s="150"/>
      <c r="D224" s="150"/>
      <c r="E224" s="150"/>
      <c r="F224" s="151"/>
      <c r="G224" s="73"/>
      <c r="I224" s="198"/>
      <c r="J224" s="199"/>
    </row>
    <row r="225" spans="1:11" ht="24.75" thickBot="1">
      <c r="B225" s="175" t="s">
        <v>22</v>
      </c>
      <c r="C225" s="175" t="s">
        <v>100</v>
      </c>
      <c r="D225" s="175" t="s">
        <v>101</v>
      </c>
      <c r="E225" s="175" t="s">
        <v>103</v>
      </c>
      <c r="F225" s="72" t="str">
        <f>'Material Quantities &amp; Embodied '!G165</f>
        <v>Material Quantity [kg]</v>
      </c>
      <c r="G225" s="72" t="s">
        <v>201</v>
      </c>
      <c r="H225" s="72" t="s">
        <v>192</v>
      </c>
      <c r="I225" s="72" t="s">
        <v>222</v>
      </c>
      <c r="J225" s="197" t="s">
        <v>203</v>
      </c>
      <c r="K225" s="197" t="s">
        <v>204</v>
      </c>
    </row>
    <row r="226" spans="1:11">
      <c r="A226" s="190">
        <f>'Material Quantities &amp; Embodied '!A166</f>
        <v>0.35</v>
      </c>
      <c r="B226" s="150" t="str">
        <f>Database!D22</f>
        <v>Precast Hollowcore with In-situ RC Beams</v>
      </c>
      <c r="C226" s="150" t="s">
        <v>114</v>
      </c>
      <c r="D226" s="150" t="s">
        <v>115</v>
      </c>
      <c r="E226" s="150" t="str">
        <f>'Material Quantities &amp; Embodied '!F166</f>
        <v>C32/40 - 25% GGBS</v>
      </c>
      <c r="F226" s="1301">
        <f>'Material Quantities &amp; Embodied '!G166</f>
        <v>1892431.1360448808</v>
      </c>
      <c r="G226" s="73" t="s">
        <v>205</v>
      </c>
      <c r="H226" s="1304">
        <f>F226/(24*1000/9.81)</f>
        <v>773.53122685834512</v>
      </c>
      <c r="I226" s="1304">
        <f>F495</f>
        <v>195</v>
      </c>
      <c r="J226" s="199">
        <f t="shared" ref="J226:J234" si="23">H226*I226</f>
        <v>150838.58923737731</v>
      </c>
    </row>
    <row r="227" spans="1:11">
      <c r="B227" s="150"/>
      <c r="C227" s="150"/>
      <c r="D227" s="150"/>
      <c r="E227" s="150" t="str">
        <f>'Material Quantities &amp; Embodied '!F167</f>
        <v>Steel - Rebar - UK: UK CARES avg EPD</v>
      </c>
      <c r="F227" s="1301">
        <f>'Material Quantities &amp; Embodied '!G167</f>
        <v>96637.746647966385</v>
      </c>
      <c r="G227" s="73" t="s">
        <v>206</v>
      </c>
      <c r="H227" s="1304">
        <f>F227/1000</f>
        <v>96.637746647966381</v>
      </c>
      <c r="I227" s="1304">
        <f>F499</f>
        <v>1250</v>
      </c>
      <c r="J227" s="199">
        <f t="shared" si="23"/>
        <v>120797.18330995798</v>
      </c>
    </row>
    <row r="228" spans="1:11">
      <c r="B228" s="150"/>
      <c r="C228" s="150"/>
      <c r="D228" s="150"/>
      <c r="E228" s="150" t="str">
        <f>'Material Quantities &amp; Embodied '!F168</f>
        <v>Concrete - Precast_concrete - Reinforced - 150mm hollow core slab</v>
      </c>
      <c r="F228" s="1301">
        <f>'Material Quantities &amp; Embodied '!G168</f>
        <v>1728000</v>
      </c>
      <c r="G228" s="73" t="s">
        <v>208</v>
      </c>
      <c r="H228" s="1304">
        <f>IF(A226=0,0,IF(Summary!J8="No",Summary!C$13*Summary!C$14*Summary!C$15*Summary!C$16*Summary!C$17,Summary!C$13*Summary!C$14*Summary!C$15*Summary!C$16*(Summary!C$17-1)))</f>
        <v>5760</v>
      </c>
      <c r="I228" s="1304">
        <f>F506</f>
        <v>120</v>
      </c>
      <c r="J228" s="199">
        <f t="shared" si="23"/>
        <v>691200</v>
      </c>
    </row>
    <row r="229" spans="1:11">
      <c r="B229" s="150"/>
      <c r="C229" s="150"/>
      <c r="D229" s="150" t="s">
        <v>27</v>
      </c>
      <c r="E229" s="150" t="str">
        <f>'Material Quantities &amp; Embodied '!F173</f>
        <v>C32/40 - 25% GGBS</v>
      </c>
      <c r="F229" s="1301">
        <f>'Material Quantities &amp; Embodied '!G173</f>
        <v>0</v>
      </c>
      <c r="G229" s="73" t="s">
        <v>205</v>
      </c>
      <c r="H229" s="1304">
        <f>F229/(24*1000/9.81)</f>
        <v>0</v>
      </c>
      <c r="I229" s="1304">
        <f>F$495</f>
        <v>195</v>
      </c>
      <c r="J229" s="199">
        <f t="shared" si="23"/>
        <v>0</v>
      </c>
    </row>
    <row r="230" spans="1:11">
      <c r="B230" s="150"/>
      <c r="C230" s="150"/>
      <c r="D230" s="150"/>
      <c r="E230" s="150" t="str">
        <f>'Material Quantities &amp; Embodied '!F174</f>
        <v>Steel - Rebar - UK: UK CARES avg EPD</v>
      </c>
      <c r="F230" s="1301">
        <f>'Material Quantities &amp; Embodied '!G174</f>
        <v>0</v>
      </c>
      <c r="G230" s="73" t="s">
        <v>206</v>
      </c>
      <c r="H230" s="1304">
        <f>F230/1000</f>
        <v>0</v>
      </c>
      <c r="I230" s="1304">
        <f>F$498</f>
        <v>1250</v>
      </c>
      <c r="J230" s="199">
        <f t="shared" si="23"/>
        <v>0</v>
      </c>
    </row>
    <row r="231" spans="1:11">
      <c r="B231" s="150"/>
      <c r="C231" s="150"/>
      <c r="D231" s="150"/>
      <c r="E231" s="150" t="s">
        <v>207</v>
      </c>
      <c r="F231" s="1301"/>
      <c r="G231" s="73" t="s">
        <v>208</v>
      </c>
      <c r="H231" s="1304">
        <f>IF(A226=0,0,IF(Summary!J$8="Yes",Summary!C$13*Summary!C$14*Summary!C$15*Summary!C$16,0))</f>
        <v>0</v>
      </c>
      <c r="I231" s="1304">
        <v>50</v>
      </c>
      <c r="J231" s="199">
        <f t="shared" si="23"/>
        <v>0</v>
      </c>
    </row>
    <row r="232" spans="1:11">
      <c r="B232" s="150"/>
      <c r="C232" s="150"/>
      <c r="D232" s="150"/>
      <c r="E232" s="150" t="s">
        <v>209</v>
      </c>
      <c r="F232" s="1301"/>
      <c r="G232" s="73" t="s">
        <v>15</v>
      </c>
      <c r="H232" s="1304">
        <f>IF(A226=0,0,IF(Summary!J$8="Yes",2*(Summary!C$13*Summary!C$15+Summary!C$14*Summary!C$16),0))</f>
        <v>0</v>
      </c>
      <c r="I232" s="1304">
        <v>20</v>
      </c>
      <c r="J232" s="199">
        <f t="shared" si="23"/>
        <v>0</v>
      </c>
    </row>
    <row r="233" spans="1:11">
      <c r="B233" s="150"/>
      <c r="C233" s="150"/>
      <c r="D233" s="150" t="s">
        <v>119</v>
      </c>
      <c r="E233" s="150" t="str">
        <f>'Material Quantities &amp; Embodied '!F169</f>
        <v>C32/40 - 25% GGBS</v>
      </c>
      <c r="F233" s="1301">
        <f>'Material Quantities &amp; Embodied '!G169</f>
        <v>90825.688073394485</v>
      </c>
      <c r="G233" s="73" t="s">
        <v>205</v>
      </c>
      <c r="H233" s="1304">
        <f>F233/(24*1000/9.81)</f>
        <v>37.125</v>
      </c>
      <c r="I233" s="1304">
        <f>F496</f>
        <v>215</v>
      </c>
      <c r="J233" s="199">
        <f t="shared" si="23"/>
        <v>7981.875</v>
      </c>
    </row>
    <row r="234" spans="1:11">
      <c r="B234" s="150"/>
      <c r="C234" s="150"/>
      <c r="D234" s="150"/>
      <c r="E234" s="150" t="str">
        <f>'Material Quantities &amp; Embodied '!F170</f>
        <v>Steel - Rebar - UK: UK CARES avg EPD</v>
      </c>
      <c r="F234" s="1301">
        <f>'Material Quantities &amp; Embodied '!G170</f>
        <v>11657.250000000002</v>
      </c>
      <c r="G234" s="73" t="s">
        <v>206</v>
      </c>
      <c r="H234" s="1304">
        <f>F234/1000</f>
        <v>11.657250000000001</v>
      </c>
      <c r="I234" s="1304">
        <f>F499</f>
        <v>1250</v>
      </c>
      <c r="J234" s="199">
        <f t="shared" si="23"/>
        <v>14571.562500000002</v>
      </c>
    </row>
    <row r="235" spans="1:11">
      <c r="B235" s="150"/>
      <c r="C235" s="150"/>
      <c r="D235" s="150" t="s">
        <v>120</v>
      </c>
      <c r="E235" s="150" t="str">
        <f>'Material Quantities &amp; Embodied '!F171</f>
        <v>C32/40 - 25% GGBS</v>
      </c>
      <c r="F235" s="1301">
        <f>'Material Quantities &amp; Embodied '!G171</f>
        <v>37006.238532110103</v>
      </c>
      <c r="G235" s="73" t="s">
        <v>205</v>
      </c>
      <c r="H235" s="1304">
        <f>F235/(24*1000/9.81)</f>
        <v>15.126300000000006</v>
      </c>
      <c r="I235" s="1304">
        <f>F$497</f>
        <v>205</v>
      </c>
      <c r="J235" s="199">
        <f t="shared" ref="J235:J236" si="24">H235*I235</f>
        <v>3100.8915000000011</v>
      </c>
    </row>
    <row r="236" spans="1:11">
      <c r="B236" s="150"/>
      <c r="C236" s="150"/>
      <c r="D236" s="150"/>
      <c r="E236" s="150" t="str">
        <f>'Material Quantities &amp; Embodied '!F172</f>
        <v>Steel - Rebar - UK: UK CARES avg EPD</v>
      </c>
      <c r="F236" s="1301">
        <f>'Material Quantities &amp; Embodied '!G172</f>
        <v>1308.4016235660617</v>
      </c>
      <c r="G236" s="73" t="s">
        <v>206</v>
      </c>
      <c r="H236" s="1304">
        <f>F236/1000</f>
        <v>1.3084016235660618</v>
      </c>
      <c r="I236" s="1304">
        <f>F$500</f>
        <v>1250</v>
      </c>
      <c r="J236" s="199">
        <f t="shared" si="24"/>
        <v>1635.5020294575772</v>
      </c>
    </row>
    <row r="237" spans="1:11">
      <c r="B237" s="150"/>
      <c r="C237" s="179"/>
      <c r="D237" s="179"/>
      <c r="E237" s="179" t="s">
        <v>210</v>
      </c>
      <c r="F237" s="1302"/>
      <c r="G237" s="200" t="s">
        <v>208</v>
      </c>
      <c r="H237" s="1305">
        <f>IF(A226=0,0,'Shear Walls'!AG132)</f>
        <v>171.84300000000002</v>
      </c>
      <c r="I237" s="1305">
        <f>F505</f>
        <v>70</v>
      </c>
      <c r="J237" s="202">
        <f t="shared" ref="J237:J243" si="25">H237*I237</f>
        <v>12029.010000000002</v>
      </c>
      <c r="K237" s="203">
        <f>SUM(J226:J237)</f>
        <v>1002154.613576793</v>
      </c>
    </row>
    <row r="238" spans="1:11">
      <c r="B238" s="150"/>
      <c r="C238" s="150" t="s">
        <v>123</v>
      </c>
      <c r="D238" s="150" t="s">
        <v>124</v>
      </c>
      <c r="E238" s="150" t="str">
        <f>'Material Quantities &amp; Embodied '!F175</f>
        <v>C32/40 - 25% GGBS</v>
      </c>
      <c r="F238" s="1301">
        <f>'Material Quantities &amp; Embodied '!G175</f>
        <v>1382400</v>
      </c>
      <c r="G238" s="73" t="s">
        <v>205</v>
      </c>
      <c r="H238" s="1304">
        <f>F238/(24*1000/9.81)</f>
        <v>565.05600000000004</v>
      </c>
      <c r="I238" s="1304">
        <f>F$495</f>
        <v>195</v>
      </c>
      <c r="J238" s="199">
        <f t="shared" si="25"/>
        <v>110185.92000000001</v>
      </c>
    </row>
    <row r="239" spans="1:11">
      <c r="B239" s="150"/>
      <c r="C239" s="150"/>
      <c r="D239" s="150"/>
      <c r="E239" s="150" t="str">
        <f>'Material Quantities &amp; Embodied '!F176</f>
        <v>Steel - Rebar - UK: UK CARES avg EPD</v>
      </c>
      <c r="F239" s="1301">
        <f>'Material Quantities &amp; Embodied '!G176</f>
        <v>34560</v>
      </c>
      <c r="G239" s="73" t="s">
        <v>206</v>
      </c>
      <c r="H239" s="1304">
        <f>F239/1000</f>
        <v>34.56</v>
      </c>
      <c r="I239" s="1304">
        <f>F$498</f>
        <v>1250</v>
      </c>
      <c r="J239" s="199">
        <f t="shared" si="25"/>
        <v>43200</v>
      </c>
    </row>
    <row r="240" spans="1:11">
      <c r="B240" s="150"/>
      <c r="C240" s="150"/>
      <c r="D240" s="150"/>
      <c r="E240" s="150" t="s">
        <v>207</v>
      </c>
      <c r="F240" s="1301"/>
      <c r="G240" s="73" t="s">
        <v>208</v>
      </c>
      <c r="H240" s="1304">
        <f>IF(A226=0,0,IF(Summary!J$13="Yes",Summary!C$13*Summary!C$14*Summary!C$15*Summary!C$16,0))</f>
        <v>0</v>
      </c>
      <c r="I240" s="1304">
        <v>50</v>
      </c>
      <c r="J240" s="199">
        <f t="shared" si="25"/>
        <v>0</v>
      </c>
    </row>
    <row r="241" spans="2:17">
      <c r="B241" s="150"/>
      <c r="C241" s="150"/>
      <c r="D241" s="150"/>
      <c r="E241" s="150" t="s">
        <v>209</v>
      </c>
      <c r="F241" s="1301"/>
      <c r="G241" s="73"/>
      <c r="H241" s="1304">
        <f>IF(A226=0,0,2*(Summary!C$13*Summary!C$15+Summary!C$14*Summary!C$16))</f>
        <v>216</v>
      </c>
      <c r="I241" s="1304">
        <v>20</v>
      </c>
      <c r="J241" s="199">
        <f t="shared" si="25"/>
        <v>4320</v>
      </c>
    </row>
    <row r="242" spans="2:17">
      <c r="B242" s="150"/>
      <c r="C242" s="150"/>
      <c r="D242" s="150" t="s">
        <v>126</v>
      </c>
      <c r="E242" s="150" t="str">
        <f>'Material Quantities &amp; Embodied '!F177</f>
        <v>Concrete - Mortar_screed - 1:4 cement:sand mix avg UK cement mix</v>
      </c>
      <c r="F242" s="1301">
        <f>'Material Quantities &amp; Embodied '!G177</f>
        <v>352293.57798165135</v>
      </c>
      <c r="G242" s="73" t="s">
        <v>208</v>
      </c>
      <c r="H242" s="1304">
        <f>IF(A226=0,0,Summary!C$13*Summary!C$14*Summary!C$15*Summary!C$16)</f>
        <v>2880</v>
      </c>
      <c r="I242" s="1304">
        <v>50</v>
      </c>
      <c r="J242" s="199">
        <f t="shared" si="25"/>
        <v>144000</v>
      </c>
    </row>
    <row r="243" spans="2:17">
      <c r="B243" s="150"/>
      <c r="C243" s="150"/>
      <c r="D243" s="150" t="s">
        <v>128</v>
      </c>
      <c r="E243" s="150" t="str">
        <f>'Material Quantities &amp; Embodied '!F178</f>
        <v xml:space="preserve">Other - Granular_fill - </v>
      </c>
      <c r="F243" s="1301">
        <f>'Material Quantities &amp; Embodied '!G178</f>
        <v>880733.94495412835</v>
      </c>
      <c r="G243" s="73" t="s">
        <v>205</v>
      </c>
      <c r="H243" s="1304">
        <f>IF(A226=0,0,Summary!C$13*Summary!C$14*Summary!C$15*Summary!C$16*0.15)</f>
        <v>432</v>
      </c>
      <c r="I243" s="1304">
        <v>45</v>
      </c>
      <c r="J243" s="199">
        <f t="shared" si="25"/>
        <v>19440</v>
      </c>
    </row>
    <row r="244" spans="2:17">
      <c r="B244" s="150"/>
      <c r="C244" s="150"/>
      <c r="D244" s="150" t="s">
        <v>211</v>
      </c>
      <c r="E244" s="150"/>
      <c r="F244" s="1301"/>
      <c r="G244" s="73" t="s">
        <v>208</v>
      </c>
      <c r="H244" s="1304">
        <f>IF(A226=0,0,Summary!C$13*Summary!C$14*Summary!C$15*Summary!C$16)</f>
        <v>2880</v>
      </c>
      <c r="I244" s="1304">
        <f>F$494</f>
        <v>50</v>
      </c>
      <c r="J244" s="199">
        <f t="shared" ref="J244" si="26">H244*I244</f>
        <v>144000</v>
      </c>
      <c r="L244" s="73"/>
      <c r="M244" s="150"/>
      <c r="N244" s="207"/>
      <c r="O244" s="152"/>
      <c r="P244" s="182"/>
      <c r="Q244" s="73"/>
    </row>
    <row r="245" spans="2:17">
      <c r="B245" s="150"/>
      <c r="C245" s="150"/>
      <c r="D245" s="150" t="s">
        <v>131</v>
      </c>
      <c r="E245" s="150" t="str">
        <f>'Material Quantities &amp; Embodied '!F179</f>
        <v>C32/40 - 25% GGBS</v>
      </c>
      <c r="F245" s="1301">
        <f>'Material Quantities &amp; Embodied '!G179</f>
        <v>609324.86504166783</v>
      </c>
      <c r="G245" s="73"/>
      <c r="H245" s="1304"/>
      <c r="I245" s="1304"/>
      <c r="J245" s="199">
        <f>Pile!N495</f>
        <v>247889.99999999994</v>
      </c>
    </row>
    <row r="246" spans="2:17">
      <c r="B246" s="150"/>
      <c r="C246" s="150"/>
      <c r="D246" s="150" t="s">
        <v>132</v>
      </c>
      <c r="E246" s="150" t="str">
        <f>'Material Quantities &amp; Embodied '!F181</f>
        <v>C32/40 - 25% GGBS</v>
      </c>
      <c r="F246" s="1301">
        <f>'Material Quantities &amp; Embodied '!G181</f>
        <v>148623.85321100918</v>
      </c>
      <c r="G246" s="73"/>
      <c r="H246" s="1304"/>
      <c r="I246" s="1304"/>
      <c r="J246" s="199">
        <f>Pile!U495</f>
        <v>24148.125</v>
      </c>
    </row>
    <row r="247" spans="2:17">
      <c r="B247" s="150"/>
      <c r="C247" s="150"/>
      <c r="D247" s="150" t="s">
        <v>212</v>
      </c>
      <c r="E247" s="150"/>
      <c r="F247" s="1301"/>
      <c r="G247" s="198" t="s">
        <v>208</v>
      </c>
      <c r="H247" s="1304">
        <f>IF(A226=0,0,Summary!C$13*Summary!C$14*Summary!C$15*Summary!C$16)</f>
        <v>2880</v>
      </c>
      <c r="I247" s="1304">
        <f>F$514</f>
        <v>100</v>
      </c>
      <c r="J247" s="199">
        <f>H247*I247</f>
        <v>288000</v>
      </c>
    </row>
    <row r="248" spans="2:17">
      <c r="B248" s="150"/>
      <c r="C248" s="150"/>
      <c r="D248" s="150" t="s">
        <v>213</v>
      </c>
      <c r="E248" s="150"/>
      <c r="F248" s="1301"/>
      <c r="G248" s="73" t="s">
        <v>214</v>
      </c>
      <c r="H248" s="1304">
        <f>IF(A226=0,0,CEILING((Summary!C$13*Summary!C$14*Summary!C$15*Summary!C$16)/(PI()*25^2),1))</f>
        <v>2</v>
      </c>
      <c r="I248" s="1304">
        <f>F$516</f>
        <v>20000</v>
      </c>
      <c r="J248" s="199">
        <f>H248*I248</f>
        <v>40000</v>
      </c>
      <c r="L248" s="73"/>
      <c r="M248" s="177"/>
      <c r="N248" s="177"/>
      <c r="O248" s="177"/>
      <c r="P248" s="177"/>
      <c r="Q248" s="177"/>
    </row>
    <row r="249" spans="2:17">
      <c r="B249" s="150"/>
      <c r="C249" s="150"/>
      <c r="D249" s="150" t="s">
        <v>134</v>
      </c>
      <c r="E249" s="150" t="str">
        <f>'Material Quantities &amp; Embodied '!F183</f>
        <v>C32/40 - 25% GGBS</v>
      </c>
      <c r="F249" s="1301">
        <f>'Material Quantities &amp; Embodied '!G183</f>
        <v>0</v>
      </c>
      <c r="G249" s="73" t="s">
        <v>205</v>
      </c>
      <c r="H249" s="1304">
        <f>F249/(24*1000/9.81)</f>
        <v>0</v>
      </c>
      <c r="I249" s="1304">
        <f>F$495</f>
        <v>195</v>
      </c>
      <c r="J249" s="199">
        <f t="shared" ref="J249:J256" si="27">H249*I249</f>
        <v>0</v>
      </c>
    </row>
    <row r="250" spans="2:17">
      <c r="B250" s="150"/>
      <c r="C250" s="150"/>
      <c r="D250" s="150"/>
      <c r="E250" s="150" t="str">
        <f>'Material Quantities &amp; Embodied '!F184</f>
        <v>Steel - Rebar - UK: UK CARES avg EPD</v>
      </c>
      <c r="F250" s="1301">
        <f>'Material Quantities &amp; Embodied '!G184</f>
        <v>0</v>
      </c>
      <c r="G250" s="73" t="s">
        <v>206</v>
      </c>
      <c r="H250" s="1304">
        <f>F250/1000</f>
        <v>0</v>
      </c>
      <c r="I250" s="1304">
        <f>F$498</f>
        <v>1250</v>
      </c>
      <c r="J250" s="199">
        <f t="shared" si="27"/>
        <v>0</v>
      </c>
    </row>
    <row r="251" spans="2:17">
      <c r="B251" s="150"/>
      <c r="C251" s="150"/>
      <c r="D251" s="150" t="s">
        <v>135</v>
      </c>
      <c r="E251" s="150" t="str">
        <f>'Material Quantities &amp; Embodied '!F185</f>
        <v>C32/40 - 25% GGBS</v>
      </c>
      <c r="F251" s="1301">
        <f>'Material Quantities &amp; Embodied '!G185</f>
        <v>0</v>
      </c>
      <c r="G251" s="73" t="s">
        <v>205</v>
      </c>
      <c r="H251" s="1304">
        <f>F251/(24*1000/9.81)</f>
        <v>0</v>
      </c>
      <c r="I251" s="1304">
        <f>F$497</f>
        <v>205</v>
      </c>
      <c r="J251" s="199">
        <f t="shared" si="27"/>
        <v>0</v>
      </c>
    </row>
    <row r="252" spans="2:17">
      <c r="B252" s="150"/>
      <c r="C252" s="150"/>
      <c r="D252" s="150"/>
      <c r="E252" s="150" t="str">
        <f>'Material Quantities &amp; Embodied '!F186</f>
        <v>Steel - Rebar - UK: UK CARES avg EPD</v>
      </c>
      <c r="F252" s="1301">
        <f>'Material Quantities &amp; Embodied '!G186</f>
        <v>0</v>
      </c>
      <c r="G252" s="73" t="s">
        <v>206</v>
      </c>
      <c r="H252" s="1304">
        <f>F252/1000</f>
        <v>0</v>
      </c>
      <c r="I252" s="1304">
        <f>F$500</f>
        <v>1250</v>
      </c>
      <c r="J252" s="199">
        <f t="shared" si="27"/>
        <v>0</v>
      </c>
    </row>
    <row r="253" spans="2:17">
      <c r="B253" s="150"/>
      <c r="C253" s="150"/>
      <c r="D253" s="150"/>
      <c r="E253" s="150" t="s">
        <v>210</v>
      </c>
      <c r="F253" s="1301"/>
      <c r="G253" s="73" t="s">
        <v>208</v>
      </c>
      <c r="H253" s="1304">
        <f>IF(A226=0,0,IF(Summary!J$13="Yes",Summary!J$14*2*(Summary!C$13*Summary!C$15+Summary!C$15*Summary!C$16),0))</f>
        <v>0</v>
      </c>
      <c r="I253" s="1304">
        <f>F$495</f>
        <v>195</v>
      </c>
      <c r="J253" s="199">
        <f t="shared" si="27"/>
        <v>0</v>
      </c>
      <c r="L253" s="73"/>
      <c r="M253" s="177"/>
      <c r="N253" s="177"/>
      <c r="O253" s="177"/>
      <c r="P253" s="177"/>
      <c r="Q253" s="177"/>
    </row>
    <row r="254" spans="2:17">
      <c r="B254" s="150"/>
      <c r="C254" s="150"/>
      <c r="D254" s="150" t="s">
        <v>136</v>
      </c>
      <c r="E254" s="150" t="str">
        <f>'Material Quantities &amp; Embodied '!F187</f>
        <v>C32/40 - 25% GGBS</v>
      </c>
      <c r="F254" s="1301">
        <f>'Material Quantities &amp; Embodied '!G187</f>
        <v>0</v>
      </c>
      <c r="G254" s="73" t="s">
        <v>205</v>
      </c>
      <c r="H254" s="1304">
        <f>F254/(24*1000/9.81)</f>
        <v>0</v>
      </c>
      <c r="I254" s="1304">
        <f>F$496</f>
        <v>215</v>
      </c>
      <c r="J254" s="199">
        <f t="shared" si="27"/>
        <v>0</v>
      </c>
    </row>
    <row r="255" spans="2:17">
      <c r="B255" s="150"/>
      <c r="C255" s="150"/>
      <c r="D255" s="150"/>
      <c r="E255" s="150" t="str">
        <f>'Material Quantities &amp; Embodied '!F188</f>
        <v>Steel - Rebar - UK: UK CARES avg EPD</v>
      </c>
      <c r="F255" s="1301">
        <f>'Material Quantities &amp; Embodied '!G188</f>
        <v>0</v>
      </c>
      <c r="G255" s="73" t="s">
        <v>206</v>
      </c>
      <c r="H255" s="1304">
        <f>F255/1000</f>
        <v>0</v>
      </c>
      <c r="I255" s="1304">
        <f>F$499</f>
        <v>1250</v>
      </c>
      <c r="J255" s="199">
        <f t="shared" si="27"/>
        <v>0</v>
      </c>
    </row>
    <row r="256" spans="2:17">
      <c r="B256" s="150"/>
      <c r="C256" s="150"/>
      <c r="D256" s="150"/>
      <c r="E256" s="150" t="s">
        <v>210</v>
      </c>
      <c r="F256" s="1301"/>
      <c r="G256" s="73" t="s">
        <v>208</v>
      </c>
      <c r="H256" s="1304">
        <f>IF(A226=0,0,SUM(Basement!O102,Basement!O115,Basement!O128))</f>
        <v>0</v>
      </c>
      <c r="I256" s="1304">
        <f>F$504</f>
        <v>80</v>
      </c>
      <c r="J256" s="199">
        <f t="shared" si="27"/>
        <v>0</v>
      </c>
    </row>
    <row r="257" spans="1:17">
      <c r="B257" s="150"/>
      <c r="C257" s="150"/>
      <c r="D257" s="182" t="s">
        <v>137</v>
      </c>
      <c r="E257" s="150" t="str">
        <f>'Material Quantities &amp; Embodied '!F189</f>
        <v>C32/40 - 25% GGBS</v>
      </c>
      <c r="F257" s="1301">
        <f>'Material Quantities &amp; Embodied '!G189</f>
        <v>0</v>
      </c>
      <c r="G257" s="73"/>
      <c r="H257" s="1304"/>
      <c r="I257" s="1304"/>
      <c r="J257" s="199">
        <f>IF(A226=0,0,H$546)</f>
        <v>0</v>
      </c>
    </row>
    <row r="258" spans="1:17">
      <c r="B258" s="150"/>
      <c r="C258" s="150"/>
      <c r="D258" s="182"/>
      <c r="E258" s="150" t="str">
        <f>'Material Quantities &amp; Embodied '!F190</f>
        <v>Steel - Rebar - UK: UK CARES avg EPD</v>
      </c>
      <c r="F258" s="1301">
        <f>'Material Quantities &amp; Embodied '!G190</f>
        <v>0</v>
      </c>
      <c r="G258" s="73"/>
      <c r="H258" s="1304"/>
      <c r="I258" s="1304"/>
      <c r="J258" s="204" t="s">
        <v>215</v>
      </c>
    </row>
    <row r="259" spans="1:17">
      <c r="B259" s="150"/>
      <c r="C259" s="150"/>
      <c r="D259" s="182" t="s">
        <v>216</v>
      </c>
      <c r="E259" s="150"/>
      <c r="F259" s="1301">
        <f>'Material Quantities &amp; Embodied '!G191</f>
        <v>2093680.7339449541</v>
      </c>
      <c r="G259" s="151" t="s">
        <v>205</v>
      </c>
      <c r="H259" s="1301">
        <f>F259/(20*1000/9.81)</f>
        <v>1026.9503999999999</v>
      </c>
      <c r="I259" s="1301">
        <f>F$493</f>
        <v>65</v>
      </c>
      <c r="J259" s="204">
        <f>H259*I259</f>
        <v>66751.775999999998</v>
      </c>
      <c r="K259" s="205"/>
      <c r="L259" s="73"/>
      <c r="M259" s="177"/>
      <c r="N259" s="177"/>
      <c r="O259" s="177"/>
      <c r="P259" s="177"/>
      <c r="Q259" s="177"/>
    </row>
    <row r="260" spans="1:17">
      <c r="B260" s="150"/>
      <c r="C260" s="179"/>
      <c r="D260" s="183" t="s">
        <v>217</v>
      </c>
      <c r="E260" s="179"/>
      <c r="F260" s="1302">
        <f>'Material Quantities &amp; Embodied '!G193</f>
        <v>0</v>
      </c>
      <c r="G260" s="180" t="s">
        <v>205</v>
      </c>
      <c r="H260" s="1302">
        <f>F260/(20*1000/9.81)</f>
        <v>0</v>
      </c>
      <c r="I260" s="1302">
        <f>F$493</f>
        <v>65</v>
      </c>
      <c r="J260" s="206">
        <f>H260*I260</f>
        <v>0</v>
      </c>
      <c r="K260" s="203">
        <f>SUM(J238:J260)</f>
        <v>1131935.821</v>
      </c>
      <c r="L260" s="73"/>
      <c r="M260" s="177"/>
      <c r="N260" s="177"/>
      <c r="O260" s="177"/>
      <c r="P260" s="177"/>
      <c r="Q260" s="177"/>
    </row>
    <row r="261" spans="1:17">
      <c r="B261" s="150"/>
      <c r="C261" s="150" t="s">
        <v>218</v>
      </c>
      <c r="D261" s="150" t="s">
        <v>219</v>
      </c>
      <c r="E261" s="150"/>
      <c r="F261" s="151"/>
      <c r="G261" s="151"/>
      <c r="H261" s="151"/>
      <c r="I261" s="151"/>
      <c r="J261" s="204">
        <f>0.05*SUM(J226:J260)</f>
        <v>106704.52172883967</v>
      </c>
      <c r="L261" s="73"/>
      <c r="M261" s="177"/>
      <c r="N261" s="177"/>
      <c r="O261" s="177"/>
      <c r="P261" s="177"/>
      <c r="Q261" s="177"/>
    </row>
    <row r="262" spans="1:17">
      <c r="B262" s="152"/>
      <c r="C262" s="150"/>
      <c r="D262" s="150" t="s">
        <v>220</v>
      </c>
      <c r="E262" s="150"/>
      <c r="F262" s="151"/>
      <c r="G262" s="151"/>
      <c r="H262" s="151"/>
      <c r="I262" s="151"/>
      <c r="J262" s="204">
        <f>0.22*SUM(J226:J260)</f>
        <v>469499.89560689451</v>
      </c>
      <c r="L262" s="73"/>
      <c r="Q262" s="73"/>
    </row>
    <row r="263" spans="1:17">
      <c r="B263" s="184"/>
      <c r="C263" s="179"/>
      <c r="D263" s="179" t="s">
        <v>221</v>
      </c>
      <c r="E263" s="179"/>
      <c r="F263" s="180"/>
      <c r="G263" s="180"/>
      <c r="H263" s="180"/>
      <c r="I263" s="180"/>
      <c r="J263" s="206">
        <f>0.1*SUM(J226:J260)</f>
        <v>213409.04345767933</v>
      </c>
      <c r="K263" s="203">
        <f>SUM(J261:J263)</f>
        <v>789613.46079341357</v>
      </c>
      <c r="L263" s="73"/>
      <c r="Q263" s="73"/>
    </row>
    <row r="264" spans="1:17">
      <c r="B264" s="150"/>
      <c r="C264" s="150"/>
      <c r="D264" s="150"/>
      <c r="E264" s="150"/>
      <c r="F264" s="151"/>
      <c r="G264" s="73"/>
      <c r="I264" s="198"/>
      <c r="J264" s="199"/>
      <c r="K264" s="191">
        <f>SUM(K226:K263)</f>
        <v>2923703.8953702068</v>
      </c>
    </row>
    <row r="265" spans="1:17" ht="12.75" thickBot="1">
      <c r="B265" s="172"/>
      <c r="C265" s="172"/>
      <c r="D265" s="172"/>
      <c r="E265" s="172"/>
      <c r="F265" s="173"/>
      <c r="G265" s="193"/>
      <c r="H265" s="193"/>
      <c r="I265" s="208"/>
      <c r="J265" s="209"/>
      <c r="K265" s="194"/>
    </row>
    <row r="266" spans="1:17">
      <c r="B266" s="150"/>
      <c r="C266" s="150"/>
      <c r="D266" s="150"/>
      <c r="E266" s="150"/>
      <c r="F266" s="151"/>
      <c r="G266" s="73"/>
      <c r="I266" s="198"/>
      <c r="J266" s="199"/>
    </row>
    <row r="267" spans="1:17">
      <c r="B267" s="150"/>
      <c r="C267" s="150"/>
      <c r="D267" s="150"/>
      <c r="E267" s="150"/>
      <c r="F267" s="151"/>
      <c r="G267" s="73"/>
      <c r="I267" s="198"/>
      <c r="J267" s="199"/>
    </row>
    <row r="268" spans="1:17" ht="24.75" thickBot="1">
      <c r="B268" s="175" t="s">
        <v>22</v>
      </c>
      <c r="C268" s="175" t="s">
        <v>100</v>
      </c>
      <c r="D268" s="175" t="s">
        <v>101</v>
      </c>
      <c r="E268" s="175" t="s">
        <v>103</v>
      </c>
      <c r="F268" s="72" t="str">
        <f>'Material Quantities &amp; Embodied '!G198</f>
        <v>Material Quantity [kg]</v>
      </c>
      <c r="G268" s="72" t="s">
        <v>201</v>
      </c>
      <c r="H268" s="72" t="s">
        <v>192</v>
      </c>
      <c r="I268" s="72" t="s">
        <v>222</v>
      </c>
      <c r="J268" s="197" t="s">
        <v>203</v>
      </c>
      <c r="K268" s="197" t="s">
        <v>204</v>
      </c>
    </row>
    <row r="269" spans="1:17">
      <c r="A269" s="190">
        <f>'Material Quantities &amp; Embodied '!A199</f>
        <v>0.55800000000000005</v>
      </c>
      <c r="B269" s="150" t="str">
        <f>Database!D23</f>
        <v>Non-Composite Rolled Steel with PCC Planks</v>
      </c>
      <c r="C269" s="150" t="s">
        <v>114</v>
      </c>
      <c r="D269" s="150" t="s">
        <v>115</v>
      </c>
      <c r="E269" s="150" t="str">
        <f>'Material Quantities &amp; Embodied '!F199</f>
        <v>C32/40 - 25% GGBS</v>
      </c>
      <c r="F269" s="1301">
        <f>'Material Quantities &amp; Embodied '!G199</f>
        <v>763302.75229357777</v>
      </c>
      <c r="G269" s="73" t="s">
        <v>205</v>
      </c>
      <c r="H269" s="1304">
        <f>F269/(24*1000/9.81)</f>
        <v>311.99999999999994</v>
      </c>
      <c r="I269" s="1304">
        <f>F$495</f>
        <v>195</v>
      </c>
      <c r="J269" s="199">
        <f>H269*I269</f>
        <v>60839.999999999985</v>
      </c>
    </row>
    <row r="270" spans="1:17">
      <c r="B270" s="150"/>
      <c r="C270" s="150"/>
      <c r="D270" s="150"/>
      <c r="E270" s="150" t="str">
        <f>'Material Quantities &amp; Embodied '!F200</f>
        <v>Concrete - Precast_concrete - Reinforced - 150mm hollow core slab</v>
      </c>
      <c r="F270" s="1301">
        <f>'Material Quantities &amp; Embodied '!G200</f>
        <v>1644036.6972477064</v>
      </c>
      <c r="G270" s="73" t="s">
        <v>208</v>
      </c>
      <c r="H270" s="1304">
        <f>IF(A269=0,0,IF(Summary!J8="No",Summary!C$13*Summary!C$14*Summary!C$15*Summary!C$16*Summary!C$17,Summary!C$13*Summary!C$14*Summary!C$15*Summary!C$16*(Summary!C$17-1)))</f>
        <v>5760</v>
      </c>
      <c r="I270" s="1304">
        <f>F506</f>
        <v>120</v>
      </c>
      <c r="J270" s="199">
        <f>H270*I270</f>
        <v>691200</v>
      </c>
    </row>
    <row r="271" spans="1:17">
      <c r="B271" s="150"/>
      <c r="C271" s="150"/>
      <c r="D271" s="150"/>
      <c r="E271" s="150" t="str">
        <f>'Material Quantities &amp; Embodied '!F201</f>
        <v>Steel - Structural_sections - Europe avg EPD</v>
      </c>
      <c r="F271" s="1301">
        <f>'Material Quantities &amp; Embodied '!G201</f>
        <v>101059.20000000001</v>
      </c>
      <c r="G271" s="73" t="s">
        <v>206</v>
      </c>
      <c r="H271" s="1304">
        <f>F271/1000</f>
        <v>101.05920000000002</v>
      </c>
      <c r="I271" s="1304">
        <f>F$487</f>
        <v>3500</v>
      </c>
      <c r="J271" s="199">
        <f t="shared" ref="J271:J279" si="28">H271*I271</f>
        <v>353707.20000000007</v>
      </c>
    </row>
    <row r="272" spans="1:17">
      <c r="B272" s="150"/>
      <c r="C272" s="150"/>
      <c r="D272" s="150" t="s">
        <v>27</v>
      </c>
      <c r="E272" s="150" t="str">
        <f>'Material Quantities &amp; Embodied '!F205</f>
        <v>C32/40 - 25% GGBS</v>
      </c>
      <c r="F272" s="1301">
        <f>'Material Quantities &amp; Embodied '!G205</f>
        <v>0</v>
      </c>
      <c r="G272" s="73" t="s">
        <v>205</v>
      </c>
      <c r="H272" s="1304">
        <f>F272/(24*1000/9.81)</f>
        <v>0</v>
      </c>
      <c r="I272" s="1304">
        <f>F$495</f>
        <v>195</v>
      </c>
      <c r="J272" s="199">
        <f t="shared" si="28"/>
        <v>0</v>
      </c>
    </row>
    <row r="273" spans="2:17">
      <c r="B273" s="150"/>
      <c r="C273" s="150"/>
      <c r="D273" s="150"/>
      <c r="E273" s="150" t="str">
        <f>'Material Quantities &amp; Embodied '!F206</f>
        <v>Steel - Rebar - UK: UK CARES avg EPD</v>
      </c>
      <c r="F273" s="1301">
        <f>'Material Quantities &amp; Embodied '!G206</f>
        <v>0</v>
      </c>
      <c r="G273" s="73" t="s">
        <v>206</v>
      </c>
      <c r="H273" s="1304">
        <f>F273/1000</f>
        <v>0</v>
      </c>
      <c r="I273" s="1304">
        <f>F$498</f>
        <v>1250</v>
      </c>
      <c r="J273" s="199">
        <f t="shared" si="28"/>
        <v>0</v>
      </c>
    </row>
    <row r="274" spans="2:17">
      <c r="B274" s="150"/>
      <c r="C274" s="150"/>
      <c r="D274" s="150"/>
      <c r="E274" s="150" t="s">
        <v>207</v>
      </c>
      <c r="F274" s="1301"/>
      <c r="G274" s="73" t="s">
        <v>208</v>
      </c>
      <c r="H274" s="1304">
        <f>IF(A269=0,0,IF(Summary!J$8="Yes",Summary!C$13*Summary!C$14*Summary!C$15*Summary!C$16,0))</f>
        <v>0</v>
      </c>
      <c r="I274" s="1304">
        <v>50</v>
      </c>
      <c r="J274" s="199">
        <f t="shared" si="28"/>
        <v>0</v>
      </c>
    </row>
    <row r="275" spans="2:17">
      <c r="B275" s="150"/>
      <c r="C275" s="150"/>
      <c r="D275" s="150"/>
      <c r="E275" s="150" t="s">
        <v>209</v>
      </c>
      <c r="F275" s="1301"/>
      <c r="G275" s="73" t="s">
        <v>15</v>
      </c>
      <c r="H275" s="1304">
        <f>IF(A269=0,0,IF(Summary!J$8="Yes",2*(Summary!C$13*Summary!C$15+Summary!C$14*Summary!C$16),0))</f>
        <v>0</v>
      </c>
      <c r="I275" s="1304">
        <v>20</v>
      </c>
      <c r="J275" s="199">
        <f t="shared" si="28"/>
        <v>0</v>
      </c>
    </row>
    <row r="276" spans="2:17">
      <c r="B276" s="150"/>
      <c r="C276" s="150"/>
      <c r="D276" s="150" t="s">
        <v>119</v>
      </c>
      <c r="E276" s="150" t="str">
        <f>'Material Quantities &amp; Embodied '!F202</f>
        <v>Steel - Structural_sections - Europe avg EPD</v>
      </c>
      <c r="F276" s="1301">
        <f>'Material Quantities &amp; Embodied '!G202</f>
        <v>40162.320000000007</v>
      </c>
      <c r="G276" s="73" t="s">
        <v>206</v>
      </c>
      <c r="H276" s="1304">
        <f>F276/1000</f>
        <v>40.162320000000008</v>
      </c>
      <c r="I276" s="1304">
        <f>F$487</f>
        <v>3500</v>
      </c>
      <c r="J276" s="199">
        <f t="shared" si="28"/>
        <v>140568.12000000002</v>
      </c>
    </row>
    <row r="277" spans="2:17">
      <c r="B277" s="150"/>
      <c r="C277" s="150"/>
      <c r="D277" s="150" t="s">
        <v>144</v>
      </c>
      <c r="F277" s="1301"/>
      <c r="G277" s="73" t="s">
        <v>208</v>
      </c>
      <c r="H277" s="1304">
        <f>Intumescent!M4</f>
        <v>2851.7361600000004</v>
      </c>
      <c r="I277" s="1304">
        <f>IF('RC Column'!C$34=60,Cost!F$488,IF('RC Column'!C$34=90,Cost!F$489,Cost!F$490))</f>
        <v>40</v>
      </c>
      <c r="J277" s="199">
        <f>H277*I277</f>
        <v>114069.44640000002</v>
      </c>
    </row>
    <row r="278" spans="2:17">
      <c r="B278" s="150"/>
      <c r="C278" s="150"/>
      <c r="D278" s="150" t="s">
        <v>120</v>
      </c>
      <c r="E278" s="150" t="str">
        <f>'Material Quantities &amp; Embodied '!F203</f>
        <v>C32/40 - 25% GGBS</v>
      </c>
      <c r="F278" s="1301">
        <f>'Material Quantities &amp; Embodied '!G203</f>
        <v>46478.013798165135</v>
      </c>
      <c r="G278" s="73" t="s">
        <v>205</v>
      </c>
      <c r="H278" s="1304">
        <f>F278/(24*1000/9.81)</f>
        <v>18.997888140000001</v>
      </c>
      <c r="I278" s="1304">
        <f>F$497</f>
        <v>205</v>
      </c>
      <c r="J278" s="199">
        <f t="shared" si="28"/>
        <v>3894.5670687000002</v>
      </c>
    </row>
    <row r="279" spans="2:17">
      <c r="B279" s="150"/>
      <c r="C279" s="150"/>
      <c r="D279" s="150"/>
      <c r="E279" s="150" t="str">
        <f>'Material Quantities &amp; Embodied '!F204</f>
        <v>Steel - Rebar - UK: UK CARES avg EPD</v>
      </c>
      <c r="F279" s="1301">
        <f>'Material Quantities &amp; Embodied '!G204</f>
        <v>1460.7004686731748</v>
      </c>
      <c r="G279" s="73" t="s">
        <v>206</v>
      </c>
      <c r="H279" s="1304">
        <f>F279/1000</f>
        <v>1.4607004686731748</v>
      </c>
      <c r="I279" s="1304">
        <f>F$500</f>
        <v>1250</v>
      </c>
      <c r="J279" s="199">
        <f t="shared" si="28"/>
        <v>1825.8755858414686</v>
      </c>
    </row>
    <row r="280" spans="2:17">
      <c r="B280" s="150"/>
      <c r="C280" s="179"/>
      <c r="D280" s="179"/>
      <c r="E280" s="179" t="s">
        <v>210</v>
      </c>
      <c r="F280" s="1302"/>
      <c r="G280" s="200" t="s">
        <v>208</v>
      </c>
      <c r="H280" s="1305">
        <f>IF(A269=0,0,'Shear Walls'!AM132)</f>
        <v>193.33301680000002</v>
      </c>
      <c r="I280" s="1305">
        <f>F505</f>
        <v>70</v>
      </c>
      <c r="J280" s="202">
        <f t="shared" ref="J280:J286" si="29">H280*I280</f>
        <v>13533.311176000001</v>
      </c>
      <c r="K280" s="203">
        <f>SUM(J269:J280)</f>
        <v>1379638.5202305417</v>
      </c>
    </row>
    <row r="281" spans="2:17">
      <c r="B281" s="150"/>
      <c r="C281" s="150" t="s">
        <v>123</v>
      </c>
      <c r="D281" s="150" t="s">
        <v>124</v>
      </c>
      <c r="E281" s="150" t="str">
        <f>'Material Quantities &amp; Embodied '!F208</f>
        <v>C32/40 - 25% GGBS</v>
      </c>
      <c r="F281" s="1301">
        <f>'Material Quantities &amp; Embodied '!G208</f>
        <v>1382400</v>
      </c>
      <c r="G281" s="73" t="s">
        <v>205</v>
      </c>
      <c r="H281" s="1304">
        <f>F281/(24*1000/9.81)</f>
        <v>565.05600000000004</v>
      </c>
      <c r="I281" s="1304">
        <f>F$495</f>
        <v>195</v>
      </c>
      <c r="J281" s="199">
        <f t="shared" si="29"/>
        <v>110185.92000000001</v>
      </c>
    </row>
    <row r="282" spans="2:17">
      <c r="B282" s="150"/>
      <c r="C282" s="150"/>
      <c r="D282" s="150"/>
      <c r="E282" s="150" t="str">
        <f>'Material Quantities &amp; Embodied '!F209</f>
        <v>Steel - Rebar - UK: UK CARES avg EPD</v>
      </c>
      <c r="F282" s="1301">
        <f>'Material Quantities &amp; Embodied '!G209</f>
        <v>34560</v>
      </c>
      <c r="G282" s="73" t="s">
        <v>206</v>
      </c>
      <c r="H282" s="1304">
        <f>F282/1000</f>
        <v>34.56</v>
      </c>
      <c r="I282" s="1304">
        <f>F$498</f>
        <v>1250</v>
      </c>
      <c r="J282" s="199">
        <f t="shared" si="29"/>
        <v>43200</v>
      </c>
    </row>
    <row r="283" spans="2:17">
      <c r="B283" s="150"/>
      <c r="C283" s="150"/>
      <c r="D283" s="150"/>
      <c r="E283" s="150" t="s">
        <v>207</v>
      </c>
      <c r="F283" s="1301"/>
      <c r="G283" s="73" t="s">
        <v>208</v>
      </c>
      <c r="H283" s="1304">
        <f>IF(A269=0,0,IF(Summary!J$13="Yes",Summary!C$13*Summary!C$14*Summary!C$15*Summary!C$16,0))</f>
        <v>0</v>
      </c>
      <c r="I283" s="1304">
        <v>50</v>
      </c>
      <c r="J283" s="199">
        <f t="shared" si="29"/>
        <v>0</v>
      </c>
    </row>
    <row r="284" spans="2:17">
      <c r="B284" s="150"/>
      <c r="C284" s="150"/>
      <c r="D284" s="150"/>
      <c r="E284" s="150" t="s">
        <v>209</v>
      </c>
      <c r="F284" s="1301"/>
      <c r="G284" s="73" t="s">
        <v>15</v>
      </c>
      <c r="H284" s="1304">
        <f>IF(A269=0,0,2*(Summary!C$13*Summary!C$15+Summary!C$14*Summary!C$16))</f>
        <v>216</v>
      </c>
      <c r="I284" s="1304">
        <v>20</v>
      </c>
      <c r="J284" s="199">
        <f t="shared" si="29"/>
        <v>4320</v>
      </c>
    </row>
    <row r="285" spans="2:17">
      <c r="B285" s="150"/>
      <c r="C285" s="150"/>
      <c r="D285" s="150" t="s">
        <v>126</v>
      </c>
      <c r="E285" s="150" t="str">
        <f>'Material Quantities &amp; Embodied '!F210</f>
        <v>Concrete - Mortar_screed - 1:4 cement:sand mix avg UK cement mix</v>
      </c>
      <c r="F285" s="1301">
        <f>'Material Quantities &amp; Embodied '!G210</f>
        <v>352293.57798165135</v>
      </c>
      <c r="G285" s="73" t="s">
        <v>208</v>
      </c>
      <c r="H285" s="1304">
        <f>IF(A269=0,0,Summary!C$13*Summary!C$14*Summary!C$15*Summary!C$16)</f>
        <v>2880</v>
      </c>
      <c r="I285" s="1304">
        <v>50</v>
      </c>
      <c r="J285" s="199">
        <f t="shared" si="29"/>
        <v>144000</v>
      </c>
    </row>
    <row r="286" spans="2:17">
      <c r="B286" s="150"/>
      <c r="C286" s="150"/>
      <c r="D286" s="150" t="s">
        <v>128</v>
      </c>
      <c r="E286" s="150" t="str">
        <f>'Material Quantities &amp; Embodied '!F211</f>
        <v xml:space="preserve">Other - Granular_fill - </v>
      </c>
      <c r="F286" s="1301">
        <f>'Material Quantities &amp; Embodied '!G211</f>
        <v>880733.94495412835</v>
      </c>
      <c r="G286" s="73" t="s">
        <v>205</v>
      </c>
      <c r="H286" s="1304">
        <f>IF(A269=0,0,Summary!C$13*Summary!C$14*Summary!C$15*Summary!C$16*0.15)</f>
        <v>432</v>
      </c>
      <c r="I286" s="1304">
        <v>45</v>
      </c>
      <c r="J286" s="199">
        <f t="shared" si="29"/>
        <v>19440</v>
      </c>
    </row>
    <row r="287" spans="2:17">
      <c r="B287" s="150"/>
      <c r="C287" s="150"/>
      <c r="D287" s="150" t="s">
        <v>211</v>
      </c>
      <c r="E287" s="150"/>
      <c r="F287" s="1301"/>
      <c r="G287" s="73" t="s">
        <v>208</v>
      </c>
      <c r="H287" s="1304">
        <f>IF(A269=0,0,Summary!C$13*Summary!C$14*Summary!C$15*Summary!C$16)</f>
        <v>2880</v>
      </c>
      <c r="I287" s="1304">
        <f>F$494</f>
        <v>50</v>
      </c>
      <c r="J287" s="199">
        <f t="shared" ref="J287" si="30">H287*I287</f>
        <v>144000</v>
      </c>
      <c r="L287" s="73"/>
      <c r="M287" s="150"/>
      <c r="N287" s="207"/>
      <c r="O287" s="152"/>
      <c r="P287" s="182"/>
      <c r="Q287" s="73"/>
    </row>
    <row r="288" spans="2:17">
      <c r="B288" s="150"/>
      <c r="C288" s="150"/>
      <c r="D288" s="150" t="s">
        <v>131</v>
      </c>
      <c r="E288" s="150" t="str">
        <f>'Material Quantities &amp; Embodied '!F212</f>
        <v>C32/40 - 25% GGBS</v>
      </c>
      <c r="F288" s="1301">
        <f>'Material Quantities &amp; Embodied '!G212</f>
        <v>585979.08477187215</v>
      </c>
      <c r="G288" s="73"/>
      <c r="H288" s="1304"/>
      <c r="I288" s="1304"/>
      <c r="J288" s="199">
        <f>Pile!N496</f>
        <v>242389.99999999994</v>
      </c>
    </row>
    <row r="289" spans="2:17">
      <c r="B289" s="150"/>
      <c r="C289" s="150"/>
      <c r="D289" s="150" t="s">
        <v>132</v>
      </c>
      <c r="E289" s="150" t="str">
        <f>'Material Quantities &amp; Embodied '!F214</f>
        <v>C32/40 - 25% GGBS</v>
      </c>
      <c r="F289" s="1301">
        <f>'Material Quantities &amp; Embodied '!G214</f>
        <v>154128.44036697247</v>
      </c>
      <c r="G289" s="73"/>
      <c r="H289" s="1304"/>
      <c r="I289" s="1304"/>
      <c r="J289" s="199">
        <f>Pile!U496</f>
        <v>25042.5</v>
      </c>
    </row>
    <row r="290" spans="2:17">
      <c r="B290" s="150"/>
      <c r="C290" s="150"/>
      <c r="D290" s="150" t="s">
        <v>212</v>
      </c>
      <c r="E290" s="150"/>
      <c r="F290" s="1301"/>
      <c r="G290" s="198" t="s">
        <v>208</v>
      </c>
      <c r="H290" s="1304">
        <f>IF(A269=0,0,Summary!C$13*Summary!C$14*Summary!C$15*Summary!C$16)</f>
        <v>2880</v>
      </c>
      <c r="I290" s="1304">
        <f>F$514</f>
        <v>100</v>
      </c>
      <c r="J290" s="199">
        <f>H290*I290</f>
        <v>288000</v>
      </c>
    </row>
    <row r="291" spans="2:17">
      <c r="B291" s="150"/>
      <c r="C291" s="150"/>
      <c r="D291" s="150" t="s">
        <v>213</v>
      </c>
      <c r="E291" s="150"/>
      <c r="F291" s="1301"/>
      <c r="G291" s="73" t="s">
        <v>214</v>
      </c>
      <c r="H291" s="1304">
        <f>IF(A269=0,0,CEILING((Summary!C$13*Summary!C$14*Summary!C$15*Summary!C$16)/(PI()*25^2),1))</f>
        <v>2</v>
      </c>
      <c r="I291" s="1304">
        <f>F$516</f>
        <v>20000</v>
      </c>
      <c r="J291" s="199">
        <f>H291*I291</f>
        <v>40000</v>
      </c>
      <c r="L291" s="73"/>
      <c r="M291" s="177"/>
      <c r="N291" s="177"/>
      <c r="O291" s="177"/>
      <c r="P291" s="177"/>
      <c r="Q291" s="177"/>
    </row>
    <row r="292" spans="2:17">
      <c r="B292" s="150"/>
      <c r="C292" s="150"/>
      <c r="D292" s="150" t="s">
        <v>134</v>
      </c>
      <c r="E292" s="150" t="str">
        <f>'Material Quantities &amp; Embodied '!F216</f>
        <v>C32/40 - 25% GGBS</v>
      </c>
      <c r="F292" s="1301">
        <f>'Material Quantities &amp; Embodied '!G216</f>
        <v>0</v>
      </c>
      <c r="G292" s="73" t="s">
        <v>205</v>
      </c>
      <c r="H292" s="1304">
        <f>F292/(24*1000/9.81)</f>
        <v>0</v>
      </c>
      <c r="I292" s="1304">
        <f>F$495</f>
        <v>195</v>
      </c>
      <c r="J292" s="199">
        <f t="shared" ref="J292:J299" si="31">H292*I292</f>
        <v>0</v>
      </c>
    </row>
    <row r="293" spans="2:17">
      <c r="B293" s="150"/>
      <c r="C293" s="150"/>
      <c r="D293" s="150"/>
      <c r="E293" s="150" t="str">
        <f>'Material Quantities &amp; Embodied '!F217</f>
        <v>Steel - Rebar - UK: UK CARES avg EPD</v>
      </c>
      <c r="F293" s="1301">
        <f>'Material Quantities &amp; Embodied '!G217</f>
        <v>0</v>
      </c>
      <c r="G293" s="73" t="s">
        <v>206</v>
      </c>
      <c r="H293" s="1304">
        <f>F293/1000</f>
        <v>0</v>
      </c>
      <c r="I293" s="1304">
        <f>F$498</f>
        <v>1250</v>
      </c>
      <c r="J293" s="199">
        <f t="shared" si="31"/>
        <v>0</v>
      </c>
    </row>
    <row r="294" spans="2:17">
      <c r="B294" s="150"/>
      <c r="C294" s="150"/>
      <c r="D294" s="150" t="s">
        <v>135</v>
      </c>
      <c r="E294" s="150" t="str">
        <f>'Material Quantities &amp; Embodied '!F218</f>
        <v>C32/40 - 25% GGBS</v>
      </c>
      <c r="F294" s="1301">
        <f>'Material Quantities &amp; Embodied '!G218</f>
        <v>0</v>
      </c>
      <c r="G294" s="73" t="s">
        <v>205</v>
      </c>
      <c r="H294" s="1304">
        <f>F294/(24*1000/9.81)</f>
        <v>0</v>
      </c>
      <c r="I294" s="1304">
        <f>F$497</f>
        <v>205</v>
      </c>
      <c r="J294" s="199">
        <f t="shared" si="31"/>
        <v>0</v>
      </c>
    </row>
    <row r="295" spans="2:17">
      <c r="B295" s="150"/>
      <c r="C295" s="150"/>
      <c r="D295" s="150"/>
      <c r="E295" s="150" t="str">
        <f>'Material Quantities &amp; Embodied '!F219</f>
        <v>Steel - Rebar - UK: UK CARES avg EPD</v>
      </c>
      <c r="F295" s="1301">
        <f>'Material Quantities &amp; Embodied '!G219</f>
        <v>0</v>
      </c>
      <c r="G295" s="73" t="s">
        <v>206</v>
      </c>
      <c r="H295" s="1304">
        <f>F295/1000</f>
        <v>0</v>
      </c>
      <c r="I295" s="1304">
        <f>F$500</f>
        <v>1250</v>
      </c>
      <c r="J295" s="199">
        <f t="shared" si="31"/>
        <v>0</v>
      </c>
    </row>
    <row r="296" spans="2:17">
      <c r="B296" s="150"/>
      <c r="C296" s="150"/>
      <c r="D296" s="150"/>
      <c r="E296" s="150" t="s">
        <v>210</v>
      </c>
      <c r="F296" s="1301"/>
      <c r="G296" s="73" t="s">
        <v>208</v>
      </c>
      <c r="H296" s="1304">
        <f>IF(A269=0,0,IF(Summary!J$13="Yes",Summary!J$14*2*(Summary!C$13*Summary!C$15+Summary!C$15*Summary!C$16),0))</f>
        <v>0</v>
      </c>
      <c r="I296" s="1304">
        <f>F$495</f>
        <v>195</v>
      </c>
      <c r="J296" s="199">
        <f t="shared" si="31"/>
        <v>0</v>
      </c>
      <c r="L296" s="73"/>
      <c r="M296" s="177"/>
      <c r="N296" s="177"/>
      <c r="O296" s="177"/>
      <c r="P296" s="177"/>
      <c r="Q296" s="177"/>
    </row>
    <row r="297" spans="2:17">
      <c r="B297" s="150"/>
      <c r="C297" s="150"/>
      <c r="D297" s="150" t="s">
        <v>136</v>
      </c>
      <c r="E297" s="150" t="str">
        <f>'Material Quantities &amp; Embodied '!F220</f>
        <v>C32/40 - 25% GGBS</v>
      </c>
      <c r="F297" s="1301">
        <f>'Material Quantities &amp; Embodied '!G220</f>
        <v>0</v>
      </c>
      <c r="G297" s="73" t="s">
        <v>205</v>
      </c>
      <c r="H297" s="1304">
        <f>F297/(24*1000/9.81)</f>
        <v>0</v>
      </c>
      <c r="I297" s="1304">
        <f>F$496</f>
        <v>215</v>
      </c>
      <c r="J297" s="199">
        <f t="shared" si="31"/>
        <v>0</v>
      </c>
    </row>
    <row r="298" spans="2:17">
      <c r="B298" s="150"/>
      <c r="C298" s="150"/>
      <c r="D298" s="150"/>
      <c r="E298" s="150" t="str">
        <f>'Material Quantities &amp; Embodied '!F221</f>
        <v>Steel - Rebar - UK: UK CARES avg EPD</v>
      </c>
      <c r="F298" s="1301">
        <f>'Material Quantities &amp; Embodied '!G221</f>
        <v>0</v>
      </c>
      <c r="G298" s="73" t="s">
        <v>206</v>
      </c>
      <c r="H298" s="1304">
        <f>F298/1000</f>
        <v>0</v>
      </c>
      <c r="I298" s="1304">
        <f>F$499</f>
        <v>1250</v>
      </c>
      <c r="J298" s="199">
        <f t="shared" si="31"/>
        <v>0</v>
      </c>
    </row>
    <row r="299" spans="2:17">
      <c r="B299" s="150"/>
      <c r="C299" s="150"/>
      <c r="D299" s="150"/>
      <c r="E299" s="150" t="s">
        <v>210</v>
      </c>
      <c r="F299" s="1301"/>
      <c r="G299" s="73" t="s">
        <v>208</v>
      </c>
      <c r="H299" s="1304">
        <f>IF(A269=0,0,SUM(Basement!O103,Basement!O116,Basement!O129))</f>
        <v>0</v>
      </c>
      <c r="I299" s="1304">
        <f>F$504</f>
        <v>80</v>
      </c>
      <c r="J299" s="199">
        <f t="shared" si="31"/>
        <v>0</v>
      </c>
    </row>
    <row r="300" spans="2:17">
      <c r="B300" s="150"/>
      <c r="C300" s="150"/>
      <c r="D300" s="182" t="s">
        <v>137</v>
      </c>
      <c r="E300" s="150" t="str">
        <f>'Material Quantities &amp; Embodied '!F222</f>
        <v>C32/40 - 25% GGBS</v>
      </c>
      <c r="F300" s="1301">
        <f>'Material Quantities &amp; Embodied '!G222</f>
        <v>0</v>
      </c>
      <c r="G300" s="73"/>
      <c r="H300" s="1304"/>
      <c r="I300" s="1304"/>
      <c r="J300" s="199">
        <f>IF(A269=0,0,H$546)</f>
        <v>0</v>
      </c>
    </row>
    <row r="301" spans="2:17">
      <c r="B301" s="150"/>
      <c r="C301" s="150"/>
      <c r="D301" s="182"/>
      <c r="E301" s="150" t="str">
        <f>'Material Quantities &amp; Embodied '!F223</f>
        <v>Steel - Rebar - UK: UK CARES avg EPD</v>
      </c>
      <c r="F301" s="1301">
        <f>'Material Quantities &amp; Embodied '!G223</f>
        <v>0</v>
      </c>
      <c r="G301" s="73"/>
      <c r="H301" s="1304"/>
      <c r="I301" s="1304"/>
      <c r="J301" s="204" t="s">
        <v>215</v>
      </c>
    </row>
    <row r="302" spans="2:17">
      <c r="B302" s="150"/>
      <c r="C302" s="150"/>
      <c r="D302" s="182" t="s">
        <v>216</v>
      </c>
      <c r="E302" s="150"/>
      <c r="F302" s="1301">
        <f>'Material Quantities &amp; Embodied '!G224</f>
        <v>2093680.7339449541</v>
      </c>
      <c r="G302" s="151" t="s">
        <v>205</v>
      </c>
      <c r="H302" s="1301">
        <f>F302/(20*1000/9.81)</f>
        <v>1026.9503999999999</v>
      </c>
      <c r="I302" s="1301">
        <f>F$493</f>
        <v>65</v>
      </c>
      <c r="J302" s="204">
        <f>H302*I302</f>
        <v>66751.775999999998</v>
      </c>
      <c r="K302" s="205"/>
      <c r="L302" s="73"/>
      <c r="M302" s="177"/>
      <c r="N302" s="177"/>
      <c r="O302" s="177"/>
      <c r="P302" s="177"/>
      <c r="Q302" s="177"/>
    </row>
    <row r="303" spans="2:17">
      <c r="B303" s="150"/>
      <c r="C303" s="179"/>
      <c r="D303" s="183" t="s">
        <v>217</v>
      </c>
      <c r="E303" s="179"/>
      <c r="F303" s="1302">
        <f>'Material Quantities &amp; Embodied '!G226</f>
        <v>0</v>
      </c>
      <c r="G303" s="180" t="s">
        <v>205</v>
      </c>
      <c r="H303" s="1302">
        <f>F303/(20*1000/9.81)</f>
        <v>0</v>
      </c>
      <c r="I303" s="1302">
        <f>F$493</f>
        <v>65</v>
      </c>
      <c r="J303" s="206">
        <f>H303*I303</f>
        <v>0</v>
      </c>
      <c r="K303" s="203">
        <f>SUM(J281:J303)</f>
        <v>1127330.196</v>
      </c>
      <c r="L303" s="73"/>
      <c r="M303" s="177"/>
      <c r="N303" s="177"/>
      <c r="O303" s="177"/>
      <c r="P303" s="177"/>
      <c r="Q303" s="177"/>
    </row>
    <row r="304" spans="2:17">
      <c r="B304" s="150"/>
      <c r="C304" s="150" t="s">
        <v>218</v>
      </c>
      <c r="D304" s="150" t="s">
        <v>219</v>
      </c>
      <c r="E304" s="150"/>
      <c r="F304" s="151"/>
      <c r="G304" s="151"/>
      <c r="H304" s="151"/>
      <c r="I304" s="151"/>
      <c r="J304" s="204">
        <f>0.05*SUM(J269:J303)</f>
        <v>125348.4358115271</v>
      </c>
      <c r="L304" s="73"/>
      <c r="M304" s="177"/>
      <c r="N304" s="177"/>
      <c r="O304" s="177"/>
      <c r="P304" s="177"/>
      <c r="Q304" s="177"/>
    </row>
    <row r="305" spans="1:17">
      <c r="B305" s="152"/>
      <c r="C305" s="150"/>
      <c r="D305" s="150" t="s">
        <v>220</v>
      </c>
      <c r="E305" s="150"/>
      <c r="F305" s="151"/>
      <c r="G305" s="151"/>
      <c r="H305" s="151"/>
      <c r="I305" s="151"/>
      <c r="J305" s="204">
        <f>0.22*SUM(J269:J303)</f>
        <v>551533.11757071922</v>
      </c>
      <c r="L305" s="73"/>
      <c r="Q305" s="73"/>
    </row>
    <row r="306" spans="1:17">
      <c r="B306" s="184"/>
      <c r="C306" s="179"/>
      <c r="D306" s="179" t="s">
        <v>221</v>
      </c>
      <c r="E306" s="179"/>
      <c r="F306" s="180"/>
      <c r="G306" s="180"/>
      <c r="H306" s="180"/>
      <c r="I306" s="180"/>
      <c r="J306" s="206">
        <f>0.1*SUM(J269:J303)</f>
        <v>250696.8716230542</v>
      </c>
      <c r="K306" s="203">
        <f>SUM(J304:J306)</f>
        <v>927578.42500530044</v>
      </c>
      <c r="L306" s="73"/>
      <c r="Q306" s="73"/>
    </row>
    <row r="307" spans="1:17">
      <c r="B307" s="150"/>
      <c r="C307" s="150"/>
      <c r="D307" s="150"/>
      <c r="E307" s="150"/>
      <c r="F307" s="151"/>
      <c r="G307" s="73"/>
      <c r="I307" s="198"/>
      <c r="J307" s="199"/>
      <c r="K307" s="191">
        <f>SUM(K269:K306)</f>
        <v>3434547.1412358419</v>
      </c>
    </row>
    <row r="308" spans="1:17" ht="12.75" thickBot="1">
      <c r="B308" s="172"/>
      <c r="C308" s="172"/>
      <c r="D308" s="172"/>
      <c r="E308" s="172"/>
      <c r="F308" s="173"/>
      <c r="G308" s="193"/>
      <c r="H308" s="193"/>
      <c r="I308" s="208"/>
      <c r="J308" s="209"/>
      <c r="K308" s="194"/>
    </row>
    <row r="309" spans="1:17">
      <c r="B309" s="150"/>
      <c r="C309" s="150"/>
      <c r="D309" s="150"/>
      <c r="E309" s="150"/>
      <c r="F309" s="151"/>
      <c r="G309" s="73"/>
      <c r="I309" s="198"/>
      <c r="J309" s="199"/>
    </row>
    <row r="310" spans="1:17">
      <c r="B310" s="150"/>
      <c r="C310" s="150"/>
      <c r="D310" s="150"/>
      <c r="E310" s="150"/>
      <c r="F310" s="151"/>
      <c r="G310" s="73"/>
      <c r="I310" s="198"/>
      <c r="J310" s="199"/>
    </row>
    <row r="311" spans="1:17" ht="24.75" thickBot="1">
      <c r="B311" s="175" t="s">
        <v>22</v>
      </c>
      <c r="C311" s="175" t="s">
        <v>100</v>
      </c>
      <c r="D311" s="175" t="s">
        <v>101</v>
      </c>
      <c r="E311" s="175" t="s">
        <v>103</v>
      </c>
      <c r="F311" s="72" t="str">
        <f>'Material Quantities &amp; Embodied '!G231</f>
        <v>Material Quantity [kg]</v>
      </c>
      <c r="G311" s="72" t="s">
        <v>201</v>
      </c>
      <c r="H311" s="72" t="s">
        <v>192</v>
      </c>
      <c r="I311" s="72" t="s">
        <v>222</v>
      </c>
      <c r="J311" s="197" t="s">
        <v>203</v>
      </c>
      <c r="K311" s="197" t="s">
        <v>204</v>
      </c>
    </row>
    <row r="312" spans="1:17">
      <c r="A312" s="190">
        <f>'Material Quantities &amp; Embodied '!A232</f>
        <v>0.505</v>
      </c>
      <c r="B312" s="150" t="str">
        <f>Database!D24</f>
        <v>Composite Rolled Steel with Metal Decking</v>
      </c>
      <c r="C312" s="150" t="s">
        <v>114</v>
      </c>
      <c r="D312" s="150" t="s">
        <v>115</v>
      </c>
      <c r="E312" s="150" t="str">
        <f>'Material Quantities &amp; Embodied '!F232</f>
        <v>C32/40 - 25% GGBS</v>
      </c>
      <c r="F312" s="1301">
        <f>'Material Quantities &amp; Embodied '!G232</f>
        <v>1667522.9357798165</v>
      </c>
      <c r="G312" s="73" t="s">
        <v>205</v>
      </c>
      <c r="H312" s="1304">
        <f>F312/(24*1000/9.81)</f>
        <v>681.6</v>
      </c>
      <c r="I312" s="1304">
        <f>F$495</f>
        <v>195</v>
      </c>
      <c r="J312" s="199">
        <f>H312*I312</f>
        <v>132912</v>
      </c>
    </row>
    <row r="313" spans="1:17">
      <c r="B313" s="150"/>
      <c r="C313" s="150"/>
      <c r="D313" s="150"/>
      <c r="E313" s="150" t="str">
        <f>'Material Quantities &amp; Embodied '!F233</f>
        <v>Steel - Rebar - UK: UK CARES avg EPD</v>
      </c>
      <c r="F313" s="1301">
        <f>'Material Quantities &amp; Embodied '!G233</f>
        <v>8895.7064220183493</v>
      </c>
      <c r="G313" s="73" t="s">
        <v>206</v>
      </c>
      <c r="H313" s="1304">
        <f>F313/1000</f>
        <v>8.8957064220183497</v>
      </c>
      <c r="I313" s="1304">
        <f>F$498</f>
        <v>1250</v>
      </c>
      <c r="J313" s="199">
        <f>H313*I313</f>
        <v>11119.633027522937</v>
      </c>
    </row>
    <row r="314" spans="1:17">
      <c r="B314" s="150"/>
      <c r="C314" s="150"/>
      <c r="D314" s="150"/>
      <c r="E314" s="150" t="str">
        <f>'Material Quantities &amp; Embodied '!F234</f>
        <v>Steel - Structural_sections - Europe avg EPD</v>
      </c>
      <c r="F314" s="1301">
        <f>'Material Quantities &amp; Embodied '!G234</f>
        <v>106054.08000000002</v>
      </c>
      <c r="G314" s="73" t="s">
        <v>206</v>
      </c>
      <c r="H314" s="1304">
        <f>F314/1000</f>
        <v>106.05408000000001</v>
      </c>
      <c r="I314" s="1304">
        <f>F$487</f>
        <v>3500</v>
      </c>
      <c r="J314" s="199">
        <f>H314*I314</f>
        <v>371189.28</v>
      </c>
    </row>
    <row r="315" spans="1:17">
      <c r="B315" s="150"/>
      <c r="C315" s="150"/>
      <c r="D315" s="150"/>
      <c r="E315" s="150" t="s">
        <v>225</v>
      </c>
      <c r="F315" s="1303"/>
      <c r="G315" s="73" t="s">
        <v>208</v>
      </c>
      <c r="H315" s="1304">
        <f>IF(A312=0,0,IF(Summary!J$8="No",Summary!C$13*Summary!C$14*Summary!C$15*Summary!C$16*Summary!C$17,Summary!C$13*Summary!C$14*Summary!C$15*Summary!C$16*(Summary!C$17-1)))</f>
        <v>5760</v>
      </c>
      <c r="I315" s="1304">
        <f>F$491</f>
        <v>85</v>
      </c>
      <c r="J315" s="199">
        <f>H315*I315</f>
        <v>489600</v>
      </c>
    </row>
    <row r="316" spans="1:17">
      <c r="B316" s="150"/>
      <c r="C316" s="150"/>
      <c r="D316" s="150" t="s">
        <v>27</v>
      </c>
      <c r="E316" s="150" t="str">
        <f>'Material Quantities &amp; Embodied '!F239</f>
        <v>C32/40 - 25% GGBS</v>
      </c>
      <c r="F316" s="1301">
        <f>'Material Quantities &amp; Embodied '!G239</f>
        <v>0</v>
      </c>
      <c r="G316" s="73" t="s">
        <v>205</v>
      </c>
      <c r="H316" s="1304">
        <f>F316/(24*1000/9.81)</f>
        <v>0</v>
      </c>
      <c r="I316" s="1304">
        <f>F$495</f>
        <v>195</v>
      </c>
      <c r="J316" s="199">
        <f t="shared" ref="J316:J319" si="32">H316*I316</f>
        <v>0</v>
      </c>
    </row>
    <row r="317" spans="1:17">
      <c r="B317" s="150"/>
      <c r="C317" s="150"/>
      <c r="D317" s="150"/>
      <c r="E317" s="150" t="str">
        <f>'Material Quantities &amp; Embodied '!F240</f>
        <v>Steel - Rebar - UK: UK CARES avg EPD</v>
      </c>
      <c r="F317" s="1301">
        <f>'Material Quantities &amp; Embodied '!G240</f>
        <v>0</v>
      </c>
      <c r="G317" s="73" t="s">
        <v>206</v>
      </c>
      <c r="H317" s="1304">
        <f>F317/1000</f>
        <v>0</v>
      </c>
      <c r="I317" s="1304">
        <f>F$498</f>
        <v>1250</v>
      </c>
      <c r="J317" s="199">
        <f t="shared" si="32"/>
        <v>0</v>
      </c>
    </row>
    <row r="318" spans="1:17">
      <c r="B318" s="150"/>
      <c r="C318" s="150"/>
      <c r="D318" s="150"/>
      <c r="E318" s="150" t="s">
        <v>207</v>
      </c>
      <c r="F318" s="1301"/>
      <c r="G318" s="73" t="s">
        <v>208</v>
      </c>
      <c r="H318" s="1304">
        <f>IF(A312=0,0,IF(Summary!J$8="Yes",Summary!C$13*Summary!C$14*Summary!C$15*Summary!C$16,0))</f>
        <v>0</v>
      </c>
      <c r="I318" s="1304">
        <v>50</v>
      </c>
      <c r="J318" s="199">
        <f t="shared" si="32"/>
        <v>0</v>
      </c>
    </row>
    <row r="319" spans="1:17">
      <c r="B319" s="150"/>
      <c r="C319" s="150"/>
      <c r="D319" s="150"/>
      <c r="E319" s="150" t="s">
        <v>209</v>
      </c>
      <c r="F319" s="1301"/>
      <c r="G319" s="73" t="s">
        <v>15</v>
      </c>
      <c r="H319" s="1304">
        <f>IF(A312=0,0,IF(Summary!J$8="Yes",2*(Summary!C$13*Summary!C$15+Summary!C$14*Summary!C$16),0))</f>
        <v>0</v>
      </c>
      <c r="I319" s="1304">
        <v>20</v>
      </c>
      <c r="J319" s="199">
        <f t="shared" si="32"/>
        <v>0</v>
      </c>
    </row>
    <row r="320" spans="1:17">
      <c r="B320" s="150"/>
      <c r="C320" s="150"/>
      <c r="D320" s="150" t="s">
        <v>119</v>
      </c>
      <c r="E320" s="150" t="str">
        <f>'Material Quantities &amp; Embodied '!F236</f>
        <v>Steel - Structural_sections - Europe avg EPD</v>
      </c>
      <c r="F320" s="1301">
        <f>'Material Quantities &amp; Embodied '!G236</f>
        <v>32132.760000000006</v>
      </c>
      <c r="G320" s="73" t="s">
        <v>206</v>
      </c>
      <c r="H320" s="1304">
        <f>F320/1000</f>
        <v>32.132760000000005</v>
      </c>
      <c r="I320" s="1304">
        <f>F$487</f>
        <v>3500</v>
      </c>
      <c r="J320" s="199">
        <f>H320*I320</f>
        <v>112464.66000000002</v>
      </c>
    </row>
    <row r="321" spans="2:17">
      <c r="B321" s="150"/>
      <c r="C321" s="150"/>
      <c r="D321" s="150" t="s">
        <v>144</v>
      </c>
      <c r="F321" s="1301"/>
      <c r="G321" s="73" t="s">
        <v>208</v>
      </c>
      <c r="H321" s="1304">
        <f>Intumescent!M5</f>
        <v>3131.1602400000002</v>
      </c>
      <c r="I321" s="1304">
        <f>IF('RC Column'!C$34=60,Cost!F$488,IF('RC Column'!C$34=90,Cost!F$489,Cost!F$490))</f>
        <v>40</v>
      </c>
      <c r="J321" s="199">
        <f>H321*I321</f>
        <v>125246.40960000001</v>
      </c>
    </row>
    <row r="322" spans="2:17">
      <c r="B322" s="150"/>
      <c r="C322" s="150"/>
      <c r="D322" s="150" t="s">
        <v>120</v>
      </c>
      <c r="E322" s="150" t="str">
        <f>'Material Quantities &amp; Embodied '!F237</f>
        <v>C32/40 - 25% GGBS</v>
      </c>
      <c r="F322" s="1301">
        <f>'Material Quantities &amp; Embodied '!G237</f>
        <v>45217.893577981653</v>
      </c>
      <c r="G322" s="73" t="s">
        <v>205</v>
      </c>
      <c r="H322" s="1304">
        <f>F322/(24*1000/9.81)</f>
        <v>18.482814000000001</v>
      </c>
      <c r="I322" s="1304">
        <f>F$497</f>
        <v>205</v>
      </c>
      <c r="J322" s="199">
        <f t="shared" ref="J322:J323" si="33">H322*I322</f>
        <v>3788.9768700000004</v>
      </c>
    </row>
    <row r="323" spans="2:17">
      <c r="B323" s="150"/>
      <c r="C323" s="150"/>
      <c r="D323" s="150"/>
      <c r="E323" s="150" t="str">
        <f>'Material Quantities &amp; Embodied '!F238</f>
        <v>Steel - Rebar - UK: UK CARES avg EPD</v>
      </c>
      <c r="F323" s="1301">
        <f>'Material Quantities &amp; Embodied '!G238</f>
        <v>1421.0976963989597</v>
      </c>
      <c r="G323" s="73" t="s">
        <v>206</v>
      </c>
      <c r="H323" s="1304">
        <f>F323/1000</f>
        <v>1.4210976963989597</v>
      </c>
      <c r="I323" s="1304">
        <f>F$500</f>
        <v>1250</v>
      </c>
      <c r="J323" s="199">
        <f t="shared" si="33"/>
        <v>1776.3721204986996</v>
      </c>
    </row>
    <row r="324" spans="2:17">
      <c r="B324" s="150"/>
      <c r="C324" s="179"/>
      <c r="D324" s="179"/>
      <c r="E324" s="179" t="s">
        <v>210</v>
      </c>
      <c r="F324" s="1302"/>
      <c r="G324" s="200" t="s">
        <v>208</v>
      </c>
      <c r="H324" s="1305">
        <f>IF(A312=0,0,'Shear Walls'!AS132)</f>
        <v>188.42068</v>
      </c>
      <c r="I324" s="1305">
        <f>F505</f>
        <v>70</v>
      </c>
      <c r="J324" s="202">
        <f t="shared" ref="J324:J330" si="34">H324*I324</f>
        <v>13189.4476</v>
      </c>
      <c r="K324" s="203">
        <f>SUM(J312:J324)</f>
        <v>1261286.7792180218</v>
      </c>
    </row>
    <row r="325" spans="2:17">
      <c r="B325" s="150"/>
      <c r="C325" s="150" t="s">
        <v>123</v>
      </c>
      <c r="D325" s="150" t="s">
        <v>124</v>
      </c>
      <c r="E325" s="150" t="str">
        <f>'Material Quantities &amp; Embodied '!F242</f>
        <v>C32/40 - 25% GGBS</v>
      </c>
      <c r="F325" s="1301">
        <f>'Material Quantities &amp; Embodied '!G242</f>
        <v>1382400</v>
      </c>
      <c r="G325" s="73" t="s">
        <v>205</v>
      </c>
      <c r="H325" s="1304">
        <f>F325/(24*1000/9.81)</f>
        <v>565.05600000000004</v>
      </c>
      <c r="I325" s="1304">
        <f>F$495</f>
        <v>195</v>
      </c>
      <c r="J325" s="199">
        <f t="shared" si="34"/>
        <v>110185.92000000001</v>
      </c>
    </row>
    <row r="326" spans="2:17">
      <c r="B326" s="150"/>
      <c r="C326" s="150"/>
      <c r="D326" s="150"/>
      <c r="E326" s="150" t="str">
        <f>'Material Quantities &amp; Embodied '!F243</f>
        <v>Steel - Rebar - UK: UK CARES avg EPD</v>
      </c>
      <c r="F326" s="1301">
        <f>'Material Quantities &amp; Embodied '!G243</f>
        <v>34560</v>
      </c>
      <c r="G326" s="73" t="s">
        <v>206</v>
      </c>
      <c r="H326" s="1304">
        <f>F326/1000</f>
        <v>34.56</v>
      </c>
      <c r="I326" s="1304">
        <f>F$498</f>
        <v>1250</v>
      </c>
      <c r="J326" s="199">
        <f t="shared" si="34"/>
        <v>43200</v>
      </c>
    </row>
    <row r="327" spans="2:17">
      <c r="B327" s="150"/>
      <c r="C327" s="150"/>
      <c r="D327" s="150"/>
      <c r="E327" s="150" t="s">
        <v>207</v>
      </c>
      <c r="F327" s="1301"/>
      <c r="G327" s="73" t="s">
        <v>208</v>
      </c>
      <c r="H327" s="1304">
        <f>IF(A312=0,0,IF(Summary!J$13="Yes",Summary!C$13*Summary!C$14*Summary!C$15*Summary!C$16,0))</f>
        <v>0</v>
      </c>
      <c r="I327" s="1304">
        <v>50</v>
      </c>
      <c r="J327" s="199">
        <f t="shared" si="34"/>
        <v>0</v>
      </c>
    </row>
    <row r="328" spans="2:17">
      <c r="B328" s="150"/>
      <c r="C328" s="150"/>
      <c r="D328" s="150"/>
      <c r="E328" s="150" t="s">
        <v>209</v>
      </c>
      <c r="F328" s="1301"/>
      <c r="G328" s="73" t="s">
        <v>15</v>
      </c>
      <c r="H328" s="1304">
        <f>IF(A312=0,0,2*(Summary!C$13*Summary!C$15+Summary!C$14*Summary!C$16))</f>
        <v>216</v>
      </c>
      <c r="I328" s="1304">
        <v>20</v>
      </c>
      <c r="J328" s="199">
        <f t="shared" si="34"/>
        <v>4320</v>
      </c>
    </row>
    <row r="329" spans="2:17">
      <c r="B329" s="150"/>
      <c r="C329" s="150"/>
      <c r="D329" s="150" t="s">
        <v>126</v>
      </c>
      <c r="E329" s="150" t="str">
        <f>'Material Quantities &amp; Embodied '!F244</f>
        <v>Concrete - Mortar_screed - 1:4 cement:sand mix avg UK cement mix</v>
      </c>
      <c r="F329" s="1301">
        <f>'Material Quantities &amp; Embodied '!G244</f>
        <v>352293.57798165135</v>
      </c>
      <c r="G329" s="73" t="s">
        <v>208</v>
      </c>
      <c r="H329" s="1304">
        <f>IF(A312=0,0,Summary!C$13*Summary!C$14*Summary!C$15*Summary!C$16)</f>
        <v>2880</v>
      </c>
      <c r="I329" s="1304">
        <v>50</v>
      </c>
      <c r="J329" s="199">
        <f t="shared" si="34"/>
        <v>144000</v>
      </c>
    </row>
    <row r="330" spans="2:17">
      <c r="B330" s="150"/>
      <c r="C330" s="150"/>
      <c r="D330" s="150" t="s">
        <v>128</v>
      </c>
      <c r="E330" s="150" t="str">
        <f>'Material Quantities &amp; Embodied '!F245</f>
        <v xml:space="preserve">Other - Granular_fill - </v>
      </c>
      <c r="F330" s="1301">
        <f>'Material Quantities &amp; Embodied '!G245</f>
        <v>880733.94495412835</v>
      </c>
      <c r="G330" s="73" t="s">
        <v>205</v>
      </c>
      <c r="H330" s="1304">
        <f>IF(A312=0,0,Summary!C$13*Summary!C$14*Summary!C$15*Summary!C$16*0.15)</f>
        <v>432</v>
      </c>
      <c r="I330" s="1304">
        <v>45</v>
      </c>
      <c r="J330" s="199">
        <f t="shared" si="34"/>
        <v>19440</v>
      </c>
    </row>
    <row r="331" spans="2:17">
      <c r="B331" s="150"/>
      <c r="C331" s="150"/>
      <c r="D331" s="150" t="s">
        <v>211</v>
      </c>
      <c r="E331" s="150"/>
      <c r="F331" s="1301"/>
      <c r="G331" s="73"/>
      <c r="H331" s="1304">
        <f>IF(A312=0,0,Summary!C$13*Summary!C$14*Summary!C$15*Summary!C$16)</f>
        <v>2880</v>
      </c>
      <c r="I331" s="1304">
        <f>F$494</f>
        <v>50</v>
      </c>
      <c r="J331" s="199">
        <f t="shared" ref="J331" si="35">H331*I331</f>
        <v>144000</v>
      </c>
      <c r="L331" s="73"/>
      <c r="M331" s="150"/>
      <c r="N331" s="207"/>
      <c r="O331" s="152"/>
      <c r="P331" s="182"/>
      <c r="Q331" s="73"/>
    </row>
    <row r="332" spans="2:17">
      <c r="B332" s="150"/>
      <c r="C332" s="150"/>
      <c r="D332" s="150" t="s">
        <v>131</v>
      </c>
      <c r="E332" s="150" t="str">
        <f>'Material Quantities &amp; Embodied '!F246</f>
        <v>C32/40 - 25% GGBS</v>
      </c>
      <c r="F332" s="1301">
        <f>'Material Quantities &amp; Embodied '!G246</f>
        <v>600336.73963779642</v>
      </c>
      <c r="G332" s="73"/>
      <c r="H332" s="1304"/>
      <c r="I332" s="1304"/>
      <c r="J332" s="199">
        <f>Pile!N497</f>
        <v>247683.49999999997</v>
      </c>
    </row>
    <row r="333" spans="2:17">
      <c r="B333" s="150"/>
      <c r="C333" s="150"/>
      <c r="D333" s="150" t="s">
        <v>132</v>
      </c>
      <c r="E333" s="150" t="str">
        <f>'Material Quantities &amp; Embodied '!F248</f>
        <v>C32/40 - 25% GGBS</v>
      </c>
      <c r="F333" s="1301">
        <f>'Material Quantities &amp; Embodied '!G248</f>
        <v>158256.88073394494</v>
      </c>
      <c r="G333" s="73"/>
      <c r="H333" s="1304"/>
      <c r="I333" s="1304"/>
      <c r="J333" s="199">
        <f>Pile!U497</f>
        <v>25713.28125</v>
      </c>
    </row>
    <row r="334" spans="2:17">
      <c r="B334" s="150"/>
      <c r="C334" s="150"/>
      <c r="D334" s="150" t="s">
        <v>212</v>
      </c>
      <c r="E334" s="150"/>
      <c r="F334" s="1301"/>
      <c r="G334" s="198" t="s">
        <v>208</v>
      </c>
      <c r="H334" s="1304">
        <f>IF(A312=0,0,Summary!C$13*Summary!C$14*Summary!C$15*Summary!C$16)</f>
        <v>2880</v>
      </c>
      <c r="I334" s="1304">
        <f>F$514</f>
        <v>100</v>
      </c>
      <c r="J334" s="199">
        <f>H334*I334</f>
        <v>288000</v>
      </c>
    </row>
    <row r="335" spans="2:17">
      <c r="B335" s="150"/>
      <c r="C335" s="150"/>
      <c r="D335" s="150" t="s">
        <v>213</v>
      </c>
      <c r="E335" s="150"/>
      <c r="F335" s="1301"/>
      <c r="G335" s="73" t="s">
        <v>214</v>
      </c>
      <c r="H335" s="1304">
        <f>IF(A312=0,0,CEILING((Summary!C$13*Summary!C$14*Summary!C$15*Summary!C$16)/(PI()*25^2),1))</f>
        <v>2</v>
      </c>
      <c r="I335" s="1304">
        <f>F$516</f>
        <v>20000</v>
      </c>
      <c r="J335" s="199">
        <f>H335*I335</f>
        <v>40000</v>
      </c>
      <c r="L335" s="73"/>
      <c r="M335" s="177"/>
      <c r="N335" s="177"/>
      <c r="O335" s="177"/>
      <c r="P335" s="177"/>
      <c r="Q335" s="177"/>
    </row>
    <row r="336" spans="2:17">
      <c r="B336" s="150"/>
      <c r="C336" s="150"/>
      <c r="D336" s="150" t="s">
        <v>134</v>
      </c>
      <c r="E336" s="150" t="str">
        <f>'Material Quantities &amp; Embodied '!F250</f>
        <v>C32/40 - 25% GGBS</v>
      </c>
      <c r="F336" s="1301">
        <f>'Material Quantities &amp; Embodied '!G250</f>
        <v>0</v>
      </c>
      <c r="G336" s="73" t="s">
        <v>205</v>
      </c>
      <c r="H336" s="1304">
        <f>F336/(24*1000/9.81)</f>
        <v>0</v>
      </c>
      <c r="I336" s="1304">
        <f>F$495</f>
        <v>195</v>
      </c>
      <c r="J336" s="199">
        <f t="shared" ref="J336:J343" si="36">H336*I336</f>
        <v>0</v>
      </c>
    </row>
    <row r="337" spans="2:17">
      <c r="B337" s="150"/>
      <c r="C337" s="150"/>
      <c r="D337" s="150"/>
      <c r="E337" s="150" t="str">
        <f>'Material Quantities &amp; Embodied '!F251</f>
        <v>Steel - Rebar - UK: UK CARES avg EPD</v>
      </c>
      <c r="F337" s="1301">
        <f>'Material Quantities &amp; Embodied '!G251</f>
        <v>0</v>
      </c>
      <c r="G337" s="73" t="s">
        <v>206</v>
      </c>
      <c r="H337" s="1304">
        <f>F337/1000</f>
        <v>0</v>
      </c>
      <c r="I337" s="1304">
        <f>F$498</f>
        <v>1250</v>
      </c>
      <c r="J337" s="199">
        <f t="shared" si="36"/>
        <v>0</v>
      </c>
    </row>
    <row r="338" spans="2:17">
      <c r="B338" s="150"/>
      <c r="C338" s="150"/>
      <c r="D338" s="150" t="s">
        <v>135</v>
      </c>
      <c r="E338" s="150" t="str">
        <f>'Material Quantities &amp; Embodied '!F252</f>
        <v>C32/40 - 25% GGBS</v>
      </c>
      <c r="F338" s="1301">
        <f>'Material Quantities &amp; Embodied '!G252</f>
        <v>0</v>
      </c>
      <c r="G338" s="73" t="s">
        <v>205</v>
      </c>
      <c r="H338" s="1304">
        <f>F338/(24*1000/9.81)</f>
        <v>0</v>
      </c>
      <c r="I338" s="1304">
        <f>F$497</f>
        <v>205</v>
      </c>
      <c r="J338" s="199">
        <f t="shared" si="36"/>
        <v>0</v>
      </c>
    </row>
    <row r="339" spans="2:17">
      <c r="B339" s="150"/>
      <c r="C339" s="150"/>
      <c r="D339" s="150"/>
      <c r="E339" s="150" t="str">
        <f>'Material Quantities &amp; Embodied '!F253</f>
        <v>Steel - Rebar - UK: UK CARES avg EPD</v>
      </c>
      <c r="F339" s="1301">
        <f>'Material Quantities &amp; Embodied '!G253</f>
        <v>0</v>
      </c>
      <c r="G339" s="73" t="s">
        <v>206</v>
      </c>
      <c r="H339" s="1304">
        <f>F339/1000</f>
        <v>0</v>
      </c>
      <c r="I339" s="1304">
        <f>F$500</f>
        <v>1250</v>
      </c>
      <c r="J339" s="199">
        <f t="shared" si="36"/>
        <v>0</v>
      </c>
    </row>
    <row r="340" spans="2:17">
      <c r="B340" s="150"/>
      <c r="C340" s="150"/>
      <c r="D340" s="150"/>
      <c r="E340" s="150" t="s">
        <v>210</v>
      </c>
      <c r="F340" s="1301"/>
      <c r="G340" s="73" t="s">
        <v>208</v>
      </c>
      <c r="H340" s="1304">
        <f>IF(A312=0,0,IF(Summary!J$13="Yes",Summary!J$14*2*(Summary!C$13*Summary!C$15+Summary!C$15*Summary!C$16),0))</f>
        <v>0</v>
      </c>
      <c r="I340" s="1304">
        <f>F$495</f>
        <v>195</v>
      </c>
      <c r="J340" s="199">
        <f t="shared" si="36"/>
        <v>0</v>
      </c>
      <c r="L340" s="73"/>
      <c r="M340" s="177"/>
      <c r="N340" s="177"/>
      <c r="O340" s="177"/>
      <c r="P340" s="177"/>
      <c r="Q340" s="177"/>
    </row>
    <row r="341" spans="2:17">
      <c r="B341" s="150"/>
      <c r="C341" s="150"/>
      <c r="D341" s="150" t="s">
        <v>136</v>
      </c>
      <c r="E341" s="150" t="str">
        <f>'Material Quantities &amp; Embodied '!F254</f>
        <v>C32/40 - 25% GGBS</v>
      </c>
      <c r="F341" s="1301">
        <f>'Material Quantities &amp; Embodied '!G254</f>
        <v>0</v>
      </c>
      <c r="G341" s="73" t="s">
        <v>205</v>
      </c>
      <c r="H341" s="1304">
        <f>F341/(24*1000/9.81)</f>
        <v>0</v>
      </c>
      <c r="I341" s="1304">
        <f>F$496</f>
        <v>215</v>
      </c>
      <c r="J341" s="199">
        <f t="shared" si="36"/>
        <v>0</v>
      </c>
    </row>
    <row r="342" spans="2:17">
      <c r="B342" s="150"/>
      <c r="C342" s="150"/>
      <c r="D342" s="150"/>
      <c r="E342" s="150" t="str">
        <f>'Material Quantities &amp; Embodied '!F255</f>
        <v>Steel - Rebar - UK: UK CARES avg EPD</v>
      </c>
      <c r="F342" s="1301">
        <f>'Material Quantities &amp; Embodied '!G255</f>
        <v>0</v>
      </c>
      <c r="G342" s="73" t="s">
        <v>206</v>
      </c>
      <c r="H342" s="1304">
        <f>F342/1000</f>
        <v>0</v>
      </c>
      <c r="I342" s="1304">
        <f>F$499</f>
        <v>1250</v>
      </c>
      <c r="J342" s="199">
        <f t="shared" si="36"/>
        <v>0</v>
      </c>
    </row>
    <row r="343" spans="2:17">
      <c r="B343" s="150"/>
      <c r="C343" s="150"/>
      <c r="D343" s="150"/>
      <c r="E343" s="150" t="s">
        <v>210</v>
      </c>
      <c r="F343" s="1301"/>
      <c r="G343" s="73" t="s">
        <v>208</v>
      </c>
      <c r="H343" s="1304">
        <f>IF(A312=0,0,SUM(Basement!O104,Basement!O117,Basement!O130))</f>
        <v>0</v>
      </c>
      <c r="I343" s="1304">
        <f>F$504</f>
        <v>80</v>
      </c>
      <c r="J343" s="199">
        <f t="shared" si="36"/>
        <v>0</v>
      </c>
    </row>
    <row r="344" spans="2:17">
      <c r="B344" s="150"/>
      <c r="C344" s="150"/>
      <c r="D344" s="182" t="s">
        <v>137</v>
      </c>
      <c r="E344" s="150" t="str">
        <f>'Material Quantities &amp; Embodied '!F256</f>
        <v>C32/40 - 25% GGBS</v>
      </c>
      <c r="F344" s="1301">
        <f>'Material Quantities &amp; Embodied '!G256</f>
        <v>0</v>
      </c>
      <c r="G344" s="73"/>
      <c r="H344" s="1304"/>
      <c r="I344" s="1304"/>
      <c r="J344" s="199">
        <f>IF(A312=0,0,H$546)</f>
        <v>0</v>
      </c>
    </row>
    <row r="345" spans="2:17">
      <c r="B345" s="150"/>
      <c r="C345" s="150"/>
      <c r="D345" s="182"/>
      <c r="E345" s="150" t="str">
        <f>'Material Quantities &amp; Embodied '!F257</f>
        <v>Steel - Rebar - UK: UK CARES avg EPD</v>
      </c>
      <c r="F345" s="1301">
        <f>'Material Quantities &amp; Embodied '!G257</f>
        <v>0</v>
      </c>
      <c r="G345" s="73"/>
      <c r="H345" s="1304"/>
      <c r="I345" s="1304"/>
      <c r="J345" s="204" t="s">
        <v>215</v>
      </c>
    </row>
    <row r="346" spans="2:17">
      <c r="B346" s="150"/>
      <c r="C346" s="150"/>
      <c r="D346" s="182" t="s">
        <v>216</v>
      </c>
      <c r="E346" s="150"/>
      <c r="F346" s="1301">
        <f>'Material Quantities &amp; Embodied '!G258</f>
        <v>2093680.7339449541</v>
      </c>
      <c r="G346" s="151" t="s">
        <v>205</v>
      </c>
      <c r="H346" s="1301">
        <f>F346/(20*1000/9.81)</f>
        <v>1026.9503999999999</v>
      </c>
      <c r="I346" s="1301">
        <f>F$493</f>
        <v>65</v>
      </c>
      <c r="J346" s="204">
        <f>H346*I346</f>
        <v>66751.775999999998</v>
      </c>
      <c r="K346" s="205"/>
      <c r="L346" s="73"/>
      <c r="M346" s="177"/>
      <c r="N346" s="177"/>
      <c r="O346" s="177"/>
      <c r="P346" s="177"/>
      <c r="Q346" s="177"/>
    </row>
    <row r="347" spans="2:17">
      <c r="B347" s="150"/>
      <c r="C347" s="179"/>
      <c r="D347" s="183" t="s">
        <v>217</v>
      </c>
      <c r="E347" s="179"/>
      <c r="F347" s="1302">
        <f>'Material Quantities &amp; Embodied '!G260</f>
        <v>0</v>
      </c>
      <c r="G347" s="180" t="s">
        <v>205</v>
      </c>
      <c r="H347" s="1302">
        <f>F347/(20*1000/9.81)</f>
        <v>0</v>
      </c>
      <c r="I347" s="1302">
        <f>F$493</f>
        <v>65</v>
      </c>
      <c r="J347" s="206">
        <f>H347*I347</f>
        <v>0</v>
      </c>
      <c r="K347" s="203">
        <f>SUM(J325:J347)</f>
        <v>1133294.47725</v>
      </c>
      <c r="L347" s="73"/>
      <c r="M347" s="177"/>
      <c r="N347" s="177"/>
      <c r="O347" s="177"/>
      <c r="P347" s="177"/>
      <c r="Q347" s="177"/>
    </row>
    <row r="348" spans="2:17">
      <c r="B348" s="150"/>
      <c r="C348" s="150" t="s">
        <v>218</v>
      </c>
      <c r="D348" s="150" t="s">
        <v>219</v>
      </c>
      <c r="E348" s="150"/>
      <c r="F348" s="151"/>
      <c r="G348" s="151"/>
      <c r="H348" s="151"/>
      <c r="I348" s="151"/>
      <c r="J348" s="204">
        <f>0.05*SUM(J312:J347)</f>
        <v>119729.06282340109</v>
      </c>
      <c r="L348" s="73"/>
      <c r="M348" s="177"/>
      <c r="N348" s="177"/>
      <c r="O348" s="177"/>
      <c r="P348" s="177"/>
      <c r="Q348" s="177"/>
    </row>
    <row r="349" spans="2:17">
      <c r="B349" s="152"/>
      <c r="C349" s="150"/>
      <c r="D349" s="150" t="s">
        <v>220</v>
      </c>
      <c r="E349" s="150"/>
      <c r="F349" s="151"/>
      <c r="G349" s="151"/>
      <c r="H349" s="151"/>
      <c r="I349" s="151"/>
      <c r="J349" s="204">
        <f>0.22*SUM(J312:J347)</f>
        <v>526807.87642296485</v>
      </c>
      <c r="L349" s="73"/>
      <c r="Q349" s="73"/>
    </row>
    <row r="350" spans="2:17">
      <c r="B350" s="184"/>
      <c r="C350" s="179"/>
      <c r="D350" s="179" t="s">
        <v>221</v>
      </c>
      <c r="E350" s="179"/>
      <c r="F350" s="180"/>
      <c r="G350" s="180"/>
      <c r="H350" s="180"/>
      <c r="I350" s="180"/>
      <c r="J350" s="206">
        <f>0.1*SUM(J312:J347)</f>
        <v>239458.12564680219</v>
      </c>
      <c r="K350" s="203">
        <f>SUM(J348:J350)</f>
        <v>885995.06489316816</v>
      </c>
      <c r="L350" s="73"/>
      <c r="Q350" s="73"/>
    </row>
    <row r="351" spans="2:17">
      <c r="B351" s="150"/>
      <c r="C351" s="150"/>
      <c r="D351" s="150"/>
      <c r="E351" s="150"/>
      <c r="F351" s="151"/>
      <c r="G351" s="73"/>
      <c r="I351" s="198"/>
      <c r="J351" s="199"/>
      <c r="K351" s="191">
        <f>SUM(K312:K350)</f>
        <v>3280576.3213611897</v>
      </c>
    </row>
    <row r="352" spans="2:17" ht="12.75" thickBot="1">
      <c r="B352" s="172"/>
      <c r="C352" s="172"/>
      <c r="D352" s="172"/>
      <c r="E352" s="172"/>
      <c r="F352" s="173"/>
      <c r="G352" s="193"/>
      <c r="H352" s="193"/>
      <c r="I352" s="208"/>
      <c r="J352" s="209"/>
      <c r="K352" s="194"/>
    </row>
    <row r="353" spans="1:11">
      <c r="B353" s="150"/>
      <c r="C353" s="150"/>
      <c r="D353" s="150"/>
      <c r="E353" s="150"/>
      <c r="F353" s="151"/>
      <c r="G353" s="73"/>
      <c r="I353" s="198"/>
      <c r="J353" s="199"/>
    </row>
    <row r="354" spans="1:11">
      <c r="B354" s="150"/>
      <c r="C354" s="150"/>
      <c r="D354" s="150"/>
      <c r="E354" s="150"/>
      <c r="F354" s="151"/>
      <c r="G354" s="73"/>
      <c r="I354" s="198"/>
      <c r="J354" s="199"/>
    </row>
    <row r="355" spans="1:11" ht="24.75" thickBot="1">
      <c r="B355" s="175" t="s">
        <v>22</v>
      </c>
      <c r="C355" s="175" t="s">
        <v>100</v>
      </c>
      <c r="D355" s="175" t="s">
        <v>101</v>
      </c>
      <c r="E355" s="175" t="s">
        <v>103</v>
      </c>
      <c r="F355" s="72" t="str">
        <f>'Material Quantities &amp; Embodied '!G265</f>
        <v>Material Quantity [kg]</v>
      </c>
      <c r="G355" s="72" t="s">
        <v>201</v>
      </c>
      <c r="H355" s="72" t="s">
        <v>192</v>
      </c>
      <c r="I355" s="72" t="s">
        <v>222</v>
      </c>
      <c r="J355" s="197" t="s">
        <v>203</v>
      </c>
      <c r="K355" s="197" t="s">
        <v>204</v>
      </c>
    </row>
    <row r="356" spans="1:11">
      <c r="A356" s="190">
        <f>'Material Quantities &amp; Embodied '!A266</f>
        <v>0.57475999999999994</v>
      </c>
      <c r="B356" s="150" t="str">
        <f>Database!D25</f>
        <v>Composite Cell Beams with Metal Decking</v>
      </c>
      <c r="C356" s="150" t="s">
        <v>114</v>
      </c>
      <c r="D356" s="150" t="s">
        <v>115</v>
      </c>
      <c r="E356" s="150" t="str">
        <f>'Material Quantities &amp; Embodied '!F266</f>
        <v>C32/40 - 25% GGBS</v>
      </c>
      <c r="F356" s="1301">
        <f>'Material Quantities &amp; Embodied '!G266</f>
        <v>1667522.935779816</v>
      </c>
      <c r="G356" s="73" t="s">
        <v>205</v>
      </c>
      <c r="H356" s="1304">
        <f>F356/(24*1000/9.81)</f>
        <v>681.5999999999998</v>
      </c>
      <c r="I356" s="1304">
        <f>F$495</f>
        <v>195</v>
      </c>
      <c r="J356" s="199">
        <f>H356*I356</f>
        <v>132911.99999999997</v>
      </c>
    </row>
    <row r="357" spans="1:11">
      <c r="B357" s="150"/>
      <c r="C357" s="150"/>
      <c r="D357" s="150"/>
      <c r="E357" s="150" t="str">
        <f>'Material Quantities &amp; Embodied '!F267</f>
        <v>Steel - Rebar - UK: UK CARES avg EPD</v>
      </c>
      <c r="F357" s="1301">
        <f>'Material Quantities &amp; Embodied '!G267</f>
        <v>18568.600495048559</v>
      </c>
      <c r="G357" s="73" t="s">
        <v>206</v>
      </c>
      <c r="H357" s="1304">
        <f>F357/1000</f>
        <v>18.568600495048557</v>
      </c>
      <c r="I357" s="1304">
        <f>F$498</f>
        <v>1250</v>
      </c>
      <c r="J357" s="199">
        <f>H357*I357</f>
        <v>23210.750618810696</v>
      </c>
    </row>
    <row r="358" spans="1:11">
      <c r="B358" s="150"/>
      <c r="C358" s="150"/>
      <c r="D358" s="150"/>
      <c r="E358" s="150" t="str">
        <f>'Material Quantities &amp; Embodied '!F268</f>
        <v>Steel - Structural_sections - Europe avg EPD</v>
      </c>
      <c r="F358" s="1301">
        <f>'Material Quantities &amp; Embodied '!G268</f>
        <v>244153.63339595424</v>
      </c>
      <c r="G358" s="73" t="s">
        <v>206</v>
      </c>
      <c r="H358" s="1304">
        <f>F358/1000</f>
        <v>244.15363339595424</v>
      </c>
      <c r="I358" s="1304">
        <f>F486*1.1</f>
        <v>3850.0000000000005</v>
      </c>
      <c r="J358" s="199">
        <f>H358*I358</f>
        <v>939991.48857442394</v>
      </c>
    </row>
    <row r="359" spans="1:11">
      <c r="B359" s="150"/>
      <c r="C359" s="150"/>
      <c r="D359" s="150"/>
      <c r="E359" s="150" t="s">
        <v>225</v>
      </c>
      <c r="F359" s="1303"/>
      <c r="G359" s="73" t="s">
        <v>208</v>
      </c>
      <c r="H359" s="1304">
        <f>IF(A356=0,0,IF(Summary!J$8="No",Summary!C$13*Summary!C$14*Summary!C$15*Summary!C$16*Summary!C$17,Summary!C$13*Summary!C$14*Summary!C$15*Summary!C$16*(Summary!C$17-1)))</f>
        <v>5760</v>
      </c>
      <c r="I359" s="1304">
        <f>F$491</f>
        <v>85</v>
      </c>
      <c r="J359" s="199">
        <f>H359*I359</f>
        <v>489600</v>
      </c>
    </row>
    <row r="360" spans="1:11">
      <c r="B360" s="150"/>
      <c r="C360" s="150"/>
      <c r="D360" s="150" t="s">
        <v>27</v>
      </c>
      <c r="E360" s="150" t="str">
        <f>'Material Quantities &amp; Embodied '!F273</f>
        <v>C32/40 - 25% GGBS</v>
      </c>
      <c r="F360" s="1301">
        <f>'Material Quantities &amp; Embodied '!G273</f>
        <v>0</v>
      </c>
      <c r="G360" s="73" t="s">
        <v>205</v>
      </c>
      <c r="H360" s="1304">
        <f>F360/(24*1000/9.81)</f>
        <v>0</v>
      </c>
      <c r="I360" s="1304">
        <f>F$495</f>
        <v>195</v>
      </c>
      <c r="J360" s="199">
        <f t="shared" ref="J360:J363" si="37">H360*I360</f>
        <v>0</v>
      </c>
    </row>
    <row r="361" spans="1:11">
      <c r="B361" s="150"/>
      <c r="C361" s="150"/>
      <c r="D361" s="150"/>
      <c r="E361" s="150" t="str">
        <f>'Material Quantities &amp; Embodied '!F274</f>
        <v>Steel - Rebar - UK: UK CARES avg EPD</v>
      </c>
      <c r="F361" s="1301">
        <f>'Material Quantities &amp; Embodied '!G274</f>
        <v>0</v>
      </c>
      <c r="G361" s="73" t="s">
        <v>206</v>
      </c>
      <c r="H361" s="1304">
        <f>F361/1000</f>
        <v>0</v>
      </c>
      <c r="I361" s="1304">
        <f>F$498</f>
        <v>1250</v>
      </c>
      <c r="J361" s="199">
        <f t="shared" si="37"/>
        <v>0</v>
      </c>
    </row>
    <row r="362" spans="1:11">
      <c r="B362" s="150"/>
      <c r="C362" s="150"/>
      <c r="D362" s="150"/>
      <c r="E362" s="150" t="s">
        <v>207</v>
      </c>
      <c r="F362" s="1301"/>
      <c r="G362" s="73" t="s">
        <v>208</v>
      </c>
      <c r="H362" s="1304">
        <f>IF(A356=0,0,IF(Summary!J$8="Yes",Summary!C$13*Summary!C$14*Summary!C$15*Summary!C$16,0))</f>
        <v>0</v>
      </c>
      <c r="I362" s="1304">
        <v>50</v>
      </c>
      <c r="J362" s="199">
        <f t="shared" si="37"/>
        <v>0</v>
      </c>
    </row>
    <row r="363" spans="1:11">
      <c r="B363" s="150"/>
      <c r="C363" s="150"/>
      <c r="D363" s="150"/>
      <c r="E363" s="150" t="s">
        <v>209</v>
      </c>
      <c r="F363" s="1301"/>
      <c r="G363" s="73" t="s">
        <v>15</v>
      </c>
      <c r="H363" s="1304">
        <f>IF(A356=0,0,IF(Summary!J$8="Yes",2*(Summary!C$13*Summary!C$15+Summary!C$14*Summary!C$16),0))</f>
        <v>0</v>
      </c>
      <c r="I363" s="1304">
        <v>20</v>
      </c>
      <c r="J363" s="199">
        <f t="shared" si="37"/>
        <v>0</v>
      </c>
    </row>
    <row r="364" spans="1:11">
      <c r="B364" s="150"/>
      <c r="C364" s="150"/>
      <c r="D364" s="150" t="s">
        <v>119</v>
      </c>
      <c r="E364" s="150" t="str">
        <f>'Material Quantities &amp; Embodied '!F270</f>
        <v>Steel - Structural_sections - Europe avg EPD</v>
      </c>
      <c r="F364" s="1301">
        <f>'Material Quantities &amp; Embodied '!G270</f>
        <v>34877.040000000008</v>
      </c>
      <c r="G364" s="73" t="s">
        <v>206</v>
      </c>
      <c r="H364" s="1304">
        <f>F364/1000</f>
        <v>34.877040000000008</v>
      </c>
      <c r="I364" s="1304">
        <f>F$487</f>
        <v>3500</v>
      </c>
      <c r="J364" s="199">
        <f>H364*I364</f>
        <v>122069.64000000003</v>
      </c>
    </row>
    <row r="365" spans="1:11">
      <c r="B365" s="150"/>
      <c r="C365" s="150"/>
      <c r="D365" s="150" t="s">
        <v>144</v>
      </c>
      <c r="F365" s="1301"/>
      <c r="G365" s="73" t="s">
        <v>208</v>
      </c>
      <c r="H365" s="1304">
        <f>Intumescent!M6</f>
        <v>3014.5677599999999</v>
      </c>
      <c r="I365" s="1304">
        <f>IF('RC Column'!C$34=60,Cost!F$488,IF('RC Column'!C$34=90,Cost!F$489,Cost!F$490))</f>
        <v>40</v>
      </c>
      <c r="J365" s="199">
        <f>H365*I365</f>
        <v>120582.7104</v>
      </c>
    </row>
    <row r="366" spans="1:11">
      <c r="B366" s="150"/>
      <c r="C366" s="150"/>
      <c r="D366" s="150" t="s">
        <v>120</v>
      </c>
      <c r="E366" s="150" t="str">
        <f>'Material Quantities &amp; Embodied '!F271</f>
        <v>C32/40 - 25% GGBS</v>
      </c>
      <c r="F366" s="1301">
        <f>'Material Quantities &amp; Embodied '!G271</f>
        <v>37001.40522204771</v>
      </c>
      <c r="G366" s="73" t="s">
        <v>205</v>
      </c>
      <c r="H366" s="1304">
        <f>F366/(24*1000/9.81)</f>
        <v>15.124324384512002</v>
      </c>
      <c r="I366" s="1304">
        <f>F$497</f>
        <v>205</v>
      </c>
      <c r="J366" s="199">
        <f t="shared" ref="J366:J367" si="38">H366*I366</f>
        <v>3100.4864988249606</v>
      </c>
    </row>
    <row r="367" spans="1:11">
      <c r="B367" s="150"/>
      <c r="C367" s="150"/>
      <c r="D367" s="150"/>
      <c r="E367" s="150" t="str">
        <f>'Material Quantities &amp; Embodied '!F272</f>
        <v>Steel - Rebar - UK: UK CARES avg EPD</v>
      </c>
      <c r="F367" s="1301">
        <f>'Material Quantities &amp; Embodied '!G272</f>
        <v>1308.2307358729677</v>
      </c>
      <c r="G367" s="73" t="s">
        <v>206</v>
      </c>
      <c r="H367" s="1304">
        <f>F367/1000</f>
        <v>1.3082307358729677</v>
      </c>
      <c r="I367" s="1304">
        <f>F$500</f>
        <v>1250</v>
      </c>
      <c r="J367" s="199">
        <f t="shared" si="38"/>
        <v>1635.2884198412096</v>
      </c>
    </row>
    <row r="368" spans="1:11">
      <c r="B368" s="150"/>
      <c r="C368" s="179"/>
      <c r="D368" s="179"/>
      <c r="E368" s="179" t="s">
        <v>210</v>
      </c>
      <c r="F368" s="1302"/>
      <c r="G368" s="200" t="s">
        <v>208</v>
      </c>
      <c r="H368" s="1305">
        <f>IF(A356=0,0,'Shear Walls'!AY132)</f>
        <v>171.82189984512002</v>
      </c>
      <c r="I368" s="1305">
        <f>F505</f>
        <v>70</v>
      </c>
      <c r="J368" s="202">
        <f t="shared" ref="J368:J374" si="39">H368*I368</f>
        <v>12027.532989158401</v>
      </c>
      <c r="K368" s="203">
        <f>SUM(J356:J368)</f>
        <v>1845129.8975010593</v>
      </c>
    </row>
    <row r="369" spans="2:17">
      <c r="B369" s="150"/>
      <c r="C369" s="150" t="s">
        <v>123</v>
      </c>
      <c r="D369" s="150" t="s">
        <v>124</v>
      </c>
      <c r="E369" s="150" t="str">
        <f>'Material Quantities &amp; Embodied '!F276</f>
        <v>C32/40 - 25% GGBS</v>
      </c>
      <c r="F369" s="1301">
        <f>'Material Quantities &amp; Embodied '!G276</f>
        <v>1382400</v>
      </c>
      <c r="G369" s="73" t="s">
        <v>205</v>
      </c>
      <c r="H369" s="1304">
        <f>F369/(24*1000/9.81)</f>
        <v>565.05600000000004</v>
      </c>
      <c r="I369" s="1304">
        <f>F$495</f>
        <v>195</v>
      </c>
      <c r="J369" s="199">
        <f t="shared" si="39"/>
        <v>110185.92000000001</v>
      </c>
    </row>
    <row r="370" spans="2:17">
      <c r="B370" s="150"/>
      <c r="C370" s="150"/>
      <c r="D370" s="150"/>
      <c r="E370" s="150" t="str">
        <f>'Material Quantities &amp; Embodied '!F277</f>
        <v>Steel - Rebar - UK: UK CARES avg EPD</v>
      </c>
      <c r="F370" s="1301">
        <f>'Material Quantities &amp; Embodied '!G277</f>
        <v>34560</v>
      </c>
      <c r="G370" s="73" t="s">
        <v>206</v>
      </c>
      <c r="H370" s="1304">
        <f>F370/1000</f>
        <v>34.56</v>
      </c>
      <c r="I370" s="1304">
        <f>F$498</f>
        <v>1250</v>
      </c>
      <c r="J370" s="199">
        <f t="shared" si="39"/>
        <v>43200</v>
      </c>
    </row>
    <row r="371" spans="2:17">
      <c r="B371" s="150"/>
      <c r="C371" s="150"/>
      <c r="D371" s="150"/>
      <c r="E371" s="150" t="s">
        <v>207</v>
      </c>
      <c r="F371" s="1301"/>
      <c r="G371" s="73" t="s">
        <v>208</v>
      </c>
      <c r="H371" s="1304">
        <f>IF(A356=0,0,IF(Summary!J$13="Yes",Summary!C$13*Summary!C$14*Summary!C$15*Summary!C$16,0))</f>
        <v>0</v>
      </c>
      <c r="I371" s="1304">
        <v>50</v>
      </c>
      <c r="J371" s="199">
        <f t="shared" si="39"/>
        <v>0</v>
      </c>
    </row>
    <row r="372" spans="2:17">
      <c r="B372" s="150"/>
      <c r="C372" s="150"/>
      <c r="D372" s="150"/>
      <c r="E372" s="150" t="s">
        <v>209</v>
      </c>
      <c r="F372" s="1301"/>
      <c r="G372" s="73" t="s">
        <v>15</v>
      </c>
      <c r="H372" s="1304">
        <f>IF(A356=0,0,2*(Summary!C$13*Summary!C$15+Summary!C$14*Summary!C$16))</f>
        <v>216</v>
      </c>
      <c r="I372" s="1304">
        <v>20</v>
      </c>
      <c r="J372" s="199">
        <f t="shared" si="39"/>
        <v>4320</v>
      </c>
    </row>
    <row r="373" spans="2:17">
      <c r="B373" s="150"/>
      <c r="C373" s="150"/>
      <c r="D373" s="150" t="s">
        <v>126</v>
      </c>
      <c r="E373" s="150" t="str">
        <f>'Material Quantities &amp; Embodied '!F278</f>
        <v>Concrete - Mortar_screed - 1:4 cement:sand mix avg UK cement mix</v>
      </c>
      <c r="F373" s="1301">
        <f>'Material Quantities &amp; Embodied '!G278</f>
        <v>352293.57798165135</v>
      </c>
      <c r="G373" s="73" t="s">
        <v>208</v>
      </c>
      <c r="H373" s="1304">
        <f>IF(A356=0,0,Summary!C$13*Summary!C$14*Summary!C$15*Summary!C$16)</f>
        <v>2880</v>
      </c>
      <c r="I373" s="1304">
        <v>50</v>
      </c>
      <c r="J373" s="199">
        <f t="shared" si="39"/>
        <v>144000</v>
      </c>
    </row>
    <row r="374" spans="2:17">
      <c r="B374" s="150"/>
      <c r="C374" s="150"/>
      <c r="D374" s="150" t="s">
        <v>128</v>
      </c>
      <c r="E374" s="150" t="str">
        <f>'Material Quantities &amp; Embodied '!F279</f>
        <v xml:space="preserve">Other - Granular_fill - </v>
      </c>
      <c r="F374" s="1301">
        <f>'Material Quantities &amp; Embodied '!G279</f>
        <v>880733.94495412835</v>
      </c>
      <c r="G374" s="73" t="s">
        <v>205</v>
      </c>
      <c r="H374" s="1304">
        <f>IF(A356=0,0,Summary!C$13*Summary!C$14*Summary!C$15*Summary!C$16*0.15)</f>
        <v>432</v>
      </c>
      <c r="I374" s="1304">
        <v>45</v>
      </c>
      <c r="J374" s="199">
        <f t="shared" si="39"/>
        <v>19440</v>
      </c>
    </row>
    <row r="375" spans="2:17">
      <c r="B375" s="150"/>
      <c r="C375" s="150"/>
      <c r="D375" s="150" t="s">
        <v>211</v>
      </c>
      <c r="E375" s="150"/>
      <c r="F375" s="1301"/>
      <c r="G375" s="73"/>
      <c r="H375" s="1304">
        <f>IF(A356=0,0,Summary!C$13*Summary!C$14*Summary!C$15*Summary!C$16)</f>
        <v>2880</v>
      </c>
      <c r="I375" s="1304">
        <f>F$494</f>
        <v>50</v>
      </c>
      <c r="J375" s="199">
        <f t="shared" ref="J375" si="40">H375*I375</f>
        <v>144000</v>
      </c>
      <c r="L375" s="73"/>
      <c r="M375" s="150"/>
      <c r="N375" s="207"/>
      <c r="O375" s="152"/>
      <c r="P375" s="182"/>
      <c r="Q375" s="73"/>
    </row>
    <row r="376" spans="2:17">
      <c r="B376" s="150"/>
      <c r="C376" s="150"/>
      <c r="D376" s="150" t="s">
        <v>131</v>
      </c>
      <c r="E376" s="150" t="str">
        <f>'Material Quantities &amp; Embodied '!F280</f>
        <v>C32/40 - 25% GGBS</v>
      </c>
      <c r="F376" s="1301">
        <f>'Material Quantities &amp; Embodied '!G280</f>
        <v>589831.13851638837</v>
      </c>
      <c r="G376" s="73"/>
      <c r="H376" s="1304"/>
      <c r="I376" s="1304"/>
      <c r="J376" s="199">
        <f>Pile!U498</f>
        <v>25266.09375</v>
      </c>
    </row>
    <row r="377" spans="2:17">
      <c r="B377" s="150"/>
      <c r="C377" s="150"/>
      <c r="D377" s="150" t="s">
        <v>132</v>
      </c>
      <c r="E377" s="150" t="str">
        <f>'Material Quantities &amp; Embodied '!F282</f>
        <v>C32/40 - 25% GGBS</v>
      </c>
      <c r="F377" s="1301">
        <f>'Material Quantities &amp; Embodied '!G282</f>
        <v>155504.58715596329</v>
      </c>
      <c r="G377" s="73"/>
      <c r="H377" s="1304"/>
      <c r="I377" s="1304"/>
      <c r="J377" s="199">
        <f>Pile!N498</f>
        <v>243878.49999999997</v>
      </c>
    </row>
    <row r="378" spans="2:17">
      <c r="B378" s="150"/>
      <c r="C378" s="150"/>
      <c r="D378" s="150" t="s">
        <v>212</v>
      </c>
      <c r="E378" s="150"/>
      <c r="F378" s="1301"/>
      <c r="G378" s="198" t="s">
        <v>208</v>
      </c>
      <c r="H378" s="1304">
        <f>IF(A356=0,0,Summary!C$13*Summary!C$14*Summary!C$15*Summary!C$16)</f>
        <v>2880</v>
      </c>
      <c r="I378" s="1304">
        <f>F$514</f>
        <v>100</v>
      </c>
      <c r="J378" s="199">
        <f>H378*I378</f>
        <v>288000</v>
      </c>
    </row>
    <row r="379" spans="2:17">
      <c r="B379" s="150"/>
      <c r="C379" s="150"/>
      <c r="D379" s="150" t="s">
        <v>213</v>
      </c>
      <c r="E379" s="150"/>
      <c r="F379" s="1301"/>
      <c r="G379" s="73" t="s">
        <v>214</v>
      </c>
      <c r="H379" s="1304">
        <f>IF(A356=0,0,CEILING((Summary!C$13*Summary!C$14*Summary!C$15*Summary!C$16)/(PI()*25^2),1))</f>
        <v>2</v>
      </c>
      <c r="I379" s="1304">
        <f>F$516</f>
        <v>20000</v>
      </c>
      <c r="J379" s="199">
        <f>H379*I379</f>
        <v>40000</v>
      </c>
      <c r="L379" s="73"/>
      <c r="M379" s="177"/>
      <c r="N379" s="177"/>
      <c r="O379" s="177"/>
      <c r="P379" s="177"/>
      <c r="Q379" s="177"/>
    </row>
    <row r="380" spans="2:17">
      <c r="B380" s="150"/>
      <c r="C380" s="150"/>
      <c r="D380" s="150" t="s">
        <v>134</v>
      </c>
      <c r="E380" s="150" t="str">
        <f>'Material Quantities &amp; Embodied '!F284</f>
        <v>C32/40 - 25% GGBS</v>
      </c>
      <c r="F380" s="1301">
        <f>'Material Quantities &amp; Embodied '!G284</f>
        <v>0</v>
      </c>
      <c r="G380" s="73" t="s">
        <v>205</v>
      </c>
      <c r="H380" s="1304">
        <f>F380/(24*1000/9.81)</f>
        <v>0</v>
      </c>
      <c r="I380" s="1304">
        <f>F$495</f>
        <v>195</v>
      </c>
      <c r="J380" s="199">
        <f t="shared" ref="J380:J387" si="41">H380*I380</f>
        <v>0</v>
      </c>
    </row>
    <row r="381" spans="2:17">
      <c r="B381" s="150"/>
      <c r="C381" s="150"/>
      <c r="D381" s="150"/>
      <c r="E381" s="150" t="str">
        <f>'Material Quantities &amp; Embodied '!F285</f>
        <v>Steel - Rebar - UK: UK CARES avg EPD</v>
      </c>
      <c r="F381" s="1301">
        <f>'Material Quantities &amp; Embodied '!G285</f>
        <v>0</v>
      </c>
      <c r="G381" s="73" t="s">
        <v>206</v>
      </c>
      <c r="H381" s="1304">
        <f>F381/1000</f>
        <v>0</v>
      </c>
      <c r="I381" s="1304">
        <f>F$498</f>
        <v>1250</v>
      </c>
      <c r="J381" s="199">
        <f t="shared" si="41"/>
        <v>0</v>
      </c>
    </row>
    <row r="382" spans="2:17">
      <c r="B382" s="150"/>
      <c r="C382" s="150"/>
      <c r="D382" s="150" t="s">
        <v>135</v>
      </c>
      <c r="E382" s="150" t="str">
        <f>'Material Quantities &amp; Embodied '!F286</f>
        <v>C32/40 - 25% GGBS</v>
      </c>
      <c r="F382" s="1301">
        <f>'Material Quantities &amp; Embodied '!G286</f>
        <v>0</v>
      </c>
      <c r="G382" s="73" t="s">
        <v>205</v>
      </c>
      <c r="H382" s="1304">
        <f>F382/(24*1000/9.81)</f>
        <v>0</v>
      </c>
      <c r="I382" s="1304">
        <f>F$497</f>
        <v>205</v>
      </c>
      <c r="J382" s="199">
        <f t="shared" si="41"/>
        <v>0</v>
      </c>
    </row>
    <row r="383" spans="2:17">
      <c r="B383" s="150"/>
      <c r="C383" s="150"/>
      <c r="D383" s="150"/>
      <c r="E383" s="150" t="str">
        <f>'Material Quantities &amp; Embodied '!F287</f>
        <v>Steel - Rebar - UK: UK CARES avg EPD</v>
      </c>
      <c r="F383" s="1301">
        <f>'Material Quantities &amp; Embodied '!G287</f>
        <v>0</v>
      </c>
      <c r="G383" s="73" t="s">
        <v>206</v>
      </c>
      <c r="H383" s="1304">
        <f>F383/1000</f>
        <v>0</v>
      </c>
      <c r="I383" s="1304">
        <f>F$500</f>
        <v>1250</v>
      </c>
      <c r="J383" s="199">
        <f t="shared" si="41"/>
        <v>0</v>
      </c>
    </row>
    <row r="384" spans="2:17">
      <c r="B384" s="150"/>
      <c r="C384" s="150"/>
      <c r="D384" s="150"/>
      <c r="E384" s="150" t="s">
        <v>210</v>
      </c>
      <c r="F384" s="1301"/>
      <c r="G384" s="73" t="s">
        <v>208</v>
      </c>
      <c r="H384" s="1304">
        <f>IF(A356=0,0,IF(Summary!J$13="Yes",Summary!J$14*2*(Summary!C$13*Summary!C$15+Summary!C$15*Summary!C$16),0))</f>
        <v>0</v>
      </c>
      <c r="I384" s="1304">
        <f>F$495</f>
        <v>195</v>
      </c>
      <c r="J384" s="199">
        <f t="shared" si="41"/>
        <v>0</v>
      </c>
      <c r="L384" s="73"/>
      <c r="M384" s="177"/>
      <c r="N384" s="177"/>
      <c r="O384" s="177"/>
      <c r="P384" s="177"/>
      <c r="Q384" s="177"/>
    </row>
    <row r="385" spans="1:17">
      <c r="B385" s="150"/>
      <c r="C385" s="150"/>
      <c r="D385" s="150" t="s">
        <v>136</v>
      </c>
      <c r="E385" s="150" t="str">
        <f>'Material Quantities &amp; Embodied '!F288</f>
        <v>C32/40 - 25% GGBS</v>
      </c>
      <c r="F385" s="1301">
        <f>'Material Quantities &amp; Embodied '!G288</f>
        <v>0</v>
      </c>
      <c r="G385" s="73" t="s">
        <v>205</v>
      </c>
      <c r="H385" s="1304">
        <f>F385/(24*1000/9.81)</f>
        <v>0</v>
      </c>
      <c r="I385" s="1304">
        <f>F$496</f>
        <v>215</v>
      </c>
      <c r="J385" s="199">
        <f t="shared" si="41"/>
        <v>0</v>
      </c>
    </row>
    <row r="386" spans="1:17">
      <c r="B386" s="150"/>
      <c r="C386" s="150"/>
      <c r="D386" s="150"/>
      <c r="E386" s="150" t="str">
        <f>'Material Quantities &amp; Embodied '!F289</f>
        <v>Steel - Rebar - UK: UK CARES avg EPD</v>
      </c>
      <c r="F386" s="1301">
        <f>'Material Quantities &amp; Embodied '!G289</f>
        <v>0</v>
      </c>
      <c r="G386" s="73" t="s">
        <v>206</v>
      </c>
      <c r="H386" s="1304">
        <f>F386/1000</f>
        <v>0</v>
      </c>
      <c r="I386" s="1304">
        <f>F$499</f>
        <v>1250</v>
      </c>
      <c r="J386" s="199">
        <f t="shared" si="41"/>
        <v>0</v>
      </c>
    </row>
    <row r="387" spans="1:17">
      <c r="B387" s="150"/>
      <c r="C387" s="150"/>
      <c r="D387" s="150"/>
      <c r="E387" s="150" t="s">
        <v>210</v>
      </c>
      <c r="F387" s="1301"/>
      <c r="G387" s="73" t="s">
        <v>208</v>
      </c>
      <c r="H387" s="1304">
        <f>IF(A356=0,0,SUM(Basement!O105,Basement!O118,Basement!O131))</f>
        <v>0</v>
      </c>
      <c r="I387" s="1304">
        <f>F$504</f>
        <v>80</v>
      </c>
      <c r="J387" s="199">
        <f t="shared" si="41"/>
        <v>0</v>
      </c>
    </row>
    <row r="388" spans="1:17">
      <c r="B388" s="150"/>
      <c r="C388" s="150"/>
      <c r="D388" s="182" t="s">
        <v>137</v>
      </c>
      <c r="E388" s="150" t="str">
        <f>'Material Quantities &amp; Embodied '!F290</f>
        <v>C32/40 - 25% GGBS</v>
      </c>
      <c r="F388" s="1301">
        <f>'Material Quantities &amp; Embodied '!G290</f>
        <v>0</v>
      </c>
      <c r="G388" s="73"/>
      <c r="H388" s="1304"/>
      <c r="I388" s="1304"/>
      <c r="J388" s="199">
        <f>IF(A356=0,0,H$546)</f>
        <v>0</v>
      </c>
    </row>
    <row r="389" spans="1:17">
      <c r="B389" s="150"/>
      <c r="C389" s="150"/>
      <c r="D389" s="182"/>
      <c r="E389" s="150" t="str">
        <f>'Material Quantities &amp; Embodied '!F291</f>
        <v>Steel - Rebar - UK: UK CARES avg EPD</v>
      </c>
      <c r="F389" s="1301">
        <f>'Material Quantities &amp; Embodied '!G291</f>
        <v>0</v>
      </c>
      <c r="G389" s="73"/>
      <c r="H389" s="1304"/>
      <c r="I389" s="1304"/>
      <c r="J389" s="204" t="s">
        <v>215</v>
      </c>
    </row>
    <row r="390" spans="1:17">
      <c r="B390" s="150"/>
      <c r="C390" s="150"/>
      <c r="D390" s="182" t="s">
        <v>216</v>
      </c>
      <c r="E390" s="150"/>
      <c r="F390" s="1301">
        <f>'Material Quantities &amp; Embodied '!G292</f>
        <v>2093680.7339449541</v>
      </c>
      <c r="G390" s="151" t="s">
        <v>205</v>
      </c>
      <c r="H390" s="1301">
        <f>F390/(20*1000/9.81)</f>
        <v>1026.9503999999999</v>
      </c>
      <c r="I390" s="1301">
        <f>F$493</f>
        <v>65</v>
      </c>
      <c r="J390" s="204">
        <f>H390*I390</f>
        <v>66751.775999999998</v>
      </c>
      <c r="K390" s="205"/>
      <c r="L390" s="73"/>
      <c r="M390" s="177"/>
      <c r="N390" s="177"/>
      <c r="O390" s="177"/>
      <c r="P390" s="177"/>
      <c r="Q390" s="177"/>
    </row>
    <row r="391" spans="1:17">
      <c r="B391" s="150"/>
      <c r="C391" s="179"/>
      <c r="D391" s="183" t="s">
        <v>217</v>
      </c>
      <c r="E391" s="179"/>
      <c r="F391" s="1302">
        <f>'Material Quantities &amp; Embodied '!G294</f>
        <v>0</v>
      </c>
      <c r="G391" s="180" t="s">
        <v>205</v>
      </c>
      <c r="H391" s="1302">
        <f>F391/(20*1000/9.81)</f>
        <v>0</v>
      </c>
      <c r="I391" s="1302">
        <f>F$493</f>
        <v>65</v>
      </c>
      <c r="J391" s="206">
        <f>H391*I391</f>
        <v>0</v>
      </c>
      <c r="K391" s="203">
        <f>SUM(J369:J391)</f>
        <v>1129042.28975</v>
      </c>
      <c r="L391" s="73"/>
      <c r="M391" s="177"/>
      <c r="N391" s="177"/>
      <c r="O391" s="177"/>
      <c r="P391" s="177"/>
      <c r="Q391" s="177"/>
    </row>
    <row r="392" spans="1:17">
      <c r="B392" s="150"/>
      <c r="C392" s="150" t="s">
        <v>218</v>
      </c>
      <c r="D392" s="150" t="s">
        <v>219</v>
      </c>
      <c r="E392" s="150"/>
      <c r="F392" s="151"/>
      <c r="G392" s="151"/>
      <c r="H392" s="151"/>
      <c r="I392" s="151"/>
      <c r="J392" s="204">
        <f>0.05*SUM(J356:J391)</f>
        <v>148708.60936255296</v>
      </c>
      <c r="L392" s="73"/>
      <c r="M392" s="177"/>
      <c r="N392" s="177"/>
      <c r="O392" s="177"/>
      <c r="P392" s="177"/>
      <c r="Q392" s="177"/>
    </row>
    <row r="393" spans="1:17">
      <c r="B393" s="152"/>
      <c r="C393" s="150"/>
      <c r="D393" s="150" t="s">
        <v>220</v>
      </c>
      <c r="E393" s="150"/>
      <c r="F393" s="151"/>
      <c r="G393" s="151"/>
      <c r="H393" s="151"/>
      <c r="I393" s="151"/>
      <c r="J393" s="204">
        <f>IF(A356=0,0,0.22*SUM(J356:J391))</f>
        <v>654317.88119523309</v>
      </c>
      <c r="L393" s="73"/>
      <c r="Q393" s="73"/>
    </row>
    <row r="394" spans="1:17">
      <c r="B394" s="184"/>
      <c r="C394" s="179"/>
      <c r="D394" s="179" t="s">
        <v>221</v>
      </c>
      <c r="E394" s="179"/>
      <c r="F394" s="180"/>
      <c r="G394" s="180"/>
      <c r="H394" s="180"/>
      <c r="I394" s="180"/>
      <c r="J394" s="206">
        <f>0.1*SUM(J356:J391)</f>
        <v>297417.21872510592</v>
      </c>
      <c r="K394" s="203">
        <f>SUM(J392:J394)</f>
        <v>1100443.7092828921</v>
      </c>
      <c r="L394" s="73"/>
      <c r="Q394" s="73"/>
    </row>
    <row r="395" spans="1:17">
      <c r="B395" s="150"/>
      <c r="C395" s="150"/>
      <c r="D395" s="150"/>
      <c r="E395" s="150"/>
      <c r="F395" s="151"/>
      <c r="G395" s="73"/>
      <c r="I395" s="198"/>
      <c r="J395" s="199"/>
      <c r="K395" s="191">
        <f>SUM(K356:K394)</f>
        <v>4074615.8965339512</v>
      </c>
    </row>
    <row r="396" spans="1:17" ht="12.75" thickBot="1">
      <c r="B396" s="172"/>
      <c r="C396" s="172"/>
      <c r="D396" s="172"/>
      <c r="E396" s="172"/>
      <c r="F396" s="173"/>
      <c r="G396" s="193"/>
      <c r="H396" s="193"/>
      <c r="I396" s="208"/>
      <c r="J396" s="209"/>
      <c r="K396" s="194"/>
    </row>
    <row r="397" spans="1:17">
      <c r="B397" s="150"/>
      <c r="C397" s="150"/>
      <c r="D397" s="150"/>
      <c r="E397" s="150"/>
      <c r="F397" s="151"/>
      <c r="G397" s="73"/>
      <c r="I397" s="198"/>
      <c r="J397" s="199"/>
    </row>
    <row r="398" spans="1:17">
      <c r="B398" s="150"/>
      <c r="C398" s="150"/>
      <c r="D398" s="150"/>
      <c r="E398" s="150"/>
      <c r="F398" s="151"/>
      <c r="G398" s="73"/>
      <c r="I398" s="198"/>
      <c r="J398" s="199"/>
    </row>
    <row r="399" spans="1:17" ht="24.75" thickBot="1">
      <c r="B399" s="175" t="s">
        <v>22</v>
      </c>
      <c r="C399" s="175" t="s">
        <v>100</v>
      </c>
      <c r="D399" s="175" t="s">
        <v>101</v>
      </c>
      <c r="E399" s="175" t="s">
        <v>103</v>
      </c>
      <c r="F399" s="72" t="str">
        <f>'Material Quantities &amp; Embodied '!G299</f>
        <v>Material Quantity [kg]</v>
      </c>
      <c r="G399" s="72" t="s">
        <v>201</v>
      </c>
      <c r="H399" s="72" t="s">
        <v>192</v>
      </c>
      <c r="I399" s="72" t="s">
        <v>222</v>
      </c>
      <c r="J399" s="197" t="s">
        <v>203</v>
      </c>
      <c r="K399" s="197" t="s">
        <v>204</v>
      </c>
    </row>
    <row r="400" spans="1:17">
      <c r="A400" s="190">
        <f>'Material Quantities &amp; Embodied '!A300</f>
        <v>0.45900000000000002</v>
      </c>
      <c r="B400" s="150" t="str">
        <f>Database!D26</f>
        <v>Steel Frame with CLT Slabs</v>
      </c>
      <c r="C400" s="150" t="s">
        <v>114</v>
      </c>
      <c r="D400" s="150" t="s">
        <v>115</v>
      </c>
      <c r="E400" s="150" t="str">
        <f>'Material Quantities &amp; Embodied '!F300</f>
        <v>Steel - Structural_sections - Europe avg EPD</v>
      </c>
      <c r="F400" s="1301">
        <f>'Material Quantities &amp; Embodied '!G300</f>
        <v>103963.20000000024</v>
      </c>
      <c r="G400" s="73" t="s">
        <v>206</v>
      </c>
      <c r="H400" s="1304">
        <f>F400/1000</f>
        <v>103.96320000000024</v>
      </c>
      <c r="I400" s="1304">
        <f>F$487</f>
        <v>3500</v>
      </c>
      <c r="J400" s="199">
        <f t="shared" ref="J400:J406" si="42">H400*I400</f>
        <v>363871.20000000083</v>
      </c>
    </row>
    <row r="401" spans="2:11">
      <c r="B401" s="150"/>
      <c r="C401" s="150"/>
      <c r="D401" s="150"/>
      <c r="E401" s="150" t="str">
        <f>'Material Quantities &amp; Embodied '!F301</f>
        <v>Timber - Engineered_timber - CLT</v>
      </c>
      <c r="F401" s="1301">
        <f>'Material Quantities &amp; Embodied '!G301</f>
        <v>322935.77981651388</v>
      </c>
      <c r="G401" s="73"/>
      <c r="H401" s="1304"/>
      <c r="I401" s="1304"/>
      <c r="J401" s="199">
        <f>IF(A400=0,0,D533)</f>
        <v>539769.59999999998</v>
      </c>
    </row>
    <row r="402" spans="2:11">
      <c r="B402" s="150"/>
      <c r="C402" s="150"/>
      <c r="D402" s="150" t="s">
        <v>27</v>
      </c>
      <c r="E402" s="150" t="str">
        <f>'Material Quantities &amp; Embodied '!F305</f>
        <v>C32/40 - 25% GGBS</v>
      </c>
      <c r="F402" s="1301">
        <f>'Material Quantities &amp; Embodied '!G305</f>
        <v>0</v>
      </c>
      <c r="G402" s="73" t="s">
        <v>205</v>
      </c>
      <c r="H402" s="1304">
        <f>F402/(24*1000/9.81)</f>
        <v>0</v>
      </c>
      <c r="I402" s="1304">
        <f>F$495</f>
        <v>195</v>
      </c>
      <c r="J402" s="199">
        <f t="shared" ref="J402:J405" si="43">H402*I402</f>
        <v>0</v>
      </c>
    </row>
    <row r="403" spans="2:11">
      <c r="B403" s="150"/>
      <c r="C403" s="150"/>
      <c r="D403" s="150"/>
      <c r="E403" s="150" t="str">
        <f>'Material Quantities &amp; Embodied '!F306</f>
        <v>Steel - Rebar - UK: UK CARES avg EPD</v>
      </c>
      <c r="F403" s="1301">
        <f>'Material Quantities &amp; Embodied '!G306</f>
        <v>0</v>
      </c>
      <c r="G403" s="73" t="s">
        <v>206</v>
      </c>
      <c r="H403" s="1304">
        <f>F403/1000</f>
        <v>0</v>
      </c>
      <c r="I403" s="1304">
        <f>F$498</f>
        <v>1250</v>
      </c>
      <c r="J403" s="199">
        <f t="shared" si="43"/>
        <v>0</v>
      </c>
    </row>
    <row r="404" spans="2:11">
      <c r="B404" s="150"/>
      <c r="C404" s="150"/>
      <c r="D404" s="150"/>
      <c r="E404" s="150" t="s">
        <v>207</v>
      </c>
      <c r="F404" s="1301"/>
      <c r="G404" s="73" t="s">
        <v>208</v>
      </c>
      <c r="H404" s="1304">
        <f>IF(A400=0,0,IF(Summary!J$8="Yes",Summary!C$13*Summary!C$14*Summary!C$15*Summary!C$16,0))</f>
        <v>0</v>
      </c>
      <c r="I404" s="1304">
        <v>50</v>
      </c>
      <c r="J404" s="199">
        <f t="shared" si="43"/>
        <v>0</v>
      </c>
    </row>
    <row r="405" spans="2:11">
      <c r="B405" s="150"/>
      <c r="C405" s="150"/>
      <c r="D405" s="150"/>
      <c r="E405" s="150" t="s">
        <v>209</v>
      </c>
      <c r="F405" s="1301"/>
      <c r="G405" s="73" t="s">
        <v>15</v>
      </c>
      <c r="H405" s="1304">
        <f>IF(A400=0,0,IF(Summary!J$8="Yes",2*(Summary!C$13*Summary!C$15+Summary!C$14*Summary!C$16),0))</f>
        <v>0</v>
      </c>
      <c r="I405" s="1304">
        <v>20</v>
      </c>
      <c r="J405" s="199">
        <f t="shared" si="43"/>
        <v>0</v>
      </c>
    </row>
    <row r="406" spans="2:11">
      <c r="B406" s="150"/>
      <c r="C406" s="150"/>
      <c r="D406" s="150" t="s">
        <v>119</v>
      </c>
      <c r="E406" s="150" t="str">
        <f>'Material Quantities &amp; Embodied '!F302</f>
        <v>Steel - Structural_sections - Europe avg EPD</v>
      </c>
      <c r="F406" s="1301">
        <f>'Material Quantities &amp; Embodied '!G302</f>
        <v>27762.240000000005</v>
      </c>
      <c r="G406" s="73" t="s">
        <v>206</v>
      </c>
      <c r="H406" s="1304">
        <f t="shared" ref="H406" si="44">F406/1000</f>
        <v>27.762240000000006</v>
      </c>
      <c r="I406" s="1304">
        <f>F$487</f>
        <v>3500</v>
      </c>
      <c r="J406" s="199">
        <f t="shared" si="42"/>
        <v>97167.840000000026</v>
      </c>
    </row>
    <row r="407" spans="2:11">
      <c r="B407" s="150"/>
      <c r="C407" s="150"/>
      <c r="D407" s="150" t="s">
        <v>144</v>
      </c>
      <c r="E407" s="150"/>
      <c r="F407" s="1301"/>
      <c r="G407" s="73" t="s">
        <v>208</v>
      </c>
      <c r="H407" s="1304">
        <f>Intumescent!M7</f>
        <v>2674.4450400000001</v>
      </c>
      <c r="I407" s="1304">
        <f>IF('RC Column'!C$34=60,Cost!F$488,IF('RC Column'!C$34=90,Cost!F$489,Cost!F$490))</f>
        <v>40</v>
      </c>
      <c r="J407" s="199">
        <f>H407*I407</f>
        <v>106977.80160000001</v>
      </c>
    </row>
    <row r="408" spans="2:11">
      <c r="B408" s="150"/>
      <c r="C408" s="150"/>
      <c r="D408" s="150" t="s">
        <v>120</v>
      </c>
      <c r="E408" s="150" t="str">
        <f>'Material Quantities &amp; Embodied '!F303</f>
        <v>C32/40 - 25% GGBS</v>
      </c>
      <c r="F408" s="1301">
        <f>'Material Quantities &amp; Embodied '!G303</f>
        <v>44138.242348623855</v>
      </c>
      <c r="G408" s="73" t="s">
        <v>205</v>
      </c>
      <c r="H408" s="1304">
        <f>F408/(24*1000/9.81)</f>
        <v>18.041506560000002</v>
      </c>
      <c r="I408" s="1304">
        <f>F$497</f>
        <v>205</v>
      </c>
      <c r="J408" s="199">
        <f t="shared" ref="J408:J409" si="45">H408*I408</f>
        <v>3698.5088448000006</v>
      </c>
    </row>
    <row r="409" spans="2:11">
      <c r="B409" s="150"/>
      <c r="C409" s="150"/>
      <c r="D409" s="150"/>
      <c r="E409" s="150" t="str">
        <f>'Material Quantities &amp; Embodied '!F304</f>
        <v>Steel - Rebar - UK: UK CARES avg EPD</v>
      </c>
      <c r="F409" s="1301">
        <f>'Material Quantities &amp; Embodied '!G304</f>
        <v>1387.1666626079082</v>
      </c>
      <c r="G409" s="73" t="s">
        <v>206</v>
      </c>
      <c r="H409" s="1304">
        <f>F409/1000</f>
        <v>1.3871666626079082</v>
      </c>
      <c r="I409" s="1304">
        <f>F$500</f>
        <v>1250</v>
      </c>
      <c r="J409" s="199">
        <f t="shared" si="45"/>
        <v>1733.9583282598853</v>
      </c>
    </row>
    <row r="410" spans="2:11">
      <c r="B410" s="150"/>
      <c r="C410" s="179"/>
      <c r="D410" s="179"/>
      <c r="E410" s="179" t="s">
        <v>210</v>
      </c>
      <c r="F410" s="1302"/>
      <c r="G410" s="200" t="s">
        <v>208</v>
      </c>
      <c r="H410" s="1305">
        <f>IF(A400=0,0,'Shear Walls'!BE132)</f>
        <v>184.20814720000004</v>
      </c>
      <c r="I410" s="1305">
        <f>F505</f>
        <v>70</v>
      </c>
      <c r="J410" s="202">
        <f t="shared" ref="J410:J416" si="46">H410*I410</f>
        <v>12894.570304000003</v>
      </c>
      <c r="K410" s="203">
        <f>SUM(J400:J410)</f>
        <v>1126113.4790770609</v>
      </c>
    </row>
    <row r="411" spans="2:11">
      <c r="B411" s="150"/>
      <c r="C411" s="150" t="s">
        <v>123</v>
      </c>
      <c r="D411" s="150" t="s">
        <v>124</v>
      </c>
      <c r="E411" s="150" t="str">
        <f>'Material Quantities &amp; Embodied '!F308</f>
        <v>C32/40 - 25% GGBS</v>
      </c>
      <c r="F411" s="1301">
        <f>'Material Quantities &amp; Embodied '!G308</f>
        <v>1382400</v>
      </c>
      <c r="G411" s="73" t="s">
        <v>205</v>
      </c>
      <c r="H411" s="1304">
        <f>F411/(24*1000/9.81)</f>
        <v>565.05600000000004</v>
      </c>
      <c r="I411" s="1304">
        <f>F$495</f>
        <v>195</v>
      </c>
      <c r="J411" s="199">
        <f t="shared" si="46"/>
        <v>110185.92000000001</v>
      </c>
    </row>
    <row r="412" spans="2:11">
      <c r="B412" s="150"/>
      <c r="C412" s="150"/>
      <c r="D412" s="150"/>
      <c r="E412" s="150" t="str">
        <f>'Material Quantities &amp; Embodied '!F309</f>
        <v>Steel - Rebar - UK: UK CARES avg EPD</v>
      </c>
      <c r="F412" s="1301">
        <f>'Material Quantities &amp; Embodied '!G309</f>
        <v>34560</v>
      </c>
      <c r="G412" s="73" t="s">
        <v>206</v>
      </c>
      <c r="H412" s="1304">
        <f>F412/1000</f>
        <v>34.56</v>
      </c>
      <c r="I412" s="1304">
        <f>F$498</f>
        <v>1250</v>
      </c>
      <c r="J412" s="199">
        <f t="shared" si="46"/>
        <v>43200</v>
      </c>
    </row>
    <row r="413" spans="2:11">
      <c r="B413" s="150"/>
      <c r="C413" s="150"/>
      <c r="D413" s="150"/>
      <c r="E413" s="150" t="s">
        <v>207</v>
      </c>
      <c r="F413" s="1301"/>
      <c r="G413" s="73" t="s">
        <v>208</v>
      </c>
      <c r="H413" s="1304">
        <f>IF(A400=0,0,IF(Summary!J$13="Yes",Summary!C$13*Summary!C$14*Summary!C$15*Summary!C$16,0))</f>
        <v>0</v>
      </c>
      <c r="I413" s="1304">
        <v>50</v>
      </c>
      <c r="J413" s="199">
        <f t="shared" si="46"/>
        <v>0</v>
      </c>
    </row>
    <row r="414" spans="2:11">
      <c r="B414" s="150"/>
      <c r="C414" s="150"/>
      <c r="D414" s="150"/>
      <c r="E414" s="150" t="s">
        <v>209</v>
      </c>
      <c r="F414" s="1301"/>
      <c r="G414" s="73" t="s">
        <v>15</v>
      </c>
      <c r="H414" s="1304">
        <f>IF(A400=0,0,2*(Summary!C$13*Summary!C$15+Summary!C$14*Summary!C$16))</f>
        <v>216</v>
      </c>
      <c r="I414" s="1304">
        <v>20</v>
      </c>
      <c r="J414" s="199">
        <f t="shared" si="46"/>
        <v>4320</v>
      </c>
    </row>
    <row r="415" spans="2:11">
      <c r="B415" s="150"/>
      <c r="C415" s="150"/>
      <c r="D415" s="150" t="s">
        <v>126</v>
      </c>
      <c r="E415" s="150" t="str">
        <f>'Material Quantities &amp; Embodied '!F310</f>
        <v>Concrete - Mortar_screed - 1:4 cement:sand mix avg UK cement mix</v>
      </c>
      <c r="F415" s="1301">
        <f>'Material Quantities &amp; Embodied '!G310</f>
        <v>352293.57798165135</v>
      </c>
      <c r="G415" s="73" t="s">
        <v>208</v>
      </c>
      <c r="H415" s="1304">
        <f>IF(A400=0,0,Summary!C$13*Summary!C$14*Summary!C$15*Summary!C$16)</f>
        <v>2880</v>
      </c>
      <c r="I415" s="1304">
        <v>50</v>
      </c>
      <c r="J415" s="199">
        <f t="shared" si="46"/>
        <v>144000</v>
      </c>
    </row>
    <row r="416" spans="2:11">
      <c r="B416" s="150"/>
      <c r="C416" s="150"/>
      <c r="D416" s="150" t="s">
        <v>128</v>
      </c>
      <c r="E416" s="150" t="str">
        <f>'Material Quantities &amp; Embodied '!F311</f>
        <v xml:space="preserve">Other - Granular_fill - </v>
      </c>
      <c r="F416" s="1301">
        <f>'Material Quantities &amp; Embodied '!G311</f>
        <v>880733.94495412835</v>
      </c>
      <c r="G416" s="73" t="s">
        <v>205</v>
      </c>
      <c r="H416" s="1304">
        <f>IF(A400=0,0,Summary!C$13*Summary!C$14*Summary!C$15*Summary!C$16*0.15)</f>
        <v>432</v>
      </c>
      <c r="I416" s="1304">
        <v>45</v>
      </c>
      <c r="J416" s="199">
        <f t="shared" si="46"/>
        <v>19440</v>
      </c>
    </row>
    <row r="417" spans="2:17">
      <c r="B417" s="150"/>
      <c r="C417" s="150"/>
      <c r="D417" s="150" t="s">
        <v>211</v>
      </c>
      <c r="E417" s="150"/>
      <c r="F417" s="1301"/>
      <c r="G417" s="73"/>
      <c r="H417" s="1304">
        <f>IF(A400=0,0,Summary!C$13*Summary!C$14*Summary!C$15*Summary!C$16)</f>
        <v>2880</v>
      </c>
      <c r="I417" s="1304">
        <f>F$494</f>
        <v>50</v>
      </c>
      <c r="J417" s="199">
        <f t="shared" ref="J417" si="47">H417*I417</f>
        <v>144000</v>
      </c>
      <c r="L417" s="73"/>
      <c r="M417" s="150"/>
      <c r="N417" s="207"/>
      <c r="O417" s="152"/>
      <c r="P417" s="182"/>
      <c r="Q417" s="73"/>
    </row>
    <row r="418" spans="2:17">
      <c r="B418" s="150"/>
      <c r="C418" s="150"/>
      <c r="D418" s="150" t="s">
        <v>131</v>
      </c>
      <c r="E418" s="150" t="str">
        <f>'Material Quantities &amp; Embodied '!F312</f>
        <v>C32/40 - 25% GGBS</v>
      </c>
      <c r="F418" s="1301">
        <f>'Material Quantities &amp; Embodied '!G312</f>
        <v>639674.37939240225</v>
      </c>
      <c r="G418" s="73"/>
      <c r="H418" s="1304"/>
      <c r="I418" s="1304"/>
      <c r="J418" s="199">
        <f>Pile!N499</f>
        <v>262459.99999999994</v>
      </c>
    </row>
    <row r="419" spans="2:17">
      <c r="B419" s="150"/>
      <c r="C419" s="150"/>
      <c r="D419" s="150" t="s">
        <v>132</v>
      </c>
      <c r="E419" s="150" t="str">
        <f>'Material Quantities &amp; Embodied '!F314</f>
        <v>C32/40 - 25% GGBS</v>
      </c>
      <c r="F419" s="1301">
        <f>'Material Quantities &amp; Embodied '!G314</f>
        <v>170642.20183486238</v>
      </c>
      <c r="G419" s="73"/>
      <c r="H419" s="1304"/>
      <c r="I419" s="1304"/>
      <c r="J419" s="199">
        <f>Pile!U499</f>
        <v>27725.625</v>
      </c>
    </row>
    <row r="420" spans="2:17">
      <c r="B420" s="150"/>
      <c r="C420" s="150"/>
      <c r="D420" s="150" t="s">
        <v>212</v>
      </c>
      <c r="E420" s="150"/>
      <c r="F420" s="1301"/>
      <c r="G420" s="198" t="s">
        <v>208</v>
      </c>
      <c r="H420" s="1304">
        <f>IF(A400=0,0,Summary!C$13*Summary!C$14*Summary!C$15*Summary!C$16)</f>
        <v>2880</v>
      </c>
      <c r="I420" s="1304">
        <f>F$514</f>
        <v>100</v>
      </c>
      <c r="J420" s="199">
        <f>H420*I420</f>
        <v>288000</v>
      </c>
    </row>
    <row r="421" spans="2:17">
      <c r="B421" s="150"/>
      <c r="C421" s="150"/>
      <c r="D421" s="150" t="s">
        <v>213</v>
      </c>
      <c r="E421" s="150"/>
      <c r="F421" s="1301"/>
      <c r="G421" s="73" t="s">
        <v>214</v>
      </c>
      <c r="H421" s="1304">
        <f>IF(A400=0,0,CEILING((Summary!C$13*Summary!C$14*Summary!C$15*Summary!C$16)/(PI()*25^2),1))</f>
        <v>2</v>
      </c>
      <c r="I421" s="1304">
        <f>F$516</f>
        <v>20000</v>
      </c>
      <c r="J421" s="199">
        <f>H421*I421</f>
        <v>40000</v>
      </c>
      <c r="L421" s="73"/>
      <c r="M421" s="177"/>
      <c r="N421" s="177"/>
      <c r="O421" s="177"/>
      <c r="P421" s="177"/>
      <c r="Q421" s="177"/>
    </row>
    <row r="422" spans="2:17">
      <c r="B422" s="150"/>
      <c r="C422" s="150"/>
      <c r="D422" s="150" t="s">
        <v>134</v>
      </c>
      <c r="E422" s="150" t="str">
        <f>'Material Quantities &amp; Embodied '!F316</f>
        <v>C32/40 - 25% GGBS</v>
      </c>
      <c r="F422" s="1301">
        <f>'Material Quantities &amp; Embodied '!G316</f>
        <v>0</v>
      </c>
      <c r="G422" s="73" t="s">
        <v>205</v>
      </c>
      <c r="H422" s="1304">
        <f>F422/(24*1000/9.81)</f>
        <v>0</v>
      </c>
      <c r="I422" s="1304">
        <f>F$495</f>
        <v>195</v>
      </c>
      <c r="J422" s="199">
        <f t="shared" ref="J422:J429" si="48">H422*I422</f>
        <v>0</v>
      </c>
    </row>
    <row r="423" spans="2:17">
      <c r="B423" s="150"/>
      <c r="C423" s="150"/>
      <c r="D423" s="150"/>
      <c r="E423" s="150" t="str">
        <f>'Material Quantities &amp; Embodied '!F317</f>
        <v>Steel - Rebar - UK: UK CARES avg EPD</v>
      </c>
      <c r="F423" s="1301">
        <f>'Material Quantities &amp; Embodied '!G317</f>
        <v>0</v>
      </c>
      <c r="G423" s="73" t="s">
        <v>206</v>
      </c>
      <c r="H423" s="1304">
        <f>F423/1000</f>
        <v>0</v>
      </c>
      <c r="I423" s="1304">
        <f>F$498</f>
        <v>1250</v>
      </c>
      <c r="J423" s="199">
        <f t="shared" si="48"/>
        <v>0</v>
      </c>
    </row>
    <row r="424" spans="2:17">
      <c r="B424" s="150"/>
      <c r="C424" s="150"/>
      <c r="D424" s="150" t="s">
        <v>135</v>
      </c>
      <c r="E424" s="150" t="str">
        <f>'Material Quantities &amp; Embodied '!F318</f>
        <v>C32/40 - 25% GGBS</v>
      </c>
      <c r="F424" s="1301">
        <f>'Material Quantities &amp; Embodied '!G318</f>
        <v>0</v>
      </c>
      <c r="G424" s="73" t="s">
        <v>205</v>
      </c>
      <c r="H424" s="1304">
        <f>F424/(24*1000/9.81)</f>
        <v>0</v>
      </c>
      <c r="I424" s="1304">
        <f>F$497</f>
        <v>205</v>
      </c>
      <c r="J424" s="199">
        <f t="shared" si="48"/>
        <v>0</v>
      </c>
    </row>
    <row r="425" spans="2:17">
      <c r="B425" s="150"/>
      <c r="C425" s="150"/>
      <c r="D425" s="150"/>
      <c r="E425" s="150" t="str">
        <f>'Material Quantities &amp; Embodied '!F319</f>
        <v>Steel - Rebar - UK: UK CARES avg EPD</v>
      </c>
      <c r="F425" s="1301">
        <f>'Material Quantities &amp; Embodied '!G319</f>
        <v>0</v>
      </c>
      <c r="G425" s="73" t="s">
        <v>206</v>
      </c>
      <c r="H425" s="1304">
        <f>F425/1000</f>
        <v>0</v>
      </c>
      <c r="I425" s="1304">
        <f>F$500</f>
        <v>1250</v>
      </c>
      <c r="J425" s="199">
        <f t="shared" si="48"/>
        <v>0</v>
      </c>
    </row>
    <row r="426" spans="2:17">
      <c r="B426" s="150"/>
      <c r="C426" s="150"/>
      <c r="D426" s="150"/>
      <c r="E426" s="150" t="s">
        <v>210</v>
      </c>
      <c r="F426" s="1301"/>
      <c r="G426" s="73" t="s">
        <v>208</v>
      </c>
      <c r="H426" s="1304">
        <f>IF(A400=0,0,IF(Summary!J$13="Yes",Summary!J$14*2*(Summary!C$13*Summary!C$15+Summary!C$15*Summary!C$16),0))</f>
        <v>0</v>
      </c>
      <c r="I426" s="1304">
        <f>F$495</f>
        <v>195</v>
      </c>
      <c r="J426" s="199">
        <f t="shared" si="48"/>
        <v>0</v>
      </c>
      <c r="L426" s="73"/>
      <c r="M426" s="177"/>
      <c r="N426" s="177"/>
      <c r="O426" s="177"/>
      <c r="P426" s="177"/>
      <c r="Q426" s="177"/>
    </row>
    <row r="427" spans="2:17">
      <c r="B427" s="150"/>
      <c r="C427" s="150"/>
      <c r="D427" s="150" t="s">
        <v>136</v>
      </c>
      <c r="E427" s="150" t="str">
        <f>'Material Quantities &amp; Embodied '!F320</f>
        <v>C32/40 - 25% GGBS</v>
      </c>
      <c r="F427" s="1301">
        <f>'Material Quantities &amp; Embodied '!G320</f>
        <v>0</v>
      </c>
      <c r="G427" s="73" t="s">
        <v>205</v>
      </c>
      <c r="H427" s="1304">
        <f>F427/(24*1000/9.81)</f>
        <v>0</v>
      </c>
      <c r="I427" s="1304">
        <f>F$496</f>
        <v>215</v>
      </c>
      <c r="J427" s="199">
        <f t="shared" si="48"/>
        <v>0</v>
      </c>
    </row>
    <row r="428" spans="2:17">
      <c r="B428" s="150"/>
      <c r="C428" s="150"/>
      <c r="D428" s="150"/>
      <c r="E428" s="150" t="str">
        <f>'Material Quantities &amp; Embodied '!F321</f>
        <v>Steel - Rebar - UK: UK CARES avg EPD</v>
      </c>
      <c r="F428" s="1301">
        <f>'Material Quantities &amp; Embodied '!G321</f>
        <v>0</v>
      </c>
      <c r="G428" s="73" t="s">
        <v>206</v>
      </c>
      <c r="H428" s="1304">
        <f>F428/1000</f>
        <v>0</v>
      </c>
      <c r="I428" s="1304">
        <f>F$499</f>
        <v>1250</v>
      </c>
      <c r="J428" s="199">
        <f t="shared" si="48"/>
        <v>0</v>
      </c>
    </row>
    <row r="429" spans="2:17">
      <c r="B429" s="150"/>
      <c r="C429" s="150"/>
      <c r="D429" s="150"/>
      <c r="E429" s="150" t="s">
        <v>210</v>
      </c>
      <c r="F429" s="1301"/>
      <c r="G429" s="73" t="s">
        <v>208</v>
      </c>
      <c r="H429" s="1304">
        <f>IF(A400=0,0,IF(Summary!J$13="Yes",Summary!J$14*2*(Summary!C$13*Summary!C$15+Summary!C$15*Summary!C$16),0))</f>
        <v>0</v>
      </c>
      <c r="I429" s="1304">
        <f>F$495</f>
        <v>195</v>
      </c>
      <c r="J429" s="199">
        <f t="shared" si="48"/>
        <v>0</v>
      </c>
      <c r="L429" s="73"/>
      <c r="M429" s="177"/>
      <c r="N429" s="177"/>
      <c r="O429" s="177"/>
      <c r="P429" s="177"/>
      <c r="Q429" s="177"/>
    </row>
    <row r="430" spans="2:17">
      <c r="B430" s="150"/>
      <c r="C430" s="150"/>
      <c r="D430" s="182" t="s">
        <v>137</v>
      </c>
      <c r="E430" s="150" t="str">
        <f>'Material Quantities &amp; Embodied '!F322</f>
        <v>C32/40 - 25% GGBS</v>
      </c>
      <c r="F430" s="1301">
        <f>'Material Quantities &amp; Embodied '!G322</f>
        <v>0</v>
      </c>
      <c r="G430" s="73"/>
      <c r="H430" s="1304"/>
      <c r="I430" s="1304"/>
      <c r="J430" s="199">
        <f>IF(A400=0,0,H$546)</f>
        <v>0</v>
      </c>
    </row>
    <row r="431" spans="2:17">
      <c r="B431" s="150"/>
      <c r="C431" s="150"/>
      <c r="D431" s="182"/>
      <c r="E431" s="150" t="str">
        <f>'Material Quantities &amp; Embodied '!F323</f>
        <v>Steel - Rebar - UK: UK CARES avg EPD</v>
      </c>
      <c r="F431" s="1301">
        <f>'Material Quantities &amp; Embodied '!G323</f>
        <v>0</v>
      </c>
      <c r="G431" s="73"/>
      <c r="H431" s="1304"/>
      <c r="I431" s="1304"/>
      <c r="J431" s="204" t="s">
        <v>215</v>
      </c>
    </row>
    <row r="432" spans="2:17">
      <c r="B432" s="150"/>
      <c r="C432" s="150"/>
      <c r="D432" s="182" t="s">
        <v>216</v>
      </c>
      <c r="E432" s="150"/>
      <c r="F432" s="1301">
        <f>'Material Quantities &amp; Embodied '!G324</f>
        <v>2093680.7339449541</v>
      </c>
      <c r="G432" s="151" t="s">
        <v>205</v>
      </c>
      <c r="H432" s="1301">
        <f>F432/(20*1000/9.81)</f>
        <v>1026.9503999999999</v>
      </c>
      <c r="I432" s="1301">
        <f>F$493</f>
        <v>65</v>
      </c>
      <c r="J432" s="204">
        <f>H432*I432</f>
        <v>66751.775999999998</v>
      </c>
      <c r="K432" s="205"/>
      <c r="L432" s="73"/>
      <c r="M432" s="177"/>
      <c r="N432" s="177"/>
      <c r="O432" s="177"/>
      <c r="P432" s="177"/>
      <c r="Q432" s="177"/>
    </row>
    <row r="433" spans="1:17">
      <c r="B433" s="150"/>
      <c r="C433" s="179"/>
      <c r="D433" s="183" t="s">
        <v>217</v>
      </c>
      <c r="E433" s="179"/>
      <c r="F433" s="1302">
        <f>'Material Quantities &amp; Embodied '!G326</f>
        <v>0</v>
      </c>
      <c r="G433" s="180" t="s">
        <v>205</v>
      </c>
      <c r="H433" s="1302">
        <f>F433/(20*1000/9.81)</f>
        <v>0</v>
      </c>
      <c r="I433" s="1302">
        <f>F$493</f>
        <v>65</v>
      </c>
      <c r="J433" s="206">
        <f>H433*I433</f>
        <v>0</v>
      </c>
      <c r="K433" s="203">
        <f>SUM(J411:J433)</f>
        <v>1150083.321</v>
      </c>
      <c r="L433" s="73"/>
      <c r="M433" s="177"/>
      <c r="N433" s="177"/>
      <c r="O433" s="177"/>
      <c r="P433" s="177"/>
      <c r="Q433" s="177"/>
    </row>
    <row r="434" spans="1:17">
      <c r="B434" s="150"/>
      <c r="C434" s="150" t="s">
        <v>218</v>
      </c>
      <c r="D434" s="150" t="s">
        <v>219</v>
      </c>
      <c r="E434" s="150"/>
      <c r="F434" s="151"/>
      <c r="G434" s="151"/>
      <c r="H434" s="151"/>
      <c r="I434" s="151"/>
      <c r="J434" s="204">
        <f>0.05*SUM(J400:J433)</f>
        <v>113809.84000385304</v>
      </c>
      <c r="L434" s="73"/>
      <c r="M434" s="177"/>
      <c r="N434" s="177"/>
      <c r="O434" s="177"/>
      <c r="P434" s="177"/>
      <c r="Q434" s="177"/>
    </row>
    <row r="435" spans="1:17">
      <c r="B435" s="152"/>
      <c r="C435" s="150"/>
      <c r="D435" s="150" t="s">
        <v>220</v>
      </c>
      <c r="E435" s="150"/>
      <c r="F435" s="151"/>
      <c r="G435" s="151"/>
      <c r="H435" s="151"/>
      <c r="I435" s="151"/>
      <c r="J435" s="204">
        <f>IF(A400=0,0,0.22*SUM(J402:J433,J400)+D530)</f>
        <v>684413.98401695339</v>
      </c>
      <c r="L435" s="73"/>
      <c r="Q435" s="73"/>
    </row>
    <row r="436" spans="1:17">
      <c r="B436" s="184"/>
      <c r="C436" s="179"/>
      <c r="D436" s="179" t="s">
        <v>221</v>
      </c>
      <c r="E436" s="179"/>
      <c r="F436" s="180"/>
      <c r="G436" s="180"/>
      <c r="H436" s="180"/>
      <c r="I436" s="180"/>
      <c r="J436" s="206">
        <f>0.1*SUM(J400:J433)</f>
        <v>227619.68000770608</v>
      </c>
      <c r="K436" s="203">
        <f>SUM(J434:J436)</f>
        <v>1025843.5040285125</v>
      </c>
      <c r="L436" s="73"/>
      <c r="Q436" s="73"/>
    </row>
    <row r="437" spans="1:17">
      <c r="B437" s="150"/>
      <c r="C437" s="150"/>
      <c r="D437" s="150"/>
      <c r="E437" s="150"/>
      <c r="F437" s="151"/>
      <c r="G437" s="73"/>
      <c r="I437" s="198"/>
      <c r="J437" s="199"/>
      <c r="K437" s="191">
        <f>SUM(K410:K436)</f>
        <v>3302040.3041055738</v>
      </c>
    </row>
    <row r="438" spans="1:17" ht="12.75" thickBot="1">
      <c r="B438" s="172"/>
      <c r="C438" s="172"/>
      <c r="D438" s="172"/>
      <c r="E438" s="172"/>
      <c r="F438" s="173"/>
      <c r="G438" s="193"/>
      <c r="H438" s="193"/>
      <c r="I438" s="208"/>
      <c r="J438" s="209"/>
      <c r="K438" s="194"/>
    </row>
    <row r="439" spans="1:17">
      <c r="B439" s="150"/>
      <c r="C439" s="150"/>
      <c r="D439" s="150"/>
      <c r="E439" s="150"/>
      <c r="F439" s="151"/>
      <c r="G439" s="73"/>
      <c r="I439" s="198"/>
      <c r="J439" s="199"/>
    </row>
    <row r="440" spans="1:17">
      <c r="B440" s="150"/>
      <c r="C440" s="150"/>
      <c r="D440" s="150"/>
      <c r="E440" s="150"/>
      <c r="F440" s="151"/>
      <c r="G440" s="73"/>
      <c r="I440" s="198"/>
      <c r="J440" s="199"/>
    </row>
    <row r="441" spans="1:17" ht="24.75" thickBot="1">
      <c r="B441" s="175" t="s">
        <v>22</v>
      </c>
      <c r="C441" s="175" t="s">
        <v>100</v>
      </c>
      <c r="D441" s="175" t="s">
        <v>101</v>
      </c>
      <c r="E441" s="175" t="s">
        <v>103</v>
      </c>
      <c r="F441" s="72" t="str">
        <f>'Material Quantities &amp; Embodied '!G331</f>
        <v>Material Quantity [kg]</v>
      </c>
      <c r="G441" s="72" t="s">
        <v>201</v>
      </c>
      <c r="H441" s="72" t="s">
        <v>192</v>
      </c>
      <c r="I441" s="72" t="s">
        <v>222</v>
      </c>
      <c r="J441" s="197" t="s">
        <v>203</v>
      </c>
      <c r="K441" s="197" t="s">
        <v>204</v>
      </c>
    </row>
    <row r="442" spans="1:17">
      <c r="A442" s="190">
        <f>'Material Quantities &amp; Embodied '!A332</f>
        <v>0.55000000000000004</v>
      </c>
      <c r="B442" s="150" t="str">
        <f>Database!D27</f>
        <v>CLT, Glulam and Steel Column Hybrid</v>
      </c>
      <c r="C442" s="150" t="s">
        <v>114</v>
      </c>
      <c r="D442" s="150" t="s">
        <v>115</v>
      </c>
      <c r="E442" s="150" t="str">
        <f>'Material Quantities &amp; Embodied '!F332</f>
        <v>Timber - Engineered_timber - Glulam</v>
      </c>
      <c r="F442" s="1301">
        <f>'Material Quantities &amp; Embodied '!G332</f>
        <v>144115.19999999995</v>
      </c>
      <c r="G442" s="73" t="s">
        <v>205</v>
      </c>
      <c r="H442" s="1304">
        <f>F442/550</f>
        <v>262.0276363636363</v>
      </c>
      <c r="I442" s="1304">
        <f>IF(MAX(Database!P27,Database!Q27)&gt;0.6,2362.5,1575)</f>
        <v>1575</v>
      </c>
      <c r="J442" s="199">
        <f>H442*I442</f>
        <v>412693.52727272717</v>
      </c>
    </row>
    <row r="443" spans="1:17">
      <c r="B443" s="150"/>
      <c r="C443" s="150"/>
      <c r="D443" s="150"/>
      <c r="E443" s="150" t="str">
        <f>'Material Quantities &amp; Embodied '!F333</f>
        <v>Timber - Engineered_timber - CLT</v>
      </c>
      <c r="F443" s="1301">
        <f>'Material Quantities &amp; Embodied '!G333</f>
        <v>316799.99999999994</v>
      </c>
      <c r="G443" s="73"/>
      <c r="H443" s="1304"/>
      <c r="I443" s="1304"/>
      <c r="J443" s="199">
        <f>IF(A442=0,0,D536)</f>
        <v>539769.59999999998</v>
      </c>
    </row>
    <row r="444" spans="1:17">
      <c r="B444" s="150"/>
      <c r="C444" s="150"/>
      <c r="D444" s="150" t="s">
        <v>27</v>
      </c>
      <c r="E444" s="150" t="str">
        <f>'Material Quantities &amp; Embodied '!F337</f>
        <v>C32/40 - 25% GGBS</v>
      </c>
      <c r="F444" s="1301">
        <f>'Material Quantities &amp; Embodied '!G337</f>
        <v>0</v>
      </c>
      <c r="G444" s="73" t="s">
        <v>205</v>
      </c>
      <c r="H444" s="1304">
        <f>F444/(24*1000/9.81)</f>
        <v>0</v>
      </c>
      <c r="I444" s="1304">
        <f>F$495</f>
        <v>195</v>
      </c>
      <c r="J444" s="199">
        <f t="shared" ref="J444:J447" si="49">H444*I444</f>
        <v>0</v>
      </c>
    </row>
    <row r="445" spans="1:17">
      <c r="B445" s="150"/>
      <c r="C445" s="150"/>
      <c r="D445" s="150"/>
      <c r="E445" s="150" t="str">
        <f>'Material Quantities &amp; Embodied '!F338</f>
        <v>Steel - Rebar - UK: UK CARES avg EPD</v>
      </c>
      <c r="F445" s="1301">
        <f>'Material Quantities &amp; Embodied '!G338</f>
        <v>0</v>
      </c>
      <c r="G445" s="73" t="s">
        <v>206</v>
      </c>
      <c r="H445" s="1304">
        <f>F445/1000</f>
        <v>0</v>
      </c>
      <c r="I445" s="1304">
        <f>F$498</f>
        <v>1250</v>
      </c>
      <c r="J445" s="199">
        <f t="shared" si="49"/>
        <v>0</v>
      </c>
    </row>
    <row r="446" spans="1:17">
      <c r="B446" s="150"/>
      <c r="C446" s="150"/>
      <c r="D446" s="150"/>
      <c r="E446" s="150" t="s">
        <v>207</v>
      </c>
      <c r="F446" s="1301"/>
      <c r="G446" s="73" t="s">
        <v>208</v>
      </c>
      <c r="H446" s="1304">
        <f>IF(A442=0,0,IF(Summary!J$8="Yes",Summary!C$13*Summary!C$14*Summary!C$15*Summary!C$16,0))</f>
        <v>0</v>
      </c>
      <c r="I446" s="1304">
        <v>50</v>
      </c>
      <c r="J446" s="199">
        <f t="shared" si="49"/>
        <v>0</v>
      </c>
    </row>
    <row r="447" spans="1:17">
      <c r="B447" s="150"/>
      <c r="C447" s="150"/>
      <c r="D447" s="150"/>
      <c r="E447" s="150" t="s">
        <v>209</v>
      </c>
      <c r="F447" s="1301"/>
      <c r="G447" s="73" t="s">
        <v>15</v>
      </c>
      <c r="H447" s="1304">
        <f>IF(A442=0,0,IF(Summary!J$8="Yes",2*(Summary!C$13*Summary!C$15+Summary!C$14*Summary!C$16),0))</f>
        <v>0</v>
      </c>
      <c r="I447" s="1304">
        <v>20</v>
      </c>
      <c r="J447" s="199">
        <f t="shared" si="49"/>
        <v>0</v>
      </c>
    </row>
    <row r="448" spans="1:17">
      <c r="B448" s="150"/>
      <c r="C448" s="150"/>
      <c r="D448" s="150" t="s">
        <v>119</v>
      </c>
      <c r="E448" s="150" t="str">
        <f>'Material Quantities &amp; Embodied '!F334</f>
        <v>Steel - Structural_sections - Europe avg EPD</v>
      </c>
      <c r="F448" s="1301">
        <f>'Material Quantities &amp; Embodied '!G334</f>
        <v>27762.240000000005</v>
      </c>
      <c r="G448" s="73" t="s">
        <v>206</v>
      </c>
      <c r="H448" s="1304">
        <f>F448/1000</f>
        <v>27.762240000000006</v>
      </c>
      <c r="I448" s="1304">
        <f>F487</f>
        <v>3500</v>
      </c>
      <c r="J448" s="199">
        <f t="shared" ref="J448:J451" si="50">H448*I448</f>
        <v>97167.840000000026</v>
      </c>
    </row>
    <row r="449" spans="2:17">
      <c r="B449" s="150"/>
      <c r="C449" s="150"/>
      <c r="D449" s="150" t="s">
        <v>144</v>
      </c>
      <c r="F449" s="1301"/>
      <c r="G449" s="73" t="s">
        <v>208</v>
      </c>
      <c r="H449" s="1304">
        <f>Intumescent!M8</f>
        <v>597.77784000000008</v>
      </c>
      <c r="I449" s="1304">
        <f>IF('RC Column'!C$34=60,Cost!F$488,IF('RC Column'!C$34=90,Cost!F$489,Cost!F$490))</f>
        <v>40</v>
      </c>
      <c r="J449" s="199">
        <f>H449*I449</f>
        <v>23911.113600000004</v>
      </c>
    </row>
    <row r="450" spans="2:17">
      <c r="B450" s="150"/>
      <c r="C450" s="150"/>
      <c r="D450" s="150" t="s">
        <v>120</v>
      </c>
      <c r="E450" s="150" t="str">
        <f>'Material Quantities &amp; Embodied '!F335</f>
        <v>C32/40 - 25% GGBS</v>
      </c>
      <c r="F450" s="1301">
        <f>'Material Quantities &amp; Embodied '!G335</f>
        <v>46286.697247706419</v>
      </c>
      <c r="G450" s="73" t="s">
        <v>205</v>
      </c>
      <c r="H450" s="1304">
        <f>F450/(24*1000/9.81)</f>
        <v>18.919687500000002</v>
      </c>
      <c r="I450" s="1304">
        <f>F$497</f>
        <v>205</v>
      </c>
      <c r="J450" s="199">
        <f t="shared" si="50"/>
        <v>3878.5359375000003</v>
      </c>
    </row>
    <row r="451" spans="2:17">
      <c r="B451" s="150"/>
      <c r="C451" s="150"/>
      <c r="D451" s="150"/>
      <c r="E451" s="150" t="str">
        <f>'Material Quantities &amp; Embodied '!F336</f>
        <v>Steel - Rebar - UK: UK CARES avg EPD</v>
      </c>
      <c r="F451" s="1301">
        <f>'Material Quantities &amp; Embodied '!G336</f>
        <v>1454.6878155479026</v>
      </c>
      <c r="G451" s="73" t="s">
        <v>206</v>
      </c>
      <c r="H451" s="1304">
        <f>F451/1000</f>
        <v>1.4546878155479026</v>
      </c>
      <c r="I451" s="1304">
        <f>F$500</f>
        <v>1250</v>
      </c>
      <c r="J451" s="199">
        <f t="shared" si="50"/>
        <v>1818.3597694348782</v>
      </c>
    </row>
    <row r="452" spans="2:17">
      <c r="B452" s="150"/>
      <c r="C452" s="179"/>
      <c r="D452" s="179"/>
      <c r="E452" s="179" t="s">
        <v>210</v>
      </c>
      <c r="F452" s="1302"/>
      <c r="G452" s="200" t="s">
        <v>208</v>
      </c>
      <c r="H452" s="1305">
        <f>IF(A442=0,0,'Shear Walls'!BK132)</f>
        <v>192.58749999999998</v>
      </c>
      <c r="I452" s="1305">
        <f>F505</f>
        <v>70</v>
      </c>
      <c r="J452" s="202">
        <f t="shared" ref="J452:J458" si="51">H452*I452</f>
        <v>13481.124999999998</v>
      </c>
      <c r="K452" s="203">
        <f>SUM(J442:J452)</f>
        <v>1092720.1015796622</v>
      </c>
    </row>
    <row r="453" spans="2:17">
      <c r="B453" s="150"/>
      <c r="C453" s="150" t="s">
        <v>123</v>
      </c>
      <c r="D453" s="150" t="s">
        <v>124</v>
      </c>
      <c r="E453" s="150" t="str">
        <f>'Material Quantities &amp; Embodied '!F340</f>
        <v>C32/40 - 25% GGBS</v>
      </c>
      <c r="F453" s="1301">
        <f>'Material Quantities &amp; Embodied '!G340</f>
        <v>1382400</v>
      </c>
      <c r="G453" s="73" t="s">
        <v>205</v>
      </c>
      <c r="H453" s="1304">
        <f>F453/(24*1000/9.81)</f>
        <v>565.05600000000004</v>
      </c>
      <c r="I453" s="1304">
        <f>F$495</f>
        <v>195</v>
      </c>
      <c r="J453" s="199">
        <f t="shared" si="51"/>
        <v>110185.92000000001</v>
      </c>
    </row>
    <row r="454" spans="2:17">
      <c r="B454" s="150"/>
      <c r="C454" s="150"/>
      <c r="D454" s="150"/>
      <c r="E454" s="150" t="str">
        <f>'Material Quantities &amp; Embodied '!F341</f>
        <v>Steel - Rebar - UK: UK CARES avg EPD</v>
      </c>
      <c r="F454" s="1301">
        <f>'Material Quantities &amp; Embodied '!G341</f>
        <v>34560</v>
      </c>
      <c r="G454" s="73" t="s">
        <v>206</v>
      </c>
      <c r="H454" s="1304">
        <f>F454/1000</f>
        <v>34.56</v>
      </c>
      <c r="I454" s="1304">
        <f>F$498</f>
        <v>1250</v>
      </c>
      <c r="J454" s="199">
        <f t="shared" si="51"/>
        <v>43200</v>
      </c>
    </row>
    <row r="455" spans="2:17">
      <c r="B455" s="150"/>
      <c r="C455" s="150"/>
      <c r="D455" s="150"/>
      <c r="E455" s="150" t="s">
        <v>207</v>
      </c>
      <c r="F455" s="1301"/>
      <c r="G455" s="73" t="s">
        <v>208</v>
      </c>
      <c r="H455" s="1304">
        <f>IF(A442=0,0,IF(Summary!J$13="Yes",Summary!C$13*Summary!C$14*Summary!C$15*Summary!C$16,0))</f>
        <v>0</v>
      </c>
      <c r="I455" s="1304">
        <v>50</v>
      </c>
      <c r="J455" s="199">
        <f t="shared" si="51"/>
        <v>0</v>
      </c>
    </row>
    <row r="456" spans="2:17">
      <c r="B456" s="150"/>
      <c r="C456" s="150"/>
      <c r="D456" s="150"/>
      <c r="E456" s="150" t="s">
        <v>209</v>
      </c>
      <c r="F456" s="1301"/>
      <c r="G456" s="73" t="s">
        <v>15</v>
      </c>
      <c r="H456" s="1304">
        <f>IF(A442=0,0,2*(Summary!C$13*Summary!C$15+Summary!C$14*Summary!C$16))</f>
        <v>216</v>
      </c>
      <c r="I456" s="1304">
        <v>20</v>
      </c>
      <c r="J456" s="199">
        <f t="shared" si="51"/>
        <v>4320</v>
      </c>
    </row>
    <row r="457" spans="2:17">
      <c r="B457" s="150"/>
      <c r="C457" s="150"/>
      <c r="D457" s="150" t="s">
        <v>126</v>
      </c>
      <c r="E457" s="150" t="str">
        <f>'Material Quantities &amp; Embodied '!F342</f>
        <v>Concrete - Mortar_screed - 1:4 cement:sand mix avg UK cement mix</v>
      </c>
      <c r="F457" s="1301">
        <f>'Material Quantities &amp; Embodied '!G342</f>
        <v>352293.57798165135</v>
      </c>
      <c r="G457" s="73" t="s">
        <v>208</v>
      </c>
      <c r="H457" s="1304">
        <f>IF(A442=0,0,Summary!C$13*Summary!C$14*Summary!C$15*Summary!C$16)</f>
        <v>2880</v>
      </c>
      <c r="I457" s="1304">
        <v>50</v>
      </c>
      <c r="J457" s="199">
        <f t="shared" si="51"/>
        <v>144000</v>
      </c>
    </row>
    <row r="458" spans="2:17">
      <c r="B458" s="150"/>
      <c r="C458" s="150"/>
      <c r="D458" s="150" t="s">
        <v>128</v>
      </c>
      <c r="E458" s="150" t="str">
        <f>'Material Quantities &amp; Embodied '!F343</f>
        <v xml:space="preserve">Other - Granular_fill - </v>
      </c>
      <c r="F458" s="1301">
        <f>'Material Quantities &amp; Embodied '!G343</f>
        <v>880733.94495412835</v>
      </c>
      <c r="G458" s="73" t="s">
        <v>205</v>
      </c>
      <c r="H458" s="1304">
        <f>IF(A442=0,0,Summary!C$13*Summary!C$14*Summary!C$15*Summary!C$16*0.15)</f>
        <v>432</v>
      </c>
      <c r="I458" s="1304">
        <v>45</v>
      </c>
      <c r="J458" s="199">
        <f t="shared" si="51"/>
        <v>19440</v>
      </c>
    </row>
    <row r="459" spans="2:17">
      <c r="B459" s="150"/>
      <c r="C459" s="150"/>
      <c r="D459" s="150" t="s">
        <v>211</v>
      </c>
      <c r="E459" s="150"/>
      <c r="F459" s="1301"/>
      <c r="G459" s="73"/>
      <c r="H459" s="1304">
        <f>IF(A442=0,0,Summary!C$13*Summary!C$14*Summary!C$15*Summary!C$16)</f>
        <v>2880</v>
      </c>
      <c r="I459" s="1304">
        <f>F$494</f>
        <v>50</v>
      </c>
      <c r="J459" s="199">
        <f t="shared" ref="J459" si="52">H459*I459</f>
        <v>144000</v>
      </c>
      <c r="L459" s="73"/>
      <c r="M459" s="150"/>
      <c r="N459" s="207"/>
      <c r="O459" s="152"/>
      <c r="P459" s="182"/>
      <c r="Q459" s="73"/>
    </row>
    <row r="460" spans="2:17">
      <c r="B460" s="150"/>
      <c r="C460" s="150"/>
      <c r="D460" s="150" t="s">
        <v>131</v>
      </c>
      <c r="E460" s="150" t="str">
        <f>'Material Quantities &amp; Embodied '!F344</f>
        <v>C32/40 - 25% GGBS</v>
      </c>
      <c r="F460" s="1301">
        <f>'Material Quantities &amp; Embodied '!G344</f>
        <v>639674.37939240225</v>
      </c>
      <c r="G460" s="73"/>
      <c r="H460" s="1304"/>
      <c r="I460" s="1304"/>
      <c r="J460" s="199">
        <f>Pile!N500</f>
        <v>262459.99999999994</v>
      </c>
    </row>
    <row r="461" spans="2:17">
      <c r="B461" s="150"/>
      <c r="C461" s="150"/>
      <c r="D461" s="150" t="s">
        <v>132</v>
      </c>
      <c r="E461" s="150" t="str">
        <f>'Material Quantities &amp; Embodied '!F346</f>
        <v>C32/40 - 25% GGBS</v>
      </c>
      <c r="F461" s="1301">
        <f>'Material Quantities &amp; Embodied '!G346</f>
        <v>170642.20183486238</v>
      </c>
      <c r="G461" s="73"/>
      <c r="H461" s="1304"/>
      <c r="I461" s="1304"/>
      <c r="J461" s="199">
        <f>Pile!U500</f>
        <v>27725.625</v>
      </c>
    </row>
    <row r="462" spans="2:17">
      <c r="B462" s="150"/>
      <c r="C462" s="150"/>
      <c r="D462" s="150" t="s">
        <v>212</v>
      </c>
      <c r="E462" s="150"/>
      <c r="F462" s="1301"/>
      <c r="G462" s="198" t="s">
        <v>208</v>
      </c>
      <c r="H462" s="1304">
        <f>IF(A442=0,0,Summary!C$13*Summary!C$14*Summary!C$15*Summary!C$16)</f>
        <v>2880</v>
      </c>
      <c r="I462" s="1304">
        <f>F$514</f>
        <v>100</v>
      </c>
      <c r="J462" s="199">
        <f>H462*I462</f>
        <v>288000</v>
      </c>
    </row>
    <row r="463" spans="2:17">
      <c r="B463" s="150"/>
      <c r="C463" s="150"/>
      <c r="D463" s="150" t="s">
        <v>213</v>
      </c>
      <c r="E463" s="150"/>
      <c r="F463" s="1301"/>
      <c r="G463" s="73" t="s">
        <v>214</v>
      </c>
      <c r="H463" s="1304">
        <f>IF(A442=0,0,CEILING((Summary!C$13*Summary!C$14*Summary!C$15*Summary!C$16)/(PI()*25^2),1))</f>
        <v>2</v>
      </c>
      <c r="I463" s="1304">
        <f>F$516</f>
        <v>20000</v>
      </c>
      <c r="J463" s="199">
        <f>H463*I463</f>
        <v>40000</v>
      </c>
      <c r="L463" s="73"/>
      <c r="M463" s="177"/>
      <c r="N463" s="177"/>
      <c r="O463" s="177"/>
      <c r="P463" s="177"/>
      <c r="Q463" s="177"/>
    </row>
    <row r="464" spans="2:17">
      <c r="B464" s="150"/>
      <c r="C464" s="150"/>
      <c r="D464" s="150" t="s">
        <v>134</v>
      </c>
      <c r="E464" s="150" t="str">
        <f>'Material Quantities &amp; Embodied '!F348</f>
        <v>C32/40 - 25% GGBS</v>
      </c>
      <c r="F464" s="1301">
        <f>'Material Quantities &amp; Embodied '!G348</f>
        <v>0</v>
      </c>
      <c r="G464" s="73" t="s">
        <v>205</v>
      </c>
      <c r="H464" s="1304">
        <f>F464/(24*1000/9.81)</f>
        <v>0</v>
      </c>
      <c r="I464" s="1304">
        <f>F$495</f>
        <v>195</v>
      </c>
      <c r="J464" s="199">
        <f t="shared" ref="J464:J471" si="53">H464*I464</f>
        <v>0</v>
      </c>
    </row>
    <row r="465" spans="2:17">
      <c r="B465" s="150"/>
      <c r="C465" s="150"/>
      <c r="D465" s="150"/>
      <c r="E465" s="150" t="str">
        <f>'Material Quantities &amp; Embodied '!F349</f>
        <v>Steel - Rebar - UK: UK CARES avg EPD</v>
      </c>
      <c r="F465" s="1301">
        <f>'Material Quantities &amp; Embodied '!G349</f>
        <v>0</v>
      </c>
      <c r="G465" s="73" t="s">
        <v>206</v>
      </c>
      <c r="H465" s="1304">
        <f>F465/1000</f>
        <v>0</v>
      </c>
      <c r="I465" s="1304">
        <f>F$498</f>
        <v>1250</v>
      </c>
      <c r="J465" s="199">
        <f t="shared" si="53"/>
        <v>0</v>
      </c>
    </row>
    <row r="466" spans="2:17">
      <c r="B466" s="150"/>
      <c r="C466" s="150"/>
      <c r="D466" s="150" t="s">
        <v>135</v>
      </c>
      <c r="E466" s="150" t="str">
        <f>'Material Quantities &amp; Embodied '!F350</f>
        <v>C32/40 - 25% GGBS</v>
      </c>
      <c r="F466" s="1301">
        <f>'Material Quantities &amp; Embodied '!G350</f>
        <v>0</v>
      </c>
      <c r="G466" s="73" t="s">
        <v>205</v>
      </c>
      <c r="H466" s="1304">
        <f>F466/(24*1000/9.81)</f>
        <v>0</v>
      </c>
      <c r="I466" s="1304">
        <f>F$497</f>
        <v>205</v>
      </c>
      <c r="J466" s="199">
        <f t="shared" si="53"/>
        <v>0</v>
      </c>
    </row>
    <row r="467" spans="2:17">
      <c r="B467" s="150"/>
      <c r="C467" s="150"/>
      <c r="D467" s="150"/>
      <c r="E467" s="150" t="str">
        <f>'Material Quantities &amp; Embodied '!F351</f>
        <v>Steel - Rebar - UK: UK CARES avg EPD</v>
      </c>
      <c r="F467" s="1301">
        <f>'Material Quantities &amp; Embodied '!G351</f>
        <v>0</v>
      </c>
      <c r="G467" s="73" t="s">
        <v>206</v>
      </c>
      <c r="H467" s="1304">
        <f>F467/1000</f>
        <v>0</v>
      </c>
      <c r="I467" s="1304">
        <f>F$500</f>
        <v>1250</v>
      </c>
      <c r="J467" s="199">
        <f t="shared" si="53"/>
        <v>0</v>
      </c>
    </row>
    <row r="468" spans="2:17">
      <c r="B468" s="150"/>
      <c r="C468" s="150"/>
      <c r="D468" s="150"/>
      <c r="E468" s="150" t="s">
        <v>210</v>
      </c>
      <c r="F468" s="1301"/>
      <c r="G468" s="73" t="s">
        <v>208</v>
      </c>
      <c r="H468" s="1304">
        <f>IF(A442=0,0,IF(Summary!J$13="Yes",Summary!J$14*2*(Summary!C$13*Summary!C$15+Summary!C$15*Summary!C$16),0))</f>
        <v>0</v>
      </c>
      <c r="I468" s="1304">
        <f>F$495</f>
        <v>195</v>
      </c>
      <c r="J468" s="199">
        <f t="shared" si="53"/>
        <v>0</v>
      </c>
      <c r="L468" s="73"/>
      <c r="M468" s="177"/>
      <c r="N468" s="177"/>
      <c r="O468" s="177"/>
      <c r="P468" s="177"/>
      <c r="Q468" s="177"/>
    </row>
    <row r="469" spans="2:17">
      <c r="B469" s="150"/>
      <c r="C469" s="150"/>
      <c r="D469" s="150" t="s">
        <v>136</v>
      </c>
      <c r="E469" s="150" t="str">
        <f>'Material Quantities &amp; Embodied '!F352</f>
        <v>C32/40 - 25% GGBS</v>
      </c>
      <c r="F469" s="1301">
        <f>'Material Quantities &amp; Embodied '!G352</f>
        <v>0</v>
      </c>
      <c r="G469" s="73" t="s">
        <v>205</v>
      </c>
      <c r="H469" s="1304">
        <f>F469/(24*1000/9.81)</f>
        <v>0</v>
      </c>
      <c r="I469" s="1304">
        <f>F$496</f>
        <v>215</v>
      </c>
      <c r="J469" s="199">
        <f t="shared" si="53"/>
        <v>0</v>
      </c>
    </row>
    <row r="470" spans="2:17">
      <c r="B470" s="150"/>
      <c r="C470" s="150"/>
      <c r="D470" s="150"/>
      <c r="E470" s="150" t="str">
        <f>'Material Quantities &amp; Embodied '!F353</f>
        <v>Steel - Rebar - UK: UK CARES avg EPD</v>
      </c>
      <c r="F470" s="1301">
        <f>'Material Quantities &amp; Embodied '!G353</f>
        <v>0</v>
      </c>
      <c r="G470" s="73" t="s">
        <v>206</v>
      </c>
      <c r="H470" s="1304">
        <f>F470/1000</f>
        <v>0</v>
      </c>
      <c r="I470" s="1304">
        <f>F$499</f>
        <v>1250</v>
      </c>
      <c r="J470" s="199">
        <f t="shared" si="53"/>
        <v>0</v>
      </c>
    </row>
    <row r="471" spans="2:17">
      <c r="B471" s="150"/>
      <c r="C471" s="150"/>
      <c r="D471" s="150"/>
      <c r="E471" s="150" t="s">
        <v>210</v>
      </c>
      <c r="F471" s="1301"/>
      <c r="G471" s="73" t="s">
        <v>208</v>
      </c>
      <c r="H471" s="1304">
        <f>IF(A442=0,0,SUM(Basement!O107,Basement!O120,Basement!O133))</f>
        <v>0</v>
      </c>
      <c r="I471" s="1304">
        <f>F$504</f>
        <v>80</v>
      </c>
      <c r="J471" s="199">
        <f t="shared" si="53"/>
        <v>0</v>
      </c>
    </row>
    <row r="472" spans="2:17">
      <c r="B472" s="150"/>
      <c r="C472" s="150"/>
      <c r="D472" s="182" t="s">
        <v>137</v>
      </c>
      <c r="E472" s="150" t="str">
        <f>'Material Quantities &amp; Embodied '!F354</f>
        <v>C32/40 - 25% GGBS</v>
      </c>
      <c r="F472" s="1301">
        <f>'Material Quantities &amp; Embodied '!G354</f>
        <v>0</v>
      </c>
      <c r="G472" s="73"/>
      <c r="H472" s="1304"/>
      <c r="I472" s="1304"/>
      <c r="J472" s="199">
        <f>IF(A442=0,0,H$546)</f>
        <v>0</v>
      </c>
    </row>
    <row r="473" spans="2:17">
      <c r="B473" s="150"/>
      <c r="C473" s="150"/>
      <c r="D473" s="182"/>
      <c r="E473" s="150" t="str">
        <f>'Material Quantities &amp; Embodied '!F355</f>
        <v>Steel - Rebar - UK: UK CARES avg EPD</v>
      </c>
      <c r="F473" s="1301">
        <f>'Material Quantities &amp; Embodied '!G355</f>
        <v>0</v>
      </c>
      <c r="G473" s="73"/>
      <c r="H473" s="1304"/>
      <c r="I473" s="1304"/>
      <c r="J473" s="204" t="s">
        <v>215</v>
      </c>
    </row>
    <row r="474" spans="2:17">
      <c r="B474" s="150"/>
      <c r="C474" s="150"/>
      <c r="D474" s="182" t="s">
        <v>216</v>
      </c>
      <c r="E474" s="150"/>
      <c r="F474" s="1301">
        <f>'Material Quantities &amp; Embodied '!G356</f>
        <v>2093680.7339449541</v>
      </c>
      <c r="G474" s="151" t="s">
        <v>205</v>
      </c>
      <c r="H474" s="1301">
        <f>F474/(20*1000/9.81)</f>
        <v>1026.9503999999999</v>
      </c>
      <c r="I474" s="1301">
        <f>F$493</f>
        <v>65</v>
      </c>
      <c r="J474" s="204">
        <f>H474*I474</f>
        <v>66751.775999999998</v>
      </c>
      <c r="K474" s="205"/>
      <c r="L474" s="73"/>
      <c r="M474" s="177"/>
      <c r="N474" s="177"/>
      <c r="O474" s="177"/>
      <c r="P474" s="177"/>
      <c r="Q474" s="177"/>
    </row>
    <row r="475" spans="2:17">
      <c r="B475" s="150"/>
      <c r="C475" s="179"/>
      <c r="D475" s="183" t="s">
        <v>217</v>
      </c>
      <c r="E475" s="179"/>
      <c r="F475" s="1302">
        <f>'Material Quantities &amp; Embodied '!G358</f>
        <v>0</v>
      </c>
      <c r="G475" s="180" t="s">
        <v>205</v>
      </c>
      <c r="H475" s="1302">
        <f>F475/(20*1000/9.81)</f>
        <v>0</v>
      </c>
      <c r="I475" s="1302">
        <f>F$493</f>
        <v>65</v>
      </c>
      <c r="J475" s="206">
        <f>H475*I475</f>
        <v>0</v>
      </c>
      <c r="K475" s="203">
        <f>SUM(J453:J475)</f>
        <v>1150083.321</v>
      </c>
      <c r="L475" s="73"/>
      <c r="M475" s="177"/>
      <c r="N475" s="177"/>
      <c r="O475" s="177"/>
      <c r="P475" s="177"/>
      <c r="Q475" s="177"/>
    </row>
    <row r="476" spans="2:17">
      <c r="B476" s="150"/>
      <c r="C476" s="150" t="s">
        <v>218</v>
      </c>
      <c r="D476" s="150" t="s">
        <v>219</v>
      </c>
      <c r="E476" s="150"/>
      <c r="F476" s="151"/>
      <c r="G476" s="151"/>
      <c r="H476" s="151"/>
      <c r="I476" s="151"/>
      <c r="J476" s="204">
        <f>0.05*SUM(J442:J475)</f>
        <v>112140.17112898313</v>
      </c>
      <c r="L476" s="73"/>
      <c r="M476" s="177"/>
      <c r="N476" s="177"/>
      <c r="O476" s="177"/>
      <c r="P476" s="177"/>
      <c r="Q476" s="177"/>
    </row>
    <row r="477" spans="2:17">
      <c r="B477" s="152"/>
      <c r="D477" s="150" t="s">
        <v>220</v>
      </c>
      <c r="E477" s="150"/>
      <c r="F477" s="151"/>
      <c r="G477" s="151"/>
      <c r="H477" s="151"/>
      <c r="I477" s="151"/>
      <c r="J477" s="204">
        <f>IF(A182=0,0,0.22*SUM(J444:J475,J442)+D530)</f>
        <v>677067.44096752559</v>
      </c>
      <c r="L477" s="73"/>
      <c r="Q477" s="73"/>
    </row>
    <row r="478" spans="2:17">
      <c r="B478" s="184"/>
      <c r="C478" s="184"/>
      <c r="D478" s="179" t="s">
        <v>221</v>
      </c>
      <c r="E478" s="179"/>
      <c r="F478" s="180"/>
      <c r="G478" s="180"/>
      <c r="H478" s="180"/>
      <c r="I478" s="180"/>
      <c r="J478" s="206">
        <f>0.1*SUM(J442:J475)</f>
        <v>224280.34225796626</v>
      </c>
      <c r="K478" s="203">
        <f>SUM(J476:J478)</f>
        <v>1013487.954354475</v>
      </c>
      <c r="L478" s="73"/>
      <c r="Q478" s="73"/>
    </row>
    <row r="479" spans="2:17">
      <c r="K479" s="191">
        <f>SUM(K452:K478)</f>
        <v>3256291.3769341372</v>
      </c>
    </row>
    <row r="480" spans="2:17" ht="12.75" thickBot="1">
      <c r="B480" s="210"/>
      <c r="C480" s="210"/>
      <c r="D480" s="210"/>
      <c r="E480" s="210"/>
      <c r="F480" s="210"/>
      <c r="G480" s="210"/>
      <c r="H480" s="193"/>
      <c r="I480" s="193"/>
      <c r="J480" s="193"/>
      <c r="K480" s="194"/>
    </row>
    <row r="481" spans="2:11"/>
    <row r="482" spans="2:11" ht="18">
      <c r="B482" s="128" t="s">
        <v>226</v>
      </c>
      <c r="E482" s="128" t="s">
        <v>227</v>
      </c>
    </row>
    <row r="483" spans="2:11">
      <c r="K483" s="228"/>
    </row>
    <row r="484" spans="2:11" ht="14.25" thickBot="1">
      <c r="B484" s="211" t="s">
        <v>22</v>
      </c>
      <c r="C484" s="72" t="s">
        <v>203</v>
      </c>
      <c r="D484" s="212" t="s">
        <v>228</v>
      </c>
      <c r="E484" s="197" t="s">
        <v>229</v>
      </c>
      <c r="F484" s="197" t="s">
        <v>230</v>
      </c>
      <c r="G484" s="197" t="s">
        <v>156</v>
      </c>
      <c r="K484" s="228"/>
    </row>
    <row r="485" spans="2:11">
      <c r="B485" s="213" t="str">
        <f>Database!D17</f>
        <v>RC Flat Slab</v>
      </c>
      <c r="C485" s="204">
        <f>K46</f>
        <v>2593241.7201452185</v>
      </c>
      <c r="D485" s="214">
        <f>IF(A8=0,0,(700*C485/100000)/1000)</f>
        <v>18.152692041016529</v>
      </c>
      <c r="E485" s="152" t="s">
        <v>231</v>
      </c>
      <c r="F485" s="215">
        <v>2950</v>
      </c>
      <c r="G485" s="152" t="s">
        <v>232</v>
      </c>
      <c r="H485" s="215"/>
      <c r="I485" s="229" t="s">
        <v>233</v>
      </c>
      <c r="J485" s="229" t="str">
        <f>Summary!F9</f>
        <v>C32/40 - 25% GGBS</v>
      </c>
      <c r="K485" s="87">
        <f>INDEX(K486:K489,MATCH(J485,J486:J489,0))</f>
        <v>15</v>
      </c>
    </row>
    <row r="486" spans="2:11">
      <c r="B486" s="213" t="str">
        <f>Database!D18</f>
        <v>PT RC Flat Slab</v>
      </c>
      <c r="C486" s="204">
        <f>K89</f>
        <v>3004265.3497297475</v>
      </c>
      <c r="D486" s="214">
        <f>IF(A51=0,0,(700*C486/100000)/1000)</f>
        <v>21.029857448108231</v>
      </c>
      <c r="E486" s="152" t="s">
        <v>234</v>
      </c>
      <c r="F486" s="215">
        <v>3500</v>
      </c>
      <c r="G486" s="152" t="s">
        <v>232</v>
      </c>
      <c r="H486" s="215"/>
      <c r="J486" s="81" t="s">
        <v>235</v>
      </c>
      <c r="K486" s="230">
        <v>0</v>
      </c>
    </row>
    <row r="487" spans="2:11">
      <c r="B487" s="213" t="str">
        <f>Database!D19</f>
        <v>RC Rib Slab</v>
      </c>
      <c r="C487" s="204">
        <f>K132</f>
        <v>2837775.2025899077</v>
      </c>
      <c r="D487" s="214">
        <f>IF(A94=0,0,(700*C487/100000)/1000)</f>
        <v>19.864426418129355</v>
      </c>
      <c r="E487" s="152" t="s">
        <v>236</v>
      </c>
      <c r="F487" s="215">
        <v>3500</v>
      </c>
      <c r="G487" s="152" t="s">
        <v>232</v>
      </c>
      <c r="H487" s="215"/>
      <c r="J487" s="81" t="s">
        <v>32</v>
      </c>
      <c r="K487" s="230">
        <v>15</v>
      </c>
    </row>
    <row r="488" spans="2:11">
      <c r="B488" s="213" t="str">
        <f>Database!D20</f>
        <v>Two-way RC Slab</v>
      </c>
      <c r="C488" s="204">
        <f>K177</f>
        <v>2414804.555008627</v>
      </c>
      <c r="D488" s="214">
        <f>IF(A138=0,0,(700*C488/100000)/1000)</f>
        <v>16.903631885060388</v>
      </c>
      <c r="E488" s="152" t="s">
        <v>237</v>
      </c>
      <c r="F488" s="215">
        <v>40</v>
      </c>
      <c r="G488" s="152" t="s">
        <v>208</v>
      </c>
      <c r="H488" s="215"/>
      <c r="J488" s="81" t="s">
        <v>125</v>
      </c>
      <c r="K488" s="230">
        <v>30</v>
      </c>
    </row>
    <row r="489" spans="2:11">
      <c r="B489" s="213" t="str">
        <f>Database!D21</f>
        <v>One-Way Spanning RC</v>
      </c>
      <c r="C489" s="204">
        <f>K221</f>
        <v>2582812.2276871693</v>
      </c>
      <c r="D489" s="214">
        <f>IF(A182=0,0,(700*C489/100000)/1000)</f>
        <v>18.079685593810186</v>
      </c>
      <c r="E489" s="152" t="s">
        <v>238</v>
      </c>
      <c r="F489" s="215">
        <v>55</v>
      </c>
      <c r="G489" s="152" t="s">
        <v>208</v>
      </c>
      <c r="H489" s="215"/>
      <c r="J489" s="81" t="s">
        <v>133</v>
      </c>
      <c r="K489" s="230">
        <v>45</v>
      </c>
    </row>
    <row r="490" spans="2:11">
      <c r="B490" s="213" t="str">
        <f>Database!D22</f>
        <v>Precast Hollowcore with In-situ RC Beams</v>
      </c>
      <c r="C490" s="204">
        <f>K264</f>
        <v>2923703.8953702068</v>
      </c>
      <c r="D490" s="214">
        <f>IF(A226=0,0,(700*C490/100000)/1000)</f>
        <v>20.465927267591447</v>
      </c>
      <c r="E490" s="152" t="s">
        <v>239</v>
      </c>
      <c r="F490" s="215">
        <v>95</v>
      </c>
      <c r="G490" s="152" t="s">
        <v>208</v>
      </c>
      <c r="H490" s="215"/>
      <c r="K490" s="228"/>
    </row>
    <row r="491" spans="2:11" ht="12" customHeight="1">
      <c r="B491" s="213" t="str">
        <f>Database!D23</f>
        <v>Non-Composite Rolled Steel with PCC Planks</v>
      </c>
      <c r="C491" s="204">
        <f>K307</f>
        <v>3434547.1412358419</v>
      </c>
      <c r="D491" s="214">
        <f>IF(A269=0,0,(700*C491/100000)/1000)</f>
        <v>24.041829988650893</v>
      </c>
      <c r="E491" s="152" t="s">
        <v>225</v>
      </c>
      <c r="F491" s="215">
        <v>85</v>
      </c>
      <c r="G491" s="152" t="s">
        <v>208</v>
      </c>
      <c r="H491" s="215"/>
      <c r="I491" s="1315" t="s">
        <v>240</v>
      </c>
      <c r="J491" s="1315"/>
      <c r="K491" s="228"/>
    </row>
    <row r="492" spans="2:11">
      <c r="B492" s="213" t="str">
        <f>Database!D24</f>
        <v>Composite Rolled Steel with Metal Decking</v>
      </c>
      <c r="C492" s="204">
        <f>K351</f>
        <v>3280576.3213611897</v>
      </c>
      <c r="D492" s="214">
        <f>IF(A312=0,0,(700*C492/100000)/1000)</f>
        <v>22.964034249528325</v>
      </c>
      <c r="E492" s="152" t="s">
        <v>241</v>
      </c>
      <c r="F492" s="215">
        <f>225+K485</f>
        <v>240</v>
      </c>
      <c r="G492" s="152" t="s">
        <v>205</v>
      </c>
      <c r="H492" s="215"/>
      <c r="I492" s="1315"/>
      <c r="J492" s="1315"/>
      <c r="K492" s="228"/>
    </row>
    <row r="493" spans="2:11">
      <c r="B493" s="213" t="str">
        <f>Database!D25</f>
        <v>Composite Cell Beams with Metal Decking</v>
      </c>
      <c r="C493" s="204">
        <f>K395</f>
        <v>4074615.8965339512</v>
      </c>
      <c r="D493" s="214">
        <f>IF(A356=0,0,(700*C493/100000)/1000)</f>
        <v>28.522311275737657</v>
      </c>
      <c r="E493" s="152" t="s">
        <v>242</v>
      </c>
      <c r="F493" s="215">
        <v>65</v>
      </c>
      <c r="G493" s="152" t="s">
        <v>205</v>
      </c>
      <c r="H493" s="215"/>
      <c r="I493" s="1315"/>
      <c r="J493" s="1315"/>
      <c r="K493" s="228"/>
    </row>
    <row r="494" spans="2:11">
      <c r="B494" s="213" t="str">
        <f>Database!D26</f>
        <v>Steel Frame with CLT Slabs</v>
      </c>
      <c r="C494" s="204">
        <f>K437</f>
        <v>3302040.3041055738</v>
      </c>
      <c r="D494" s="214">
        <f>IF(A400=0,0,(700*C494/100000)/1000)</f>
        <v>23.114282128739017</v>
      </c>
      <c r="E494" s="152" t="s">
        <v>243</v>
      </c>
      <c r="F494" s="215">
        <v>50</v>
      </c>
      <c r="G494" s="152" t="s">
        <v>208</v>
      </c>
      <c r="H494" s="215"/>
    </row>
    <row r="495" spans="2:11">
      <c r="B495" s="213" t="str">
        <f>Database!D27</f>
        <v>CLT, Glulam and Steel Column Hybrid</v>
      </c>
      <c r="C495" s="204">
        <f>K479</f>
        <v>3256291.3769341372</v>
      </c>
      <c r="D495" s="214">
        <f>IF(A442=0,0,(700*C495/100000)/1000)</f>
        <v>22.794039638538962</v>
      </c>
      <c r="E495" s="152" t="s">
        <v>244</v>
      </c>
      <c r="F495" s="215">
        <f>180+K485</f>
        <v>195</v>
      </c>
      <c r="G495" s="152" t="s">
        <v>205</v>
      </c>
      <c r="H495" s="215"/>
    </row>
    <row r="496" spans="2:11">
      <c r="B496" s="150"/>
      <c r="C496" s="204"/>
      <c r="D496" s="150"/>
      <c r="E496" s="152" t="s">
        <v>245</v>
      </c>
      <c r="F496" s="215">
        <f>200+K485</f>
        <v>215</v>
      </c>
      <c r="G496" s="152" t="s">
        <v>205</v>
      </c>
      <c r="H496" s="215"/>
    </row>
    <row r="497" spans="2:8">
      <c r="B497" s="150"/>
      <c r="E497" s="152" t="s">
        <v>246</v>
      </c>
      <c r="F497" s="215">
        <f>190+K485</f>
        <v>205</v>
      </c>
      <c r="G497" s="152" t="s">
        <v>205</v>
      </c>
      <c r="H497" s="215"/>
    </row>
    <row r="498" spans="2:8">
      <c r="E498" s="152" t="s">
        <v>247</v>
      </c>
      <c r="F498" s="215">
        <v>1250</v>
      </c>
      <c r="G498" s="152" t="s">
        <v>232</v>
      </c>
      <c r="H498" s="215"/>
    </row>
    <row r="499" spans="2:8">
      <c r="E499" s="152" t="s">
        <v>248</v>
      </c>
      <c r="F499" s="215">
        <v>1250</v>
      </c>
      <c r="G499" s="152" t="s">
        <v>232</v>
      </c>
      <c r="H499" s="215"/>
    </row>
    <row r="500" spans="2:8">
      <c r="E500" s="152" t="s">
        <v>249</v>
      </c>
      <c r="F500" s="215">
        <v>1250</v>
      </c>
      <c r="G500" s="152" t="s">
        <v>232</v>
      </c>
      <c r="H500" s="215"/>
    </row>
    <row r="501" spans="2:8">
      <c r="E501" s="152" t="s">
        <v>250</v>
      </c>
      <c r="F501" s="215">
        <v>4500</v>
      </c>
      <c r="G501" s="152" t="s">
        <v>232</v>
      </c>
      <c r="H501" s="215"/>
    </row>
    <row r="502" spans="2:8">
      <c r="E502" s="152" t="s">
        <v>251</v>
      </c>
      <c r="F502" s="215">
        <v>12</v>
      </c>
      <c r="G502" s="152" t="s">
        <v>208</v>
      </c>
      <c r="H502" s="215"/>
    </row>
    <row r="503" spans="2:8">
      <c r="E503" s="152" t="s">
        <v>252</v>
      </c>
      <c r="F503" s="215">
        <v>50</v>
      </c>
      <c r="G503" s="152" t="s">
        <v>208</v>
      </c>
      <c r="H503" s="215"/>
    </row>
    <row r="504" spans="2:8">
      <c r="E504" s="152" t="s">
        <v>253</v>
      </c>
      <c r="F504" s="215">
        <v>80</v>
      </c>
      <c r="G504" s="152" t="s">
        <v>208</v>
      </c>
      <c r="H504" s="215"/>
    </row>
    <row r="505" spans="2:8">
      <c r="E505" s="152" t="s">
        <v>254</v>
      </c>
      <c r="F505" s="215">
        <v>70</v>
      </c>
      <c r="G505" s="152" t="s">
        <v>208</v>
      </c>
      <c r="H505" s="215"/>
    </row>
    <row r="506" spans="2:8">
      <c r="E506" s="152" t="s">
        <v>255</v>
      </c>
      <c r="F506" s="215">
        <v>120</v>
      </c>
      <c r="G506" s="152" t="s">
        <v>208</v>
      </c>
      <c r="H506" s="215"/>
    </row>
    <row r="507" spans="2:8">
      <c r="E507" s="152" t="s">
        <v>149</v>
      </c>
      <c r="F507" s="215" t="s">
        <v>256</v>
      </c>
      <c r="G507" s="152" t="s">
        <v>205</v>
      </c>
      <c r="H507" s="215"/>
    </row>
    <row r="508" spans="2:8">
      <c r="E508" s="152" t="s">
        <v>257</v>
      </c>
      <c r="F508" s="215">
        <f>100+K485</f>
        <v>115</v>
      </c>
      <c r="G508" s="152" t="s">
        <v>15</v>
      </c>
      <c r="H508" s="215"/>
    </row>
    <row r="509" spans="2:8">
      <c r="E509" s="152" t="s">
        <v>258</v>
      </c>
      <c r="F509" s="215">
        <f>140+K485</f>
        <v>155</v>
      </c>
      <c r="G509" s="152" t="s">
        <v>15</v>
      </c>
      <c r="H509" s="215"/>
    </row>
    <row r="510" spans="2:8">
      <c r="E510" s="152" t="s">
        <v>259</v>
      </c>
      <c r="F510" s="215">
        <f>175+K485</f>
        <v>190</v>
      </c>
      <c r="G510" s="152" t="s">
        <v>15</v>
      </c>
      <c r="H510" s="215"/>
    </row>
    <row r="511" spans="2:8">
      <c r="E511" s="152" t="s">
        <v>260</v>
      </c>
      <c r="F511" s="215">
        <f>225+K485</f>
        <v>240</v>
      </c>
      <c r="G511" s="152" t="s">
        <v>15</v>
      </c>
      <c r="H511" s="215"/>
    </row>
    <row r="512" spans="2:8">
      <c r="E512" s="152" t="s">
        <v>261</v>
      </c>
      <c r="F512" s="215">
        <f>295+K485</f>
        <v>310</v>
      </c>
      <c r="G512" s="152" t="s">
        <v>15</v>
      </c>
      <c r="H512" s="215"/>
    </row>
    <row r="513" spans="2:11">
      <c r="E513" s="152" t="s">
        <v>262</v>
      </c>
      <c r="F513" s="215">
        <f>365+K485</f>
        <v>380</v>
      </c>
      <c r="G513" s="152" t="s">
        <v>15</v>
      </c>
      <c r="H513" s="215"/>
    </row>
    <row r="514" spans="2:11">
      <c r="E514" s="152" t="s">
        <v>263</v>
      </c>
      <c r="F514" s="215">
        <v>100</v>
      </c>
      <c r="G514" s="152" t="s">
        <v>208</v>
      </c>
      <c r="H514" s="215"/>
    </row>
    <row r="515" spans="2:11">
      <c r="E515" s="152" t="s">
        <v>264</v>
      </c>
      <c r="F515" s="215">
        <v>30000</v>
      </c>
      <c r="G515" s="152" t="s">
        <v>265</v>
      </c>
      <c r="H515" s="215"/>
    </row>
    <row r="516" spans="2:11">
      <c r="E516" s="152" t="s">
        <v>266</v>
      </c>
      <c r="F516" s="215">
        <v>20000</v>
      </c>
      <c r="G516" s="152" t="s">
        <v>265</v>
      </c>
      <c r="H516" s="215"/>
    </row>
    <row r="517" spans="2:11">
      <c r="E517" s="152" t="s">
        <v>267</v>
      </c>
      <c r="F517" s="215">
        <v>100</v>
      </c>
      <c r="G517" s="152" t="s">
        <v>265</v>
      </c>
      <c r="H517" s="215"/>
    </row>
    <row r="518" spans="2:11">
      <c r="E518" s="152" t="s">
        <v>268</v>
      </c>
      <c r="F518" s="215">
        <v>75</v>
      </c>
      <c r="G518" s="152" t="s">
        <v>265</v>
      </c>
      <c r="H518" s="215"/>
    </row>
    <row r="519" spans="2:11">
      <c r="E519" s="152" t="s">
        <v>269</v>
      </c>
      <c r="F519" s="215">
        <v>175</v>
      </c>
      <c r="G519" s="152" t="s">
        <v>265</v>
      </c>
      <c r="H519" s="215"/>
      <c r="I519" s="192"/>
      <c r="J519" s="192"/>
      <c r="K519" s="195"/>
    </row>
    <row r="520" spans="2:11">
      <c r="E520" s="152" t="s">
        <v>270</v>
      </c>
      <c r="F520" s="215">
        <v>10000</v>
      </c>
      <c r="G520" s="152" t="s">
        <v>265</v>
      </c>
      <c r="H520" s="215"/>
      <c r="I520" s="192"/>
      <c r="J520" s="192"/>
      <c r="K520" s="195"/>
    </row>
    <row r="521" spans="2:11" ht="12.75" thickBot="1">
      <c r="B521" s="210"/>
      <c r="C521" s="210"/>
      <c r="D521" s="210"/>
      <c r="E521" s="210"/>
      <c r="F521" s="210"/>
      <c r="G521" s="210"/>
      <c r="H521" s="193"/>
      <c r="I521" s="193"/>
      <c r="J521" s="193"/>
      <c r="K521" s="194"/>
    </row>
    <row r="522" spans="2:11"/>
    <row r="523" spans="2:11"/>
    <row r="524" spans="2:11"/>
    <row r="525" spans="2:11"/>
    <row r="526" spans="2:11" ht="18" hidden="1">
      <c r="B526" s="216" t="s">
        <v>271</v>
      </c>
      <c r="D526" s="73"/>
      <c r="E526" s="73"/>
      <c r="F526" s="73"/>
      <c r="G526" s="199"/>
    </row>
    <row r="527" spans="2:11" hidden="1">
      <c r="B527" s="150"/>
      <c r="C527" s="150"/>
      <c r="D527" s="73"/>
      <c r="E527" s="73"/>
      <c r="F527" s="73"/>
      <c r="G527" s="199"/>
    </row>
    <row r="528" spans="2:11" hidden="1">
      <c r="B528" s="233" t="s">
        <v>272</v>
      </c>
      <c r="C528" s="217" t="s">
        <v>273</v>
      </c>
      <c r="D528" s="150">
        <f>Summary!C$13*Summary!C$14*Summary!C$15*Summary!C$16*Summary!C$17</f>
        <v>5760</v>
      </c>
      <c r="E528" s="150" t="s">
        <v>274</v>
      </c>
      <c r="F528" s="218"/>
      <c r="G528" s="150"/>
    </row>
    <row r="529" spans="2:11" hidden="1">
      <c r="B529" s="234"/>
      <c r="C529" s="150"/>
      <c r="D529" s="150"/>
      <c r="E529" s="150"/>
      <c r="F529" s="150"/>
      <c r="G529" s="150"/>
    </row>
    <row r="530" spans="2:11" hidden="1">
      <c r="B530" s="234"/>
      <c r="C530" s="217" t="s">
        <v>275</v>
      </c>
      <c r="D530" s="231">
        <f>IF(D528&lt;1000,105*D528,IF(D528&lt;3000,78.75*D528,IF(D528&lt;15000,52.5*D528,42*D528)))</f>
        <v>302400</v>
      </c>
      <c r="E530" s="150"/>
      <c r="F530" s="150"/>
      <c r="G530" s="150"/>
      <c r="H530" s="150"/>
    </row>
    <row r="531" spans="2:11" hidden="1">
      <c r="B531" s="235"/>
      <c r="C531" s="217"/>
      <c r="D531" s="150"/>
      <c r="E531" s="150"/>
      <c r="F531" s="150"/>
      <c r="G531" s="150"/>
      <c r="H531" s="150"/>
    </row>
    <row r="532" spans="2:11" hidden="1">
      <c r="B532" s="234" t="str">
        <f>B494</f>
        <v>Steel Frame with CLT Slabs</v>
      </c>
      <c r="C532" s="217" t="s">
        <v>276</v>
      </c>
      <c r="D532" s="219">
        <f>Database!F26*1000</f>
        <v>110</v>
      </c>
      <c r="E532" s="150" t="s">
        <v>58</v>
      </c>
      <c r="F532" s="218"/>
      <c r="G532" s="150"/>
      <c r="H532" s="150"/>
    </row>
    <row r="533" spans="2:11" hidden="1">
      <c r="B533" s="234"/>
      <c r="C533" s="217" t="s">
        <v>277</v>
      </c>
      <c r="D533" s="232">
        <f>IF(D532&lt;=100,88.2*D528,IF(D532&lt;=140,93.71*D528,IF(D532&lt;=180,115.76*D528,IF(D532&lt;=240,159.86*D528,IF(D532&lt;=280,187.425*D528,220.5*D528)))))</f>
        <v>539769.59999999998</v>
      </c>
      <c r="E533" s="150"/>
      <c r="F533" s="150"/>
      <c r="G533" s="150"/>
      <c r="H533" s="150"/>
    </row>
    <row r="534" spans="2:11" hidden="1">
      <c r="B534" s="234"/>
      <c r="C534" s="217"/>
      <c r="D534" s="150"/>
      <c r="E534" s="150"/>
      <c r="F534" s="150"/>
      <c r="G534" s="150"/>
      <c r="H534" s="150"/>
    </row>
    <row r="535" spans="2:11" hidden="1">
      <c r="B535" s="234" t="str">
        <f>B442</f>
        <v>CLT, Glulam and Steel Column Hybrid</v>
      </c>
      <c r="C535" s="217" t="s">
        <v>276</v>
      </c>
      <c r="D535" s="219">
        <f>Database!F26*1000</f>
        <v>110</v>
      </c>
      <c r="E535" s="150" t="s">
        <v>58</v>
      </c>
      <c r="F535" s="218"/>
      <c r="G535" s="150"/>
      <c r="H535" s="150"/>
    </row>
    <row r="536" spans="2:11" hidden="1">
      <c r="B536" s="73"/>
      <c r="C536" s="217" t="s">
        <v>277</v>
      </c>
      <c r="D536" s="232">
        <f>IF(D535&lt;=100,88.2*D528,IF(D535&lt;=140,93.71*D528,IF(D535&lt;=180,115.76*D528,IF(D535&lt;=240,159.86*D528,IF(D535&lt;=280,187.425*D528,220.5*D528)))))</f>
        <v>539769.59999999998</v>
      </c>
      <c r="E536" s="150"/>
      <c r="F536" s="150"/>
      <c r="G536" s="150"/>
      <c r="H536" s="150"/>
    </row>
    <row r="537" spans="2:11" hidden="1">
      <c r="B537" s="222"/>
      <c r="C537" s="187"/>
      <c r="D537" s="222"/>
      <c r="E537" s="222"/>
      <c r="F537" s="222"/>
      <c r="G537" s="223"/>
      <c r="H537" s="222"/>
      <c r="I537" s="222"/>
      <c r="J537" s="222"/>
      <c r="K537" s="224"/>
    </row>
    <row r="538" spans="2:11" hidden="1">
      <c r="B538" s="222"/>
      <c r="C538" s="187"/>
      <c r="D538" s="222"/>
      <c r="E538" s="222"/>
      <c r="F538" s="222"/>
      <c r="G538" s="223"/>
      <c r="H538" s="222"/>
      <c r="I538" s="222"/>
      <c r="J538" s="222"/>
      <c r="K538" s="224"/>
    </row>
    <row r="539" spans="2:11" hidden="1">
      <c r="B539" s="222"/>
      <c r="C539" s="187"/>
      <c r="D539" s="222"/>
      <c r="E539" s="222"/>
      <c r="F539" s="222"/>
      <c r="G539" s="223"/>
      <c r="H539" s="222"/>
      <c r="I539" s="222"/>
      <c r="J539" s="222"/>
      <c r="K539" s="224"/>
    </row>
    <row r="540" spans="2:11" ht="18" hidden="1">
      <c r="B540" s="216" t="s">
        <v>137</v>
      </c>
      <c r="C540" s="187"/>
      <c r="E540" s="187"/>
      <c r="F540" s="187"/>
      <c r="G540" s="187"/>
      <c r="H540" s="222"/>
      <c r="I540" s="222"/>
      <c r="J540" s="222"/>
      <c r="K540" s="224"/>
    </row>
    <row r="541" spans="2:11" hidden="1">
      <c r="B541" s="187"/>
      <c r="C541" s="187"/>
      <c r="E541" s="187"/>
      <c r="F541" s="187"/>
      <c r="G541" s="187"/>
      <c r="H541" s="222"/>
      <c r="I541" s="222"/>
      <c r="J541" s="222"/>
      <c r="K541" s="224"/>
    </row>
    <row r="542" spans="2:11" hidden="1">
      <c r="B542" s="213" t="s">
        <v>278</v>
      </c>
      <c r="C542" s="150" t="str">
        <f>Summary!J13</f>
        <v>No</v>
      </c>
      <c r="E542" s="187"/>
      <c r="F542" s="187" t="s">
        <v>279</v>
      </c>
      <c r="G542" s="187" t="s">
        <v>280</v>
      </c>
      <c r="H542" s="222" t="s">
        <v>281</v>
      </c>
      <c r="I542" s="222"/>
      <c r="J542" s="222"/>
      <c r="K542" s="224"/>
    </row>
    <row r="543" spans="2:11" hidden="1">
      <c r="B543" s="236"/>
      <c r="C543" s="187"/>
      <c r="E543" s="227" t="s">
        <v>282</v>
      </c>
      <c r="F543" s="187">
        <f>MAX(Basement!O149:O152)</f>
        <v>0</v>
      </c>
      <c r="G543" s="187">
        <f>IF(C$544=600,125,IF(C$544=750,160,IF(C$544=900,230,IF(C$544=1050,310,0))))</f>
        <v>0</v>
      </c>
      <c r="H543" s="222">
        <f>F543*G543</f>
        <v>0</v>
      </c>
      <c r="I543" s="222"/>
      <c r="J543" s="222"/>
      <c r="K543" s="224"/>
    </row>
    <row r="544" spans="2:11" hidden="1">
      <c r="B544" s="236" t="s">
        <v>190</v>
      </c>
      <c r="C544" s="225">
        <f>MAX(Basement!P147,Basement!P155)</f>
        <v>0</v>
      </c>
      <c r="E544" s="227" t="s">
        <v>283</v>
      </c>
      <c r="F544" s="187">
        <f>MAX(Basement!O159:O162)</f>
        <v>0</v>
      </c>
      <c r="G544" s="187">
        <f>IF(C$544=600,125,IF(C$544=750,185,IF(C$544=900,370,IF(C$544=1050,500,0))))</f>
        <v>0</v>
      </c>
      <c r="H544" s="222">
        <f t="shared" ref="H544:H545" si="54">F544*G544</f>
        <v>0</v>
      </c>
      <c r="I544" s="222"/>
      <c r="J544" s="222"/>
      <c r="K544" s="224"/>
    </row>
    <row r="545" spans="2:11" hidden="1">
      <c r="B545" s="187"/>
      <c r="E545" s="227" t="s">
        <v>284</v>
      </c>
      <c r="F545" s="187">
        <f>MAX(Basement!P159:P162)</f>
        <v>0</v>
      </c>
      <c r="G545" s="187">
        <f>IF(C$544=600,75,IF(C$544=750,100,IF(C$544=900,200,IF(C$544=1050,250,0))))</f>
        <v>0</v>
      </c>
      <c r="H545" s="222">
        <f t="shared" si="54"/>
        <v>0</v>
      </c>
      <c r="I545" s="222"/>
      <c r="J545" s="222"/>
      <c r="K545" s="224"/>
    </row>
    <row r="546" spans="2:11" hidden="1">
      <c r="B546" s="187"/>
      <c r="E546" s="187"/>
      <c r="F546" s="187"/>
      <c r="G546" s="187"/>
      <c r="H546" s="226">
        <f>SUM(H543:H545)</f>
        <v>0</v>
      </c>
      <c r="I546" s="222"/>
      <c r="J546" s="222"/>
      <c r="K546" s="224"/>
    </row>
    <row r="547" spans="2:11" hidden="1">
      <c r="B547" s="187"/>
      <c r="I547" s="222"/>
      <c r="J547" s="222"/>
      <c r="K547" s="224"/>
    </row>
    <row r="548" spans="2:11" hidden="1">
      <c r="B548" s="187"/>
      <c r="I548" s="222"/>
      <c r="J548" s="222"/>
      <c r="K548" s="224"/>
    </row>
    <row r="549" spans="2:11" hidden="1">
      <c r="B549" s="187"/>
      <c r="I549" s="222"/>
      <c r="J549" s="222"/>
      <c r="K549" s="224"/>
    </row>
    <row r="550" spans="2:11" hidden="1">
      <c r="B550" s="187"/>
      <c r="C550" s="187"/>
      <c r="D550" s="187"/>
      <c r="E550" s="187"/>
      <c r="F550" s="187"/>
      <c r="G550" s="187"/>
      <c r="H550" s="222"/>
      <c r="I550" s="222"/>
      <c r="J550" s="222"/>
      <c r="K550" s="224"/>
    </row>
    <row r="551" spans="2:11" hidden="1">
      <c r="B551" s="187"/>
      <c r="C551" s="187"/>
      <c r="D551" s="187"/>
      <c r="E551" s="187"/>
      <c r="F551" s="187"/>
      <c r="G551" s="187"/>
      <c r="H551" s="222"/>
      <c r="I551" s="222"/>
      <c r="J551" s="222"/>
      <c r="K551" s="224"/>
    </row>
    <row r="552" spans="2:11" hidden="1">
      <c r="B552" s="187"/>
      <c r="C552" s="187"/>
      <c r="D552" s="187"/>
      <c r="E552" s="187"/>
      <c r="F552" s="187"/>
      <c r="G552" s="187"/>
      <c r="H552" s="222"/>
      <c r="I552" s="222"/>
      <c r="J552" s="222"/>
      <c r="K552" s="224"/>
    </row>
    <row r="553" spans="2:11" hidden="1">
      <c r="B553" s="187"/>
      <c r="C553" s="187"/>
      <c r="D553" s="187"/>
      <c r="E553" s="187"/>
      <c r="F553" s="187"/>
      <c r="G553" s="187"/>
      <c r="H553" s="222"/>
      <c r="I553" s="222"/>
      <c r="J553" s="222"/>
      <c r="K553" s="224"/>
    </row>
    <row r="554" spans="2:11" hidden="1">
      <c r="B554" s="187"/>
      <c r="C554" s="187"/>
      <c r="D554" s="187"/>
      <c r="E554" s="187"/>
      <c r="F554" s="187"/>
      <c r="G554" s="187"/>
      <c r="H554" s="222"/>
      <c r="I554" s="222"/>
      <c r="J554" s="222"/>
      <c r="K554" s="224"/>
    </row>
    <row r="555" spans="2:11" hidden="1">
      <c r="B555" s="187"/>
      <c r="C555" s="187"/>
      <c r="D555" s="187"/>
      <c r="E555" s="187"/>
      <c r="F555" s="187"/>
      <c r="G555" s="187"/>
      <c r="H555" s="222"/>
      <c r="I555" s="222"/>
      <c r="J555" s="222"/>
      <c r="K555" s="224"/>
    </row>
    <row r="556" spans="2:11" hidden="1">
      <c r="B556" s="187"/>
      <c r="C556" s="187"/>
      <c r="D556" s="187"/>
      <c r="E556" s="187"/>
      <c r="F556" s="187"/>
      <c r="G556" s="187"/>
      <c r="H556" s="222"/>
      <c r="I556" s="222"/>
      <c r="J556" s="222"/>
      <c r="K556" s="224"/>
    </row>
    <row r="557" spans="2:11" hidden="1">
      <c r="B557" s="187"/>
      <c r="C557" s="187"/>
      <c r="D557" s="187"/>
      <c r="E557" s="187"/>
      <c r="F557" s="187"/>
      <c r="G557" s="187"/>
      <c r="H557" s="222"/>
      <c r="I557" s="222"/>
      <c r="J557" s="222"/>
      <c r="K557" s="224"/>
    </row>
    <row r="558" spans="2:11" hidden="1">
      <c r="B558" s="187"/>
      <c r="C558" s="187"/>
      <c r="D558" s="187"/>
      <c r="E558" s="187"/>
      <c r="F558" s="187"/>
      <c r="G558" s="187"/>
      <c r="H558" s="222"/>
      <c r="I558" s="222"/>
      <c r="J558" s="222"/>
      <c r="K558" s="224"/>
    </row>
    <row r="559" spans="2:11" hidden="1">
      <c r="B559" s="187"/>
      <c r="C559" s="187"/>
      <c r="D559" s="187"/>
      <c r="E559" s="187"/>
      <c r="F559" s="187"/>
      <c r="G559" s="187"/>
      <c r="H559" s="222"/>
      <c r="I559" s="222"/>
      <c r="J559" s="222"/>
      <c r="K559" s="224"/>
    </row>
  </sheetData>
  <mergeCells count="1">
    <mergeCell ref="I491:J493"/>
  </mergeCells>
  <dataValidations count="2">
    <dataValidation type="list" allowBlank="1" showInputMessage="1" showErrorMessage="1" sqref="G249:G263 G336:G350 G74:G88 G206:G220 G292:G306 G117:G131 G162:G176 G422:G436 G380:G394 G464:G478 G8:G29 G51:G72 G94:G115 G138:G160 G182:G204 G269:G290 G442:G462 G226:G247 G312:G334 G356:G378 G400:G420 G31:G45" xr:uid="{038C2E17-653B-447C-8D12-5A38E61CB076}">
      <formula1>"Tonnes,m,m2,m3"</formula1>
    </dataValidation>
    <dataValidation type="list" allowBlank="1" showInputMessage="1" showErrorMessage="1" sqref="G30 G73 G116 G161 G205 G248 G291 G335 G379 G421 G463" xr:uid="{1304F29A-D8C7-4C99-A435-AC52696C74F1}">
      <formula1>"Tonnes,m,m2,m3,nr"</formula1>
    </dataValidation>
  </dataValidations>
  <pageMargins left="0.7" right="0.7" top="0.75" bottom="0.75" header="0.3" footer="0.3"/>
  <pageSetup paperSize="9" orientation="portrait" horizontalDpi="300" verticalDpi="0" r:id="rId1"/>
  <ignoredErrors>
    <ignoredError sqref="H234" formula="1"/>
  </ignoredErrors>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A406-BEEF-4612-9721-13D736A3F64A}">
  <sheetPr codeName="Sheet12"/>
  <dimension ref="B5:S89"/>
  <sheetViews>
    <sheetView topLeftCell="A43" workbookViewId="0">
      <selection activeCell="M44" sqref="M44"/>
    </sheetView>
  </sheetViews>
  <sheetFormatPr defaultColWidth="10.5703125" defaultRowHeight="11.25"/>
  <cols>
    <col min="1" max="1" width="3.42578125" style="829" customWidth="1"/>
    <col min="2" max="2" width="32.5703125" style="829" customWidth="1"/>
    <col min="3" max="3" width="18.85546875" style="829" bestFit="1" customWidth="1"/>
    <col min="4" max="4" width="19" style="829" bestFit="1" customWidth="1"/>
    <col min="5" max="10" width="10.5703125" style="829"/>
    <col min="11" max="11" width="10.5703125" style="829" customWidth="1"/>
    <col min="12" max="12" width="10.5703125" style="829"/>
    <col min="13" max="15" width="13.140625" style="829" bestFit="1" customWidth="1"/>
    <col min="16" max="16384" width="10.5703125" style="829"/>
  </cols>
  <sheetData>
    <row r="5" spans="2:17" ht="15.75">
      <c r="B5" s="828" t="s">
        <v>285</v>
      </c>
    </row>
    <row r="7" spans="2:17" ht="23.25" thickBot="1">
      <c r="B7" s="830" t="s">
        <v>22</v>
      </c>
      <c r="C7" s="829" t="s">
        <v>286</v>
      </c>
      <c r="D7" s="829" t="s">
        <v>287</v>
      </c>
      <c r="E7" s="829" t="s">
        <v>288</v>
      </c>
      <c r="F7" s="829" t="s">
        <v>289</v>
      </c>
      <c r="G7" s="829" t="s">
        <v>290</v>
      </c>
      <c r="H7" s="829" t="s">
        <v>110</v>
      </c>
      <c r="I7" s="829" t="s">
        <v>291</v>
      </c>
      <c r="J7" s="829" t="s">
        <v>292</v>
      </c>
      <c r="K7" s="829" t="s">
        <v>293</v>
      </c>
      <c r="L7" s="829" t="s">
        <v>294</v>
      </c>
      <c r="N7" s="831" t="s">
        <v>295</v>
      </c>
    </row>
    <row r="8" spans="2:17">
      <c r="B8" s="829" t="str">
        <f t="shared" ref="B8:B27" si="0">IFERROR(INDEX(P$8:P$27,MATCH(N8,Q$8:Q$27,0)),"")</f>
        <v>A++</v>
      </c>
      <c r="C8" s="832">
        <f t="shared" ref="C8:C10" si="1">IF(N8&lt;=$L$8,N8,NA())</f>
        <v>50</v>
      </c>
      <c r="D8" s="832" t="e">
        <f t="shared" ref="D8:D10" si="2">IF(AND($N8&gt;$L$8,$N8&lt;=$L$9),$N8,NA())</f>
        <v>#N/A</v>
      </c>
      <c r="E8" s="832" t="e">
        <f>IF(AND($N8&gt;$L$9,$N8&lt;=$L$10),$N8,NA())</f>
        <v>#N/A</v>
      </c>
      <c r="F8" s="832" t="e">
        <f>IF(AND($N8&gt;$L$10,$N8&lt;=$L$11),$N8,NA())</f>
        <v>#N/A</v>
      </c>
      <c r="G8" s="832" t="e">
        <f>IF(AND($N8&gt;$L$11,$N8&lt;=$L$12),$N8,NA())</f>
        <v>#N/A</v>
      </c>
      <c r="H8" s="832" t="e">
        <f>IF(AND($N8&gt;$L$12,$N8&lt;=$L$13),$N8,NA())</f>
        <v>#N/A</v>
      </c>
      <c r="I8" s="832" t="e">
        <f>IF(AND($N8&gt;$L$13,$N8&lt;=$L$14),$N8,NA())</f>
        <v>#N/A</v>
      </c>
      <c r="J8" s="832" t="e">
        <f>IF(AND($N8&gt;$L$14,$N8&lt;=$L$15),$N8,NA())</f>
        <v>#N/A</v>
      </c>
      <c r="K8" s="832" t="e">
        <f>IF(N8&gt;$L$15,N8,NA())</f>
        <v>#N/A</v>
      </c>
      <c r="L8" s="829">
        <v>50</v>
      </c>
      <c r="N8" s="833">
        <f>SMALL(Q$8:Q$27,1)</f>
        <v>50</v>
      </c>
      <c r="P8" s="829" t="s">
        <v>286</v>
      </c>
      <c r="Q8" s="829">
        <v>50</v>
      </c>
    </row>
    <row r="9" spans="2:17">
      <c r="B9" s="829" t="str">
        <f t="shared" si="0"/>
        <v>A+</v>
      </c>
      <c r="C9" s="832" t="e">
        <f t="shared" si="1"/>
        <v>#N/A</v>
      </c>
      <c r="D9" s="832">
        <f t="shared" si="2"/>
        <v>100</v>
      </c>
      <c r="E9" s="832" t="e">
        <f t="shared" ref="E9:E10" si="3">IF(AND($N9&gt;$L$9,$N9&lt;=$L$10),$N9,NA())</f>
        <v>#N/A</v>
      </c>
      <c r="F9" s="832" t="e">
        <f t="shared" ref="F9:F10" si="4">IF(AND($N9&gt;$L$10,$N9&lt;=$L$11),$N9,NA())</f>
        <v>#N/A</v>
      </c>
      <c r="G9" s="832" t="e">
        <f t="shared" ref="G9:G10" si="5">IF(AND($N9&gt;$L$11,$N9&lt;=$L$12),$N9,NA())</f>
        <v>#N/A</v>
      </c>
      <c r="H9" s="832" t="e">
        <f t="shared" ref="H9:H10" si="6">IF(AND($N9&gt;$L$12,$N9&lt;=$L$13),$N9,NA())</f>
        <v>#N/A</v>
      </c>
      <c r="I9" s="832" t="e">
        <f t="shared" ref="I9:I10" si="7">IF(AND($N9&gt;$L$13,$N9&lt;=$L$14),$N9,NA())</f>
        <v>#N/A</v>
      </c>
      <c r="J9" s="832" t="e">
        <f t="shared" ref="J9:J10" si="8">IF(AND($N9&gt;$L$14,$N9&lt;=$L$15),$N9,NA())</f>
        <v>#N/A</v>
      </c>
      <c r="K9" s="832" t="e">
        <f t="shared" ref="K9:K10" si="9">IF(N9&gt;$L$15,N9,NA())</f>
        <v>#N/A</v>
      </c>
      <c r="L9" s="829">
        <v>100</v>
      </c>
      <c r="N9" s="833">
        <f>SMALL(Q$8:Q$27,2)</f>
        <v>100</v>
      </c>
      <c r="P9" s="829" t="s">
        <v>287</v>
      </c>
      <c r="Q9" s="829">
        <v>100</v>
      </c>
    </row>
    <row r="10" spans="2:17">
      <c r="B10" s="829" t="str">
        <f t="shared" si="0"/>
        <v>CLT, Glulam and Steel Column Hybrid</v>
      </c>
      <c r="C10" s="832" t="e">
        <f t="shared" si="1"/>
        <v>#N/A</v>
      </c>
      <c r="D10" s="832" t="e">
        <f t="shared" si="2"/>
        <v>#N/A</v>
      </c>
      <c r="E10" s="832">
        <f t="shared" si="3"/>
        <v>121.56075906154834</v>
      </c>
      <c r="F10" s="832" t="e">
        <f t="shared" si="4"/>
        <v>#N/A</v>
      </c>
      <c r="G10" s="832" t="e">
        <f t="shared" si="5"/>
        <v>#N/A</v>
      </c>
      <c r="H10" s="832" t="e">
        <f t="shared" si="6"/>
        <v>#N/A</v>
      </c>
      <c r="I10" s="832" t="e">
        <f t="shared" si="7"/>
        <v>#N/A</v>
      </c>
      <c r="J10" s="832" t="e">
        <f t="shared" si="8"/>
        <v>#N/A</v>
      </c>
      <c r="K10" s="832" t="e">
        <f t="shared" si="9"/>
        <v>#N/A</v>
      </c>
      <c r="L10" s="829">
        <v>150</v>
      </c>
      <c r="N10" s="834">
        <f>SMALL(Q$8:Q$27,3)</f>
        <v>121.56075906154834</v>
      </c>
      <c r="P10" s="829" t="s">
        <v>288</v>
      </c>
      <c r="Q10" s="829">
        <v>150</v>
      </c>
    </row>
    <row r="11" spans="2:17">
      <c r="B11" s="829" t="str">
        <f t="shared" si="0"/>
        <v>Steel Frame with CLT Slabs</v>
      </c>
      <c r="C11" s="832" t="e">
        <f t="shared" ref="C11:C27" si="10">IF(N11&lt;=$L$8,N11,NA())</f>
        <v>#N/A</v>
      </c>
      <c r="D11" s="832" t="e">
        <f t="shared" ref="D11:D27" si="11">IF(AND($N11&gt;$L$8,$N11&lt;=$L$9),$N11,NA())</f>
        <v>#N/A</v>
      </c>
      <c r="E11" s="832">
        <f t="shared" ref="E11:E27" si="12">IF(AND($N11&gt;$L$9,$N11&lt;=$L$10),$N11,NA())</f>
        <v>135.19480954165567</v>
      </c>
      <c r="F11" s="832" t="e">
        <f t="shared" ref="F11:F27" si="13">IF(AND($N11&gt;$L$10,$N11&lt;=$L$11),$N11,NA())</f>
        <v>#N/A</v>
      </c>
      <c r="G11" s="832" t="e">
        <f t="shared" ref="G11:G27" si="14">IF(AND($N11&gt;$L$11,$N11&lt;=$L$12),$N11,NA())</f>
        <v>#N/A</v>
      </c>
      <c r="H11" s="832" t="e">
        <f t="shared" ref="H11:H27" si="15">IF(AND($N11&gt;$L$12,$N11&lt;=$L$13),$N11,NA())</f>
        <v>#N/A</v>
      </c>
      <c r="I11" s="832" t="e">
        <f t="shared" ref="I11:I27" si="16">IF(AND($N11&gt;$L$13,$N11&lt;=$L$14),$N11,NA())</f>
        <v>#N/A</v>
      </c>
      <c r="J11" s="832" t="e">
        <f t="shared" ref="J11:J27" si="17">IF(AND($N11&gt;$L$14,$N11&lt;=$L$15),$N11,NA())</f>
        <v>#N/A</v>
      </c>
      <c r="K11" s="832" t="e">
        <f t="shared" ref="K11:K27" si="18">IF(N11&gt;$L$15,N11,NA())</f>
        <v>#N/A</v>
      </c>
      <c r="L11" s="829">
        <v>200</v>
      </c>
      <c r="N11" s="833">
        <f>SMALL(Q$8:Q$27,4)</f>
        <v>135.19480954165567</v>
      </c>
      <c r="P11" s="829" t="s">
        <v>289</v>
      </c>
      <c r="Q11" s="829">
        <v>200</v>
      </c>
    </row>
    <row r="12" spans="2:17">
      <c r="B12" s="829" t="str">
        <f t="shared" si="0"/>
        <v>A</v>
      </c>
      <c r="C12" s="832" t="e">
        <f t="shared" si="10"/>
        <v>#N/A</v>
      </c>
      <c r="D12" s="832" t="e">
        <f t="shared" si="11"/>
        <v>#N/A</v>
      </c>
      <c r="E12" s="832">
        <f t="shared" si="12"/>
        <v>150</v>
      </c>
      <c r="F12" s="832" t="e">
        <f t="shared" si="13"/>
        <v>#N/A</v>
      </c>
      <c r="G12" s="832" t="e">
        <f t="shared" si="14"/>
        <v>#N/A</v>
      </c>
      <c r="H12" s="832" t="e">
        <f t="shared" si="15"/>
        <v>#N/A</v>
      </c>
      <c r="I12" s="832" t="e">
        <f t="shared" si="16"/>
        <v>#N/A</v>
      </c>
      <c r="J12" s="832" t="e">
        <f t="shared" si="17"/>
        <v>#N/A</v>
      </c>
      <c r="K12" s="832" t="e">
        <f t="shared" si="18"/>
        <v>#N/A</v>
      </c>
      <c r="L12" s="829">
        <v>250</v>
      </c>
      <c r="N12" s="833">
        <f>SMALL(Q$8:Q$27,5)</f>
        <v>150</v>
      </c>
      <c r="P12" s="829" t="s">
        <v>290</v>
      </c>
      <c r="Q12" s="829">
        <v>250</v>
      </c>
    </row>
    <row r="13" spans="2:17">
      <c r="B13" s="829" t="str">
        <f t="shared" si="0"/>
        <v>RC Flat Slab</v>
      </c>
      <c r="C13" s="832" t="e">
        <f t="shared" si="10"/>
        <v>#N/A</v>
      </c>
      <c r="D13" s="832" t="e">
        <f t="shared" si="11"/>
        <v>#N/A</v>
      </c>
      <c r="E13" s="832" t="e">
        <f t="shared" si="12"/>
        <v>#N/A</v>
      </c>
      <c r="F13" s="832">
        <f t="shared" si="13"/>
        <v>152.32299037362478</v>
      </c>
      <c r="G13" s="832" t="e">
        <f t="shared" si="14"/>
        <v>#N/A</v>
      </c>
      <c r="H13" s="832" t="e">
        <f t="shared" si="15"/>
        <v>#N/A</v>
      </c>
      <c r="I13" s="832" t="e">
        <f t="shared" si="16"/>
        <v>#N/A</v>
      </c>
      <c r="J13" s="832" t="e">
        <f t="shared" si="17"/>
        <v>#N/A</v>
      </c>
      <c r="K13" s="832" t="e">
        <f t="shared" si="18"/>
        <v>#N/A</v>
      </c>
      <c r="L13" s="829">
        <v>300</v>
      </c>
      <c r="N13" s="833">
        <f>SMALL(Q$8:Q$27,6)</f>
        <v>152.32299037362478</v>
      </c>
      <c r="P13" s="829" t="s">
        <v>110</v>
      </c>
      <c r="Q13" s="829">
        <v>300</v>
      </c>
    </row>
    <row r="14" spans="2:17">
      <c r="B14" s="829" t="str">
        <f t="shared" si="0"/>
        <v>RC Rib Slab</v>
      </c>
      <c r="C14" s="832" t="e">
        <f t="shared" si="10"/>
        <v>#N/A</v>
      </c>
      <c r="D14" s="832" t="e">
        <f t="shared" si="11"/>
        <v>#N/A</v>
      </c>
      <c r="E14" s="832" t="e">
        <f t="shared" si="12"/>
        <v>#N/A</v>
      </c>
      <c r="F14" s="832">
        <f t="shared" si="13"/>
        <v>152.81299981125284</v>
      </c>
      <c r="G14" s="832" t="e">
        <f t="shared" si="14"/>
        <v>#N/A</v>
      </c>
      <c r="H14" s="832" t="e">
        <f t="shared" si="15"/>
        <v>#N/A</v>
      </c>
      <c r="I14" s="832" t="e">
        <f t="shared" si="16"/>
        <v>#N/A</v>
      </c>
      <c r="J14" s="832" t="e">
        <f t="shared" si="17"/>
        <v>#N/A</v>
      </c>
      <c r="K14" s="832" t="e">
        <f t="shared" si="18"/>
        <v>#N/A</v>
      </c>
      <c r="L14" s="829">
        <v>350</v>
      </c>
      <c r="N14" s="833">
        <f>SMALL(Q$8:Q$27,7)</f>
        <v>152.81299981125284</v>
      </c>
      <c r="P14" s="829" t="s">
        <v>291</v>
      </c>
      <c r="Q14" s="829">
        <v>350</v>
      </c>
    </row>
    <row r="15" spans="2:17">
      <c r="B15" s="829" t="str">
        <f t="shared" si="0"/>
        <v>Two-way RC Slab</v>
      </c>
      <c r="C15" s="832" t="e">
        <f t="shared" si="10"/>
        <v>#N/A</v>
      </c>
      <c r="D15" s="832" t="e">
        <f t="shared" si="11"/>
        <v>#N/A</v>
      </c>
      <c r="E15" s="832" t="e">
        <f t="shared" si="12"/>
        <v>#N/A</v>
      </c>
      <c r="F15" s="832">
        <f t="shared" si="13"/>
        <v>153.99157901059633</v>
      </c>
      <c r="G15" s="832" t="e">
        <f t="shared" si="14"/>
        <v>#N/A</v>
      </c>
      <c r="H15" s="832" t="e">
        <f t="shared" si="15"/>
        <v>#N/A</v>
      </c>
      <c r="I15" s="832" t="e">
        <f t="shared" si="16"/>
        <v>#N/A</v>
      </c>
      <c r="J15" s="832" t="e">
        <f t="shared" si="17"/>
        <v>#N/A</v>
      </c>
      <c r="K15" s="832" t="e">
        <f t="shared" si="18"/>
        <v>#N/A</v>
      </c>
      <c r="L15" s="829">
        <v>400</v>
      </c>
      <c r="N15" s="833">
        <f>SMALL(Q$8:Q$27,8)</f>
        <v>153.99157901059633</v>
      </c>
      <c r="P15" s="829" t="s">
        <v>292</v>
      </c>
      <c r="Q15" s="829">
        <v>400</v>
      </c>
    </row>
    <row r="16" spans="2:17">
      <c r="B16" s="829" t="str">
        <f t="shared" si="0"/>
        <v>One-Way Spanning RC</v>
      </c>
      <c r="C16" s="832" t="e">
        <f t="shared" si="10"/>
        <v>#N/A</v>
      </c>
      <c r="D16" s="832" t="e">
        <f t="shared" si="11"/>
        <v>#N/A</v>
      </c>
      <c r="E16" s="832" t="e">
        <f t="shared" si="12"/>
        <v>#N/A</v>
      </c>
      <c r="F16" s="832">
        <f t="shared" si="13"/>
        <v>154.73610996684798</v>
      </c>
      <c r="G16" s="832" t="e">
        <f t="shared" si="14"/>
        <v>#N/A</v>
      </c>
      <c r="H16" s="832" t="e">
        <f t="shared" si="15"/>
        <v>#N/A</v>
      </c>
      <c r="I16" s="832" t="e">
        <f t="shared" si="16"/>
        <v>#N/A</v>
      </c>
      <c r="J16" s="832" t="e">
        <f t="shared" si="17"/>
        <v>#N/A</v>
      </c>
      <c r="K16" s="832" t="e">
        <f t="shared" si="18"/>
        <v>#N/A</v>
      </c>
      <c r="N16" s="833">
        <f>SMALL(Q$8:Q$27,9)</f>
        <v>154.73610996684798</v>
      </c>
      <c r="P16" s="829" t="s">
        <v>293</v>
      </c>
      <c r="Q16" s="829">
        <v>450</v>
      </c>
    </row>
    <row r="17" spans="2:18">
      <c r="B17" s="829" t="str">
        <f t="shared" si="0"/>
        <v>PT RC Flat Slab</v>
      </c>
      <c r="C17" s="832" t="e">
        <f t="shared" si="10"/>
        <v>#N/A</v>
      </c>
      <c r="D17" s="832" t="e">
        <f t="shared" si="11"/>
        <v>#N/A</v>
      </c>
      <c r="E17" s="832" t="e">
        <f t="shared" si="12"/>
        <v>#N/A</v>
      </c>
      <c r="F17" s="832">
        <f t="shared" si="13"/>
        <v>159.08793451289299</v>
      </c>
      <c r="G17" s="832" t="e">
        <f t="shared" si="14"/>
        <v>#N/A</v>
      </c>
      <c r="H17" s="832" t="e">
        <f t="shared" si="15"/>
        <v>#N/A</v>
      </c>
      <c r="I17" s="832" t="e">
        <f t="shared" si="16"/>
        <v>#N/A</v>
      </c>
      <c r="J17" s="832" t="e">
        <f t="shared" si="17"/>
        <v>#N/A</v>
      </c>
      <c r="K17" s="832" t="e">
        <f t="shared" si="18"/>
        <v>#N/A</v>
      </c>
      <c r="N17" s="833">
        <f>SMALL(Q$8:Q$27,10)</f>
        <v>159.08793451289299</v>
      </c>
      <c r="P17" s="829" t="str">
        <f t="shared" ref="P17:P27" si="19">B38</f>
        <v>RC Flat Slab</v>
      </c>
      <c r="Q17" s="835">
        <f t="shared" ref="Q17:Q27" si="20">IF(ISNUMBER(C38),C38,"")</f>
        <v>152.32299037362478</v>
      </c>
      <c r="R17" s="829">
        <f>IF(ISNUMBER(Q17)=FALSE,0,1)</f>
        <v>1</v>
      </c>
    </row>
    <row r="18" spans="2:18">
      <c r="B18" s="829" t="str">
        <f t="shared" si="0"/>
        <v>Non-Composite Rolled Steel with PCC Planks</v>
      </c>
      <c r="C18" s="832" t="e">
        <f t="shared" si="10"/>
        <v>#N/A</v>
      </c>
      <c r="D18" s="832" t="e">
        <f t="shared" si="11"/>
        <v>#N/A</v>
      </c>
      <c r="E18" s="832" t="e">
        <f t="shared" si="12"/>
        <v>#N/A</v>
      </c>
      <c r="F18" s="832">
        <f t="shared" si="13"/>
        <v>178.34298558264999</v>
      </c>
      <c r="G18" s="832" t="e">
        <f t="shared" si="14"/>
        <v>#N/A</v>
      </c>
      <c r="H18" s="832" t="e">
        <f t="shared" si="15"/>
        <v>#N/A</v>
      </c>
      <c r="I18" s="832" t="e">
        <f t="shared" si="16"/>
        <v>#N/A</v>
      </c>
      <c r="J18" s="832" t="e">
        <f t="shared" si="17"/>
        <v>#N/A</v>
      </c>
      <c r="K18" s="832" t="e">
        <f t="shared" si="18"/>
        <v>#N/A</v>
      </c>
      <c r="N18" s="833">
        <f>SMALL(Q$8:Q$27,11)</f>
        <v>178.34298558264999</v>
      </c>
      <c r="P18" s="829" t="str">
        <f t="shared" si="19"/>
        <v>PT RC Flat Slab</v>
      </c>
      <c r="Q18" s="835">
        <f t="shared" si="20"/>
        <v>159.08793451289299</v>
      </c>
      <c r="R18" s="829">
        <f t="shared" ref="R18:R27" si="21">IF(ISNUMBER(Q18)=FALSE,0,1)</f>
        <v>1</v>
      </c>
    </row>
    <row r="19" spans="2:18">
      <c r="B19" s="829" t="str">
        <f t="shared" si="0"/>
        <v>Composite Rolled Steel with Metal Decking</v>
      </c>
      <c r="C19" s="832" t="e">
        <f t="shared" si="10"/>
        <v>#N/A</v>
      </c>
      <c r="D19" s="832" t="e">
        <f t="shared" si="11"/>
        <v>#N/A</v>
      </c>
      <c r="E19" s="832" t="e">
        <f t="shared" si="12"/>
        <v>#N/A</v>
      </c>
      <c r="F19" s="832">
        <f t="shared" si="13"/>
        <v>182.27730552996073</v>
      </c>
      <c r="G19" s="832" t="e">
        <f t="shared" si="14"/>
        <v>#N/A</v>
      </c>
      <c r="H19" s="832" t="e">
        <f t="shared" si="15"/>
        <v>#N/A</v>
      </c>
      <c r="I19" s="832" t="e">
        <f t="shared" si="16"/>
        <v>#N/A</v>
      </c>
      <c r="J19" s="832" t="e">
        <f t="shared" si="17"/>
        <v>#N/A</v>
      </c>
      <c r="K19" s="832" t="e">
        <f t="shared" si="18"/>
        <v>#N/A</v>
      </c>
      <c r="N19" s="833">
        <f>SMALL(Q$8:Q$27,12)</f>
        <v>182.27730552996073</v>
      </c>
      <c r="P19" s="829" t="str">
        <f t="shared" si="19"/>
        <v>RC Rib Slab</v>
      </c>
      <c r="Q19" s="835">
        <f t="shared" si="20"/>
        <v>152.81299981125284</v>
      </c>
      <c r="R19" s="829">
        <f t="shared" si="21"/>
        <v>1</v>
      </c>
    </row>
    <row r="20" spans="2:18">
      <c r="B20" s="829" t="str">
        <f t="shared" si="0"/>
        <v>Precast Hollowcore with In-situ RC Beams</v>
      </c>
      <c r="C20" s="832" t="e">
        <f t="shared" si="10"/>
        <v>#N/A</v>
      </c>
      <c r="D20" s="832" t="e">
        <f t="shared" si="11"/>
        <v>#N/A</v>
      </c>
      <c r="E20" s="832" t="e">
        <f t="shared" si="12"/>
        <v>#N/A</v>
      </c>
      <c r="F20" s="832">
        <f t="shared" si="13"/>
        <v>190.65996027344488</v>
      </c>
      <c r="G20" s="832" t="e">
        <f t="shared" si="14"/>
        <v>#N/A</v>
      </c>
      <c r="H20" s="832" t="e">
        <f t="shared" si="15"/>
        <v>#N/A</v>
      </c>
      <c r="I20" s="832" t="e">
        <f t="shared" si="16"/>
        <v>#N/A</v>
      </c>
      <c r="J20" s="832" t="e">
        <f t="shared" si="17"/>
        <v>#N/A</v>
      </c>
      <c r="K20" s="832" t="e">
        <f t="shared" si="18"/>
        <v>#N/A</v>
      </c>
      <c r="N20" s="833">
        <f>SMALL(Q$8:Q$27,13)</f>
        <v>190.65996027344488</v>
      </c>
      <c r="P20" s="829" t="str">
        <f t="shared" si="19"/>
        <v>Two-way RC Slab</v>
      </c>
      <c r="Q20" s="835">
        <f t="shared" si="20"/>
        <v>153.99157901059633</v>
      </c>
      <c r="R20" s="829">
        <f t="shared" si="21"/>
        <v>1</v>
      </c>
    </row>
    <row r="21" spans="2:18">
      <c r="B21" s="829" t="str">
        <f t="shared" si="0"/>
        <v>B</v>
      </c>
      <c r="C21" s="832" t="e">
        <f t="shared" si="10"/>
        <v>#N/A</v>
      </c>
      <c r="D21" s="832" t="e">
        <f t="shared" si="11"/>
        <v>#N/A</v>
      </c>
      <c r="E21" s="832" t="e">
        <f t="shared" si="12"/>
        <v>#N/A</v>
      </c>
      <c r="F21" s="832">
        <f t="shared" si="13"/>
        <v>200</v>
      </c>
      <c r="G21" s="832" t="e">
        <f t="shared" si="14"/>
        <v>#N/A</v>
      </c>
      <c r="H21" s="832" t="e">
        <f t="shared" si="15"/>
        <v>#N/A</v>
      </c>
      <c r="I21" s="832" t="e">
        <f t="shared" si="16"/>
        <v>#N/A</v>
      </c>
      <c r="J21" s="832" t="e">
        <f t="shared" si="17"/>
        <v>#N/A</v>
      </c>
      <c r="K21" s="832" t="e">
        <f t="shared" si="18"/>
        <v>#N/A</v>
      </c>
      <c r="N21" s="833">
        <f>SMALL(Q$8:Q$27,14)</f>
        <v>200</v>
      </c>
      <c r="P21" s="829" t="str">
        <f t="shared" si="19"/>
        <v>One-Way Spanning RC</v>
      </c>
      <c r="Q21" s="835">
        <f t="shared" si="20"/>
        <v>154.73610996684798</v>
      </c>
      <c r="R21" s="829">
        <f t="shared" si="21"/>
        <v>1</v>
      </c>
    </row>
    <row r="22" spans="2:18">
      <c r="B22" s="829" t="str">
        <f t="shared" si="0"/>
        <v>Composite Cell Beams with Metal Decking</v>
      </c>
      <c r="C22" s="832" t="e">
        <f t="shared" si="10"/>
        <v>#N/A</v>
      </c>
      <c r="D22" s="832" t="e">
        <f t="shared" si="11"/>
        <v>#N/A</v>
      </c>
      <c r="E22" s="832" t="e">
        <f t="shared" si="12"/>
        <v>#N/A</v>
      </c>
      <c r="F22" s="832" t="e">
        <f t="shared" si="13"/>
        <v>#N/A</v>
      </c>
      <c r="G22" s="832">
        <f t="shared" si="14"/>
        <v>215.84914736855649</v>
      </c>
      <c r="H22" s="832" t="e">
        <f t="shared" si="15"/>
        <v>#N/A</v>
      </c>
      <c r="I22" s="832" t="e">
        <f t="shared" si="16"/>
        <v>#N/A</v>
      </c>
      <c r="J22" s="832" t="e">
        <f t="shared" si="17"/>
        <v>#N/A</v>
      </c>
      <c r="K22" s="832" t="e">
        <f t="shared" si="18"/>
        <v>#N/A</v>
      </c>
      <c r="N22" s="833">
        <f>SMALL(Q$8:Q$27,15)</f>
        <v>215.84914736855649</v>
      </c>
      <c r="P22" s="829" t="str">
        <f t="shared" si="19"/>
        <v>Precast Hollowcore with In-situ RC Beams</v>
      </c>
      <c r="Q22" s="835">
        <f t="shared" si="20"/>
        <v>190.65996027344488</v>
      </c>
      <c r="R22" s="829">
        <f t="shared" si="21"/>
        <v>1</v>
      </c>
    </row>
    <row r="23" spans="2:18">
      <c r="B23" s="829" t="str">
        <f t="shared" si="0"/>
        <v>C</v>
      </c>
      <c r="C23" s="832" t="e">
        <f t="shared" si="10"/>
        <v>#N/A</v>
      </c>
      <c r="D23" s="832" t="e">
        <f t="shared" si="11"/>
        <v>#N/A</v>
      </c>
      <c r="E23" s="832" t="e">
        <f t="shared" si="12"/>
        <v>#N/A</v>
      </c>
      <c r="F23" s="832" t="e">
        <f t="shared" si="13"/>
        <v>#N/A</v>
      </c>
      <c r="G23" s="832">
        <f t="shared" si="14"/>
        <v>250</v>
      </c>
      <c r="H23" s="832" t="e">
        <f t="shared" si="15"/>
        <v>#N/A</v>
      </c>
      <c r="I23" s="832" t="e">
        <f t="shared" si="16"/>
        <v>#N/A</v>
      </c>
      <c r="J23" s="832" t="e">
        <f t="shared" si="17"/>
        <v>#N/A</v>
      </c>
      <c r="K23" s="832" t="e">
        <f t="shared" si="18"/>
        <v>#N/A</v>
      </c>
      <c r="N23" s="833">
        <f>SMALL(Q$8:Q$27,16)</f>
        <v>250</v>
      </c>
      <c r="P23" s="829" t="str">
        <f t="shared" si="19"/>
        <v>Non-Composite Rolled Steel with PCC Planks</v>
      </c>
      <c r="Q23" s="835">
        <f t="shared" si="20"/>
        <v>178.34298558264999</v>
      </c>
      <c r="R23" s="829">
        <f t="shared" si="21"/>
        <v>1</v>
      </c>
    </row>
    <row r="24" spans="2:18">
      <c r="B24" s="829" t="str">
        <f t="shared" si="0"/>
        <v>D</v>
      </c>
      <c r="C24" s="832" t="e">
        <f t="shared" si="10"/>
        <v>#N/A</v>
      </c>
      <c r="D24" s="832" t="e">
        <f t="shared" si="11"/>
        <v>#N/A</v>
      </c>
      <c r="E24" s="832" t="e">
        <f t="shared" si="12"/>
        <v>#N/A</v>
      </c>
      <c r="F24" s="832" t="e">
        <f t="shared" si="13"/>
        <v>#N/A</v>
      </c>
      <c r="G24" s="832" t="e">
        <f t="shared" si="14"/>
        <v>#N/A</v>
      </c>
      <c r="H24" s="832">
        <f t="shared" si="15"/>
        <v>300</v>
      </c>
      <c r="I24" s="832" t="e">
        <f t="shared" si="16"/>
        <v>#N/A</v>
      </c>
      <c r="J24" s="832" t="e">
        <f t="shared" si="17"/>
        <v>#N/A</v>
      </c>
      <c r="K24" s="832" t="e">
        <f t="shared" si="18"/>
        <v>#N/A</v>
      </c>
      <c r="N24" s="833">
        <f>SMALL(Q$8:Q$27,17)</f>
        <v>300</v>
      </c>
      <c r="P24" s="829" t="str">
        <f t="shared" si="19"/>
        <v>Composite Rolled Steel with Metal Decking</v>
      </c>
      <c r="Q24" s="835">
        <f t="shared" si="20"/>
        <v>182.27730552996073</v>
      </c>
      <c r="R24" s="829">
        <f t="shared" si="21"/>
        <v>1</v>
      </c>
    </row>
    <row r="25" spans="2:18">
      <c r="B25" s="829" t="str">
        <f t="shared" si="0"/>
        <v>E</v>
      </c>
      <c r="C25" s="832" t="e">
        <f t="shared" si="10"/>
        <v>#N/A</v>
      </c>
      <c r="D25" s="832" t="e">
        <f t="shared" si="11"/>
        <v>#N/A</v>
      </c>
      <c r="E25" s="832" t="e">
        <f t="shared" si="12"/>
        <v>#N/A</v>
      </c>
      <c r="F25" s="832" t="e">
        <f t="shared" si="13"/>
        <v>#N/A</v>
      </c>
      <c r="G25" s="832" t="e">
        <f t="shared" si="14"/>
        <v>#N/A</v>
      </c>
      <c r="H25" s="832" t="e">
        <f t="shared" si="15"/>
        <v>#N/A</v>
      </c>
      <c r="I25" s="832">
        <f t="shared" si="16"/>
        <v>350</v>
      </c>
      <c r="J25" s="832" t="e">
        <f t="shared" si="17"/>
        <v>#N/A</v>
      </c>
      <c r="K25" s="832" t="e">
        <f t="shared" si="18"/>
        <v>#N/A</v>
      </c>
      <c r="N25" s="833">
        <f>SMALL(Q$8:Q$27,18)</f>
        <v>350</v>
      </c>
      <c r="P25" s="829" t="str">
        <f t="shared" si="19"/>
        <v>Composite Cell Beams with Metal Decking</v>
      </c>
      <c r="Q25" s="835">
        <f t="shared" si="20"/>
        <v>215.84914736855649</v>
      </c>
      <c r="R25" s="829">
        <f t="shared" si="21"/>
        <v>1</v>
      </c>
    </row>
    <row r="26" spans="2:18">
      <c r="B26" s="829" t="str">
        <f t="shared" si="0"/>
        <v>F</v>
      </c>
      <c r="C26" s="832" t="e">
        <f t="shared" si="10"/>
        <v>#N/A</v>
      </c>
      <c r="D26" s="832" t="e">
        <f t="shared" si="11"/>
        <v>#N/A</v>
      </c>
      <c r="E26" s="832" t="e">
        <f t="shared" si="12"/>
        <v>#N/A</v>
      </c>
      <c r="F26" s="832" t="e">
        <f t="shared" si="13"/>
        <v>#N/A</v>
      </c>
      <c r="G26" s="832" t="e">
        <f t="shared" si="14"/>
        <v>#N/A</v>
      </c>
      <c r="H26" s="832" t="e">
        <f t="shared" si="15"/>
        <v>#N/A</v>
      </c>
      <c r="I26" s="832" t="e">
        <f t="shared" si="16"/>
        <v>#N/A</v>
      </c>
      <c r="J26" s="832">
        <f t="shared" si="17"/>
        <v>400</v>
      </c>
      <c r="K26" s="832" t="e">
        <f t="shared" si="18"/>
        <v>#N/A</v>
      </c>
      <c r="N26" s="833">
        <f>SMALL(Q$8:Q$27,19)</f>
        <v>400</v>
      </c>
      <c r="P26" s="829" t="str">
        <f t="shared" si="19"/>
        <v>Steel Frame with CLT Slabs</v>
      </c>
      <c r="Q26" s="835">
        <f t="shared" si="20"/>
        <v>135.19480954165567</v>
      </c>
      <c r="R26" s="829">
        <f t="shared" si="21"/>
        <v>1</v>
      </c>
    </row>
    <row r="27" spans="2:18">
      <c r="B27" s="829" t="str">
        <f t="shared" si="0"/>
        <v>G</v>
      </c>
      <c r="C27" s="832" t="e">
        <f t="shared" si="10"/>
        <v>#N/A</v>
      </c>
      <c r="D27" s="832" t="e">
        <f t="shared" si="11"/>
        <v>#N/A</v>
      </c>
      <c r="E27" s="832" t="e">
        <f t="shared" si="12"/>
        <v>#N/A</v>
      </c>
      <c r="F27" s="832" t="e">
        <f t="shared" si="13"/>
        <v>#N/A</v>
      </c>
      <c r="G27" s="832" t="e">
        <f t="shared" si="14"/>
        <v>#N/A</v>
      </c>
      <c r="H27" s="832" t="e">
        <f t="shared" si="15"/>
        <v>#N/A</v>
      </c>
      <c r="I27" s="832" t="e">
        <f t="shared" si="16"/>
        <v>#N/A</v>
      </c>
      <c r="J27" s="832" t="e">
        <f t="shared" si="17"/>
        <v>#N/A</v>
      </c>
      <c r="K27" s="832">
        <f t="shared" si="18"/>
        <v>450</v>
      </c>
      <c r="N27" s="833">
        <f>SMALL(Q$8:Q$27,20)</f>
        <v>450</v>
      </c>
      <c r="P27" s="829" t="str">
        <f t="shared" si="19"/>
        <v>CLT, Glulam and Steel Column Hybrid</v>
      </c>
      <c r="Q27" s="835">
        <f t="shared" si="20"/>
        <v>121.56075906154834</v>
      </c>
      <c r="R27" s="829">
        <f t="shared" si="21"/>
        <v>1</v>
      </c>
    </row>
    <row r="28" spans="2:18">
      <c r="N28" s="833"/>
      <c r="P28" s="829" t="str">
        <f>IF(R28=0,"None found.",INDEX(P17:P27,MATCH(Q28,Q17:Q27,0)))</f>
        <v>CLT, Glulam and Steel Column Hybrid</v>
      </c>
      <c r="Q28" s="835">
        <f>MIN(Q17:Q27)</f>
        <v>121.56075906154834</v>
      </c>
      <c r="R28" s="829">
        <f>IF(MAX(R17:R27)=0,0,1)</f>
        <v>1</v>
      </c>
    </row>
    <row r="29" spans="2:18">
      <c r="N29" s="833"/>
    </row>
    <row r="30" spans="2:18" ht="15.75">
      <c r="B30" s="828" t="s">
        <v>296</v>
      </c>
      <c r="N30" s="833"/>
    </row>
    <row r="31" spans="2:18">
      <c r="B31" s="836" t="s">
        <v>297</v>
      </c>
    </row>
    <row r="32" spans="2:18">
      <c r="B32" s="836"/>
    </row>
    <row r="33" spans="2:19">
      <c r="B33" s="837" t="s">
        <v>29</v>
      </c>
      <c r="C33" s="834" t="str">
        <f>Summary!C9</f>
        <v>Residential</v>
      </c>
      <c r="E33" s="829" t="s">
        <v>64</v>
      </c>
      <c r="F33" s="829">
        <f>Summary!C19</f>
        <v>5760</v>
      </c>
      <c r="L33" s="838"/>
    </row>
    <row r="34" spans="2:19">
      <c r="B34" s="837" t="s">
        <v>298</v>
      </c>
      <c r="C34" s="834"/>
    </row>
    <row r="35" spans="2:19">
      <c r="J35" s="838" t="s">
        <v>299</v>
      </c>
      <c r="K35" s="838" t="s">
        <v>300</v>
      </c>
    </row>
    <row r="36" spans="2:19" ht="11.25" customHeight="1">
      <c r="B36" s="839"/>
      <c r="C36" s="1316" t="s">
        <v>301</v>
      </c>
      <c r="D36" s="1317"/>
      <c r="E36" s="840"/>
      <c r="F36" s="841"/>
      <c r="G36" s="1316" t="s">
        <v>302</v>
      </c>
      <c r="H36" s="1317"/>
      <c r="I36" s="1318"/>
      <c r="J36" s="840"/>
      <c r="M36" s="839"/>
      <c r="N36" s="1316" t="s">
        <v>303</v>
      </c>
      <c r="O36" s="1317"/>
      <c r="P36" s="1317"/>
      <c r="Q36" s="1317"/>
      <c r="R36" s="1317"/>
      <c r="S36" s="1317"/>
    </row>
    <row r="37" spans="2:19" s="843" customFormat="1" ht="36" customHeight="1" thickBot="1">
      <c r="B37" s="830" t="s">
        <v>22</v>
      </c>
      <c r="C37" s="842" t="s">
        <v>304</v>
      </c>
      <c r="D37" s="842" t="str">
        <f>'Material Quantities &amp; Embodied '!O331</f>
        <v>Total A-C</v>
      </c>
      <c r="E37" s="831" t="str">
        <f>'Material Quantities &amp; Embodied '!P331</f>
        <v>Sequestration</v>
      </c>
      <c r="G37" s="844"/>
      <c r="H37" s="831"/>
      <c r="I37" s="842"/>
      <c r="J37" s="1319"/>
      <c r="K37" s="1320"/>
      <c r="M37" s="830" t="s">
        <v>29</v>
      </c>
      <c r="N37" s="831" t="s">
        <v>305</v>
      </c>
      <c r="O37" s="831" t="s">
        <v>306</v>
      </c>
      <c r="P37" s="831" t="s">
        <v>307</v>
      </c>
      <c r="Q37" s="845"/>
      <c r="R37" s="845"/>
      <c r="S37" s="845"/>
    </row>
    <row r="38" spans="2:19">
      <c r="B38" s="839" t="str">
        <f>Database!D17</f>
        <v>RC Flat Slab</v>
      </c>
      <c r="C38" s="846">
        <f>IF('Material Quantities &amp; Embodied '!A6=0,NA(),('Material Quantities &amp; Embodied '!N33+VLOOKUP(B38,Cost!B485:D495,3,FALSE))*1000/(F$33))</f>
        <v>152.32299037362478</v>
      </c>
      <c r="D38" s="847">
        <f>IF('Material Quantities &amp; Embodied '!O33=0,NA(),('Material Quantities &amp; Embodied '!O33+VLOOKUP(B38,Cost!B485:D495,3,FALSE))*1000/(F$33))</f>
        <v>172.8849589973226</v>
      </c>
      <c r="E38" s="848">
        <f>'Material Quantities &amp; Embodied '!P33*1000/F33</f>
        <v>0</v>
      </c>
      <c r="G38" s="849"/>
      <c r="H38" s="848"/>
      <c r="I38" s="850"/>
      <c r="J38" s="851"/>
      <c r="K38" s="852"/>
      <c r="M38" s="839" t="s">
        <v>30</v>
      </c>
      <c r="N38" s="848">
        <v>300</v>
      </c>
      <c r="O38" s="848">
        <v>500</v>
      </c>
      <c r="P38" s="848">
        <v>300</v>
      </c>
      <c r="Q38" s="848"/>
      <c r="R38" s="848"/>
      <c r="S38" s="851"/>
    </row>
    <row r="39" spans="2:19">
      <c r="B39" s="839" t="str">
        <f>Database!D18</f>
        <v>PT RC Flat Slab</v>
      </c>
      <c r="C39" s="846">
        <f>IF('Material Quantities &amp; Embodied '!A38=0,NA(),'Material Quantities &amp; Embodied '!N65+VLOOKUP(B39,Cost!B485:D495,3,FALSE))*1000/(F$33)</f>
        <v>159.08793451289299</v>
      </c>
      <c r="D39" s="847">
        <f>IF('Material Quantities &amp; Embodied '!O65=0,"",('Material Quantities &amp; Embodied '!O65+VLOOKUP(B39,Cost!B485:D495,3,FALSE))*1000/(F$33))</f>
        <v>179.16505123666269</v>
      </c>
      <c r="E39" s="848">
        <f>'Material Quantities &amp; Embodied '!P65*1000/F33</f>
        <v>0</v>
      </c>
      <c r="G39" s="849"/>
      <c r="H39" s="848"/>
      <c r="I39" s="850"/>
      <c r="J39" s="851"/>
      <c r="K39" s="852"/>
      <c r="M39" s="839" t="s">
        <v>308</v>
      </c>
      <c r="N39" s="848">
        <v>500</v>
      </c>
      <c r="O39" s="848">
        <v>600</v>
      </c>
      <c r="P39" s="848">
        <v>500</v>
      </c>
      <c r="Q39" s="848"/>
      <c r="R39" s="848"/>
      <c r="S39" s="851"/>
    </row>
    <row r="40" spans="2:19">
      <c r="B40" s="839" t="str">
        <f>Database!D19</f>
        <v>RC Rib Slab</v>
      </c>
      <c r="C40" s="846">
        <f>IF('Material Quantities &amp; Embodied '!A70=0,NA(),'Material Quantities &amp; Embodied '!N97+VLOOKUP(B40,Cost!B485:D495,3,FALSE))*1000/(F$33)</f>
        <v>152.81299981125284</v>
      </c>
      <c r="D40" s="847">
        <f>IF('Material Quantities &amp; Embodied '!O97=0,"",('Material Quantities &amp; Embodied '!O97+VLOOKUP(B40,Cost!B485:D495,3,FALSE))*1000/(F$33))</f>
        <v>171.94322910969626</v>
      </c>
      <c r="E40" s="848">
        <f>'Material Quantities &amp; Embodied '!P97*1000/F33</f>
        <v>0</v>
      </c>
      <c r="G40" s="849"/>
      <c r="H40" s="848"/>
      <c r="I40" s="850"/>
      <c r="J40" s="851"/>
      <c r="K40" s="852"/>
      <c r="M40" s="839" t="s">
        <v>309</v>
      </c>
      <c r="N40" s="848">
        <v>600</v>
      </c>
      <c r="O40" s="848" t="s">
        <v>310</v>
      </c>
      <c r="P40" s="848" t="s">
        <v>310</v>
      </c>
      <c r="Q40" s="848"/>
      <c r="R40" s="848"/>
      <c r="S40" s="851"/>
    </row>
    <row r="41" spans="2:19">
      <c r="B41" s="839" t="str">
        <f>Database!D20</f>
        <v>Two-way RC Slab</v>
      </c>
      <c r="C41" s="846">
        <f>IF('Material Quantities &amp; Embodied '!A102=0,NA(),'Material Quantities &amp; Embodied '!N129+VLOOKUP(B41,Cost!B485:D495,3,FALSE))*1000/(F$33)</f>
        <v>153.99157901059633</v>
      </c>
      <c r="D41" s="847">
        <f>IF('Material Quantities &amp; Embodied '!O129=0,"",('Material Quantities &amp; Embodied '!O129+VLOOKUP(B38,Cost!B485:D495,3,FALSE))*1000/(F$33))</f>
        <v>172.64091479809019</v>
      </c>
      <c r="E41" s="848">
        <f>'Material Quantities &amp; Embodied '!P129*1000/F33</f>
        <v>0</v>
      </c>
      <c r="G41" s="849"/>
      <c r="H41" s="848"/>
      <c r="I41" s="850"/>
      <c r="J41" s="851"/>
      <c r="K41" s="852"/>
      <c r="M41" s="839" t="s">
        <v>311</v>
      </c>
      <c r="N41" s="848">
        <v>500</v>
      </c>
      <c r="O41" s="848">
        <v>600</v>
      </c>
      <c r="P41" s="848" t="s">
        <v>310</v>
      </c>
      <c r="Q41" s="848"/>
      <c r="R41" s="848"/>
      <c r="S41" s="851"/>
    </row>
    <row r="42" spans="2:19">
      <c r="B42" s="839" t="str">
        <f>Database!D21</f>
        <v>One-Way Spanning RC</v>
      </c>
      <c r="C42" s="846">
        <f>IF('Material Quantities &amp; Embodied '!A134=0,NA(),'Material Quantities &amp; Embodied '!N161+VLOOKUP(B42,Cost!B485:D495,3,FALSE))*1000/(F$33)</f>
        <v>154.73610996684798</v>
      </c>
      <c r="D42" s="847">
        <f>IF('Material Quantities &amp; Embodied '!O161=0,"",('Material Quantities &amp; Embodied '!O161+VLOOKUP(B42,Cost!B485:D495,3,FALSE))*1000/(F$33))</f>
        <v>174.04055843936973</v>
      </c>
      <c r="E42" s="848">
        <f>'Material Quantities &amp; Embodied '!P161*1000/F33</f>
        <v>0</v>
      </c>
      <c r="G42" s="849"/>
      <c r="H42" s="848"/>
      <c r="I42" s="850"/>
      <c r="J42" s="851"/>
      <c r="K42" s="852"/>
      <c r="L42" s="829" t="str">
        <f>Summary!C9</f>
        <v>Residential</v>
      </c>
      <c r="M42" s="848">
        <f>VLOOKUP(L42,M38:P41,2,FALSE)</f>
        <v>300</v>
      </c>
      <c r="N42" s="848">
        <f>VLOOKUP(L42,M38:P41,3,FALSE)</f>
        <v>500</v>
      </c>
      <c r="O42" s="848">
        <f>VLOOKUP(L42,M38:P41,4,FALSE)</f>
        <v>300</v>
      </c>
      <c r="Q42" s="848"/>
      <c r="R42" s="848"/>
      <c r="S42" s="851"/>
    </row>
    <row r="43" spans="2:19">
      <c r="B43" s="839" t="str">
        <f>Database!D22</f>
        <v>Precast Hollowcore with In-situ RC Beams</v>
      </c>
      <c r="C43" s="846">
        <f>IF('Material Quantities &amp; Embodied '!A166=0,NA(),'Material Quantities &amp; Embodied '!N194+VLOOKUP(B43,Cost!B485:D495,3,FALSE))*1000/(F$33)</f>
        <v>190.65996027344488</v>
      </c>
      <c r="D43" s="847">
        <f>IF('Material Quantities &amp; Embodied '!O194=0,"",('Material Quantities &amp; Embodied '!O194+VLOOKUP(B43,Cost!B485:D495,3,FALSE))*1000/(F$33))</f>
        <v>213.49680233289138</v>
      </c>
      <c r="E43" s="848">
        <f>'Material Quantities &amp; Embodied '!P194*1000/F33</f>
        <v>0</v>
      </c>
      <c r="G43" s="849"/>
      <c r="H43" s="848"/>
      <c r="I43" s="850"/>
      <c r="J43" s="851"/>
      <c r="K43" s="852"/>
      <c r="M43" s="848"/>
      <c r="N43" s="848"/>
      <c r="O43" s="848"/>
      <c r="P43" s="848"/>
      <c r="Q43" s="848"/>
      <c r="R43" s="848"/>
      <c r="S43" s="851"/>
    </row>
    <row r="44" spans="2:19">
      <c r="B44" s="839" t="str">
        <f>Database!D23</f>
        <v>Non-Composite Rolled Steel with PCC Planks</v>
      </c>
      <c r="C44" s="846">
        <f>IF('Material Quantities &amp; Embodied '!A199=0,NA(),'Material Quantities &amp; Embodied '!N227+VLOOKUP(B44,Cost!B485:D495,3,FALSE))*1000/(F$33)</f>
        <v>178.34298558264999</v>
      </c>
      <c r="D44" s="847">
        <f>IF('Material Quantities &amp; Embodied '!O227=0,"",('Material Quantities &amp; Embodied '!O227+VLOOKUP(B44,Cost!B485:D495,3,FALSE))*1000/(F$33))</f>
        <v>197.1841425599481</v>
      </c>
      <c r="E44" s="848">
        <f>'Material Quantities &amp; Embodied '!P227*1000/F33</f>
        <v>0</v>
      </c>
      <c r="G44" s="849"/>
      <c r="H44" s="848"/>
      <c r="I44" s="850"/>
      <c r="J44" s="851"/>
      <c r="K44" s="852"/>
      <c r="M44" s="848"/>
      <c r="N44" s="848"/>
      <c r="O44" s="848"/>
      <c r="P44" s="848"/>
      <c r="Q44" s="848"/>
      <c r="R44" s="848"/>
      <c r="S44" s="851"/>
    </row>
    <row r="45" spans="2:19">
      <c r="B45" s="839" t="str">
        <f>Database!D24</f>
        <v>Composite Rolled Steel with Metal Decking</v>
      </c>
      <c r="C45" s="846">
        <f>IF('Material Quantities &amp; Embodied '!A232=0,NA(),'Material Quantities &amp; Embodied '!N261+VLOOKUP(B45,Cost!B485:D495,3,FALSE))*1000/(F$33)</f>
        <v>182.27730552996073</v>
      </c>
      <c r="D45" s="847">
        <f>IF('Material Quantities &amp; Embodied '!O261=0,"",('Material Quantities &amp; Embodied '!O261+VLOOKUP(B45,Cost!B485:D495,3,FALSE))*1000/(F$33))</f>
        <v>199.07991892513581</v>
      </c>
      <c r="E45" s="848">
        <f>'Material Quantities &amp; Embodied '!P261*1000/F33</f>
        <v>0</v>
      </c>
      <c r="G45" s="849"/>
      <c r="H45" s="848"/>
      <c r="I45" s="850"/>
      <c r="J45" s="851"/>
      <c r="K45" s="852"/>
      <c r="M45" s="848"/>
      <c r="N45" s="848"/>
      <c r="O45" s="848"/>
      <c r="P45" s="848"/>
      <c r="Q45" s="848"/>
      <c r="R45" s="848"/>
      <c r="S45" s="851"/>
    </row>
    <row r="46" spans="2:19">
      <c r="B46" s="839" t="str">
        <f>Database!D25</f>
        <v>Composite Cell Beams with Metal Decking</v>
      </c>
      <c r="C46" s="846">
        <f>IF('Material Quantities &amp; Embodied '!A266=0,NA(),'Material Quantities &amp; Embodied '!N295+VLOOKUP(B46,Cost!B485:D495,3,FALSE))*1000/(F$33)</f>
        <v>215.84914736855649</v>
      </c>
      <c r="D46" s="847">
        <f>IF('Material Quantities &amp; Embodied '!O295=0,"",('Material Quantities &amp; Embodied '!O295+VLOOKUP(B46,Cost!B485:D495,3,FALSE))*1000/(F$33))</f>
        <v>233.05277373711962</v>
      </c>
      <c r="E46" s="848">
        <f>'Material Quantities &amp; Embodied '!P295*1000/F33</f>
        <v>0</v>
      </c>
      <c r="G46" s="849"/>
      <c r="H46" s="848"/>
      <c r="I46" s="850"/>
      <c r="J46" s="851"/>
      <c r="K46" s="852"/>
      <c r="M46" s="848"/>
      <c r="N46" s="848"/>
      <c r="O46" s="848"/>
      <c r="P46" s="848"/>
      <c r="Q46" s="848"/>
      <c r="R46" s="848"/>
      <c r="S46" s="851"/>
    </row>
    <row r="47" spans="2:19">
      <c r="B47" s="839" t="str">
        <f>Database!D26</f>
        <v>Steel Frame with CLT Slabs</v>
      </c>
      <c r="C47" s="846">
        <f>IF('Material Quantities &amp; Embodied '!A300=0,"",'Material Quantities &amp; Embodied '!N327+VLOOKUP(B47,Cost!B485:D495,3,FALSE))*1000/(F$33)</f>
        <v>135.19480954165567</v>
      </c>
      <c r="D47" s="847">
        <f>IF('Material Quantities &amp; Embodied '!O327=0,"",('Material Quantities &amp; Embodied '!O327+VLOOKUP(B47,Cost!B485:D495,3,FALSE))*1000/(F$33))</f>
        <v>148.20390374563553</v>
      </c>
      <c r="E47" s="848">
        <f>ROUND('Material Quantities &amp; Embodied '!P327*1000/F33,)</f>
        <v>-92</v>
      </c>
      <c r="G47" s="849"/>
      <c r="H47" s="848"/>
      <c r="I47" s="850"/>
      <c r="J47" s="851"/>
      <c r="K47" s="852"/>
      <c r="M47" s="848"/>
      <c r="N47" s="848"/>
      <c r="O47" s="848"/>
      <c r="P47" s="848"/>
      <c r="Q47" s="848"/>
      <c r="R47" s="848"/>
      <c r="S47" s="851"/>
    </row>
    <row r="48" spans="2:19">
      <c r="B48" s="839" t="str">
        <f>Database!D27</f>
        <v>CLT, Glulam and Steel Column Hybrid</v>
      </c>
      <c r="C48" s="846">
        <f>IF('Material Quantities &amp; Embodied '!A332=0,"",'Material Quantities &amp; Embodied '!N359+VLOOKUP(B48,Cost!B485:D495,3,FALSE))*1000/(F$33)</f>
        <v>121.56075906154834</v>
      </c>
      <c r="D48" s="847">
        <f>IF('Material Quantities &amp; Embodied '!O359=0,"",('Material Quantities &amp; Embodied '!O359+VLOOKUP(B48,Cost!B485:D495,3,FALSE))*1000/(F$33))</f>
        <v>134.88999789397315</v>
      </c>
      <c r="E48" s="848">
        <f>ROUND('Material Quantities &amp; Embodied '!P359*1000/F33,)</f>
        <v>-131</v>
      </c>
      <c r="G48" s="849"/>
      <c r="H48" s="848"/>
      <c r="I48" s="850"/>
      <c r="J48" s="851"/>
      <c r="K48" s="852"/>
      <c r="M48" s="848"/>
      <c r="N48" s="848"/>
      <c r="O48" s="848"/>
      <c r="P48" s="848"/>
      <c r="Q48" s="848"/>
      <c r="R48" s="848"/>
      <c r="S48" s="851"/>
    </row>
    <row r="50" spans="2:15">
      <c r="D50" s="845" t="s">
        <v>312</v>
      </c>
      <c r="E50" s="845" t="s">
        <v>313</v>
      </c>
    </row>
    <row r="51" spans="2:15" ht="33.75">
      <c r="B51" s="837" t="s">
        <v>29</v>
      </c>
      <c r="C51" s="845" t="s">
        <v>314</v>
      </c>
      <c r="D51" s="845" t="s">
        <v>315</v>
      </c>
      <c r="E51" s="845" t="s">
        <v>315</v>
      </c>
    </row>
    <row r="52" spans="2:15">
      <c r="B52" s="829" t="s">
        <v>30</v>
      </c>
      <c r="C52" s="851">
        <f>1/0.8</f>
        <v>1.25</v>
      </c>
      <c r="D52" s="851">
        <v>350</v>
      </c>
      <c r="E52" s="851">
        <v>210</v>
      </c>
    </row>
    <row r="53" spans="2:15">
      <c r="B53" s="829" t="s">
        <v>308</v>
      </c>
      <c r="C53" s="851">
        <f>1/0.76</f>
        <v>1.3157894736842106</v>
      </c>
      <c r="D53" s="851">
        <v>450</v>
      </c>
      <c r="E53" s="851">
        <v>275</v>
      </c>
      <c r="L53" s="126" t="str">
        <f>Database!D$26</f>
        <v>Steel Frame with CLT Slabs</v>
      </c>
      <c r="M53" s="126" t="str">
        <f>Database!D$27</f>
        <v>CLT, Glulam and Steel Column Hybrid</v>
      </c>
    </row>
    <row r="54" spans="2:15">
      <c r="B54" s="829" t="s">
        <v>311</v>
      </c>
      <c r="C54" s="851">
        <f>1/0.81</f>
        <v>1.2345679012345678</v>
      </c>
      <c r="D54" s="851">
        <v>250</v>
      </c>
      <c r="E54" s="851">
        <v>150</v>
      </c>
      <c r="K54" s="829" t="s">
        <v>316</v>
      </c>
      <c r="L54" s="853">
        <f>ECData!$C47*ECData!$F$33/1000</f>
        <v>778.72210295993671</v>
      </c>
      <c r="M54" s="853">
        <f>ECData!$C48*ECData!$F$33/1000</f>
        <v>700.18997219451842</v>
      </c>
    </row>
    <row r="55" spans="2:15">
      <c r="B55" s="829" t="s">
        <v>309</v>
      </c>
      <c r="C55" s="1321" t="s">
        <v>317</v>
      </c>
      <c r="D55" s="1321"/>
      <c r="E55" s="1321"/>
      <c r="K55" s="829" t="s">
        <v>113</v>
      </c>
      <c r="L55" s="853">
        <f>ABS(E47*ECData!$F$33/1000)</f>
        <v>529.91999999999996</v>
      </c>
      <c r="M55" s="853">
        <f>ABS(E48*ECData!$F$33/1000)</f>
        <v>754.56</v>
      </c>
    </row>
    <row r="56" spans="2:15">
      <c r="C56" s="835"/>
      <c r="D56" s="835"/>
      <c r="E56" s="835"/>
    </row>
    <row r="57" spans="2:15">
      <c r="B57" s="854"/>
      <c r="C57" s="835"/>
      <c r="D57" s="835"/>
      <c r="E57" s="835"/>
    </row>
    <row r="58" spans="2:15" ht="12">
      <c r="B58" s="74"/>
      <c r="C58" s="73" t="str">
        <f>Database!D$17</f>
        <v>RC Flat Slab</v>
      </c>
      <c r="D58" s="73" t="str">
        <f>Database!D$18</f>
        <v>PT RC Flat Slab</v>
      </c>
      <c r="E58" s="73" t="str">
        <f>Database!D$19</f>
        <v>RC Rib Slab</v>
      </c>
      <c r="F58" s="75" t="str">
        <f>Database!D$20</f>
        <v>Two-way RC Slab</v>
      </c>
      <c r="G58" s="86" t="str">
        <f>Database!D$21</f>
        <v>One-Way Spanning RC</v>
      </c>
      <c r="H58" s="74" t="str">
        <f>Database!D$22</f>
        <v>Precast Hollowcore with In-situ RC Beams</v>
      </c>
      <c r="I58" s="74" t="str">
        <f>Database!D$23</f>
        <v>Non-Composite Rolled Steel with PCC Planks</v>
      </c>
      <c r="J58" s="74" t="str">
        <f>Database!D$24</f>
        <v>Composite Rolled Steel with Metal Decking</v>
      </c>
      <c r="K58" s="74" t="str">
        <f>Database!D$25</f>
        <v>Composite Cell Beams with Metal Decking</v>
      </c>
      <c r="L58" s="74" t="str">
        <f>Database!D$26</f>
        <v>Steel Frame with CLT Slabs</v>
      </c>
      <c r="M58" s="74" t="str">
        <f>Database!D$27</f>
        <v>CLT, Glulam and Steel Column Hybrid</v>
      </c>
    </row>
    <row r="59" spans="2:15" ht="12">
      <c r="B59" s="74" t="s">
        <v>304</v>
      </c>
      <c r="C59" s="89">
        <f>ECData!C38*ECData!F33/1000</f>
        <v>877.38042455207869</v>
      </c>
      <c r="D59" s="89">
        <f>ECData!$C39*ECData!$F$33/1000</f>
        <v>916.34650279426364</v>
      </c>
      <c r="E59" s="89">
        <f>ECData!$C40*ECData!$F$33/1000</f>
        <v>880.20287891281635</v>
      </c>
      <c r="F59" s="89">
        <f>ECData!$C41*ECData!$F$33/1000</f>
        <v>886.99149510103484</v>
      </c>
      <c r="G59" s="89">
        <f>ECData!$C42*ECData!$F$33/1000</f>
        <v>891.27999340904432</v>
      </c>
      <c r="H59" s="90">
        <f>ECData!$C43*ECData!$F$33/1000</f>
        <v>1098.2013711750426</v>
      </c>
      <c r="I59" s="90">
        <f>ECData!$C44*ECData!$F$33/1000</f>
        <v>1027.255596956064</v>
      </c>
      <c r="J59" s="89">
        <f>ECData!$C45*ECData!$F$33/1000</f>
        <v>1049.9172798525738</v>
      </c>
      <c r="K59" s="89">
        <f>ECData!$C46*ECData!$F$33/1000</f>
        <v>1243.2910888428853</v>
      </c>
      <c r="L59" s="89">
        <f>IF(C47&gt;ABS(E47),L54-L55,L54-L55)</f>
        <v>248.80210295993675</v>
      </c>
      <c r="M59" s="89">
        <f>IF(C48&gt;ABS(E48),M54-M55,M54-M55)</f>
        <v>-54.370027805481527</v>
      </c>
      <c r="N59" s="829">
        <f>ECData!$C47*ECData!$F$33/1000</f>
        <v>778.72210295993671</v>
      </c>
      <c r="O59" s="829">
        <f>ECData!$C48*ECData!$F$33/1000</f>
        <v>700.18997219451842</v>
      </c>
    </row>
    <row r="60" spans="2:15" ht="12">
      <c r="B60" s="74" t="s">
        <v>112</v>
      </c>
      <c r="C60" s="89">
        <f>(ECData!D38*ECData!F33/1000)</f>
        <v>995.81736382457814</v>
      </c>
      <c r="D60" s="89">
        <f>ECData!$D39*ECData!$F$33/1000</f>
        <v>1031.9906951231771</v>
      </c>
      <c r="E60" s="89">
        <f>ECData!$D40*ECData!$F$33/1000</f>
        <v>990.39299967185048</v>
      </c>
      <c r="F60" s="89">
        <f>ECData!$D41*ECData!$F$33/1000</f>
        <v>994.4116692369995</v>
      </c>
      <c r="G60" s="89">
        <f>ECData!$D42*ECData!$F$33/1000</f>
        <v>1002.4736166107697</v>
      </c>
      <c r="H60" s="90">
        <f>ECData!$D43*ECData!$F$33/1000</f>
        <v>1229.7415814374542</v>
      </c>
      <c r="I60" s="90">
        <f>ECData!$D44*ECData!$F$33/1000</f>
        <v>1135.7806611453011</v>
      </c>
      <c r="J60" s="89">
        <f>ECData!$D45*ECData!$F$33/1000</f>
        <v>1146.7003330087823</v>
      </c>
      <c r="K60" s="89">
        <f>ECData!$D46*ECData!$F$33/1000</f>
        <v>1342.3839767258091</v>
      </c>
      <c r="L60" s="89">
        <f>ECData!$D47*ECData!$F$33/1000</f>
        <v>853.65448557486059</v>
      </c>
      <c r="M60" s="89">
        <f>ECData!$D48*ECData!$F$33/1000</f>
        <v>776.96638786928531</v>
      </c>
      <c r="N60" s="829">
        <f>E47*F33/1000</f>
        <v>-529.91999999999996</v>
      </c>
      <c r="O60" s="829">
        <f>E48*F33/1000</f>
        <v>-754.56</v>
      </c>
    </row>
    <row r="61" spans="2:15" ht="12">
      <c r="B61" s="74" t="s">
        <v>113</v>
      </c>
      <c r="C61" s="89">
        <f>ABS(ECData!$E38*ECData!$F$33/1000)</f>
        <v>0</v>
      </c>
      <c r="D61" s="89">
        <f>ABS(ECData!$E39*ECData!$F$33/1000)</f>
        <v>0</v>
      </c>
      <c r="E61" s="89">
        <f>ABS(ECData!$E40*ECData!$F$33/1000)</f>
        <v>0</v>
      </c>
      <c r="F61" s="89">
        <f>ABS(ECData!$E41*ECData!$F$33/1000)</f>
        <v>0</v>
      </c>
      <c r="G61" s="89">
        <f>ABS(ECData!$E42*ECData!$F$33/1000)</f>
        <v>0</v>
      </c>
      <c r="H61" s="89">
        <f>ABS(ECData!$E43*ECData!$F$33/1000)</f>
        <v>0</v>
      </c>
      <c r="I61" s="89">
        <f>ABS(ECData!$E44*ECData!$F$33/1000)</f>
        <v>0</v>
      </c>
      <c r="J61" s="89">
        <f>ABS(ECData!$E45*ECData!$F$33/1000)</f>
        <v>0</v>
      </c>
      <c r="K61" s="89">
        <f>ABS(ECData!$E46*ECData!$F$33/1000)</f>
        <v>0</v>
      </c>
      <c r="L61" s="89">
        <f>IF(C47&gt;ABS(E47),L55,L54)</f>
        <v>529.91999999999996</v>
      </c>
      <c r="M61" s="89">
        <f>IF(C48&gt;ABS(E48),M55,M54)</f>
        <v>700.18997219451842</v>
      </c>
    </row>
    <row r="62" spans="2:15" ht="12">
      <c r="B62" s="74" t="s">
        <v>318</v>
      </c>
      <c r="C62" s="89">
        <f>'Shear Walls'!C21</f>
        <v>7.07</v>
      </c>
      <c r="D62" s="89">
        <f>'Shear Walls'!I21</f>
        <v>7.0500000000000007</v>
      </c>
      <c r="E62" s="89">
        <f>'Shear Walls'!O21</f>
        <v>7.25</v>
      </c>
      <c r="F62" s="89">
        <f>'Shear Walls'!U21</f>
        <v>7.2</v>
      </c>
      <c r="G62" s="89">
        <f>'Shear Walls'!AA21</f>
        <v>7.3500000000000005</v>
      </c>
      <c r="H62" s="90">
        <f>'Shear Walls'!AG21</f>
        <v>7.3500000000000005</v>
      </c>
      <c r="I62" s="90">
        <f>'Shear Walls'!AM21</f>
        <v>7.766</v>
      </c>
      <c r="J62" s="89">
        <f>'Shear Walls'!AS21</f>
        <v>7.66</v>
      </c>
      <c r="K62" s="89">
        <f>'Shear Walls'!AY21</f>
        <v>7.3495200000000001</v>
      </c>
      <c r="L62" s="89">
        <f>'Shear Walls'!BE21</f>
        <v>7.5680000000000005</v>
      </c>
      <c r="M62" s="89">
        <f>'Shear Walls'!BK21</f>
        <v>7.75</v>
      </c>
    </row>
    <row r="64" spans="2:15" ht="12">
      <c r="B64" s="69"/>
      <c r="C64" s="69"/>
      <c r="D64" s="73" t="str">
        <f>Database!D$17</f>
        <v>RC Flat Slab</v>
      </c>
      <c r="E64" s="73" t="str">
        <f>Database!D$18</f>
        <v>PT RC Flat Slab</v>
      </c>
      <c r="F64" s="73" t="str">
        <f>Database!D$19</f>
        <v>RC Rib Slab</v>
      </c>
      <c r="G64" s="75" t="str">
        <f>Database!D$20</f>
        <v>Two-way RC Slab</v>
      </c>
      <c r="H64" s="86" t="str">
        <f>Database!D$21</f>
        <v>One-Way Spanning RC</v>
      </c>
      <c r="I64" s="74" t="str">
        <f>Database!D$22</f>
        <v>Precast Hollowcore with In-situ RC Beams</v>
      </c>
      <c r="J64" s="74" t="str">
        <f>Database!D$23</f>
        <v>Non-Composite Rolled Steel with PCC Planks</v>
      </c>
      <c r="K64" s="74" t="str">
        <f>Database!D$24</f>
        <v>Composite Rolled Steel with Metal Decking</v>
      </c>
      <c r="L64" s="74" t="str">
        <f>Database!D$25</f>
        <v>Composite Cell Beams with Metal Decking</v>
      </c>
      <c r="M64" s="74" t="str">
        <f>Database!D$26</f>
        <v>Steel Frame with CLT Slabs</v>
      </c>
      <c r="N64" s="74" t="str">
        <f>Database!D$27</f>
        <v>CLT, Glulam and Steel Column Hybrid</v>
      </c>
      <c r="O64" s="74"/>
    </row>
    <row r="65" spans="2:15">
      <c r="B65" s="69" t="str">
        <f>'Material Quantities &amp; Embodied '!H5</f>
        <v>A1-A3</v>
      </c>
      <c r="C65" s="78">
        <f>INDEX(D65:N65,1,MATCH(Summary!$B$52,$D$64:$N$64,0))</f>
        <v>760.5214562222576</v>
      </c>
      <c r="D65" s="78">
        <f>'Material Quantities &amp; Embodied '!$H33</f>
        <v>760.5214562222576</v>
      </c>
      <c r="E65" s="78">
        <f>'Material Quantities &amp; Embodied '!$H65</f>
        <v>796.32648801366724</v>
      </c>
      <c r="F65" s="78">
        <f>'Material Quantities &amp; Embodied '!$H97</f>
        <v>764.69873943376649</v>
      </c>
      <c r="G65" s="78">
        <f>'Material Quantities &amp; Embodied '!$H129</f>
        <v>773.75336480344686</v>
      </c>
      <c r="H65" s="78">
        <f>'Material Quantities &amp; Embodied '!$H161</f>
        <v>776.37366061399359</v>
      </c>
      <c r="I65" s="78">
        <f>'Material Quantities &amp; Embodied '!$H194</f>
        <v>977.86290406040541</v>
      </c>
      <c r="J65" s="78">
        <f>'Material Quantities &amp; Embodied '!$H227</f>
        <v>901.97918838513465</v>
      </c>
      <c r="K65" s="78">
        <f>'Material Quantities &amp; Embodied '!$H261</f>
        <v>921.26976811177542</v>
      </c>
      <c r="L65" s="78">
        <f>'Material Quantities &amp; Embodied '!$H295</f>
        <v>1084.3569934434277</v>
      </c>
      <c r="M65" s="78">
        <f>'Material Quantities &amp; Embodied '!$H327</f>
        <v>617.18511926841074</v>
      </c>
      <c r="N65" s="78">
        <f>'Material Quantities &amp; Embodied '!$H359</f>
        <v>532.59791337680633</v>
      </c>
      <c r="O65" s="69"/>
    </row>
    <row r="66" spans="2:15">
      <c r="B66" s="69" t="str">
        <f>'Material Quantities &amp; Embodied '!I5</f>
        <v>A4</v>
      </c>
      <c r="C66" s="78">
        <f>INDEX(D66:N66,1,MATCH(Summary!$B$52,$D$64:$N$64,0))</f>
        <v>50.089383366780886</v>
      </c>
      <c r="D66" s="78">
        <f>'Material Quantities &amp; Embodied '!$I33</f>
        <v>50.089383366780886</v>
      </c>
      <c r="E66" s="78">
        <f>'Material Quantities &amp; Embodied '!$I65</f>
        <v>48.697665640303676</v>
      </c>
      <c r="F66" s="78">
        <f>'Material Quantities &amp; Embodied '!$I97</f>
        <v>47.382273614064992</v>
      </c>
      <c r="G66" s="78">
        <f>'Material Quantities &amp; Embodied '!$I129</f>
        <v>47.789187328066703</v>
      </c>
      <c r="H66" s="78">
        <f>'Material Quantities &amp; Embodied '!$I161</f>
        <v>47.87133124778348</v>
      </c>
      <c r="I66" s="78">
        <f>'Material Quantities &amp; Embodied '!$I194</f>
        <v>52.936746190221598</v>
      </c>
      <c r="J66" s="78">
        <f>'Material Quantities &amp; Embodied '!$I227</f>
        <v>66.104171233440397</v>
      </c>
      <c r="K66" s="78">
        <f>'Material Quantities &amp; Embodied '!$I261</f>
        <v>64.453726426532029</v>
      </c>
      <c r="L66" s="78">
        <f>'Material Quantities &amp; Embodied '!$I295</f>
        <v>87.134998194851164</v>
      </c>
      <c r="M66" s="78">
        <f>'Material Quantities &amp; Embodied '!$I327</f>
        <v>104.99748110125545</v>
      </c>
      <c r="N66" s="78">
        <f>'Material Quantities &amp; Embodied '!$I359</f>
        <v>110.15901192458615</v>
      </c>
      <c r="O66" s="69"/>
    </row>
    <row r="67" spans="2:15">
      <c r="B67" s="69" t="s">
        <v>319</v>
      </c>
      <c r="C67" s="78">
        <f>INDEX(D67:N67,1,MATCH(Summary!$B$52,$D$64:$N$64,0))</f>
        <v>48.616892922023681</v>
      </c>
      <c r="D67" s="78">
        <f>'Material Quantities &amp; Embodied '!$N33-SUM(D65:D66)</f>
        <v>48.616892922023681</v>
      </c>
      <c r="E67" s="78">
        <f>'Material Quantities &amp; Embodied '!$N65-SUM(E65:E66)</f>
        <v>50.292491692184512</v>
      </c>
      <c r="F67" s="78">
        <f>'Material Quantities &amp; Embodied '!$N97-SUM(F65:F66)</f>
        <v>48.257439446855415</v>
      </c>
      <c r="G67" s="78">
        <f>'Material Quantities &amp; Embodied '!$N129-SUM(G65:G66)</f>
        <v>48.545311084460991</v>
      </c>
      <c r="H67" s="78">
        <f>'Material Quantities &amp; Embodied '!$N161-SUM(H65:H66)</f>
        <v>48.955315953457102</v>
      </c>
      <c r="I67" s="78">
        <f>'Material Quantities &amp; Embodied '!$N194-SUM(I65:I66)</f>
        <v>46.935793656823989</v>
      </c>
      <c r="J67" s="78">
        <f>'Material Quantities &amp; Embodied '!$N227-SUM(J65:J66)</f>
        <v>35.130407348838048</v>
      </c>
      <c r="K67" s="78">
        <f>'Material Quantities &amp; Embodied '!$N261-SUM(K65:K66)</f>
        <v>41.229751064737911</v>
      </c>
      <c r="L67" s="78">
        <f>'Material Quantities &amp; Embodied '!$N295-SUM(L65:L66)</f>
        <v>43.276785928869003</v>
      </c>
      <c r="M67" s="78">
        <f>'Material Quantities &amp; Embodied '!$N327-SUM(M65:M66)</f>
        <v>33.42522046153158</v>
      </c>
      <c r="N67" s="78">
        <f>'Material Quantities &amp; Embodied '!$N359-SUM(N65:N66)</f>
        <v>34.639007254587</v>
      </c>
      <c r="O67" s="69"/>
    </row>
    <row r="68" spans="2:15">
      <c r="B68" s="69" t="s">
        <v>320</v>
      </c>
      <c r="C68" s="78">
        <f>INDEX(D68:N68,1,MATCH(Summary!$B$52,$D$64:$N$64,0))</f>
        <v>18.152692041016529</v>
      </c>
      <c r="D68" s="855">
        <f>Cost!D485</f>
        <v>18.152692041016529</v>
      </c>
      <c r="E68" s="855">
        <f>Cost!D486</f>
        <v>21.029857448108231</v>
      </c>
      <c r="F68" s="855">
        <f>Cost!D487</f>
        <v>19.864426418129355</v>
      </c>
      <c r="G68" s="855">
        <f>Cost!D488</f>
        <v>16.903631885060388</v>
      </c>
      <c r="H68" s="855">
        <f>Cost!D489</f>
        <v>18.079685593810186</v>
      </c>
      <c r="I68" s="855">
        <f>Cost!D490</f>
        <v>20.465927267591447</v>
      </c>
      <c r="J68" s="855">
        <f>Cost!D491</f>
        <v>24.041829988650893</v>
      </c>
      <c r="K68" s="855">
        <f>Cost!D492</f>
        <v>22.964034249528325</v>
      </c>
      <c r="L68" s="855">
        <f>Cost!D493</f>
        <v>28.522311275737657</v>
      </c>
      <c r="M68" s="855">
        <f>Cost!D494</f>
        <v>23.114282128739017</v>
      </c>
      <c r="N68" s="855">
        <f>Cost!D495</f>
        <v>22.794039638538962</v>
      </c>
      <c r="O68" s="69"/>
    </row>
    <row r="69" spans="2:15">
      <c r="B69" s="69" t="str">
        <f>'Material Quantities &amp; Embodied '!L5</f>
        <v>C2 to C4</v>
      </c>
      <c r="C69" s="78">
        <f>INDEX(D69:N69,1,MATCH(Summary!$B$52,$D$64:$N$64,0))</f>
        <v>118.43693927249959</v>
      </c>
      <c r="D69" s="78">
        <f>'Material Quantities &amp; Embodied '!$L33</f>
        <v>118.43693927249959</v>
      </c>
      <c r="E69" s="78">
        <f>'Material Quantities &amp; Embodied '!$L65</f>
        <v>115.64419232891321</v>
      </c>
      <c r="F69" s="78">
        <f>'Material Quantities &amp; Embodied '!$L97</f>
        <v>110.19012075903386</v>
      </c>
      <c r="G69" s="78">
        <f>'Material Quantities &amp; Embodied '!$L129</f>
        <v>106.17111398000829</v>
      </c>
      <c r="H69" s="78">
        <f>'Material Quantities &amp; Embodied '!$L161</f>
        <v>111.193623201725</v>
      </c>
      <c r="I69" s="78">
        <f>'Material Quantities &amp; Embodied '!$L194</f>
        <v>131.54021026241151</v>
      </c>
      <c r="J69" s="78">
        <f>'Material Quantities &amp; Embodied '!$L227</f>
        <v>108.52506418923659</v>
      </c>
      <c r="K69" s="78">
        <f>'Material Quantities &amp; Embodied '!$L261</f>
        <v>96.783053156209021</v>
      </c>
      <c r="L69" s="78">
        <f>'Material Quantities &amp; Embodied '!$L295</f>
        <v>99.09288788292379</v>
      </c>
      <c r="M69" s="78">
        <f>'Material Quantities &amp; Embodied '!$L327</f>
        <v>604.54706151400671</v>
      </c>
      <c r="N69" s="78">
        <f>'Material Quantities &amp; Embodied '!$L359</f>
        <v>832.6773436747668</v>
      </c>
      <c r="O69" s="69"/>
    </row>
    <row r="70" spans="2:15">
      <c r="B70" s="69"/>
      <c r="C70" s="69"/>
      <c r="D70" s="69"/>
      <c r="E70" s="69"/>
      <c r="F70" s="69"/>
      <c r="G70" s="69"/>
      <c r="H70" s="70"/>
      <c r="I70" s="70"/>
      <c r="J70" s="69"/>
      <c r="K70" s="69"/>
      <c r="L70" s="69"/>
      <c r="M70" s="69"/>
      <c r="N70" s="69"/>
      <c r="O70" s="69"/>
    </row>
    <row r="71" spans="2:15">
      <c r="B71" s="69"/>
      <c r="C71" s="69"/>
      <c r="D71" s="69"/>
      <c r="E71" s="69"/>
      <c r="F71" s="69"/>
      <c r="G71" s="69"/>
      <c r="H71" s="70"/>
      <c r="I71" s="70"/>
      <c r="J71" s="69"/>
      <c r="K71" s="69"/>
      <c r="L71" s="69"/>
      <c r="M71" s="69"/>
      <c r="N71" s="69"/>
      <c r="O71" s="69"/>
    </row>
    <row r="72" spans="2:15">
      <c r="B72" s="69"/>
      <c r="C72" s="69"/>
      <c r="D72" s="69"/>
      <c r="E72" s="69"/>
      <c r="F72" s="69"/>
      <c r="G72" s="69"/>
      <c r="H72" s="70"/>
      <c r="I72" s="70"/>
      <c r="J72" s="69"/>
      <c r="K72" s="69"/>
      <c r="L72" s="69"/>
      <c r="M72" s="69"/>
      <c r="N72" s="69"/>
      <c r="O72" s="69"/>
    </row>
    <row r="73" spans="2:15">
      <c r="B73" s="69"/>
      <c r="C73" s="69"/>
      <c r="D73" s="101" t="str">
        <f>Database!D$17</f>
        <v>RC Flat Slab</v>
      </c>
      <c r="E73" s="101" t="str">
        <f>Database!D$18</f>
        <v>PT RC Flat Slab</v>
      </c>
      <c r="F73" s="101" t="str">
        <f>Database!D$19</f>
        <v>RC Rib Slab</v>
      </c>
      <c r="G73" s="102" t="str">
        <f>Database!D$20</f>
        <v>Two-way RC Slab</v>
      </c>
      <c r="H73" s="103" t="str">
        <f>Database!D$21</f>
        <v>One-Way Spanning RC</v>
      </c>
      <c r="I73" s="93" t="str">
        <f>Database!D$22</f>
        <v>Precast Hollowcore with In-situ RC Beams</v>
      </c>
      <c r="J73" s="93" t="str">
        <f>Database!D$23</f>
        <v>Non-Composite Rolled Steel with PCC Planks</v>
      </c>
      <c r="K73" s="93" t="str">
        <f>Database!D$24</f>
        <v>Composite Rolled Steel with Metal Decking</v>
      </c>
      <c r="L73" s="93" t="str">
        <f>Database!D$25</f>
        <v>Composite Cell Beams with Metal Decking</v>
      </c>
      <c r="M73" s="93" t="str">
        <f>Database!D$26</f>
        <v>Steel Frame with CLT Slabs</v>
      </c>
      <c r="N73" s="93" t="str">
        <f>Database!D$27</f>
        <v>CLT, Glulam and Steel Column Hybrid</v>
      </c>
      <c r="O73" s="93"/>
    </row>
    <row r="74" spans="2:15" ht="12">
      <c r="B74" s="69" t="s">
        <v>114</v>
      </c>
      <c r="C74" s="78">
        <f>INDEX(D74:N74,1,MATCH(Summary!$B$52,$D$64:$N$64,0))</f>
        <v>518.25529069653089</v>
      </c>
      <c r="D74" s="78">
        <f>SUM('Material Quantities &amp; Embodied '!N6:N13)</f>
        <v>518.25529069653089</v>
      </c>
      <c r="E74" s="78">
        <f>SUM('Material Quantities &amp; Embodied '!N38:N45)</f>
        <v>480.41868627380757</v>
      </c>
      <c r="F74" s="78">
        <f>SUM('Material Quantities &amp; Embodied '!N70:N77)</f>
        <v>445.44049342233905</v>
      </c>
      <c r="G74" s="78">
        <f>SUM('Material Quantities &amp; Embodied '!N102:N109)</f>
        <v>452.97637880526082</v>
      </c>
      <c r="H74" s="92">
        <f>SUM('Material Quantities &amp; Embodied '!N134:N141)</f>
        <v>458.30234874288641</v>
      </c>
      <c r="I74" s="92">
        <f>SUM('Material Quantities &amp; Embodied '!N166:N174)</f>
        <v>658.11377219695498</v>
      </c>
      <c r="J74" s="78">
        <f>SUM('Material Quantities &amp; Embodied '!N199:N206)</f>
        <v>576.84189973289267</v>
      </c>
      <c r="K74" s="78">
        <f>SUM('Material Quantities &amp; Embodied '!N232:N240)</f>
        <v>596.54720051032859</v>
      </c>
      <c r="L74" s="78">
        <f>SUM('Material Quantities &amp; Embodied '!N266:N274)</f>
        <v>786.97062318317421</v>
      </c>
      <c r="M74" s="78">
        <f>SUM('Material Quantities &amp; Embodied '!N300:N306)</f>
        <v>318.09608400014827</v>
      </c>
      <c r="N74" s="78">
        <f>SUM('Material Quantities &amp; Embodied '!N332:N338)</f>
        <v>246.90836769106599</v>
      </c>
      <c r="O74" s="74"/>
    </row>
    <row r="75" spans="2:15" ht="12">
      <c r="B75" s="93" t="s">
        <v>321</v>
      </c>
      <c r="C75" s="95">
        <f>INDEX(D75:N75,1,MATCH(Summary!$B$52,$D$64:$N$64,0))</f>
        <v>340.97244181453129</v>
      </c>
      <c r="D75" s="95">
        <f>SUM('Material Quantities &amp; Embodied '!N14:N21,'Material Quantities &amp; Embodied '!O30,'Material Quantities &amp; Embodied '!O31)</f>
        <v>340.97244181453129</v>
      </c>
      <c r="E75" s="95">
        <f>SUM('Material Quantities &amp; Embodied '!N46:N53,'Material Quantities &amp; Embodied '!N62,'Material Quantities &amp; Embodied '!N63)</f>
        <v>414.89795907234799</v>
      </c>
      <c r="F75" s="95">
        <f>SUM('Material Quantities &amp; Embodied '!N78:N85,'Material Quantities &amp; Embodied '!N94,'Material Quantities &amp; Embodied '!N95)</f>
        <v>414.89795907234799</v>
      </c>
      <c r="G75" s="95">
        <f>SUM('Material Quantities &amp; Embodied '!N110:N117,'Material Quantities &amp; Embodied '!N126:N127)</f>
        <v>417.1114844107139</v>
      </c>
      <c r="H75" s="96">
        <f>SUM('Material Quantities &amp; Embodied '!N142:N149,'Material Quantities &amp; Embodied '!N158,'Material Quantities &amp; Embodied '!N159)</f>
        <v>414.89795907234799</v>
      </c>
      <c r="I75" s="96">
        <f>SUM('Material Quantities &amp; Embodied '!N175:N182,'Material Quantities &amp; Embodied '!N191,'Material Quantities &amp; Embodied '!N192)</f>
        <v>419.62167171049623</v>
      </c>
      <c r="J75" s="95">
        <f>SUM('Material Quantities &amp; Embodied '!N208:N215,'Material Quantities &amp; Embodied '!N224,'Material Quantities &amp; Embodied '!N225)</f>
        <v>416.72608230090754</v>
      </c>
      <c r="K75" s="95">
        <f>SUM('Material Quantities &amp; Embodied '!N242:N249,'Material Quantities &amp; Embodied '!N258,'Material Quantities &amp; Embodied '!N259)</f>
        <v>419.81512904257255</v>
      </c>
      <c r="L75" s="95">
        <f>SUM('Material Quantities &amp; Embodied '!N276:N283,'Material Quantities &amp; Embodied '!N292,'Material Quantities &amp; Embodied '!N293)</f>
        <v>417.60160370420664</v>
      </c>
      <c r="M75" s="95">
        <f>SUM('Material Quantities &amp; Embodied '!N308:N315,'Material Quantities &amp; Embodied '!N324,'Material Quantities &amp; Embodied '!N325)</f>
        <v>428.46562589187761</v>
      </c>
      <c r="N75" s="95">
        <f>SUM('Material Quantities &amp; Embodied '!O340:O347,'Material Quantities &amp; Embodied '!O356:O357)</f>
        <v>491.42234015380137</v>
      </c>
      <c r="O75" s="74"/>
    </row>
    <row r="76" spans="2:15" ht="12">
      <c r="B76" s="69" t="s">
        <v>45</v>
      </c>
      <c r="C76" s="78">
        <f>INDEX(D76:N76,1,MATCH(Summary!$B$52,$D$64:$N$64,0))</f>
        <v>0</v>
      </c>
      <c r="D76" s="78">
        <f>SUM('Material Quantities &amp; Embodied '!N22:N29,'Material Quantities &amp; Embodied '!O32)</f>
        <v>0</v>
      </c>
      <c r="E76" s="78">
        <f>SUM('Material Quantities &amp; Embodied '!N54:N61,'Material Quantities &amp; Embodied '!N64)</f>
        <v>0</v>
      </c>
      <c r="F76" s="78">
        <f>SUM('Material Quantities &amp; Embodied '!N86:N93,'Material Quantities &amp; Embodied '!N96)</f>
        <v>0</v>
      </c>
      <c r="G76" s="78">
        <f>SUM('Material Quantities &amp; Embodied '!N118:N125,'Material Quantities &amp; Embodied '!N128)</f>
        <v>0</v>
      </c>
      <c r="H76" s="92">
        <f>SUM('Material Quantities &amp; Embodied '!N150:N157,'Material Quantities &amp; Embodied '!N160)</f>
        <v>0</v>
      </c>
      <c r="I76" s="92">
        <f>SUM('Material Quantities &amp; Embodied '!N183:N190,'Material Quantities &amp; Embodied '!N193)</f>
        <v>0</v>
      </c>
      <c r="J76" s="78">
        <f>SUM('Material Quantities &amp; Embodied '!N216:N223,'Material Quantities &amp; Embodied '!N226)</f>
        <v>0</v>
      </c>
      <c r="K76" s="78">
        <f>SUM('Material Quantities &amp; Embodied '!N250:N257,'Material Quantities &amp; Embodied '!N260)</f>
        <v>0</v>
      </c>
      <c r="L76" s="78">
        <f>SUM('Material Quantities &amp; Embodied '!N284:N291,'Material Quantities &amp; Embodied '!N294)</f>
        <v>0</v>
      </c>
      <c r="M76" s="78">
        <f>SUM('Material Quantities &amp; Embodied '!N316:N323,'Material Quantities &amp; Embodied '!N326)</f>
        <v>0</v>
      </c>
      <c r="N76" s="78">
        <f>SUM('Material Quantities &amp; Embodied '!N348:N355,'Material Quantities &amp; Embodied '!N358)</f>
        <v>0</v>
      </c>
      <c r="O76" s="74"/>
    </row>
    <row r="78" spans="2:15" ht="48.75" thickBot="1">
      <c r="B78" s="211" t="str">
        <f>Cost!B484</f>
        <v>Typology</v>
      </c>
      <c r="C78" s="72" t="s">
        <v>123</v>
      </c>
      <c r="D78" s="72" t="s">
        <v>114</v>
      </c>
      <c r="E78" s="72" t="s">
        <v>322</v>
      </c>
      <c r="F78" s="72" t="str">
        <f>Cost!C484</f>
        <v>Cost</v>
      </c>
      <c r="G78" s="834" t="s">
        <v>323</v>
      </c>
    </row>
    <row r="79" spans="2:15" ht="12">
      <c r="B79" s="213" t="str">
        <f>Cost!B495</f>
        <v>CLT, Glulam and Steel Column Hybrid</v>
      </c>
      <c r="C79" s="856">
        <f>Cost!K475</f>
        <v>1150083.321</v>
      </c>
      <c r="D79" s="856">
        <f>Cost!K452</f>
        <v>1092720.1015796622</v>
      </c>
      <c r="E79" s="856">
        <f>Cost!K478</f>
        <v>1013487.954354475</v>
      </c>
      <c r="F79" s="204">
        <f>Cost!C495</f>
        <v>3256291.3769341372</v>
      </c>
      <c r="G79" s="853">
        <f t="shared" ref="G79:G89" si="22">VLOOKUP(B79,$B$38:$D$48,3,FALSE)</f>
        <v>134.88999789397315</v>
      </c>
    </row>
    <row r="80" spans="2:15" ht="12">
      <c r="B80" s="213" t="str">
        <f>Cost!B494</f>
        <v>Steel Frame with CLT Slabs</v>
      </c>
      <c r="C80" s="856">
        <f>Cost!K433</f>
        <v>1150083.321</v>
      </c>
      <c r="D80" s="856">
        <f>Cost!K410</f>
        <v>1126113.4790770609</v>
      </c>
      <c r="E80" s="856">
        <f>Cost!K436</f>
        <v>1025843.5040285125</v>
      </c>
      <c r="F80" s="204">
        <f>Cost!C494</f>
        <v>3302040.3041055738</v>
      </c>
      <c r="G80" s="853">
        <f t="shared" si="22"/>
        <v>148.20390374563553</v>
      </c>
    </row>
    <row r="81" spans="2:7" ht="12">
      <c r="B81" s="213" t="str">
        <f>Cost!B493</f>
        <v>Composite Cell Beams with Metal Decking</v>
      </c>
      <c r="C81" s="856">
        <f>Cost!K391</f>
        <v>1129042.28975</v>
      </c>
      <c r="D81" s="856">
        <f>Cost!K368</f>
        <v>1845129.8975010593</v>
      </c>
      <c r="E81" s="856">
        <f>Cost!K394</f>
        <v>1100443.7092828921</v>
      </c>
      <c r="F81" s="204">
        <f>Cost!C493</f>
        <v>4074615.8965339512</v>
      </c>
      <c r="G81" s="853">
        <f t="shared" si="22"/>
        <v>233.05277373711962</v>
      </c>
    </row>
    <row r="82" spans="2:7" ht="12">
      <c r="B82" s="213" t="str">
        <f>Cost!B492</f>
        <v>Composite Rolled Steel with Metal Decking</v>
      </c>
      <c r="C82" s="856">
        <f>Cost!K347</f>
        <v>1133294.47725</v>
      </c>
      <c r="D82" s="856">
        <f>Cost!K324</f>
        <v>1261286.7792180218</v>
      </c>
      <c r="E82" s="856">
        <f>Cost!K350</f>
        <v>885995.06489316816</v>
      </c>
      <c r="F82" s="204">
        <f>Cost!C492</f>
        <v>3280576.3213611897</v>
      </c>
      <c r="G82" s="853">
        <f t="shared" si="22"/>
        <v>199.07991892513581</v>
      </c>
    </row>
    <row r="83" spans="2:7" ht="12">
      <c r="B83" s="213" t="str">
        <f>Cost!B491</f>
        <v>Non-Composite Rolled Steel with PCC Planks</v>
      </c>
      <c r="C83" s="856">
        <f>Cost!K303</f>
        <v>1127330.196</v>
      </c>
      <c r="D83" s="856">
        <f>Cost!K280</f>
        <v>1379638.5202305417</v>
      </c>
      <c r="E83" s="856">
        <f>Cost!K306</f>
        <v>927578.42500530044</v>
      </c>
      <c r="F83" s="204">
        <f>Cost!C491</f>
        <v>3434547.1412358419</v>
      </c>
      <c r="G83" s="853">
        <f t="shared" si="22"/>
        <v>197.1841425599481</v>
      </c>
    </row>
    <row r="84" spans="2:7" ht="12">
      <c r="B84" s="213" t="str">
        <f>Cost!B490</f>
        <v>Precast Hollowcore with In-situ RC Beams</v>
      </c>
      <c r="C84" s="856">
        <f>Cost!K260</f>
        <v>1131935.821</v>
      </c>
      <c r="D84" s="856">
        <f>Cost!K237</f>
        <v>1002154.613576793</v>
      </c>
      <c r="E84" s="856">
        <f>Cost!K263</f>
        <v>789613.46079341357</v>
      </c>
      <c r="F84" s="204">
        <f>Cost!C490</f>
        <v>2923703.8953702068</v>
      </c>
      <c r="G84" s="853">
        <f t="shared" si="22"/>
        <v>213.49680233289138</v>
      </c>
    </row>
    <row r="85" spans="2:7" ht="12">
      <c r="B85" s="213" t="str">
        <f>Cost!B489</f>
        <v>One-Way Spanning RC</v>
      </c>
      <c r="C85" s="856">
        <f>Cost!K217</f>
        <v>1123768.0085</v>
      </c>
      <c r="D85" s="856">
        <f>Cost!K194</f>
        <v>761496.39127165626</v>
      </c>
      <c r="E85" s="856">
        <f>Cost!K220</f>
        <v>697547.82791551296</v>
      </c>
      <c r="F85" s="204">
        <f>Cost!C489</f>
        <v>2582812.2276871693</v>
      </c>
      <c r="G85" s="853">
        <f t="shared" si="22"/>
        <v>174.04055843936973</v>
      </c>
    </row>
    <row r="86" spans="2:7" ht="12">
      <c r="B86" s="213" t="str">
        <f>Cost!B488</f>
        <v>Two-way RC Slab</v>
      </c>
      <c r="C86" s="856">
        <f>Cost!K173</f>
        <v>1128020.196</v>
      </c>
      <c r="D86" s="856">
        <f>Cost!K150</f>
        <v>634610.86605009274</v>
      </c>
      <c r="E86" s="856">
        <f>Cost!K176</f>
        <v>652173.49295853439</v>
      </c>
      <c r="F86" s="204">
        <f>Cost!C488</f>
        <v>2414804.555008627</v>
      </c>
      <c r="G86" s="853">
        <f t="shared" si="22"/>
        <v>172.64091479809019</v>
      </c>
    </row>
    <row r="87" spans="2:7" ht="12">
      <c r="B87" s="213" t="str">
        <f>Cost!B487</f>
        <v>RC Rib Slab</v>
      </c>
      <c r="C87" s="856">
        <f>Cost!K128</f>
        <v>1123768.0085</v>
      </c>
      <c r="D87" s="856">
        <f>Cost!K105</f>
        <v>947600.75251453102</v>
      </c>
      <c r="E87" s="856">
        <f>Cost!K131</f>
        <v>766406.44157537655</v>
      </c>
      <c r="F87" s="204">
        <f>Cost!C487</f>
        <v>2837775.2025899077</v>
      </c>
      <c r="G87" s="853">
        <f t="shared" si="22"/>
        <v>171.94322910969626</v>
      </c>
    </row>
    <row r="88" spans="2:7" ht="12">
      <c r="B88" s="213" t="str">
        <f>Cost!B486</f>
        <v>PT RC Flat Slab</v>
      </c>
      <c r="C88" s="856">
        <f>Cost!K85</f>
        <v>1123768.0085</v>
      </c>
      <c r="D88" s="856">
        <f>Cost!K62</f>
        <v>1069126.4073611295</v>
      </c>
      <c r="E88" s="856">
        <f>Cost!K88</f>
        <v>811370.93386861787</v>
      </c>
      <c r="F88" s="204">
        <f>Cost!C486</f>
        <v>3004265.3497297475</v>
      </c>
      <c r="G88" s="853">
        <f t="shared" si="22"/>
        <v>179.16505123666269</v>
      </c>
    </row>
    <row r="89" spans="2:7" ht="12">
      <c r="B89" s="213" t="str">
        <f>Cost!B485</f>
        <v>RC Flat Slab</v>
      </c>
      <c r="C89" s="856">
        <f>Cost!K42</f>
        <v>1121641.91475</v>
      </c>
      <c r="D89" s="856">
        <f>Cost!K19</f>
        <v>771235.2532392107</v>
      </c>
      <c r="E89" s="856">
        <f>Cost!K45</f>
        <v>700364.55215600797</v>
      </c>
      <c r="F89" s="204">
        <f>Cost!C485</f>
        <v>2593241.7201452185</v>
      </c>
      <c r="G89" s="853">
        <f t="shared" si="22"/>
        <v>172.8849589973226</v>
      </c>
    </row>
  </sheetData>
  <mergeCells count="6">
    <mergeCell ref="G36:I36"/>
    <mergeCell ref="N36:P36"/>
    <mergeCell ref="Q36:S36"/>
    <mergeCell ref="J37:K37"/>
    <mergeCell ref="C55:E55"/>
    <mergeCell ref="C36:D36"/>
  </mergeCells>
  <dataValidations disablePrompts="1" count="1">
    <dataValidation type="list" allowBlank="1" showInputMessage="1" showErrorMessage="1" sqref="C34" xr:uid="{606ED34B-36B9-4F39-B84E-D35E25FFDDA7}">
      <formula1>"Standard,Aspirational"</formula1>
    </dataValidation>
  </dataValidations>
  <pageMargins left="0.7" right="0.7" top="0.75" bottom="0.75" header="0.3" footer="0.3"/>
  <pageSetup paperSize="9" orientation="portrait" horizontalDpi="300" verticalDpi="0"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064E2-CFDE-4325-B0F1-3E764C68ACBC}">
  <sheetPr codeName="Sheet23"/>
  <dimension ref="B2:N118"/>
  <sheetViews>
    <sheetView workbookViewId="0">
      <selection activeCell="H36" sqref="H36"/>
    </sheetView>
  </sheetViews>
  <sheetFormatPr defaultColWidth="9.140625" defaultRowHeight="12"/>
  <cols>
    <col min="1" max="1" width="3.7109375" style="150" customWidth="1"/>
    <col min="2" max="2" width="44.7109375" style="150" bestFit="1" customWidth="1"/>
    <col min="3" max="4" width="9.140625" style="152"/>
    <col min="5" max="7" width="12.7109375" style="152" customWidth="1"/>
    <col min="8" max="13" width="12.7109375" style="150" customWidth="1"/>
    <col min="14" max="16384" width="9.140625" style="150"/>
  </cols>
  <sheetData>
    <row r="2" spans="2:14">
      <c r="C2" s="1322" t="s">
        <v>119</v>
      </c>
      <c r="D2" s="1322"/>
      <c r="E2" s="1323" t="s">
        <v>324</v>
      </c>
      <c r="F2" s="1323"/>
      <c r="G2" s="1323"/>
      <c r="H2" s="1323"/>
      <c r="I2" s="1323" t="s">
        <v>325</v>
      </c>
      <c r="J2" s="1323"/>
      <c r="K2" s="1323"/>
      <c r="L2" s="1323"/>
      <c r="M2" s="1323" t="s">
        <v>302</v>
      </c>
      <c r="N2" s="1323"/>
    </row>
    <row r="3" spans="2:14" s="883" customFormat="1" ht="24">
      <c r="C3" s="260" t="s">
        <v>326</v>
      </c>
      <c r="D3" s="259" t="s">
        <v>327</v>
      </c>
      <c r="E3" s="259" t="s">
        <v>328</v>
      </c>
      <c r="F3" s="259" t="s">
        <v>279</v>
      </c>
      <c r="G3" s="260" t="s">
        <v>326</v>
      </c>
      <c r="H3" s="259" t="s">
        <v>327</v>
      </c>
      <c r="I3" s="259" t="s">
        <v>328</v>
      </c>
      <c r="J3" s="259" t="s">
        <v>279</v>
      </c>
      <c r="K3" s="260" t="s">
        <v>326</v>
      </c>
      <c r="L3" s="259" t="s">
        <v>327</v>
      </c>
      <c r="M3" s="260" t="s">
        <v>326</v>
      </c>
      <c r="N3" s="259" t="s">
        <v>327</v>
      </c>
    </row>
    <row r="4" spans="2:14">
      <c r="B4" s="252" t="str">
        <f>'Steel Column'!F58</f>
        <v>Non-Composite Rolled Steel with PCC Planks</v>
      </c>
      <c r="C4" s="151">
        <f>'Steel Column'!M58</f>
        <v>724.82256000000007</v>
      </c>
      <c r="D4" s="151">
        <f>C4*1.3</f>
        <v>942.26932800000009</v>
      </c>
      <c r="E4" s="152" t="str">
        <f>Database!M23</f>
        <v>356 x 171 x 57</v>
      </c>
      <c r="F4" s="152">
        <f>Summary!C$13*Summary!C$15*(Summary!C$16+1)*Summary!C$17</f>
        <v>1080</v>
      </c>
      <c r="G4" s="151">
        <f>INDEX(C$12:C$118,MATCH(E4,B$12:B$118,0))*F4*INDEX(G$12:G$118,MATCH(E4,B$12:B$118,0))/1000</f>
        <v>1293.624</v>
      </c>
      <c r="H4" s="151">
        <f>G4*1.3</f>
        <v>1681.7112000000002</v>
      </c>
      <c r="I4" s="152" t="str">
        <f>Database!N23</f>
        <v>203 x 133 x 30</v>
      </c>
      <c r="J4" s="152">
        <f>Summary!C$14*Summary!C$16*(Summary!C$15+1)*Summary!C$17</f>
        <v>1056</v>
      </c>
      <c r="K4" s="151">
        <f>INDEX(C$12:C$118,MATCH(I4,B$12:B$118,0))*J4*INDEX(G$12:G$118,MATCH(I4,B$12:B$118,0))/1000</f>
        <v>833.28960000000006</v>
      </c>
      <c r="L4" s="151">
        <f>K4*1.3</f>
        <v>1083.2764800000002</v>
      </c>
      <c r="M4" s="151">
        <f>SUM(C4,G4,K4)</f>
        <v>2851.7361600000004</v>
      </c>
      <c r="N4" s="151">
        <f>SUM(D4,H4,L4)</f>
        <v>3707.2570080000005</v>
      </c>
    </row>
    <row r="5" spans="2:14">
      <c r="B5" s="252" t="str">
        <f>'Steel Column'!F59</f>
        <v>Composite Rolled Steel with Metal Decking</v>
      </c>
      <c r="C5" s="151">
        <f>'Steel Column'!M59</f>
        <v>712.38024000000007</v>
      </c>
      <c r="D5" s="151">
        <f t="shared" ref="D5:D8" si="0">C5*1.3</f>
        <v>926.09431200000017</v>
      </c>
      <c r="E5" s="152" t="str">
        <f>Database!M24</f>
        <v>356 x 171 x 51</v>
      </c>
      <c r="F5" s="152">
        <f>Summary!C$13*Summary!C$15*(Summary!C$16+1)*Summary!C$17</f>
        <v>1080</v>
      </c>
      <c r="G5" s="151">
        <f t="shared" ref="G5:G7" si="1">INDEX(C$12:C$118,MATCH(E5,B$12:B$118,0))*F5*INDEX(G$12:G$118,MATCH(E5,B$12:B$118,0))/1000</f>
        <v>1283.5800000000002</v>
      </c>
      <c r="H5" s="151">
        <f t="shared" ref="H5:H7" si="2">G5*1.3</f>
        <v>1668.6540000000002</v>
      </c>
      <c r="I5" s="152" t="str">
        <f>Database!N24</f>
        <v>305 x 165 x 40</v>
      </c>
      <c r="J5" s="152">
        <f>Summary!C$14*Summary!C$16*(Summary!C$15+1)*Summary!C$17</f>
        <v>1056</v>
      </c>
      <c r="K5" s="151">
        <f t="shared" ref="K5:K7" si="3">INDEX(C$12:C$118,MATCH(I5,B$12:B$118,0))*J5*INDEX(G$12:G$118,MATCH(I5,B$12:B$118,0))/1000</f>
        <v>1135.2</v>
      </c>
      <c r="L5" s="151">
        <f t="shared" ref="L5:L7" si="4">K5*1.3</f>
        <v>1475.7600000000002</v>
      </c>
      <c r="M5" s="151">
        <f t="shared" ref="M5:M8" si="5">SUM(C5,G5,K5)</f>
        <v>3131.1602400000002</v>
      </c>
      <c r="N5" s="151">
        <f>SUM(D5,H5,L5)</f>
        <v>4070.5083120000008</v>
      </c>
    </row>
    <row r="6" spans="2:14">
      <c r="B6" s="252" t="str">
        <f>'Steel Column'!F60</f>
        <v>Composite Cell Beams with Metal Decking</v>
      </c>
      <c r="C6" s="151">
        <f>'Steel Column'!M60</f>
        <v>718.36776000000009</v>
      </c>
      <c r="D6" s="151">
        <f t="shared" si="0"/>
        <v>933.87808800000016</v>
      </c>
      <c r="E6" s="152" t="str">
        <f>Database!M25</f>
        <v>305 x 165 x 40</v>
      </c>
      <c r="F6" s="152">
        <f>Summary!C$13*Summary!C$15*(Summary!C$16+1)*Summary!C$17</f>
        <v>1080</v>
      </c>
      <c r="G6" s="151">
        <f t="shared" si="1"/>
        <v>1161</v>
      </c>
      <c r="H6" s="151">
        <f t="shared" si="2"/>
        <v>1509.3</v>
      </c>
      <c r="I6" s="152" t="str">
        <f>Database!N25</f>
        <v>305 x 165 x 40</v>
      </c>
      <c r="J6" s="152">
        <f>Summary!C$14*Summary!C$16*(Summary!C$15+1)*Summary!C$17</f>
        <v>1056</v>
      </c>
      <c r="K6" s="151">
        <f t="shared" si="3"/>
        <v>1135.2</v>
      </c>
      <c r="L6" s="151">
        <f t="shared" si="4"/>
        <v>1475.7600000000002</v>
      </c>
      <c r="M6" s="151">
        <f t="shared" si="5"/>
        <v>3014.5677599999999</v>
      </c>
      <c r="N6" s="151">
        <f>SUM(D6,H6,L6)</f>
        <v>3918.9380880000003</v>
      </c>
    </row>
    <row r="7" spans="2:14">
      <c r="B7" s="252" t="str">
        <f>'Steel Column'!F61</f>
        <v>Steel Frame with CLT Slabs</v>
      </c>
      <c r="C7" s="151">
        <f>'Steel Column'!M61</f>
        <v>597.77784000000008</v>
      </c>
      <c r="D7" s="151">
        <f t="shared" si="0"/>
        <v>777.11119200000019</v>
      </c>
      <c r="E7" s="152" t="str">
        <f>Database!M26</f>
        <v>356 x 127 x 33</v>
      </c>
      <c r="F7" s="152">
        <f>Summary!C$13*Summary!C$15*(Summary!C$16+1)*Summary!C$17</f>
        <v>1080</v>
      </c>
      <c r="G7" s="151">
        <f t="shared" si="1"/>
        <v>1128.1679999999997</v>
      </c>
      <c r="H7" s="151">
        <f t="shared" si="2"/>
        <v>1466.6183999999996</v>
      </c>
      <c r="I7" s="152" t="str">
        <f>Database!N26</f>
        <v>305 x 102 x 28</v>
      </c>
      <c r="J7" s="152">
        <f>Summary!C$14*Summary!C$16*(Summary!C$15+1)*Summary!C$17</f>
        <v>1056</v>
      </c>
      <c r="K7" s="151">
        <f t="shared" si="3"/>
        <v>948.49920000000009</v>
      </c>
      <c r="L7" s="151">
        <f t="shared" si="4"/>
        <v>1233.0489600000001</v>
      </c>
      <c r="M7" s="151">
        <f t="shared" si="5"/>
        <v>2674.4450400000001</v>
      </c>
      <c r="N7" s="151">
        <f>SUM(D7,H7,L7)</f>
        <v>3476.7785519999998</v>
      </c>
    </row>
    <row r="8" spans="2:14">
      <c r="B8" s="252" t="str">
        <f>'Steel Column'!F62</f>
        <v>CLT, Glulam and Steel Column Hybrid</v>
      </c>
      <c r="C8" s="151">
        <f>'Steel Column'!M62</f>
        <v>597.77784000000008</v>
      </c>
      <c r="D8" s="151">
        <f t="shared" si="0"/>
        <v>777.11119200000019</v>
      </c>
      <c r="E8" s="152">
        <v>0</v>
      </c>
      <c r="F8" s="152">
        <v>0</v>
      </c>
      <c r="G8" s="152">
        <v>0</v>
      </c>
      <c r="H8" s="152">
        <v>0</v>
      </c>
      <c r="I8" s="152">
        <v>0</v>
      </c>
      <c r="J8" s="152">
        <v>0</v>
      </c>
      <c r="K8" s="152">
        <v>0</v>
      </c>
      <c r="L8" s="152">
        <v>0</v>
      </c>
      <c r="M8" s="151">
        <f t="shared" si="5"/>
        <v>597.77784000000008</v>
      </c>
      <c r="N8" s="151">
        <f>SUM(D8,H8,L8)</f>
        <v>777.11119200000019</v>
      </c>
    </row>
    <row r="10" spans="2:14">
      <c r="B10" s="883"/>
      <c r="C10" s="259"/>
      <c r="D10" s="259"/>
      <c r="E10" s="1324" t="s">
        <v>329</v>
      </c>
      <c r="F10" s="1325"/>
      <c r="G10" s="1326"/>
    </row>
    <row r="11" spans="2:14">
      <c r="B11" s="258" t="s">
        <v>328</v>
      </c>
      <c r="C11" s="259" t="s">
        <v>330</v>
      </c>
      <c r="D11" s="259" t="s">
        <v>58</v>
      </c>
      <c r="E11" s="884" t="s">
        <v>331</v>
      </c>
      <c r="F11" s="260" t="s">
        <v>332</v>
      </c>
      <c r="G11" s="885" t="s">
        <v>333</v>
      </c>
    </row>
    <row r="12" spans="2:14" ht="15">
      <c r="B12" s="252" t="s">
        <v>334</v>
      </c>
      <c r="C12" s="152">
        <v>584</v>
      </c>
      <c r="D12" s="178">
        <v>314</v>
      </c>
      <c r="E12" s="886" t="s">
        <v>335</v>
      </c>
      <c r="F12" s="178">
        <f>E12-D12/1000</f>
        <v>3.3759999999999999</v>
      </c>
      <c r="G12" s="887">
        <f>F12/(C12/1000)</f>
        <v>5.7808219178082192</v>
      </c>
    </row>
    <row r="13" spans="2:14" ht="15">
      <c r="B13" s="252" t="s">
        <v>336</v>
      </c>
      <c r="C13" s="152">
        <v>494</v>
      </c>
      <c r="D13" s="178">
        <v>309</v>
      </c>
      <c r="E13" s="886" t="s">
        <v>337</v>
      </c>
      <c r="F13" s="178">
        <f t="shared" ref="F13:F76" si="6">E13-D13/1000</f>
        <v>2.931</v>
      </c>
      <c r="G13" s="887">
        <f t="shared" ref="G13:G76" si="7">F13/(C13/1000)</f>
        <v>5.933198380566802</v>
      </c>
    </row>
    <row r="14" spans="2:14" ht="15">
      <c r="B14" s="252" t="s">
        <v>338</v>
      </c>
      <c r="C14" s="152">
        <v>438</v>
      </c>
      <c r="D14" s="178">
        <v>305</v>
      </c>
      <c r="E14" s="886" t="s">
        <v>339</v>
      </c>
      <c r="F14" s="178">
        <f t="shared" si="6"/>
        <v>2.8649999999999998</v>
      </c>
      <c r="G14" s="887">
        <f t="shared" si="7"/>
        <v>6.5410958904109586</v>
      </c>
    </row>
    <row r="15" spans="2:14" ht="15">
      <c r="B15" s="252" t="s">
        <v>340</v>
      </c>
      <c r="C15" s="152">
        <v>415</v>
      </c>
      <c r="D15" s="178">
        <v>304</v>
      </c>
      <c r="E15" s="886" t="s">
        <v>339</v>
      </c>
      <c r="F15" s="178">
        <f t="shared" si="6"/>
        <v>2.8660000000000001</v>
      </c>
      <c r="G15" s="887">
        <f t="shared" si="7"/>
        <v>6.9060240963855426</v>
      </c>
    </row>
    <row r="16" spans="2:14" ht="15">
      <c r="B16" s="252" t="s">
        <v>341</v>
      </c>
      <c r="C16" s="152">
        <v>392.7</v>
      </c>
      <c r="D16" s="178">
        <v>303</v>
      </c>
      <c r="E16" s="886" t="s">
        <v>342</v>
      </c>
      <c r="F16" s="178">
        <f t="shared" si="6"/>
        <v>2.8370000000000002</v>
      </c>
      <c r="G16" s="887">
        <f t="shared" si="7"/>
        <v>7.2243442831678131</v>
      </c>
    </row>
    <row r="17" spans="2:7" ht="15">
      <c r="B17" s="252" t="s">
        <v>343</v>
      </c>
      <c r="C17" s="152">
        <v>350</v>
      </c>
      <c r="D17" s="178">
        <v>302</v>
      </c>
      <c r="E17" s="886" t="s">
        <v>344</v>
      </c>
      <c r="F17" s="178">
        <f t="shared" si="6"/>
        <v>2.8279999999999998</v>
      </c>
      <c r="G17" s="887">
        <f t="shared" si="7"/>
        <v>8.08</v>
      </c>
    </row>
    <row r="18" spans="2:7" ht="15">
      <c r="B18" s="252" t="s">
        <v>345</v>
      </c>
      <c r="C18" s="152">
        <v>314.3</v>
      </c>
      <c r="D18" s="178">
        <v>300</v>
      </c>
      <c r="E18" s="886" t="s">
        <v>346</v>
      </c>
      <c r="F18" s="178">
        <f t="shared" si="6"/>
        <v>2.81</v>
      </c>
      <c r="G18" s="887">
        <f t="shared" si="7"/>
        <v>8.940502704422526</v>
      </c>
    </row>
    <row r="19" spans="2:7" ht="15">
      <c r="B19" s="252" t="s">
        <v>347</v>
      </c>
      <c r="C19" s="152">
        <v>272.3</v>
      </c>
      <c r="D19" s="178">
        <v>300</v>
      </c>
      <c r="E19" s="886" t="s">
        <v>348</v>
      </c>
      <c r="F19" s="178">
        <f t="shared" si="6"/>
        <v>2.8000000000000003</v>
      </c>
      <c r="G19" s="887">
        <f t="shared" si="7"/>
        <v>10.282776349614398</v>
      </c>
    </row>
    <row r="20" spans="2:7" ht="15">
      <c r="B20" s="252" t="s">
        <v>349</v>
      </c>
      <c r="C20" s="152">
        <v>248.7</v>
      </c>
      <c r="D20" s="178">
        <v>300</v>
      </c>
      <c r="E20" s="886" t="s">
        <v>350</v>
      </c>
      <c r="F20" s="178">
        <f t="shared" si="6"/>
        <v>2.7800000000000002</v>
      </c>
      <c r="G20" s="887">
        <f t="shared" si="7"/>
        <v>11.178126256533979</v>
      </c>
    </row>
    <row r="21" spans="2:7" ht="15">
      <c r="B21" s="252" t="s">
        <v>351</v>
      </c>
      <c r="C21" s="152">
        <v>222</v>
      </c>
      <c r="D21" s="178">
        <v>300</v>
      </c>
      <c r="E21" s="886" t="s">
        <v>352</v>
      </c>
      <c r="F21" s="178">
        <f t="shared" si="6"/>
        <v>2.7600000000000002</v>
      </c>
      <c r="G21" s="887">
        <f t="shared" si="7"/>
        <v>12.432432432432433</v>
      </c>
    </row>
    <row r="22" spans="2:7" ht="15">
      <c r="B22" s="252" t="s">
        <v>353</v>
      </c>
      <c r="C22" s="152">
        <v>388</v>
      </c>
      <c r="D22" s="178">
        <v>420.5</v>
      </c>
      <c r="E22" s="886" t="s">
        <v>354</v>
      </c>
      <c r="F22" s="178">
        <f t="shared" si="6"/>
        <v>3.0194999999999999</v>
      </c>
      <c r="G22" s="887">
        <f t="shared" si="7"/>
        <v>7.7822164948453603</v>
      </c>
    </row>
    <row r="23" spans="2:7" ht="15">
      <c r="B23" s="252" t="s">
        <v>355</v>
      </c>
      <c r="C23" s="152">
        <v>343.3</v>
      </c>
      <c r="D23" s="178">
        <v>418.5</v>
      </c>
      <c r="E23" s="886" t="s">
        <v>356</v>
      </c>
      <c r="F23" s="178">
        <f t="shared" si="6"/>
        <v>3.0015000000000001</v>
      </c>
      <c r="G23" s="887">
        <f t="shared" si="7"/>
        <v>8.74308185260705</v>
      </c>
    </row>
    <row r="24" spans="2:7" ht="15">
      <c r="B24" s="252" t="s">
        <v>357</v>
      </c>
      <c r="C24" s="152">
        <v>576</v>
      </c>
      <c r="D24" s="178">
        <v>322</v>
      </c>
      <c r="E24" s="886" t="s">
        <v>358</v>
      </c>
      <c r="F24" s="178">
        <f t="shared" si="6"/>
        <v>3.1379999999999999</v>
      </c>
      <c r="G24" s="887">
        <f t="shared" si="7"/>
        <v>5.447916666666667</v>
      </c>
    </row>
    <row r="25" spans="2:7" ht="15">
      <c r="B25" s="252" t="s">
        <v>359</v>
      </c>
      <c r="C25" s="152">
        <v>521</v>
      </c>
      <c r="D25" s="178">
        <v>319</v>
      </c>
      <c r="E25" s="886" t="s">
        <v>339</v>
      </c>
      <c r="F25" s="178">
        <f t="shared" si="6"/>
        <v>2.851</v>
      </c>
      <c r="G25" s="887">
        <f t="shared" si="7"/>
        <v>5.4721689059500953</v>
      </c>
    </row>
    <row r="26" spans="2:7" ht="15">
      <c r="B26" s="252" t="s">
        <v>360</v>
      </c>
      <c r="C26" s="152">
        <v>474</v>
      </c>
      <c r="D26" s="178">
        <v>316</v>
      </c>
      <c r="E26" s="886" t="s">
        <v>342</v>
      </c>
      <c r="F26" s="178">
        <f t="shared" si="6"/>
        <v>2.8240000000000003</v>
      </c>
      <c r="G26" s="887">
        <f t="shared" si="7"/>
        <v>5.9578059071729967</v>
      </c>
    </row>
    <row r="27" spans="2:7" ht="15">
      <c r="B27" s="252" t="s">
        <v>361</v>
      </c>
      <c r="C27" s="152">
        <v>425</v>
      </c>
      <c r="D27" s="178">
        <v>313</v>
      </c>
      <c r="E27" s="886" t="s">
        <v>346</v>
      </c>
      <c r="F27" s="178">
        <f t="shared" si="6"/>
        <v>2.7969999999999997</v>
      </c>
      <c r="G27" s="887">
        <f t="shared" si="7"/>
        <v>6.5811764705882352</v>
      </c>
    </row>
    <row r="28" spans="2:7" ht="15">
      <c r="B28" s="252" t="s">
        <v>362</v>
      </c>
      <c r="C28" s="152">
        <v>381</v>
      </c>
      <c r="D28" s="178">
        <v>310</v>
      </c>
      <c r="E28" s="886" t="s">
        <v>363</v>
      </c>
      <c r="F28" s="178">
        <f t="shared" si="6"/>
        <v>2.78</v>
      </c>
      <c r="G28" s="887">
        <f t="shared" si="7"/>
        <v>7.2965879265091855</v>
      </c>
    </row>
    <row r="29" spans="2:7" ht="15">
      <c r="B29" s="252" t="s">
        <v>364</v>
      </c>
      <c r="C29" s="152">
        <v>345</v>
      </c>
      <c r="D29" s="178">
        <v>308</v>
      </c>
      <c r="E29" s="886" t="s">
        <v>352</v>
      </c>
      <c r="F29" s="178">
        <f t="shared" si="6"/>
        <v>2.7520000000000002</v>
      </c>
      <c r="G29" s="887">
        <f t="shared" si="7"/>
        <v>7.9768115942028999</v>
      </c>
    </row>
    <row r="30" spans="2:7" ht="15">
      <c r="B30" s="252" t="s">
        <v>365</v>
      </c>
      <c r="C30" s="152">
        <v>313</v>
      </c>
      <c r="D30" s="178">
        <v>309</v>
      </c>
      <c r="E30" s="886" t="s">
        <v>366</v>
      </c>
      <c r="F30" s="178">
        <f t="shared" si="6"/>
        <v>2.7309999999999999</v>
      </c>
      <c r="G30" s="887">
        <f t="shared" si="7"/>
        <v>8.7252396166134183</v>
      </c>
    </row>
    <row r="31" spans="2:7" ht="15">
      <c r="B31" s="252" t="s">
        <v>367</v>
      </c>
      <c r="C31" s="152">
        <v>289.10000000000002</v>
      </c>
      <c r="D31" s="178">
        <v>307.7</v>
      </c>
      <c r="E31" s="886" t="s">
        <v>368</v>
      </c>
      <c r="F31" s="178">
        <f t="shared" si="6"/>
        <v>2.7022999999999997</v>
      </c>
      <c r="G31" s="887">
        <f t="shared" si="7"/>
        <v>9.3472846765824951</v>
      </c>
    </row>
    <row r="32" spans="2:7" ht="15">
      <c r="B32" s="252" t="s">
        <v>369</v>
      </c>
      <c r="C32" s="152">
        <v>271</v>
      </c>
      <c r="D32" s="178">
        <v>307</v>
      </c>
      <c r="E32" s="886" t="s">
        <v>368</v>
      </c>
      <c r="F32" s="178">
        <f t="shared" si="6"/>
        <v>2.7029999999999998</v>
      </c>
      <c r="G32" s="887">
        <f t="shared" si="7"/>
        <v>9.9741697416974162</v>
      </c>
    </row>
    <row r="33" spans="2:7" ht="15">
      <c r="B33" s="252" t="s">
        <v>370</v>
      </c>
      <c r="C33" s="152">
        <v>253.4</v>
      </c>
      <c r="D33" s="178">
        <v>305.5</v>
      </c>
      <c r="E33" s="886" t="s">
        <v>371</v>
      </c>
      <c r="F33" s="178">
        <f t="shared" si="6"/>
        <v>2.6845000000000003</v>
      </c>
      <c r="G33" s="887">
        <f t="shared" si="7"/>
        <v>10.593922651933703</v>
      </c>
    </row>
    <row r="34" spans="2:7" ht="15">
      <c r="B34" s="252" t="s">
        <v>372</v>
      </c>
      <c r="C34" s="152">
        <v>238</v>
      </c>
      <c r="D34" s="178">
        <v>305</v>
      </c>
      <c r="E34" s="886" t="s">
        <v>371</v>
      </c>
      <c r="F34" s="178">
        <f t="shared" si="6"/>
        <v>2.6850000000000001</v>
      </c>
      <c r="G34" s="887">
        <f t="shared" si="7"/>
        <v>11.281512605042018</v>
      </c>
    </row>
    <row r="35" spans="2:7" ht="15">
      <c r="B35" s="252" t="s">
        <v>373</v>
      </c>
      <c r="C35" s="152">
        <v>224.2</v>
      </c>
      <c r="D35" s="178">
        <v>304.10000000000002</v>
      </c>
      <c r="E35" s="886" t="s">
        <v>374</v>
      </c>
      <c r="F35" s="178">
        <f t="shared" si="6"/>
        <v>2.6659000000000002</v>
      </c>
      <c r="G35" s="887">
        <f t="shared" si="7"/>
        <v>11.890722569134702</v>
      </c>
    </row>
    <row r="36" spans="2:7" ht="15">
      <c r="B36" s="252" t="s">
        <v>375</v>
      </c>
      <c r="C36" s="152">
        <v>200.9</v>
      </c>
      <c r="D36" s="178">
        <v>303.3</v>
      </c>
      <c r="E36" s="886" t="s">
        <v>376</v>
      </c>
      <c r="F36" s="178">
        <f t="shared" si="6"/>
        <v>2.6566999999999998</v>
      </c>
      <c r="G36" s="887">
        <f t="shared" si="7"/>
        <v>13.223992035838725</v>
      </c>
    </row>
    <row r="37" spans="2:7" ht="15">
      <c r="B37" s="252" t="s">
        <v>377</v>
      </c>
      <c r="C37" s="152">
        <v>226.5</v>
      </c>
      <c r="D37" s="178">
        <v>293.8</v>
      </c>
      <c r="E37" s="886" t="s">
        <v>378</v>
      </c>
      <c r="F37" s="178">
        <f t="shared" si="6"/>
        <v>2.5162</v>
      </c>
      <c r="G37" s="887">
        <f t="shared" si="7"/>
        <v>11.109050772626931</v>
      </c>
    </row>
    <row r="38" spans="2:7" ht="15">
      <c r="B38" s="252" t="s">
        <v>379</v>
      </c>
      <c r="C38" s="152">
        <v>193.8</v>
      </c>
      <c r="D38" s="178">
        <v>292.39999999999998</v>
      </c>
      <c r="E38" s="886" t="s">
        <v>380</v>
      </c>
      <c r="F38" s="178">
        <f t="shared" si="6"/>
        <v>2.4976000000000003</v>
      </c>
      <c r="G38" s="887">
        <f t="shared" si="7"/>
        <v>12.887512899896802</v>
      </c>
    </row>
    <row r="39" spans="2:7" ht="15">
      <c r="B39" s="252" t="s">
        <v>381</v>
      </c>
      <c r="C39" s="152">
        <v>175.9</v>
      </c>
      <c r="D39" s="178">
        <v>291.7</v>
      </c>
      <c r="E39" s="886" t="s">
        <v>382</v>
      </c>
      <c r="F39" s="178">
        <f t="shared" si="6"/>
        <v>2.4882999999999997</v>
      </c>
      <c r="G39" s="887">
        <f t="shared" si="7"/>
        <v>14.146105741898804</v>
      </c>
    </row>
    <row r="40" spans="2:7" ht="15">
      <c r="B40" s="252" t="s">
        <v>383</v>
      </c>
      <c r="C40" s="152">
        <v>196.8</v>
      </c>
      <c r="D40" s="178">
        <v>268</v>
      </c>
      <c r="E40" s="886" t="s">
        <v>384</v>
      </c>
      <c r="F40" s="178">
        <f t="shared" si="6"/>
        <v>2.282</v>
      </c>
      <c r="G40" s="887">
        <f t="shared" si="7"/>
        <v>11.595528455284553</v>
      </c>
    </row>
    <row r="41" spans="2:7" ht="15">
      <c r="B41" s="252" t="s">
        <v>385</v>
      </c>
      <c r="C41" s="152">
        <v>173</v>
      </c>
      <c r="D41" s="178">
        <v>266.7</v>
      </c>
      <c r="E41" s="886" t="s">
        <v>386</v>
      </c>
      <c r="F41" s="178">
        <f t="shared" si="6"/>
        <v>2.2632999999999996</v>
      </c>
      <c r="G41" s="887">
        <f t="shared" si="7"/>
        <v>13.082658959537572</v>
      </c>
    </row>
    <row r="42" spans="2:7" ht="15">
      <c r="B42" s="252" t="s">
        <v>387</v>
      </c>
      <c r="C42" s="152">
        <v>146.9</v>
      </c>
      <c r="D42" s="178">
        <v>265.2</v>
      </c>
      <c r="E42" s="886" t="s">
        <v>388</v>
      </c>
      <c r="F42" s="178">
        <f t="shared" si="6"/>
        <v>2.2447999999999997</v>
      </c>
      <c r="G42" s="887">
        <f t="shared" si="7"/>
        <v>15.281143635125934</v>
      </c>
    </row>
    <row r="43" spans="2:7" ht="15">
      <c r="B43" s="252" t="s">
        <v>389</v>
      </c>
      <c r="C43" s="152">
        <v>133.9</v>
      </c>
      <c r="D43" s="178">
        <v>264.39999999999998</v>
      </c>
      <c r="E43" s="886" t="s">
        <v>388</v>
      </c>
      <c r="F43" s="178">
        <f t="shared" si="6"/>
        <v>2.2455999999999996</v>
      </c>
      <c r="G43" s="887">
        <f t="shared" si="7"/>
        <v>16.770724421209852</v>
      </c>
    </row>
    <row r="44" spans="2:7" ht="15">
      <c r="B44" s="252" t="s">
        <v>390</v>
      </c>
      <c r="C44" s="152">
        <v>170.2</v>
      </c>
      <c r="D44" s="178">
        <v>255.8</v>
      </c>
      <c r="E44" s="886" t="s">
        <v>391</v>
      </c>
      <c r="F44" s="178">
        <f t="shared" si="6"/>
        <v>2.0941999999999998</v>
      </c>
      <c r="G44" s="887">
        <f t="shared" si="7"/>
        <v>12.304347826086957</v>
      </c>
    </row>
    <row r="45" spans="2:7" ht="15">
      <c r="B45" s="252" t="s">
        <v>392</v>
      </c>
      <c r="C45" s="152">
        <v>152.4</v>
      </c>
      <c r="D45" s="178">
        <v>254.5</v>
      </c>
      <c r="E45" s="886" t="s">
        <v>393</v>
      </c>
      <c r="F45" s="178">
        <f t="shared" si="6"/>
        <v>2.0854999999999997</v>
      </c>
      <c r="G45" s="887">
        <f t="shared" si="7"/>
        <v>13.684383202099735</v>
      </c>
    </row>
    <row r="46" spans="2:7" ht="15">
      <c r="B46" s="252" t="s">
        <v>394</v>
      </c>
      <c r="C46" s="152">
        <v>140.1</v>
      </c>
      <c r="D46" s="178">
        <v>253.7</v>
      </c>
      <c r="E46" s="886" t="s">
        <v>395</v>
      </c>
      <c r="F46" s="178">
        <f t="shared" si="6"/>
        <v>2.0763000000000003</v>
      </c>
      <c r="G46" s="887">
        <f t="shared" si="7"/>
        <v>14.82012847965739</v>
      </c>
    </row>
    <row r="47" spans="2:7" ht="15">
      <c r="B47" s="252" t="s">
        <v>396</v>
      </c>
      <c r="C47" s="152">
        <v>125.2</v>
      </c>
      <c r="D47" s="178">
        <v>253</v>
      </c>
      <c r="E47" s="886" t="s">
        <v>397</v>
      </c>
      <c r="F47" s="178">
        <f t="shared" si="6"/>
        <v>2.0669999999999997</v>
      </c>
      <c r="G47" s="887">
        <f t="shared" si="7"/>
        <v>16.509584664536739</v>
      </c>
    </row>
    <row r="48" spans="2:7" ht="15">
      <c r="B48" s="252" t="s">
        <v>398</v>
      </c>
      <c r="C48" s="152">
        <v>238.1</v>
      </c>
      <c r="D48" s="178">
        <v>311.39999999999998</v>
      </c>
      <c r="E48" s="886" t="s">
        <v>399</v>
      </c>
      <c r="F48" s="178">
        <f t="shared" si="6"/>
        <v>2.1386000000000003</v>
      </c>
      <c r="G48" s="887">
        <f t="shared" si="7"/>
        <v>8.9819403611927768</v>
      </c>
    </row>
    <row r="49" spans="2:7" ht="15">
      <c r="B49" s="252" t="s">
        <v>400</v>
      </c>
      <c r="C49" s="152">
        <v>179</v>
      </c>
      <c r="D49" s="178">
        <v>307.10000000000002</v>
      </c>
      <c r="E49" s="886" t="s">
        <v>401</v>
      </c>
      <c r="F49" s="178">
        <f t="shared" si="6"/>
        <v>2.1029</v>
      </c>
      <c r="G49" s="887">
        <f t="shared" si="7"/>
        <v>11.74804469273743</v>
      </c>
    </row>
    <row r="50" spans="2:7" ht="15">
      <c r="B50" s="252" t="s">
        <v>402</v>
      </c>
      <c r="C50" s="152">
        <v>149.19999999999999</v>
      </c>
      <c r="D50" s="178">
        <v>304.8</v>
      </c>
      <c r="E50" s="886" t="s">
        <v>403</v>
      </c>
      <c r="F50" s="178">
        <f t="shared" si="6"/>
        <v>2.0851999999999999</v>
      </c>
      <c r="G50" s="887">
        <f t="shared" si="7"/>
        <v>13.975871313672922</v>
      </c>
    </row>
    <row r="51" spans="2:7" ht="15">
      <c r="B51" s="252" t="s">
        <v>404</v>
      </c>
      <c r="C51" s="152">
        <v>139.9</v>
      </c>
      <c r="D51" s="178">
        <v>230.2</v>
      </c>
      <c r="E51" s="886" t="s">
        <v>405</v>
      </c>
      <c r="F51" s="178">
        <f t="shared" si="6"/>
        <v>1.8797999999999999</v>
      </c>
      <c r="G51" s="887">
        <f t="shared" si="7"/>
        <v>13.436740528949249</v>
      </c>
    </row>
    <row r="52" spans="2:7" ht="15">
      <c r="B52" s="252" t="s">
        <v>406</v>
      </c>
      <c r="C52" s="152">
        <v>125.1</v>
      </c>
      <c r="D52" s="178">
        <v>229</v>
      </c>
      <c r="E52" s="886" t="s">
        <v>407</v>
      </c>
      <c r="F52" s="178">
        <f t="shared" si="6"/>
        <v>1.8609999999999998</v>
      </c>
      <c r="G52" s="887">
        <f t="shared" si="7"/>
        <v>14.876099120703437</v>
      </c>
    </row>
    <row r="53" spans="2:7" ht="15">
      <c r="B53" s="252" t="s">
        <v>408</v>
      </c>
      <c r="C53" s="152">
        <v>113</v>
      </c>
      <c r="D53" s="178">
        <v>228.2</v>
      </c>
      <c r="E53" s="886" t="s">
        <v>409</v>
      </c>
      <c r="F53" s="178">
        <f t="shared" si="6"/>
        <v>1.8518000000000001</v>
      </c>
      <c r="G53" s="887">
        <f t="shared" si="7"/>
        <v>16.387610619469026</v>
      </c>
    </row>
    <row r="54" spans="2:7" ht="15">
      <c r="B54" s="252" t="s">
        <v>410</v>
      </c>
      <c r="C54" s="152">
        <v>101.2</v>
      </c>
      <c r="D54" s="178">
        <v>227.6</v>
      </c>
      <c r="E54" s="886" t="s">
        <v>411</v>
      </c>
      <c r="F54" s="178">
        <f t="shared" si="6"/>
        <v>1.8423999999999998</v>
      </c>
      <c r="G54" s="887">
        <f t="shared" si="7"/>
        <v>18.205533596837942</v>
      </c>
    </row>
    <row r="55" spans="2:7" ht="15">
      <c r="B55" s="252" t="s">
        <v>412</v>
      </c>
      <c r="C55" s="152">
        <v>100.3</v>
      </c>
      <c r="D55" s="178">
        <v>179.2</v>
      </c>
      <c r="E55" s="886" t="s">
        <v>413</v>
      </c>
      <c r="F55" s="178">
        <f t="shared" si="6"/>
        <v>1.7107999999999999</v>
      </c>
      <c r="G55" s="887">
        <f t="shared" si="7"/>
        <v>17.056829511465601</v>
      </c>
    </row>
    <row r="56" spans="2:7" ht="15">
      <c r="B56" s="252" t="s">
        <v>414</v>
      </c>
      <c r="C56" s="152">
        <v>92.2</v>
      </c>
      <c r="D56" s="178">
        <v>178.8</v>
      </c>
      <c r="E56" s="886" t="s">
        <v>415</v>
      </c>
      <c r="F56" s="178">
        <f t="shared" si="6"/>
        <v>1.7011999999999998</v>
      </c>
      <c r="G56" s="887">
        <f t="shared" si="7"/>
        <v>18.451193058568325</v>
      </c>
    </row>
    <row r="57" spans="2:7" ht="15">
      <c r="B57" s="252" t="s">
        <v>416</v>
      </c>
      <c r="C57" s="152">
        <v>81.8</v>
      </c>
      <c r="D57" s="178">
        <v>177.9</v>
      </c>
      <c r="E57" s="886" t="s">
        <v>417</v>
      </c>
      <c r="F57" s="178">
        <f t="shared" si="6"/>
        <v>1.6921000000000002</v>
      </c>
      <c r="G57" s="887">
        <f t="shared" si="7"/>
        <v>20.68581907090465</v>
      </c>
    </row>
    <row r="58" spans="2:7" ht="15">
      <c r="B58" s="252" t="s">
        <v>418</v>
      </c>
      <c r="C58" s="152">
        <v>273.3</v>
      </c>
      <c r="D58" s="178">
        <v>320.2</v>
      </c>
      <c r="E58" s="886" t="s">
        <v>419</v>
      </c>
      <c r="F58" s="178">
        <f t="shared" si="6"/>
        <v>2.0498000000000003</v>
      </c>
      <c r="G58" s="887">
        <f t="shared" si="7"/>
        <v>7.5001829491401404</v>
      </c>
    </row>
    <row r="59" spans="2:7" ht="15">
      <c r="B59" s="252" t="s">
        <v>420</v>
      </c>
      <c r="C59" s="152">
        <v>218.8</v>
      </c>
      <c r="D59" s="178">
        <v>317.39999999999998</v>
      </c>
      <c r="E59" s="886" t="s">
        <v>395</v>
      </c>
      <c r="F59" s="178">
        <f t="shared" si="6"/>
        <v>2.0125999999999999</v>
      </c>
      <c r="G59" s="887">
        <f t="shared" si="7"/>
        <v>9.1983546617915888</v>
      </c>
    </row>
    <row r="60" spans="2:7" ht="15">
      <c r="B60" s="252" t="s">
        <v>421</v>
      </c>
      <c r="C60" s="152">
        <v>181.5</v>
      </c>
      <c r="D60" s="178">
        <v>314.5</v>
      </c>
      <c r="E60" s="886" t="s">
        <v>422</v>
      </c>
      <c r="F60" s="178">
        <f t="shared" si="6"/>
        <v>1.9955000000000001</v>
      </c>
      <c r="G60" s="887">
        <f t="shared" si="7"/>
        <v>10.994490358126722</v>
      </c>
    </row>
    <row r="61" spans="2:7" ht="15">
      <c r="B61" s="252" t="s">
        <v>423</v>
      </c>
      <c r="C61" s="152">
        <v>150.6</v>
      </c>
      <c r="D61" s="178">
        <v>312</v>
      </c>
      <c r="E61" s="886" t="s">
        <v>424</v>
      </c>
      <c r="F61" s="178">
        <f t="shared" si="6"/>
        <v>1.978</v>
      </c>
      <c r="G61" s="887">
        <f t="shared" si="7"/>
        <v>13.134130146082338</v>
      </c>
    </row>
    <row r="62" spans="2:7" ht="15">
      <c r="B62" s="252" t="s">
        <v>425</v>
      </c>
      <c r="C62" s="152">
        <v>138.30000000000001</v>
      </c>
      <c r="D62" s="178">
        <v>213.9</v>
      </c>
      <c r="E62" s="886" t="s">
        <v>426</v>
      </c>
      <c r="F62" s="178">
        <f t="shared" si="6"/>
        <v>1.6860999999999999</v>
      </c>
      <c r="G62" s="887">
        <f t="shared" si="7"/>
        <v>12.191612436731742</v>
      </c>
    </row>
    <row r="63" spans="2:7" ht="15">
      <c r="B63" s="252" t="s">
        <v>427</v>
      </c>
      <c r="C63" s="152">
        <v>122</v>
      </c>
      <c r="D63" s="178">
        <v>211.9</v>
      </c>
      <c r="E63" s="886" t="s">
        <v>413</v>
      </c>
      <c r="F63" s="178">
        <f t="shared" si="6"/>
        <v>1.6780999999999999</v>
      </c>
      <c r="G63" s="887">
        <f t="shared" si="7"/>
        <v>13.754918032786884</v>
      </c>
    </row>
    <row r="64" spans="2:7" ht="15">
      <c r="B64" s="252" t="s">
        <v>428</v>
      </c>
      <c r="C64" s="152">
        <v>109</v>
      </c>
      <c r="D64" s="178">
        <v>210.8</v>
      </c>
      <c r="E64" s="886" t="s">
        <v>415</v>
      </c>
      <c r="F64" s="178">
        <f t="shared" si="6"/>
        <v>1.6691999999999998</v>
      </c>
      <c r="G64" s="887">
        <f t="shared" si="7"/>
        <v>15.313761467889906</v>
      </c>
    </row>
    <row r="65" spans="2:7" ht="15">
      <c r="B65" s="252" t="s">
        <v>429</v>
      </c>
      <c r="C65" s="152">
        <v>101</v>
      </c>
      <c r="D65" s="178">
        <v>210</v>
      </c>
      <c r="E65" s="886" t="s">
        <v>417</v>
      </c>
      <c r="F65" s="178">
        <f t="shared" si="6"/>
        <v>1.6600000000000001</v>
      </c>
      <c r="G65" s="887">
        <f t="shared" si="7"/>
        <v>16.435643564356436</v>
      </c>
    </row>
    <row r="66" spans="2:7" ht="15">
      <c r="B66" s="252" t="s">
        <v>430</v>
      </c>
      <c r="C66" s="152">
        <v>92.1</v>
      </c>
      <c r="D66" s="178">
        <v>209.3</v>
      </c>
      <c r="E66" s="886" t="s">
        <v>431</v>
      </c>
      <c r="F66" s="178">
        <f t="shared" si="6"/>
        <v>1.6507000000000001</v>
      </c>
      <c r="G66" s="887">
        <f t="shared" si="7"/>
        <v>17.922909880564607</v>
      </c>
    </row>
    <row r="67" spans="2:7" ht="15">
      <c r="B67" s="252" t="s">
        <v>432</v>
      </c>
      <c r="C67" s="152">
        <v>82.2</v>
      </c>
      <c r="D67" s="178">
        <v>208.8</v>
      </c>
      <c r="E67" s="886" t="s">
        <v>433</v>
      </c>
      <c r="F67" s="178">
        <f t="shared" si="6"/>
        <v>1.6412</v>
      </c>
      <c r="G67" s="887">
        <f t="shared" si="7"/>
        <v>19.965936739659366</v>
      </c>
    </row>
    <row r="68" spans="2:7" ht="15">
      <c r="B68" s="252" t="s">
        <v>434</v>
      </c>
      <c r="C68" s="152">
        <v>84.8</v>
      </c>
      <c r="D68" s="178">
        <v>166.5</v>
      </c>
      <c r="E68" s="886" t="s">
        <v>435</v>
      </c>
      <c r="F68" s="178">
        <f t="shared" si="6"/>
        <v>1.5234999999999999</v>
      </c>
      <c r="G68" s="887">
        <f t="shared" si="7"/>
        <v>17.965801886792452</v>
      </c>
    </row>
    <row r="69" spans="2:7" ht="15">
      <c r="B69" s="252" t="s">
        <v>436</v>
      </c>
      <c r="C69" s="152">
        <v>74.7</v>
      </c>
      <c r="D69" s="178">
        <v>165.9</v>
      </c>
      <c r="E69" s="886" t="s">
        <v>437</v>
      </c>
      <c r="F69" s="178">
        <f t="shared" si="6"/>
        <v>1.5141</v>
      </c>
      <c r="G69" s="887">
        <f t="shared" si="7"/>
        <v>20.269076305220882</v>
      </c>
    </row>
    <row r="70" spans="2:7" ht="15">
      <c r="B70" s="252" t="s">
        <v>438</v>
      </c>
      <c r="C70" s="152">
        <v>65.7</v>
      </c>
      <c r="D70" s="178">
        <v>165.1</v>
      </c>
      <c r="E70" s="886" t="s">
        <v>439</v>
      </c>
      <c r="F70" s="178">
        <f t="shared" si="6"/>
        <v>1.5048999999999999</v>
      </c>
      <c r="G70" s="887">
        <f t="shared" si="7"/>
        <v>22.905631659056311</v>
      </c>
    </row>
    <row r="71" spans="2:7" ht="15">
      <c r="B71" s="252" t="s">
        <v>440</v>
      </c>
      <c r="C71" s="152">
        <v>161.4</v>
      </c>
      <c r="D71" s="178">
        <v>199.4</v>
      </c>
      <c r="E71" s="886" t="s">
        <v>441</v>
      </c>
      <c r="F71" s="178">
        <f t="shared" si="6"/>
        <v>1.5306</v>
      </c>
      <c r="G71" s="887">
        <f t="shared" si="7"/>
        <v>9.4832713754646836</v>
      </c>
    </row>
    <row r="72" spans="2:7" ht="15">
      <c r="B72" s="252" t="s">
        <v>442</v>
      </c>
      <c r="C72" s="152">
        <v>133.30000000000001</v>
      </c>
      <c r="D72" s="178">
        <v>196.7</v>
      </c>
      <c r="E72" s="886" t="s">
        <v>443</v>
      </c>
      <c r="F72" s="178">
        <f t="shared" si="6"/>
        <v>1.5032999999999999</v>
      </c>
      <c r="G72" s="887">
        <f t="shared" si="7"/>
        <v>11.277569392348086</v>
      </c>
    </row>
    <row r="73" spans="2:7" ht="15">
      <c r="B73" s="252" t="s">
        <v>444</v>
      </c>
      <c r="C73" s="152">
        <v>105.8</v>
      </c>
      <c r="D73" s="178">
        <v>194</v>
      </c>
      <c r="E73" s="886" t="s">
        <v>439</v>
      </c>
      <c r="F73" s="178">
        <f t="shared" si="6"/>
        <v>1.476</v>
      </c>
      <c r="G73" s="887">
        <f t="shared" si="7"/>
        <v>13.95085066162571</v>
      </c>
    </row>
    <row r="74" spans="2:7" ht="15">
      <c r="B74" s="252" t="s">
        <v>445</v>
      </c>
      <c r="C74" s="152">
        <v>98.3</v>
      </c>
      <c r="D74" s="178">
        <v>192.8</v>
      </c>
      <c r="E74" s="886" t="s">
        <v>439</v>
      </c>
      <c r="F74" s="178">
        <f t="shared" si="6"/>
        <v>1.4771999999999998</v>
      </c>
      <c r="G74" s="887">
        <f t="shared" si="7"/>
        <v>15.027466937945064</v>
      </c>
    </row>
    <row r="75" spans="2:7" ht="15">
      <c r="B75" s="252" t="s">
        <v>446</v>
      </c>
      <c r="C75" s="152">
        <v>89.3</v>
      </c>
      <c r="D75" s="178">
        <v>191.9</v>
      </c>
      <c r="E75" s="886" t="s">
        <v>447</v>
      </c>
      <c r="F75" s="178">
        <f t="shared" si="6"/>
        <v>1.4681</v>
      </c>
      <c r="G75" s="887">
        <f t="shared" si="7"/>
        <v>16.440089585666296</v>
      </c>
    </row>
    <row r="76" spans="2:7" ht="15">
      <c r="B76" s="252" t="s">
        <v>448</v>
      </c>
      <c r="C76" s="152">
        <v>82</v>
      </c>
      <c r="D76" s="178">
        <v>191.3</v>
      </c>
      <c r="E76" s="886" t="s">
        <v>449</v>
      </c>
      <c r="F76" s="178">
        <f t="shared" si="6"/>
        <v>1.4586999999999999</v>
      </c>
      <c r="G76" s="887">
        <f t="shared" si="7"/>
        <v>17.789024390243899</v>
      </c>
    </row>
    <row r="77" spans="2:7" ht="15">
      <c r="B77" s="252" t="s">
        <v>450</v>
      </c>
      <c r="C77" s="152">
        <v>74.3</v>
      </c>
      <c r="D77" s="178">
        <v>190.4</v>
      </c>
      <c r="E77" s="886" t="s">
        <v>451</v>
      </c>
      <c r="F77" s="178">
        <f t="shared" ref="F77:F118" si="8">E77-D77/1000</f>
        <v>1.4495999999999998</v>
      </c>
      <c r="G77" s="887">
        <f t="shared" ref="G77:G118" si="9">F77/(C77/1000)</f>
        <v>19.510094212651413</v>
      </c>
    </row>
    <row r="78" spans="2:7" ht="15">
      <c r="B78" s="252" t="s">
        <v>452</v>
      </c>
      <c r="C78" s="152">
        <v>67.099999999999994</v>
      </c>
      <c r="D78" s="178">
        <v>189.9</v>
      </c>
      <c r="E78" s="886" t="s">
        <v>453</v>
      </c>
      <c r="F78" s="178">
        <f t="shared" si="8"/>
        <v>1.4400999999999999</v>
      </c>
      <c r="G78" s="887">
        <f t="shared" si="9"/>
        <v>21.461997019374071</v>
      </c>
    </row>
    <row r="79" spans="2:7" ht="15">
      <c r="B79" s="252" t="s">
        <v>454</v>
      </c>
      <c r="C79" s="152">
        <v>82.1</v>
      </c>
      <c r="D79" s="178">
        <v>155.30000000000001</v>
      </c>
      <c r="E79" s="886" t="s">
        <v>455</v>
      </c>
      <c r="F79" s="178">
        <f t="shared" si="8"/>
        <v>1.3547</v>
      </c>
      <c r="G79" s="887">
        <f t="shared" si="9"/>
        <v>16.500609013398297</v>
      </c>
    </row>
    <row r="80" spans="2:7" ht="15">
      <c r="B80" s="252" t="s">
        <v>456</v>
      </c>
      <c r="C80" s="152">
        <v>74.2</v>
      </c>
      <c r="D80" s="178">
        <v>154.4</v>
      </c>
      <c r="E80" s="886" t="s">
        <v>457</v>
      </c>
      <c r="F80" s="178">
        <f t="shared" si="8"/>
        <v>1.3455999999999999</v>
      </c>
      <c r="G80" s="887">
        <f t="shared" si="9"/>
        <v>18.134770889487868</v>
      </c>
    </row>
    <row r="81" spans="2:7" ht="15">
      <c r="B81" s="252" t="s">
        <v>458</v>
      </c>
      <c r="C81" s="152">
        <v>67.2</v>
      </c>
      <c r="D81" s="178">
        <v>153.80000000000001</v>
      </c>
      <c r="E81" s="886" t="s">
        <v>457</v>
      </c>
      <c r="F81" s="178">
        <f t="shared" si="8"/>
        <v>1.3462000000000001</v>
      </c>
      <c r="G81" s="887">
        <f t="shared" si="9"/>
        <v>20.032738095238095</v>
      </c>
    </row>
    <row r="82" spans="2:7" ht="15">
      <c r="B82" s="252" t="s">
        <v>459</v>
      </c>
      <c r="C82" s="152">
        <v>59.8</v>
      </c>
      <c r="D82" s="178">
        <v>152.9</v>
      </c>
      <c r="E82" s="886" t="s">
        <v>460</v>
      </c>
      <c r="F82" s="178">
        <f t="shared" si="8"/>
        <v>1.3371</v>
      </c>
      <c r="G82" s="887">
        <f t="shared" si="9"/>
        <v>22.359531772575249</v>
      </c>
    </row>
    <row r="83" spans="2:7" ht="15">
      <c r="B83" s="252" t="s">
        <v>461</v>
      </c>
      <c r="C83" s="152">
        <v>52.3</v>
      </c>
      <c r="D83" s="178">
        <v>152.4</v>
      </c>
      <c r="E83" s="886" t="s">
        <v>462</v>
      </c>
      <c r="F83" s="178">
        <f t="shared" si="8"/>
        <v>1.3275999999999999</v>
      </c>
      <c r="G83" s="887">
        <f t="shared" si="9"/>
        <v>25.384321223709367</v>
      </c>
    </row>
    <row r="84" spans="2:7" ht="15">
      <c r="B84" s="252" t="s">
        <v>463</v>
      </c>
      <c r="C84" s="152">
        <v>85.3</v>
      </c>
      <c r="D84" s="178">
        <v>181.9</v>
      </c>
      <c r="E84" s="886" t="s">
        <v>464</v>
      </c>
      <c r="F84" s="178">
        <f t="shared" si="8"/>
        <v>1.3381000000000001</v>
      </c>
      <c r="G84" s="887">
        <f t="shared" si="9"/>
        <v>15.686987104337632</v>
      </c>
    </row>
    <row r="85" spans="2:7" ht="15">
      <c r="B85" s="252" t="s">
        <v>465</v>
      </c>
      <c r="C85" s="152">
        <v>74.2</v>
      </c>
      <c r="D85" s="178">
        <v>179.5</v>
      </c>
      <c r="E85" s="886" t="s">
        <v>455</v>
      </c>
      <c r="F85" s="178">
        <f t="shared" si="8"/>
        <v>1.3305</v>
      </c>
      <c r="G85" s="887">
        <f t="shared" si="9"/>
        <v>17.931266846361186</v>
      </c>
    </row>
    <row r="86" spans="2:7" ht="15">
      <c r="B86" s="252" t="s">
        <v>466</v>
      </c>
      <c r="C86" s="152">
        <v>67.099999999999994</v>
      </c>
      <c r="D86" s="178">
        <v>178.8</v>
      </c>
      <c r="E86" s="886" t="s">
        <v>457</v>
      </c>
      <c r="F86" s="178">
        <f t="shared" si="8"/>
        <v>1.3211999999999999</v>
      </c>
      <c r="G86" s="887">
        <f t="shared" si="9"/>
        <v>19.690014903129658</v>
      </c>
    </row>
    <row r="87" spans="2:7" ht="15">
      <c r="B87" s="252" t="s">
        <v>467</v>
      </c>
      <c r="C87" s="152">
        <v>60.1</v>
      </c>
      <c r="D87" s="178">
        <v>177.9</v>
      </c>
      <c r="E87" s="886" t="s">
        <v>460</v>
      </c>
      <c r="F87" s="178">
        <f t="shared" si="8"/>
        <v>1.3121</v>
      </c>
      <c r="G87" s="887">
        <f t="shared" si="9"/>
        <v>21.831946755407653</v>
      </c>
    </row>
    <row r="88" spans="2:7" ht="15">
      <c r="B88" s="252" t="s">
        <v>468</v>
      </c>
      <c r="C88" s="152">
        <v>54.1</v>
      </c>
      <c r="D88" s="178">
        <v>177.7</v>
      </c>
      <c r="E88" s="886" t="s">
        <v>462</v>
      </c>
      <c r="F88" s="178">
        <f t="shared" si="8"/>
        <v>1.3023</v>
      </c>
      <c r="G88" s="887">
        <f t="shared" si="9"/>
        <v>24.072088724584102</v>
      </c>
    </row>
    <row r="89" spans="2:7" ht="15">
      <c r="B89" s="252" t="s">
        <v>469</v>
      </c>
      <c r="C89" s="152">
        <v>53.3</v>
      </c>
      <c r="D89" s="178">
        <v>143.30000000000001</v>
      </c>
      <c r="E89" s="886" t="s">
        <v>470</v>
      </c>
      <c r="F89" s="178">
        <f t="shared" si="8"/>
        <v>1.2067000000000001</v>
      </c>
      <c r="G89" s="887">
        <f t="shared" si="9"/>
        <v>22.639774859287055</v>
      </c>
    </row>
    <row r="90" spans="2:7" ht="15">
      <c r="B90" s="252" t="s">
        <v>471</v>
      </c>
      <c r="C90" s="152">
        <v>46</v>
      </c>
      <c r="D90" s="178">
        <v>142.19999999999999</v>
      </c>
      <c r="E90" s="886" t="s">
        <v>472</v>
      </c>
      <c r="F90" s="178">
        <f t="shared" si="8"/>
        <v>1.1978</v>
      </c>
      <c r="G90" s="887">
        <f t="shared" si="9"/>
        <v>26.03913043478261</v>
      </c>
    </row>
    <row r="91" spans="2:7" ht="15">
      <c r="B91" s="252" t="s">
        <v>473</v>
      </c>
      <c r="C91" s="152">
        <v>39</v>
      </c>
      <c r="D91" s="178">
        <v>141.80000000000001</v>
      </c>
      <c r="E91" s="886" t="s">
        <v>474</v>
      </c>
      <c r="F91" s="178">
        <f t="shared" si="8"/>
        <v>1.1882000000000001</v>
      </c>
      <c r="G91" s="887">
        <f t="shared" si="9"/>
        <v>30.466666666666672</v>
      </c>
    </row>
    <row r="92" spans="2:7" ht="15">
      <c r="B92" s="252" t="s">
        <v>475</v>
      </c>
      <c r="C92" s="152">
        <v>67.099999999999994</v>
      </c>
      <c r="D92" s="178">
        <v>173.2</v>
      </c>
      <c r="E92" s="886" t="s">
        <v>476</v>
      </c>
      <c r="F92" s="178">
        <f t="shared" si="8"/>
        <v>1.2067999999999999</v>
      </c>
      <c r="G92" s="887">
        <f t="shared" si="9"/>
        <v>17.985096870342772</v>
      </c>
    </row>
    <row r="93" spans="2:7" ht="15">
      <c r="B93" s="252" t="s">
        <v>477</v>
      </c>
      <c r="C93" s="152">
        <v>57</v>
      </c>
      <c r="D93" s="178">
        <v>172.2</v>
      </c>
      <c r="E93" s="886" t="s">
        <v>478</v>
      </c>
      <c r="F93" s="178">
        <f t="shared" si="8"/>
        <v>1.1978000000000002</v>
      </c>
      <c r="G93" s="887">
        <f t="shared" si="9"/>
        <v>21.0140350877193</v>
      </c>
    </row>
    <row r="94" spans="2:7" ht="15">
      <c r="B94" s="252" t="s">
        <v>479</v>
      </c>
      <c r="C94" s="152">
        <v>51</v>
      </c>
      <c r="D94" s="178">
        <v>171.5</v>
      </c>
      <c r="E94" s="886" t="s">
        <v>480</v>
      </c>
      <c r="F94" s="178">
        <f t="shared" si="8"/>
        <v>1.1885000000000001</v>
      </c>
      <c r="G94" s="887">
        <f t="shared" si="9"/>
        <v>23.303921568627455</v>
      </c>
    </row>
    <row r="95" spans="2:7" ht="15">
      <c r="B95" s="252" t="s">
        <v>481</v>
      </c>
      <c r="C95" s="152">
        <v>45</v>
      </c>
      <c r="D95" s="178">
        <v>171.1</v>
      </c>
      <c r="E95" s="886" t="s">
        <v>480</v>
      </c>
      <c r="F95" s="178">
        <f t="shared" si="8"/>
        <v>1.1889000000000001</v>
      </c>
      <c r="G95" s="887">
        <f t="shared" si="9"/>
        <v>26.42</v>
      </c>
    </row>
    <row r="96" spans="2:7" ht="15">
      <c r="B96" s="252" t="s">
        <v>482</v>
      </c>
      <c r="C96" s="152">
        <v>39.1</v>
      </c>
      <c r="D96" s="178">
        <v>126</v>
      </c>
      <c r="E96" s="886" t="s">
        <v>483</v>
      </c>
      <c r="F96" s="178">
        <f t="shared" si="8"/>
        <v>1.0539999999999998</v>
      </c>
      <c r="G96" s="887">
        <f t="shared" si="9"/>
        <v>26.95652173913043</v>
      </c>
    </row>
    <row r="97" spans="2:7" ht="15">
      <c r="B97" s="252" t="s">
        <v>484</v>
      </c>
      <c r="C97" s="152">
        <v>33.1</v>
      </c>
      <c r="D97" s="178">
        <v>125.4</v>
      </c>
      <c r="E97" s="886" t="s">
        <v>485</v>
      </c>
      <c r="F97" s="178">
        <f t="shared" si="8"/>
        <v>1.0446</v>
      </c>
      <c r="G97" s="887">
        <f t="shared" si="9"/>
        <v>31.558912386706943</v>
      </c>
    </row>
    <row r="98" spans="2:7" ht="15">
      <c r="B98" s="252" t="s">
        <v>486</v>
      </c>
      <c r="C98" s="152">
        <v>54</v>
      </c>
      <c r="D98" s="178">
        <v>166.9</v>
      </c>
      <c r="E98" s="886" t="s">
        <v>487</v>
      </c>
      <c r="F98" s="178">
        <f t="shared" si="8"/>
        <v>1.0931</v>
      </c>
      <c r="G98" s="887">
        <f t="shared" si="9"/>
        <v>20.242592592592594</v>
      </c>
    </row>
    <row r="99" spans="2:7" ht="15">
      <c r="B99" s="252" t="s">
        <v>488</v>
      </c>
      <c r="C99" s="152">
        <v>46.1</v>
      </c>
      <c r="D99" s="178">
        <v>165.7</v>
      </c>
      <c r="E99" s="886" t="s">
        <v>489</v>
      </c>
      <c r="F99" s="178">
        <f t="shared" si="8"/>
        <v>1.0843</v>
      </c>
      <c r="G99" s="887">
        <f t="shared" si="9"/>
        <v>23.520607375271151</v>
      </c>
    </row>
    <row r="100" spans="2:7" ht="15">
      <c r="B100" s="252" t="s">
        <v>490</v>
      </c>
      <c r="C100" s="152">
        <v>40.299999999999997</v>
      </c>
      <c r="D100" s="178">
        <v>165</v>
      </c>
      <c r="E100" s="886" t="s">
        <v>491</v>
      </c>
      <c r="F100" s="178">
        <f t="shared" si="8"/>
        <v>1.075</v>
      </c>
      <c r="G100" s="887">
        <f t="shared" si="9"/>
        <v>26.674937965260547</v>
      </c>
    </row>
    <row r="101" spans="2:7" ht="15">
      <c r="B101" s="252" t="s">
        <v>492</v>
      </c>
      <c r="C101" s="152">
        <v>48.1</v>
      </c>
      <c r="D101" s="178">
        <v>125.3</v>
      </c>
      <c r="E101" s="886" t="s">
        <v>493</v>
      </c>
      <c r="F101" s="178">
        <f t="shared" si="8"/>
        <v>0.96470000000000011</v>
      </c>
      <c r="G101" s="887">
        <f t="shared" si="9"/>
        <v>20.056133056133056</v>
      </c>
    </row>
    <row r="102" spans="2:7" ht="15">
      <c r="B102" s="252" t="s">
        <v>494</v>
      </c>
      <c r="C102" s="152">
        <v>41.9</v>
      </c>
      <c r="D102" s="178">
        <v>124.3</v>
      </c>
      <c r="E102" s="886" t="s">
        <v>495</v>
      </c>
      <c r="F102" s="178">
        <f t="shared" si="8"/>
        <v>0.9557000000000001</v>
      </c>
      <c r="G102" s="887">
        <f t="shared" si="9"/>
        <v>22.809069212410503</v>
      </c>
    </row>
    <row r="103" spans="2:7" ht="15">
      <c r="B103" s="252" t="s">
        <v>496</v>
      </c>
      <c r="C103" s="152">
        <v>37</v>
      </c>
      <c r="D103" s="178">
        <v>123.4</v>
      </c>
      <c r="E103" s="886" t="s">
        <v>497</v>
      </c>
      <c r="F103" s="178">
        <f t="shared" si="8"/>
        <v>0.94660000000000011</v>
      </c>
      <c r="G103" s="887">
        <f t="shared" si="9"/>
        <v>25.583783783783787</v>
      </c>
    </row>
    <row r="104" spans="2:7" ht="15">
      <c r="B104" s="252" t="s">
        <v>498</v>
      </c>
      <c r="C104" s="152">
        <v>32.799999999999997</v>
      </c>
      <c r="D104" s="178">
        <v>102.4</v>
      </c>
      <c r="E104" s="886" t="s">
        <v>499</v>
      </c>
      <c r="F104" s="178">
        <f t="shared" si="8"/>
        <v>0.90759999999999996</v>
      </c>
      <c r="G104" s="887">
        <f t="shared" si="9"/>
        <v>27.670731707317074</v>
      </c>
    </row>
    <row r="105" spans="2:7" ht="15">
      <c r="B105" s="252" t="s">
        <v>500</v>
      </c>
      <c r="C105" s="152">
        <v>28.2</v>
      </c>
      <c r="D105" s="178">
        <v>101.8</v>
      </c>
      <c r="E105" s="886" t="s">
        <v>501</v>
      </c>
      <c r="F105" s="178">
        <f t="shared" si="8"/>
        <v>0.8982</v>
      </c>
      <c r="G105" s="887">
        <f t="shared" si="9"/>
        <v>31.851063829787236</v>
      </c>
    </row>
    <row r="106" spans="2:7" ht="15">
      <c r="B106" s="252" t="s">
        <v>502</v>
      </c>
      <c r="C106" s="152">
        <v>24.8</v>
      </c>
      <c r="D106" s="178">
        <v>101.6</v>
      </c>
      <c r="E106" s="886" t="s">
        <v>503</v>
      </c>
      <c r="F106" s="178">
        <f t="shared" si="8"/>
        <v>0.89039999999999997</v>
      </c>
      <c r="G106" s="887">
        <f t="shared" si="9"/>
        <v>35.903225806451616</v>
      </c>
    </row>
    <row r="107" spans="2:7" ht="15">
      <c r="B107" s="252" t="s">
        <v>504</v>
      </c>
      <c r="C107" s="152">
        <v>43</v>
      </c>
      <c r="D107" s="178">
        <v>147.30000000000001</v>
      </c>
      <c r="E107" s="886" t="s">
        <v>495</v>
      </c>
      <c r="F107" s="178">
        <f t="shared" si="8"/>
        <v>0.93270000000000008</v>
      </c>
      <c r="G107" s="887">
        <f t="shared" si="9"/>
        <v>21.690697674418608</v>
      </c>
    </row>
    <row r="108" spans="2:7" ht="15">
      <c r="B108" s="252" t="s">
        <v>505</v>
      </c>
      <c r="C108" s="152">
        <v>37</v>
      </c>
      <c r="D108" s="178">
        <v>146.4</v>
      </c>
      <c r="E108" s="886" t="s">
        <v>497</v>
      </c>
      <c r="F108" s="178">
        <f t="shared" si="8"/>
        <v>0.92360000000000009</v>
      </c>
      <c r="G108" s="887">
        <f t="shared" si="9"/>
        <v>24.962162162162166</v>
      </c>
    </row>
    <row r="109" spans="2:7" ht="15">
      <c r="B109" s="252" t="s">
        <v>506</v>
      </c>
      <c r="C109" s="152">
        <v>31.1</v>
      </c>
      <c r="D109" s="178">
        <v>146.1</v>
      </c>
      <c r="E109" s="886" t="s">
        <v>507</v>
      </c>
      <c r="F109" s="178">
        <f t="shared" si="8"/>
        <v>0.91390000000000005</v>
      </c>
      <c r="G109" s="887">
        <f t="shared" si="9"/>
        <v>29.385852090032152</v>
      </c>
    </row>
    <row r="110" spans="2:7" ht="15">
      <c r="B110" s="252" t="s">
        <v>508</v>
      </c>
      <c r="C110" s="152">
        <v>28.3</v>
      </c>
      <c r="D110" s="178">
        <v>102.2</v>
      </c>
      <c r="E110" s="886" t="s">
        <v>509</v>
      </c>
      <c r="F110" s="178">
        <f t="shared" si="8"/>
        <v>0.80180000000000007</v>
      </c>
      <c r="G110" s="887">
        <f t="shared" si="9"/>
        <v>28.332155477031801</v>
      </c>
    </row>
    <row r="111" spans="2:7" ht="15">
      <c r="B111" s="252" t="s">
        <v>510</v>
      </c>
      <c r="C111" s="152">
        <v>25.2</v>
      </c>
      <c r="D111" s="178">
        <v>101.9</v>
      </c>
      <c r="E111" s="886" t="s">
        <v>511</v>
      </c>
      <c r="F111" s="178">
        <f t="shared" si="8"/>
        <v>0.79510000000000003</v>
      </c>
      <c r="G111" s="887">
        <f t="shared" si="9"/>
        <v>31.551587301587304</v>
      </c>
    </row>
    <row r="112" spans="2:7" ht="15">
      <c r="B112" s="252" t="s">
        <v>512</v>
      </c>
      <c r="C112" s="152">
        <v>22</v>
      </c>
      <c r="D112" s="178">
        <v>101.6</v>
      </c>
      <c r="E112" s="886" t="s">
        <v>513</v>
      </c>
      <c r="F112" s="178">
        <f t="shared" si="8"/>
        <v>0.78839999999999999</v>
      </c>
      <c r="G112" s="887">
        <f t="shared" si="9"/>
        <v>35.836363636363636</v>
      </c>
    </row>
    <row r="113" spans="2:7" ht="15">
      <c r="B113" s="252" t="s">
        <v>514</v>
      </c>
      <c r="C113" s="152">
        <v>30</v>
      </c>
      <c r="D113" s="178">
        <v>133.9</v>
      </c>
      <c r="E113" s="886" t="s">
        <v>515</v>
      </c>
      <c r="F113" s="178">
        <f t="shared" si="8"/>
        <v>0.78910000000000002</v>
      </c>
      <c r="G113" s="887">
        <f t="shared" si="9"/>
        <v>26.303333333333335</v>
      </c>
    </row>
    <row r="114" spans="2:7" ht="15">
      <c r="B114" s="252" t="s">
        <v>516</v>
      </c>
      <c r="C114" s="152">
        <v>25.1</v>
      </c>
      <c r="D114" s="178">
        <v>133.19999999999999</v>
      </c>
      <c r="E114" s="886" t="s">
        <v>517</v>
      </c>
      <c r="F114" s="178">
        <f t="shared" si="8"/>
        <v>0.78180000000000005</v>
      </c>
      <c r="G114" s="887">
        <f t="shared" si="9"/>
        <v>31.14741035856574</v>
      </c>
    </row>
    <row r="115" spans="2:7" ht="15">
      <c r="B115" s="252" t="s">
        <v>518</v>
      </c>
      <c r="C115" s="152">
        <v>23.1</v>
      </c>
      <c r="D115" s="178">
        <v>101.8</v>
      </c>
      <c r="E115" s="886" t="s">
        <v>519</v>
      </c>
      <c r="F115" s="178">
        <f t="shared" si="8"/>
        <v>0.68820000000000003</v>
      </c>
      <c r="G115" s="887">
        <f t="shared" si="9"/>
        <v>29.79220779220779</v>
      </c>
    </row>
    <row r="116" spans="2:7" ht="15">
      <c r="B116" s="252" t="s">
        <v>520</v>
      </c>
      <c r="C116" s="152">
        <v>19</v>
      </c>
      <c r="D116" s="178">
        <v>101.2</v>
      </c>
      <c r="E116" s="886" t="s">
        <v>521</v>
      </c>
      <c r="F116" s="178">
        <f t="shared" si="8"/>
        <v>0.63680000000000003</v>
      </c>
      <c r="G116" s="887">
        <f t="shared" si="9"/>
        <v>33.515789473684215</v>
      </c>
    </row>
    <row r="117" spans="2:7" ht="15">
      <c r="B117" s="252" t="s">
        <v>522</v>
      </c>
      <c r="C117" s="152">
        <v>16</v>
      </c>
      <c r="D117" s="178">
        <v>88.7</v>
      </c>
      <c r="E117" s="886" t="s">
        <v>523</v>
      </c>
      <c r="F117" s="178">
        <f t="shared" si="8"/>
        <v>0.54930000000000001</v>
      </c>
      <c r="G117" s="887">
        <f t="shared" si="9"/>
        <v>34.331249999999997</v>
      </c>
    </row>
    <row r="118" spans="2:7" ht="15">
      <c r="B118" s="252" t="s">
        <v>524</v>
      </c>
      <c r="C118" s="152">
        <v>13</v>
      </c>
      <c r="D118" s="178">
        <v>76</v>
      </c>
      <c r="E118" s="888" t="s">
        <v>525</v>
      </c>
      <c r="F118" s="889">
        <f t="shared" si="8"/>
        <v>0.46100000000000002</v>
      </c>
      <c r="G118" s="890">
        <f t="shared" si="9"/>
        <v>35.461538461538467</v>
      </c>
    </row>
  </sheetData>
  <mergeCells count="5">
    <mergeCell ref="C2:D2"/>
    <mergeCell ref="E2:H2"/>
    <mergeCell ref="I2:L2"/>
    <mergeCell ref="M2:N2"/>
    <mergeCell ref="E10:G10"/>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8965E-EDE0-4D4A-811A-056468D0C0D2}">
  <sheetPr codeName="Sheet20"/>
  <dimension ref="B2:F16"/>
  <sheetViews>
    <sheetView workbookViewId="0">
      <selection sqref="A1:XFD1048576"/>
    </sheetView>
  </sheetViews>
  <sheetFormatPr defaultColWidth="9.140625" defaultRowHeight="12"/>
  <cols>
    <col min="1" max="1" width="9.140625" style="150"/>
    <col min="2" max="2" width="40.5703125" style="150" bestFit="1" customWidth="1"/>
    <col min="3" max="5" width="20.5703125" style="150" customWidth="1"/>
    <col min="6" max="7" width="12.5703125" style="150" customWidth="1"/>
    <col min="8" max="16384" width="9.140625" style="150"/>
  </cols>
  <sheetData>
    <row r="2" spans="2:6">
      <c r="B2" s="217" t="str">
        <f>Summary!B9</f>
        <v>Building Use</v>
      </c>
      <c r="C2" s="150" t="str">
        <f>Summary!C9</f>
        <v>Residential</v>
      </c>
    </row>
    <row r="4" spans="2:6">
      <c r="B4" s="217" t="s">
        <v>526</v>
      </c>
      <c r="C4" s="1327" t="s">
        <v>527</v>
      </c>
      <c r="D4" s="1327"/>
      <c r="E4" s="73" t="s">
        <v>528</v>
      </c>
      <c r="F4" s="73"/>
    </row>
    <row r="5" spans="2:6">
      <c r="C5" s="73" t="s">
        <v>529</v>
      </c>
      <c r="D5" s="73" t="s">
        <v>530</v>
      </c>
      <c r="E5" s="73" t="s">
        <v>530</v>
      </c>
      <c r="F5" s="73"/>
    </row>
    <row r="6" spans="2:6" ht="15">
      <c r="B6" s="891" t="s">
        <v>30</v>
      </c>
      <c r="C6" s="73">
        <v>500</v>
      </c>
      <c r="D6" s="73">
        <v>300</v>
      </c>
      <c r="E6" s="73">
        <v>201</v>
      </c>
      <c r="F6" s="73"/>
    </row>
    <row r="7" spans="2:6">
      <c r="B7" s="150" t="s">
        <v>308</v>
      </c>
      <c r="C7" s="73">
        <v>600</v>
      </c>
      <c r="D7" s="73">
        <v>350</v>
      </c>
      <c r="E7" s="73">
        <v>228</v>
      </c>
      <c r="F7" s="73"/>
    </row>
    <row r="8" spans="2:6">
      <c r="B8" s="150" t="s">
        <v>311</v>
      </c>
      <c r="C8" s="73">
        <v>600</v>
      </c>
      <c r="D8" s="73">
        <v>350</v>
      </c>
      <c r="E8" s="73">
        <v>168</v>
      </c>
      <c r="F8" s="73"/>
    </row>
    <row r="10" spans="2:6">
      <c r="B10" s="217" t="s">
        <v>531</v>
      </c>
      <c r="C10" s="1327" t="s">
        <v>532</v>
      </c>
      <c r="D10" s="1327"/>
      <c r="E10" s="73" t="s">
        <v>528</v>
      </c>
    </row>
    <row r="11" spans="2:6">
      <c r="C11" s="73" t="s">
        <v>305</v>
      </c>
      <c r="D11" s="73" t="s">
        <v>307</v>
      </c>
      <c r="E11" s="73" t="s">
        <v>305</v>
      </c>
    </row>
    <row r="12" spans="2:6" ht="15">
      <c r="B12" s="891" t="s">
        <v>30</v>
      </c>
      <c r="C12" s="73">
        <v>300</v>
      </c>
      <c r="D12" s="73">
        <v>300</v>
      </c>
      <c r="E12" s="73">
        <v>144</v>
      </c>
    </row>
    <row r="13" spans="2:6">
      <c r="B13" s="150" t="s">
        <v>308</v>
      </c>
      <c r="C13" s="73">
        <v>500</v>
      </c>
      <c r="D13" s="73">
        <v>500</v>
      </c>
      <c r="E13" s="73">
        <v>156</v>
      </c>
    </row>
    <row r="14" spans="2:6">
      <c r="B14" s="150" t="s">
        <v>311</v>
      </c>
      <c r="C14" s="73">
        <v>500</v>
      </c>
      <c r="D14" s="73" t="s">
        <v>310</v>
      </c>
      <c r="E14" s="73">
        <v>156</v>
      </c>
    </row>
    <row r="16" spans="2:6">
      <c r="B16" s="150" t="s">
        <v>533</v>
      </c>
    </row>
  </sheetData>
  <mergeCells count="2">
    <mergeCell ref="C4:D4"/>
    <mergeCell ref="C10:D10"/>
  </mergeCells>
  <pageMargins left="0.7" right="0.7" top="0.75" bottom="0.75" header="0.3" footer="0.3"/>
  <pageSetup paperSize="9" orientation="portrait" horizontalDpi="300" verticalDpi="0"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7F477-2B46-4D02-958E-3519B1F871D7}">
  <sheetPr codeName="Sheet16">
    <tabColor theme="7" tint="0.79998168889431442"/>
  </sheetPr>
  <dimension ref="A1:AG183"/>
  <sheetViews>
    <sheetView workbookViewId="0">
      <selection activeCell="C27" sqref="C27"/>
    </sheetView>
  </sheetViews>
  <sheetFormatPr defaultColWidth="0" defaultRowHeight="11.25" zeroHeight="1"/>
  <cols>
    <col min="1" max="1" width="2.5703125" style="237" customWidth="1"/>
    <col min="2" max="2" width="28.42578125" style="237" customWidth="1"/>
    <col min="3" max="18" width="10.5703125" style="237" customWidth="1"/>
    <col min="19" max="19" width="2.5703125" style="237" customWidth="1"/>
    <col min="20" max="20" width="10.5703125" style="237" hidden="1" customWidth="1"/>
    <col min="21" max="31" width="10.5703125" style="892" hidden="1" customWidth="1"/>
    <col min="32" max="33" width="9.140625" style="892" hidden="1" customWidth="1"/>
    <col min="34" max="16384" width="9.140625" style="237" hidden="1"/>
  </cols>
  <sheetData>
    <row r="1" spans="2:31"/>
    <row r="2" spans="2:31" ht="34.5">
      <c r="B2" s="170" t="s">
        <v>534</v>
      </c>
    </row>
    <row r="3" spans="2:31" ht="12" customHeight="1" thickBot="1">
      <c r="B3" s="171"/>
      <c r="C3" s="893"/>
      <c r="D3" s="893"/>
      <c r="E3" s="893"/>
      <c r="F3" s="893"/>
      <c r="G3" s="893"/>
      <c r="H3" s="893"/>
      <c r="I3" s="893"/>
      <c r="J3" s="893"/>
      <c r="K3" s="893"/>
      <c r="L3" s="893"/>
      <c r="M3" s="893"/>
      <c r="N3" s="893"/>
      <c r="O3" s="893"/>
      <c r="P3" s="893"/>
      <c r="Q3" s="893"/>
      <c r="R3" s="893"/>
    </row>
    <row r="4" spans="2:31"/>
    <row r="5" spans="2:31" ht="12">
      <c r="B5" s="150" t="s">
        <v>278</v>
      </c>
      <c r="C5" s="150" t="str">
        <f>Summary!J13</f>
        <v>No</v>
      </c>
    </row>
    <row r="6" spans="2:31"/>
    <row r="7" spans="2:31" ht="18">
      <c r="B7" s="128" t="s">
        <v>535</v>
      </c>
      <c r="C7" s="128"/>
    </row>
    <row r="8" spans="2:31"/>
    <row r="9" spans="2:31" ht="12.75">
      <c r="B9" s="894" t="s">
        <v>536</v>
      </c>
      <c r="C9" s="895">
        <f>IF(C5="No",0,Database!E17)</f>
        <v>0</v>
      </c>
      <c r="D9" s="894" t="s">
        <v>15</v>
      </c>
    </row>
    <row r="10" spans="2:31" ht="12.75">
      <c r="B10" s="894" t="s">
        <v>537</v>
      </c>
      <c r="C10" s="895">
        <f>IF(C5="No",0,Database!H17)</f>
        <v>0</v>
      </c>
      <c r="D10" s="894" t="s">
        <v>538</v>
      </c>
    </row>
    <row r="11" spans="2:31" ht="12.75">
      <c r="B11" s="894" t="s">
        <v>121</v>
      </c>
      <c r="C11" s="895">
        <f>IF(C5="No",0,Database!G17)</f>
        <v>0</v>
      </c>
      <c r="D11" s="894" t="s">
        <v>538</v>
      </c>
    </row>
    <row r="12" spans="2:31" ht="12" thickBot="1">
      <c r="B12" s="893"/>
      <c r="C12" s="893"/>
      <c r="D12" s="893"/>
      <c r="E12" s="893"/>
      <c r="F12" s="893"/>
      <c r="G12" s="893"/>
      <c r="H12" s="893"/>
      <c r="I12" s="893"/>
      <c r="J12" s="893"/>
      <c r="K12" s="893"/>
      <c r="L12" s="893"/>
      <c r="M12" s="893"/>
      <c r="N12" s="893"/>
      <c r="O12" s="893"/>
      <c r="P12" s="893"/>
      <c r="Q12" s="893"/>
      <c r="R12" s="893"/>
    </row>
    <row r="13" spans="2:31"/>
    <row r="14" spans="2:31" ht="18">
      <c r="B14" s="128" t="s">
        <v>539</v>
      </c>
      <c r="C14" s="128"/>
    </row>
    <row r="15" spans="2:31"/>
    <row r="16" spans="2:31" ht="13.5">
      <c r="B16" s="81" t="s">
        <v>540</v>
      </c>
      <c r="C16" s="81">
        <v>35</v>
      </c>
      <c r="D16" s="81" t="s">
        <v>541</v>
      </c>
      <c r="F16" s="81"/>
      <c r="G16" s="81"/>
      <c r="H16" s="81"/>
      <c r="I16" s="81"/>
      <c r="J16" s="896"/>
      <c r="K16" s="1334"/>
      <c r="L16" s="1334"/>
      <c r="M16" s="1334"/>
      <c r="N16" s="1334"/>
      <c r="O16" s="1334"/>
      <c r="P16" s="1334"/>
      <c r="Q16" s="897"/>
      <c r="R16" s="898"/>
      <c r="S16" s="81"/>
      <c r="T16" s="81"/>
      <c r="U16" s="899"/>
      <c r="V16" s="900"/>
      <c r="W16" s="901"/>
      <c r="X16" s="901"/>
      <c r="Y16" s="901"/>
      <c r="Z16" s="901"/>
      <c r="AA16" s="901"/>
      <c r="AB16" s="901"/>
      <c r="AC16" s="901"/>
      <c r="AD16" s="901"/>
      <c r="AE16" s="901"/>
    </row>
    <row r="17" spans="2:31" ht="12">
      <c r="B17" s="81" t="s">
        <v>542</v>
      </c>
      <c r="C17" s="81">
        <v>25</v>
      </c>
      <c r="D17" s="81" t="s">
        <v>58</v>
      </c>
      <c r="F17" s="81"/>
      <c r="G17" s="81"/>
      <c r="H17" s="896"/>
      <c r="I17" s="896"/>
      <c r="J17" s="81"/>
      <c r="K17" s="1342"/>
      <c r="L17" s="1342"/>
      <c r="M17" s="1342"/>
      <c r="N17" s="1342"/>
      <c r="O17" s="1342"/>
      <c r="P17" s="1342"/>
      <c r="Q17" s="101"/>
      <c r="R17" s="902"/>
      <c r="S17" s="902"/>
      <c r="T17" s="902"/>
      <c r="U17" s="903"/>
      <c r="V17" s="901"/>
      <c r="W17" s="901"/>
      <c r="X17" s="901"/>
      <c r="Y17" s="901"/>
      <c r="Z17" s="901"/>
      <c r="AA17" s="901"/>
      <c r="AB17" s="901"/>
      <c r="AC17" s="901"/>
      <c r="AD17" s="901"/>
      <c r="AE17" s="901"/>
    </row>
    <row r="18" spans="2:31" ht="12">
      <c r="B18" s="81" t="s">
        <v>543</v>
      </c>
      <c r="C18" s="81">
        <v>20</v>
      </c>
      <c r="D18" s="81" t="s">
        <v>58</v>
      </c>
      <c r="F18" s="896"/>
      <c r="G18" s="896"/>
      <c r="H18" s="896"/>
      <c r="I18" s="896"/>
      <c r="J18" s="81"/>
      <c r="K18" s="904"/>
      <c r="L18" s="904"/>
      <c r="M18" s="904"/>
      <c r="N18" s="904"/>
      <c r="O18" s="904"/>
      <c r="P18" s="904"/>
      <c r="Q18" s="101"/>
      <c r="R18" s="81"/>
      <c r="S18" s="905"/>
      <c r="T18" s="81"/>
      <c r="U18" s="900"/>
      <c r="V18" s="901"/>
      <c r="W18" s="901"/>
      <c r="X18" s="901"/>
      <c r="Y18" s="901"/>
      <c r="Z18" s="901"/>
      <c r="AA18" s="901"/>
      <c r="AB18" s="901"/>
      <c r="AC18" s="901"/>
      <c r="AD18" s="901"/>
      <c r="AE18" s="901"/>
    </row>
    <row r="19" spans="2:31" ht="13.5">
      <c r="B19" s="81" t="s">
        <v>544</v>
      </c>
      <c r="C19" s="81">
        <v>435</v>
      </c>
      <c r="D19" s="81" t="s">
        <v>541</v>
      </c>
      <c r="F19" s="906"/>
      <c r="G19" s="906"/>
      <c r="H19" s="896"/>
      <c r="I19" s="896"/>
      <c r="J19" s="906"/>
      <c r="K19" s="904"/>
      <c r="L19" s="904"/>
      <c r="M19" s="904"/>
      <c r="N19" s="904"/>
      <c r="O19" s="904"/>
      <c r="P19" s="904"/>
      <c r="Q19" s="101"/>
      <c r="R19" s="81"/>
      <c r="S19" s="905"/>
      <c r="T19" s="81"/>
      <c r="U19" s="901"/>
      <c r="V19" s="901"/>
      <c r="W19" s="901"/>
      <c r="X19" s="901"/>
      <c r="Y19" s="901"/>
      <c r="Z19" s="901"/>
      <c r="AA19" s="901"/>
      <c r="AB19" s="901"/>
      <c r="AC19" s="901"/>
      <c r="AD19" s="901"/>
      <c r="AE19" s="901"/>
    </row>
    <row r="20" spans="2:31" ht="13.5">
      <c r="B20" s="81" t="s">
        <v>545</v>
      </c>
      <c r="C20" s="81">
        <v>3</v>
      </c>
      <c r="D20" s="81" t="s">
        <v>541</v>
      </c>
      <c r="F20" s="906"/>
      <c r="G20" s="906"/>
      <c r="H20" s="229"/>
      <c r="I20" s="81"/>
      <c r="J20" s="906"/>
      <c r="K20" s="904"/>
      <c r="L20" s="904"/>
      <c r="M20" s="904"/>
      <c r="N20" s="904"/>
      <c r="O20" s="904"/>
      <c r="P20" s="904"/>
      <c r="Q20" s="101"/>
      <c r="R20" s="81"/>
      <c r="S20" s="81"/>
      <c r="T20" s="81"/>
      <c r="U20" s="901"/>
      <c r="V20" s="901"/>
      <c r="W20" s="901"/>
      <c r="X20" s="901"/>
      <c r="Y20" s="901"/>
      <c r="Z20" s="901"/>
      <c r="AA20" s="901"/>
      <c r="AB20" s="901"/>
      <c r="AC20" s="901"/>
      <c r="AD20" s="901"/>
      <c r="AE20" s="901"/>
    </row>
    <row r="21" spans="2:31" ht="13.5">
      <c r="B21" s="81" t="s">
        <v>546</v>
      </c>
      <c r="C21" s="81">
        <v>500</v>
      </c>
      <c r="D21" s="81" t="s">
        <v>541</v>
      </c>
      <c r="F21" s="81"/>
      <c r="G21" s="81"/>
      <c r="H21" s="229"/>
      <c r="I21" s="81"/>
      <c r="J21" s="907"/>
      <c r="K21" s="904"/>
      <c r="L21" s="904"/>
      <c r="M21" s="904"/>
      <c r="N21" s="904"/>
      <c r="O21" s="904"/>
      <c r="P21" s="904"/>
      <c r="Q21" s="101"/>
      <c r="R21" s="81"/>
      <c r="S21" s="81"/>
      <c r="T21" s="81"/>
      <c r="U21" s="901"/>
      <c r="V21" s="901"/>
      <c r="W21" s="901"/>
      <c r="X21" s="901"/>
      <c r="Y21" s="901"/>
      <c r="Z21" s="901"/>
      <c r="AA21" s="901"/>
      <c r="AB21" s="901"/>
      <c r="AC21" s="901"/>
      <c r="AD21" s="901"/>
      <c r="AE21" s="901"/>
    </row>
    <row r="22" spans="2:31" ht="12">
      <c r="B22" s="908" t="s">
        <v>547</v>
      </c>
      <c r="C22" s="81">
        <f>Summary!C13</f>
        <v>6</v>
      </c>
      <c r="D22" s="81"/>
      <c r="F22" s="81"/>
      <c r="G22" s="81"/>
      <c r="H22" s="229"/>
      <c r="I22" s="81"/>
      <c r="J22" s="907"/>
      <c r="K22" s="904"/>
      <c r="L22" s="904"/>
      <c r="M22" s="904"/>
      <c r="N22" s="904"/>
      <c r="O22" s="904"/>
      <c r="P22" s="904"/>
      <c r="Q22" s="101"/>
      <c r="R22" s="81"/>
      <c r="S22" s="81"/>
      <c r="T22" s="81"/>
      <c r="U22" s="901"/>
      <c r="V22" s="901"/>
      <c r="W22" s="901"/>
      <c r="X22" s="901"/>
      <c r="Y22" s="901"/>
      <c r="Z22" s="901"/>
      <c r="AA22" s="901"/>
      <c r="AB22" s="901"/>
      <c r="AC22" s="901"/>
      <c r="AD22" s="901"/>
      <c r="AE22" s="901"/>
    </row>
    <row r="23" spans="2:31" ht="12">
      <c r="B23" s="908" t="s">
        <v>548</v>
      </c>
      <c r="C23" s="81">
        <f>Summary!C14</f>
        <v>6</v>
      </c>
      <c r="D23" s="81"/>
      <c r="F23" s="81"/>
      <c r="G23" s="81"/>
      <c r="H23" s="229"/>
      <c r="I23" s="81"/>
      <c r="J23" s="907"/>
      <c r="K23" s="904"/>
      <c r="L23" s="904"/>
      <c r="M23" s="904"/>
      <c r="N23" s="904"/>
      <c r="O23" s="904"/>
      <c r="P23" s="904"/>
      <c r="Q23" s="101"/>
      <c r="R23" s="81"/>
      <c r="S23" s="81"/>
      <c r="T23" s="81"/>
      <c r="U23" s="901"/>
      <c r="V23" s="901"/>
      <c r="W23" s="901"/>
      <c r="X23" s="901"/>
      <c r="Y23" s="901"/>
      <c r="Z23" s="901"/>
      <c r="AA23" s="901"/>
      <c r="AB23" s="901"/>
      <c r="AC23" s="901"/>
      <c r="AD23" s="901"/>
      <c r="AE23" s="901"/>
    </row>
    <row r="24" spans="2:31" ht="12">
      <c r="B24" s="74" t="s">
        <v>70</v>
      </c>
      <c r="C24" s="81">
        <f>Summary!F20</f>
        <v>20</v>
      </c>
      <c r="D24" s="81" t="s">
        <v>49</v>
      </c>
      <c r="F24" s="81"/>
      <c r="G24" s="81"/>
      <c r="H24" s="81"/>
      <c r="I24" s="81"/>
      <c r="J24" s="81"/>
      <c r="K24" s="904"/>
      <c r="L24" s="904"/>
      <c r="M24" s="904"/>
      <c r="N24" s="904"/>
      <c r="O24" s="904"/>
      <c r="P24" s="904"/>
      <c r="Q24" s="101"/>
      <c r="R24" s="81"/>
      <c r="S24" s="81"/>
      <c r="T24" s="81"/>
      <c r="U24" s="901"/>
      <c r="V24" s="901"/>
      <c r="W24" s="901"/>
      <c r="X24" s="901"/>
      <c r="Y24" s="901"/>
      <c r="Z24" s="901"/>
      <c r="AA24" s="901"/>
      <c r="AB24" s="901"/>
      <c r="AC24" s="901"/>
      <c r="AD24" s="901"/>
      <c r="AE24" s="901"/>
    </row>
    <row r="25" spans="2:31" ht="12">
      <c r="B25" s="74" t="s">
        <v>549</v>
      </c>
      <c r="C25" s="81">
        <f>Summary!L14</f>
        <v>0</v>
      </c>
      <c r="D25" s="81" t="s">
        <v>550</v>
      </c>
      <c r="F25" s="81"/>
      <c r="G25" s="81"/>
      <c r="H25" s="81"/>
      <c r="I25" s="81"/>
      <c r="J25" s="81"/>
      <c r="K25" s="904"/>
      <c r="L25" s="904"/>
      <c r="M25" s="904"/>
      <c r="N25" s="904"/>
      <c r="O25" s="904"/>
      <c r="P25" s="904"/>
      <c r="Q25" s="101"/>
      <c r="R25" s="81"/>
      <c r="S25" s="81"/>
      <c r="T25" s="81"/>
      <c r="U25" s="901"/>
      <c r="V25" s="901"/>
      <c r="W25" s="901"/>
      <c r="X25" s="901"/>
      <c r="Y25" s="901"/>
      <c r="Z25" s="901"/>
      <c r="AA25" s="901"/>
      <c r="AB25" s="901"/>
      <c r="AC25" s="901"/>
      <c r="AD25" s="901"/>
      <c r="AE25" s="901"/>
    </row>
    <row r="26" spans="2:31" ht="12">
      <c r="B26" s="74" t="s">
        <v>551</v>
      </c>
      <c r="C26" s="81" t="str">
        <f>IF((C24-C25)&lt;0,"Yes","No")</f>
        <v>No</v>
      </c>
      <c r="D26" s="81"/>
      <c r="F26" s="81"/>
      <c r="G26" s="81"/>
      <c r="H26" s="81"/>
      <c r="I26" s="81"/>
      <c r="J26" s="81"/>
      <c r="K26" s="904"/>
      <c r="L26" s="904"/>
      <c r="M26" s="904"/>
      <c r="N26" s="904"/>
      <c r="O26" s="904"/>
      <c r="P26" s="904"/>
      <c r="Q26" s="101"/>
      <c r="R26" s="81"/>
      <c r="S26" s="81"/>
      <c r="T26" s="81"/>
      <c r="U26" s="901"/>
      <c r="V26" s="901"/>
      <c r="W26" s="901"/>
      <c r="X26" s="901"/>
      <c r="Y26" s="901"/>
      <c r="Z26" s="901"/>
      <c r="AA26" s="901"/>
      <c r="AB26" s="901"/>
      <c r="AC26" s="901"/>
      <c r="AD26" s="901"/>
      <c r="AE26" s="901"/>
    </row>
    <row r="27" spans="2:31" ht="12">
      <c r="B27" s="150" t="s">
        <v>134</v>
      </c>
      <c r="C27" s="81">
        <f>IF(C5="No",0,IF(C26="No",C9,CEILING(C9+(0.05*(C25-C24)),0.025)))</f>
        <v>0</v>
      </c>
      <c r="D27" s="150" t="s">
        <v>15</v>
      </c>
      <c r="F27" s="81"/>
      <c r="G27" s="81"/>
      <c r="H27" s="81"/>
      <c r="I27" s="81"/>
      <c r="J27" s="81"/>
      <c r="K27" s="904"/>
      <c r="L27" s="904"/>
      <c r="M27" s="904"/>
      <c r="N27" s="904"/>
      <c r="O27" s="904"/>
      <c r="P27" s="904"/>
      <c r="Q27" s="101"/>
      <c r="R27" s="81"/>
      <c r="S27" s="81"/>
      <c r="T27" s="81"/>
      <c r="U27" s="901"/>
      <c r="V27" s="901"/>
      <c r="W27" s="901"/>
      <c r="X27" s="901"/>
      <c r="Y27" s="901"/>
      <c r="Z27" s="901"/>
      <c r="AA27" s="901"/>
      <c r="AB27" s="901"/>
      <c r="AC27" s="901"/>
      <c r="AD27" s="901"/>
      <c r="AE27" s="901"/>
    </row>
    <row r="28" spans="2:31" ht="13.5">
      <c r="B28" s="81" t="s">
        <v>552</v>
      </c>
      <c r="C28" s="81">
        <f>IF(C5="No",0,IF(C26="No",0,(C25-C24)*10))</f>
        <v>0</v>
      </c>
      <c r="D28" s="81" t="s">
        <v>553</v>
      </c>
      <c r="F28" s="81"/>
      <c r="G28" s="81"/>
      <c r="H28" s="81"/>
      <c r="I28" s="81"/>
      <c r="J28" s="81"/>
      <c r="K28" s="904"/>
      <c r="L28" s="904"/>
      <c r="M28" s="904"/>
      <c r="N28" s="904"/>
      <c r="O28" s="904"/>
      <c r="P28" s="904"/>
      <c r="Q28" s="101"/>
      <c r="R28" s="81"/>
      <c r="S28" s="81"/>
      <c r="T28" s="81"/>
      <c r="U28" s="901"/>
      <c r="V28" s="901"/>
      <c r="W28" s="901"/>
      <c r="X28" s="901"/>
      <c r="Y28" s="901"/>
      <c r="Z28" s="901"/>
      <c r="AA28" s="901"/>
      <c r="AB28" s="901"/>
      <c r="AC28" s="901"/>
      <c r="AD28" s="901"/>
      <c r="AE28" s="901"/>
    </row>
    <row r="29" spans="2:31" ht="13.5">
      <c r="B29" s="81" t="s">
        <v>554</v>
      </c>
      <c r="C29" s="907">
        <f>IF(Summary!J13="No",0,-25*C27)</f>
        <v>0</v>
      </c>
      <c r="D29" s="81" t="s">
        <v>553</v>
      </c>
      <c r="F29" s="81"/>
      <c r="G29" s="81"/>
      <c r="H29" s="81"/>
      <c r="I29" s="81"/>
      <c r="J29" s="81"/>
      <c r="K29" s="909"/>
      <c r="L29" s="909"/>
      <c r="M29" s="909"/>
      <c r="N29" s="909"/>
      <c r="O29" s="909"/>
      <c r="P29" s="909"/>
      <c r="Q29" s="897"/>
      <c r="R29" s="910"/>
      <c r="S29" s="910"/>
      <c r="T29" s="910"/>
      <c r="U29" s="900"/>
      <c r="V29" s="900"/>
      <c r="W29" s="901"/>
      <c r="X29" s="901"/>
      <c r="Y29" s="901"/>
      <c r="Z29" s="901"/>
      <c r="AA29" s="901"/>
      <c r="AB29" s="901"/>
      <c r="AC29" s="901"/>
      <c r="AD29" s="901"/>
      <c r="AE29" s="901"/>
    </row>
    <row r="30" spans="2:31" ht="12">
      <c r="B30" s="150" t="s">
        <v>537</v>
      </c>
      <c r="C30" s="911">
        <f>IF(Summary!J13="No",0,IF(C28=0,C10,0.00785*((P40+P41)/2+(P42+P43)/2+(P42+P43)/2+(N48+N49)/2)*1.2))</f>
        <v>0</v>
      </c>
      <c r="D30" s="150" t="s">
        <v>538</v>
      </c>
      <c r="F30" s="81"/>
      <c r="G30" s="81"/>
      <c r="H30" s="81"/>
      <c r="I30" s="81"/>
      <c r="J30" s="81"/>
      <c r="K30" s="81"/>
      <c r="L30" s="81"/>
      <c r="M30" s="81"/>
      <c r="N30" s="81"/>
      <c r="O30" s="81"/>
      <c r="P30" s="81"/>
      <c r="Q30" s="81"/>
      <c r="R30" s="81"/>
      <c r="S30" s="81"/>
      <c r="T30" s="81"/>
      <c r="U30" s="901"/>
      <c r="V30" s="901"/>
      <c r="W30" s="901"/>
      <c r="X30" s="901"/>
      <c r="Y30" s="901"/>
      <c r="Z30" s="901"/>
      <c r="AA30" s="901"/>
      <c r="AB30" s="901"/>
      <c r="AC30" s="901"/>
      <c r="AD30" s="901"/>
      <c r="AE30" s="901"/>
    </row>
    <row r="31" spans="2:31" ht="12">
      <c r="B31" s="150" t="s">
        <v>116</v>
      </c>
      <c r="C31" s="911">
        <f>IF(Summary!J13="No",0,IF(C28=0,C11,C27*24*1000/9.81))</f>
        <v>0</v>
      </c>
      <c r="D31" s="150" t="s">
        <v>538</v>
      </c>
    </row>
    <row r="32" spans="2:31"/>
    <row r="33" spans="2:30" ht="36">
      <c r="B33" s="257" t="s">
        <v>555</v>
      </c>
      <c r="C33" s="912"/>
      <c r="D33" s="912" t="s">
        <v>556</v>
      </c>
      <c r="E33" s="912" t="s">
        <v>557</v>
      </c>
      <c r="F33" s="912" t="s">
        <v>558</v>
      </c>
      <c r="G33" s="912" t="s">
        <v>559</v>
      </c>
      <c r="H33" s="912" t="s">
        <v>560</v>
      </c>
      <c r="I33" s="912" t="s">
        <v>561</v>
      </c>
      <c r="J33" s="912" t="s">
        <v>562</v>
      </c>
      <c r="K33" s="912" t="s">
        <v>563</v>
      </c>
      <c r="L33" s="912" t="s">
        <v>564</v>
      </c>
      <c r="M33" s="912" t="s">
        <v>565</v>
      </c>
      <c r="N33" s="912" t="s">
        <v>566</v>
      </c>
      <c r="O33" s="912" t="s">
        <v>567</v>
      </c>
      <c r="P33" s="912" t="s">
        <v>568</v>
      </c>
      <c r="Q33" s="912" t="s">
        <v>569</v>
      </c>
      <c r="R33" s="111"/>
    </row>
    <row r="34" spans="2:30" ht="13.5">
      <c r="C34" s="913" t="s">
        <v>570</v>
      </c>
      <c r="D34" s="906">
        <f>C27</f>
        <v>0</v>
      </c>
      <c r="E34" s="906">
        <f>1.5*C$28+$C$29</f>
        <v>0</v>
      </c>
      <c r="F34" s="906">
        <f>0.75*0.069*E34*MAX(C22:C23)^2*MIN(C22:C23)</f>
        <v>0</v>
      </c>
      <c r="G34" s="906">
        <f>D34*1000-C17-C18/2</f>
        <v>-35</v>
      </c>
      <c r="H34" s="906">
        <f>1000*C22/2</f>
        <v>3000</v>
      </c>
      <c r="I34" s="906">
        <f>F34*10^6/(H34*(G34^2)*$C$16)</f>
        <v>0</v>
      </c>
      <c r="J34" s="82">
        <f>(G34/2)*(1+ (SQRT(1-(3.53*I34))))</f>
        <v>-35</v>
      </c>
      <c r="K34" s="906">
        <f t="shared" ref="K34" si="0">G34*0.95</f>
        <v>-33.25</v>
      </c>
      <c r="L34" s="906">
        <f>F34*1000000/(C$19*J34)</f>
        <v>0</v>
      </c>
      <c r="M34" s="906">
        <f>CEILING(L34,(PI()*($C$18/2)^2))</f>
        <v>0</v>
      </c>
      <c r="N34" s="906">
        <f>C23*1000/G34</f>
        <v>-171.42857142857142</v>
      </c>
      <c r="O34" s="914" t="e">
        <f>IF(D40&lt;=E40,G40,F40)</f>
        <v>#DIV/0!</v>
      </c>
      <c r="P34" s="914" t="e">
        <f>IF(M34/L34&lt;=1.5,J40,1.5)</f>
        <v>#DIV/0!</v>
      </c>
      <c r="Q34" s="914" t="e">
        <f>O34*P34</f>
        <v>#DIV/0!</v>
      </c>
      <c r="R34" s="914" t="e">
        <f>IF(Q34&gt;N34,"PASS","FAIL")</f>
        <v>#DIV/0!</v>
      </c>
    </row>
    <row r="35" spans="2:30" ht="13.5">
      <c r="C35" s="913" t="s">
        <v>571</v>
      </c>
      <c r="D35" s="906">
        <f>C27</f>
        <v>0</v>
      </c>
      <c r="E35" s="906">
        <f>1.5*C$28+$C$29</f>
        <v>0</v>
      </c>
      <c r="F35" s="906">
        <f>0.25*0.069*E35*MAX(C22:C23)^2*MIN(C22:C23)</f>
        <v>0</v>
      </c>
      <c r="G35" s="906">
        <f>G34</f>
        <v>-35</v>
      </c>
      <c r="H35" s="906">
        <f>H34</f>
        <v>3000</v>
      </c>
      <c r="I35" s="906">
        <f>F35*10^6/(H35*(G35^2)*$C$16)</f>
        <v>0</v>
      </c>
      <c r="J35" s="906">
        <f>(G35/2)*(1+ (SQRT(1-(3.53*I35))))</f>
        <v>-35</v>
      </c>
      <c r="K35" s="906">
        <f>G35*0.95</f>
        <v>-33.25</v>
      </c>
      <c r="L35" s="906">
        <f>F35*1000000/(C$19*J35)</f>
        <v>0</v>
      </c>
      <c r="M35" s="906">
        <f>CEILING(L35,(PI()*($C$18/2)^2))</f>
        <v>0</v>
      </c>
      <c r="N35" s="906">
        <f>C23*1000/G35</f>
        <v>-171.42857142857142</v>
      </c>
      <c r="O35" s="914" t="e">
        <f>IF(D41&lt;=E41,F41,G41)</f>
        <v>#DIV/0!</v>
      </c>
      <c r="P35" s="914" t="e">
        <f>IF(M35/L35&lt;=1.5,J41,1.5)</f>
        <v>#DIV/0!</v>
      </c>
      <c r="Q35" s="914" t="e">
        <f>O35*P35</f>
        <v>#DIV/0!</v>
      </c>
      <c r="R35" s="914" t="e">
        <f>IF(Q35&gt;N35,"PASS","FAIL")</f>
        <v>#DIV/0!</v>
      </c>
    </row>
    <row r="36" spans="2:30" ht="13.5">
      <c r="C36" s="913" t="s">
        <v>572</v>
      </c>
      <c r="D36" s="906">
        <f>C27</f>
        <v>0</v>
      </c>
      <c r="E36" s="906">
        <f>1.5*C$28+$C$29</f>
        <v>0</v>
      </c>
      <c r="F36" s="906">
        <f>0.75*0.069*E34*MIN(C22:C23)^2*MAX(C22:C23)</f>
        <v>0</v>
      </c>
      <c r="G36" s="906">
        <f>D34*1000-C17-C18-C18/2</f>
        <v>-55</v>
      </c>
      <c r="H36" s="906">
        <f>1000*C23/2</f>
        <v>3000</v>
      </c>
      <c r="I36" s="906">
        <f>F36*10^6/(H36*(G36^2)*$C$16)</f>
        <v>0</v>
      </c>
      <c r="J36" s="906">
        <f>(G36/2)*(1+ (SQRT(1-(3.53*I36))))</f>
        <v>-55</v>
      </c>
      <c r="K36" s="906">
        <f>G36*0.95</f>
        <v>-52.25</v>
      </c>
      <c r="L36" s="906">
        <f>F36*1000000/(C$19*J36)</f>
        <v>0</v>
      </c>
      <c r="M36" s="906">
        <f>CEILING(L36,(PI()*($C$18/2)^2))</f>
        <v>0</v>
      </c>
      <c r="N36" s="906">
        <f>C22*1000/G36</f>
        <v>-109.09090909090909</v>
      </c>
      <c r="O36" s="914" t="e">
        <f>IF(D42&lt;=E42,G42,F42)</f>
        <v>#DIV/0!</v>
      </c>
      <c r="P36" s="914" t="e">
        <f>IF(M36/L36&lt;=1.5,J42,1.5)</f>
        <v>#DIV/0!</v>
      </c>
      <c r="Q36" s="914" t="e">
        <f>O36*P36</f>
        <v>#DIV/0!</v>
      </c>
      <c r="R36" s="914" t="e">
        <f>IF(Q36&gt;N36,"PASS","FAIL")</f>
        <v>#DIV/0!</v>
      </c>
    </row>
    <row r="37" spans="2:30" ht="13.5">
      <c r="C37" s="913" t="s">
        <v>573</v>
      </c>
      <c r="D37" s="906">
        <f>C27</f>
        <v>0</v>
      </c>
      <c r="E37" s="906">
        <f>1.5*C$28+$C$29</f>
        <v>0</v>
      </c>
      <c r="F37" s="906">
        <f>0.25*0.069*E37*MAX(C22:C23)^2*MIN(C22:C23)</f>
        <v>0</v>
      </c>
      <c r="G37" s="906">
        <f>G36</f>
        <v>-55</v>
      </c>
      <c r="H37" s="906">
        <f>H36</f>
        <v>3000</v>
      </c>
      <c r="I37" s="906">
        <f>F37*10^6/(H37*(G37^2)*$C$16)</f>
        <v>0</v>
      </c>
      <c r="J37" s="906">
        <f>(G37/2)*(1+ (SQRT(1-(3.53*I37))))</f>
        <v>-55</v>
      </c>
      <c r="K37" s="906">
        <f>G37*0.95</f>
        <v>-52.25</v>
      </c>
      <c r="L37" s="906">
        <f>F37*1000000/(C$19*J37)</f>
        <v>0</v>
      </c>
      <c r="M37" s="906">
        <f>CEILING(L37,(PI()*($C$18/2)^2))</f>
        <v>0</v>
      </c>
      <c r="N37" s="906">
        <f>C22*1000/G37</f>
        <v>-109.09090909090909</v>
      </c>
      <c r="O37" s="914" t="e">
        <f>IF(D43&lt;=E43,F43,G43)</f>
        <v>#DIV/0!</v>
      </c>
      <c r="P37" s="914" t="e">
        <f>IF(M37/L37&lt;=1.5,J43,1.5)</f>
        <v>#DIV/0!</v>
      </c>
      <c r="Q37" s="914" t="e">
        <f>O37*P37</f>
        <v>#DIV/0!</v>
      </c>
      <c r="R37" s="914" t="e">
        <f>IF(Q37&gt;N37,"PASS","FAIL")</f>
        <v>#DIV/0!</v>
      </c>
    </row>
    <row r="38" spans="2:30" ht="12.75">
      <c r="C38" s="913"/>
      <c r="D38" s="906"/>
      <c r="E38" s="906"/>
      <c r="F38" s="906"/>
      <c r="G38" s="906"/>
      <c r="H38" s="906"/>
      <c r="I38" s="906"/>
      <c r="J38" s="906"/>
      <c r="K38" s="906"/>
      <c r="L38" s="906"/>
      <c r="M38" s="906"/>
      <c r="N38" s="906"/>
      <c r="O38" s="914"/>
      <c r="P38" s="914"/>
      <c r="Q38" s="914"/>
      <c r="R38" s="914"/>
    </row>
    <row r="39" spans="2:30" ht="27">
      <c r="C39" s="915"/>
      <c r="D39" s="912" t="s">
        <v>574</v>
      </c>
      <c r="E39" s="912" t="s">
        <v>575</v>
      </c>
      <c r="F39" s="912" t="s">
        <v>576</v>
      </c>
      <c r="G39" s="912" t="s">
        <v>577</v>
      </c>
      <c r="H39" s="912" t="s">
        <v>561</v>
      </c>
      <c r="I39" s="912" t="s">
        <v>578</v>
      </c>
      <c r="J39" s="912" t="s">
        <v>568</v>
      </c>
      <c r="K39" s="912" t="s">
        <v>579</v>
      </c>
      <c r="L39" s="912" t="s">
        <v>568</v>
      </c>
      <c r="M39" s="912" t="s">
        <v>569</v>
      </c>
      <c r="N39" s="912" t="s">
        <v>580</v>
      </c>
      <c r="O39" s="912" t="s">
        <v>568</v>
      </c>
      <c r="P39" s="912" t="s">
        <v>581</v>
      </c>
      <c r="Q39" s="906"/>
      <c r="R39" s="906"/>
      <c r="S39" s="916"/>
      <c r="T39" s="916"/>
      <c r="U39" s="917"/>
      <c r="V39" s="917"/>
      <c r="W39" s="917"/>
      <c r="X39" s="917"/>
      <c r="Y39" s="917"/>
      <c r="Z39" s="917"/>
      <c r="AA39" s="917"/>
      <c r="AB39" s="917"/>
      <c r="AC39" s="918"/>
      <c r="AD39" s="917"/>
    </row>
    <row r="40" spans="2:30" ht="13.5">
      <c r="C40" s="913" t="s">
        <v>570</v>
      </c>
      <c r="D40" s="914">
        <f>(SQRT($C$16))/1000</f>
        <v>5.9160797830996158E-3</v>
      </c>
      <c r="E40" s="914">
        <f>L34/(G34*H34)</f>
        <v>0</v>
      </c>
      <c r="F40" s="914" t="e">
        <f>H40*(11+((1.5*(SQRT($C$16))*D40)/E40)+(3.2*(SQRT($C$16))*(((D40/E40)-1)^1.5)))</f>
        <v>#DIV/0!</v>
      </c>
      <c r="G40" s="914" t="e">
        <f>1.2*(11+((1.5*(SQRT($C$16))*D40)/(E40-0))+(((SQRT($C$16))/12)*((SQRT(0/D40)))))</f>
        <v>#DIV/0!</v>
      </c>
      <c r="H40" s="914">
        <v>1.2</v>
      </c>
      <c r="I40" s="914">
        <v>0</v>
      </c>
      <c r="J40" s="914" t="e">
        <f>M34/L34</f>
        <v>#DIV/0!</v>
      </c>
      <c r="K40" s="906" t="e">
        <f>IF(R34="FAIL",CEILING((M34*N34/Q34),PI()*($D$139/2)^2),M34)</f>
        <v>#DIV/0!</v>
      </c>
      <c r="L40" s="914" t="e">
        <f>IF(I40/H40&lt;=1.5,O40,1.5)</f>
        <v>#DIV/0!</v>
      </c>
      <c r="M40" s="914" t="e">
        <f>O34*O40</f>
        <v>#DIV/0!</v>
      </c>
      <c r="N40" s="914" t="e">
        <f>IF(M40&gt;J40,"PASS","FAIL")</f>
        <v>#DIV/0!</v>
      </c>
      <c r="O40" s="914" t="e">
        <f>K40/L34</f>
        <v>#DIV/0!</v>
      </c>
      <c r="P40" s="906" t="e">
        <f>MAX(CEILING(K40/(H34/1000),(PI()*($C$18/2)^2)),0.26*1000*G34*$C$20/$C$21)</f>
        <v>#DIV/0!</v>
      </c>
      <c r="Q40" s="906"/>
      <c r="R40" s="906"/>
      <c r="S40" s="916"/>
      <c r="T40" s="916"/>
      <c r="U40" s="917"/>
      <c r="V40" s="917"/>
      <c r="W40" s="917"/>
      <c r="X40" s="917"/>
      <c r="Y40" s="917"/>
      <c r="Z40" s="917"/>
      <c r="AA40" s="917"/>
      <c r="AB40" s="917"/>
      <c r="AC40" s="918"/>
      <c r="AD40" s="917"/>
    </row>
    <row r="41" spans="2:30" ht="13.5">
      <c r="C41" s="913" t="s">
        <v>571</v>
      </c>
      <c r="D41" s="914">
        <f>(SQRT($C$16))/1000</f>
        <v>5.9160797830996158E-3</v>
      </c>
      <c r="E41" s="914">
        <f>L35/(G35*H35)</f>
        <v>0</v>
      </c>
      <c r="F41" s="914" t="e">
        <f>H41*(11+((1.5*(SQRT($C$16))*D41)/E41)+(3.2*(SQRT($C$16))*(((D41/E41)-1)^1.5)))</f>
        <v>#DIV/0!</v>
      </c>
      <c r="G41" s="914" t="e">
        <f>1.2*(11+((1.5*(SQRT($C$16))*D41)/(E41-0))+(((SQRT($C$16))/12)*((SQRT(0/D41)))))</f>
        <v>#DIV/0!</v>
      </c>
      <c r="H41" s="914">
        <v>1.2</v>
      </c>
      <c r="I41" s="914">
        <v>0</v>
      </c>
      <c r="J41" s="914" t="e">
        <f>M35/L35</f>
        <v>#DIV/0!</v>
      </c>
      <c r="K41" s="906" t="e">
        <f>IF(R35="FAIL",CEILING((M35*N35/Q35),PI()*($D$139/2)^2),M35)</f>
        <v>#DIV/0!</v>
      </c>
      <c r="L41" s="914" t="e">
        <f>IF(I41/H41&lt;=1.5,O41,1.5)</f>
        <v>#DIV/0!</v>
      </c>
      <c r="M41" s="914" t="e">
        <f>O35*O41</f>
        <v>#DIV/0!</v>
      </c>
      <c r="N41" s="914" t="e">
        <f>IF(M41&gt;J41,"PASS","FAIL")</f>
        <v>#DIV/0!</v>
      </c>
      <c r="O41" s="914" t="e">
        <f>K41/L35</f>
        <v>#DIV/0!</v>
      </c>
      <c r="P41" s="906" t="e">
        <f>MAX(CEILING(K41/(H35/1000),(PI()*($C$18/2)^2)),0.26*1000*G35*$C$20/$C$21)</f>
        <v>#DIV/0!</v>
      </c>
      <c r="Q41" s="906"/>
      <c r="R41" s="906"/>
      <c r="S41" s="916"/>
      <c r="T41" s="916"/>
      <c r="U41" s="917"/>
      <c r="V41" s="917"/>
      <c r="W41" s="917"/>
      <c r="X41" s="917"/>
      <c r="Y41" s="917"/>
      <c r="Z41" s="917"/>
      <c r="AA41" s="917"/>
      <c r="AB41" s="917"/>
      <c r="AC41" s="918"/>
      <c r="AD41" s="917"/>
    </row>
    <row r="42" spans="2:30" ht="13.5">
      <c r="C42" s="913" t="s">
        <v>572</v>
      </c>
      <c r="D42" s="914">
        <f>(SQRT($C$16))/1000</f>
        <v>5.9160797830996158E-3</v>
      </c>
      <c r="E42" s="914">
        <f>L36/(G36*H36)</f>
        <v>0</v>
      </c>
      <c r="F42" s="914" t="e">
        <f>H42*(11+((1.5*(SQRT($C$16))*D42)/E42)+(3.2*(SQRT($C$16))*(((D42/E42)-1)^1.5)))</f>
        <v>#DIV/0!</v>
      </c>
      <c r="G42" s="914" t="e">
        <f>1.2*(11+((1.5*(SQRT($C$16))*D42)/(E42-0))+(((SQRT($C$16))/12)*((SQRT(0/D42)))))</f>
        <v>#DIV/0!</v>
      </c>
      <c r="H42" s="914">
        <v>1.2</v>
      </c>
      <c r="I42" s="914">
        <v>0</v>
      </c>
      <c r="J42" s="914" t="e">
        <f>M36/L36</f>
        <v>#DIV/0!</v>
      </c>
      <c r="K42" s="906" t="e">
        <f>IF(R36="FAIL",CEILING((M36*N36/Q36),PI()*($D$139/2)^2),M36)</f>
        <v>#DIV/0!</v>
      </c>
      <c r="L42" s="914" t="e">
        <f>IF(I42/H42&lt;=1.5,O42,1.5)</f>
        <v>#DIV/0!</v>
      </c>
      <c r="M42" s="914" t="e">
        <f>O36*O42</f>
        <v>#DIV/0!</v>
      </c>
      <c r="N42" s="914" t="e">
        <f>IF(M42&gt;J42,"PASS","FAIL")</f>
        <v>#DIV/0!</v>
      </c>
      <c r="O42" s="914" t="e">
        <f>K42/L36</f>
        <v>#DIV/0!</v>
      </c>
      <c r="P42" s="906" t="e">
        <f>MAX(CEILING(K42/(H36/1000),(PI()*($C$18/2)^2)),0.26*1000*G36*$C$20/$C$21)</f>
        <v>#DIV/0!</v>
      </c>
      <c r="Q42" s="906"/>
      <c r="R42" s="906"/>
      <c r="S42" s="916"/>
      <c r="T42" s="916"/>
      <c r="U42" s="917"/>
      <c r="V42" s="917"/>
      <c r="W42" s="917"/>
      <c r="X42" s="917"/>
      <c r="Y42" s="917"/>
      <c r="Z42" s="917"/>
      <c r="AA42" s="917"/>
      <c r="AB42" s="917"/>
      <c r="AC42" s="918"/>
      <c r="AD42" s="917"/>
    </row>
    <row r="43" spans="2:30" ht="13.5">
      <c r="C43" s="913" t="s">
        <v>573</v>
      </c>
      <c r="D43" s="914">
        <f>(SQRT($C$16))/1000</f>
        <v>5.9160797830996158E-3</v>
      </c>
      <c r="E43" s="914">
        <f>L37/(G37*H37)</f>
        <v>0</v>
      </c>
      <c r="F43" s="914" t="e">
        <f>H43*(11+((1.5*(SQRT($C$16))*D43)/E43)+(3.2*(SQRT($C$16))*(((D43/E43)-1)^1.5)))</f>
        <v>#DIV/0!</v>
      </c>
      <c r="G43" s="914" t="e">
        <f>1.2*(11+((1.5*(SQRT($C$16))*D43)/(E43-0))+(((SQRT($C$16))/12)*((SQRT(0/D43)))))</f>
        <v>#DIV/0!</v>
      </c>
      <c r="H43" s="914">
        <v>1.2</v>
      </c>
      <c r="I43" s="914">
        <v>0</v>
      </c>
      <c r="J43" s="914" t="e">
        <f>M37/L37</f>
        <v>#DIV/0!</v>
      </c>
      <c r="K43" s="906" t="e">
        <f>IF(R37="FAIL",CEILING((M37*N37/Q37),PI()*($D$139/2)^2),M37)</f>
        <v>#DIV/0!</v>
      </c>
      <c r="L43" s="914" t="e">
        <f>IF(I43/H43&lt;=1.5,O43,1.5)</f>
        <v>#DIV/0!</v>
      </c>
      <c r="M43" s="914" t="e">
        <f>O37*O43</f>
        <v>#DIV/0!</v>
      </c>
      <c r="N43" s="914" t="e">
        <f>IF(M43&gt;J43,"PASS","FAIL")</f>
        <v>#DIV/0!</v>
      </c>
      <c r="O43" s="914" t="e">
        <f>K43/L37</f>
        <v>#DIV/0!</v>
      </c>
      <c r="P43" s="906" t="e">
        <f>MAX(CEILING(K43/(H37/1000),(PI()*($C$18/2)^2)),0.26*1000*G37*$C$20/$C$21)</f>
        <v>#DIV/0!</v>
      </c>
      <c r="Q43" s="906"/>
      <c r="R43" s="906"/>
      <c r="S43" s="916"/>
      <c r="T43" s="916"/>
      <c r="U43" s="917"/>
      <c r="V43" s="917"/>
      <c r="W43" s="917"/>
      <c r="X43" s="917"/>
      <c r="Y43" s="917"/>
      <c r="Z43" s="917"/>
      <c r="AA43" s="917"/>
      <c r="AB43" s="917"/>
      <c r="AC43" s="918"/>
      <c r="AD43" s="917"/>
    </row>
    <row r="44" spans="2:30" ht="12.75">
      <c r="B44" s="869"/>
      <c r="C44" s="919"/>
      <c r="D44" s="920"/>
      <c r="E44" s="920"/>
      <c r="F44" s="920"/>
      <c r="G44" s="920"/>
      <c r="H44" s="920"/>
      <c r="I44" s="920"/>
      <c r="J44" s="920"/>
      <c r="K44" s="920"/>
      <c r="L44" s="920"/>
      <c r="M44" s="920"/>
      <c r="N44" s="920"/>
      <c r="O44" s="921"/>
      <c r="P44" s="921"/>
      <c r="Q44" s="921"/>
      <c r="R44" s="921"/>
      <c r="S44" s="916"/>
      <c r="T44" s="916"/>
      <c r="U44" s="917"/>
      <c r="V44" s="917"/>
      <c r="W44" s="917"/>
      <c r="X44" s="917"/>
      <c r="Y44" s="917"/>
      <c r="Z44" s="917"/>
      <c r="AA44" s="917"/>
      <c r="AB44" s="917"/>
      <c r="AC44" s="918"/>
      <c r="AD44" s="917"/>
    </row>
    <row r="45" spans="2:30" ht="36">
      <c r="B45" s="257" t="s">
        <v>582</v>
      </c>
      <c r="C45" s="922"/>
      <c r="D45" s="912" t="s">
        <v>556</v>
      </c>
      <c r="E45" s="912" t="s">
        <v>557</v>
      </c>
      <c r="F45" s="912" t="s">
        <v>558</v>
      </c>
      <c r="G45" s="912" t="s">
        <v>559</v>
      </c>
      <c r="H45" s="912" t="s">
        <v>560</v>
      </c>
      <c r="I45" s="912" t="s">
        <v>561</v>
      </c>
      <c r="J45" s="912" t="s">
        <v>562</v>
      </c>
      <c r="K45" s="912" t="s">
        <v>563</v>
      </c>
      <c r="L45" s="912" t="s">
        <v>564</v>
      </c>
      <c r="M45" s="912" t="s">
        <v>583</v>
      </c>
      <c r="N45" s="912" t="s">
        <v>581</v>
      </c>
      <c r="O45" s="912" t="s">
        <v>584</v>
      </c>
      <c r="P45" s="81"/>
      <c r="Q45" s="81"/>
      <c r="R45" s="81"/>
      <c r="S45" s="81"/>
      <c r="T45" s="81"/>
      <c r="U45" s="901"/>
      <c r="V45" s="901"/>
      <c r="W45" s="901"/>
      <c r="X45" s="901"/>
      <c r="Y45" s="901"/>
      <c r="Z45" s="901"/>
      <c r="AA45" s="901"/>
      <c r="AB45" s="901"/>
      <c r="AC45" s="901"/>
      <c r="AD45" s="901"/>
    </row>
    <row r="46" spans="2:30" ht="13.5">
      <c r="C46" s="913" t="s">
        <v>570</v>
      </c>
      <c r="D46" s="906">
        <f>D34</f>
        <v>0</v>
      </c>
      <c r="E46" s="906">
        <f>E34</f>
        <v>0</v>
      </c>
      <c r="F46" s="906">
        <f>0.7*0.069*E46*MAX(C22:C23)^2*MIN(C22:C23)</f>
        <v>0</v>
      </c>
      <c r="G46" s="906">
        <f>D46*1000-C17-C18/2</f>
        <v>-35</v>
      </c>
      <c r="H46" s="906">
        <f>1000*C22/2</f>
        <v>3000</v>
      </c>
      <c r="I46" s="906">
        <f>F46*10^6/(H46*(G46^2)*$C$16)</f>
        <v>0</v>
      </c>
      <c r="J46" s="82">
        <f t="shared" ref="J46" si="1">(G46/2)*(1+ (SQRT(1-(3.53*I46))))</f>
        <v>-35</v>
      </c>
      <c r="K46" s="906">
        <f t="shared" ref="K46" si="2">G46*0.95</f>
        <v>-33.25</v>
      </c>
      <c r="L46" s="906">
        <f>F46*1000000/($C$19*J46)</f>
        <v>0</v>
      </c>
      <c r="M46" s="906">
        <f>CEILING(L46,(PI()*($C$18/2)^2))</f>
        <v>0</v>
      </c>
      <c r="N46" s="906">
        <f>MAX(CEILING(M46/(H46/1000),(PI()*($C$18/2)^2)),0.26*1000*G46*$C$20/$C$21)</f>
        <v>0</v>
      </c>
      <c r="O46" s="906">
        <f>CEILING(N46,(PI()*($C$18/2)^2))</f>
        <v>0</v>
      </c>
      <c r="P46" s="81"/>
      <c r="Q46" s="81"/>
      <c r="R46" s="81"/>
      <c r="S46" s="81"/>
      <c r="T46" s="81"/>
      <c r="U46" s="901"/>
      <c r="V46" s="901"/>
      <c r="W46" s="901"/>
      <c r="X46" s="901"/>
      <c r="Y46" s="901"/>
      <c r="Z46" s="901"/>
      <c r="AA46" s="901"/>
      <c r="AB46" s="901"/>
      <c r="AC46" s="901"/>
      <c r="AD46" s="901"/>
    </row>
    <row r="47" spans="2:30" ht="13.5">
      <c r="C47" s="913" t="s">
        <v>571</v>
      </c>
      <c r="D47" s="906">
        <f>D46</f>
        <v>0</v>
      </c>
      <c r="E47" s="906">
        <f>E35</f>
        <v>0</v>
      </c>
      <c r="F47" s="906">
        <f>0.3*0.069*E47*MAX(C22:C23)^2*MIN(C22:C23)</f>
        <v>0</v>
      </c>
      <c r="G47" s="906">
        <f>D47*1000-C17-C18/2</f>
        <v>-35</v>
      </c>
      <c r="H47" s="906">
        <f>1000*C22/2</f>
        <v>3000</v>
      </c>
      <c r="I47" s="906">
        <f>F47*10^6/(H47*(G47^2)*$C$16)</f>
        <v>0</v>
      </c>
      <c r="J47" s="906">
        <f>(G47/2)*(1+ (SQRT(1-(3.53*I47))))</f>
        <v>-35</v>
      </c>
      <c r="K47" s="906">
        <f>G47*0.95</f>
        <v>-33.25</v>
      </c>
      <c r="L47" s="906">
        <f>F47*1000000/($C$19*J47)</f>
        <v>0</v>
      </c>
      <c r="M47" s="906">
        <f>CEILING(L47,(PI()*($C$18/2)^2))</f>
        <v>0</v>
      </c>
      <c r="N47" s="906">
        <f>MAX(CEILING(M47/(H47/1000),(PI()*($C$18/2)^2)),0.26*1000*G47*$C$20/$C$21)</f>
        <v>0</v>
      </c>
      <c r="O47" s="906">
        <f>CEILING(N47,(PI()*($C$18/2)^2))</f>
        <v>0</v>
      </c>
      <c r="P47" s="81"/>
      <c r="Q47" s="81"/>
      <c r="R47" s="81"/>
      <c r="S47" s="81"/>
      <c r="T47" s="81"/>
      <c r="U47" s="901"/>
      <c r="V47" s="901"/>
      <c r="W47" s="901"/>
      <c r="X47" s="901"/>
      <c r="Y47" s="901"/>
      <c r="Z47" s="901"/>
      <c r="AA47" s="901"/>
      <c r="AB47" s="901"/>
      <c r="AC47" s="901"/>
      <c r="AD47" s="901"/>
    </row>
    <row r="48" spans="2:30" ht="13.5">
      <c r="C48" s="913" t="s">
        <v>572</v>
      </c>
      <c r="D48" s="906">
        <f>D46</f>
        <v>0</v>
      </c>
      <c r="E48" s="906">
        <f>E36</f>
        <v>0</v>
      </c>
      <c r="F48" s="906">
        <f>0.7*0.069*E48*MIN(C22:C23)^2*MAX(C22:C23)</f>
        <v>0</v>
      </c>
      <c r="G48" s="906">
        <f>D48*1000-C17-C18-C18/2</f>
        <v>-55</v>
      </c>
      <c r="H48" s="906">
        <f>1000*C22/2</f>
        <v>3000</v>
      </c>
      <c r="I48" s="906">
        <f>F48*10^6/(H48*(G48^2)*$C$16)</f>
        <v>0</v>
      </c>
      <c r="J48" s="906">
        <f>(G48/2)*(1+ (SQRT(1-(3.53*I48))))</f>
        <v>-55</v>
      </c>
      <c r="K48" s="906">
        <f>G48*0.95</f>
        <v>-52.25</v>
      </c>
      <c r="L48" s="906">
        <f>F48*1000000/($C$19*J48)</f>
        <v>0</v>
      </c>
      <c r="M48" s="906">
        <f>CEILING(L48,(PI()*($C$18/2)^2))</f>
        <v>0</v>
      </c>
      <c r="N48" s="906">
        <f>MAX(CEILING(M48/(H48/1000),(PI()*($C$18/2)^2)),0.26*1000*G48*$C$20/$C$21)</f>
        <v>0</v>
      </c>
      <c r="O48" s="906">
        <f>CEILING(N48,(PI()*($C$18/2)^2))</f>
        <v>0</v>
      </c>
      <c r="P48" s="81"/>
      <c r="Q48" s="81"/>
      <c r="R48" s="81"/>
      <c r="S48" s="81"/>
      <c r="T48" s="81"/>
      <c r="U48" s="901"/>
      <c r="V48" s="901"/>
      <c r="W48" s="901"/>
      <c r="X48" s="901"/>
      <c r="Y48" s="901"/>
      <c r="Z48" s="901"/>
      <c r="AA48" s="901"/>
      <c r="AB48" s="901"/>
      <c r="AC48" s="901"/>
      <c r="AD48" s="901"/>
    </row>
    <row r="49" spans="2:33" ht="13.5">
      <c r="C49" s="913" t="s">
        <v>573</v>
      </c>
      <c r="D49" s="906">
        <f>D48</f>
        <v>0</v>
      </c>
      <c r="E49" s="906">
        <f>E37</f>
        <v>0</v>
      </c>
      <c r="F49" s="906">
        <f>0.3*0.069*E49*MAX(C22:C23)^2*MIN(C22:C23)</f>
        <v>0</v>
      </c>
      <c r="G49" s="906">
        <f>G48</f>
        <v>-55</v>
      </c>
      <c r="H49" s="906">
        <f>H48</f>
        <v>3000</v>
      </c>
      <c r="I49" s="906">
        <f>F49*10^6/(H49*(G49^2)*$C$16)</f>
        <v>0</v>
      </c>
      <c r="J49" s="906">
        <f>(G49/2)*(1+ (SQRT(1-(3.53*I49))))</f>
        <v>-55</v>
      </c>
      <c r="K49" s="906">
        <f>G49*0.95</f>
        <v>-52.25</v>
      </c>
      <c r="L49" s="906">
        <f>F49*1000000/($C$19*J49)</f>
        <v>0</v>
      </c>
      <c r="M49" s="906">
        <f>CEILING(L49,(PI()*($C$18/2)^2))</f>
        <v>0</v>
      </c>
      <c r="N49" s="906">
        <f>MAX(CEILING(M49/(H49/1000),(PI()*($C$18/2)^2)),0.26*1000*G49*$C$20/$C$21)</f>
        <v>0</v>
      </c>
      <c r="O49" s="906">
        <f>CEILING(N49,(PI()*($C$18/2)^2))</f>
        <v>0</v>
      </c>
      <c r="P49" s="81"/>
      <c r="Q49" s="81"/>
      <c r="R49" s="81"/>
      <c r="S49" s="896"/>
      <c r="T49" s="896"/>
      <c r="U49" s="923"/>
      <c r="V49" s="923"/>
      <c r="W49" s="923"/>
      <c r="X49" s="923"/>
      <c r="Y49" s="923"/>
      <c r="Z49" s="923"/>
      <c r="AA49" s="923"/>
      <c r="AB49" s="923"/>
      <c r="AC49" s="923"/>
      <c r="AD49" s="923"/>
    </row>
    <row r="50" spans="2:33" ht="12.75" thickBot="1">
      <c r="B50" s="924"/>
      <c r="C50" s="924"/>
      <c r="D50" s="924"/>
      <c r="E50" s="924"/>
      <c r="F50" s="924"/>
      <c r="G50" s="924"/>
      <c r="H50" s="924"/>
      <c r="I50" s="924"/>
      <c r="J50" s="924"/>
      <c r="K50" s="924"/>
      <c r="L50" s="924"/>
      <c r="M50" s="924"/>
      <c r="N50" s="924"/>
      <c r="O50" s="924"/>
      <c r="P50" s="924"/>
      <c r="Q50" s="924"/>
      <c r="R50" s="924"/>
      <c r="S50" s="81"/>
      <c r="T50" s="81"/>
      <c r="U50" s="901"/>
      <c r="V50" s="901"/>
      <c r="W50" s="901"/>
      <c r="X50" s="901"/>
      <c r="Y50" s="901"/>
      <c r="Z50" s="901"/>
      <c r="AA50" s="901"/>
      <c r="AB50" s="901"/>
      <c r="AC50" s="901"/>
      <c r="AD50" s="901"/>
      <c r="AE50" s="901"/>
    </row>
    <row r="51" spans="2:33" ht="12">
      <c r="B51" s="81"/>
      <c r="C51" s="81"/>
      <c r="D51" s="81"/>
      <c r="E51" s="81"/>
      <c r="F51" s="81"/>
      <c r="G51" s="81"/>
      <c r="H51" s="81"/>
      <c r="I51" s="81"/>
      <c r="J51" s="81"/>
      <c r="K51" s="81"/>
      <c r="L51" s="81"/>
      <c r="M51" s="81"/>
      <c r="N51" s="81"/>
      <c r="O51" s="81"/>
      <c r="P51" s="81"/>
      <c r="Q51" s="81"/>
      <c r="R51" s="81"/>
      <c r="S51" s="81"/>
      <c r="T51" s="81"/>
      <c r="U51" s="901"/>
      <c r="V51" s="901"/>
      <c r="W51" s="901"/>
      <c r="X51" s="901"/>
      <c r="Y51" s="901"/>
      <c r="Z51" s="901"/>
      <c r="AA51" s="901"/>
      <c r="AB51" s="901"/>
      <c r="AC51" s="901"/>
      <c r="AD51" s="901"/>
      <c r="AE51" s="901"/>
    </row>
    <row r="52" spans="2:33" ht="18">
      <c r="B52" s="128" t="s">
        <v>585</v>
      </c>
      <c r="C52" s="128"/>
    </row>
    <row r="53" spans="2:33">
      <c r="F53" s="925"/>
      <c r="G53" s="925"/>
      <c r="H53" s="925"/>
      <c r="I53" s="925"/>
    </row>
    <row r="54" spans="2:33" ht="12">
      <c r="B54" s="150" t="s">
        <v>586</v>
      </c>
      <c r="C54" s="150"/>
      <c r="D54" s="926">
        <f>C25</f>
        <v>0</v>
      </c>
      <c r="E54" s="150" t="s">
        <v>15</v>
      </c>
      <c r="H54" s="925"/>
      <c r="I54" s="925"/>
      <c r="N54" s="190">
        <v>3</v>
      </c>
      <c r="O54" s="190">
        <f t="shared" ref="O54:O59" si="3">CEILING((N54^1.15)/15,0.025)</f>
        <v>0.25</v>
      </c>
    </row>
    <row r="55" spans="2:33" ht="12">
      <c r="B55" s="150" t="s">
        <v>587</v>
      </c>
      <c r="C55" s="150"/>
      <c r="D55" s="926">
        <f>IF(C25-C24&gt;0,C25-C24,0)</f>
        <v>0</v>
      </c>
      <c r="E55" s="150" t="s">
        <v>15</v>
      </c>
      <c r="H55" s="925"/>
      <c r="I55" s="925"/>
      <c r="N55" s="190">
        <v>4</v>
      </c>
      <c r="O55" s="190">
        <v>0.3</v>
      </c>
    </row>
    <row r="56" spans="2:33" ht="12">
      <c r="B56" s="150" t="s">
        <v>588</v>
      </c>
      <c r="C56" s="150"/>
      <c r="D56" s="927" t="e">
        <f>MAX(VLOOKUP(D54,N54:O63,2,FALSE)-(C24*0.025),0.2)</f>
        <v>#N/A</v>
      </c>
      <c r="E56" s="150" t="s">
        <v>15</v>
      </c>
      <c r="H56" s="925"/>
      <c r="I56" s="925"/>
      <c r="N56" s="190">
        <v>5</v>
      </c>
      <c r="O56" s="190">
        <f t="shared" si="3"/>
        <v>0.42500000000000004</v>
      </c>
    </row>
    <row r="57" spans="2:33" ht="12">
      <c r="B57" s="150" t="s">
        <v>542</v>
      </c>
      <c r="C57" s="150"/>
      <c r="D57" s="82">
        <v>50</v>
      </c>
      <c r="E57" s="81" t="s">
        <v>58</v>
      </c>
      <c r="H57" s="925"/>
      <c r="I57" s="925"/>
      <c r="N57" s="190">
        <v>6</v>
      </c>
      <c r="O57" s="190">
        <f t="shared" si="3"/>
        <v>0.52500000000000002</v>
      </c>
    </row>
    <row r="58" spans="2:33" ht="12">
      <c r="B58" s="150" t="s">
        <v>589</v>
      </c>
      <c r="C58" s="150"/>
      <c r="D58" s="926">
        <f>10*D55*D55*0.5</f>
        <v>0</v>
      </c>
      <c r="E58" s="150" t="s">
        <v>590</v>
      </c>
      <c r="H58" s="925"/>
      <c r="I58" s="925"/>
      <c r="N58" s="190">
        <v>7</v>
      </c>
      <c r="O58" s="190">
        <f t="shared" si="3"/>
        <v>0.625</v>
      </c>
    </row>
    <row r="59" spans="2:33" ht="12">
      <c r="B59" s="150" t="s">
        <v>591</v>
      </c>
      <c r="C59" s="150"/>
      <c r="D59" s="926" t="e">
        <f>1.5*(D58*D55/3)*(1-D60+(((2/3)*D60)*((D60/3)^(1/3))))</f>
        <v>#DIV/0!</v>
      </c>
      <c r="E59" s="150" t="s">
        <v>592</v>
      </c>
      <c r="H59" s="925"/>
      <c r="I59" s="925"/>
      <c r="N59" s="190">
        <v>8</v>
      </c>
      <c r="O59" s="190">
        <f t="shared" si="3"/>
        <v>0.75</v>
      </c>
    </row>
    <row r="60" spans="2:33" s="930" customFormat="1" ht="12">
      <c r="B60" s="190" t="s">
        <v>15</v>
      </c>
      <c r="C60" s="190"/>
      <c r="D60" s="928" t="e">
        <f>D55/D54</f>
        <v>#DIV/0!</v>
      </c>
      <c r="E60" s="150"/>
      <c r="F60" s="187"/>
      <c r="G60" s="187"/>
      <c r="H60" s="925"/>
      <c r="I60" s="925"/>
      <c r="J60" s="237"/>
      <c r="K60" s="237"/>
      <c r="L60" s="237"/>
      <c r="M60" s="237"/>
      <c r="N60" s="190">
        <v>9</v>
      </c>
      <c r="O60" s="190">
        <f t="shared" ref="O60:O61" si="4">CEILING((N60^1.15)/15,0.025)</f>
        <v>0.85000000000000009</v>
      </c>
      <c r="P60" s="237"/>
      <c r="Q60" s="237"/>
      <c r="R60" s="237"/>
      <c r="S60" s="237"/>
      <c r="T60" s="237"/>
      <c r="U60" s="892"/>
      <c r="V60" s="892"/>
      <c r="W60" s="892"/>
      <c r="X60" s="892"/>
      <c r="Y60" s="892"/>
      <c r="Z60" s="892"/>
      <c r="AA60" s="892"/>
      <c r="AB60" s="892"/>
      <c r="AC60" s="892"/>
      <c r="AD60" s="892"/>
      <c r="AE60" s="892"/>
      <c r="AF60" s="929"/>
      <c r="AG60" s="929"/>
    </row>
    <row r="61" spans="2:33" ht="13.5">
      <c r="B61" s="81" t="s">
        <v>543</v>
      </c>
      <c r="C61" s="81"/>
      <c r="D61" s="81">
        <v>16</v>
      </c>
      <c r="E61" s="81" t="s">
        <v>58</v>
      </c>
      <c r="F61" s="150"/>
      <c r="G61" s="150" t="s">
        <v>593</v>
      </c>
      <c r="H61" s="150"/>
      <c r="I61" s="150"/>
      <c r="J61" s="150" t="s">
        <v>594</v>
      </c>
      <c r="K61" s="182">
        <f>C20</f>
        <v>3</v>
      </c>
      <c r="L61" s="150"/>
      <c r="N61" s="190">
        <v>10</v>
      </c>
      <c r="O61" s="190">
        <f t="shared" si="4"/>
        <v>0.95000000000000007</v>
      </c>
    </row>
    <row r="62" spans="2:33" ht="13.5">
      <c r="B62" s="150" t="s">
        <v>595</v>
      </c>
      <c r="C62" s="167" t="s">
        <v>588</v>
      </c>
      <c r="D62" s="927" t="e">
        <f>D56</f>
        <v>#N/A</v>
      </c>
      <c r="E62" s="150" t="s">
        <v>15</v>
      </c>
      <c r="F62" s="150"/>
      <c r="G62" s="150" t="s">
        <v>596</v>
      </c>
      <c r="H62" s="150"/>
      <c r="I62" s="150"/>
      <c r="J62" s="150" t="s">
        <v>597</v>
      </c>
      <c r="K62" s="927" t="e">
        <f>D71/D79</f>
        <v>#DIV/0!</v>
      </c>
      <c r="L62" s="150"/>
      <c r="N62" s="190">
        <v>11</v>
      </c>
      <c r="O62" s="190">
        <f t="shared" ref="O62:O63" si="5">CEILING((N62^1.15)/15,0.025)</f>
        <v>1.075</v>
      </c>
    </row>
    <row r="63" spans="2:33" ht="13.5">
      <c r="B63" s="150" t="s">
        <v>598</v>
      </c>
      <c r="C63" s="167" t="s">
        <v>591</v>
      </c>
      <c r="D63" s="926" t="e">
        <f>D59</f>
        <v>#DIV/0!</v>
      </c>
      <c r="E63" s="150" t="s">
        <v>599</v>
      </c>
      <c r="F63" s="150"/>
      <c r="G63" s="150" t="s">
        <v>600</v>
      </c>
      <c r="H63" s="150"/>
      <c r="I63" s="150"/>
      <c r="J63" s="931" t="s">
        <v>601</v>
      </c>
      <c r="K63" s="932">
        <f>200000/34077</f>
        <v>5.8690612436540777</v>
      </c>
      <c r="L63" s="150"/>
      <c r="N63" s="190">
        <v>12</v>
      </c>
      <c r="O63" s="190">
        <f t="shared" si="5"/>
        <v>1.175</v>
      </c>
    </row>
    <row r="64" spans="2:33" ht="13.5">
      <c r="B64" s="150" t="s">
        <v>602</v>
      </c>
      <c r="C64" s="167" t="s">
        <v>603</v>
      </c>
      <c r="D64" s="911" t="e">
        <f>D62*1000-D57-D61/2</f>
        <v>#N/A</v>
      </c>
      <c r="E64" s="150" t="s">
        <v>58</v>
      </c>
      <c r="F64" s="150"/>
      <c r="G64" s="150" t="s">
        <v>604</v>
      </c>
      <c r="H64" s="150"/>
      <c r="I64" s="150"/>
      <c r="J64" s="150" t="s">
        <v>605</v>
      </c>
      <c r="K64" s="182">
        <v>0.8</v>
      </c>
      <c r="L64" s="150"/>
    </row>
    <row r="65" spans="1:18" ht="13.5">
      <c r="B65" s="150"/>
      <c r="C65" s="167" t="s">
        <v>606</v>
      </c>
      <c r="D65" s="182">
        <f>1000</f>
        <v>1000</v>
      </c>
      <c r="E65" s="150" t="s">
        <v>58</v>
      </c>
      <c r="F65" s="150"/>
      <c r="G65" s="150" t="s">
        <v>607</v>
      </c>
      <c r="H65" s="150"/>
      <c r="I65" s="150"/>
      <c r="J65" s="150" t="s">
        <v>608</v>
      </c>
      <c r="K65" s="182">
        <v>0.5</v>
      </c>
      <c r="L65" s="150"/>
    </row>
    <row r="66" spans="1:18" ht="13.5">
      <c r="B66" s="150"/>
      <c r="C66" s="167" t="s">
        <v>561</v>
      </c>
      <c r="D66" s="932" t="e">
        <f>D63*10^6/(D65*(D64^2)*$C$16)</f>
        <v>#DIV/0!</v>
      </c>
      <c r="E66" s="150"/>
      <c r="F66" s="150"/>
      <c r="G66" s="150"/>
      <c r="H66" s="150"/>
      <c r="I66" s="150"/>
      <c r="J66" s="150" t="s">
        <v>609</v>
      </c>
      <c r="K66" s="182">
        <v>3.4</v>
      </c>
      <c r="L66" s="150"/>
    </row>
    <row r="67" spans="1:18" ht="13.5">
      <c r="B67" s="150"/>
      <c r="C67" s="167" t="s">
        <v>562</v>
      </c>
      <c r="D67" s="911" t="e">
        <f>(D64/2)*(1+ (SQRT(1-(3.53*D66))))</f>
        <v>#N/A</v>
      </c>
      <c r="E67" s="150"/>
      <c r="F67" s="150"/>
      <c r="G67" s="150"/>
      <c r="H67" s="150"/>
      <c r="I67" s="150"/>
      <c r="J67" s="150" t="s">
        <v>610</v>
      </c>
      <c r="K67" s="182">
        <v>0.42499999999999999</v>
      </c>
      <c r="L67" s="150"/>
    </row>
    <row r="68" spans="1:18" ht="13.5">
      <c r="B68" s="150"/>
      <c r="C68" s="167" t="s">
        <v>563</v>
      </c>
      <c r="D68" s="911" t="e">
        <f>D64*0.95</f>
        <v>#N/A</v>
      </c>
      <c r="E68" s="150"/>
      <c r="F68" s="150"/>
      <c r="G68" s="150" t="s">
        <v>611</v>
      </c>
      <c r="H68" s="150"/>
      <c r="I68" s="150"/>
      <c r="J68" s="150" t="s">
        <v>612</v>
      </c>
      <c r="K68" s="926" t="e">
        <f>K66*D57+K64*K65*K67*D61/K62</f>
        <v>#DIV/0!</v>
      </c>
      <c r="L68" s="150"/>
    </row>
    <row r="69" spans="1:18" ht="13.5">
      <c r="B69" s="150"/>
      <c r="C69" s="167" t="s">
        <v>613</v>
      </c>
      <c r="D69" s="911" t="e">
        <f>D63*1000000/($C$19*D67)</f>
        <v>#DIV/0!</v>
      </c>
      <c r="E69" s="150"/>
      <c r="F69" s="150"/>
      <c r="G69" s="150" t="s">
        <v>614</v>
      </c>
      <c r="H69" s="150"/>
      <c r="I69" s="150"/>
      <c r="J69" s="150" t="s">
        <v>615</v>
      </c>
      <c r="K69" s="932" t="e">
        <f>K68*MAX((D76-(D78*(K61/K62)*(1+K63*K62))),0.6*D76)/200000</f>
        <v>#DIV/0!</v>
      </c>
      <c r="L69" s="150" t="s">
        <v>58</v>
      </c>
    </row>
    <row r="70" spans="1:18" ht="13.5">
      <c r="B70" s="150"/>
      <c r="C70" s="167" t="s">
        <v>616</v>
      </c>
      <c r="D70" s="911" t="e">
        <f>CEILING(D69,(PI()*(D61/2)^2))</f>
        <v>#DIV/0!</v>
      </c>
      <c r="E70" s="150"/>
      <c r="F70" s="150"/>
      <c r="G70" s="150"/>
      <c r="H70" s="150"/>
      <c r="I70" s="150"/>
      <c r="J70" s="150"/>
      <c r="K70" s="932" t="e">
        <f>K69/0.2</f>
        <v>#DIV/0!</v>
      </c>
      <c r="L70" s="150"/>
    </row>
    <row r="71" spans="1:18" ht="13.5">
      <c r="B71" s="150"/>
      <c r="C71" s="167" t="s">
        <v>616</v>
      </c>
      <c r="D71" s="911" t="e">
        <f>(MAX(CEILING(D70/(D65/1000),(PI()*($D$61/2)^2)),0.26*D65*D64*$C$20/$C$21))</f>
        <v>#DIV/0!</v>
      </c>
      <c r="E71" s="150" t="s">
        <v>617</v>
      </c>
      <c r="F71" s="150"/>
      <c r="G71" s="150"/>
      <c r="H71" s="150"/>
      <c r="I71" s="150"/>
      <c r="J71" s="167" t="s">
        <v>616</v>
      </c>
      <c r="K71" s="926" t="e">
        <f>IF(K70&gt;1,CEILING(D71*(K70^(1/1.5)),PI()*((D61/2)^2)),0)</f>
        <v>#DIV/0!</v>
      </c>
      <c r="L71" s="150" t="s">
        <v>617</v>
      </c>
    </row>
    <row r="72" spans="1:18" ht="13.5">
      <c r="B72" s="150"/>
      <c r="C72" s="150"/>
      <c r="D72" s="150"/>
      <c r="E72" s="150"/>
      <c r="F72" s="150"/>
      <c r="G72" s="150" t="s">
        <v>618</v>
      </c>
      <c r="H72" s="150"/>
      <c r="I72" s="150"/>
      <c r="J72" s="150" t="s">
        <v>619</v>
      </c>
      <c r="K72" s="926" t="e">
        <f>IF(K71=0,0,D75*(10^6)/(K71*D67))</f>
        <v>#DIV/0!</v>
      </c>
      <c r="L72" s="150" t="s">
        <v>620</v>
      </c>
    </row>
    <row r="73" spans="1:18" ht="13.5">
      <c r="B73" s="150" t="s">
        <v>621</v>
      </c>
      <c r="C73" s="150" t="s">
        <v>622</v>
      </c>
      <c r="D73" s="182">
        <v>0.2</v>
      </c>
      <c r="E73" s="150"/>
      <c r="F73" s="150"/>
      <c r="G73" s="150" t="s">
        <v>596</v>
      </c>
      <c r="H73" s="150"/>
      <c r="I73" s="150"/>
      <c r="J73" s="150" t="s">
        <v>597</v>
      </c>
      <c r="K73" s="927" t="e">
        <f>K71/D79</f>
        <v>#DIV/0!</v>
      </c>
      <c r="L73" s="150"/>
    </row>
    <row r="74" spans="1:18" ht="13.5">
      <c r="B74" s="150" t="s">
        <v>623</v>
      </c>
      <c r="C74" s="150" t="s">
        <v>624</v>
      </c>
      <c r="D74" s="182">
        <v>0.7</v>
      </c>
      <c r="E74" s="150"/>
      <c r="F74" s="150"/>
      <c r="G74" s="150" t="s">
        <v>611</v>
      </c>
      <c r="H74" s="150"/>
      <c r="I74" s="150"/>
      <c r="J74" s="150" t="s">
        <v>612</v>
      </c>
      <c r="K74" s="926" t="e">
        <f>IF(K71=0,0,K66*D57+K64*K65*K67*D61/K73)</f>
        <v>#DIV/0!</v>
      </c>
      <c r="L74" s="150" t="s">
        <v>58</v>
      </c>
    </row>
    <row r="75" spans="1:18" ht="13.5">
      <c r="B75" s="150" t="s">
        <v>625</v>
      </c>
      <c r="C75" s="150" t="s">
        <v>626</v>
      </c>
      <c r="D75" s="926" t="e">
        <f>D59/1.5</f>
        <v>#DIV/0!</v>
      </c>
      <c r="E75" s="150" t="s">
        <v>592</v>
      </c>
      <c r="F75" s="150"/>
      <c r="G75" s="150"/>
      <c r="H75" s="150"/>
      <c r="I75" s="150"/>
      <c r="J75" s="150"/>
      <c r="K75" s="932" t="e">
        <f>IF(K71=0,0,K74*MAX((K72-(D78*(K61/K73)*(1+K63*K73))),0.6*K72)/200000)</f>
        <v>#DIV/0!</v>
      </c>
      <c r="L75" s="150" t="s">
        <v>58</v>
      </c>
    </row>
    <row r="76" spans="1:18" ht="13.5">
      <c r="A76" s="150"/>
      <c r="B76" s="150" t="s">
        <v>618</v>
      </c>
      <c r="C76" s="150" t="s">
        <v>619</v>
      </c>
      <c r="D76" s="926" t="e">
        <f>D75*(10^6)/(D71*D67)</f>
        <v>#DIV/0!</v>
      </c>
      <c r="E76" s="150" t="s">
        <v>620</v>
      </c>
      <c r="F76" s="150"/>
      <c r="G76" s="150"/>
      <c r="H76" s="150"/>
      <c r="I76" s="150"/>
      <c r="J76" s="150"/>
      <c r="K76" s="926" t="e">
        <f>MAX(K71,D71)</f>
        <v>#DIV/0!</v>
      </c>
      <c r="L76" s="150" t="s">
        <v>617</v>
      </c>
    </row>
    <row r="77" spans="1:18" ht="12">
      <c r="A77" s="150"/>
      <c r="B77" s="150" t="s">
        <v>627</v>
      </c>
      <c r="C77" s="150"/>
      <c r="D77" s="150" t="s">
        <v>628</v>
      </c>
      <c r="E77" s="150"/>
      <c r="F77" s="150"/>
      <c r="G77" s="150"/>
      <c r="H77" s="150"/>
      <c r="I77" s="150"/>
      <c r="J77" s="150"/>
      <c r="K77" s="926" t="e">
        <f>CEILING(MAX(K76/4,0.001*1000*D62*1000),PI()*36)</f>
        <v>#DIV/0!</v>
      </c>
      <c r="L77" s="150" t="s">
        <v>617</v>
      </c>
    </row>
    <row r="78" spans="1:18" ht="13.5">
      <c r="A78" s="150"/>
      <c r="B78" s="150" t="s">
        <v>629</v>
      </c>
      <c r="C78" s="150" t="s">
        <v>630</v>
      </c>
      <c r="D78" s="182">
        <v>0.4</v>
      </c>
      <c r="E78" s="150"/>
      <c r="F78" s="150"/>
      <c r="G78" s="150"/>
      <c r="H78" s="150"/>
      <c r="I78" s="150"/>
      <c r="J78" s="150" t="s">
        <v>537</v>
      </c>
      <c r="K78" s="911">
        <f>IF(Summary!J13="No",0,SUM(K76:K77)*2*0.00785*1.2)</f>
        <v>0</v>
      </c>
      <c r="L78" s="150" t="s">
        <v>538</v>
      </c>
    </row>
    <row r="79" spans="1:18" ht="13.5">
      <c r="A79" s="150"/>
      <c r="B79" s="150" t="s">
        <v>631</v>
      </c>
      <c r="C79" s="150" t="s">
        <v>632</v>
      </c>
      <c r="D79" s="182" t="e">
        <f>MIN(1000*(2.5*(D62*1000-D64)),(D62*1000000)-(2.5*(D64-D67)*1000),500000*D62)</f>
        <v>#N/A</v>
      </c>
      <c r="E79" s="150" t="s">
        <v>617</v>
      </c>
      <c r="F79" s="150"/>
      <c r="G79" s="150"/>
      <c r="H79" s="150"/>
      <c r="I79" s="150"/>
      <c r="J79" s="150" t="s">
        <v>116</v>
      </c>
      <c r="K79" s="911">
        <f>IF(Summary!J13="No",0,D62*24*1000/9.81)</f>
        <v>0</v>
      </c>
      <c r="L79" s="150" t="s">
        <v>538</v>
      </c>
    </row>
    <row r="80" spans="1:18" ht="12.75" thickBot="1">
      <c r="A80" s="150"/>
      <c r="B80" s="893"/>
      <c r="C80" s="893"/>
      <c r="D80" s="893"/>
      <c r="E80" s="893"/>
      <c r="F80" s="172"/>
      <c r="G80" s="893"/>
      <c r="H80" s="893"/>
      <c r="I80" s="893"/>
      <c r="J80" s="893"/>
      <c r="K80" s="893"/>
      <c r="L80" s="893"/>
      <c r="M80" s="893"/>
      <c r="N80" s="893"/>
      <c r="O80" s="893"/>
      <c r="P80" s="893"/>
      <c r="Q80" s="893"/>
      <c r="R80" s="893"/>
    </row>
    <row r="81" spans="1:15" ht="12">
      <c r="A81" s="150"/>
      <c r="F81" s="150"/>
    </row>
    <row r="82" spans="1:15" ht="18">
      <c r="A82" s="150"/>
      <c r="B82" s="128" t="s">
        <v>633</v>
      </c>
      <c r="C82" s="150"/>
      <c r="D82" s="150"/>
      <c r="E82" s="150"/>
      <c r="F82" s="150"/>
      <c r="G82" s="150"/>
      <c r="H82" s="150"/>
      <c r="I82" s="150"/>
      <c r="J82" s="150"/>
    </row>
    <row r="83" spans="1:15" ht="12">
      <c r="A83" s="150"/>
      <c r="B83" s="150"/>
      <c r="C83" s="150"/>
      <c r="D83" s="150"/>
      <c r="E83" s="150"/>
      <c r="F83" s="150"/>
      <c r="G83" s="150"/>
      <c r="H83" s="150"/>
      <c r="I83" s="150"/>
      <c r="J83" s="150"/>
    </row>
    <row r="84" spans="1:15" ht="12">
      <c r="A84" s="150"/>
      <c r="B84" s="150" t="s">
        <v>634</v>
      </c>
      <c r="C84" s="272" t="s">
        <v>635</v>
      </c>
      <c r="D84" s="150"/>
      <c r="F84" s="150"/>
      <c r="G84" s="150"/>
      <c r="H84" s="150"/>
      <c r="I84" s="150"/>
      <c r="J84" s="219"/>
      <c r="K84" s="150"/>
      <c r="L84" s="150"/>
      <c r="M84" s="219"/>
      <c r="N84" s="150"/>
    </row>
    <row r="85" spans="1:15" ht="12">
      <c r="A85" s="150"/>
      <c r="B85" s="150"/>
      <c r="C85" s="928" t="str">
        <f>RIGHT(C84,2)</f>
        <v>40</v>
      </c>
      <c r="D85" s="150"/>
      <c r="F85" s="150"/>
      <c r="G85" s="150"/>
      <c r="H85" s="150"/>
      <c r="I85" s="150"/>
      <c r="J85" s="219"/>
      <c r="K85" s="150"/>
      <c r="L85" s="150"/>
      <c r="M85" s="219"/>
      <c r="N85" s="150"/>
    </row>
    <row r="86" spans="1:15" ht="12">
      <c r="A86" s="150"/>
      <c r="B86" s="150" t="s">
        <v>636</v>
      </c>
      <c r="C86" s="273">
        <v>0.04</v>
      </c>
      <c r="D86" s="150"/>
      <c r="F86" s="150"/>
      <c r="G86" s="150"/>
      <c r="H86" s="150"/>
      <c r="I86" s="150"/>
      <c r="J86" s="219"/>
      <c r="K86" s="150"/>
      <c r="L86" s="150"/>
      <c r="M86" s="219"/>
      <c r="N86" s="150"/>
    </row>
    <row r="87" spans="1:15" ht="12">
      <c r="A87" s="150"/>
      <c r="B87" s="150"/>
      <c r="C87" s="182"/>
      <c r="D87" s="150"/>
      <c r="F87" s="150"/>
      <c r="G87" s="150"/>
      <c r="H87" s="150"/>
      <c r="I87" s="150"/>
      <c r="J87" s="219"/>
      <c r="K87" s="150"/>
      <c r="L87" s="150"/>
      <c r="M87" s="219"/>
      <c r="N87" s="150"/>
    </row>
    <row r="88" spans="1:15" ht="12">
      <c r="A88" s="150"/>
      <c r="B88" s="150" t="s">
        <v>637</v>
      </c>
      <c r="C88" s="272">
        <f>Summary!J14</f>
        <v>5</v>
      </c>
      <c r="D88" s="150" t="s">
        <v>15</v>
      </c>
      <c r="F88" s="150"/>
      <c r="G88" s="150"/>
      <c r="H88" s="150"/>
      <c r="I88" s="150"/>
      <c r="J88" s="219"/>
      <c r="K88" s="150"/>
      <c r="L88" s="150"/>
      <c r="M88" s="219"/>
      <c r="N88" s="150"/>
    </row>
    <row r="89" spans="1:15" ht="12">
      <c r="A89" s="150"/>
      <c r="B89" s="150"/>
      <c r="C89" s="182"/>
      <c r="D89" s="150"/>
      <c r="F89" s="150"/>
      <c r="G89" s="150"/>
      <c r="H89" s="150"/>
      <c r="I89" s="150"/>
      <c r="J89" s="219"/>
      <c r="K89" s="150"/>
      <c r="L89" s="150"/>
      <c r="M89" s="219"/>
      <c r="N89" s="150"/>
    </row>
    <row r="90" spans="1:15" ht="12">
      <c r="A90" s="150"/>
      <c r="B90" s="150" t="s">
        <v>638</v>
      </c>
      <c r="C90" s="274">
        <f>'RC Column'!C30</f>
        <v>4</v>
      </c>
      <c r="D90" s="150"/>
      <c r="F90" s="150"/>
      <c r="G90" s="150"/>
      <c r="H90" s="150"/>
      <c r="I90" s="150"/>
      <c r="J90" s="219"/>
      <c r="K90" s="150"/>
      <c r="L90" s="150"/>
      <c r="M90" s="219"/>
      <c r="N90" s="150"/>
    </row>
    <row r="91" spans="1:15" ht="12">
      <c r="A91" s="150"/>
      <c r="B91" s="150" t="s">
        <v>639</v>
      </c>
      <c r="C91" s="274">
        <f>'RC Column'!C31</f>
        <v>32</v>
      </c>
      <c r="D91" s="150"/>
      <c r="F91" s="150"/>
      <c r="G91" s="150"/>
      <c r="H91" s="150"/>
      <c r="I91" s="150"/>
      <c r="J91" s="219"/>
      <c r="K91" s="150"/>
      <c r="L91" s="150"/>
      <c r="M91" s="219"/>
      <c r="N91" s="150"/>
    </row>
    <row r="92" spans="1:15" ht="12">
      <c r="A92" s="150"/>
      <c r="B92" s="150" t="s">
        <v>640</v>
      </c>
      <c r="C92" s="274">
        <f>'RC Column'!C32</f>
        <v>63</v>
      </c>
      <c r="D92" s="150"/>
      <c r="F92" s="150"/>
      <c r="G92" s="150"/>
      <c r="H92" s="150"/>
      <c r="I92" s="150"/>
      <c r="J92" s="219"/>
      <c r="K92" s="150"/>
      <c r="L92" s="150"/>
      <c r="M92" s="219"/>
      <c r="N92" s="150"/>
    </row>
    <row r="93" spans="1:15" ht="12">
      <c r="A93" s="150"/>
      <c r="B93" s="150" t="s">
        <v>641</v>
      </c>
      <c r="C93" s="274">
        <f>Summary!C13*Summary!C15*Summary!C14*Summary!C16</f>
        <v>2880</v>
      </c>
      <c r="D93" s="150" t="s">
        <v>642</v>
      </c>
      <c r="F93" s="150"/>
      <c r="G93" s="150"/>
      <c r="H93" s="150"/>
      <c r="I93" s="150"/>
      <c r="J93" s="219"/>
      <c r="K93" s="150"/>
      <c r="L93" s="150"/>
      <c r="M93" s="219"/>
      <c r="N93" s="150"/>
    </row>
    <row r="94" spans="1:15" ht="12">
      <c r="B94" s="150" t="s">
        <v>643</v>
      </c>
      <c r="C94" s="275">
        <v>60</v>
      </c>
      <c r="D94" s="150" t="s">
        <v>644</v>
      </c>
      <c r="F94" s="150"/>
      <c r="G94" s="150"/>
      <c r="H94" s="150"/>
      <c r="I94" s="150"/>
      <c r="J94" s="219"/>
      <c r="K94" s="150"/>
      <c r="L94" s="150"/>
      <c r="M94" s="219"/>
      <c r="N94" s="150"/>
    </row>
    <row r="95" spans="1:15" ht="12">
      <c r="B95" s="150"/>
      <c r="C95" s="150"/>
      <c r="D95" s="1341"/>
      <c r="E95" s="1341"/>
      <c r="F95" s="1341"/>
      <c r="G95" s="1341"/>
      <c r="H95" s="1341"/>
      <c r="I95" s="1341"/>
      <c r="J95" s="1341"/>
      <c r="K95" s="1341"/>
      <c r="L95" s="1341"/>
      <c r="M95" s="1341"/>
      <c r="N95" s="1341"/>
    </row>
    <row r="96" spans="1:15" ht="24" customHeight="1">
      <c r="C96" s="150"/>
      <c r="D96" s="258" t="s">
        <v>22</v>
      </c>
      <c r="E96" s="260" t="s">
        <v>645</v>
      </c>
      <c r="F96" s="260" t="s">
        <v>646</v>
      </c>
      <c r="G96" s="259"/>
      <c r="H96" s="260" t="s">
        <v>647</v>
      </c>
      <c r="I96" s="260" t="s">
        <v>648</v>
      </c>
      <c r="J96" s="260" t="s">
        <v>649</v>
      </c>
      <c r="K96" s="260" t="s">
        <v>650</v>
      </c>
      <c r="L96" s="260" t="s">
        <v>651</v>
      </c>
      <c r="M96" s="260" t="s">
        <v>652</v>
      </c>
      <c r="N96" s="276" t="s">
        <v>653</v>
      </c>
      <c r="O96" s="260" t="s">
        <v>654</v>
      </c>
    </row>
    <row r="97" spans="2:15" ht="12" customHeight="1">
      <c r="B97" s="257" t="s">
        <v>183</v>
      </c>
      <c r="D97" s="252" t="str">
        <f>Database!D17</f>
        <v>RC Flat Slab</v>
      </c>
      <c r="E97" s="178">
        <f>'RC Column'!E9+1.35*Database!X$17+1.5*Database!Y$17+1.35*'RC Column'!L36</f>
        <v>1376.2547999999999</v>
      </c>
      <c r="F97" s="152">
        <f>IF(C94=60,250,IF(C94=120,350,600))</f>
        <v>250</v>
      </c>
      <c r="G97" s="933">
        <f t="shared" ref="G97:G107" si="6">E97/((0.4*(C$85)+0.75*500*C$86)/1000)</f>
        <v>44395.316129032253</v>
      </c>
      <c r="H97" s="152">
        <f>MAX(F97,IF((SQRT(G97))&lt;MROUND(SQRT(G97),25),MROUND((SQRT(G97)),25),MROUND((SQRT(G97)),25)+25))</f>
        <v>250</v>
      </c>
      <c r="I97" s="152">
        <f>H97^2</f>
        <v>62500</v>
      </c>
      <c r="J97" s="178">
        <f>IF(Summary!J$13="No",0,(C$92*(H97^2/1000000*23*C$88*1000/9.81))/C$93)</f>
        <v>0</v>
      </c>
      <c r="K97" s="178">
        <f>IF(Summary!J$13="No",0,(C$92*7850*(H97^2/1000000)*C$86*C$88)/C$93)</f>
        <v>0</v>
      </c>
      <c r="L97" s="178">
        <f>IF(Summary!J$13="No",0,((H97/1000)^2*25)*C$88)</f>
        <v>0</v>
      </c>
      <c r="M97" s="178">
        <f>IF(Summary!J$13="No",0,(I97/10^6)*C$88*C$92)</f>
        <v>0</v>
      </c>
      <c r="N97" s="178">
        <f t="shared" ref="N97:N107" si="7">M97*C$86*7850*0.001</f>
        <v>0</v>
      </c>
      <c r="O97" s="178">
        <f>IF(Summary!J$13="No",0,C$92*C$88*4*H97/1000)</f>
        <v>0</v>
      </c>
    </row>
    <row r="98" spans="2:15" ht="12" customHeight="1">
      <c r="B98" s="934"/>
      <c r="C98" s="267"/>
      <c r="D98" s="252" t="str">
        <f>Database!D18</f>
        <v>PT RC Flat Slab</v>
      </c>
      <c r="E98" s="178">
        <f>'RC Column'!E10+1.35*Database!X$17+1.5*Database!Y$17+1.35*'RC Column'!L37</f>
        <v>1349.5248000000001</v>
      </c>
      <c r="F98" s="152">
        <f>F97</f>
        <v>250</v>
      </c>
      <c r="G98" s="933">
        <f t="shared" si="6"/>
        <v>43533.058064516132</v>
      </c>
      <c r="H98" s="152">
        <f t="shared" ref="H98:H102" si="8">MAX(F98,IF((SQRT(G98))&lt;MROUND(SQRT(G98),25),MROUND((SQRT(G98)),25),MROUND((SQRT(G98)),25)+25))</f>
        <v>250</v>
      </c>
      <c r="I98" s="152">
        <f t="shared" ref="I98:I102" si="9">H98^2</f>
        <v>62500</v>
      </c>
      <c r="J98" s="178">
        <f>IF(Summary!J$13="No",0,(C$92*(H98^2/1000000*23*C$88*1000/9.81))/C$93)</f>
        <v>0</v>
      </c>
      <c r="K98" s="178">
        <f>IF(Summary!J$13="No",0,(C$92*7850*(H98^2/1000000)*C$86*C$88)/C$93)</f>
        <v>0</v>
      </c>
      <c r="L98" s="178">
        <f>IF(Summary!J$13="No",0,((H98/1000)^2*25)*C$88)</f>
        <v>0</v>
      </c>
      <c r="M98" s="178">
        <f>IF(Summary!J$13="No",0,(I98/10^6)*C$88*C$92)</f>
        <v>0</v>
      </c>
      <c r="N98" s="178">
        <f t="shared" si="7"/>
        <v>0</v>
      </c>
      <c r="O98" s="178">
        <f>IF(Summary!J$13="No",0,C$92*C$88*4*H98/1000)</f>
        <v>0</v>
      </c>
    </row>
    <row r="99" spans="2:15" ht="12" customHeight="1">
      <c r="B99" s="934"/>
      <c r="C99" s="267"/>
      <c r="D99" s="252" t="str">
        <f>Database!D19</f>
        <v>RC Rib Slab</v>
      </c>
      <c r="E99" s="178">
        <f>'RC Column'!E11+1.35*Database!X$17+1.5*Database!Y$17+1.35*'RC Column'!L38</f>
        <v>1277.4652076612899</v>
      </c>
      <c r="F99" s="152">
        <f t="shared" ref="F99:F107" si="10">F98</f>
        <v>250</v>
      </c>
      <c r="G99" s="933">
        <f t="shared" si="6"/>
        <v>41208.555085848064</v>
      </c>
      <c r="H99" s="152">
        <f t="shared" si="8"/>
        <v>250</v>
      </c>
      <c r="I99" s="152">
        <f t="shared" si="9"/>
        <v>62500</v>
      </c>
      <c r="J99" s="178">
        <f>IF(Summary!J$13="No",0,(C$92*(H99^2/1000000*23*C$88*1000/9.81))/C$93)</f>
        <v>0</v>
      </c>
      <c r="K99" s="178">
        <f>IF(Summary!J$13="No",0,(C$92*7850*(H99^2/1000000)*C$86*C$88)/C$93)</f>
        <v>0</v>
      </c>
      <c r="L99" s="178">
        <f>IF(Summary!J$13="No",0,((H99/1000)^2*25)*C$88)</f>
        <v>0</v>
      </c>
      <c r="M99" s="178">
        <f>IF(Summary!J$13="No",0,(I99/10^6)*C$88*C$92)</f>
        <v>0</v>
      </c>
      <c r="N99" s="178">
        <f t="shared" si="7"/>
        <v>0</v>
      </c>
      <c r="O99" s="178">
        <f>IF(Summary!J$13="No",0,C$92*C$88*4*H99/1000)</f>
        <v>0</v>
      </c>
    </row>
    <row r="100" spans="2:15" ht="12" customHeight="1">
      <c r="B100" s="934"/>
      <c r="C100" s="267"/>
      <c r="D100" s="252" t="str">
        <f>Database!D20</f>
        <v>Two-way RC Slab</v>
      </c>
      <c r="E100" s="178">
        <f>'RC Column'!E12+1.35*Database!X$17+1.5*Database!Y$17+1.35*'RC Column'!L39</f>
        <v>1183.6043999999999</v>
      </c>
      <c r="F100" s="152">
        <f t="shared" si="10"/>
        <v>250</v>
      </c>
      <c r="G100" s="933">
        <f t="shared" si="6"/>
        <v>38180.787096774191</v>
      </c>
      <c r="H100" s="152">
        <f t="shared" si="8"/>
        <v>250</v>
      </c>
      <c r="I100" s="152">
        <f t="shared" si="9"/>
        <v>62500</v>
      </c>
      <c r="J100" s="178">
        <f>IF(Summary!J$13="No",0,(C$92*(H100^2/1000000*23*C$88*1000/9.81))/C$93)</f>
        <v>0</v>
      </c>
      <c r="K100" s="178">
        <f>IF(Summary!J$13="No",0,(C$92*7850*(H100^2/1000000)*C$86*C$88)/C$93)</f>
        <v>0</v>
      </c>
      <c r="L100" s="178">
        <f>IF(Summary!J$13="No",0,((H100/1000)^2*25)*C$88)</f>
        <v>0</v>
      </c>
      <c r="M100" s="178">
        <f>IF(Summary!J$13="No",0,(I100/10^6)*C$88*C$92)</f>
        <v>0</v>
      </c>
      <c r="N100" s="178">
        <f t="shared" si="7"/>
        <v>0</v>
      </c>
      <c r="O100" s="178">
        <f>IF(Summary!J$13="No",0,C$92*C$88*4*H100/1000)</f>
        <v>0</v>
      </c>
    </row>
    <row r="101" spans="2:15" ht="12" customHeight="1">
      <c r="B101" s="934"/>
      <c r="C101" s="267"/>
      <c r="D101" s="252" t="str">
        <f>Database!D21</f>
        <v>One-Way Spanning RC</v>
      </c>
      <c r="E101" s="178">
        <f>'RC Column'!E13+1.35*Database!X$17+1.5*Database!Y$17+1.35*'RC Column'!L40</f>
        <v>1290.0238200000001</v>
      </c>
      <c r="F101" s="152">
        <f t="shared" si="10"/>
        <v>250</v>
      </c>
      <c r="G101" s="933">
        <f t="shared" si="6"/>
        <v>41613.671612903228</v>
      </c>
      <c r="H101" s="152">
        <f t="shared" si="8"/>
        <v>250</v>
      </c>
      <c r="I101" s="152">
        <f t="shared" si="9"/>
        <v>62500</v>
      </c>
      <c r="J101" s="178">
        <f>IF(Summary!J$13="No",0,(C$92*(H101^2/1000000*23*C$88*1000/9.81))/C$93)</f>
        <v>0</v>
      </c>
      <c r="K101" s="178">
        <f>IF(Summary!J$13="No",0,(C$92*7850*(H101^2/1000000)*C$86*C$88)/C$93)</f>
        <v>0</v>
      </c>
      <c r="L101" s="178">
        <f>IF(Summary!J$13="No",0,((H101/1000)^2*25)*C$88)</f>
        <v>0</v>
      </c>
      <c r="M101" s="178">
        <f>IF(Summary!J$13="No",0,(I101/10^6)*C$88*C$92)</f>
        <v>0</v>
      </c>
      <c r="N101" s="178">
        <f t="shared" si="7"/>
        <v>0</v>
      </c>
      <c r="O101" s="178">
        <f>IF(Summary!J$13="No",0,C$92*C$88*4*H101/1000)</f>
        <v>0</v>
      </c>
    </row>
    <row r="102" spans="2:15" ht="12" customHeight="1">
      <c r="B102" s="934"/>
      <c r="C102" s="267"/>
      <c r="D102" s="252" t="str">
        <f>Database!D22</f>
        <v>Precast Hollowcore with In-situ RC Beams</v>
      </c>
      <c r="E102" s="178">
        <f>'RC Column'!E14+1.35*Database!X$17+1.5*Database!Y$17+1.35*'RC Column'!L41</f>
        <v>1474.90065</v>
      </c>
      <c r="F102" s="152">
        <f t="shared" si="10"/>
        <v>250</v>
      </c>
      <c r="G102" s="933">
        <f t="shared" si="6"/>
        <v>47577.440322580645</v>
      </c>
      <c r="H102" s="152">
        <f t="shared" si="8"/>
        <v>250</v>
      </c>
      <c r="I102" s="152">
        <f t="shared" si="9"/>
        <v>62500</v>
      </c>
      <c r="J102" s="178">
        <f>IF(Summary!J$13="No",0,(C$92*(H102^2/1000000*23*C$88*1000/9.81))/C$93)</f>
        <v>0</v>
      </c>
      <c r="K102" s="178">
        <f>IF(Summary!J$13="No",0,(C$92*7850*(H102^2/1000000)*C$86*C$88)/C$93)</f>
        <v>0</v>
      </c>
      <c r="L102" s="178">
        <f>IF(Summary!J$13="No",0,((H102/1000)^2*25)*C$88)</f>
        <v>0</v>
      </c>
      <c r="M102" s="178">
        <f>IF(Summary!J$13="No",0,(I102/10^6)*C$88*C$92)</f>
        <v>0</v>
      </c>
      <c r="N102" s="178">
        <f t="shared" si="7"/>
        <v>0</v>
      </c>
      <c r="O102" s="178">
        <f>IF(Summary!J$13="No",0,C$92*C$88*4*H102/1000)</f>
        <v>0</v>
      </c>
    </row>
    <row r="103" spans="2:15" ht="12" customHeight="1">
      <c r="B103" s="934"/>
      <c r="C103" s="267"/>
      <c r="D103" s="252" t="str">
        <f>Database!D23</f>
        <v>Non-Composite Rolled Steel with PCC Planks</v>
      </c>
      <c r="E103" s="178">
        <f>'Steel Column'!H9+1.35*Database!X$17+1.5*Database!Y$17+1.35*'Steel Column'!J32</f>
        <v>1190.2467240000001</v>
      </c>
      <c r="F103" s="152">
        <f t="shared" si="10"/>
        <v>250</v>
      </c>
      <c r="G103" s="933">
        <f t="shared" si="6"/>
        <v>38395.055612903227</v>
      </c>
      <c r="H103" s="152">
        <f>MAX(F103,IF((SQRT(G103))&lt;MROUND(SQRT(G103),25),MROUND((SQRT(G103)),25),MROUND((SQRT(G103)),25)+25))</f>
        <v>250</v>
      </c>
      <c r="I103" s="152">
        <f>H103^2</f>
        <v>62500</v>
      </c>
      <c r="J103" s="178">
        <f>IF(Summary!J$13="No",0,(C$92*(H103^2/1000000*23*C$88*1000/9.81))/C$93)</f>
        <v>0</v>
      </c>
      <c r="K103" s="178">
        <f>IF(Summary!J$13="No",0,(C$92*7850*(H103^2/1000000)*C$86*C$88)/C$93)</f>
        <v>0</v>
      </c>
      <c r="L103" s="178">
        <f>IF(Summary!J$13="No",0,((H103/1000)^2*25)*C$88)</f>
        <v>0</v>
      </c>
      <c r="M103" s="178">
        <f>IF(Summary!J$13="No",0,(I103/10^6)*C$88*C$92)</f>
        <v>0</v>
      </c>
      <c r="N103" s="178">
        <f t="shared" si="7"/>
        <v>0</v>
      </c>
      <c r="O103" s="178">
        <f>IF(Summary!J$13="No",0,C$92*C$88*4*H103/1000)</f>
        <v>0</v>
      </c>
    </row>
    <row r="104" spans="2:15" ht="12" customHeight="1">
      <c r="B104" s="934"/>
      <c r="C104" s="267"/>
      <c r="D104" s="252" t="str">
        <f>Database!D24</f>
        <v>Composite Rolled Steel with Metal Decking</v>
      </c>
      <c r="E104" s="178">
        <f>'Steel Column'!H10+1.35*Database!X$17+1.5*Database!Y$17+1.35*'Steel Column'!J33</f>
        <v>1079.5102632000001</v>
      </c>
      <c r="F104" s="152">
        <f t="shared" si="10"/>
        <v>250</v>
      </c>
      <c r="G104" s="933">
        <f t="shared" si="6"/>
        <v>34822.911716129034</v>
      </c>
      <c r="H104" s="152">
        <f t="shared" ref="H104:H107" si="11">MAX(F104,IF((SQRT(G104))&lt;MROUND(SQRT(G104),25),MROUND((SQRT(G104)),25),MROUND((SQRT(G104)),25)+25))</f>
        <v>250</v>
      </c>
      <c r="I104" s="152">
        <f t="shared" ref="I104:I107" si="12">H104^2</f>
        <v>62500</v>
      </c>
      <c r="J104" s="178">
        <f>IF(Summary!J$13="No",0,(C$92*(H104^2/1000000*23*C$88*1000/9.81))/C$93)</f>
        <v>0</v>
      </c>
      <c r="K104" s="178">
        <f>IF(Summary!J$13="No",0,(C$92*7850*(H104^2/1000000)*C$86*C$88)/C$93)</f>
        <v>0</v>
      </c>
      <c r="L104" s="178">
        <f>IF(Summary!J$13="No",0,((H104/1000)^2*25)*C$88)</f>
        <v>0</v>
      </c>
      <c r="M104" s="178">
        <f>IF(Summary!J$13="No",0,(I104/10^6)*C$88*C$92)</f>
        <v>0</v>
      </c>
      <c r="N104" s="178">
        <f t="shared" si="7"/>
        <v>0</v>
      </c>
      <c r="O104" s="178">
        <f>IF(Summary!J$13="No",0,C$92*C$88*4*H104/1000)</f>
        <v>0</v>
      </c>
    </row>
    <row r="105" spans="2:15" ht="12" customHeight="1">
      <c r="B105" s="934"/>
      <c r="D105" s="252" t="str">
        <f>Database!D25</f>
        <v>Composite Cell Beams with Metal Decking</v>
      </c>
      <c r="E105" s="178">
        <f>'Steel Column'!H11+1.35*Database!X$17+1.5*Database!Y$17+1.35*'Steel Column'!J34</f>
        <v>1089.7901328396001</v>
      </c>
      <c r="F105" s="152">
        <f t="shared" si="10"/>
        <v>250</v>
      </c>
      <c r="G105" s="933">
        <f t="shared" si="6"/>
        <v>35154.520414180646</v>
      </c>
      <c r="H105" s="152">
        <f t="shared" si="11"/>
        <v>250</v>
      </c>
      <c r="I105" s="152">
        <f t="shared" si="12"/>
        <v>62500</v>
      </c>
      <c r="J105" s="178">
        <f>IF(Summary!J$13="No",0,(C$92*(H105^2/1000000*23*C$88*1000/9.81))/C$93)</f>
        <v>0</v>
      </c>
      <c r="K105" s="178">
        <f>IF(Summary!J$13="No",0,(C$92*7850*(H105^2/1000000)*C$86*C$88)/C$93)</f>
        <v>0</v>
      </c>
      <c r="L105" s="178">
        <f>IF(Summary!J$13="No",0,((H105/1000)^2*25)*C$88)</f>
        <v>0</v>
      </c>
      <c r="M105" s="178">
        <f>IF(Summary!J$13="No",0,(I105/10^6)*C$88*C$92)</f>
        <v>0</v>
      </c>
      <c r="N105" s="178">
        <f t="shared" si="7"/>
        <v>0</v>
      </c>
      <c r="O105" s="178">
        <f>IF(Summary!J$13="No",0,C$92*C$88*4*H105/1000)</f>
        <v>0</v>
      </c>
    </row>
    <row r="106" spans="2:15" ht="12" customHeight="1">
      <c r="B106" s="934"/>
      <c r="D106" s="252" t="str">
        <f>Database!D26</f>
        <v>Steel Frame with CLT Slabs</v>
      </c>
      <c r="E106" s="178">
        <f>'Steel Column'!H12+1.35*Database!X$17+1.5*Database!Y$17+1.35*'Steel Column'!J35</f>
        <v>844.31265299999995</v>
      </c>
      <c r="F106" s="152">
        <f t="shared" si="10"/>
        <v>250</v>
      </c>
      <c r="G106" s="933">
        <f t="shared" si="6"/>
        <v>27235.892032258063</v>
      </c>
      <c r="H106" s="152">
        <f t="shared" si="11"/>
        <v>250</v>
      </c>
      <c r="I106" s="152">
        <f t="shared" si="12"/>
        <v>62500</v>
      </c>
      <c r="J106" s="178">
        <f>IF(Summary!J$13="No",0,(C$92*(H106^2/1000000*23*C$88*1000/9.81))/C$93)</f>
        <v>0</v>
      </c>
      <c r="K106" s="178">
        <f>IF(Summary!J$13="No",0,(C$92*7850*(H106^2/1000000)*C$86*C$88)/C$93)</f>
        <v>0</v>
      </c>
      <c r="L106" s="178">
        <f>IF(Summary!J$13="No",0,((H106/1000)^2*25)*C$88)</f>
        <v>0</v>
      </c>
      <c r="M106" s="178">
        <f>IF(Summary!J$13="No",0,(I106/10^6)*C$88*C$92)</f>
        <v>0</v>
      </c>
      <c r="N106" s="178">
        <f t="shared" si="7"/>
        <v>0</v>
      </c>
      <c r="O106" s="178">
        <f>IF(Summary!J$13="No",0,C$92*C$88*4*H106/1000)</f>
        <v>0</v>
      </c>
    </row>
    <row r="107" spans="2:15" ht="12" customHeight="1">
      <c r="B107" s="934"/>
      <c r="D107" s="252" t="str">
        <f>Database!D27</f>
        <v>CLT, Glulam and Steel Column Hybrid</v>
      </c>
      <c r="E107" s="178">
        <f>'Steel Column'!H13+1.35*Database!X$17+1.5*Database!Y$17+1.35*'Steel Column'!J36</f>
        <v>852.93076463999989</v>
      </c>
      <c r="F107" s="152">
        <f t="shared" si="10"/>
        <v>250</v>
      </c>
      <c r="G107" s="933">
        <f t="shared" si="6"/>
        <v>27513.895633548385</v>
      </c>
      <c r="H107" s="152">
        <f t="shared" si="11"/>
        <v>250</v>
      </c>
      <c r="I107" s="152">
        <f t="shared" si="12"/>
        <v>62500</v>
      </c>
      <c r="J107" s="178">
        <f>IF(Summary!J$13="No",0,(C$92*(H107^2/1000000*23*C$88*1000/9.81))/C$93)</f>
        <v>0</v>
      </c>
      <c r="K107" s="178">
        <f>IF(Summary!J$13="No",0,(C$92*7850*(H107^2/1000000)*C$86*C$88)/C$93)</f>
        <v>0</v>
      </c>
      <c r="L107" s="178">
        <f>IF(Summary!J$13="No",0,((H107/1000)^2*25)*C$88)</f>
        <v>0</v>
      </c>
      <c r="M107" s="178">
        <f>IF(Summary!J$13="No",0,(I107/10^6)*C$88*C$92)</f>
        <v>0</v>
      </c>
      <c r="N107" s="178">
        <f t="shared" si="7"/>
        <v>0</v>
      </c>
      <c r="O107" s="178">
        <f>IF(Summary!J$13="No",0,C$92*C$88*4*H107/1000)</f>
        <v>0</v>
      </c>
    </row>
    <row r="108" spans="2:15" ht="12" customHeight="1">
      <c r="B108" s="935"/>
      <c r="C108" s="869"/>
      <c r="D108" s="279"/>
      <c r="E108" s="181"/>
      <c r="F108" s="184"/>
      <c r="G108" s="936"/>
      <c r="H108" s="184"/>
      <c r="I108" s="184"/>
      <c r="J108" s="181"/>
      <c r="K108" s="181"/>
      <c r="L108" s="181"/>
      <c r="M108" s="181"/>
      <c r="N108" s="181"/>
      <c r="O108" s="181"/>
    </row>
    <row r="109" spans="2:15" ht="11.25" customHeight="1">
      <c r="J109" s="937"/>
      <c r="K109" s="937"/>
      <c r="L109" s="937"/>
      <c r="M109" s="937"/>
      <c r="N109" s="937"/>
      <c r="O109" s="937"/>
    </row>
    <row r="110" spans="2:15" ht="12" customHeight="1">
      <c r="B110" s="257" t="s">
        <v>187</v>
      </c>
      <c r="D110" s="252" t="str">
        <f>D97</f>
        <v>RC Flat Slab</v>
      </c>
      <c r="E110" s="178">
        <f>'RC Column'!D9+1.35*Database!V$17+1.5*Database!W$17+1.35*'RC Column'!L44</f>
        <v>975.57387187500012</v>
      </c>
      <c r="F110" s="152">
        <f>IF(C94=60,250,IF(C94=120,350,600))</f>
        <v>250</v>
      </c>
      <c r="G110" s="933">
        <f t="shared" ref="G110:G120" si="13">E110/((0.4*(C$85)+0.75*500*C$86)/1000)</f>
        <v>31470.124899193554</v>
      </c>
      <c r="H110" s="152">
        <f>MAX(F110,IF((SQRT(G110))&lt;MROUND(SQRT(G110),25),MROUND((SQRT(G110)),25),MROUND((SQRT(G110)),25)+25))</f>
        <v>250</v>
      </c>
      <c r="I110" s="152">
        <f>H110^2</f>
        <v>62500</v>
      </c>
      <c r="J110" s="178">
        <f>IF(Summary!J$13="No",0,(C$91*(H110^2/1000000*23*C$88*1000/9.81))/C$93)</f>
        <v>0</v>
      </c>
      <c r="K110" s="178">
        <f>IF(Summary!J$13="No",0,(C$91*7850*(H110^2/1000000)*C$86*C$88)/C$93)</f>
        <v>0</v>
      </c>
      <c r="L110" s="178">
        <f>IF(Summary!J$13="No",0,((H110/1000)^2*25)*C$88)</f>
        <v>0</v>
      </c>
      <c r="M110" s="178">
        <f>IF(Summary!J$13="No",0,(I110/10^6)*C$88*C$91)</f>
        <v>0</v>
      </c>
      <c r="N110" s="178">
        <f t="shared" ref="N110:N120" si="14">M110*C$86*7850*0.001</f>
        <v>0</v>
      </c>
      <c r="O110" s="178">
        <f>IF(Summary!J$13="No",0,C$91*C$88*4*H110/1000)</f>
        <v>0</v>
      </c>
    </row>
    <row r="111" spans="2:15" ht="12">
      <c r="B111" s="934"/>
      <c r="C111" s="267"/>
      <c r="D111" s="252" t="str">
        <f t="shared" ref="D111:D120" si="15">D98</f>
        <v>PT RC Flat Slab</v>
      </c>
      <c r="E111" s="178">
        <f>'RC Column'!D10+1.35*Database!V$17+1.5*Database!W$17+1.35*'RC Column'!L45</f>
        <v>961.96587187499995</v>
      </c>
      <c r="F111" s="152">
        <f>F110</f>
        <v>250</v>
      </c>
      <c r="G111" s="933">
        <f t="shared" si="13"/>
        <v>31031.157157258061</v>
      </c>
      <c r="H111" s="152">
        <f t="shared" ref="H111:H115" si="16">MAX(F111,IF((SQRT(G111))&lt;MROUND(SQRT(G111),25),MROUND((SQRT(G111)),25),MROUND((SQRT(G111)),25)+25))</f>
        <v>250</v>
      </c>
      <c r="I111" s="152">
        <f t="shared" ref="I111:I115" si="17">H111^2</f>
        <v>62500</v>
      </c>
      <c r="J111" s="178">
        <f>IF(Summary!J$13="No",0,(C$91*(H111^2/1000000*23*C$88*1000/9.81))/C$93)</f>
        <v>0</v>
      </c>
      <c r="K111" s="178">
        <f>IF(Summary!J$13="No",0,(C$91*7850*(H111^2/1000000)*C$86*C$88)/C$93)</f>
        <v>0</v>
      </c>
      <c r="L111" s="178">
        <f>IF(Summary!J$13="No",0,((H111/1000)^2*25)*C$88)</f>
        <v>0</v>
      </c>
      <c r="M111" s="178">
        <f>IF(Summary!J$13="No",0,(I111/10^6)*C$88*C$91)</f>
        <v>0</v>
      </c>
      <c r="N111" s="178">
        <f t="shared" si="14"/>
        <v>0</v>
      </c>
      <c r="O111" s="178">
        <f>IF(Summary!J$13="No",0,C$91*C$88*4*H111/1000)</f>
        <v>0</v>
      </c>
    </row>
    <row r="112" spans="2:15" ht="12">
      <c r="B112" s="934"/>
      <c r="C112" s="267"/>
      <c r="D112" s="252" t="str">
        <f t="shared" si="15"/>
        <v>RC Rib Slab</v>
      </c>
      <c r="E112" s="178">
        <f>'RC Column'!D11+1.35*Database!V$17+1.5*Database!W$17+1.35*'RC Column'!L46</f>
        <v>938.66760997983806</v>
      </c>
      <c r="F112" s="152">
        <f t="shared" ref="F112:F120" si="18">F111</f>
        <v>250</v>
      </c>
      <c r="G112" s="933">
        <f t="shared" si="13"/>
        <v>30279.600321930262</v>
      </c>
      <c r="H112" s="152">
        <f t="shared" si="16"/>
        <v>250</v>
      </c>
      <c r="I112" s="152">
        <f t="shared" si="17"/>
        <v>62500</v>
      </c>
      <c r="J112" s="178">
        <f>IF(Summary!J$13="No",0,(C$91*(H112^2/1000000*23*C$88*1000/9.81))/C$93)</f>
        <v>0</v>
      </c>
      <c r="K112" s="178">
        <f>IF(Summary!J$13="No",0,(C$91*7850*(H112^2/1000000)*C$86*C$88)/C$93)</f>
        <v>0</v>
      </c>
      <c r="L112" s="178">
        <f>IF(Summary!J$13="No",0,((H112/1000)^2*25)*C$88)</f>
        <v>0</v>
      </c>
      <c r="M112" s="178">
        <f>IF(Summary!J$13="No",0,(I112/10^6)*C$88*C$91)</f>
        <v>0</v>
      </c>
      <c r="N112" s="178">
        <f t="shared" si="14"/>
        <v>0</v>
      </c>
      <c r="O112" s="178">
        <f>IF(Summary!J$13="No",0,C$91*C$88*4*H112/1000)</f>
        <v>0</v>
      </c>
    </row>
    <row r="113" spans="2:15" ht="12">
      <c r="B113" s="934"/>
      <c r="C113" s="267"/>
      <c r="D113" s="252" t="str">
        <f t="shared" si="15"/>
        <v>Two-way RC Slab</v>
      </c>
      <c r="E113" s="178">
        <f>'RC Column'!D12+1.35*Database!V$17+1.5*Database!W$17+1.35*'RC Column'!L47</f>
        <v>923.30609062500002</v>
      </c>
      <c r="F113" s="152">
        <f t="shared" si="18"/>
        <v>250</v>
      </c>
      <c r="G113" s="933">
        <f t="shared" si="13"/>
        <v>29784.06743951613</v>
      </c>
      <c r="H113" s="152">
        <f t="shared" si="16"/>
        <v>250</v>
      </c>
      <c r="I113" s="152">
        <f t="shared" si="17"/>
        <v>62500</v>
      </c>
      <c r="J113" s="178">
        <f>IF(Summary!J$13="No",0,(C$91*(H113^2/1000000*23*C$88*1000/9.81))/C$93)</f>
        <v>0</v>
      </c>
      <c r="K113" s="178">
        <f>IF(Summary!J$13="No",0,(C$91*7850*(H113^2/1000000)*C$86*C$88)/C$93)</f>
        <v>0</v>
      </c>
      <c r="L113" s="178">
        <f>IF(Summary!J$13="No",0,((H113/1000)^2*25)*C$88)</f>
        <v>0</v>
      </c>
      <c r="M113" s="178">
        <f>IF(Summary!J$13="No",0,(I113/10^6)*C$88*C$91)</f>
        <v>0</v>
      </c>
      <c r="N113" s="178">
        <f t="shared" si="14"/>
        <v>0</v>
      </c>
      <c r="O113" s="178">
        <f>IF(Summary!J$13="No",0,C$91*C$88*4*H113/1000)</f>
        <v>0</v>
      </c>
    </row>
    <row r="114" spans="2:15" ht="12">
      <c r="B114" s="934"/>
      <c r="C114" s="267"/>
      <c r="D114" s="252" t="str">
        <f t="shared" si="15"/>
        <v>One-Way Spanning RC</v>
      </c>
      <c r="E114" s="178">
        <f>'RC Column'!D13+1.35*Database!V$17+1.5*Database!W$17+1.35*'RC Column'!L48</f>
        <v>942.42776062500002</v>
      </c>
      <c r="F114" s="152">
        <f t="shared" si="18"/>
        <v>250</v>
      </c>
      <c r="G114" s="933">
        <f t="shared" si="13"/>
        <v>30400.895504032258</v>
      </c>
      <c r="H114" s="152">
        <f t="shared" si="16"/>
        <v>250</v>
      </c>
      <c r="I114" s="152">
        <f t="shared" si="17"/>
        <v>62500</v>
      </c>
      <c r="J114" s="178">
        <f>IF(Summary!J$13="No",0,(C$91*(H114^2/1000000*23*C$88*1000/9.81))/C$93)</f>
        <v>0</v>
      </c>
      <c r="K114" s="178">
        <f>IF(Summary!J$13="No",0,(C$91*7850*(H114^2/1000000)*C$86*C$88)/C$93)</f>
        <v>0</v>
      </c>
      <c r="L114" s="178">
        <f>IF(Summary!J$13="No",0,((H114/1000)^2*25)*C$88)</f>
        <v>0</v>
      </c>
      <c r="M114" s="178">
        <f>IF(Summary!J$13="No",0,(I114/10^6)*C$88*C$91)</f>
        <v>0</v>
      </c>
      <c r="N114" s="178">
        <f t="shared" si="14"/>
        <v>0</v>
      </c>
      <c r="O114" s="178">
        <f>IF(Summary!J$13="No",0,C$91*C$88*4*H114/1000)</f>
        <v>0</v>
      </c>
    </row>
    <row r="115" spans="2:15" ht="12">
      <c r="B115" s="934"/>
      <c r="C115" s="267"/>
      <c r="D115" s="252" t="str">
        <f t="shared" si="15"/>
        <v>Precast Hollowcore with In-situ RC Beams</v>
      </c>
      <c r="E115" s="178">
        <f>'RC Column'!D14+1.35*Database!V$17+1.5*Database!W$17+1.35*'RC Column'!L49</f>
        <v>1074.1078406250001</v>
      </c>
      <c r="F115" s="152">
        <f t="shared" si="18"/>
        <v>250</v>
      </c>
      <c r="G115" s="933">
        <f t="shared" si="13"/>
        <v>34648.640020161292</v>
      </c>
      <c r="H115" s="152">
        <f t="shared" si="16"/>
        <v>250</v>
      </c>
      <c r="I115" s="152">
        <f t="shared" si="17"/>
        <v>62500</v>
      </c>
      <c r="J115" s="178">
        <f>IF(Summary!J$13="No",0,(C$91*(H115^2/1000000*23*C$88*1000/9.81))/C$93)</f>
        <v>0</v>
      </c>
      <c r="K115" s="178">
        <f>IF(Summary!J$13="No",0,(C$91*7850*(H115^2/1000000)*C$86*C$88)/C$93)</f>
        <v>0</v>
      </c>
      <c r="L115" s="178">
        <f>IF(Summary!J$13="No",0,((H115/1000)^2*25)*C$88)</f>
        <v>0</v>
      </c>
      <c r="M115" s="178">
        <f>IF(Summary!J$13="No",0,(I115/10^6)*C$88*C$91)</f>
        <v>0</v>
      </c>
      <c r="N115" s="178">
        <f t="shared" si="14"/>
        <v>0</v>
      </c>
      <c r="O115" s="178">
        <f>IF(Summary!J$13="No",0,C$91*C$88*4*H115/1000)</f>
        <v>0</v>
      </c>
    </row>
    <row r="116" spans="2:15" ht="12">
      <c r="B116" s="934"/>
      <c r="C116" s="267"/>
      <c r="D116" s="252" t="str">
        <f t="shared" si="15"/>
        <v>Non-Composite Rolled Steel with PCC Planks</v>
      </c>
      <c r="E116" s="178">
        <f>'Steel Column'!G9+1.35*Database!V$17+1.5*Database!W$17+1.35*'Steel Column'!J41</f>
        <v>763.39815862500006</v>
      </c>
      <c r="F116" s="152">
        <f t="shared" si="18"/>
        <v>250</v>
      </c>
      <c r="G116" s="933">
        <f t="shared" si="13"/>
        <v>24625.747052419356</v>
      </c>
      <c r="H116" s="152">
        <f>MAX(F116,IF((SQRT(G116))&lt;MROUND(SQRT(G116),25),MROUND((SQRT(G116)),25),MROUND((SQRT(G116)),25)+25))</f>
        <v>250</v>
      </c>
      <c r="I116" s="152">
        <f>H116^2</f>
        <v>62500</v>
      </c>
      <c r="J116" s="178">
        <f>IF(Summary!J$13="No",0,(C$91*(H116^2/1000000*23*C$88*1000/9.81))/C$93)</f>
        <v>0</v>
      </c>
      <c r="K116" s="178">
        <f>IF(Summary!J$13="No",0,(C$91*7850*(H116^2/1000000)*C$86*C$88)/C$93)</f>
        <v>0</v>
      </c>
      <c r="L116" s="178">
        <f>IF(Summary!J$13="No",0,((H116/1000)^2*25)*C$88)</f>
        <v>0</v>
      </c>
      <c r="M116" s="178">
        <f>IF(Summary!J$13="No",0,(I116/10^6)*C$88*C$91)</f>
        <v>0</v>
      </c>
      <c r="N116" s="178">
        <f t="shared" si="14"/>
        <v>0</v>
      </c>
      <c r="O116" s="178">
        <f>IF(Summary!J$13="No",0,C$91*C$88*4*H116/1000)</f>
        <v>0</v>
      </c>
    </row>
    <row r="117" spans="2:15" ht="12">
      <c r="B117" s="934"/>
      <c r="C117" s="267"/>
      <c r="D117" s="252" t="str">
        <f t="shared" si="15"/>
        <v>Composite Rolled Steel with Metal Decking</v>
      </c>
      <c r="E117" s="178">
        <f>'Steel Column'!G10+1.35*Database!V$17+1.5*Database!W$17+1.35*'Steel Column'!J42</f>
        <v>708.02992822499994</v>
      </c>
      <c r="F117" s="152">
        <f t="shared" si="18"/>
        <v>250</v>
      </c>
      <c r="G117" s="933">
        <f t="shared" si="13"/>
        <v>22839.675104032256</v>
      </c>
      <c r="H117" s="152">
        <f t="shared" ref="H117:H120" si="19">MAX(F117,IF((SQRT(G117))&lt;MROUND(SQRT(G117),25),MROUND((SQRT(G117)),25),MROUND((SQRT(G117)),25)+25))</f>
        <v>250</v>
      </c>
      <c r="I117" s="152">
        <f t="shared" ref="I117:I120" si="20">H117^2</f>
        <v>62500</v>
      </c>
      <c r="J117" s="178">
        <f>IF(Summary!J$13="No",0,(C$91*(H117^2/1000000*23*C$88*1000/9.81))/C$93)</f>
        <v>0</v>
      </c>
      <c r="K117" s="178">
        <f>IF(Summary!J$13="No",0,(C$91*7850*(H117^2/1000000)*C$86*C$88)/C$93)</f>
        <v>0</v>
      </c>
      <c r="L117" s="178">
        <f>IF(Summary!J$13="No",0,((H117/1000)^2*25)*C$88)</f>
        <v>0</v>
      </c>
      <c r="M117" s="178">
        <f>IF(Summary!J$13="No",0,(I117/10^6)*C$88*C$91)</f>
        <v>0</v>
      </c>
      <c r="N117" s="178">
        <f t="shared" si="14"/>
        <v>0</v>
      </c>
      <c r="O117" s="178">
        <f>IF(Summary!J$13="No",0,C$91*C$88*4*H117/1000)</f>
        <v>0</v>
      </c>
    </row>
    <row r="118" spans="2:15" ht="12">
      <c r="B118" s="934"/>
      <c r="D118" s="252" t="str">
        <f t="shared" si="15"/>
        <v>Composite Cell Beams with Metal Decking</v>
      </c>
      <c r="E118" s="178">
        <f>'Steel Column'!G11+1.35*Database!V$17+1.5*Database!W$17+1.35*'Steel Column'!J43</f>
        <v>712.93148004479997</v>
      </c>
      <c r="F118" s="152">
        <f t="shared" si="18"/>
        <v>250</v>
      </c>
      <c r="G118" s="933">
        <f t="shared" si="13"/>
        <v>22997.789678864516</v>
      </c>
      <c r="H118" s="152">
        <f t="shared" si="19"/>
        <v>250</v>
      </c>
      <c r="I118" s="152">
        <f t="shared" si="20"/>
        <v>62500</v>
      </c>
      <c r="J118" s="178">
        <f>IF(Summary!J$13="No",0,(C$91*(H118^2/1000000*23*C$88*1000/9.81))/C$93)</f>
        <v>0</v>
      </c>
      <c r="K118" s="178">
        <f>IF(Summary!J$13="No",0,(C$91*7850*(H118^2/1000000)*C$86*C$88)/C$93)</f>
        <v>0</v>
      </c>
      <c r="L118" s="178">
        <f>IF(Summary!J$13="No",0,((H118/1000)^2*25)*C$88)</f>
        <v>0</v>
      </c>
      <c r="M118" s="178">
        <f>IF(Summary!J$13="No",0,(I118/10^6)*C$88*C$91)</f>
        <v>0</v>
      </c>
      <c r="N118" s="178">
        <f t="shared" si="14"/>
        <v>0</v>
      </c>
      <c r="O118" s="178">
        <f>IF(Summary!J$13="No",0,C$91*C$88*4*H118/1000)</f>
        <v>0</v>
      </c>
    </row>
    <row r="119" spans="2:15" ht="12">
      <c r="B119" s="934"/>
      <c r="D119" s="252" t="str">
        <f t="shared" si="15"/>
        <v>Steel Frame with CLT Slabs</v>
      </c>
      <c r="E119" s="178">
        <f>'Steel Column'!G12+1.35*Database!V$17+1.5*Database!W$17+1.35*'Steel Column'!J44</f>
        <v>589.39813012500008</v>
      </c>
      <c r="F119" s="152">
        <f t="shared" si="18"/>
        <v>250</v>
      </c>
      <c r="G119" s="933">
        <f t="shared" si="13"/>
        <v>19012.842907258066</v>
      </c>
      <c r="H119" s="152">
        <f t="shared" si="19"/>
        <v>250</v>
      </c>
      <c r="I119" s="152">
        <f t="shared" si="20"/>
        <v>62500</v>
      </c>
      <c r="J119" s="178">
        <f>IF(Summary!J$13="No",0,(C$91*(H119^2/1000000*23*C$88*1000/9.81))/C$93)</f>
        <v>0</v>
      </c>
      <c r="K119" s="178">
        <f>IF(Summary!J$13="No",0,(C$91*7850*(H119^2/1000000)*C$86*C$88)/C$93)</f>
        <v>0</v>
      </c>
      <c r="L119" s="178">
        <f>IF(Summary!J$13="No",0,((H119/1000)^2*25)*C$88)</f>
        <v>0</v>
      </c>
      <c r="M119" s="178">
        <f>IF(Summary!J$13="No",0,(I119/10^6)*C$88*C$91)</f>
        <v>0</v>
      </c>
      <c r="N119" s="178">
        <f t="shared" si="14"/>
        <v>0</v>
      </c>
      <c r="O119" s="178">
        <f>IF(Summary!J$13="No",0,C$91*C$88*4*H119/1000)</f>
        <v>0</v>
      </c>
    </row>
    <row r="120" spans="2:15" ht="12" customHeight="1">
      <c r="B120" s="934"/>
      <c r="D120" s="252" t="str">
        <f t="shared" si="15"/>
        <v>CLT, Glulam and Steel Column Hybrid</v>
      </c>
      <c r="E120" s="178">
        <f>'Steel Column'!G13+1.35*Database!V$17+1.5*Database!W$17+1.35*'Steel Column'!J45</f>
        <v>593.70718594499999</v>
      </c>
      <c r="F120" s="152">
        <f t="shared" si="18"/>
        <v>250</v>
      </c>
      <c r="G120" s="933">
        <f t="shared" si="13"/>
        <v>19151.844707903227</v>
      </c>
      <c r="H120" s="152">
        <f t="shared" si="19"/>
        <v>250</v>
      </c>
      <c r="I120" s="152">
        <f t="shared" si="20"/>
        <v>62500</v>
      </c>
      <c r="J120" s="178">
        <f>IF(Summary!J$13="No",0,(C$91*(H120^2/1000000*23*C$88*1000/9.81))/C$93)</f>
        <v>0</v>
      </c>
      <c r="K120" s="178">
        <f>IF(Summary!J$13="No",0,(C$91*7850*(H120^2/1000000)*C$86*C$88)/C$93)</f>
        <v>0</v>
      </c>
      <c r="L120" s="178">
        <f>IF(Summary!J$13="No",0,((H120/1000)^2*25)*C$88)</f>
        <v>0</v>
      </c>
      <c r="M120" s="178">
        <f>IF(Summary!J$13="No",0,(I120/10^6)*C$88*C$91)</f>
        <v>0</v>
      </c>
      <c r="N120" s="178">
        <f t="shared" si="14"/>
        <v>0</v>
      </c>
      <c r="O120" s="178">
        <f>IF(Summary!J$13="No",0,C$91*C$88*4*H120/1000)</f>
        <v>0</v>
      </c>
    </row>
    <row r="121" spans="2:15" ht="12" customHeight="1">
      <c r="B121" s="935"/>
      <c r="C121" s="869"/>
      <c r="D121" s="279"/>
      <c r="E121" s="181"/>
      <c r="F121" s="184"/>
      <c r="G121" s="936"/>
      <c r="H121" s="184"/>
      <c r="I121" s="184"/>
      <c r="J121" s="938"/>
      <c r="K121" s="938"/>
      <c r="L121" s="184"/>
      <c r="M121" s="184"/>
      <c r="N121" s="938"/>
      <c r="O121" s="184"/>
    </row>
    <row r="122" spans="2:15" ht="11.25" customHeight="1"/>
    <row r="123" spans="2:15" ht="12" customHeight="1">
      <c r="B123" s="257" t="s">
        <v>188</v>
      </c>
      <c r="D123" s="252" t="str">
        <f>D110</f>
        <v>RC Flat Slab</v>
      </c>
      <c r="E123" s="178">
        <f>'RC Column'!C9+1.35*Database!T$17+1.5*Database!U$17+1.35*'RC Column'!L52</f>
        <v>630.91887187500004</v>
      </c>
      <c r="F123" s="152">
        <f>IF(C94=60,250,IF(C94=120,350,600))</f>
        <v>250</v>
      </c>
      <c r="G123" s="933">
        <f t="shared" ref="G123:G133" si="21">E123/((0.4*(C$85)+0.75*500*C$86)/1000)</f>
        <v>20352.221673387099</v>
      </c>
      <c r="H123" s="152">
        <f>MAX(F123,IF((SQRT(G123))&lt;MROUND(SQRT(G123),25),MROUND((SQRT(G123)),25),MROUND((SQRT(G123)),25)+25))</f>
        <v>250</v>
      </c>
      <c r="I123" s="152">
        <f>H123^2</f>
        <v>62500</v>
      </c>
      <c r="J123" s="178">
        <f>IF(Summary!J$13="No",0,(C$90*(H123^2/1000000*23*C$88*1000/9.81))/C$93)</f>
        <v>0</v>
      </c>
      <c r="K123" s="178">
        <f>IF(Summary!J$13="No",0,(C$90*7850*(H123^2/1000000)*C$86*C$88)/C$93)</f>
        <v>0</v>
      </c>
      <c r="L123" s="178">
        <f>IF(Summary!J$13="No",0,((H123/1000)^2*25)*C$88)</f>
        <v>0</v>
      </c>
      <c r="M123" s="178">
        <f>IF(Summary!J$13="No",0,(I123/10^6)*C$88*C$90)</f>
        <v>0</v>
      </c>
      <c r="N123" s="178">
        <f t="shared" ref="N123:N133" si="22">M123*C$86*7850*0.001</f>
        <v>0</v>
      </c>
      <c r="O123" s="178">
        <f>IF(Summary!J$13="No",0,C$90*C$88*4*H123/1000)</f>
        <v>0</v>
      </c>
    </row>
    <row r="124" spans="2:15" ht="12">
      <c r="B124" s="934"/>
      <c r="C124" s="267"/>
      <c r="D124" s="252" t="str">
        <f t="shared" ref="D124:D133" si="23">D111</f>
        <v>PT RC Flat Slab</v>
      </c>
      <c r="E124" s="178">
        <f>'RC Column'!C10+1.35*Database!T$17+1.5*Database!U$17+1.35*'RC Column'!L53</f>
        <v>624.006871875</v>
      </c>
      <c r="F124" s="152">
        <f>F123</f>
        <v>250</v>
      </c>
      <c r="G124" s="933">
        <f t="shared" si="21"/>
        <v>20129.253931451614</v>
      </c>
      <c r="H124" s="152">
        <f t="shared" ref="H124:H128" si="24">MAX(F124,IF((SQRT(G124))&lt;MROUND(SQRT(G124),25),MROUND((SQRT(G124)),25),MROUND((SQRT(G124)),25)+25))</f>
        <v>250</v>
      </c>
      <c r="I124" s="152">
        <f t="shared" ref="I124:I128" si="25">H124^2</f>
        <v>62500</v>
      </c>
      <c r="J124" s="178">
        <f>IF(Summary!J$13="No",0,(C$90*(H124^2/1000000*23*C$88*1000/9.81))/C$93)</f>
        <v>0</v>
      </c>
      <c r="K124" s="178">
        <f>IF(Summary!J$13="No",0,(C$90*7850*(H124^2/1000000)*C$86*C$88)/C$93)</f>
        <v>0</v>
      </c>
      <c r="L124" s="178">
        <f>IF(Summary!J$13="No",0,((H124/1000)^2*25)*C$88)</f>
        <v>0</v>
      </c>
      <c r="M124" s="178">
        <f>IF(Summary!J$13="No",0,(I124/10^6)*C$88*C$90)</f>
        <v>0</v>
      </c>
      <c r="N124" s="178">
        <f t="shared" si="22"/>
        <v>0</v>
      </c>
      <c r="O124" s="178">
        <f>IF(Summary!J$13="No",0,C$90*C$88*4*H124/1000)</f>
        <v>0</v>
      </c>
    </row>
    <row r="125" spans="2:15" ht="12">
      <c r="B125" s="934"/>
      <c r="C125" s="267"/>
      <c r="D125" s="252" t="str">
        <f t="shared" si="23"/>
        <v>RC Rib Slab</v>
      </c>
      <c r="E125" s="178">
        <f>'RC Column'!C11+1.35*Database!T$17+1.5*Database!U$17+1.35*'RC Column'!L54</f>
        <v>621.7213599798381</v>
      </c>
      <c r="F125" s="152">
        <f t="shared" ref="F125:F133" si="26">F124</f>
        <v>250</v>
      </c>
      <c r="G125" s="933">
        <f t="shared" si="21"/>
        <v>20055.527741285099</v>
      </c>
      <c r="H125" s="152">
        <f t="shared" si="24"/>
        <v>250</v>
      </c>
      <c r="I125" s="152">
        <f t="shared" si="25"/>
        <v>62500</v>
      </c>
      <c r="J125" s="178">
        <f>IF(Summary!J$13="No",0,(C$90*(H125^2/1000000*23*C$88*1000/9.81))/C$93)</f>
        <v>0</v>
      </c>
      <c r="K125" s="178">
        <f>IF(Summary!J$13="No",0,(C$90*7850*(H125^2/1000000)*C$86*C$88)/C$93)</f>
        <v>0</v>
      </c>
      <c r="L125" s="178">
        <f>IF(Summary!J$13="No",0,((H125/1000)^2*25)*C$88)</f>
        <v>0</v>
      </c>
      <c r="M125" s="178">
        <f>IF(Summary!J$13="No",0,(I125/10^6)*C$88*C$90)</f>
        <v>0</v>
      </c>
      <c r="N125" s="178">
        <f t="shared" si="22"/>
        <v>0</v>
      </c>
      <c r="O125" s="178">
        <f>IF(Summary!J$13="No",0,C$90*C$88*4*H125/1000)</f>
        <v>0</v>
      </c>
    </row>
    <row r="126" spans="2:15" ht="12">
      <c r="B126" s="934"/>
      <c r="C126" s="267"/>
      <c r="D126" s="252" t="str">
        <f t="shared" si="23"/>
        <v>Two-way RC Slab</v>
      </c>
      <c r="E126" s="178">
        <f>'RC Column'!C12+1.35*Database!T$17+1.5*Database!U$17+1.35*'RC Column'!L55</f>
        <v>618.25334062499996</v>
      </c>
      <c r="F126" s="152">
        <f t="shared" si="26"/>
        <v>250</v>
      </c>
      <c r="G126" s="933">
        <f t="shared" si="21"/>
        <v>19943.656149193546</v>
      </c>
      <c r="H126" s="152">
        <f t="shared" si="24"/>
        <v>250</v>
      </c>
      <c r="I126" s="152">
        <f t="shared" si="25"/>
        <v>62500</v>
      </c>
      <c r="J126" s="178">
        <f>IF(Summary!J$13="No",0,(C$90*(H126^2/1000000*23*C$88*1000/9.81))/C$93)</f>
        <v>0</v>
      </c>
      <c r="K126" s="178">
        <f>IF(Summary!J$13="No",0,(C$90*7850*(H126^2/1000000)*C$86*C$88)/C$93)</f>
        <v>0</v>
      </c>
      <c r="L126" s="178">
        <f>IF(Summary!J$13="No",0,((H126/1000)^2*25)*C$88)</f>
        <v>0</v>
      </c>
      <c r="M126" s="178">
        <f>IF(Summary!J$13="No",0,(I126/10^6)*C$88*C$90)</f>
        <v>0</v>
      </c>
      <c r="N126" s="178">
        <f t="shared" si="22"/>
        <v>0</v>
      </c>
      <c r="O126" s="178">
        <f>IF(Summary!J$13="No",0,C$90*C$88*4*H126/1000)</f>
        <v>0</v>
      </c>
    </row>
    <row r="127" spans="2:15" ht="12">
      <c r="B127" s="934"/>
      <c r="C127" s="267"/>
      <c r="D127" s="252" t="str">
        <f t="shared" si="23"/>
        <v>One-Way Spanning RC</v>
      </c>
      <c r="E127" s="178">
        <f>'RC Column'!C13+1.35*Database!T$17+1.5*Database!U$17+1.35*'RC Column'!L56</f>
        <v>624.55676062500004</v>
      </c>
      <c r="F127" s="152">
        <f t="shared" si="26"/>
        <v>250</v>
      </c>
      <c r="G127" s="933">
        <f t="shared" si="21"/>
        <v>20146.992278225807</v>
      </c>
      <c r="H127" s="152">
        <f t="shared" si="24"/>
        <v>250</v>
      </c>
      <c r="I127" s="152">
        <f t="shared" si="25"/>
        <v>62500</v>
      </c>
      <c r="J127" s="178">
        <f>IF(Summary!J$13="No",0,(C$90*(H127^2/1000000*23*C$88*1000/9.81))/C$93)</f>
        <v>0</v>
      </c>
      <c r="K127" s="178">
        <f>IF(Summary!J$13="No",0,(C$90*7850*(H127^2/1000000)*C$86*C$88)/C$93)</f>
        <v>0</v>
      </c>
      <c r="L127" s="178">
        <f>IF(Summary!J$13="No",0,((H127/1000)^2*25)*C$88)</f>
        <v>0</v>
      </c>
      <c r="M127" s="178">
        <f>IF(Summary!J$13="No",0,(I127/10^6)*C$88*C$90)</f>
        <v>0</v>
      </c>
      <c r="N127" s="178">
        <f t="shared" si="22"/>
        <v>0</v>
      </c>
      <c r="O127" s="178">
        <f>IF(Summary!J$13="No",0,C$90*C$88*4*H127/1000)</f>
        <v>0</v>
      </c>
    </row>
    <row r="128" spans="2:15" ht="12">
      <c r="B128" s="934"/>
      <c r="C128" s="267"/>
      <c r="D128" s="252" t="str">
        <f t="shared" si="23"/>
        <v>Precast Hollowcore with In-situ RC Beams</v>
      </c>
      <c r="E128" s="178">
        <f>'RC Column'!C14+1.35*Database!T$17+1.5*Database!U$17+1.35*'RC Column'!L57</f>
        <v>626.95409062500005</v>
      </c>
      <c r="F128" s="152">
        <f t="shared" si="26"/>
        <v>250</v>
      </c>
      <c r="G128" s="933">
        <f t="shared" si="21"/>
        <v>20224.325504032258</v>
      </c>
      <c r="H128" s="152">
        <f t="shared" si="24"/>
        <v>250</v>
      </c>
      <c r="I128" s="152">
        <f t="shared" si="25"/>
        <v>62500</v>
      </c>
      <c r="J128" s="178">
        <f>IF(Summary!J$13="No",0,(C$90*(H128^2/1000000*23*C$88*1000/9.81))/C$93)</f>
        <v>0</v>
      </c>
      <c r="K128" s="178">
        <f>IF(Summary!J$13="No",0,(C$90*7850*(H128^2/1000000)*C$86*C$88)/C$93)</f>
        <v>0</v>
      </c>
      <c r="L128" s="178">
        <f>IF(Summary!J$13="No",0,((H128/1000)^2*25)*C$88)</f>
        <v>0</v>
      </c>
      <c r="M128" s="178">
        <f>IF(Summary!J$13="No",0,(I128/10^6)*C$88*C$90)</f>
        <v>0</v>
      </c>
      <c r="N128" s="178">
        <f t="shared" si="22"/>
        <v>0</v>
      </c>
      <c r="O128" s="178">
        <f>IF(Summary!J$13="No",0,C$90*C$88*4*H128/1000)</f>
        <v>0</v>
      </c>
    </row>
    <row r="129" spans="2:19" ht="12">
      <c r="B129" s="934"/>
      <c r="C129" s="267"/>
      <c r="D129" s="252" t="str">
        <f t="shared" si="23"/>
        <v>Non-Composite Rolled Steel with PCC Planks</v>
      </c>
      <c r="E129" s="178">
        <f>'Steel Column'!F9+1.35*Database!T$17+1.5*Database!U$17+1.35*'Steel Column'!J50</f>
        <v>464.10792412500001</v>
      </c>
      <c r="F129" s="152">
        <f t="shared" si="26"/>
        <v>250</v>
      </c>
      <c r="G129" s="933">
        <f t="shared" si="21"/>
        <v>14971.223358870968</v>
      </c>
      <c r="H129" s="152">
        <f>MAX(F129,IF((SQRT(G129))&lt;MROUND(SQRT(G129),25),MROUND((SQRT(G129)),25),MROUND((SQRT(G129)),25)+25))</f>
        <v>250</v>
      </c>
      <c r="I129" s="152">
        <f>H129^2</f>
        <v>62500</v>
      </c>
      <c r="J129" s="178">
        <f>IF(Summary!J$13="No",0,(C$90*(H129^2/1000000*23*C$88*1000/9.81))/C$93)</f>
        <v>0</v>
      </c>
      <c r="K129" s="178">
        <f>IF(Summary!J$13="No",0,(C$90*7850*(H129^2/1000000)*C$86*C$88)/C$93)</f>
        <v>0</v>
      </c>
      <c r="L129" s="178">
        <f>IF(Summary!J$13="No",0,((H129/1000)^2*25)*C$88)</f>
        <v>0</v>
      </c>
      <c r="M129" s="178">
        <f>IF(Summary!J$13="No",0,(I129/10^6)*C$88*C$90)</f>
        <v>0</v>
      </c>
      <c r="N129" s="178">
        <f t="shared" si="22"/>
        <v>0</v>
      </c>
      <c r="O129" s="178">
        <f>IF(Summary!J$13="No",0,C$90*C$88*4*H129/1000)</f>
        <v>0</v>
      </c>
    </row>
    <row r="130" spans="2:19" ht="12">
      <c r="B130" s="934"/>
      <c r="C130" s="267"/>
      <c r="D130" s="252" t="str">
        <f t="shared" si="23"/>
        <v>Composite Rolled Steel with Metal Decking</v>
      </c>
      <c r="E130" s="178">
        <f>'Steel Column'!F10+1.35*Database!T$17+1.5*Database!U$17+1.35*'Steel Column'!J51</f>
        <v>436.70192242500002</v>
      </c>
      <c r="F130" s="152">
        <f t="shared" si="26"/>
        <v>250</v>
      </c>
      <c r="G130" s="933">
        <f t="shared" si="21"/>
        <v>14087.158787903227</v>
      </c>
      <c r="H130" s="152">
        <f t="shared" ref="H130:H133" si="27">MAX(F130,IF((SQRT(G130))&lt;MROUND(SQRT(G130),25),MROUND((SQRT(G130)),25),MROUND((SQRT(G130)),25)+25))</f>
        <v>250</v>
      </c>
      <c r="I130" s="152">
        <f t="shared" ref="I130:I133" si="28">H130^2</f>
        <v>62500</v>
      </c>
      <c r="J130" s="178">
        <f>IF(Summary!J$13="No",0,(C$90*(H130^2/1000000*23*C$88*1000/9.81))/C$93)</f>
        <v>0</v>
      </c>
      <c r="K130" s="178">
        <f>IF(Summary!J$13="No",0,(C$90*7850*(H130^2/1000000)*C$86*C$88)/C$93)</f>
        <v>0</v>
      </c>
      <c r="L130" s="178">
        <f>IF(Summary!J$13="No",0,((H130/1000)^2*25)*C$88)</f>
        <v>0</v>
      </c>
      <c r="M130" s="178">
        <f>IF(Summary!J$13="No",0,(I130/10^6)*C$88*C$90)</f>
        <v>0</v>
      </c>
      <c r="N130" s="178">
        <f t="shared" si="22"/>
        <v>0</v>
      </c>
      <c r="O130" s="178">
        <f>IF(Summary!J$13="No",0,C$90*C$88*4*H130/1000)</f>
        <v>0</v>
      </c>
    </row>
    <row r="131" spans="2:19" ht="12">
      <c r="B131" s="934"/>
      <c r="D131" s="252" t="str">
        <f t="shared" si="23"/>
        <v>Composite Cell Beams with Metal Decking</v>
      </c>
      <c r="E131" s="178">
        <f>'Steel Column'!F11+1.35*Database!T$17+1.5*Database!U$17+1.35*'Steel Column'!J52</f>
        <v>439.15269833490004</v>
      </c>
      <c r="F131" s="152">
        <f t="shared" si="26"/>
        <v>250</v>
      </c>
      <c r="G131" s="933">
        <f t="shared" si="21"/>
        <v>14166.216075319357</v>
      </c>
      <c r="H131" s="152">
        <f t="shared" si="27"/>
        <v>250</v>
      </c>
      <c r="I131" s="152">
        <f t="shared" si="28"/>
        <v>62500</v>
      </c>
      <c r="J131" s="178">
        <f>IF(Summary!J$13="No",0,(C$90*(H131^2/1000000*23*C$88*1000/9.81))/C$93)</f>
        <v>0</v>
      </c>
      <c r="K131" s="178">
        <f>IF(Summary!J$13="No",0,(C$90*7850*(H131^2/1000000)*C$86*C$88)/C$93)</f>
        <v>0</v>
      </c>
      <c r="L131" s="178">
        <f>IF(Summary!J$13="No",0,((H131/1000)^2*25)*C$88)</f>
        <v>0</v>
      </c>
      <c r="M131" s="178">
        <f>IF(Summary!J$13="No",0,(I131/10^6)*C$88*C$90)</f>
        <v>0</v>
      </c>
      <c r="N131" s="178">
        <f t="shared" si="22"/>
        <v>0</v>
      </c>
      <c r="O131" s="178">
        <f>IF(Summary!J$13="No",0,C$90*C$88*4*H131/1000)</f>
        <v>0</v>
      </c>
    </row>
    <row r="132" spans="2:19" ht="12">
      <c r="B132" s="934"/>
      <c r="D132" s="252" t="str">
        <f t="shared" si="23"/>
        <v>Steel Frame with CLT Slabs</v>
      </c>
      <c r="E132" s="178">
        <f>'Steel Column'!F12+1.35*Database!T$17+1.5*Database!U$17+1.35*'Steel Column'!J53</f>
        <v>377.38602337499998</v>
      </c>
      <c r="F132" s="152">
        <f t="shared" si="26"/>
        <v>250</v>
      </c>
      <c r="G132" s="933">
        <f t="shared" si="21"/>
        <v>12173.742689516128</v>
      </c>
      <c r="H132" s="152">
        <f t="shared" si="27"/>
        <v>250</v>
      </c>
      <c r="I132" s="152">
        <f t="shared" si="28"/>
        <v>62500</v>
      </c>
      <c r="J132" s="178">
        <f>IF(Summary!J$13="No",0,(C$90*(H132^2/1000000*23*C$88*1000/9.81))/C$93)</f>
        <v>0</v>
      </c>
      <c r="K132" s="178">
        <f>IF(Summary!J$13="No",0,(C$90*7850*(H132^2/1000000)*C$86*C$88)/C$93)</f>
        <v>0</v>
      </c>
      <c r="L132" s="178">
        <f>IF(Summary!J$13="No",0,((H132/1000)^2*25)*C$88)</f>
        <v>0</v>
      </c>
      <c r="M132" s="178">
        <f>IF(Summary!J$13="No",0,(I132/10^6)*C$88*C$90)</f>
        <v>0</v>
      </c>
      <c r="N132" s="178">
        <f t="shared" si="22"/>
        <v>0</v>
      </c>
      <c r="O132" s="178">
        <f>IF(Summary!J$13="No",0,C$90*C$88*4*H132/1000)</f>
        <v>0</v>
      </c>
    </row>
    <row r="133" spans="2:19" ht="12" customHeight="1">
      <c r="B133" s="934"/>
      <c r="D133" s="252" t="str">
        <f t="shared" si="23"/>
        <v>CLT, Glulam and Steel Column Hybrid</v>
      </c>
      <c r="E133" s="178">
        <f>'Steel Column'!F13+1.35*Database!T$17+1.5*Database!U$17+1.35*'Steel Column'!J54</f>
        <v>379.54055128500005</v>
      </c>
      <c r="F133" s="152">
        <f t="shared" si="26"/>
        <v>250</v>
      </c>
      <c r="G133" s="933">
        <f t="shared" si="21"/>
        <v>12243.243589838712</v>
      </c>
      <c r="H133" s="152">
        <f t="shared" si="27"/>
        <v>250</v>
      </c>
      <c r="I133" s="152">
        <f t="shared" si="28"/>
        <v>62500</v>
      </c>
      <c r="J133" s="178">
        <f>IF(Summary!J$13="No",0,(C$90*(H133^2/1000000*23*C$88*1000/9.81))/C$93)</f>
        <v>0</v>
      </c>
      <c r="K133" s="178">
        <f>IF(Summary!J$13="No",0,(C$90*7850*(H133^2/1000000)*C$86*C$88)/C$93)</f>
        <v>0</v>
      </c>
      <c r="L133" s="178">
        <f>IF(Summary!J$13="No",0,((H133/1000)^2*25)*C$88)</f>
        <v>0</v>
      </c>
      <c r="M133" s="178">
        <f>IF(Summary!J$13="No",0,(I133/10^6)*C$88*C$90)</f>
        <v>0</v>
      </c>
      <c r="N133" s="178">
        <f t="shared" si="22"/>
        <v>0</v>
      </c>
      <c r="O133" s="178">
        <f>IF(Summary!J$13="No",0,C$90*C$88*4*H133/1000)</f>
        <v>0</v>
      </c>
    </row>
    <row r="134" spans="2:19" ht="12" thickBot="1">
      <c r="B134" s="893"/>
      <c r="C134" s="893"/>
      <c r="D134" s="893"/>
      <c r="E134" s="893"/>
      <c r="F134" s="893"/>
      <c r="G134" s="893"/>
      <c r="H134" s="893"/>
      <c r="I134" s="893"/>
      <c r="J134" s="893"/>
      <c r="K134" s="893"/>
      <c r="L134" s="893"/>
      <c r="M134" s="893"/>
      <c r="N134" s="893"/>
      <c r="O134" s="893"/>
      <c r="P134" s="893"/>
      <c r="Q134" s="893"/>
      <c r="R134" s="893"/>
    </row>
    <row r="135" spans="2:19"/>
    <row r="136" spans="2:19" ht="18">
      <c r="B136" s="128" t="s">
        <v>655</v>
      </c>
      <c r="L136" s="925"/>
      <c r="M136" s="925"/>
      <c r="N136" s="925"/>
      <c r="O136" s="925"/>
      <c r="P136" s="925"/>
      <c r="Q136" s="925"/>
      <c r="R136" s="925"/>
      <c r="S136" s="925"/>
    </row>
    <row r="137" spans="2:19">
      <c r="B137" s="939"/>
      <c r="L137" s="925"/>
      <c r="M137" s="925"/>
      <c r="N137" s="925"/>
      <c r="O137" s="925"/>
      <c r="P137" s="925"/>
      <c r="Q137" s="925"/>
      <c r="R137" s="925"/>
      <c r="S137" s="925"/>
    </row>
    <row r="138" spans="2:19" ht="12">
      <c r="B138" s="263" t="s">
        <v>656</v>
      </c>
      <c r="C138" s="150"/>
      <c r="D138" s="1335" t="s">
        <v>657</v>
      </c>
      <c r="E138" s="1335"/>
      <c r="F138" s="150"/>
      <c r="G138" s="1335" t="s">
        <v>658</v>
      </c>
      <c r="H138" s="1335"/>
      <c r="J138" s="262" t="s">
        <v>659</v>
      </c>
      <c r="K138" s="262"/>
      <c r="L138" s="925"/>
      <c r="M138" s="925"/>
      <c r="N138" s="925"/>
      <c r="O138" s="925"/>
      <c r="P138" s="925"/>
      <c r="Q138" s="925"/>
      <c r="R138" s="925"/>
      <c r="S138" s="925"/>
    </row>
    <row r="139" spans="2:19" ht="24">
      <c r="B139" s="940" t="s">
        <v>660</v>
      </c>
      <c r="C139" s="150"/>
      <c r="D139" s="1336" t="s">
        <v>661</v>
      </c>
      <c r="E139" s="1336"/>
      <c r="F139" s="150"/>
      <c r="G139" s="1336" t="s">
        <v>662</v>
      </c>
      <c r="H139" s="1336"/>
      <c r="J139" s="1336">
        <f>2*(Summary!C13*Summary!C15+Summary!C14*Summary!C16)</f>
        <v>216</v>
      </c>
      <c r="K139" s="1336"/>
      <c r="L139" s="941"/>
      <c r="M139" s="925"/>
      <c r="N139" s="925"/>
      <c r="O139" s="925"/>
      <c r="P139" s="925"/>
      <c r="Q139" s="925"/>
      <c r="R139" s="925"/>
      <c r="S139" s="925"/>
    </row>
    <row r="140" spans="2:19" ht="12">
      <c r="B140" s="150"/>
      <c r="C140" s="150"/>
      <c r="D140" s="150"/>
      <c r="E140" s="150"/>
      <c r="F140" s="150"/>
      <c r="G140" s="150"/>
      <c r="H140" s="150"/>
      <c r="L140" s="925"/>
      <c r="M140" s="925"/>
      <c r="N140" s="925"/>
      <c r="O140" s="925"/>
      <c r="P140" s="925"/>
      <c r="Q140" s="925"/>
      <c r="R140" s="925"/>
      <c r="S140" s="925"/>
    </row>
    <row r="141" spans="2:19" ht="12">
      <c r="B141" s="265"/>
      <c r="C141" s="150"/>
      <c r="D141" s="1337" t="s">
        <v>663</v>
      </c>
      <c r="E141" s="1337"/>
      <c r="F141" s="1337"/>
      <c r="G141" s="1337"/>
      <c r="H141" s="1337"/>
      <c r="L141" s="925"/>
      <c r="M141" s="925"/>
      <c r="N141" s="925"/>
      <c r="O141" s="925"/>
      <c r="P141" s="925"/>
      <c r="Q141" s="925"/>
      <c r="R141" s="925"/>
      <c r="S141" s="925"/>
    </row>
    <row r="142" spans="2:19" ht="12">
      <c r="B142" s="263" t="s">
        <v>664</v>
      </c>
      <c r="C142" s="150"/>
      <c r="D142" s="1338" t="s">
        <v>665</v>
      </c>
      <c r="E142" s="1338"/>
      <c r="F142" s="150"/>
      <c r="G142" s="1339" t="s">
        <v>666</v>
      </c>
      <c r="H142" s="1339"/>
      <c r="L142" s="925"/>
      <c r="M142" s="925"/>
      <c r="N142" s="925"/>
      <c r="O142" s="925"/>
      <c r="P142" s="925"/>
      <c r="Q142" s="925"/>
      <c r="R142" s="925"/>
      <c r="S142" s="925"/>
    </row>
    <row r="143" spans="2:19" ht="12">
      <c r="B143" s="152" t="s">
        <v>667</v>
      </c>
      <c r="C143" s="150"/>
      <c r="D143" s="1328" t="s">
        <v>668</v>
      </c>
      <c r="E143" s="1328"/>
      <c r="F143" s="150"/>
      <c r="G143" s="1328" t="s">
        <v>668</v>
      </c>
      <c r="H143" s="1328"/>
      <c r="L143" s="925"/>
      <c r="M143" s="925"/>
      <c r="N143" s="925"/>
      <c r="O143" s="925"/>
      <c r="P143" s="925"/>
      <c r="Q143" s="925"/>
      <c r="R143" s="925"/>
      <c r="S143" s="925"/>
    </row>
    <row r="144" spans="2:19" ht="12">
      <c r="B144" s="152" t="s">
        <v>669</v>
      </c>
      <c r="C144" s="150"/>
      <c r="D144" s="1328" t="s">
        <v>668</v>
      </c>
      <c r="E144" s="1328"/>
      <c r="F144" s="150"/>
      <c r="G144" s="1328" t="s">
        <v>670</v>
      </c>
      <c r="H144" s="1328"/>
      <c r="L144" s="925"/>
      <c r="M144" s="925"/>
      <c r="N144" s="925"/>
      <c r="O144" s="925"/>
      <c r="P144" s="925"/>
      <c r="Q144" s="925"/>
      <c r="R144" s="925"/>
      <c r="S144" s="925"/>
    </row>
    <row r="145" spans="2:19">
      <c r="L145" s="925"/>
      <c r="M145" s="925"/>
      <c r="N145" s="925"/>
      <c r="O145" s="925"/>
      <c r="P145" s="925"/>
      <c r="Q145" s="925"/>
      <c r="R145" s="925"/>
      <c r="S145" s="925"/>
    </row>
    <row r="146" spans="2:19" ht="15">
      <c r="B146" s="257" t="s">
        <v>671</v>
      </c>
      <c r="L146" s="925"/>
      <c r="M146" s="257" t="s">
        <v>672</v>
      </c>
      <c r="N146" s="925"/>
      <c r="O146" s="925"/>
      <c r="P146" s="925"/>
      <c r="Q146" s="925"/>
      <c r="R146" s="925"/>
      <c r="S146" s="925"/>
    </row>
    <row r="147" spans="2:19" ht="12">
      <c r="B147" s="150"/>
      <c r="C147" s="150"/>
      <c r="D147" s="150"/>
      <c r="E147" s="150"/>
      <c r="F147" s="150"/>
      <c r="G147" s="150"/>
      <c r="H147" s="150"/>
      <c r="I147" s="150"/>
      <c r="J147" s="150"/>
      <c r="K147" s="150"/>
      <c r="L147" s="925"/>
      <c r="M147" s="265" t="s">
        <v>673</v>
      </c>
      <c r="N147" s="152" t="str">
        <f>IF(B158="N/A","No","Yes")</f>
        <v>No</v>
      </c>
      <c r="O147" s="265" t="s">
        <v>190</v>
      </c>
      <c r="P147" s="252">
        <f>IF(N147="Yes",Summary!J$16,0)</f>
        <v>0</v>
      </c>
      <c r="Q147" s="182" t="s">
        <v>58</v>
      </c>
      <c r="R147" s="925"/>
      <c r="S147" s="925"/>
    </row>
    <row r="148" spans="2:19" ht="36" customHeight="1">
      <c r="B148" s="942" t="s">
        <v>674</v>
      </c>
      <c r="C148" s="150"/>
      <c r="D148" s="1332" t="s">
        <v>675</v>
      </c>
      <c r="E148" s="1332"/>
      <c r="F148" s="150"/>
      <c r="G148" s="1329" t="s">
        <v>676</v>
      </c>
      <c r="H148" s="1329"/>
      <c r="I148" s="150"/>
      <c r="J148" s="1332" t="s">
        <v>677</v>
      </c>
      <c r="K148" s="1332"/>
      <c r="L148" s="925"/>
      <c r="M148" s="943" t="s">
        <v>678</v>
      </c>
      <c r="N148" s="943" t="s">
        <v>679</v>
      </c>
      <c r="O148" s="943" t="s">
        <v>680</v>
      </c>
      <c r="P148" s="925"/>
      <c r="Q148" s="925"/>
      <c r="R148" s="925"/>
      <c r="S148" s="925"/>
    </row>
    <row r="149" spans="2:19" ht="12">
      <c r="B149" s="940" t="str">
        <f>IF(AND(OR('Ground Model Results'!D28="Granular",'Ground Model Results'!D28="Chalk"), 'Ground Model Results'!D31&lt;'Ground Model Results'!D10),"Granular",IF(AND(OR('Ground Model Results'!E28="Granular",'Ground Model Results'!E28="Chalk"), 'Ground Model Results'!E31&lt;'Ground Model Results'!E10),"Granular",IF(AND(OR('Ground Model Results'!F28="Granular",'Ground Model Results'!F28="Chalk"), 'Ground Model Results'!F31&lt;'Ground Model Results'!F10),"Granular",IF(AND(OR('Ground Model Results'!G28="Granular",'Ground Model Results'!G28="Chalk"), 'Ground Model Results'!G31&lt;'Ground Model Results'!E10),"Granular","Cohesive"))))</f>
        <v>Cohesive</v>
      </c>
      <c r="C149" s="150"/>
      <c r="D149" s="1328">
        <f>IF(AND('Ground Model Results'!D28="Cohesive",'Ground Model Results'!D31&gt;0),0,IF(AND('Ground Model Results'!E28="Cohesive",'Ground Model Results'!E31&gt;0),'Ground Model Results'!D31,IF(AND('Ground Model Results'!F28="Cohesive",'Ground Model Results'!F31&gt;0),SUM('Ground Model Results'!D31:E31),IF(AND('Ground Model Results'!G28="Cohesive",'Ground Model Results'!G31&gt;0),SUM('Ground Model Results'!D31:F31),"No Cohesive Deposits"))))</f>
        <v>6</v>
      </c>
      <c r="E149" s="1328"/>
      <c r="F149" s="150"/>
      <c r="G149" s="1343">
        <f>IF(B154="Contiguous","N/A",IF(D149="No Cohesive Deposits","No Cohesive Deposits",D149-D158+Inputs!B32))</f>
        <v>6</v>
      </c>
      <c r="H149" s="1343"/>
      <c r="I149" s="150"/>
      <c r="J149" s="1328">
        <v>150</v>
      </c>
      <c r="K149" s="1328"/>
      <c r="L149" s="925"/>
      <c r="M149" s="152">
        <v>600</v>
      </c>
      <c r="N149" s="152">
        <f>M149+150</f>
        <v>750</v>
      </c>
      <c r="O149" s="152">
        <f>IF(P$147=M149,ROUND(B$158*J$139/(N149/1000),0),0)</f>
        <v>0</v>
      </c>
      <c r="P149" s="925"/>
      <c r="Q149" s="925"/>
      <c r="R149" s="925"/>
      <c r="S149" s="925"/>
    </row>
    <row r="150" spans="2:19" ht="12">
      <c r="B150" s="150"/>
      <c r="C150" s="150"/>
      <c r="D150" s="150"/>
      <c r="E150" s="150"/>
      <c r="F150" s="150"/>
      <c r="G150" s="150"/>
      <c r="H150" s="150"/>
      <c r="I150" s="150"/>
      <c r="J150" s="150"/>
      <c r="K150" s="150"/>
      <c r="L150" s="925"/>
      <c r="M150" s="152">
        <v>750</v>
      </c>
      <c r="N150" s="152">
        <f t="shared" ref="N150:N152" si="29">M150+150</f>
        <v>900</v>
      </c>
      <c r="O150" s="152">
        <f t="shared" ref="O150:O152" si="30">IF(P$147=M150,ROUND(B$158*J$139/(N150/1000),0),0)</f>
        <v>0</v>
      </c>
      <c r="P150" s="925"/>
      <c r="Q150" s="925"/>
      <c r="R150" s="925"/>
      <c r="S150" s="925"/>
    </row>
    <row r="151" spans="2:19" ht="15">
      <c r="B151" s="257" t="s">
        <v>681</v>
      </c>
      <c r="L151" s="925"/>
      <c r="M151" s="152">
        <v>900</v>
      </c>
      <c r="N151" s="152">
        <f t="shared" si="29"/>
        <v>1050</v>
      </c>
      <c r="O151" s="152">
        <f t="shared" si="30"/>
        <v>0</v>
      </c>
      <c r="P151" s="925"/>
      <c r="Q151" s="925"/>
      <c r="R151" s="925"/>
      <c r="S151" s="925"/>
    </row>
    <row r="152" spans="2:19" ht="12">
      <c r="L152" s="925"/>
      <c r="M152" s="152">
        <v>1050</v>
      </c>
      <c r="N152" s="152">
        <f t="shared" si="29"/>
        <v>1200</v>
      </c>
      <c r="O152" s="152">
        <f t="shared" si="30"/>
        <v>0</v>
      </c>
      <c r="P152" s="925"/>
      <c r="Q152" s="925"/>
      <c r="R152" s="925"/>
      <c r="S152" s="925"/>
    </row>
    <row r="153" spans="2:19" ht="12">
      <c r="B153" s="944" t="s">
        <v>682</v>
      </c>
      <c r="C153" s="150"/>
      <c r="D153" s="1344" t="s">
        <v>683</v>
      </c>
      <c r="E153" s="1344"/>
      <c r="F153" s="150"/>
      <c r="G153" s="150"/>
      <c r="H153" s="150"/>
      <c r="I153" s="150"/>
      <c r="J153" s="150"/>
      <c r="K153" s="150"/>
      <c r="L153" s="925"/>
      <c r="M153" s="925"/>
      <c r="N153" s="925"/>
      <c r="O153" s="925"/>
      <c r="P153" s="925"/>
      <c r="Q153" s="925"/>
      <c r="R153" s="925"/>
      <c r="S153" s="925"/>
    </row>
    <row r="154" spans="2:19" ht="15">
      <c r="B154" s="152" t="str">
        <f>IF(Inputs!B31="No","N/A",IF(AND('Ground Model Results'!$B$44&lt;0,OR(Basement!B149="Granular",Basement!B149="Chalk")),"Secant Pile","Contiguous"))</f>
        <v>N/A</v>
      </c>
      <c r="C154" s="150"/>
      <c r="D154" s="1328" t="str">
        <f>IF(Inputs!B31="No","N/A",IF(D149="No Cohesive Deposits","Yes",IF(AND(B154="Secant Pile", 'Ground Model Results'!B44&lt;0,D149+Inputs!B32&gt;10),"Yes","No")))</f>
        <v>N/A</v>
      </c>
      <c r="E154" s="1328"/>
      <c r="F154" s="150"/>
      <c r="G154" s="150"/>
      <c r="H154" s="150"/>
      <c r="I154" s="150"/>
      <c r="J154" s="150"/>
      <c r="K154" s="150"/>
      <c r="L154" s="925"/>
      <c r="M154" s="257" t="s">
        <v>684</v>
      </c>
      <c r="N154" s="925"/>
      <c r="O154" s="925"/>
      <c r="P154" s="925"/>
      <c r="Q154" s="925"/>
      <c r="R154" s="925"/>
      <c r="S154" s="925"/>
    </row>
    <row r="155" spans="2:19" ht="12">
      <c r="B155" s="150"/>
      <c r="C155" s="150"/>
      <c r="D155" s="150"/>
      <c r="E155" s="150"/>
      <c r="F155" s="150"/>
      <c r="G155" s="150"/>
      <c r="H155" s="150"/>
      <c r="I155" s="150"/>
      <c r="J155" s="150"/>
      <c r="K155" s="150"/>
      <c r="L155" s="925"/>
      <c r="M155" s="265" t="str">
        <f>M147</f>
        <v xml:space="preserve">Selected </v>
      </c>
      <c r="N155" s="152" t="str">
        <f>IF(D158=0,"No","Yes")</f>
        <v>No</v>
      </c>
      <c r="O155" s="265" t="str">
        <f>O147</f>
        <v>Diameter</v>
      </c>
      <c r="P155" s="252">
        <f>IF(N155="Yes",Summary!J$16,0)</f>
        <v>0</v>
      </c>
      <c r="Q155" s="182" t="s">
        <v>58</v>
      </c>
      <c r="R155" s="925"/>
      <c r="S155" s="925"/>
    </row>
    <row r="156" spans="2:19" ht="12">
      <c r="B156" s="217" t="s">
        <v>685</v>
      </c>
      <c r="C156" s="150"/>
      <c r="D156" s="217"/>
      <c r="E156" s="150"/>
      <c r="F156" s="150"/>
      <c r="G156" s="217"/>
      <c r="H156" s="150"/>
      <c r="I156" s="217"/>
      <c r="J156" s="150"/>
      <c r="K156" s="150"/>
      <c r="L156" s="925"/>
      <c r="M156" s="925"/>
      <c r="N156" s="925"/>
      <c r="O156" s="925"/>
      <c r="P156" s="925"/>
      <c r="Q156" s="925"/>
      <c r="R156" s="925"/>
      <c r="S156" s="925"/>
    </row>
    <row r="157" spans="2:19" ht="24" customHeight="1">
      <c r="B157" s="942" t="s">
        <v>672</v>
      </c>
      <c r="C157" s="150"/>
      <c r="D157" s="1329" t="s">
        <v>686</v>
      </c>
      <c r="E157" s="1329"/>
      <c r="F157" s="150"/>
      <c r="G157" s="1329" t="s">
        <v>687</v>
      </c>
      <c r="H157" s="1329"/>
      <c r="I157" s="150"/>
      <c r="J157" s="1329" t="s">
        <v>688</v>
      </c>
      <c r="K157" s="1329"/>
      <c r="L157" s="925"/>
      <c r="O157" s="1340" t="s">
        <v>680</v>
      </c>
      <c r="P157" s="1340"/>
      <c r="Q157" s="925"/>
      <c r="R157" s="925"/>
      <c r="S157" s="925"/>
    </row>
    <row r="158" spans="2:19" ht="24">
      <c r="B158" s="73" t="str">
        <f>IF(B154="Contiguous",IF(Inputs!B33="Yes",Inputs!B32*2,Inputs!B32*3),"N/A")</f>
        <v>N/A</v>
      </c>
      <c r="C158" s="150"/>
      <c r="D158" s="1330">
        <f>IF(B154="Contiguous",0,IF(Inputs!B33="Yes",Inputs!B32*2,Inputs!B32*3))</f>
        <v>0</v>
      </c>
      <c r="E158" s="1330"/>
      <c r="F158" s="150"/>
      <c r="G158" s="1330">
        <f>IF(B154="Contiguous","N/A",MAX(D158,J158))</f>
        <v>7</v>
      </c>
      <c r="H158" s="1330"/>
      <c r="I158" s="150"/>
      <c r="J158" s="1330">
        <f>IF(B154="Contiguous","N/A",IF(D149="No Cohesive Deposits",10,IF(D149+Inputs!B32+1&gt;10,10,D149+Inputs!B32+1)))</f>
        <v>7</v>
      </c>
      <c r="K158" s="1330"/>
      <c r="L158" s="925"/>
      <c r="M158" s="943" t="s">
        <v>678</v>
      </c>
      <c r="N158" s="943" t="s">
        <v>679</v>
      </c>
      <c r="O158" s="943" t="s">
        <v>689</v>
      </c>
      <c r="P158" s="943" t="s">
        <v>690</v>
      </c>
      <c r="Q158" s="943" t="s">
        <v>691</v>
      </c>
      <c r="R158" s="896"/>
      <c r="S158" s="925"/>
    </row>
    <row r="159" spans="2:19" ht="12">
      <c r="B159" s="150"/>
      <c r="C159" s="150"/>
      <c r="D159" s="150"/>
      <c r="E159" s="150"/>
      <c r="F159" s="150"/>
      <c r="G159" s="150"/>
      <c r="H159" s="150"/>
      <c r="I159" s="150"/>
      <c r="J159" s="150"/>
      <c r="K159" s="150"/>
      <c r="L159" s="925"/>
      <c r="M159" s="152">
        <v>600</v>
      </c>
      <c r="N159" s="152">
        <f>480+M159/2</f>
        <v>780</v>
      </c>
      <c r="O159" s="152">
        <f>IF(P$155=M159,ROUND(G$158*J$139/(N159/1000),0),0)</f>
        <v>0</v>
      </c>
      <c r="P159" s="152">
        <f>IF(P$155=M159,ROUND(J$158*J$139/(N159/1000),0),0)</f>
        <v>0</v>
      </c>
      <c r="Q159" s="945">
        <f>(PI()*0.3^2)*(O159+P159)</f>
        <v>0</v>
      </c>
      <c r="R159" s="925"/>
      <c r="S159" s="925"/>
    </row>
    <row r="160" spans="2:19" ht="12" customHeight="1">
      <c r="B160" s="942" t="s">
        <v>692</v>
      </c>
      <c r="C160" s="150"/>
      <c r="D160" s="1332" t="s">
        <v>693</v>
      </c>
      <c r="E160" s="1332"/>
      <c r="F160" s="150"/>
      <c r="G160" s="1332" t="s">
        <v>694</v>
      </c>
      <c r="H160" s="1332"/>
      <c r="I160" s="150"/>
      <c r="J160" s="150"/>
      <c r="K160" s="150"/>
      <c r="L160" s="925"/>
      <c r="M160" s="152">
        <v>750</v>
      </c>
      <c r="N160" s="152">
        <f>600+M160/2</f>
        <v>975</v>
      </c>
      <c r="O160" s="152">
        <f t="shared" ref="O160:O162" si="31">IF(P$155=M160,ROUND(G$158*J$139/(N160/1000),0),0)</f>
        <v>0</v>
      </c>
      <c r="P160" s="152">
        <f t="shared" ref="P160:P162" si="32">IF(P$155=M160,ROUND(J$158*J$139/(N160/1000),0),0)</f>
        <v>0</v>
      </c>
      <c r="Q160" s="946"/>
      <c r="R160" s="925"/>
      <c r="S160" s="925"/>
    </row>
    <row r="161" spans="2:19" ht="12">
      <c r="B161" s="73" t="str">
        <f>B154</f>
        <v>N/A</v>
      </c>
      <c r="C161" s="150"/>
      <c r="D161" s="1327" t="str">
        <f>B154</f>
        <v>N/A</v>
      </c>
      <c r="E161" s="1327"/>
      <c r="F161" s="150"/>
      <c r="G161" s="1328" t="str">
        <f>D161</f>
        <v>N/A</v>
      </c>
      <c r="H161" s="1328"/>
      <c r="I161" s="150"/>
      <c r="J161" s="150"/>
      <c r="K161" s="150"/>
      <c r="L161" s="925"/>
      <c r="M161" s="152">
        <v>900</v>
      </c>
      <c r="N161" s="152">
        <f>720+M161/2</f>
        <v>1170</v>
      </c>
      <c r="O161" s="152">
        <f t="shared" si="31"/>
        <v>0</v>
      </c>
      <c r="P161" s="152">
        <f t="shared" si="32"/>
        <v>0</v>
      </c>
      <c r="Q161" s="946"/>
      <c r="R161" s="925"/>
      <c r="S161" s="925"/>
    </row>
    <row r="162" spans="2:19" ht="12">
      <c r="B162" s="198" t="str">
        <f>IF(Inputs!B31="No","0",IF(B154="Contiguous",2*(Inputs!B27+Inputs!B28)/((Inputs!B34+J149)/1000),2*(2*(Inputs!B27+Inputs!B28)/((2*Inputs!B34-2*(20*J158+50))/1000))-1))</f>
        <v>0</v>
      </c>
      <c r="C162" s="150"/>
      <c r="D162" s="1333" t="str">
        <f>IF(Inputs!B31="No","0",IF(B154="Contiguous",ROUNDUP(B162*B158*PI()*(Inputs!B34/1000)^2/4,0),ROUNDUP(((G158+J158)/2)*(Inputs!B27+Inputs!B28)*2*Inputs!B34/1000,0)))</f>
        <v>0</v>
      </c>
      <c r="E162" s="1333"/>
      <c r="F162" s="150"/>
      <c r="G162" s="1328"/>
      <c r="H162" s="1328"/>
      <c r="I162" s="150"/>
      <c r="J162" s="150"/>
      <c r="K162" s="150"/>
      <c r="L162" s="925"/>
      <c r="M162" s="152">
        <v>1050</v>
      </c>
      <c r="N162" s="152">
        <f>840+M162/2</f>
        <v>1365</v>
      </c>
      <c r="O162" s="152">
        <f t="shared" si="31"/>
        <v>0</v>
      </c>
      <c r="P162" s="152">
        <f t="shared" si="32"/>
        <v>0</v>
      </c>
      <c r="Q162" s="946"/>
      <c r="R162" s="925"/>
      <c r="S162" s="925"/>
    </row>
    <row r="163" spans="2:19" ht="12">
      <c r="B163" s="198"/>
      <c r="C163" s="150"/>
      <c r="D163" s="151"/>
      <c r="E163" s="151"/>
      <c r="F163" s="150"/>
      <c r="G163" s="152"/>
      <c r="H163" s="152"/>
      <c r="I163" s="150"/>
      <c r="J163" s="150"/>
      <c r="K163" s="150"/>
      <c r="L163" s="925"/>
      <c r="M163" s="152"/>
      <c r="N163" s="152"/>
      <c r="O163" s="152"/>
      <c r="P163" s="152"/>
      <c r="Q163" s="946"/>
      <c r="R163" s="925"/>
      <c r="S163" s="925"/>
    </row>
    <row r="164" spans="2:19" ht="12" thickBot="1">
      <c r="B164" s="947"/>
      <c r="C164" s="947"/>
      <c r="D164" s="893"/>
      <c r="E164" s="893"/>
      <c r="F164" s="893"/>
      <c r="G164" s="893"/>
      <c r="H164" s="893"/>
      <c r="I164" s="893"/>
      <c r="J164" s="893"/>
      <c r="K164" s="893"/>
      <c r="L164" s="948"/>
      <c r="M164" s="948"/>
      <c r="N164" s="948"/>
      <c r="O164" s="948"/>
      <c r="P164" s="948"/>
      <c r="Q164" s="948"/>
      <c r="R164" s="948"/>
      <c r="S164" s="925"/>
    </row>
    <row r="165" spans="2:19">
      <c r="B165" s="897"/>
      <c r="C165" s="897"/>
    </row>
    <row r="166" spans="2:19" ht="18">
      <c r="B166" s="128" t="s">
        <v>695</v>
      </c>
      <c r="C166" s="897"/>
    </row>
    <row r="167" spans="2:19" ht="12">
      <c r="B167" s="150"/>
      <c r="C167" s="150"/>
      <c r="D167" s="1331" t="s">
        <v>183</v>
      </c>
      <c r="E167" s="1331"/>
      <c r="F167" s="1331"/>
      <c r="G167" s="1331" t="s">
        <v>187</v>
      </c>
      <c r="H167" s="1331"/>
      <c r="I167" s="1331"/>
      <c r="J167" s="1331" t="s">
        <v>188</v>
      </c>
      <c r="K167" s="1331"/>
      <c r="L167" s="1331"/>
    </row>
    <row r="168" spans="2:19" ht="25.5">
      <c r="B168" s="150"/>
      <c r="C168" s="949" t="s">
        <v>22</v>
      </c>
      <c r="D168" s="251" t="s">
        <v>696</v>
      </c>
      <c r="E168" s="251" t="s">
        <v>697</v>
      </c>
      <c r="F168" s="251" t="s">
        <v>698</v>
      </c>
      <c r="G168" s="251" t="s">
        <v>696</v>
      </c>
      <c r="H168" s="251" t="s">
        <v>697</v>
      </c>
      <c r="I168" s="251" t="s">
        <v>699</v>
      </c>
      <c r="J168" s="251" t="s">
        <v>696</v>
      </c>
      <c r="K168" s="251" t="s">
        <v>697</v>
      </c>
      <c r="L168" s="251" t="s">
        <v>700</v>
      </c>
    </row>
    <row r="169" spans="2:19" ht="12">
      <c r="B169" s="150"/>
      <c r="C169" s="252" t="str">
        <f>Database!D17</f>
        <v>RC Flat Slab</v>
      </c>
      <c r="D169" s="178">
        <f>L97+25*(C$27+C$9)*Summary!C$13*Summary!C$14+'RC Column'!G9</f>
        <v>482.75700000000001</v>
      </c>
      <c r="E169" s="178">
        <f>IF(C$5="No",'RC Column'!H9,'RC Column'!H9+2*Database!Y17)</f>
        <v>180</v>
      </c>
      <c r="F169" s="152">
        <f>'RC Column'!I9</f>
        <v>63</v>
      </c>
      <c r="G169" s="178">
        <f>'RC Column'!J9+L110+25*(C$27+C$9)*Summary!C$13*Summary!C$14*0.5</f>
        <v>384.88987500000002</v>
      </c>
      <c r="H169" s="178">
        <f>'RC Column'!K9+2*Database!W17</f>
        <v>180</v>
      </c>
      <c r="I169" s="152">
        <f>'RC Column'!L9</f>
        <v>32</v>
      </c>
      <c r="J169" s="178">
        <f>'RC Column'!M9+L123+25*(C$27+C$9)*Summary!C$13*Summary!C$14*0.25</f>
        <v>264.68987500000003</v>
      </c>
      <c r="K169" s="178">
        <f>'RC Column'!N9+2*Database!U17</f>
        <v>90</v>
      </c>
      <c r="L169" s="152">
        <f>'RC Column'!O9</f>
        <v>4</v>
      </c>
    </row>
    <row r="170" spans="2:19" ht="12">
      <c r="B170" s="150"/>
      <c r="C170" s="252" t="str">
        <f>Database!D18</f>
        <v>PT RC Flat Slab</v>
      </c>
      <c r="D170" s="178">
        <f>L98+25*(C$27+C$9)*Summary!C$13*Summary!C$14+'RC Column'!G10</f>
        <v>462.95699999999999</v>
      </c>
      <c r="E170" s="178">
        <f>IF(C$5="No",'RC Column'!H10,'RC Column'!H10+2*Database!Y18)</f>
        <v>180</v>
      </c>
      <c r="F170" s="152">
        <f>'RC Column'!I10</f>
        <v>63</v>
      </c>
      <c r="G170" s="178">
        <f>'RC Column'!J10+L111+25*(C$27+C$9)*Summary!C$13*Summary!C$14*0.5</f>
        <v>374.80987499999998</v>
      </c>
      <c r="H170" s="178">
        <f>'RC Column'!K10+2*Database!W18</f>
        <v>180</v>
      </c>
      <c r="I170" s="152">
        <f>'RC Column'!L10</f>
        <v>32</v>
      </c>
      <c r="J170" s="178">
        <f>'RC Column'!M10+L124+25*(C$27+C$9)*Summary!C$13*Summary!C$14*0.25</f>
        <v>259.56987500000002</v>
      </c>
      <c r="K170" s="178">
        <f>'RC Column'!N10+2*Database!U18</f>
        <v>90</v>
      </c>
      <c r="L170" s="152">
        <f>'RC Column'!O10</f>
        <v>4</v>
      </c>
    </row>
    <row r="171" spans="2:19" ht="12">
      <c r="B171" s="150"/>
      <c r="C171" s="252" t="str">
        <f>Database!D19</f>
        <v>RC Rib Slab</v>
      </c>
      <c r="D171" s="178">
        <f>L99+25*(C$27+C$9)*Summary!C$13*Summary!C$14+'RC Column'!G11</f>
        <v>409.57952419354802</v>
      </c>
      <c r="E171" s="178">
        <f>IF(C$5="No",'RC Column'!H11,'RC Column'!H11+2*Database!Y19)</f>
        <v>180</v>
      </c>
      <c r="F171" s="152">
        <f>'RC Column'!I11</f>
        <v>63</v>
      </c>
      <c r="G171" s="178">
        <f>'RC Column'!J11+L112+25*(C$27+C$9)*Summary!C$13*Summary!C$14*0.5</f>
        <v>357.55190322580597</v>
      </c>
      <c r="H171" s="178">
        <f>'RC Column'!K11+2*Database!W19</f>
        <v>180</v>
      </c>
      <c r="I171" s="152">
        <f>'RC Column'!L11</f>
        <v>32</v>
      </c>
      <c r="J171" s="178">
        <f>'RC Column'!M11+L125+25*(C$27+C$9)*Summary!C$13*Summary!C$14*0.25</f>
        <v>257.87690322580602</v>
      </c>
      <c r="K171" s="178">
        <f>'RC Column'!N11+2*Database!U19</f>
        <v>90</v>
      </c>
      <c r="L171" s="152">
        <f>'RC Column'!O11</f>
        <v>4</v>
      </c>
    </row>
    <row r="172" spans="2:19" ht="12">
      <c r="B172" s="150"/>
      <c r="C172" s="252" t="str">
        <f>Database!D20</f>
        <v>Two-way RC Slab</v>
      </c>
      <c r="D172" s="178">
        <f>L100+25*(C$27+C$9)*Summary!C$13*Summary!C$14+'RC Column'!G12</f>
        <v>340.053</v>
      </c>
      <c r="E172" s="178">
        <f>IF(C$5="No",'RC Column'!H12,'RC Column'!H12+2*Database!Y20)</f>
        <v>180</v>
      </c>
      <c r="F172" s="152">
        <f>'RC Column'!I12</f>
        <v>63</v>
      </c>
      <c r="G172" s="178">
        <f>'RC Column'!J12+L113+25*(C$27+C$9)*Summary!C$13*Summary!C$14*0.5</f>
        <v>346.173</v>
      </c>
      <c r="H172" s="178">
        <f>'RC Column'!K12+2*Database!W20</f>
        <v>180</v>
      </c>
      <c r="I172" s="152">
        <f>'RC Column'!L12</f>
        <v>32</v>
      </c>
      <c r="J172" s="178">
        <f>'RC Column'!M12+L126+25*(C$27+C$9)*Summary!C$13*Summary!C$14*0.25</f>
        <v>255.30799999999999</v>
      </c>
      <c r="K172" s="178">
        <f>'RC Column'!N12+2*Database!U20</f>
        <v>90</v>
      </c>
      <c r="L172" s="152">
        <f>'RC Column'!O12</f>
        <v>4</v>
      </c>
    </row>
    <row r="173" spans="2:19" ht="12">
      <c r="B173" s="150"/>
      <c r="C173" s="252" t="str">
        <f>Database!D21</f>
        <v>One-Way Spanning RC</v>
      </c>
      <c r="D173" s="178">
        <f>L101+25*(C$27+C$9)*Summary!C$13*Summary!C$14+'RC Column'!G13</f>
        <v>418.88220000000001</v>
      </c>
      <c r="E173" s="178">
        <f>IF(C$5="No",'RC Column'!H13,'RC Column'!H13+2*Database!Y21)</f>
        <v>180</v>
      </c>
      <c r="F173" s="152">
        <f>'RC Column'!I13</f>
        <v>63</v>
      </c>
      <c r="G173" s="178">
        <f>'RC Column'!J13+L114+25*(C$27+C$9)*Summary!C$13*Summary!C$14*0.5</f>
        <v>360.3372</v>
      </c>
      <c r="H173" s="178">
        <f>'RC Column'!K13+2*Database!W21</f>
        <v>180</v>
      </c>
      <c r="I173" s="152">
        <f>'RC Column'!L13</f>
        <v>32</v>
      </c>
      <c r="J173" s="178">
        <f>'RC Column'!M13+L127+25*(C$27+C$9)*Summary!C$13*Summary!C$14*0.25</f>
        <v>259.97720000000004</v>
      </c>
      <c r="K173" s="178">
        <f>'RC Column'!N13+2*Database!U21</f>
        <v>90</v>
      </c>
      <c r="L173" s="152">
        <f>'RC Column'!O13</f>
        <v>4</v>
      </c>
    </row>
    <row r="174" spans="2:19" ht="12">
      <c r="B174" s="150"/>
      <c r="C174" s="252" t="str">
        <f>Database!D22</f>
        <v>Precast Hollowcore with In-situ RC Beams</v>
      </c>
      <c r="D174" s="178">
        <f>L102+25*(C$27+C$9)*Summary!C$13*Summary!C$14+'RC Column'!G14</f>
        <v>555.82799999999997</v>
      </c>
      <c r="E174" s="178">
        <f>IF(C$5="No",'RC Column'!H14,'RC Column'!H14+2*Database!Y22)</f>
        <v>180</v>
      </c>
      <c r="F174" s="152">
        <f>'RC Column'!I14</f>
        <v>63</v>
      </c>
      <c r="G174" s="178">
        <f>'RC Column'!J14+L115+25*(C$27+C$9)*Summary!C$13*Summary!C$14*0.5</f>
        <v>457.87799999999999</v>
      </c>
      <c r="H174" s="178">
        <f>'RC Column'!K14+2*Database!W22</f>
        <v>180</v>
      </c>
      <c r="I174" s="152">
        <f>'RC Column'!L14</f>
        <v>32</v>
      </c>
      <c r="J174" s="178">
        <f>'RC Column'!M14+L128+25*(C$27+C$9)*Summary!C$13*Summary!C$14*0.25</f>
        <v>261.75299999999999</v>
      </c>
      <c r="K174" s="178">
        <f>'RC Column'!N14+2*Database!U22</f>
        <v>90</v>
      </c>
      <c r="L174" s="152">
        <f>'RC Column'!O14</f>
        <v>4</v>
      </c>
    </row>
    <row r="175" spans="2:19" ht="12">
      <c r="B175" s="150"/>
      <c r="C175" s="252" t="str">
        <f>Database!D23</f>
        <v>Non-Composite Rolled Steel with PCC Planks</v>
      </c>
      <c r="D175" s="178">
        <f>L103+25*(C$27+C$9)*Summary!C$13*Summary!C$14+'Steel Column'!J9</f>
        <v>344.97324000000003</v>
      </c>
      <c r="E175" s="178">
        <f>IF(C$5="No",'Steel Column'!K9,'Steel Column'!K9+2*Database!Y23)</f>
        <v>180</v>
      </c>
      <c r="F175" s="152">
        <f>'Steel Column'!L9</f>
        <v>63</v>
      </c>
      <c r="G175" s="178">
        <f>'Steel Column'!M9+L116+25*(C$27+C$9)*Summary!C$13*Summary!C$14*0.5</f>
        <v>227.72268</v>
      </c>
      <c r="H175" s="178">
        <f>'Steel Column'!N9+2*Database!W23</f>
        <v>180</v>
      </c>
      <c r="I175" s="152">
        <f>'Steel Column'!O9</f>
        <v>32</v>
      </c>
      <c r="J175" s="178">
        <f>'Steel Column'!P9+L129+25*(C$27+C$9)*Summary!C$13*Summary!C$14*0.25</f>
        <v>141.12621000000001</v>
      </c>
      <c r="K175" s="178">
        <f>'Steel Column'!Q9+2*Database!U23</f>
        <v>90</v>
      </c>
      <c r="L175" s="152">
        <f>'Steel Column'!R9</f>
        <v>4</v>
      </c>
    </row>
    <row r="176" spans="2:19" ht="12">
      <c r="B176" s="150"/>
      <c r="C176" s="252" t="str">
        <f>Database!D24</f>
        <v>Composite Rolled Steel with Metal Decking</v>
      </c>
      <c r="D176" s="178">
        <f>L104+25*(C$27+C$9)*Summary!C$13*Summary!C$14+'Steel Column'!J10</f>
        <v>262.94623200000001</v>
      </c>
      <c r="E176" s="178">
        <f>IF(C$5="No",'Steel Column'!K10,'Steel Column'!K10+2*Database!Y24)</f>
        <v>180</v>
      </c>
      <c r="F176" s="152">
        <f>'Steel Column'!L10</f>
        <v>63</v>
      </c>
      <c r="G176" s="178">
        <f>'Steel Column'!M10+L117+25*(C$27+C$9)*Summary!C$13*Summary!C$14*0.5</f>
        <v>186.70917600000001</v>
      </c>
      <c r="H176" s="178">
        <f>'Steel Column'!N10+2*Database!W24</f>
        <v>180</v>
      </c>
      <c r="I176" s="152">
        <f>'Steel Column'!O10</f>
        <v>32</v>
      </c>
      <c r="J176" s="178">
        <f>'Steel Column'!P10+L130+25*(C$27+C$9)*Summary!C$13*Summary!C$14*0.25</f>
        <v>120.825468</v>
      </c>
      <c r="K176" s="178">
        <f>'Steel Column'!Q10+2*Database!U24</f>
        <v>90</v>
      </c>
      <c r="L176" s="152">
        <f>'Steel Column'!R10</f>
        <v>4</v>
      </c>
    </row>
    <row r="177" spans="2:18" ht="12">
      <c r="B177" s="150"/>
      <c r="C177" s="252" t="str">
        <f>Database!D25</f>
        <v>Composite Cell Beams with Metal Decking</v>
      </c>
      <c r="D177" s="178">
        <f>L105+25*(C$27+C$9)*Summary!C$13*Summary!C$14+'Steel Column'!J11</f>
        <v>270.56095025155565</v>
      </c>
      <c r="E177" s="178">
        <f>IF(C$5="No",'Steel Column'!K11,'Steel Column'!K11+2*Database!Y25)</f>
        <v>180</v>
      </c>
      <c r="F177" s="152">
        <f>'Steel Column'!L11</f>
        <v>63</v>
      </c>
      <c r="G177" s="178">
        <f>'Steel Column'!M11+L118+25*(C$27+C$9)*Summary!C$13*Summary!C$14*0.5</f>
        <v>190.33995512577783</v>
      </c>
      <c r="H177" s="178">
        <f>'Steel Column'!N11+2*Database!W25</f>
        <v>180</v>
      </c>
      <c r="I177" s="152">
        <f>'Steel Column'!O11</f>
        <v>32</v>
      </c>
      <c r="J177" s="178">
        <f>'Steel Column'!P11+L131+25*(C$27+C$9)*Summary!C$13*Summary!C$14*0.25</f>
        <v>122.64085756288891</v>
      </c>
      <c r="K177" s="178">
        <f>'Steel Column'!Q11+2*Database!U25</f>
        <v>90</v>
      </c>
      <c r="L177" s="152">
        <f>'Steel Column'!R11</f>
        <v>4</v>
      </c>
    </row>
    <row r="178" spans="2:18" ht="12">
      <c r="B178" s="150"/>
      <c r="C178" s="252" t="str">
        <f>Database!D26</f>
        <v>Steel Frame with CLT Slabs</v>
      </c>
      <c r="D178" s="178">
        <f>L106+25*(C$27+C$9)*Summary!C$13*Summary!C$14+'Steel Column'!J12</f>
        <v>88.72578</v>
      </c>
      <c r="E178" s="178">
        <f>IF(C$5="No",'Steel Column'!K12,'Steel Column'!K12+2*Database!Y26)</f>
        <v>180</v>
      </c>
      <c r="F178" s="152">
        <f>'Steel Column'!L12</f>
        <v>63</v>
      </c>
      <c r="G178" s="178">
        <f>'Steel Column'!M12+L119+25*(C$27+C$9)*Summary!C$13*Summary!C$14*0.5</f>
        <v>98.833770000000001</v>
      </c>
      <c r="H178" s="178">
        <f>'Steel Column'!N12+2*Database!W26</f>
        <v>180</v>
      </c>
      <c r="I178" s="152">
        <f>'Steel Column'!O12</f>
        <v>32</v>
      </c>
      <c r="J178" s="178">
        <f>'Steel Column'!P12+L132+25*(C$27+C$9)*Summary!C$13*Summary!C$14*0.25</f>
        <v>76.887765000000002</v>
      </c>
      <c r="K178" s="178">
        <f>'Steel Column'!Q12+2*Database!U26</f>
        <v>90</v>
      </c>
      <c r="L178" s="152">
        <f>'Steel Column'!R12</f>
        <v>4</v>
      </c>
    </row>
    <row r="179" spans="2:18" ht="12">
      <c r="B179" s="150"/>
      <c r="C179" s="252" t="str">
        <f>Database!D27</f>
        <v>CLT, Glulam and Steel Column Hybrid</v>
      </c>
      <c r="D179" s="178">
        <f>L107+25*(C$27+C$9)*Summary!C$13*Summary!C$14+'Steel Column'!J13</f>
        <v>95.109566399999977</v>
      </c>
      <c r="E179" s="178">
        <f>IF(C$5="No",'Steel Column'!K13,'Steel Column'!K13+2*Database!Y27)</f>
        <v>180</v>
      </c>
      <c r="F179" s="152">
        <f>'Steel Column'!L13</f>
        <v>63</v>
      </c>
      <c r="G179" s="178">
        <f>'Steel Column'!M13+L120+25*(C$27+C$9)*Summary!C$13*Summary!C$14*0.5</f>
        <v>102.02566319999998</v>
      </c>
      <c r="H179" s="178">
        <f>'Steel Column'!N13+2*Database!W27</f>
        <v>180</v>
      </c>
      <c r="I179" s="152">
        <f>'Steel Column'!O13</f>
        <v>32</v>
      </c>
      <c r="J179" s="178">
        <f>'Steel Column'!P13+L133+25*(C$27+C$9)*Summary!C$13*Summary!C$14*0.25</f>
        <v>78.483711599999992</v>
      </c>
      <c r="K179" s="178">
        <f>'Steel Column'!Q13+2*Database!U27</f>
        <v>90</v>
      </c>
      <c r="L179" s="152">
        <f>'Steel Column'!R13</f>
        <v>4</v>
      </c>
    </row>
    <row r="180" spans="2:18" ht="12.75" thickBot="1">
      <c r="B180" s="172"/>
      <c r="C180" s="950"/>
      <c r="D180" s="951"/>
      <c r="E180" s="951"/>
      <c r="F180" s="174"/>
      <c r="G180" s="951"/>
      <c r="H180" s="951"/>
      <c r="I180" s="174"/>
      <c r="J180" s="951"/>
      <c r="K180" s="951"/>
      <c r="L180" s="174"/>
      <c r="M180" s="893"/>
      <c r="N180" s="893"/>
      <c r="O180" s="893"/>
      <c r="P180" s="893"/>
      <c r="Q180" s="893"/>
      <c r="R180" s="893"/>
    </row>
    <row r="181" spans="2:18" ht="12">
      <c r="F181" s="152"/>
    </row>
    <row r="182" spans="2:18"/>
    <row r="183" spans="2:18"/>
  </sheetData>
  <mergeCells count="39">
    <mergeCell ref="O157:P157"/>
    <mergeCell ref="D144:E144"/>
    <mergeCell ref="G144:H144"/>
    <mergeCell ref="D95:N95"/>
    <mergeCell ref="K17:P17"/>
    <mergeCell ref="D143:E143"/>
    <mergeCell ref="G143:H143"/>
    <mergeCell ref="D148:E148"/>
    <mergeCell ref="D149:E149"/>
    <mergeCell ref="G148:H148"/>
    <mergeCell ref="G149:H149"/>
    <mergeCell ref="G157:H157"/>
    <mergeCell ref="D153:E153"/>
    <mergeCell ref="D154:E154"/>
    <mergeCell ref="D157:E157"/>
    <mergeCell ref="J148:K148"/>
    <mergeCell ref="K16:P16"/>
    <mergeCell ref="G138:H138"/>
    <mergeCell ref="G139:H139"/>
    <mergeCell ref="D141:H141"/>
    <mergeCell ref="D142:E142"/>
    <mergeCell ref="G142:H142"/>
    <mergeCell ref="D138:E138"/>
    <mergeCell ref="D139:E139"/>
    <mergeCell ref="J139:K139"/>
    <mergeCell ref="J149:K149"/>
    <mergeCell ref="J157:K157"/>
    <mergeCell ref="J158:K158"/>
    <mergeCell ref="G158:H158"/>
    <mergeCell ref="D167:F167"/>
    <mergeCell ref="J167:L167"/>
    <mergeCell ref="G167:I167"/>
    <mergeCell ref="D158:E158"/>
    <mergeCell ref="D160:E160"/>
    <mergeCell ref="D161:E161"/>
    <mergeCell ref="D162:E162"/>
    <mergeCell ref="G161:H161"/>
    <mergeCell ref="G160:H160"/>
    <mergeCell ref="G162:H162"/>
  </mergeCells>
  <phoneticPr fontId="24" type="noConversion"/>
  <conditionalFormatting sqref="I34:I38">
    <cfRule type="cellIs" dxfId="22" priority="11" operator="greaterThan">
      <formula>0.168</formula>
    </cfRule>
  </conditionalFormatting>
  <conditionalFormatting sqref="I46:I49">
    <cfRule type="cellIs" dxfId="21" priority="9" operator="greaterThan">
      <formula>0.168</formula>
    </cfRule>
  </conditionalFormatting>
  <conditionalFormatting sqref="C33:R43 B60:L79 B54:E59 H54:L59 N54:O63">
    <cfRule type="expression" dxfId="20" priority="5">
      <formula>$C$5="No"</formula>
    </cfRule>
  </conditionalFormatting>
  <conditionalFormatting sqref="C45:O49">
    <cfRule type="expression" dxfId="19" priority="4">
      <formula>$C$5="No"</formula>
    </cfRule>
  </conditionalFormatting>
  <conditionalFormatting sqref="B84:O133">
    <cfRule type="expression" dxfId="18" priority="2">
      <formula>$C$5="No"</formula>
    </cfRule>
  </conditionalFormatting>
  <conditionalFormatting sqref="C94">
    <cfRule type="expression" dxfId="17" priority="1">
      <formula>$C$5="No"</formula>
    </cfRule>
  </conditionalFormatting>
  <dataValidations disablePrompts="1" count="10">
    <dataValidation allowBlank="1" showInputMessage="1" showErrorMessage="1" prompt="This calculation ensures that the male pile is at least as long as the female pile. " sqref="G158" xr:uid="{7192189C-5549-4D67-A321-A91A2BF65F78}"/>
    <dataValidation allowBlank="1" showInputMessage="1" showErrorMessage="1" prompt="If there are no cohesive deposits before 10m below the excavation depth, significant GW control is likely to be required. " sqref="D154" xr:uid="{9DB10481-5B48-4786-ABA6-5E82AC6E8F56}"/>
    <dataValidation allowBlank="1" showInputMessage="1" showErrorMessage="1" prompt="This value is calculated assuming the female pile toe will be 1m below the cohesive deposit or 1m below the excavation depth, whichever is deeper. If there are no cohesive deposits present within 10m of the excavation depth, this value defaults to 10m. " sqref="J158" xr:uid="{861D031B-CE65-4EF8-BD05-14E8A3DFEFE5}"/>
    <dataValidation allowBlank="1" showInputMessage="1" showErrorMessage="1" prompt="If this value is negative, the clay is above the calculated male pile length. " sqref="G149" xr:uid="{FF7CFEF7-05E6-49FD-AF9B-035FB7ED9686}"/>
    <dataValidation type="list" allowBlank="1" showInputMessage="1" showErrorMessage="1" sqref="Q29" xr:uid="{B7977504-9673-46DB-8423-ABFE4DE499C2}">
      <formula1>$L$18:$L$29</formula1>
    </dataValidation>
    <dataValidation type="decimal" allowBlank="1" showInputMessage="1" showErrorMessage="1" prompt="Please input lower value as x" sqref="S18" xr:uid="{AA55E645-2A98-42FD-B916-C127B0731B94}">
      <formula1>6</formula1>
      <formula2>18</formula2>
    </dataValidation>
    <dataValidation type="decimal" allowBlank="1" showInputMessage="1" showErrorMessage="1" prompt="Please note that some of the grid sizes may not be applicable for all frame types" sqref="S19" xr:uid="{3EB53C1A-0CC2-4123-8F9A-9FC5BA008C6D}">
      <formula1>6</formula1>
      <formula2>18</formula2>
    </dataValidation>
    <dataValidation type="list" allowBlank="1" showInputMessage="1" showErrorMessage="1" sqref="C84:D84" xr:uid="{73BA0171-4787-4DB6-9CEC-36D77B36634C}">
      <formula1>"C32/40, C40/50, C50/60"</formula1>
    </dataValidation>
    <dataValidation type="list" allowBlank="1" showInputMessage="1" showErrorMessage="1" sqref="C86:D86" xr:uid="{CE994E1F-C838-46EA-B4A0-0BA428868F1F}">
      <formula1>"2%, 3%, 4%"</formula1>
    </dataValidation>
    <dataValidation type="list" allowBlank="1" showInputMessage="1" showErrorMessage="1" sqref="C94:D94" xr:uid="{52C53733-F293-43D5-8912-7D72665C89A1}">
      <formula1>"60, 120, 240"</formula1>
    </dataValidation>
  </dataValidations>
  <pageMargins left="0.7" right="0.7" top="0.75" bottom="0.75" header="0.3" footer="0.3"/>
  <pageSetup paperSize="9" orientation="portrait" horizontalDpi="300" verticalDpi="300" r:id="rId1"/>
  <ignoredErrors>
    <ignoredError sqref="N46:N49 G36:H36 D48" formula="1"/>
    <ignoredError sqref="F40:F43 G40:G43 J40:J42 K41:P42 O34:Q34 O37:Q37 P35:Q35 J43:P43 P36:Q36 R34:R37 K40:O40" evalError="1"/>
    <ignoredError sqref="O35:O36" evalError="1" formula="1"/>
  </ignoredErrors>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085BF-C685-4B21-8838-C44326C4B105}">
  <sheetPr codeName="Sheet10">
    <tabColor theme="5" tint="0.59999389629810485"/>
  </sheetPr>
  <dimension ref="A1:AH118"/>
  <sheetViews>
    <sheetView topLeftCell="A19" workbookViewId="0">
      <selection activeCell="B32" sqref="B32"/>
    </sheetView>
  </sheetViews>
  <sheetFormatPr defaultColWidth="9.140625" defaultRowHeight="14.25"/>
  <cols>
    <col min="1" max="1" width="40" style="284" customWidth="1"/>
    <col min="2" max="2" width="41.140625" style="284" customWidth="1"/>
    <col min="3" max="3" width="36.5703125" style="284" customWidth="1"/>
    <col min="4" max="6" width="37.85546875" style="284" customWidth="1"/>
    <col min="7" max="7" width="28.85546875" style="284" customWidth="1"/>
    <col min="8" max="9" width="24.140625" style="1018" bestFit="1" customWidth="1"/>
    <col min="10" max="11" width="24.140625" style="1018" customWidth="1"/>
    <col min="12" max="16384" width="9.140625" style="284"/>
  </cols>
  <sheetData>
    <row r="1" spans="1:34">
      <c r="A1" s="1348" t="s">
        <v>701</v>
      </c>
      <c r="B1" s="1349"/>
      <c r="C1" s="1349"/>
      <c r="D1" s="1349"/>
      <c r="E1" s="1349"/>
      <c r="F1" s="1349"/>
      <c r="G1" s="1349"/>
      <c r="H1" s="1349"/>
      <c r="I1" s="1349"/>
      <c r="J1" s="284"/>
      <c r="K1" s="284"/>
    </row>
    <row r="2" spans="1:34">
      <c r="A2" s="1350"/>
      <c r="B2" s="1351"/>
      <c r="C2" s="1351"/>
      <c r="D2" s="1351"/>
      <c r="E2" s="1351"/>
      <c r="F2" s="1351"/>
      <c r="G2" s="1351"/>
      <c r="H2" s="1351"/>
      <c r="I2" s="1351"/>
      <c r="J2" s="284"/>
      <c r="K2" s="284"/>
    </row>
    <row r="3" spans="1:34">
      <c r="A3" s="1350"/>
      <c r="B3" s="1351"/>
      <c r="C3" s="1351"/>
      <c r="D3" s="1351"/>
      <c r="E3" s="1351"/>
      <c r="F3" s="1351"/>
      <c r="G3" s="1351"/>
      <c r="H3" s="1351"/>
      <c r="I3" s="1351"/>
      <c r="J3" s="284"/>
      <c r="K3" s="284"/>
    </row>
    <row r="4" spans="1:34" ht="15" thickBot="1">
      <c r="A4" s="1352"/>
      <c r="B4" s="1353"/>
      <c r="C4" s="1353"/>
      <c r="D4" s="1353"/>
      <c r="E4" s="1353"/>
      <c r="F4" s="1353"/>
      <c r="G4" s="1353"/>
      <c r="H4" s="1353"/>
      <c r="I4" s="1353"/>
      <c r="J4" s="284"/>
      <c r="K4" s="284"/>
    </row>
    <row r="5" spans="1:34" ht="15" thickBot="1">
      <c r="A5" s="952"/>
      <c r="B5" s="953"/>
      <c r="C5" s="953"/>
      <c r="D5" s="953"/>
      <c r="E5" s="953"/>
      <c r="F5" s="953"/>
      <c r="G5" s="953"/>
      <c r="H5" s="953"/>
      <c r="I5" s="954"/>
      <c r="J5" s="284"/>
      <c r="K5" s="284"/>
    </row>
    <row r="6" spans="1:34">
      <c r="A6" s="1354" t="s">
        <v>702</v>
      </c>
      <c r="B6" s="1355"/>
      <c r="C6" s="1355"/>
      <c r="D6" s="1355"/>
      <c r="E6" s="1355"/>
      <c r="F6" s="1355"/>
      <c r="G6" s="1355"/>
      <c r="H6" s="1355"/>
      <c r="I6" s="1356"/>
      <c r="J6" s="284"/>
      <c r="K6" s="284"/>
    </row>
    <row r="7" spans="1:34" ht="15" thickBot="1">
      <c r="A7" s="1357"/>
      <c r="B7" s="1358"/>
      <c r="C7" s="1358"/>
      <c r="D7" s="1358"/>
      <c r="E7" s="1358"/>
      <c r="F7" s="1358"/>
      <c r="G7" s="1358"/>
      <c r="H7" s="1358"/>
      <c r="I7" s="1359"/>
      <c r="J7" s="284"/>
      <c r="K7" s="284"/>
      <c r="M7" s="300"/>
      <c r="N7" s="300"/>
      <c r="O7" s="300"/>
      <c r="P7" s="300"/>
      <c r="Q7" s="300"/>
      <c r="R7" s="300"/>
      <c r="S7" s="300"/>
      <c r="T7" s="300"/>
      <c r="U7" s="300"/>
      <c r="V7" s="300"/>
      <c r="W7" s="300"/>
      <c r="X7" s="300"/>
      <c r="Y7" s="300"/>
      <c r="Z7" s="300"/>
      <c r="AA7" s="300"/>
    </row>
    <row r="8" spans="1:34" ht="15" thickBot="1">
      <c r="A8" s="952"/>
      <c r="B8" s="953"/>
      <c r="C8" s="953"/>
      <c r="D8" s="953"/>
      <c r="E8" s="953"/>
      <c r="F8" s="953"/>
      <c r="G8" s="953"/>
      <c r="H8" s="953"/>
      <c r="I8" s="955"/>
      <c r="J8" s="284"/>
      <c r="K8" s="284"/>
      <c r="M8" s="300"/>
      <c r="N8" s="300"/>
      <c r="O8" s="300"/>
      <c r="P8" s="300"/>
      <c r="Q8" s="300"/>
      <c r="R8" s="300"/>
      <c r="S8" s="300"/>
      <c r="T8" s="300"/>
      <c r="U8" s="300"/>
      <c r="V8" s="300"/>
      <c r="W8" s="300"/>
      <c r="X8" s="300"/>
      <c r="Y8" s="300"/>
      <c r="Z8" s="300"/>
      <c r="AA8" s="300"/>
    </row>
    <row r="9" spans="1:34" ht="15.75" thickBot="1">
      <c r="A9" s="450" t="s">
        <v>703</v>
      </c>
      <c r="B9" s="956">
        <f>Summary!F19</f>
        <v>5</v>
      </c>
      <c r="C9" s="957"/>
      <c r="D9" s="953"/>
      <c r="E9" s="953"/>
      <c r="F9" s="953"/>
      <c r="G9" s="953"/>
      <c r="H9" s="953"/>
      <c r="I9" s="953"/>
      <c r="J9" s="284"/>
      <c r="K9" s="284"/>
      <c r="M9" s="300"/>
      <c r="N9" s="300"/>
      <c r="O9" s="300"/>
      <c r="P9" s="300"/>
      <c r="Q9" s="300"/>
      <c r="R9" s="300"/>
      <c r="S9" s="300"/>
      <c r="T9" s="300"/>
      <c r="U9" s="300"/>
      <c r="V9" s="300"/>
      <c r="W9" s="300"/>
      <c r="X9" s="300"/>
      <c r="Y9" s="300"/>
      <c r="Z9" s="300"/>
      <c r="AA9" s="300"/>
    </row>
    <row r="10" spans="1:34" ht="15.75" thickBot="1">
      <c r="A10" s="952"/>
      <c r="B10" s="958"/>
      <c r="C10" s="958"/>
      <c r="D10" s="953"/>
      <c r="E10" s="953"/>
      <c r="F10" s="953"/>
      <c r="G10" s="953"/>
      <c r="H10" s="953"/>
      <c r="I10" s="953"/>
      <c r="J10" s="284"/>
      <c r="K10" s="284"/>
      <c r="M10" s="300"/>
      <c r="N10" s="300"/>
      <c r="O10" s="300"/>
      <c r="P10" s="300"/>
      <c r="Q10" s="300"/>
      <c r="R10" s="300"/>
      <c r="S10" s="300"/>
      <c r="T10" s="300"/>
      <c r="U10" s="300"/>
      <c r="V10" s="300"/>
      <c r="W10" s="300"/>
      <c r="X10" s="300"/>
      <c r="Y10" s="300"/>
      <c r="Z10" s="300"/>
      <c r="AA10" s="300"/>
    </row>
    <row r="11" spans="1:34" ht="15.75" thickBot="1">
      <c r="A11" s="959" t="s">
        <v>704</v>
      </c>
      <c r="B11" s="956">
        <f>Summary!F20</f>
        <v>20</v>
      </c>
      <c r="C11" s="957"/>
      <c r="D11" s="953"/>
      <c r="E11" s="953"/>
      <c r="F11" s="953"/>
      <c r="G11" s="953"/>
      <c r="H11" s="953"/>
      <c r="I11" s="953"/>
      <c r="J11" s="284"/>
      <c r="K11" s="284"/>
      <c r="M11" s="300"/>
      <c r="N11" s="300"/>
      <c r="O11" s="300"/>
      <c r="P11" s="300"/>
      <c r="Q11" s="300"/>
      <c r="R11" s="300"/>
      <c r="S11" s="300"/>
      <c r="T11" s="300"/>
      <c r="U11" s="300"/>
      <c r="V11" s="300"/>
      <c r="W11" s="300"/>
      <c r="X11" s="300"/>
      <c r="Y11" s="300"/>
      <c r="Z11" s="300"/>
      <c r="AA11" s="300"/>
      <c r="AC11" s="960"/>
      <c r="AD11" s="960"/>
      <c r="AE11" s="960"/>
      <c r="AF11" s="960"/>
      <c r="AG11" s="960"/>
      <c r="AH11" s="960"/>
    </row>
    <row r="12" spans="1:34" ht="15.75" thickBot="1">
      <c r="A12" s="952"/>
      <c r="C12" s="1360" t="str">
        <f>IF(OR(AND(C15=0,C14&gt;0,C16&gt;0),AND(C16=0,C17&gt;0,C15&gt;0),AND(C15=0,C16=0,C14&gt;0,C17&gt;0)),"Warning! Gap in Ground Model","")</f>
        <v/>
      </c>
      <c r="D12" s="1360"/>
      <c r="E12" s="1360"/>
      <c r="F12" s="1360"/>
      <c r="G12" s="953"/>
      <c r="H12" s="953"/>
      <c r="I12" s="953"/>
      <c r="J12" s="284"/>
      <c r="K12" s="284"/>
      <c r="M12" s="300"/>
      <c r="N12" s="300"/>
      <c r="O12" s="300"/>
      <c r="P12" s="300"/>
      <c r="Q12" s="300"/>
      <c r="R12" s="300"/>
      <c r="S12" s="300"/>
      <c r="T12" s="300"/>
      <c r="U12" s="300"/>
      <c r="V12" s="300"/>
      <c r="W12" s="300"/>
      <c r="X12" s="300"/>
      <c r="Y12" s="300"/>
      <c r="Z12" s="300"/>
      <c r="AA12" s="300"/>
    </row>
    <row r="13" spans="1:34" ht="35.450000000000003" customHeight="1" thickBot="1">
      <c r="A13" s="952"/>
      <c r="B13" s="961" t="s">
        <v>43</v>
      </c>
      <c r="C13" s="961" t="s">
        <v>44</v>
      </c>
      <c r="D13" s="962" t="s">
        <v>705</v>
      </c>
      <c r="E13" s="963" t="str">
        <f>IF(OR(D14="Yes",D15="Yes",D16="Yes",D17="Yes"), "Undrained Shear Strength at Top of Stratum","")&amp; IF(OR(D14="Yes",D15="Yes",D16="Yes",D17="Yes"), " (kN/m2)","")</f>
        <v/>
      </c>
      <c r="F13" s="962" t="str">
        <f>IF(OR(D14="Yes",D15="Yes",D16="Yes",D17="Yes"), "Undrained Shear Strength Gradient with Depth","")&amp;IF(OR(D14="Yes",D15="Yes",D16="Yes",D17="Yes"), " (kN/m3)","")</f>
        <v/>
      </c>
      <c r="G13" s="953"/>
      <c r="H13" s="953"/>
      <c r="I13" s="953"/>
      <c r="J13" s="284"/>
      <c r="K13" s="284"/>
      <c r="M13" s="300"/>
      <c r="N13" s="300"/>
      <c r="O13" s="300"/>
      <c r="P13" s="300"/>
      <c r="Q13" s="300"/>
      <c r="R13" s="300"/>
      <c r="S13" s="300"/>
      <c r="T13" s="300"/>
      <c r="U13" s="300"/>
      <c r="V13" s="300"/>
      <c r="W13" s="300"/>
      <c r="X13" s="300"/>
      <c r="Y13" s="300"/>
      <c r="Z13" s="300"/>
      <c r="AA13" s="300"/>
    </row>
    <row r="14" spans="1:34" ht="15.75" thickBot="1">
      <c r="A14" s="450" t="s">
        <v>46</v>
      </c>
      <c r="B14" s="964" t="str">
        <f>Summary!F14</f>
        <v>Loose Sand/Gravel</v>
      </c>
      <c r="C14" s="965">
        <f>Summary!G14</f>
        <v>6</v>
      </c>
      <c r="D14" s="966" t="str">
        <f>IF(B14="None",0,"No")</f>
        <v>No</v>
      </c>
      <c r="E14" s="967">
        <f>Summary!L19</f>
        <v>0</v>
      </c>
      <c r="F14" s="968" t="e">
        <f>Summary!#REF!</f>
        <v>#REF!</v>
      </c>
      <c r="G14" s="969" t="e">
        <f>IF(AND(D14="Yes",E14&gt;0,F14&gt;0),"Linear Stength Increase Selected",IF(AND(E14&gt;0,F14=0),"Constant Strength Selected",""))</f>
        <v>#REF!</v>
      </c>
      <c r="H14" s="953"/>
      <c r="I14" s="953"/>
      <c r="J14" s="284"/>
      <c r="K14" s="284"/>
      <c r="M14" s="300"/>
      <c r="N14" s="300"/>
      <c r="O14" s="300"/>
      <c r="P14" s="300"/>
      <c r="Q14" s="300"/>
      <c r="R14" s="300"/>
      <c r="S14" s="300"/>
      <c r="T14" s="300"/>
      <c r="U14" s="300"/>
      <c r="V14" s="300"/>
      <c r="W14" s="300"/>
      <c r="X14" s="300"/>
      <c r="Y14" s="300"/>
      <c r="Z14" s="300"/>
      <c r="AA14" s="300"/>
    </row>
    <row r="15" spans="1:34" ht="15.75" thickBot="1">
      <c r="A15" s="450" t="s">
        <v>51</v>
      </c>
      <c r="B15" s="964" t="str">
        <f>Summary!F15</f>
        <v>Firm Clay</v>
      </c>
      <c r="C15" s="966">
        <f>Summary!G15</f>
        <v>6</v>
      </c>
      <c r="D15" s="966" t="str">
        <f t="shared" ref="D15:D17" si="0">IF(B15="None",0,"No")</f>
        <v>No</v>
      </c>
      <c r="E15" s="967">
        <f>Summary!L20</f>
        <v>0</v>
      </c>
      <c r="F15" s="968">
        <f>Summary!N20</f>
        <v>0</v>
      </c>
      <c r="G15" s="969" t="str">
        <f t="shared" ref="G15:G17" si="1">IF(AND(D15="Yes",E15&gt;0,F15&gt;0),"Linear Stength Increase Selected",IF(AND(E15&gt;0,F15=0),"Constant Strength Selected",""))</f>
        <v/>
      </c>
      <c r="H15" s="953"/>
      <c r="I15" s="953"/>
      <c r="J15" s="284"/>
      <c r="K15" s="300"/>
      <c r="L15" s="300"/>
      <c r="M15" s="300"/>
      <c r="N15" s="300"/>
      <c r="O15" s="300"/>
      <c r="P15" s="300"/>
      <c r="Q15" s="300"/>
      <c r="R15" s="300"/>
      <c r="S15" s="300"/>
      <c r="T15" s="300"/>
      <c r="U15" s="300"/>
      <c r="V15" s="300"/>
      <c r="W15" s="300"/>
      <c r="X15" s="300"/>
      <c r="Y15" s="300"/>
      <c r="Z15" s="300"/>
      <c r="AA15" s="300"/>
    </row>
    <row r="16" spans="1:34" ht="15.75" thickBot="1">
      <c r="A16" s="450" t="s">
        <v>55</v>
      </c>
      <c r="B16" s="964" t="str">
        <f>Summary!F16</f>
        <v>Medium Sand/Gravel</v>
      </c>
      <c r="C16" s="966">
        <f>Summary!G16</f>
        <v>30</v>
      </c>
      <c r="D16" s="966" t="str">
        <f t="shared" si="0"/>
        <v>No</v>
      </c>
      <c r="E16" s="967" t="e">
        <f>Summary!#REF!</f>
        <v>#REF!</v>
      </c>
      <c r="F16" s="968" t="e">
        <f>Summary!#REF!</f>
        <v>#REF!</v>
      </c>
      <c r="G16" s="969" t="e">
        <f t="shared" si="1"/>
        <v>#REF!</v>
      </c>
      <c r="H16" s="953"/>
      <c r="I16" s="957"/>
      <c r="J16" s="300"/>
      <c r="K16" s="300"/>
      <c r="L16" s="300"/>
      <c r="M16" s="300"/>
      <c r="N16" s="300"/>
      <c r="O16" s="300"/>
      <c r="P16" s="300"/>
      <c r="Q16" s="300"/>
      <c r="R16" s="300"/>
      <c r="S16" s="300"/>
      <c r="T16" s="300"/>
      <c r="U16" s="300"/>
      <c r="V16" s="300"/>
      <c r="W16" s="300"/>
      <c r="X16" s="300"/>
      <c r="Y16" s="300"/>
      <c r="Z16" s="300"/>
      <c r="AA16" s="300"/>
    </row>
    <row r="17" spans="1:28" ht="15.75" thickBot="1">
      <c r="A17" s="450" t="s">
        <v>60</v>
      </c>
      <c r="B17" s="964" t="str">
        <f>Summary!F17</f>
        <v>Medium Density Chalk</v>
      </c>
      <c r="C17" s="966">
        <f>Summary!G17</f>
        <v>6</v>
      </c>
      <c r="D17" s="966" t="str">
        <f t="shared" si="0"/>
        <v>No</v>
      </c>
      <c r="E17" s="967" t="e">
        <f>Summary!#REF!</f>
        <v>#REF!</v>
      </c>
      <c r="F17" s="968" t="e">
        <f>Summary!#REF!</f>
        <v>#REF!</v>
      </c>
      <c r="G17" s="969" t="e">
        <f t="shared" si="1"/>
        <v>#REF!</v>
      </c>
      <c r="H17" s="953"/>
      <c r="I17" s="970"/>
      <c r="J17" s="971"/>
      <c r="K17" s="971"/>
      <c r="L17" s="971"/>
      <c r="M17" s="300"/>
      <c r="N17" s="300"/>
      <c r="O17" s="300"/>
      <c r="P17" s="300"/>
      <c r="Q17" s="300"/>
      <c r="R17" s="300"/>
      <c r="S17" s="300"/>
      <c r="T17" s="300"/>
      <c r="U17" s="300"/>
      <c r="V17" s="300"/>
      <c r="W17" s="300"/>
      <c r="X17" s="300"/>
      <c r="Y17" s="300"/>
      <c r="Z17" s="300"/>
      <c r="AA17" s="300"/>
    </row>
    <row r="18" spans="1:28">
      <c r="A18" s="972" t="s">
        <v>706</v>
      </c>
      <c r="B18" s="953"/>
      <c r="C18" s="953"/>
      <c r="D18" s="953"/>
      <c r="E18" s="953"/>
      <c r="F18" s="953"/>
      <c r="G18" s="953"/>
      <c r="H18" s="953"/>
      <c r="I18" s="970"/>
      <c r="J18" s="971"/>
      <c r="K18" s="971"/>
      <c r="L18" s="971"/>
      <c r="M18" s="300"/>
      <c r="N18" s="300"/>
      <c r="O18" s="300"/>
      <c r="P18" s="300"/>
      <c r="Q18" s="300"/>
      <c r="R18" s="300"/>
      <c r="S18" s="300"/>
      <c r="T18" s="300"/>
      <c r="U18" s="300"/>
      <c r="V18" s="300"/>
      <c r="W18" s="300"/>
      <c r="X18" s="300"/>
      <c r="Y18" s="300"/>
      <c r="Z18" s="300"/>
      <c r="AA18" s="300"/>
    </row>
    <row r="19" spans="1:28">
      <c r="A19" s="973" t="s">
        <v>707</v>
      </c>
      <c r="B19" s="974"/>
      <c r="C19" s="974"/>
      <c r="D19" s="974"/>
      <c r="E19" s="957"/>
      <c r="F19" s="953"/>
      <c r="G19" s="953"/>
      <c r="H19" s="953"/>
      <c r="I19" s="957"/>
      <c r="J19" s="300"/>
      <c r="K19" s="300"/>
      <c r="L19" s="300"/>
      <c r="M19" s="300"/>
      <c r="N19" s="300"/>
      <c r="O19" s="300"/>
      <c r="P19" s="300"/>
      <c r="Q19" s="300"/>
      <c r="R19" s="300"/>
      <c r="S19" s="300"/>
      <c r="T19" s="300"/>
      <c r="U19" s="300"/>
      <c r="V19" s="300"/>
      <c r="W19" s="300"/>
      <c r="X19" s="300"/>
      <c r="Y19" s="300"/>
      <c r="Z19" s="300"/>
      <c r="AA19" s="300"/>
    </row>
    <row r="20" spans="1:28">
      <c r="A20" s="610"/>
      <c r="B20" s="975"/>
      <c r="C20" s="975"/>
      <c r="D20" s="975"/>
      <c r="E20" s="970"/>
      <c r="F20" s="953"/>
      <c r="G20" s="953"/>
      <c r="H20" s="953"/>
      <c r="I20" s="957"/>
      <c r="J20" s="300"/>
      <c r="K20" s="300"/>
      <c r="L20" s="300"/>
      <c r="M20" s="300"/>
      <c r="N20" s="300"/>
      <c r="O20" s="300"/>
      <c r="P20" s="300"/>
      <c r="Q20" s="300"/>
      <c r="R20" s="300"/>
      <c r="S20" s="300"/>
      <c r="T20" s="300"/>
      <c r="U20" s="300"/>
      <c r="V20" s="300"/>
      <c r="W20" s="300"/>
      <c r="X20" s="300"/>
      <c r="Y20" s="300"/>
      <c r="Z20" s="300"/>
      <c r="AA20" s="300"/>
    </row>
    <row r="21" spans="1:28">
      <c r="A21" s="952"/>
      <c r="B21" s="953"/>
      <c r="C21" s="953"/>
      <c r="D21" s="953"/>
      <c r="E21" s="970"/>
      <c r="F21" s="953"/>
      <c r="G21" s="953"/>
      <c r="H21" s="953"/>
      <c r="I21" s="957"/>
      <c r="J21" s="300"/>
      <c r="K21" s="300"/>
      <c r="L21" s="300"/>
      <c r="M21" s="300"/>
      <c r="N21" s="300"/>
      <c r="O21" s="300"/>
      <c r="P21" s="300"/>
      <c r="Q21" s="300"/>
      <c r="R21" s="300"/>
      <c r="S21" s="300"/>
      <c r="T21" s="300"/>
      <c r="U21" s="300"/>
      <c r="V21" s="300"/>
      <c r="W21" s="300"/>
      <c r="X21" s="300"/>
      <c r="Y21" s="300"/>
      <c r="Z21" s="300"/>
      <c r="AA21" s="300"/>
    </row>
    <row r="22" spans="1:28" ht="15.75" thickBot="1">
      <c r="A22" s="952"/>
      <c r="B22" s="953"/>
      <c r="C22" s="953"/>
      <c r="D22" s="976"/>
      <c r="E22" s="957"/>
      <c r="F22" s="953"/>
      <c r="G22" s="953"/>
      <c r="H22" s="953"/>
      <c r="I22" s="977"/>
      <c r="J22" s="300"/>
      <c r="K22" s="300"/>
      <c r="L22" s="300"/>
      <c r="M22" s="300"/>
      <c r="N22" s="300"/>
      <c r="O22" s="300"/>
      <c r="P22" s="300"/>
      <c r="Q22" s="300"/>
      <c r="R22" s="300"/>
      <c r="S22" s="300"/>
      <c r="T22" s="300"/>
      <c r="U22" s="300"/>
      <c r="V22" s="300"/>
      <c r="W22" s="300"/>
      <c r="X22" s="300"/>
      <c r="Y22" s="300"/>
      <c r="Z22" s="300"/>
      <c r="AA22" s="300"/>
    </row>
    <row r="23" spans="1:28">
      <c r="A23" s="1354" t="s">
        <v>708</v>
      </c>
      <c r="B23" s="1361"/>
      <c r="C23" s="1361"/>
      <c r="D23" s="1361"/>
      <c r="E23" s="1361"/>
      <c r="F23" s="1361"/>
      <c r="G23" s="1361"/>
      <c r="H23" s="1361"/>
      <c r="I23" s="1362"/>
      <c r="J23" s="300"/>
      <c r="K23" s="300"/>
      <c r="L23" s="300"/>
      <c r="M23" s="300"/>
      <c r="N23" s="300"/>
      <c r="O23" s="300"/>
      <c r="P23" s="300"/>
      <c r="Q23" s="300"/>
      <c r="R23" s="300"/>
      <c r="S23" s="300"/>
      <c r="T23" s="300"/>
      <c r="U23" s="300"/>
      <c r="V23" s="300"/>
      <c r="W23" s="300"/>
      <c r="X23" s="300"/>
      <c r="Y23" s="300"/>
      <c r="Z23" s="300"/>
      <c r="AA23" s="300"/>
    </row>
    <row r="24" spans="1:28" ht="15" thickBot="1">
      <c r="A24" s="1363"/>
      <c r="B24" s="1364"/>
      <c r="C24" s="1364"/>
      <c r="D24" s="1364"/>
      <c r="E24" s="1364"/>
      <c r="F24" s="1364"/>
      <c r="G24" s="1364"/>
      <c r="H24" s="1364"/>
      <c r="I24" s="1365"/>
      <c r="J24" s="300"/>
      <c r="K24" s="300"/>
      <c r="L24" s="300"/>
      <c r="M24" s="300"/>
      <c r="N24" s="300"/>
      <c r="O24" s="300"/>
      <c r="P24" s="300"/>
      <c r="Q24" s="300"/>
      <c r="R24" s="300"/>
      <c r="S24" s="300"/>
      <c r="T24" s="300"/>
      <c r="U24" s="300"/>
      <c r="V24" s="300"/>
      <c r="W24" s="300"/>
      <c r="X24" s="300"/>
      <c r="Y24" s="300"/>
      <c r="Z24" s="300"/>
      <c r="AA24" s="300"/>
    </row>
    <row r="25" spans="1:28" ht="15" thickBot="1">
      <c r="A25" s="952"/>
      <c r="B25" s="953"/>
      <c r="C25" s="953"/>
      <c r="D25" s="957"/>
      <c r="E25" s="957"/>
      <c r="F25" s="953"/>
      <c r="G25" s="953"/>
      <c r="H25" s="953"/>
      <c r="I25" s="978"/>
      <c r="J25" s="300"/>
      <c r="K25" s="300"/>
      <c r="L25" s="300"/>
      <c r="M25" s="300"/>
      <c r="N25" s="300"/>
      <c r="O25" s="300"/>
      <c r="P25" s="300"/>
      <c r="Q25" s="300"/>
      <c r="R25" s="300"/>
      <c r="S25" s="300"/>
      <c r="T25" s="300"/>
      <c r="U25" s="300"/>
      <c r="V25" s="300"/>
      <c r="W25" s="300"/>
      <c r="X25" s="300"/>
      <c r="Y25" s="300"/>
      <c r="Z25" s="300"/>
      <c r="AA25" s="300"/>
    </row>
    <row r="26" spans="1:28" ht="16.5" thickBot="1">
      <c r="A26" s="979" t="s">
        <v>709</v>
      </c>
      <c r="B26" s="980"/>
      <c r="C26" s="953"/>
      <c r="D26" s="981" t="s">
        <v>710</v>
      </c>
      <c r="E26" s="982"/>
      <c r="F26" s="953"/>
      <c r="G26" s="953"/>
      <c r="H26" s="953"/>
      <c r="I26" s="957"/>
      <c r="J26" s="300"/>
      <c r="K26" s="300"/>
      <c r="L26" s="300"/>
      <c r="M26" s="300"/>
      <c r="N26" s="300"/>
      <c r="O26" s="300"/>
      <c r="P26" s="300"/>
      <c r="Q26" s="300"/>
      <c r="R26" s="300"/>
      <c r="S26" s="300"/>
      <c r="T26" s="300"/>
      <c r="U26" s="300"/>
      <c r="V26" s="300"/>
      <c r="W26" s="300"/>
      <c r="X26" s="300"/>
      <c r="Y26" s="300"/>
      <c r="Z26" s="300"/>
      <c r="AA26" s="300"/>
    </row>
    <row r="27" spans="1:28" ht="15" thickBot="1">
      <c r="A27" s="983" t="s">
        <v>711</v>
      </c>
      <c r="B27" s="984">
        <f>MAX(Summary!D15:D16)</f>
        <v>60</v>
      </c>
      <c r="C27" s="953"/>
      <c r="D27" s="985" t="s">
        <v>712</v>
      </c>
      <c r="E27" s="986">
        <v>2</v>
      </c>
      <c r="F27" s="953"/>
      <c r="G27" s="953"/>
      <c r="H27" s="953"/>
      <c r="I27" s="957"/>
      <c r="J27" s="300"/>
      <c r="K27" s="300"/>
      <c r="L27" s="300"/>
      <c r="M27" s="300"/>
      <c r="N27" s="300"/>
      <c r="O27" s="300"/>
      <c r="P27" s="300"/>
      <c r="Q27" s="300"/>
      <c r="R27" s="300"/>
      <c r="S27" s="300"/>
      <c r="T27" s="300"/>
      <c r="U27" s="300"/>
      <c r="V27" s="300"/>
      <c r="W27" s="300"/>
      <c r="X27" s="300"/>
      <c r="Y27" s="300"/>
      <c r="Z27" s="300"/>
      <c r="AA27" s="300"/>
    </row>
    <row r="28" spans="1:28" ht="15" thickBot="1">
      <c r="A28" s="985" t="s">
        <v>713</v>
      </c>
      <c r="B28" s="986">
        <f>MIN(Summary!D15:D16)</f>
        <v>48</v>
      </c>
      <c r="C28" s="953"/>
      <c r="D28" s="985" t="s">
        <v>714</v>
      </c>
      <c r="E28" s="986">
        <v>1.5</v>
      </c>
      <c r="F28" s="953"/>
      <c r="G28" s="953"/>
      <c r="H28" s="953"/>
      <c r="I28" s="957"/>
      <c r="J28" s="300"/>
      <c r="K28" s="300"/>
      <c r="L28" s="300"/>
      <c r="M28" s="300"/>
      <c r="N28" s="300"/>
      <c r="O28" s="300"/>
      <c r="P28" s="300"/>
      <c r="Q28" s="300"/>
      <c r="R28" s="300"/>
      <c r="S28" s="300"/>
      <c r="T28" s="300"/>
      <c r="U28" s="300"/>
      <c r="V28" s="300"/>
      <c r="W28" s="300"/>
      <c r="X28" s="300"/>
      <c r="Y28" s="300"/>
      <c r="Z28" s="300"/>
      <c r="AA28" s="300"/>
      <c r="AB28" s="960"/>
    </row>
    <row r="29" spans="1:28" ht="15" thickBot="1">
      <c r="C29" s="953"/>
      <c r="F29" s="953"/>
      <c r="G29" s="953"/>
      <c r="H29" s="953"/>
      <c r="I29" s="957"/>
      <c r="J29" s="300"/>
      <c r="K29" s="300"/>
      <c r="L29" s="300"/>
      <c r="M29" s="300"/>
      <c r="N29" s="300"/>
      <c r="O29" s="300"/>
      <c r="P29" s="300"/>
      <c r="Q29" s="300"/>
      <c r="R29" s="300"/>
      <c r="S29" s="300"/>
      <c r="T29" s="300"/>
      <c r="U29" s="300"/>
      <c r="V29" s="300"/>
      <c r="W29" s="300"/>
      <c r="X29" s="300"/>
      <c r="Y29" s="300"/>
      <c r="Z29" s="300"/>
      <c r="AA29" s="300"/>
    </row>
    <row r="30" spans="1:28" ht="16.5" thickBot="1">
      <c r="A30" s="981" t="s">
        <v>715</v>
      </c>
      <c r="B30" s="982"/>
      <c r="C30" s="953"/>
      <c r="D30" s="979" t="s">
        <v>716</v>
      </c>
      <c r="E30" s="987"/>
      <c r="F30" s="953"/>
      <c r="G30" s="953"/>
      <c r="H30" s="953"/>
      <c r="I30" s="957"/>
      <c r="J30" s="300"/>
      <c r="K30" s="300"/>
      <c r="L30" s="300"/>
      <c r="M30" s="300"/>
      <c r="N30" s="300"/>
      <c r="O30" s="300"/>
      <c r="P30" s="300"/>
      <c r="Q30" s="300"/>
      <c r="R30" s="300"/>
      <c r="S30" s="300"/>
      <c r="T30" s="300"/>
      <c r="U30" s="300"/>
      <c r="V30" s="300"/>
      <c r="W30" s="300"/>
      <c r="X30" s="300"/>
      <c r="Y30" s="300"/>
      <c r="Z30" s="300"/>
      <c r="AA30" s="300"/>
    </row>
    <row r="31" spans="1:28" ht="15" thickBot="1">
      <c r="A31" s="988" t="s">
        <v>45</v>
      </c>
      <c r="B31" s="986" t="str">
        <f>Summary!J13</f>
        <v>No</v>
      </c>
      <c r="C31" s="953"/>
      <c r="D31" s="989" t="s">
        <v>717</v>
      </c>
      <c r="E31" s="984" t="s">
        <v>28</v>
      </c>
      <c r="F31" s="957"/>
      <c r="G31" s="953"/>
      <c r="H31" s="957"/>
      <c r="I31" s="957"/>
      <c r="J31" s="632"/>
      <c r="K31" s="300"/>
      <c r="L31" s="300"/>
      <c r="M31" s="300"/>
      <c r="N31" s="300"/>
      <c r="O31" s="300"/>
      <c r="P31" s="300"/>
      <c r="Q31" s="300"/>
      <c r="R31" s="300"/>
      <c r="S31" s="300"/>
      <c r="T31" s="300"/>
      <c r="U31" s="300"/>
      <c r="V31" s="300"/>
      <c r="W31" s="300"/>
      <c r="X31" s="300"/>
      <c r="Y31" s="300"/>
      <c r="Z31" s="300"/>
      <c r="AA31" s="300"/>
    </row>
    <row r="32" spans="1:28" ht="15" thickBot="1">
      <c r="A32" s="990" t="s">
        <v>718</v>
      </c>
      <c r="B32" s="986">
        <f>Summary!L14</f>
        <v>0</v>
      </c>
      <c r="C32" s="953"/>
      <c r="D32" s="991" t="s">
        <v>719</v>
      </c>
      <c r="E32" s="984" t="str">
        <f>Summary!F8</f>
        <v>All Types</v>
      </c>
      <c r="F32" s="957"/>
      <c r="G32" s="953"/>
      <c r="H32" s="957"/>
      <c r="I32" s="957"/>
      <c r="J32" s="632"/>
      <c r="K32" s="300"/>
      <c r="L32" s="300"/>
      <c r="M32" s="300"/>
      <c r="N32" s="300"/>
      <c r="O32" s="300"/>
      <c r="P32" s="300"/>
      <c r="Q32" s="300"/>
      <c r="R32" s="300"/>
      <c r="S32" s="300"/>
      <c r="T32" s="300"/>
      <c r="U32" s="300"/>
      <c r="V32" s="300"/>
      <c r="W32" s="300"/>
      <c r="X32" s="300"/>
      <c r="Y32" s="300"/>
      <c r="Z32" s="300"/>
      <c r="AA32" s="300"/>
    </row>
    <row r="33" spans="1:27" ht="15" thickBot="1">
      <c r="A33" s="985" t="s">
        <v>720</v>
      </c>
      <c r="B33" s="986" t="str">
        <f>Summary!J15</f>
        <v>No</v>
      </c>
      <c r="C33" s="953"/>
      <c r="D33" s="992" t="s">
        <v>721</v>
      </c>
      <c r="E33" s="984" t="str">
        <f>LEFT(Summary!F9,6)</f>
        <v>C32/40</v>
      </c>
      <c r="F33" s="957"/>
      <c r="G33" s="953"/>
      <c r="H33" s="957"/>
      <c r="I33" s="957"/>
      <c r="J33" s="300"/>
      <c r="K33" s="300"/>
      <c r="L33" s="300"/>
      <c r="M33" s="300"/>
      <c r="N33" s="300"/>
      <c r="O33" s="300"/>
      <c r="P33" s="300"/>
      <c r="Q33" s="300"/>
      <c r="R33" s="300"/>
      <c r="S33" s="300"/>
      <c r="T33" s="300"/>
      <c r="U33" s="300"/>
      <c r="V33" s="300"/>
      <c r="W33" s="300"/>
      <c r="X33" s="300"/>
      <c r="Y33" s="300"/>
      <c r="Z33" s="300"/>
      <c r="AA33" s="300"/>
    </row>
    <row r="34" spans="1:27" ht="15" thickBot="1">
      <c r="A34" s="983" t="s">
        <v>722</v>
      </c>
      <c r="B34" s="986">
        <f>Summary!J16</f>
        <v>600</v>
      </c>
      <c r="C34" s="953"/>
      <c r="D34" s="953"/>
      <c r="E34" s="953"/>
      <c r="F34" s="957"/>
      <c r="G34" s="957"/>
      <c r="H34" s="957"/>
      <c r="I34" s="957"/>
      <c r="J34" s="300"/>
      <c r="K34" s="300"/>
      <c r="L34" s="300"/>
      <c r="M34" s="300"/>
      <c r="N34" s="300"/>
      <c r="O34" s="300"/>
      <c r="P34" s="300"/>
      <c r="Q34" s="300"/>
      <c r="R34" s="300"/>
      <c r="S34" s="300"/>
      <c r="T34" s="300"/>
      <c r="U34" s="300"/>
      <c r="V34" s="300"/>
      <c r="W34" s="300"/>
      <c r="X34" s="300"/>
      <c r="Y34" s="300"/>
      <c r="Z34" s="300"/>
      <c r="AA34" s="300"/>
    </row>
    <row r="35" spans="1:27">
      <c r="A35" s="953"/>
      <c r="B35" s="953"/>
      <c r="C35" s="953"/>
      <c r="D35" s="953"/>
      <c r="E35" s="953"/>
      <c r="F35" s="957"/>
      <c r="G35" s="957"/>
      <c r="H35" s="957"/>
      <c r="I35" s="957"/>
      <c r="J35" s="300"/>
      <c r="K35" s="300"/>
      <c r="L35" s="300"/>
      <c r="M35" s="300"/>
      <c r="N35" s="300"/>
      <c r="O35" s="300"/>
      <c r="P35" s="300"/>
      <c r="Q35" s="300"/>
      <c r="R35" s="300"/>
      <c r="S35" s="300"/>
      <c r="T35" s="300"/>
      <c r="U35" s="300"/>
      <c r="V35" s="300"/>
      <c r="W35" s="300"/>
      <c r="X35" s="300"/>
      <c r="Y35" s="300"/>
      <c r="Z35" s="300"/>
      <c r="AA35" s="300"/>
    </row>
    <row r="36" spans="1:27" ht="15" thickBot="1">
      <c r="A36" s="953" t="str">
        <f>Database!D17</f>
        <v>RC Flat Slab</v>
      </c>
      <c r="B36" s="953"/>
      <c r="C36" s="953"/>
      <c r="D36" s="953"/>
      <c r="E36" s="953"/>
      <c r="F36" s="957"/>
      <c r="G36" s="957"/>
      <c r="H36" s="957"/>
      <c r="I36" s="977"/>
      <c r="J36" s="300"/>
      <c r="K36" s="300"/>
      <c r="L36" s="300"/>
      <c r="M36" s="300"/>
      <c r="N36" s="300"/>
      <c r="O36" s="300"/>
      <c r="P36" s="300"/>
      <c r="Q36" s="300"/>
      <c r="R36" s="300"/>
      <c r="S36" s="300"/>
      <c r="T36" s="300"/>
      <c r="U36" s="300"/>
      <c r="V36" s="300"/>
      <c r="W36" s="300"/>
      <c r="X36" s="300"/>
      <c r="Y36" s="300"/>
      <c r="Z36" s="300"/>
      <c r="AA36" s="300"/>
    </row>
    <row r="37" spans="1:27" ht="16.5" thickBot="1">
      <c r="A37" s="979" t="s">
        <v>723</v>
      </c>
      <c r="B37" s="993"/>
      <c r="C37" s="993"/>
      <c r="D37" s="993"/>
      <c r="E37" s="994"/>
      <c r="F37" s="994"/>
      <c r="G37" s="982"/>
      <c r="H37" s="1345" t="s">
        <v>724</v>
      </c>
      <c r="I37" s="1346"/>
      <c r="J37" s="1346"/>
      <c r="K37" s="1347"/>
      <c r="L37" s="995"/>
      <c r="M37" s="995"/>
      <c r="N37" s="995"/>
      <c r="O37" s="995"/>
      <c r="P37" s="995"/>
      <c r="Q37" s="995"/>
      <c r="R37" s="995"/>
      <c r="S37" s="995"/>
      <c r="T37" s="995"/>
      <c r="U37" s="995"/>
      <c r="V37" s="995"/>
      <c r="W37" s="300"/>
      <c r="X37" s="995"/>
      <c r="Y37" s="995"/>
      <c r="Z37" s="995"/>
      <c r="AA37" s="300"/>
    </row>
    <row r="38" spans="1:27" ht="15.75" thickBot="1">
      <c r="A38" s="996" t="s">
        <v>725</v>
      </c>
      <c r="B38" s="997" t="s">
        <v>726</v>
      </c>
      <c r="C38" s="998" t="s">
        <v>727</v>
      </c>
      <c r="D38" s="996" t="s">
        <v>728</v>
      </c>
      <c r="E38" s="999" t="s">
        <v>729</v>
      </c>
      <c r="F38" s="996" t="s">
        <v>724</v>
      </c>
      <c r="G38" s="1000" t="s">
        <v>730</v>
      </c>
      <c r="H38" s="1000" t="s">
        <v>731</v>
      </c>
      <c r="I38" s="1000" t="s">
        <v>732</v>
      </c>
      <c r="J38" s="1000" t="s">
        <v>733</v>
      </c>
      <c r="K38" s="1000" t="s">
        <v>734</v>
      </c>
      <c r="L38" s="300"/>
      <c r="M38" s="300"/>
      <c r="N38" s="300"/>
      <c r="O38" s="300"/>
      <c r="P38" s="300"/>
      <c r="Q38" s="300"/>
      <c r="R38" s="300"/>
      <c r="S38" s="300"/>
      <c r="T38" s="300"/>
      <c r="U38" s="300"/>
      <c r="V38" s="300"/>
      <c r="W38" s="300"/>
      <c r="X38" s="300"/>
      <c r="Y38" s="300"/>
      <c r="Z38" s="300"/>
      <c r="AA38" s="300"/>
    </row>
    <row r="39" spans="1:27" ht="15" thickBot="1">
      <c r="A39" s="1001" t="s">
        <v>735</v>
      </c>
      <c r="B39" s="1002">
        <f>Basement!D169</f>
        <v>482.75700000000001</v>
      </c>
      <c r="C39" s="1002">
        <f>Basement!E169</f>
        <v>180</v>
      </c>
      <c r="D39" s="986">
        <f>'RC Column'!I9</f>
        <v>63</v>
      </c>
      <c r="E39" s="1003">
        <f>B39*'Pile Data and Eurocode Factors'!$E$64+C39*'Pile Data and Eurocode Factors'!$E$66</f>
        <v>921.72195000000011</v>
      </c>
      <c r="F39" s="1004">
        <f>B39*'Pile Data and Eurocode Factors'!$F$64+C39*'Pile Data and Eurocode Factors'!$F$66</f>
        <v>716.75700000000006</v>
      </c>
      <c r="G39" s="982">
        <f>SUM(B39:C39)</f>
        <v>662.75700000000006</v>
      </c>
      <c r="H39" s="1004">
        <f>$F39/LEFT(H$38,1)</f>
        <v>716.75700000000006</v>
      </c>
      <c r="I39" s="1004">
        <f t="shared" ref="I39:K39" si="2">$F39/LEFT(I$38,1)</f>
        <v>358.37850000000003</v>
      </c>
      <c r="J39" s="1004">
        <f t="shared" si="2"/>
        <v>238.91900000000001</v>
      </c>
      <c r="K39" s="1004">
        <f t="shared" si="2"/>
        <v>179.18925000000002</v>
      </c>
      <c r="L39" s="300"/>
      <c r="M39" s="300"/>
      <c r="N39" s="300"/>
      <c r="O39" s="300"/>
      <c r="P39" s="300"/>
      <c r="Q39" s="300"/>
      <c r="R39" s="300"/>
      <c r="S39" s="300"/>
      <c r="T39" s="300"/>
      <c r="U39" s="300"/>
      <c r="V39" s="300"/>
      <c r="W39" s="300"/>
      <c r="X39" s="300"/>
      <c r="Y39" s="300"/>
      <c r="Z39" s="300"/>
      <c r="AA39" s="300"/>
    </row>
    <row r="40" spans="1:27" ht="15" thickBot="1">
      <c r="A40" s="1005" t="s">
        <v>736</v>
      </c>
      <c r="B40" s="1006">
        <f>Basement!G169</f>
        <v>384.88987500000002</v>
      </c>
      <c r="C40" s="1007">
        <f>Basement!H169</f>
        <v>180</v>
      </c>
      <c r="D40" s="1008">
        <f>'RC Column'!L9</f>
        <v>32</v>
      </c>
      <c r="E40" s="1009">
        <f>B40*'Pile Data and Eurocode Factors'!$E$64+C40*'Pile Data and Eurocode Factors'!$E$66</f>
        <v>789.60133125000004</v>
      </c>
      <c r="F40" s="1010">
        <f>B40*'Pile Data and Eurocode Factors'!$F$64+C40*'Pile Data and Eurocode Factors'!$F$66</f>
        <v>618.88987500000007</v>
      </c>
      <c r="G40" s="1004">
        <f>SUM(B40:C40)</f>
        <v>564.88987500000007</v>
      </c>
      <c r="H40" s="1004">
        <f t="shared" ref="H40:K41" si="3">$F40/LEFT(H$38,1)</f>
        <v>618.88987500000007</v>
      </c>
      <c r="I40" s="1004">
        <f t="shared" si="3"/>
        <v>309.44493750000004</v>
      </c>
      <c r="J40" s="1004">
        <f t="shared" si="3"/>
        <v>206.29662500000003</v>
      </c>
      <c r="K40" s="1004">
        <f t="shared" si="3"/>
        <v>154.72246875000002</v>
      </c>
      <c r="L40" s="300"/>
      <c r="M40" s="300"/>
      <c r="N40" s="300"/>
      <c r="O40" s="300"/>
      <c r="P40" s="300"/>
      <c r="Q40" s="300"/>
      <c r="R40" s="300"/>
      <c r="S40" s="300"/>
      <c r="T40" s="300"/>
      <c r="U40" s="300"/>
      <c r="V40" s="300"/>
      <c r="W40" s="300"/>
      <c r="X40" s="300"/>
      <c r="Y40" s="300"/>
      <c r="Z40" s="300"/>
      <c r="AA40" s="300"/>
    </row>
    <row r="41" spans="1:27" ht="15" thickBot="1">
      <c r="A41" s="1011" t="s">
        <v>737</v>
      </c>
      <c r="B41" s="1002">
        <f>Basement!J169</f>
        <v>264.68987500000003</v>
      </c>
      <c r="C41" s="1012">
        <f>Basement!K169</f>
        <v>90</v>
      </c>
      <c r="D41" s="986">
        <f>'RC Column'!O9</f>
        <v>4</v>
      </c>
      <c r="E41" s="1003">
        <f>B41*'Pile Data and Eurocode Factors'!$E$64+C41*'Pile Data and Eurocode Factors'!$E$66</f>
        <v>492.33133125000006</v>
      </c>
      <c r="F41" s="1004">
        <f>B41*'Pile Data and Eurocode Factors'!$F$64+C41*'Pile Data and Eurocode Factors'!$F$66</f>
        <v>381.68987500000003</v>
      </c>
      <c r="G41" s="982">
        <f>SUM(B41:C41)</f>
        <v>354.68987500000003</v>
      </c>
      <c r="H41" s="1004">
        <f t="shared" si="3"/>
        <v>381.68987500000003</v>
      </c>
      <c r="I41" s="1004">
        <f t="shared" si="3"/>
        <v>190.84493750000001</v>
      </c>
      <c r="J41" s="1004">
        <f t="shared" si="3"/>
        <v>127.22995833333334</v>
      </c>
      <c r="K41" s="1004">
        <f t="shared" si="3"/>
        <v>95.422468750000007</v>
      </c>
      <c r="L41" s="300"/>
      <c r="M41" s="300"/>
      <c r="N41" s="300"/>
      <c r="O41" s="300"/>
      <c r="P41" s="300"/>
      <c r="Q41" s="300"/>
      <c r="R41" s="300"/>
      <c r="S41" s="300"/>
      <c r="T41" s="300"/>
      <c r="U41" s="300"/>
      <c r="V41" s="300"/>
      <c r="W41" s="300"/>
      <c r="X41" s="300"/>
      <c r="Y41" s="300"/>
      <c r="Z41" s="300"/>
      <c r="AA41" s="300"/>
    </row>
    <row r="42" spans="1:27">
      <c r="A42" s="953"/>
      <c r="B42" s="953"/>
      <c r="C42" s="953"/>
      <c r="D42" s="953"/>
      <c r="E42" s="953"/>
      <c r="F42" s="953"/>
      <c r="G42" s="953"/>
      <c r="H42" s="1013"/>
      <c r="I42" s="1014"/>
      <c r="J42" s="1015"/>
      <c r="K42" s="1015"/>
      <c r="L42" s="300"/>
      <c r="M42" s="300"/>
      <c r="N42" s="300"/>
      <c r="O42" s="300"/>
      <c r="P42" s="300"/>
      <c r="Q42" s="300"/>
      <c r="R42" s="300"/>
      <c r="S42" s="300"/>
      <c r="T42" s="300"/>
      <c r="U42" s="300"/>
      <c r="V42" s="300"/>
      <c r="W42" s="300"/>
      <c r="X42" s="300"/>
      <c r="Y42" s="300"/>
      <c r="Z42" s="300"/>
      <c r="AA42" s="300"/>
    </row>
    <row r="43" spans="1:27" ht="15" thickBot="1">
      <c r="A43" s="953" t="str">
        <f>Database!D18</f>
        <v>PT RC Flat Slab</v>
      </c>
      <c r="B43" s="953"/>
      <c r="C43" s="953"/>
      <c r="D43" s="953"/>
      <c r="E43" s="953"/>
      <c r="F43" s="957"/>
      <c r="G43" s="957"/>
      <c r="H43" s="1013"/>
      <c r="I43" s="1016"/>
      <c r="J43" s="1015"/>
      <c r="K43" s="1015"/>
      <c r="L43" s="300"/>
      <c r="M43" s="300"/>
      <c r="N43" s="300"/>
      <c r="O43" s="300"/>
      <c r="P43" s="300"/>
      <c r="Q43" s="300"/>
      <c r="R43" s="300"/>
      <c r="S43" s="300"/>
      <c r="T43" s="300"/>
      <c r="U43" s="300"/>
      <c r="V43" s="300"/>
      <c r="W43" s="300"/>
      <c r="X43" s="300"/>
      <c r="Y43" s="300"/>
      <c r="Z43" s="300"/>
      <c r="AA43" s="300"/>
    </row>
    <row r="44" spans="1:27" ht="16.5" thickBot="1">
      <c r="A44" s="979" t="s">
        <v>723</v>
      </c>
      <c r="B44" s="993"/>
      <c r="C44" s="993"/>
      <c r="D44" s="993"/>
      <c r="E44" s="994"/>
      <c r="F44" s="994"/>
      <c r="G44" s="982"/>
      <c r="H44" s="1345" t="s">
        <v>724</v>
      </c>
      <c r="I44" s="1346"/>
      <c r="J44" s="1346"/>
      <c r="K44" s="1347"/>
      <c r="L44" s="300"/>
      <c r="M44" s="300"/>
      <c r="N44" s="300"/>
      <c r="O44" s="300"/>
      <c r="P44" s="300"/>
      <c r="Q44" s="300"/>
      <c r="R44" s="300"/>
      <c r="S44" s="300"/>
      <c r="T44" s="300"/>
      <c r="U44" s="300"/>
      <c r="V44" s="300"/>
      <c r="W44" s="300"/>
      <c r="X44" s="300"/>
      <c r="Y44" s="300"/>
      <c r="Z44" s="300"/>
      <c r="AA44" s="300"/>
    </row>
    <row r="45" spans="1:27" ht="15.75" thickBot="1">
      <c r="A45" s="996" t="s">
        <v>725</v>
      </c>
      <c r="B45" s="997" t="s">
        <v>738</v>
      </c>
      <c r="C45" s="998" t="s">
        <v>739</v>
      </c>
      <c r="D45" s="996" t="s">
        <v>728</v>
      </c>
      <c r="E45" s="999" t="s">
        <v>729</v>
      </c>
      <c r="F45" s="996" t="s">
        <v>724</v>
      </c>
      <c r="G45" s="1000" t="s">
        <v>730</v>
      </c>
      <c r="H45" s="1000" t="s">
        <v>731</v>
      </c>
      <c r="I45" s="1000" t="s">
        <v>732</v>
      </c>
      <c r="J45" s="1000" t="s">
        <v>733</v>
      </c>
      <c r="K45" s="1000" t="s">
        <v>734</v>
      </c>
    </row>
    <row r="46" spans="1:27" ht="15" thickBot="1">
      <c r="A46" s="1001" t="s">
        <v>735</v>
      </c>
      <c r="B46" s="1002">
        <f>Basement!D170</f>
        <v>462.95699999999999</v>
      </c>
      <c r="C46" s="1012">
        <f>Basement!E170</f>
        <v>180</v>
      </c>
      <c r="D46" s="986">
        <f>D39</f>
        <v>63</v>
      </c>
      <c r="E46" s="1003">
        <f>B46*'Pile Data and Eurocode Factors'!$E$64+C46*'Pile Data and Eurocode Factors'!$E$66</f>
        <v>894.99195000000009</v>
      </c>
      <c r="F46" s="1004">
        <f>B46*'Pile Data and Eurocode Factors'!$F$64+C46*'Pile Data and Eurocode Factors'!$F$66</f>
        <v>696.95699999999999</v>
      </c>
      <c r="G46" s="982">
        <f>SUM(B46:C46)</f>
        <v>642.95699999999999</v>
      </c>
      <c r="H46" s="1004">
        <f>$F46/LEFT(H$38,1)</f>
        <v>696.95699999999999</v>
      </c>
      <c r="I46" s="1004">
        <f t="shared" ref="I46:K46" si="4">$F46/LEFT(I$38,1)</f>
        <v>348.4785</v>
      </c>
      <c r="J46" s="1004">
        <f t="shared" si="4"/>
        <v>232.31899999999999</v>
      </c>
      <c r="K46" s="1004">
        <f t="shared" si="4"/>
        <v>174.23925</v>
      </c>
    </row>
    <row r="47" spans="1:27" ht="15" thickBot="1">
      <c r="A47" s="1005" t="s">
        <v>736</v>
      </c>
      <c r="B47" s="1006">
        <f>Basement!G170</f>
        <v>374.80987499999998</v>
      </c>
      <c r="C47" s="1007">
        <f>Basement!H170</f>
        <v>180</v>
      </c>
      <c r="D47" s="1008">
        <f>D40</f>
        <v>32</v>
      </c>
      <c r="E47" s="1009">
        <f>B47*'Pile Data and Eurocode Factors'!$E$64+C47*'Pile Data and Eurocode Factors'!$E$66</f>
        <v>775.99333124999998</v>
      </c>
      <c r="F47" s="1010">
        <f>B47*'Pile Data and Eurocode Factors'!$F$64+C47*'Pile Data and Eurocode Factors'!$F$66</f>
        <v>608.80987499999992</v>
      </c>
      <c r="G47" s="1004">
        <f>SUM(B47:C47)</f>
        <v>554.80987499999992</v>
      </c>
      <c r="H47" s="1004">
        <f t="shared" ref="H47:K48" si="5">$F47/LEFT(H$38,1)</f>
        <v>608.80987499999992</v>
      </c>
      <c r="I47" s="1004">
        <f t="shared" si="5"/>
        <v>304.40493749999996</v>
      </c>
      <c r="J47" s="1004">
        <f t="shared" si="5"/>
        <v>202.93662499999996</v>
      </c>
      <c r="K47" s="1004">
        <f t="shared" si="5"/>
        <v>152.20246874999998</v>
      </c>
    </row>
    <row r="48" spans="1:27" ht="15" thickBot="1">
      <c r="A48" s="1011" t="s">
        <v>737</v>
      </c>
      <c r="B48" s="1002">
        <f>Basement!J170</f>
        <v>259.56987500000002</v>
      </c>
      <c r="C48" s="1012">
        <f>Basement!K170</f>
        <v>90</v>
      </c>
      <c r="D48" s="986">
        <f>D41</f>
        <v>4</v>
      </c>
      <c r="E48" s="1003">
        <f>B48*'Pile Data and Eurocode Factors'!$E$64+C48*'Pile Data and Eurocode Factors'!$E$66</f>
        <v>485.41933125000008</v>
      </c>
      <c r="F48" s="1004">
        <f>B48*'Pile Data and Eurocode Factors'!$F$64+C48*'Pile Data and Eurocode Factors'!$F$66</f>
        <v>376.56987500000002</v>
      </c>
      <c r="G48" s="982">
        <f>SUM(B48:C48)</f>
        <v>349.56987500000002</v>
      </c>
      <c r="H48" s="1004">
        <f t="shared" si="5"/>
        <v>376.56987500000002</v>
      </c>
      <c r="I48" s="1004">
        <f t="shared" si="5"/>
        <v>188.28493750000001</v>
      </c>
      <c r="J48" s="1004">
        <f t="shared" si="5"/>
        <v>125.52329166666668</v>
      </c>
      <c r="K48" s="1004">
        <f t="shared" si="5"/>
        <v>94.142468750000006</v>
      </c>
    </row>
    <row r="49" spans="1:11">
      <c r="A49" s="953"/>
      <c r="B49" s="953"/>
      <c r="C49" s="953"/>
      <c r="D49" s="957"/>
      <c r="E49" s="953"/>
      <c r="F49" s="953"/>
      <c r="G49" s="953"/>
      <c r="H49" s="1013"/>
      <c r="I49" s="1017"/>
    </row>
    <row r="50" spans="1:11" ht="15" thickBot="1">
      <c r="A50" s="953" t="str">
        <f>Database!D19</f>
        <v>RC Rib Slab</v>
      </c>
      <c r="B50" s="953"/>
      <c r="C50" s="953"/>
      <c r="D50" s="953"/>
      <c r="E50" s="953"/>
      <c r="F50" s="957"/>
      <c r="G50" s="957"/>
      <c r="H50" s="1013"/>
      <c r="I50" s="1019"/>
    </row>
    <row r="51" spans="1:11" ht="16.5" thickBot="1">
      <c r="A51" s="979" t="s">
        <v>723</v>
      </c>
      <c r="B51" s="993"/>
      <c r="C51" s="993"/>
      <c r="D51" s="993"/>
      <c r="E51" s="994"/>
      <c r="F51" s="994"/>
      <c r="G51" s="982"/>
      <c r="H51" s="1345" t="s">
        <v>724</v>
      </c>
      <c r="I51" s="1346"/>
      <c r="J51" s="1346"/>
      <c r="K51" s="1347"/>
    </row>
    <row r="52" spans="1:11" ht="15.75" thickBot="1">
      <c r="A52" s="996" t="s">
        <v>725</v>
      </c>
      <c r="B52" s="997" t="s">
        <v>738</v>
      </c>
      <c r="C52" s="998" t="s">
        <v>739</v>
      </c>
      <c r="D52" s="996" t="s">
        <v>728</v>
      </c>
      <c r="E52" s="999" t="s">
        <v>729</v>
      </c>
      <c r="F52" s="996" t="s">
        <v>724</v>
      </c>
      <c r="G52" s="1000" t="s">
        <v>730</v>
      </c>
      <c r="H52" s="1000" t="s">
        <v>731</v>
      </c>
      <c r="I52" s="1000" t="s">
        <v>732</v>
      </c>
      <c r="J52" s="1000" t="s">
        <v>733</v>
      </c>
      <c r="K52" s="1000" t="s">
        <v>734</v>
      </c>
    </row>
    <row r="53" spans="1:11" ht="15" thickBot="1">
      <c r="A53" s="1001" t="s">
        <v>735</v>
      </c>
      <c r="B53" s="1002">
        <f>Basement!D171</f>
        <v>409.57952419354802</v>
      </c>
      <c r="C53" s="1012">
        <f>Basement!E171</f>
        <v>180</v>
      </c>
      <c r="D53" s="986">
        <f>D46</f>
        <v>63</v>
      </c>
      <c r="E53" s="1003">
        <f>B53*'Pile Data and Eurocode Factors'!$E$64+C53*'Pile Data and Eurocode Factors'!$E$66</f>
        <v>822.93235766128987</v>
      </c>
      <c r="F53" s="1004">
        <f>B53*'Pile Data and Eurocode Factors'!$F$64+C53*'Pile Data and Eurocode Factors'!$F$66</f>
        <v>643.57952419354797</v>
      </c>
      <c r="G53" s="982">
        <f>SUM(B53:C53)</f>
        <v>589.57952419354797</v>
      </c>
      <c r="H53" s="1004">
        <f>$F53/LEFT(H$38,1)</f>
        <v>643.57952419354797</v>
      </c>
      <c r="I53" s="1004">
        <f t="shared" ref="I53:K53" si="6">$F53/LEFT(I$38,1)</f>
        <v>321.78976209677398</v>
      </c>
      <c r="J53" s="1004">
        <f t="shared" si="6"/>
        <v>214.52650806451598</v>
      </c>
      <c r="K53" s="1004">
        <f t="shared" si="6"/>
        <v>160.89488104838699</v>
      </c>
    </row>
    <row r="54" spans="1:11" ht="15" thickBot="1">
      <c r="A54" s="1005" t="s">
        <v>736</v>
      </c>
      <c r="B54" s="1006">
        <f>Basement!G171</f>
        <v>357.55190322580597</v>
      </c>
      <c r="C54" s="1007">
        <f>Basement!H171</f>
        <v>180</v>
      </c>
      <c r="D54" s="1008">
        <f>D47</f>
        <v>32</v>
      </c>
      <c r="E54" s="1009">
        <f>B54*'Pile Data and Eurocode Factors'!$E$64+C54*'Pile Data and Eurocode Factors'!$E$66</f>
        <v>752.6950693548381</v>
      </c>
      <c r="F54" s="1010">
        <f>B54*'Pile Data and Eurocode Factors'!$F$64+C54*'Pile Data and Eurocode Factors'!$F$66</f>
        <v>591.55190322580597</v>
      </c>
      <c r="G54" s="1004">
        <f>SUM(B54:C54)</f>
        <v>537.55190322580597</v>
      </c>
      <c r="H54" s="1004">
        <f t="shared" ref="H54:K55" si="7">$F54/LEFT(H$38,1)</f>
        <v>591.55190322580597</v>
      </c>
      <c r="I54" s="1004">
        <f t="shared" si="7"/>
        <v>295.77595161290299</v>
      </c>
      <c r="J54" s="1004">
        <f t="shared" si="7"/>
        <v>197.18396774193533</v>
      </c>
      <c r="K54" s="1004">
        <f t="shared" si="7"/>
        <v>147.88797580645149</v>
      </c>
    </row>
    <row r="55" spans="1:11" ht="15" thickBot="1">
      <c r="A55" s="1011" t="s">
        <v>737</v>
      </c>
      <c r="B55" s="1002">
        <f>Basement!J171</f>
        <v>257.87690322580602</v>
      </c>
      <c r="C55" s="1012">
        <f>Basement!K171</f>
        <v>90</v>
      </c>
      <c r="D55" s="986">
        <f>D48</f>
        <v>4</v>
      </c>
      <c r="E55" s="1003">
        <f>B55*'Pile Data and Eurocode Factors'!$E$64+C55*'Pile Data and Eurocode Factors'!$E$66</f>
        <v>483.13381935483812</v>
      </c>
      <c r="F55" s="1004">
        <f>B55*'Pile Data and Eurocode Factors'!$F$64+C55*'Pile Data and Eurocode Factors'!$F$66</f>
        <v>374.87690322580602</v>
      </c>
      <c r="G55" s="982">
        <f>SUM(B55:C55)</f>
        <v>347.87690322580602</v>
      </c>
      <c r="H55" s="1004">
        <f t="shared" si="7"/>
        <v>374.87690322580602</v>
      </c>
      <c r="I55" s="1004">
        <f t="shared" si="7"/>
        <v>187.43845161290301</v>
      </c>
      <c r="J55" s="1004">
        <f t="shared" si="7"/>
        <v>124.95896774193534</v>
      </c>
      <c r="K55" s="1004">
        <f t="shared" si="7"/>
        <v>93.719225806451504</v>
      </c>
    </row>
    <row r="56" spans="1:11">
      <c r="A56" s="952"/>
      <c r="B56" s="953"/>
      <c r="C56" s="953"/>
      <c r="D56" s="953"/>
      <c r="E56" s="953"/>
      <c r="F56" s="953"/>
      <c r="G56" s="953"/>
      <c r="H56" s="1013"/>
      <c r="I56" s="1017"/>
    </row>
    <row r="57" spans="1:11" ht="15" thickBot="1">
      <c r="A57" s="953" t="str">
        <f>Database!D20</f>
        <v>Two-way RC Slab</v>
      </c>
      <c r="B57" s="953"/>
      <c r="C57" s="953"/>
      <c r="D57" s="953"/>
      <c r="E57" s="953"/>
      <c r="F57" s="957"/>
      <c r="G57" s="957"/>
      <c r="H57" s="1013"/>
      <c r="I57" s="1019"/>
    </row>
    <row r="58" spans="1:11" ht="16.5" thickBot="1">
      <c r="A58" s="979" t="s">
        <v>723</v>
      </c>
      <c r="B58" s="993"/>
      <c r="C58" s="993"/>
      <c r="D58" s="993"/>
      <c r="E58" s="994"/>
      <c r="F58" s="994"/>
      <c r="G58" s="982"/>
      <c r="H58" s="1345" t="s">
        <v>724</v>
      </c>
      <c r="I58" s="1346"/>
      <c r="J58" s="1346"/>
      <c r="K58" s="1347"/>
    </row>
    <row r="59" spans="1:11" ht="15.75" thickBot="1">
      <c r="A59" s="996" t="s">
        <v>725</v>
      </c>
      <c r="B59" s="997" t="s">
        <v>738</v>
      </c>
      <c r="C59" s="1020" t="s">
        <v>739</v>
      </c>
      <c r="D59" s="996" t="s">
        <v>728</v>
      </c>
      <c r="E59" s="999" t="s">
        <v>729</v>
      </c>
      <c r="F59" s="996" t="s">
        <v>724</v>
      </c>
      <c r="G59" s="1000" t="s">
        <v>730</v>
      </c>
      <c r="H59" s="1000" t="s">
        <v>731</v>
      </c>
      <c r="I59" s="1000" t="s">
        <v>732</v>
      </c>
      <c r="J59" s="1000" t="s">
        <v>733</v>
      </c>
      <c r="K59" s="1000" t="s">
        <v>734</v>
      </c>
    </row>
    <row r="60" spans="1:11" ht="15" thickBot="1">
      <c r="A60" s="1001" t="s">
        <v>735</v>
      </c>
      <c r="B60" s="1002">
        <f>Basement!D172</f>
        <v>340.053</v>
      </c>
      <c r="C60" s="1012">
        <f>Basement!E172</f>
        <v>180</v>
      </c>
      <c r="D60" s="986">
        <f>'RC Column'!I12</f>
        <v>63</v>
      </c>
      <c r="E60" s="1003">
        <f>B60*'Pile Data and Eurocode Factors'!$E$64+C60*'Pile Data and Eurocode Factors'!$E$66</f>
        <v>729.07155</v>
      </c>
      <c r="F60" s="1004">
        <f>B60*'Pile Data and Eurocode Factors'!$F$64+C60*'Pile Data and Eurocode Factors'!$F$66</f>
        <v>574.053</v>
      </c>
      <c r="G60" s="982">
        <f>SUM(B60:C60)</f>
        <v>520.053</v>
      </c>
      <c r="H60" s="1004">
        <f>$F60/LEFT(H$38,1)</f>
        <v>574.053</v>
      </c>
      <c r="I60" s="1004">
        <f t="shared" ref="I60:K60" si="8">$F60/LEFT(I$38,1)</f>
        <v>287.0265</v>
      </c>
      <c r="J60" s="1004">
        <f t="shared" si="8"/>
        <v>191.351</v>
      </c>
      <c r="K60" s="1004">
        <f t="shared" si="8"/>
        <v>143.51325</v>
      </c>
    </row>
    <row r="61" spans="1:11" ht="15" thickBot="1">
      <c r="A61" s="1005" t="s">
        <v>736</v>
      </c>
      <c r="B61" s="1006">
        <f>Basement!G172</f>
        <v>346.173</v>
      </c>
      <c r="C61" s="1007">
        <f>Basement!H172</f>
        <v>180</v>
      </c>
      <c r="D61" s="1008">
        <f>'RC Column'!L12</f>
        <v>32</v>
      </c>
      <c r="E61" s="1009">
        <f>B61*'Pile Data and Eurocode Factors'!$E$64+C61*'Pile Data and Eurocode Factors'!$E$66</f>
        <v>737.33355000000006</v>
      </c>
      <c r="F61" s="1010">
        <f>B61*'Pile Data and Eurocode Factors'!$F$64+C61*'Pile Data and Eurocode Factors'!$F$66</f>
        <v>580.173</v>
      </c>
      <c r="G61" s="1004">
        <f>SUM(B61:C61)</f>
        <v>526.173</v>
      </c>
      <c r="H61" s="1004">
        <f t="shared" ref="H61:K62" si="9">$F61/LEFT(H$38,1)</f>
        <v>580.173</v>
      </c>
      <c r="I61" s="1004">
        <f t="shared" si="9"/>
        <v>290.0865</v>
      </c>
      <c r="J61" s="1004">
        <f t="shared" si="9"/>
        <v>193.39099999999999</v>
      </c>
      <c r="K61" s="1004">
        <f t="shared" si="9"/>
        <v>145.04325</v>
      </c>
    </row>
    <row r="62" spans="1:11" ht="15" thickBot="1">
      <c r="A62" s="1011" t="s">
        <v>737</v>
      </c>
      <c r="B62" s="1002">
        <f>Basement!J173</f>
        <v>259.97720000000004</v>
      </c>
      <c r="C62" s="1012">
        <f>Basement!K172</f>
        <v>90</v>
      </c>
      <c r="D62" s="986">
        <f>'RC Column'!O12</f>
        <v>4</v>
      </c>
      <c r="E62" s="1003">
        <f>B62*'Pile Data and Eurocode Factors'!$E$64+C62*'Pile Data and Eurocode Factors'!$E$66</f>
        <v>485.96922000000006</v>
      </c>
      <c r="F62" s="1004">
        <f>B62*'Pile Data and Eurocode Factors'!$F$64+C62*'Pile Data and Eurocode Factors'!$F$66</f>
        <v>376.97720000000004</v>
      </c>
      <c r="G62" s="982">
        <f>SUM(B62:C62)</f>
        <v>349.97720000000004</v>
      </c>
      <c r="H62" s="1004">
        <f t="shared" si="9"/>
        <v>376.97720000000004</v>
      </c>
      <c r="I62" s="1004">
        <f t="shared" si="9"/>
        <v>188.48860000000002</v>
      </c>
      <c r="J62" s="1004">
        <f t="shared" si="9"/>
        <v>125.65906666666667</v>
      </c>
      <c r="K62" s="1004">
        <f t="shared" si="9"/>
        <v>94.24430000000001</v>
      </c>
    </row>
    <row r="63" spans="1:11">
      <c r="A63" s="952"/>
      <c r="B63" s="953"/>
      <c r="C63" s="953"/>
      <c r="D63" s="953"/>
      <c r="E63" s="953"/>
      <c r="F63" s="953"/>
      <c r="G63" s="953"/>
      <c r="H63" s="1013"/>
      <c r="I63" s="1017"/>
    </row>
    <row r="64" spans="1:11" ht="15" thickBot="1">
      <c r="A64" s="953" t="str">
        <f>Database!D21</f>
        <v>One-Way Spanning RC</v>
      </c>
      <c r="B64" s="953"/>
      <c r="C64" s="953"/>
      <c r="D64" s="953"/>
      <c r="E64" s="953"/>
      <c r="F64" s="957"/>
      <c r="G64" s="957"/>
      <c r="H64" s="1013"/>
      <c r="I64" s="1019"/>
    </row>
    <row r="65" spans="1:11" ht="16.5" thickBot="1">
      <c r="A65" s="979" t="s">
        <v>723</v>
      </c>
      <c r="B65" s="993"/>
      <c r="C65" s="993"/>
      <c r="D65" s="993"/>
      <c r="E65" s="994"/>
      <c r="F65" s="994"/>
      <c r="G65" s="982"/>
      <c r="H65" s="1345" t="s">
        <v>724</v>
      </c>
      <c r="I65" s="1346"/>
      <c r="J65" s="1346"/>
      <c r="K65" s="1347"/>
    </row>
    <row r="66" spans="1:11" ht="15.75" thickBot="1">
      <c r="A66" s="996" t="s">
        <v>725</v>
      </c>
      <c r="B66" s="997" t="s">
        <v>738</v>
      </c>
      <c r="C66" s="998" t="s">
        <v>739</v>
      </c>
      <c r="D66" s="996" t="s">
        <v>728</v>
      </c>
      <c r="E66" s="999" t="s">
        <v>729</v>
      </c>
      <c r="F66" s="996" t="s">
        <v>724</v>
      </c>
      <c r="G66" s="1000" t="s">
        <v>730</v>
      </c>
      <c r="H66" s="1000" t="s">
        <v>731</v>
      </c>
      <c r="I66" s="1000" t="s">
        <v>732</v>
      </c>
      <c r="J66" s="1000" t="s">
        <v>733</v>
      </c>
      <c r="K66" s="1000" t="s">
        <v>734</v>
      </c>
    </row>
    <row r="67" spans="1:11" ht="15" thickBot="1">
      <c r="A67" s="1001" t="s">
        <v>735</v>
      </c>
      <c r="B67" s="1002">
        <f>Basement!D173</f>
        <v>418.88220000000001</v>
      </c>
      <c r="C67" s="1012">
        <f>Basement!E173</f>
        <v>180</v>
      </c>
      <c r="D67" s="986">
        <f>'RC Column'!I13</f>
        <v>63</v>
      </c>
      <c r="E67" s="1003">
        <f>B67*'Pile Data and Eurocode Factors'!$E$64+C67*'Pile Data and Eurocode Factors'!$E$66</f>
        <v>835.49097000000006</v>
      </c>
      <c r="F67" s="1004">
        <f>B67*'Pile Data and Eurocode Factors'!$F$64+C67*'Pile Data and Eurocode Factors'!$F$66</f>
        <v>652.88220000000001</v>
      </c>
      <c r="G67" s="982">
        <f>SUM(B67:C67)</f>
        <v>598.88220000000001</v>
      </c>
      <c r="H67" s="1004">
        <f>$F67/LEFT(H$38,1)</f>
        <v>652.88220000000001</v>
      </c>
      <c r="I67" s="1004">
        <f t="shared" ref="I67:K67" si="10">$F67/LEFT(I$38,1)</f>
        <v>326.44110000000001</v>
      </c>
      <c r="J67" s="1004">
        <f t="shared" si="10"/>
        <v>217.62739999999999</v>
      </c>
      <c r="K67" s="1004">
        <f t="shared" si="10"/>
        <v>163.22055</v>
      </c>
    </row>
    <row r="68" spans="1:11" ht="15" thickBot="1">
      <c r="A68" s="1005" t="s">
        <v>736</v>
      </c>
      <c r="B68" s="1006">
        <f>Basement!G173</f>
        <v>360.3372</v>
      </c>
      <c r="C68" s="1007">
        <f>Basement!H173</f>
        <v>180</v>
      </c>
      <c r="D68" s="1008">
        <f>'RC Column'!L13</f>
        <v>32</v>
      </c>
      <c r="E68" s="1009">
        <f>B68*'Pile Data and Eurocode Factors'!$E$64+C68*'Pile Data and Eurocode Factors'!$E$66</f>
        <v>756.45522000000005</v>
      </c>
      <c r="F68" s="1010">
        <f>B68*'Pile Data and Eurocode Factors'!$F$64+C68*'Pile Data and Eurocode Factors'!$F$66</f>
        <v>594.33719999999994</v>
      </c>
      <c r="G68" s="1004">
        <f>SUM(B68:C68)</f>
        <v>540.33719999999994</v>
      </c>
      <c r="H68" s="1004">
        <f t="shared" ref="H68:K69" si="11">$F68/LEFT(H$38,1)</f>
        <v>594.33719999999994</v>
      </c>
      <c r="I68" s="1004">
        <f t="shared" si="11"/>
        <v>297.16859999999997</v>
      </c>
      <c r="J68" s="1004">
        <f t="shared" si="11"/>
        <v>198.11239999999998</v>
      </c>
      <c r="K68" s="1004">
        <f t="shared" si="11"/>
        <v>148.58429999999998</v>
      </c>
    </row>
    <row r="69" spans="1:11" ht="15" thickBot="1">
      <c r="A69" s="1011" t="s">
        <v>737</v>
      </c>
      <c r="B69" s="1002">
        <f>Basement!J173</f>
        <v>259.97720000000004</v>
      </c>
      <c r="C69" s="1012">
        <f>Basement!K173</f>
        <v>90</v>
      </c>
      <c r="D69" s="986">
        <f>'RC Column'!O13</f>
        <v>4</v>
      </c>
      <c r="E69" s="1003">
        <f>B69*'Pile Data and Eurocode Factors'!$E$64+C69*'Pile Data and Eurocode Factors'!$E$66</f>
        <v>485.96922000000006</v>
      </c>
      <c r="F69" s="1004">
        <f>B69*'Pile Data and Eurocode Factors'!$F$64+C69*'Pile Data and Eurocode Factors'!$F$66</f>
        <v>376.97720000000004</v>
      </c>
      <c r="G69" s="982">
        <f>SUM(B69:C69)</f>
        <v>349.97720000000004</v>
      </c>
      <c r="H69" s="1004">
        <f t="shared" si="11"/>
        <v>376.97720000000004</v>
      </c>
      <c r="I69" s="1004">
        <f t="shared" si="11"/>
        <v>188.48860000000002</v>
      </c>
      <c r="J69" s="1004">
        <f t="shared" si="11"/>
        <v>125.65906666666667</v>
      </c>
      <c r="K69" s="1004">
        <f t="shared" si="11"/>
        <v>94.24430000000001</v>
      </c>
    </row>
    <row r="71" spans="1:11" ht="15" thickBot="1">
      <c r="A71" s="953" t="str">
        <f>Database!D22</f>
        <v>Precast Hollowcore with In-situ RC Beams</v>
      </c>
      <c r="B71" s="953"/>
      <c r="C71" s="953"/>
      <c r="D71" s="953"/>
      <c r="E71" s="953"/>
      <c r="F71" s="957"/>
      <c r="G71" s="957"/>
    </row>
    <row r="72" spans="1:11" ht="16.5" thickBot="1">
      <c r="A72" s="979" t="s">
        <v>723</v>
      </c>
      <c r="B72" s="993"/>
      <c r="C72" s="993"/>
      <c r="D72" s="993"/>
      <c r="E72" s="994"/>
      <c r="F72" s="994"/>
      <c r="G72" s="982"/>
      <c r="H72" s="1345" t="s">
        <v>724</v>
      </c>
      <c r="I72" s="1346"/>
      <c r="J72" s="1346"/>
      <c r="K72" s="1347"/>
    </row>
    <row r="73" spans="1:11" ht="15.75" thickBot="1">
      <c r="A73" s="996" t="s">
        <v>725</v>
      </c>
      <c r="B73" s="997" t="s">
        <v>738</v>
      </c>
      <c r="C73" s="1020" t="s">
        <v>739</v>
      </c>
      <c r="D73" s="996" t="s">
        <v>728</v>
      </c>
      <c r="E73" s="999" t="s">
        <v>729</v>
      </c>
      <c r="F73" s="996" t="s">
        <v>724</v>
      </c>
      <c r="G73" s="1000" t="s">
        <v>730</v>
      </c>
      <c r="H73" s="1000" t="s">
        <v>731</v>
      </c>
      <c r="I73" s="1000" t="s">
        <v>732</v>
      </c>
      <c r="J73" s="1000" t="s">
        <v>733</v>
      </c>
      <c r="K73" s="1000" t="s">
        <v>734</v>
      </c>
    </row>
    <row r="74" spans="1:11" ht="15" thickBot="1">
      <c r="A74" s="1001" t="s">
        <v>735</v>
      </c>
      <c r="B74" s="1002">
        <f>Basement!D174</f>
        <v>555.82799999999997</v>
      </c>
      <c r="C74" s="1012">
        <f>Basement!E174</f>
        <v>180</v>
      </c>
      <c r="D74" s="986">
        <f>'RC Column'!I14</f>
        <v>63</v>
      </c>
      <c r="E74" s="1003">
        <f>B74*'Pile Data and Eurocode Factors'!$E$64+C74*'Pile Data and Eurocode Factors'!$E$66</f>
        <v>1020.3678</v>
      </c>
      <c r="F74" s="1004">
        <f>B74*'Pile Data and Eurocode Factors'!$F$64+C74*'Pile Data and Eurocode Factors'!$F$66</f>
        <v>789.82799999999997</v>
      </c>
      <c r="G74" s="982">
        <f>SUM(B74:C74)</f>
        <v>735.82799999999997</v>
      </c>
      <c r="H74" s="1004">
        <f>$F74/LEFT(H$38,1)</f>
        <v>789.82799999999997</v>
      </c>
      <c r="I74" s="1004">
        <f t="shared" ref="I74:K74" si="12">$F74/LEFT(I$38,1)</f>
        <v>394.91399999999999</v>
      </c>
      <c r="J74" s="1004">
        <f t="shared" si="12"/>
        <v>263.27600000000001</v>
      </c>
      <c r="K74" s="1004">
        <f t="shared" si="12"/>
        <v>197.45699999999999</v>
      </c>
    </row>
    <row r="75" spans="1:11" ht="15" thickBot="1">
      <c r="A75" s="1005" t="s">
        <v>736</v>
      </c>
      <c r="B75" s="1006">
        <f>Basement!G174</f>
        <v>457.87799999999999</v>
      </c>
      <c r="C75" s="1007">
        <f>Basement!H174</f>
        <v>180</v>
      </c>
      <c r="D75" s="1008">
        <f>'RC Column'!L14</f>
        <v>32</v>
      </c>
      <c r="E75" s="1009">
        <f>B75*'Pile Data and Eurocode Factors'!$E$64+C75*'Pile Data and Eurocode Factors'!$E$66</f>
        <v>888.13530000000003</v>
      </c>
      <c r="F75" s="1010">
        <f>B75*'Pile Data and Eurocode Factors'!$F$64+C75*'Pile Data and Eurocode Factors'!$F$66</f>
        <v>691.87799999999993</v>
      </c>
      <c r="G75" s="1004">
        <f>SUM(B75:C75)</f>
        <v>637.87799999999993</v>
      </c>
      <c r="H75" s="1004">
        <f t="shared" ref="H75:K76" si="13">$F75/LEFT(H$38,1)</f>
        <v>691.87799999999993</v>
      </c>
      <c r="I75" s="1004">
        <f t="shared" si="13"/>
        <v>345.93899999999996</v>
      </c>
      <c r="J75" s="1004">
        <f t="shared" si="13"/>
        <v>230.62599999999998</v>
      </c>
      <c r="K75" s="1004">
        <f t="shared" si="13"/>
        <v>172.96949999999998</v>
      </c>
    </row>
    <row r="76" spans="1:11" ht="15" thickBot="1">
      <c r="A76" s="1011" t="s">
        <v>737</v>
      </c>
      <c r="B76" s="1002">
        <f>Basement!J174</f>
        <v>261.75299999999999</v>
      </c>
      <c r="C76" s="1012">
        <f>Basement!K174</f>
        <v>90</v>
      </c>
      <c r="D76" s="986">
        <f>'RC Column'!O14</f>
        <v>4</v>
      </c>
      <c r="E76" s="1003">
        <f>B76*'Pile Data and Eurocode Factors'!$E$64+C76*'Pile Data and Eurocode Factors'!$E$66</f>
        <v>488.36655000000002</v>
      </c>
      <c r="F76" s="1004">
        <f>B76*'Pile Data and Eurocode Factors'!$F$64+C76*'Pile Data and Eurocode Factors'!$F$66</f>
        <v>378.75299999999999</v>
      </c>
      <c r="G76" s="982">
        <f>SUM(B76:C76)</f>
        <v>351.75299999999999</v>
      </c>
      <c r="H76" s="1004">
        <f t="shared" si="13"/>
        <v>378.75299999999999</v>
      </c>
      <c r="I76" s="1004">
        <f t="shared" si="13"/>
        <v>189.37649999999999</v>
      </c>
      <c r="J76" s="1004">
        <f t="shared" si="13"/>
        <v>126.25099999999999</v>
      </c>
      <c r="K76" s="1004">
        <f t="shared" si="13"/>
        <v>94.688249999999996</v>
      </c>
    </row>
    <row r="78" spans="1:11" ht="15" thickBot="1">
      <c r="A78" s="953" t="str">
        <f>Database!D23</f>
        <v>Non-Composite Rolled Steel with PCC Planks</v>
      </c>
      <c r="B78" s="953"/>
      <c r="C78" s="953"/>
      <c r="D78" s="953"/>
      <c r="E78" s="953"/>
      <c r="F78" s="957"/>
      <c r="G78" s="957"/>
    </row>
    <row r="79" spans="1:11" ht="16.5" thickBot="1">
      <c r="A79" s="979" t="s">
        <v>723</v>
      </c>
      <c r="B79" s="993"/>
      <c r="C79" s="993"/>
      <c r="D79" s="993"/>
      <c r="E79" s="994"/>
      <c r="F79" s="994"/>
      <c r="G79" s="982"/>
      <c r="H79" s="1345" t="s">
        <v>724</v>
      </c>
      <c r="I79" s="1346"/>
      <c r="J79" s="1346"/>
      <c r="K79" s="1347"/>
    </row>
    <row r="80" spans="1:11" ht="15.75" thickBot="1">
      <c r="A80" s="996" t="s">
        <v>725</v>
      </c>
      <c r="B80" s="1021" t="s">
        <v>738</v>
      </c>
      <c r="C80" s="998" t="s">
        <v>739</v>
      </c>
      <c r="D80" s="996" t="s">
        <v>728</v>
      </c>
      <c r="E80" s="999" t="s">
        <v>729</v>
      </c>
      <c r="F80" s="996" t="s">
        <v>724</v>
      </c>
      <c r="G80" s="1000" t="s">
        <v>730</v>
      </c>
      <c r="H80" s="1000" t="s">
        <v>731</v>
      </c>
      <c r="I80" s="1000" t="s">
        <v>732</v>
      </c>
      <c r="J80" s="1000" t="s">
        <v>733</v>
      </c>
      <c r="K80" s="1000" t="s">
        <v>734</v>
      </c>
    </row>
    <row r="81" spans="1:11" ht="15" thickBot="1">
      <c r="A81" s="1001" t="s">
        <v>735</v>
      </c>
      <c r="B81" s="1002">
        <f>Basement!D175</f>
        <v>344.97324000000003</v>
      </c>
      <c r="C81" s="1012">
        <f>Basement!E175</f>
        <v>180</v>
      </c>
      <c r="D81" s="986">
        <f>'Steel Column'!L9</f>
        <v>63</v>
      </c>
      <c r="E81" s="1003">
        <f>B81*'Pile Data and Eurocode Factors'!$E$64+C81*'Pile Data and Eurocode Factors'!$E$66</f>
        <v>735.71387400000003</v>
      </c>
      <c r="F81" s="1004">
        <f>B81*'Pile Data and Eurocode Factors'!$F$64+C81*'Pile Data and Eurocode Factors'!$F$66</f>
        <v>578.97324000000003</v>
      </c>
      <c r="G81" s="982">
        <f>SUM(B81:C81)</f>
        <v>524.97324000000003</v>
      </c>
      <c r="H81" s="1004">
        <f>$F81/LEFT(H$38,1)</f>
        <v>578.97324000000003</v>
      </c>
      <c r="I81" s="1004">
        <f t="shared" ref="I81:K81" si="14">$F81/LEFT(I$38,1)</f>
        <v>289.48662000000002</v>
      </c>
      <c r="J81" s="1004">
        <f t="shared" si="14"/>
        <v>192.99108000000001</v>
      </c>
      <c r="K81" s="1004">
        <f t="shared" si="14"/>
        <v>144.74331000000001</v>
      </c>
    </row>
    <row r="82" spans="1:11" ht="15" thickBot="1">
      <c r="A82" s="1005" t="s">
        <v>736</v>
      </c>
      <c r="B82" s="1006">
        <f>Basement!G175</f>
        <v>227.72268</v>
      </c>
      <c r="C82" s="1007">
        <f>Basement!H175</f>
        <v>180</v>
      </c>
      <c r="D82" s="1008">
        <f>'Steel Column'!O9</f>
        <v>32</v>
      </c>
      <c r="E82" s="1009">
        <f>B82*'Pile Data and Eurocode Factors'!$E$64+C82*'Pile Data and Eurocode Factors'!$E$66</f>
        <v>577.42561799999999</v>
      </c>
      <c r="F82" s="1010">
        <f>B82*'Pile Data and Eurocode Factors'!$F$64+C82*'Pile Data and Eurocode Factors'!$F$66</f>
        <v>461.72267999999997</v>
      </c>
      <c r="G82" s="1004">
        <f>SUM(B82:C82)</f>
        <v>407.72267999999997</v>
      </c>
      <c r="H82" s="1004">
        <f t="shared" ref="H82:K83" si="15">$F82/LEFT(H$38,1)</f>
        <v>461.72267999999997</v>
      </c>
      <c r="I82" s="1004">
        <f t="shared" si="15"/>
        <v>230.86133999999998</v>
      </c>
      <c r="J82" s="1004">
        <f t="shared" si="15"/>
        <v>153.90755999999999</v>
      </c>
      <c r="K82" s="1004">
        <f t="shared" si="15"/>
        <v>115.43066999999999</v>
      </c>
    </row>
    <row r="83" spans="1:11" ht="15" thickBot="1">
      <c r="A83" s="1011" t="s">
        <v>737</v>
      </c>
      <c r="B83" s="1002">
        <f>Basement!J175</f>
        <v>141.12621000000001</v>
      </c>
      <c r="C83" s="1012">
        <f>Basement!K175</f>
        <v>90</v>
      </c>
      <c r="D83" s="986">
        <f>'Steel Column'!R9</f>
        <v>4</v>
      </c>
      <c r="E83" s="1003">
        <f>B83*'Pile Data and Eurocode Factors'!$E$64+C83*'Pile Data and Eurocode Factors'!$E$66</f>
        <v>325.52038350000004</v>
      </c>
      <c r="F83" s="1004">
        <f>B83*'Pile Data and Eurocode Factors'!$F$64+C83*'Pile Data and Eurocode Factors'!$F$66</f>
        <v>258.12621000000001</v>
      </c>
      <c r="G83" s="982">
        <f>SUM(B83:C83)</f>
        <v>231.12621000000001</v>
      </c>
      <c r="H83" s="1004">
        <f t="shared" si="15"/>
        <v>258.12621000000001</v>
      </c>
      <c r="I83" s="1004">
        <f t="shared" si="15"/>
        <v>129.06310500000001</v>
      </c>
      <c r="J83" s="1004">
        <f t="shared" si="15"/>
        <v>86.04207000000001</v>
      </c>
      <c r="K83" s="1004">
        <f t="shared" si="15"/>
        <v>64.531552500000004</v>
      </c>
    </row>
    <row r="85" spans="1:11" ht="15" thickBot="1">
      <c r="A85" s="953" t="str">
        <f>Database!D24</f>
        <v>Composite Rolled Steel with Metal Decking</v>
      </c>
      <c r="B85" s="953"/>
      <c r="C85" s="953"/>
      <c r="D85" s="953"/>
      <c r="E85" s="953"/>
      <c r="F85" s="957"/>
      <c r="G85" s="957"/>
    </row>
    <row r="86" spans="1:11" ht="16.5" thickBot="1">
      <c r="A86" s="979" t="s">
        <v>723</v>
      </c>
      <c r="B86" s="993"/>
      <c r="C86" s="993"/>
      <c r="D86" s="993"/>
      <c r="E86" s="994"/>
      <c r="F86" s="994"/>
      <c r="G86" s="982"/>
      <c r="H86" s="1345" t="s">
        <v>724</v>
      </c>
      <c r="I86" s="1346"/>
      <c r="J86" s="1346"/>
      <c r="K86" s="1347"/>
    </row>
    <row r="87" spans="1:11" ht="15.75" thickBot="1">
      <c r="A87" s="996" t="s">
        <v>725</v>
      </c>
      <c r="B87" s="997" t="s">
        <v>738</v>
      </c>
      <c r="C87" s="998" t="s">
        <v>739</v>
      </c>
      <c r="D87" s="996" t="s">
        <v>728</v>
      </c>
      <c r="E87" s="999" t="s">
        <v>729</v>
      </c>
      <c r="F87" s="996" t="s">
        <v>724</v>
      </c>
      <c r="G87" s="1000" t="s">
        <v>730</v>
      </c>
      <c r="H87" s="1000" t="s">
        <v>731</v>
      </c>
      <c r="I87" s="1000" t="s">
        <v>732</v>
      </c>
      <c r="J87" s="1000" t="s">
        <v>733</v>
      </c>
      <c r="K87" s="1000" t="s">
        <v>734</v>
      </c>
    </row>
    <row r="88" spans="1:11" ht="15" thickBot="1">
      <c r="A88" s="1001" t="s">
        <v>735</v>
      </c>
      <c r="B88" s="1002">
        <f>Basement!D176</f>
        <v>262.94623200000001</v>
      </c>
      <c r="C88" s="1012">
        <f>Basement!E176</f>
        <v>180</v>
      </c>
      <c r="D88" s="986">
        <f>'Steel Column'!L10</f>
        <v>63</v>
      </c>
      <c r="E88" s="1003">
        <f>B88*'Pile Data and Eurocode Factors'!$E$64+C88*'Pile Data and Eurocode Factors'!$E$66</f>
        <v>624.9774132</v>
      </c>
      <c r="F88" s="1004">
        <f>B88*'Pile Data and Eurocode Factors'!$F$64+C88*'Pile Data and Eurocode Factors'!$F$66</f>
        <v>496.94623200000001</v>
      </c>
      <c r="G88" s="982">
        <f>SUM(B88:C88)</f>
        <v>442.94623200000001</v>
      </c>
      <c r="H88" s="1004">
        <f>$F88/LEFT(H$38,1)</f>
        <v>496.94623200000001</v>
      </c>
      <c r="I88" s="1004">
        <f t="shared" ref="I88:K88" si="16">$F88/LEFT(I$38,1)</f>
        <v>248.473116</v>
      </c>
      <c r="J88" s="1004">
        <f t="shared" si="16"/>
        <v>165.64874399999999</v>
      </c>
      <c r="K88" s="1004">
        <f t="shared" si="16"/>
        <v>124.236558</v>
      </c>
    </row>
    <row r="89" spans="1:11" ht="15" thickBot="1">
      <c r="A89" s="1005" t="s">
        <v>736</v>
      </c>
      <c r="B89" s="1006">
        <f>Basement!G176</f>
        <v>186.70917600000001</v>
      </c>
      <c r="C89" s="1007">
        <f>Basement!H176</f>
        <v>180</v>
      </c>
      <c r="D89" s="1008">
        <f>'Steel Column'!O10</f>
        <v>32</v>
      </c>
      <c r="E89" s="1009">
        <f>B89*'Pile Data and Eurocode Factors'!$E$64+C89*'Pile Data and Eurocode Factors'!$E$66</f>
        <v>522.05738760000008</v>
      </c>
      <c r="F89" s="1010">
        <f>B89*'Pile Data and Eurocode Factors'!$F$64+C89*'Pile Data and Eurocode Factors'!$F$66</f>
        <v>420.70917600000001</v>
      </c>
      <c r="G89" s="1004">
        <f>SUM(B89:C89)</f>
        <v>366.70917600000001</v>
      </c>
      <c r="H89" s="1004">
        <f t="shared" ref="H89:K90" si="17">$F89/LEFT(H$38,1)</f>
        <v>420.70917600000001</v>
      </c>
      <c r="I89" s="1004">
        <f t="shared" si="17"/>
        <v>210.35458800000001</v>
      </c>
      <c r="J89" s="1004">
        <f t="shared" si="17"/>
        <v>140.236392</v>
      </c>
      <c r="K89" s="1004">
        <f t="shared" si="17"/>
        <v>105.177294</v>
      </c>
    </row>
    <row r="90" spans="1:11" ht="15" thickBot="1">
      <c r="A90" s="1011" t="s">
        <v>737</v>
      </c>
      <c r="B90" s="1002">
        <f>Basement!J176</f>
        <v>120.825468</v>
      </c>
      <c r="C90" s="1012">
        <f>Basement!K176</f>
        <v>90</v>
      </c>
      <c r="D90" s="986">
        <f>'Steel Column'!R10</f>
        <v>4</v>
      </c>
      <c r="E90" s="1003">
        <f>B90*'Pile Data and Eurocode Factors'!$E$64+C90*'Pile Data and Eurocode Factors'!$E$66</f>
        <v>298.11438180000005</v>
      </c>
      <c r="F90" s="1004">
        <f>B90*'Pile Data and Eurocode Factors'!$F$64+C90*'Pile Data and Eurocode Factors'!$F$66</f>
        <v>237.825468</v>
      </c>
      <c r="G90" s="982">
        <f>SUM(B90:C90)</f>
        <v>210.825468</v>
      </c>
      <c r="H90" s="1004">
        <f t="shared" si="17"/>
        <v>237.825468</v>
      </c>
      <c r="I90" s="1004">
        <f t="shared" si="17"/>
        <v>118.912734</v>
      </c>
      <c r="J90" s="1004">
        <f t="shared" si="17"/>
        <v>79.275155999999996</v>
      </c>
      <c r="K90" s="1004">
        <f t="shared" si="17"/>
        <v>59.456367</v>
      </c>
    </row>
    <row r="92" spans="1:11" ht="15" thickBot="1">
      <c r="A92" s="953" t="str">
        <f>Database!D25</f>
        <v>Composite Cell Beams with Metal Decking</v>
      </c>
      <c r="B92" s="953"/>
      <c r="C92" s="953"/>
      <c r="D92" s="953"/>
      <c r="E92" s="953"/>
      <c r="F92" s="957"/>
      <c r="G92" s="957"/>
    </row>
    <row r="93" spans="1:11" ht="16.5" thickBot="1">
      <c r="A93" s="979" t="s">
        <v>723</v>
      </c>
      <c r="B93" s="993"/>
      <c r="C93" s="993"/>
      <c r="D93" s="993"/>
      <c r="E93" s="994"/>
      <c r="F93" s="994"/>
      <c r="G93" s="982"/>
      <c r="H93" s="1345" t="s">
        <v>724</v>
      </c>
      <c r="I93" s="1346"/>
      <c r="J93" s="1346"/>
      <c r="K93" s="1347"/>
    </row>
    <row r="94" spans="1:11" ht="15.75" thickBot="1">
      <c r="A94" s="996" t="s">
        <v>725</v>
      </c>
      <c r="B94" s="997" t="s">
        <v>738</v>
      </c>
      <c r="C94" s="998" t="s">
        <v>739</v>
      </c>
      <c r="D94" s="996" t="s">
        <v>728</v>
      </c>
      <c r="E94" s="999" t="s">
        <v>729</v>
      </c>
      <c r="F94" s="996" t="s">
        <v>724</v>
      </c>
      <c r="G94" s="1000" t="s">
        <v>730</v>
      </c>
      <c r="H94" s="1000" t="s">
        <v>731</v>
      </c>
      <c r="I94" s="1000" t="s">
        <v>732</v>
      </c>
      <c r="J94" s="1000" t="s">
        <v>733</v>
      </c>
      <c r="K94" s="1000" t="s">
        <v>734</v>
      </c>
    </row>
    <row r="95" spans="1:11" ht="15" thickBot="1">
      <c r="A95" s="1001" t="s">
        <v>735</v>
      </c>
      <c r="B95" s="1002">
        <f>Basement!D177</f>
        <v>270.56095025155565</v>
      </c>
      <c r="C95" s="1012">
        <f>C88</f>
        <v>180</v>
      </c>
      <c r="D95" s="986">
        <f>'Steel Column'!L11</f>
        <v>63</v>
      </c>
      <c r="E95" s="1003">
        <f>B95*'Pile Data and Eurocode Factors'!$E$64+C95*'Pile Data and Eurocode Factors'!$E$66</f>
        <v>635.25728283960018</v>
      </c>
      <c r="F95" s="1004">
        <f>B95*'Pile Data and Eurocode Factors'!$F$64+C95*'Pile Data and Eurocode Factors'!$F$66</f>
        <v>504.56095025155565</v>
      </c>
      <c r="G95" s="982">
        <f>SUM(B95:C95)</f>
        <v>450.56095025155565</v>
      </c>
      <c r="H95" s="1004">
        <f>$F95/LEFT(H$38,1)</f>
        <v>504.56095025155565</v>
      </c>
      <c r="I95" s="1004">
        <f t="shared" ref="I95:K95" si="18">$F95/LEFT(I$38,1)</f>
        <v>252.28047512577783</v>
      </c>
      <c r="J95" s="1004">
        <f t="shared" si="18"/>
        <v>168.18698341718522</v>
      </c>
      <c r="K95" s="1004">
        <f t="shared" si="18"/>
        <v>126.14023756288891</v>
      </c>
    </row>
    <row r="96" spans="1:11" ht="15" thickBot="1">
      <c r="A96" s="1005" t="s">
        <v>736</v>
      </c>
      <c r="B96" s="1006">
        <f>Basement!G177</f>
        <v>190.33995512577783</v>
      </c>
      <c r="C96" s="1007">
        <f>C89</f>
        <v>180</v>
      </c>
      <c r="D96" s="1008">
        <f>'Steel Column'!O11</f>
        <v>32</v>
      </c>
      <c r="E96" s="1009">
        <f>B96*'Pile Data and Eurocode Factors'!$E$64+C96*'Pile Data and Eurocode Factors'!$E$66</f>
        <v>526.95893941980012</v>
      </c>
      <c r="F96" s="1010">
        <f>B96*'Pile Data and Eurocode Factors'!$F$64+C96*'Pile Data and Eurocode Factors'!$F$66</f>
        <v>424.33995512577781</v>
      </c>
      <c r="G96" s="1004">
        <f>SUM(B96:C96)</f>
        <v>370.33995512577781</v>
      </c>
      <c r="H96" s="1004">
        <f t="shared" ref="H96:K97" si="19">$F96/LEFT(H$38,1)</f>
        <v>424.33995512577781</v>
      </c>
      <c r="I96" s="1004">
        <f t="shared" si="19"/>
        <v>212.1699775628889</v>
      </c>
      <c r="J96" s="1004">
        <f t="shared" si="19"/>
        <v>141.44665170859261</v>
      </c>
      <c r="K96" s="1004">
        <f t="shared" si="19"/>
        <v>106.08498878144445</v>
      </c>
    </row>
    <row r="97" spans="1:11" ht="15" thickBot="1">
      <c r="A97" s="1011" t="s">
        <v>737</v>
      </c>
      <c r="B97" s="1002">
        <f>Basement!J177</f>
        <v>122.64085756288891</v>
      </c>
      <c r="C97" s="1012">
        <f>C90</f>
        <v>90</v>
      </c>
      <c r="D97" s="986">
        <f>'Steel Column'!R11</f>
        <v>4</v>
      </c>
      <c r="E97" s="1003">
        <f>B97*'Pile Data and Eurocode Factors'!$E$64+C97*'Pile Data and Eurocode Factors'!$E$66</f>
        <v>300.56515770990006</v>
      </c>
      <c r="F97" s="1004">
        <f>B97*'Pile Data and Eurocode Factors'!$F$64+C97*'Pile Data and Eurocode Factors'!$F$66</f>
        <v>239.64085756288893</v>
      </c>
      <c r="G97" s="982">
        <f>SUM(B97:C97)</f>
        <v>212.64085756288893</v>
      </c>
      <c r="H97" s="1004">
        <f t="shared" si="19"/>
        <v>239.64085756288893</v>
      </c>
      <c r="I97" s="1004">
        <f t="shared" si="19"/>
        <v>119.82042878144446</v>
      </c>
      <c r="J97" s="1004">
        <f t="shared" si="19"/>
        <v>79.880285854296304</v>
      </c>
      <c r="K97" s="1004">
        <f t="shared" si="19"/>
        <v>59.910214390722231</v>
      </c>
    </row>
    <row r="99" spans="1:11" ht="15" thickBot="1">
      <c r="A99" s="953" t="str">
        <f>Database!D26</f>
        <v>Steel Frame with CLT Slabs</v>
      </c>
      <c r="B99" s="953"/>
      <c r="C99" s="953"/>
      <c r="D99" s="953"/>
      <c r="E99" s="953"/>
      <c r="F99" s="957"/>
      <c r="G99" s="957"/>
    </row>
    <row r="100" spans="1:11" ht="16.5" thickBot="1">
      <c r="A100" s="979" t="s">
        <v>723</v>
      </c>
      <c r="B100" s="993"/>
      <c r="C100" s="993"/>
      <c r="D100" s="993"/>
      <c r="E100" s="994"/>
      <c r="F100" s="994"/>
      <c r="G100" s="982"/>
      <c r="H100" s="1345" t="s">
        <v>724</v>
      </c>
      <c r="I100" s="1346"/>
      <c r="J100" s="1346"/>
      <c r="K100" s="1347"/>
    </row>
    <row r="101" spans="1:11" ht="15.75" thickBot="1">
      <c r="A101" s="996" t="s">
        <v>725</v>
      </c>
      <c r="B101" s="997" t="s">
        <v>738</v>
      </c>
      <c r="C101" s="998" t="s">
        <v>739</v>
      </c>
      <c r="D101" s="996" t="s">
        <v>728</v>
      </c>
      <c r="E101" s="999" t="s">
        <v>729</v>
      </c>
      <c r="F101" s="996" t="s">
        <v>724</v>
      </c>
      <c r="G101" s="1000" t="s">
        <v>730</v>
      </c>
      <c r="H101" s="1000" t="s">
        <v>731</v>
      </c>
      <c r="I101" s="1000" t="s">
        <v>732</v>
      </c>
      <c r="J101" s="1000" t="s">
        <v>733</v>
      </c>
      <c r="K101" s="1000" t="s">
        <v>734</v>
      </c>
    </row>
    <row r="102" spans="1:11" ht="15" thickBot="1">
      <c r="A102" s="1001" t="s">
        <v>735</v>
      </c>
      <c r="B102" s="1002">
        <f>Basement!D178</f>
        <v>88.72578</v>
      </c>
      <c r="C102" s="1012">
        <f>Basement!E178</f>
        <v>180</v>
      </c>
      <c r="D102" s="986">
        <f>'Steel Column'!L11</f>
        <v>63</v>
      </c>
      <c r="E102" s="1003">
        <f>B102*'Pile Data and Eurocode Factors'!$E$64+C102*'Pile Data and Eurocode Factors'!$E$66</f>
        <v>389.77980300000002</v>
      </c>
      <c r="F102" s="1004">
        <f>B102*'Pile Data and Eurocode Factors'!$F$64+C102*'Pile Data and Eurocode Factors'!$F$66</f>
        <v>322.72577999999999</v>
      </c>
      <c r="G102" s="982">
        <f>SUM(B102:C102)</f>
        <v>268.72577999999999</v>
      </c>
      <c r="H102" s="1004">
        <f>$F102/LEFT(H$38,1)</f>
        <v>322.72577999999999</v>
      </c>
      <c r="I102" s="1004">
        <f t="shared" ref="I102:K102" si="20">$F102/LEFT(I$38,1)</f>
        <v>161.36288999999999</v>
      </c>
      <c r="J102" s="1004">
        <f t="shared" si="20"/>
        <v>107.57526</v>
      </c>
      <c r="K102" s="1004">
        <f t="shared" si="20"/>
        <v>80.681444999999997</v>
      </c>
    </row>
    <row r="103" spans="1:11" ht="15" thickBot="1">
      <c r="A103" s="1005" t="s">
        <v>736</v>
      </c>
      <c r="B103" s="1006">
        <f>Basement!G178</f>
        <v>98.833770000000001</v>
      </c>
      <c r="C103" s="1007">
        <f>Basement!H178</f>
        <v>180</v>
      </c>
      <c r="D103" s="1008">
        <f>'Steel Column'!O12</f>
        <v>32</v>
      </c>
      <c r="E103" s="1009">
        <f>B103*'Pile Data and Eurocode Factors'!$E$64+C103*'Pile Data and Eurocode Factors'!$E$66</f>
        <v>403.4255895</v>
      </c>
      <c r="F103" s="1010">
        <f>B103*'Pile Data and Eurocode Factors'!$F$64+C103*'Pile Data and Eurocode Factors'!$F$66</f>
        <v>332.83377000000002</v>
      </c>
      <c r="G103" s="1004">
        <f>SUM(B103:C103)</f>
        <v>278.83377000000002</v>
      </c>
      <c r="H103" s="1004">
        <f t="shared" ref="H103:K104" si="21">$F103/LEFT(H$38,1)</f>
        <v>332.83377000000002</v>
      </c>
      <c r="I103" s="1004">
        <f t="shared" si="21"/>
        <v>166.41688500000001</v>
      </c>
      <c r="J103" s="1004">
        <f t="shared" si="21"/>
        <v>110.94459000000001</v>
      </c>
      <c r="K103" s="1004">
        <f t="shared" si="21"/>
        <v>83.208442500000004</v>
      </c>
    </row>
    <row r="104" spans="1:11" ht="15" thickBot="1">
      <c r="A104" s="1011" t="s">
        <v>737</v>
      </c>
      <c r="B104" s="1002">
        <f>Basement!J178</f>
        <v>76.887765000000002</v>
      </c>
      <c r="C104" s="1012">
        <f>Basement!K178</f>
        <v>90</v>
      </c>
      <c r="D104" s="986">
        <f>'Steel Column'!R12</f>
        <v>4</v>
      </c>
      <c r="E104" s="1003">
        <f>B104*'Pile Data and Eurocode Factors'!$E$64+C104*'Pile Data and Eurocode Factors'!$E$66</f>
        <v>238.79848275000001</v>
      </c>
      <c r="F104" s="1004">
        <f>B104*'Pile Data and Eurocode Factors'!$F$64+C104*'Pile Data and Eurocode Factors'!$F$66</f>
        <v>193.887765</v>
      </c>
      <c r="G104" s="982">
        <f>SUM(B104:C104)</f>
        <v>166.887765</v>
      </c>
      <c r="H104" s="1004">
        <f t="shared" si="21"/>
        <v>193.887765</v>
      </c>
      <c r="I104" s="1004">
        <f t="shared" si="21"/>
        <v>96.943882500000001</v>
      </c>
      <c r="J104" s="1004">
        <f t="shared" si="21"/>
        <v>64.629255000000001</v>
      </c>
      <c r="K104" s="1004">
        <f t="shared" si="21"/>
        <v>48.47194125</v>
      </c>
    </row>
    <row r="106" spans="1:11" ht="15" thickBot="1">
      <c r="A106" s="953" t="str">
        <f>Database!D27</f>
        <v>CLT, Glulam and Steel Column Hybrid</v>
      </c>
      <c r="B106" s="953"/>
      <c r="C106" s="953"/>
      <c r="D106" s="953"/>
      <c r="E106" s="953"/>
      <c r="F106" s="957"/>
      <c r="G106" s="957"/>
    </row>
    <row r="107" spans="1:11" ht="16.5" thickBot="1">
      <c r="A107" s="979" t="s">
        <v>723</v>
      </c>
      <c r="B107" s="993"/>
      <c r="C107" s="993"/>
      <c r="D107" s="993"/>
      <c r="E107" s="994"/>
      <c r="F107" s="994"/>
      <c r="G107" s="982"/>
      <c r="H107" s="1345" t="s">
        <v>724</v>
      </c>
      <c r="I107" s="1346"/>
      <c r="J107" s="1346"/>
      <c r="K107" s="1347"/>
    </row>
    <row r="108" spans="1:11" ht="15.75" thickBot="1">
      <c r="A108" s="996" t="s">
        <v>725</v>
      </c>
      <c r="B108" s="997" t="s">
        <v>738</v>
      </c>
      <c r="C108" s="998" t="s">
        <v>739</v>
      </c>
      <c r="D108" s="996" t="s">
        <v>728</v>
      </c>
      <c r="E108" s="999" t="s">
        <v>729</v>
      </c>
      <c r="F108" s="996" t="s">
        <v>724</v>
      </c>
      <c r="G108" s="1000" t="s">
        <v>730</v>
      </c>
      <c r="H108" s="1000" t="s">
        <v>731</v>
      </c>
      <c r="I108" s="1000" t="s">
        <v>732</v>
      </c>
      <c r="J108" s="1000" t="s">
        <v>733</v>
      </c>
      <c r="K108" s="1000" t="s">
        <v>734</v>
      </c>
    </row>
    <row r="109" spans="1:11" ht="15" thickBot="1">
      <c r="A109" s="1001" t="s">
        <v>735</v>
      </c>
      <c r="B109" s="1002">
        <f>Basement!D179</f>
        <v>95.109566399999977</v>
      </c>
      <c r="C109" s="1012">
        <f>Basement!E179</f>
        <v>180</v>
      </c>
      <c r="D109" s="986">
        <f>'Steel Column'!L13</f>
        <v>63</v>
      </c>
      <c r="E109" s="1003">
        <f>B109*'Pile Data and Eurocode Factors'!$E$64+C109*'Pile Data and Eurocode Factors'!$E$66</f>
        <v>398.39791463999995</v>
      </c>
      <c r="F109" s="1004">
        <f>B109*'Pile Data and Eurocode Factors'!$F$64+C109*'Pile Data and Eurocode Factors'!$F$66</f>
        <v>329.10956639999995</v>
      </c>
      <c r="G109" s="982">
        <f>SUM(B109:C109)</f>
        <v>275.10956639999995</v>
      </c>
      <c r="H109" s="1004">
        <f>$F109/LEFT(H$38,1)</f>
        <v>329.10956639999995</v>
      </c>
      <c r="I109" s="1004">
        <f t="shared" ref="I109:K109" si="22">$F109/LEFT(I$38,1)</f>
        <v>164.55478319999997</v>
      </c>
      <c r="J109" s="1004">
        <f t="shared" si="22"/>
        <v>109.70318879999998</v>
      </c>
      <c r="K109" s="1004">
        <f t="shared" si="22"/>
        <v>82.277391599999987</v>
      </c>
    </row>
    <row r="110" spans="1:11" ht="15" thickBot="1">
      <c r="A110" s="1005" t="s">
        <v>736</v>
      </c>
      <c r="B110" s="1006">
        <f>Basement!G179</f>
        <v>102.02566319999998</v>
      </c>
      <c r="C110" s="1007">
        <f>Basement!H179</f>
        <v>180</v>
      </c>
      <c r="D110" s="1008">
        <f>'Steel Column'!O13</f>
        <v>32</v>
      </c>
      <c r="E110" s="1009">
        <f>B110*'Pile Data and Eurocode Factors'!$E$64+C110*'Pile Data and Eurocode Factors'!$E$66</f>
        <v>407.73464532000003</v>
      </c>
      <c r="F110" s="1010">
        <f>B110*'Pile Data and Eurocode Factors'!$F$64+C110*'Pile Data and Eurocode Factors'!$F$66</f>
        <v>336.0256632</v>
      </c>
      <c r="G110" s="1004">
        <f>SUM(B110:C110)</f>
        <v>282.0256632</v>
      </c>
      <c r="H110" s="1004">
        <f t="shared" ref="H110:K111" si="23">$F110/LEFT(H$38,1)</f>
        <v>336.0256632</v>
      </c>
      <c r="I110" s="1004">
        <f t="shared" si="23"/>
        <v>168.0128316</v>
      </c>
      <c r="J110" s="1004">
        <f t="shared" si="23"/>
        <v>112.00855439999999</v>
      </c>
      <c r="K110" s="1004">
        <f t="shared" si="23"/>
        <v>84.006415799999999</v>
      </c>
    </row>
    <row r="111" spans="1:11" ht="15" thickBot="1">
      <c r="A111" s="1011" t="s">
        <v>737</v>
      </c>
      <c r="B111" s="1002">
        <f>Basement!J179</f>
        <v>78.483711599999992</v>
      </c>
      <c r="C111" s="1012">
        <f>Basement!K179</f>
        <v>90</v>
      </c>
      <c r="D111" s="986">
        <f>'Steel Column'!R13</f>
        <v>4</v>
      </c>
      <c r="E111" s="1003">
        <f>B111*'Pile Data and Eurocode Factors'!$E$64+C111*'Pile Data and Eurocode Factors'!$E$66</f>
        <v>240.95301065999999</v>
      </c>
      <c r="F111" s="1004">
        <f>B111*'Pile Data and Eurocode Factors'!$F$64+C111*'Pile Data and Eurocode Factors'!$F$66</f>
        <v>195.48371159999999</v>
      </c>
      <c r="G111" s="982">
        <f>SUM(B111:C111)</f>
        <v>168.48371159999999</v>
      </c>
      <c r="H111" s="1004">
        <f t="shared" si="23"/>
        <v>195.48371159999999</v>
      </c>
      <c r="I111" s="1004">
        <f t="shared" si="23"/>
        <v>97.741855799999996</v>
      </c>
      <c r="J111" s="1004">
        <f t="shared" si="23"/>
        <v>65.161237200000002</v>
      </c>
      <c r="K111" s="1004">
        <f t="shared" si="23"/>
        <v>48.870927899999998</v>
      </c>
    </row>
    <row r="113" spans="1:11" ht="15" thickBot="1">
      <c r="A113" s="953" t="s">
        <v>740</v>
      </c>
      <c r="B113" s="953"/>
      <c r="C113" s="953"/>
      <c r="D113" s="953"/>
      <c r="E113" s="953"/>
      <c r="F113" s="957"/>
      <c r="G113" s="957"/>
    </row>
    <row r="114" spans="1:11" ht="16.5" thickBot="1">
      <c r="A114" s="979" t="s">
        <v>723</v>
      </c>
      <c r="B114" s="993"/>
      <c r="C114" s="993"/>
      <c r="D114" s="993"/>
      <c r="E114" s="994"/>
      <c r="F114" s="994"/>
      <c r="G114" s="982"/>
      <c r="H114" s="1345" t="s">
        <v>724</v>
      </c>
      <c r="I114" s="1346"/>
      <c r="J114" s="1346"/>
      <c r="K114" s="1347"/>
    </row>
    <row r="115" spans="1:11" ht="15.75" thickBot="1">
      <c r="A115" s="996" t="s">
        <v>725</v>
      </c>
      <c r="B115" s="997" t="s">
        <v>738</v>
      </c>
      <c r="C115" s="998" t="s">
        <v>739</v>
      </c>
      <c r="D115" s="996" t="s">
        <v>728</v>
      </c>
      <c r="E115" s="999" t="s">
        <v>729</v>
      </c>
      <c r="F115" s="996" t="s">
        <v>724</v>
      </c>
      <c r="G115" s="1000" t="s">
        <v>730</v>
      </c>
      <c r="H115" s="1000" t="s">
        <v>731</v>
      </c>
      <c r="I115" s="1000" t="s">
        <v>732</v>
      </c>
      <c r="J115" s="1000" t="s">
        <v>733</v>
      </c>
      <c r="K115" s="1000" t="s">
        <v>734</v>
      </c>
    </row>
    <row r="116" spans="1:11" ht="15" thickBot="1">
      <c r="A116" s="1001" t="s">
        <v>735</v>
      </c>
      <c r="B116" s="1022"/>
      <c r="C116" s="986"/>
      <c r="D116" s="986"/>
      <c r="E116" s="1003">
        <f>B116*'Pile Data and Eurocode Factors'!$E$64+C116*'Pile Data and Eurocode Factors'!$E$66</f>
        <v>0</v>
      </c>
      <c r="F116" s="1004">
        <f>B116*'Pile Data and Eurocode Factors'!$F$64+C116*'Pile Data and Eurocode Factors'!$F$66</f>
        <v>0</v>
      </c>
      <c r="G116" s="982">
        <f>SUM(B116:C116)</f>
        <v>0</v>
      </c>
      <c r="H116" s="1004">
        <f>$F116/LEFT(H$38,1)</f>
        <v>0</v>
      </c>
      <c r="I116" s="1004">
        <f t="shared" ref="I116:K116" si="24">$F116/LEFT(I$38,1)</f>
        <v>0</v>
      </c>
      <c r="J116" s="1004">
        <f t="shared" si="24"/>
        <v>0</v>
      </c>
      <c r="K116" s="1004">
        <f t="shared" si="24"/>
        <v>0</v>
      </c>
    </row>
    <row r="117" spans="1:11" ht="15" thickBot="1">
      <c r="A117" s="1005" t="s">
        <v>736</v>
      </c>
      <c r="B117" s="1023"/>
      <c r="C117" s="1024"/>
      <c r="D117" s="1008"/>
      <c r="E117" s="1009">
        <f>B117*'Pile Data and Eurocode Factors'!$E$64+C117*'Pile Data and Eurocode Factors'!$E$66</f>
        <v>0</v>
      </c>
      <c r="F117" s="1010">
        <f>B117*'Pile Data and Eurocode Factors'!$F$64+C117*'Pile Data and Eurocode Factors'!$F$66</f>
        <v>0</v>
      </c>
      <c r="G117" s="1004">
        <f>SUM(B117:C117)</f>
        <v>0</v>
      </c>
      <c r="H117" s="1004">
        <f t="shared" ref="H117:K118" si="25">$F117/LEFT(H$38,1)</f>
        <v>0</v>
      </c>
      <c r="I117" s="1004">
        <f t="shared" si="25"/>
        <v>0</v>
      </c>
      <c r="J117" s="1004">
        <f t="shared" si="25"/>
        <v>0</v>
      </c>
      <c r="K117" s="1004">
        <f t="shared" si="25"/>
        <v>0</v>
      </c>
    </row>
    <row r="118" spans="1:11" ht="15" thickBot="1">
      <c r="A118" s="1011" t="s">
        <v>737</v>
      </c>
      <c r="B118" s="1022"/>
      <c r="C118" s="986"/>
      <c r="D118" s="986"/>
      <c r="E118" s="1003">
        <f>B118*'Pile Data and Eurocode Factors'!$E$64+C118*'Pile Data and Eurocode Factors'!$E$66</f>
        <v>0</v>
      </c>
      <c r="F118" s="1004">
        <f>B118*'Pile Data and Eurocode Factors'!$F$64+C118*'Pile Data and Eurocode Factors'!$F$66</f>
        <v>0</v>
      </c>
      <c r="G118" s="982">
        <f>SUM(B118:C118)</f>
        <v>0</v>
      </c>
      <c r="H118" s="1004">
        <f t="shared" si="25"/>
        <v>0</v>
      </c>
      <c r="I118" s="1004">
        <f t="shared" si="25"/>
        <v>0</v>
      </c>
      <c r="J118" s="1004">
        <f t="shared" si="25"/>
        <v>0</v>
      </c>
      <c r="K118" s="1004">
        <f t="shared" si="25"/>
        <v>0</v>
      </c>
    </row>
  </sheetData>
  <mergeCells count="16">
    <mergeCell ref="A1:I4"/>
    <mergeCell ref="A6:I7"/>
    <mergeCell ref="C12:F12"/>
    <mergeCell ref="A23:I24"/>
    <mergeCell ref="H37:K37"/>
    <mergeCell ref="H44:K44"/>
    <mergeCell ref="H51:K51"/>
    <mergeCell ref="H58:K58"/>
    <mergeCell ref="H65:K65"/>
    <mergeCell ref="H72:K72"/>
    <mergeCell ref="H114:K114"/>
    <mergeCell ref="H79:K79"/>
    <mergeCell ref="H86:K86"/>
    <mergeCell ref="H93:K93"/>
    <mergeCell ref="H100:K100"/>
    <mergeCell ref="H107:K107"/>
  </mergeCells>
  <phoneticPr fontId="24" type="noConversion"/>
  <conditionalFormatting sqref="E13:F13">
    <cfRule type="expression" dxfId="16" priority="16">
      <formula>AND($D$14="No",$D$15="No",$D$16="No",$D$17="No")</formula>
    </cfRule>
  </conditionalFormatting>
  <conditionalFormatting sqref="C12:F12">
    <cfRule type="expression" dxfId="15" priority="15">
      <formula>$C$12="Warning! Gap in Ground Model"</formula>
    </cfRule>
  </conditionalFormatting>
  <conditionalFormatting sqref="C14:F14 D15:F17">
    <cfRule type="expression" dxfId="14" priority="14">
      <formula>AND($B$14="None", $C$14=0)</formula>
    </cfRule>
  </conditionalFormatting>
  <conditionalFormatting sqref="C15:C17">
    <cfRule type="expression" dxfId="13" priority="7">
      <formula>AND($B$15="None",$C$15=0)</formula>
    </cfRule>
  </conditionalFormatting>
  <conditionalFormatting sqref="E14:F17">
    <cfRule type="expression" dxfId="12" priority="11">
      <formula>$D$14="No"</formula>
    </cfRule>
  </conditionalFormatting>
  <conditionalFormatting sqref="A33:B34">
    <cfRule type="expression" dxfId="11" priority="6">
      <formula>$B$31="No"</formula>
    </cfRule>
  </conditionalFormatting>
  <conditionalFormatting sqref="A32:B32">
    <cfRule type="expression" dxfId="10" priority="5">
      <formula>$B$31="No"</formula>
    </cfRule>
  </conditionalFormatting>
  <conditionalFormatting sqref="G14">
    <cfRule type="expression" dxfId="9" priority="4">
      <formula>$D$14="No"</formula>
    </cfRule>
  </conditionalFormatting>
  <conditionalFormatting sqref="G15">
    <cfRule type="expression" dxfId="8" priority="3">
      <formula>$D$15="No"</formula>
    </cfRule>
  </conditionalFormatting>
  <conditionalFormatting sqref="G16">
    <cfRule type="expression" dxfId="7" priority="2">
      <formula>$D$16="No"</formula>
    </cfRule>
  </conditionalFormatting>
  <conditionalFormatting sqref="G17">
    <cfRule type="expression" dxfId="6" priority="1">
      <formula>$D$17="No"</formula>
    </cfRule>
  </conditionalFormatting>
  <dataValidations count="23">
    <dataValidation type="list" allowBlank="1" showInputMessage="1" showErrorMessage="1" promptTitle="Thickness of Strata" prompt="Select the strata thickness to the closest 2m._x000a_If the strata is &quot;None&quot; then select 0. " sqref="C14:C17" xr:uid="{F4751577-8967-4E6F-8F95-6C9F292C2983}">
      <formula1>"0,2,4,6,8,10,12,14,16,18,20,22,24,26,28,30,32,34,36,38,40"</formula1>
    </dataValidation>
    <dataValidation allowBlank="1" showInputMessage="1" showErrorMessage="1" promptTitle="Servicable Limit State Loads" prompt="These are the SLS loads (the sum of permenant and variable loadings)." sqref="G38 G45 G52 G59 G66 G73 G80 G87 G94 G101 G108 G115" xr:uid="{92B24E11-E17D-4540-932F-82FFAE05334C}"/>
    <dataValidation allowBlank="1" showInputMessage="1" showErrorMessage="1" promptTitle="Factored Loads" prompt="These permenant and variable loads have been factored using DA1-C1 Methods from Eurocode 7." sqref="E38:F38 E45:F45 E52:F52 E59:F59 E66:F66 E73:F73 E80:F80 E87:F87 E94:F94 E101:F101 E108:F108 E115:F115 H37 H44 H51 H58 H65 H72 H79 H86 H93 H100 H107 H114" xr:uid="{965D4A8A-9E1A-4512-9832-8594D783D4B5}"/>
    <dataValidation allowBlank="1" showInputMessage="1" showErrorMessage="1" promptTitle="Variable Loading Central Column" prompt="State the variable loading (in kN) of the central columns." sqref="C116:C118 C46:C48 C53:C55 C60:C62 C67:C69 C74:C76 C81:C83 C88:C90 C95:C97 C102:C104 C109:C111 C40:C41" xr:uid="{DFE50C6D-1B7C-41B3-89B6-53937A989AC1}"/>
    <dataValidation allowBlank="1" showInputMessage="1" showErrorMessage="1" promptTitle="Permanent Loading Corner Column" prompt="State the permanent loading (in kN) of the corner columns." sqref="B41 B48 B55 B62 B69 B76 B83 B90 B97 B104 B111 B118" xr:uid="{A6574938-8520-4DFF-A7CD-6D66752A4EE3}"/>
    <dataValidation allowBlank="1" showInputMessage="1" showErrorMessage="1" promptTitle="Permanent Loading Edge Column" prompt="Starte the permanent load (in kN) for the edge columns." sqref="B40 B47 B54 B61 B68 B75 B82 B89 B96 B103 B110 B117" xr:uid="{B9AC3E3D-0F45-4438-BB77-EE693C241220}"/>
    <dataValidation allowBlank="1" showInputMessage="1" showErrorMessage="1" promptTitle="Permanent Loading Central Column" prompt="State the permanent loading (in kN) of the central columns." sqref="B39:C39 B46 B53 B60 B67 B74 B81 B88 B95 B102 B109 B116" xr:uid="{74ED1A1E-E2A1-450A-9523-57A971F88699}"/>
    <dataValidation allowBlank="1" showInputMessage="1" showErrorMessage="1" promptTitle="Raft Thickness" prompt="State the thickness of the raft foundation. " sqref="E28" xr:uid="{1CF764EC-2801-49B8-B901-67DCA8987AA3}"/>
    <dataValidation allowBlank="1" showInputMessage="1" showErrorMessage="1" promptTitle="Shallow Foundation Thickness" prompt="State the thickness of the shallow foundation. " sqref="E27" xr:uid="{4869E689-64E6-4EB1-AB0A-BCC46FFFC914}"/>
    <dataValidation type="list" allowBlank="1" showInputMessage="1" showErrorMessage="1" promptTitle="Driven Pile Suitability" prompt="Driven piles are considered unsuitable if:_x000a__x000a_Environmental noise is a concern;_x000a_Vibrational effects in an urban area are a concern._x000a__x000a_If either of these issues are likely to exist, select yes. " sqref="E31:E32" xr:uid="{0B6E8FBB-6DDD-4C38-B953-B678DC25CD57}">
      <formula1>"Yes,No"</formula1>
    </dataValidation>
    <dataValidation type="list" allowBlank="1" showInputMessage="1" showErrorMessage="1" promptTitle="Pile Diameter for Pile Wall" prompt="State the pile diameter for the pile wall." sqref="B34" xr:uid="{ABB56A91-8035-4C38-91F2-13FADE3045E5}">
      <formula1>"600,750,N/A"</formula1>
    </dataValidation>
    <dataValidation type="list" allowBlank="1" showInputMessage="1" showErrorMessage="1" promptTitle="Basement Pile Wall Props" prompt="Does the basement pile wall require props?" sqref="B33" xr:uid="{7ABACF74-96FD-4A5F-A94E-AE550AA40CAE}">
      <formula1>"Yes,No"</formula1>
    </dataValidation>
    <dataValidation allowBlank="1" showInputMessage="1" showErrorMessage="1" promptTitle="Number of Corner Columns" prompt="How many corner columns are there?" sqref="D41 D48 D55 D62 D69 D76 D83 D90 D97 D104 D111 D118" xr:uid="{F803FF94-CF0A-444A-8617-CD473804EF38}"/>
    <dataValidation allowBlank="1" showInputMessage="1" showErrorMessage="1" promptTitle="Number of Edge Columns" prompt="How many edge columns are there?" sqref="D40 D47 D54 D61 D68 D75 D82 D89 D96 D103 D110 D117" xr:uid="{1F650782-B64E-47AD-9A57-E15C5ED2858A}"/>
    <dataValidation allowBlank="1" showInputMessage="1" showErrorMessage="1" promptTitle="Number of Central Columns" prompt="How many central columns are there?" sqref="D39 D46 D53 D60 D67 D74 D81 D88 D95 D102 D109 D116" xr:uid="{B04D0020-B428-4C43-978F-B0F0AA77EBA1}"/>
    <dataValidation type="custom" allowBlank="1" showInputMessage="1" showErrorMessage="1" errorTitle="Width longer than Length" error="The width of the building must be shorter than the length of the building. " promptTitle="Width of the Builiding" prompt="State the width of the structure. _x000a__x000a_The width of the structure must be smaller than the length of the structure._x000a__x000a_(This model assumes a rectangular footprint)." sqref="B28" xr:uid="{DFC75F22-6272-4926-970A-CE70BCD96C38}">
      <formula1>B28&lt;B27</formula1>
    </dataValidation>
    <dataValidation type="custom" allowBlank="1" showInputMessage="1" showErrorMessage="1" errorTitle="Invalid Entry" error="Ensure that the length of the building is greater than the width. " promptTitle="Length of the Building" prompt="State the length (longest side) of the structure. _x000a__x000a_The length of the structure must be greater than the width of the structure._x000a__x000a_(This model assumes a rectangular footprint)." sqref="B27" xr:uid="{5026AA89-E2F1-4ED1-9FC3-F67305410880}">
      <formula1>B27&gt;B28</formula1>
    </dataValidation>
    <dataValidation allowBlank="1" showInputMessage="1" showErrorMessage="1" promptTitle="Rate of Strength Increase" prompt="State the rate at which the undrained shear strength increases per metre." sqref="F14:F17" xr:uid="{5C8FC5A6-BDBF-4A1B-BF9A-DF5F2D624648}"/>
    <dataValidation allowBlank="1" showInputMessage="1" showErrorMessage="1" promptTitle="Top of Clay Strength" prompt="State the undrained shear strength of the clay at the top of the stratum." sqref="E14:E17" xr:uid="{14121CA2-7A6F-4B47-B85B-62B7F9FAADEB}"/>
    <dataValidation allowBlank="1" showInputMessage="1" showErrorMessage="1" promptTitle="Level Above Ordnance Datum" prompt="If the Average Surface Level Above Ordnance Datum is not known. Put the value 0. " sqref="B9" xr:uid="{6373EEFF-3A61-4614-BC1E-695C25CA3EF2}"/>
    <dataValidation type="list" allowBlank="1" showInputMessage="1" showErrorMessage="1" promptTitle="Depth of Basement" prompt="State the depth of the basement to the nearest meter. " sqref="B32" xr:uid="{5F68D9D0-AF09-4C44-B3E7-9C92931A4A45}">
      <formula1>"0,1,2,3,4,5"</formula1>
    </dataValidation>
    <dataValidation type="list" allowBlank="1" showInputMessage="1" showErrorMessage="1" promptTitle="Groundwater Depth" prompt="This is the ground water level at metres below ground level." sqref="B11" xr:uid="{08E5AFF3-A96B-4DEF-8D13-CAA930FC4B4A}">
      <formula1>"1,2,3,4,5,6,7,8,9,10,11,12,13,14,15,16,17,18,19,20,21,22,23,24,25,26,27,28,29,30,31,32,33,34,35,36,37,38,39,40"</formula1>
    </dataValidation>
    <dataValidation type="list" allowBlank="1" showInputMessage="1" showErrorMessage="1" promptTitle="Basement" prompt="State if the proposed structure has a basement." sqref="B31" xr:uid="{D94C7DC6-7359-4049-85E4-50970CA0A88D}">
      <formula1>"Yes,No"</formula1>
    </dataValidation>
  </dataValidations>
  <hyperlinks>
    <hyperlink ref="A19" r:id="rId1" xr:uid="{E088451E-301C-4F25-BB1F-4249A8D9B1CB}"/>
  </hyperlinks>
  <pageMargins left="0.7" right="0.7" top="0.75" bottom="0.75" header="0.3" footer="0.3"/>
  <pageSetup paperSize="9" orientation="portrait" horizontalDpi="300" r:id="rId2"/>
  <drawing r:id="rId3"/>
  <extLst>
    <ext xmlns:x14="http://schemas.microsoft.com/office/spreadsheetml/2009/9/main" uri="{CCE6A557-97BC-4b89-ADB6-D9C93CAAB3DF}">
      <x14:dataValidations xmlns:xm="http://schemas.microsoft.com/office/excel/2006/main" count="1">
        <x14:dataValidation type="list" allowBlank="1" showInputMessage="1" showErrorMessage="1" xr:uid="{9EFD173D-4A2B-4BEA-BA7C-5DF469D65D5F}">
          <x14:formula1>
            <xm:f>'Ground Model Database'!$A$8:$A$21</xm:f>
          </x14:formula1>
          <xm:sqref>B14:B17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45DC4-8A7E-4948-8231-8C0A6F2D4B0E}">
  <sheetPr codeName="Sheet11">
    <tabColor theme="9" tint="0.59999389629810485"/>
  </sheetPr>
  <dimension ref="A1:Q106"/>
  <sheetViews>
    <sheetView zoomScale="70" zoomScaleNormal="70" workbookViewId="0">
      <selection activeCell="D45" sqref="D45"/>
    </sheetView>
  </sheetViews>
  <sheetFormatPr defaultColWidth="9.140625" defaultRowHeight="14.25"/>
  <cols>
    <col min="1" max="1" width="60.42578125" style="284" customWidth="1"/>
    <col min="2" max="2" width="14" style="284" customWidth="1"/>
    <col min="3" max="3" width="14.42578125" style="284" customWidth="1"/>
    <col min="4" max="7" width="19.5703125" style="284" customWidth="1"/>
    <col min="8" max="10" width="9.140625" style="284"/>
    <col min="11" max="11" width="69.42578125" style="284" customWidth="1"/>
    <col min="12" max="15" width="25.5703125" style="284" customWidth="1"/>
    <col min="16" max="16" width="21.85546875" style="284" customWidth="1"/>
    <col min="17" max="17" width="23" style="284" customWidth="1"/>
    <col min="18" max="16384" width="9.140625" style="284"/>
  </cols>
  <sheetData>
    <row r="1" spans="1:17" ht="71.45" customHeight="1">
      <c r="A1" s="1366" t="s">
        <v>1160</v>
      </c>
      <c r="B1" s="1367"/>
      <c r="C1" s="1367"/>
      <c r="D1" s="1367"/>
      <c r="E1" s="1367"/>
      <c r="F1" s="1367"/>
      <c r="G1" s="1367"/>
      <c r="H1" s="1367"/>
      <c r="I1" s="1367"/>
      <c r="J1" s="1367"/>
      <c r="K1" s="1367"/>
      <c r="L1" s="1367"/>
      <c r="M1" s="1367"/>
      <c r="N1" s="1367"/>
      <c r="O1" s="1367"/>
      <c r="P1" s="1367"/>
    </row>
    <row r="2" spans="1:17" ht="33.75" customHeight="1">
      <c r="A2" s="1105" t="s">
        <v>1161</v>
      </c>
      <c r="B2" s="1106"/>
      <c r="C2" s="1106"/>
      <c r="D2" s="1106"/>
      <c r="E2" s="1106"/>
      <c r="F2" s="1106"/>
      <c r="G2" s="1106"/>
      <c r="H2" s="1106"/>
      <c r="I2" s="1106"/>
      <c r="J2" s="1106"/>
      <c r="K2" s="1106"/>
      <c r="L2" s="1106"/>
      <c r="M2" s="1106"/>
      <c r="N2" s="1106"/>
      <c r="O2" s="1106"/>
      <c r="P2" s="1106"/>
      <c r="Q2" s="1106"/>
    </row>
    <row r="3" spans="1:17" ht="15" thickBot="1">
      <c r="A3" s="953"/>
      <c r="B3" s="953"/>
      <c r="C3" s="953"/>
      <c r="D3" s="953"/>
      <c r="E3" s="953"/>
      <c r="F3" s="953"/>
      <c r="G3" s="953"/>
      <c r="H3" s="953"/>
      <c r="I3" s="953"/>
      <c r="J3" s="953"/>
      <c r="K3" s="953"/>
      <c r="L3" s="953"/>
      <c r="M3" s="953"/>
      <c r="N3" s="953"/>
      <c r="O3" s="953"/>
      <c r="P3" s="953"/>
      <c r="Q3" s="953"/>
    </row>
    <row r="4" spans="1:17" ht="18.75" customHeight="1" thickBot="1">
      <c r="A4" s="1107" t="s">
        <v>1162</v>
      </c>
      <c r="B4" s="953"/>
      <c r="C4" s="953"/>
      <c r="D4" s="953"/>
      <c r="E4" s="953"/>
      <c r="F4" s="953"/>
      <c r="G4" s="953"/>
      <c r="H4" s="953"/>
      <c r="I4" s="953"/>
      <c r="J4" s="953"/>
      <c r="K4" s="953"/>
      <c r="L4" s="953"/>
      <c r="M4" s="953"/>
      <c r="N4" s="953"/>
      <c r="O4" s="953"/>
      <c r="P4" s="953"/>
      <c r="Q4" s="953"/>
    </row>
    <row r="5" spans="1:17" ht="15" thickBot="1">
      <c r="A5" s="1108"/>
      <c r="B5" s="1109"/>
      <c r="C5" s="1109"/>
      <c r="D5" s="1110" t="s">
        <v>1163</v>
      </c>
      <c r="E5" s="1111" t="s">
        <v>51</v>
      </c>
      <c r="F5" s="1111" t="s">
        <v>55</v>
      </c>
      <c r="G5" s="1112" t="s">
        <v>1164</v>
      </c>
      <c r="H5" s="953"/>
      <c r="I5" s="953"/>
      <c r="J5" s="953"/>
      <c r="K5" s="953"/>
      <c r="L5" s="953"/>
      <c r="M5" s="953"/>
      <c r="N5" s="953"/>
      <c r="O5" s="953"/>
      <c r="P5" s="953"/>
      <c r="Q5" s="953"/>
    </row>
    <row r="6" spans="1:17" ht="15" thickBot="1">
      <c r="A6" s="1113"/>
      <c r="B6" s="1114" t="s">
        <v>1165</v>
      </c>
      <c r="C6" s="1114" t="s">
        <v>1166</v>
      </c>
      <c r="D6" s="1115" t="str">
        <f>Inputs!B14</f>
        <v>Loose Sand/Gravel</v>
      </c>
      <c r="E6" s="1115" t="str">
        <f>Inputs!B15</f>
        <v>Firm Clay</v>
      </c>
      <c r="F6" s="1115" t="str">
        <f>Inputs!B16</f>
        <v>Medium Sand/Gravel</v>
      </c>
      <c r="G6" s="1116" t="str">
        <f>Inputs!B17</f>
        <v>Medium Density Chalk</v>
      </c>
      <c r="H6" s="953"/>
      <c r="I6" s="953"/>
      <c r="J6" s="953"/>
      <c r="K6" s="953"/>
      <c r="L6" s="953"/>
      <c r="M6" s="953"/>
      <c r="N6" s="953"/>
      <c r="O6" s="953"/>
      <c r="P6" s="953"/>
      <c r="Q6" s="953"/>
    </row>
    <row r="7" spans="1:17">
      <c r="A7" s="1117" t="s">
        <v>103</v>
      </c>
      <c r="B7" s="1118" t="s">
        <v>1167</v>
      </c>
      <c r="C7" s="1119" t="s">
        <v>1167</v>
      </c>
      <c r="D7" s="1120" t="str">
        <f>INDEX('Ground Model Database'!B7:B21,MATCH('Ground Model Results'!D6,'Ground Model Database'!A7:A21,0))</f>
        <v>Granular</v>
      </c>
      <c r="E7" s="1121" t="str">
        <f>INDEX('Ground Model Database'!B7:B21,MATCH('Ground Model Results'!E6,'Ground Model Database'!A7:A21,0))</f>
        <v>Cohesive</v>
      </c>
      <c r="F7" s="1121" t="str">
        <f>INDEX('Ground Model Database'!B7:B21,MATCH('Ground Model Results'!F6,'Ground Model Database'!A7:A21,0))</f>
        <v>Granular</v>
      </c>
      <c r="G7" s="1122" t="str">
        <f>INDEX('Ground Model Database'!B7:B21,MATCH('Ground Model Results'!G6,'Ground Model Database'!A7:A21,0))</f>
        <v>Chalk</v>
      </c>
      <c r="H7" s="1123"/>
      <c r="I7" s="953"/>
      <c r="J7" s="953"/>
      <c r="K7" s="953"/>
      <c r="L7" s="953"/>
      <c r="M7" s="953"/>
      <c r="N7" s="953"/>
      <c r="O7" s="953"/>
      <c r="P7" s="953"/>
      <c r="Q7" s="953"/>
    </row>
    <row r="8" spans="1:17">
      <c r="A8" s="1124" t="s">
        <v>1168</v>
      </c>
      <c r="B8" s="1125" t="s">
        <v>1167</v>
      </c>
      <c r="C8" s="1126" t="s">
        <v>67</v>
      </c>
      <c r="D8" s="1127">
        <f>IF(D6="None",0,MROUND(Inputs!$B$9,2))</f>
        <v>6</v>
      </c>
      <c r="E8" s="1128">
        <f>D8-D10</f>
        <v>0</v>
      </c>
      <c r="F8" s="1128">
        <f>D8-D10-E10</f>
        <v>-6</v>
      </c>
      <c r="G8" s="1129">
        <f>D8-D10-E10-F10</f>
        <v>-36</v>
      </c>
      <c r="H8" s="1123"/>
      <c r="I8" s="953"/>
      <c r="J8" s="953"/>
      <c r="K8" s="953"/>
      <c r="L8" s="953"/>
      <c r="M8" s="953"/>
      <c r="N8" s="953"/>
      <c r="O8" s="953"/>
      <c r="P8" s="953"/>
      <c r="Q8" s="953"/>
    </row>
    <row r="9" spans="1:17">
      <c r="A9" s="1124" t="s">
        <v>1169</v>
      </c>
      <c r="B9" s="1130" t="s">
        <v>1167</v>
      </c>
      <c r="C9" s="1131" t="s">
        <v>67</v>
      </c>
      <c r="D9" s="1132">
        <f>D8-D10</f>
        <v>0</v>
      </c>
      <c r="E9" s="1133">
        <f>D8-D10-E10</f>
        <v>-6</v>
      </c>
      <c r="F9" s="1133">
        <f>D8-D10-E10-F10</f>
        <v>-36</v>
      </c>
      <c r="G9" s="1134">
        <f>D8-D10-E10-F10-G10</f>
        <v>-42</v>
      </c>
      <c r="H9" s="1123"/>
      <c r="I9" s="1123"/>
      <c r="J9" s="1123"/>
      <c r="K9" s="1123"/>
      <c r="L9" s="1123"/>
      <c r="M9" s="1123"/>
      <c r="N9" s="1123"/>
      <c r="O9" s="1123"/>
      <c r="P9" s="1123"/>
      <c r="Q9" s="1123"/>
    </row>
    <row r="10" spans="1:17">
      <c r="A10" s="1124" t="s">
        <v>1170</v>
      </c>
      <c r="B10" s="1125" t="s">
        <v>1167</v>
      </c>
      <c r="C10" s="1126" t="s">
        <v>15</v>
      </c>
      <c r="D10" s="1127">
        <f>IF(D6="None",0,MROUND(Inputs!C14,2))</f>
        <v>6</v>
      </c>
      <c r="E10" s="1128">
        <f>IF(E6="None",0,MROUND(Inputs!C15,2))</f>
        <v>6</v>
      </c>
      <c r="F10" s="1128">
        <f>IF(F6="None",0,MROUND(Inputs!C16,2))</f>
        <v>30</v>
      </c>
      <c r="G10" s="1129">
        <f>IF(G6="None",0,MROUND(Inputs!C17,2))</f>
        <v>6</v>
      </c>
      <c r="H10" s="1123"/>
      <c r="I10" s="1123"/>
      <c r="J10" s="1123"/>
      <c r="K10" s="1123"/>
      <c r="L10" s="1123"/>
      <c r="M10" s="1123"/>
      <c r="N10" s="1123"/>
      <c r="O10" s="1123"/>
      <c r="P10" s="1123"/>
      <c r="Q10" s="1123"/>
    </row>
    <row r="11" spans="1:17" s="436" customFormat="1" ht="12.75" customHeight="1">
      <c r="A11" s="1124" t="s">
        <v>1171</v>
      </c>
      <c r="B11" s="1135" t="s">
        <v>1172</v>
      </c>
      <c r="C11" s="1131" t="s">
        <v>1173</v>
      </c>
      <c r="D11" s="1132">
        <f>INDEX('Ground Model Database'!C7:C21,MATCH(Inputs!B14,'Ground Model Database'!A7:A21,0))</f>
        <v>19</v>
      </c>
      <c r="E11" s="1133">
        <f>INDEX('Ground Model Database'!C7:C21,MATCH(Inputs!B15,'Ground Model Database'!A7:A21,0))</f>
        <v>18.5</v>
      </c>
      <c r="F11" s="1133">
        <f>INDEX('Ground Model Database'!C7:C21,MATCH(Inputs!B16,'Ground Model Database'!A7:A21,0))</f>
        <v>19.5</v>
      </c>
      <c r="G11" s="1134">
        <f>INDEX('Ground Model Database'!C7:C21,MATCH(Inputs!B17,'Ground Model Database'!A7:A21,0))</f>
        <v>20.233125000000001</v>
      </c>
      <c r="H11" s="1123"/>
      <c r="I11" s="1123"/>
      <c r="J11" s="1123"/>
      <c r="K11" s="1123"/>
      <c r="L11" s="1123"/>
      <c r="M11" s="1123"/>
      <c r="N11" s="1123"/>
      <c r="O11" s="1123"/>
      <c r="P11" s="1123"/>
      <c r="Q11" s="1123"/>
    </row>
    <row r="12" spans="1:17" s="436" customFormat="1" ht="12.75" customHeight="1">
      <c r="A12" s="1124" t="s">
        <v>1174</v>
      </c>
      <c r="B12" s="1136" t="s">
        <v>1175</v>
      </c>
      <c r="C12" s="1126" t="s">
        <v>1173</v>
      </c>
      <c r="D12" s="1127">
        <f>INDEX('Ground Model Database'!D7:D21,MATCH(Inputs!B14,'Ground Model Database'!A7:A21,0))</f>
        <v>16.5</v>
      </c>
      <c r="E12" s="1128">
        <f>INDEX('Ground Model Database'!D7:D21,MATCH(Inputs!B15,'Ground Model Database'!A7:A21,0))</f>
        <v>18.5</v>
      </c>
      <c r="F12" s="1128">
        <f>INDEX('Ground Model Database'!D7:D21,MATCH(Inputs!B16,'Ground Model Database'!A7:A21,0))</f>
        <v>17</v>
      </c>
      <c r="G12" s="1129">
        <f>INDEX('Ground Model Database'!D7:D21,MATCH(Inputs!B17,'Ground Model Database'!A7:A21,0))</f>
        <v>15.892200000000003</v>
      </c>
      <c r="H12" s="1123"/>
      <c r="I12" s="1123"/>
      <c r="J12" s="1123"/>
      <c r="K12" s="1123"/>
      <c r="L12" s="1123"/>
      <c r="M12" s="1123"/>
      <c r="N12" s="1123"/>
      <c r="O12" s="1123"/>
      <c r="P12" s="1123"/>
      <c r="Q12" s="1123"/>
    </row>
    <row r="13" spans="1:17" s="436" customFormat="1" ht="12.75" customHeight="1">
      <c r="A13" s="1124" t="s">
        <v>1176</v>
      </c>
      <c r="B13" s="1135" t="s">
        <v>1167</v>
      </c>
      <c r="C13" s="1131" t="s">
        <v>1167</v>
      </c>
      <c r="D13" s="1132" t="str">
        <f>IF(Inputs!D14="No", "Constant", "Linear")</f>
        <v>Constant</v>
      </c>
      <c r="E13" s="1133" t="str">
        <f>IF(Inputs!D15="No", "Constant", "Linear")</f>
        <v>Constant</v>
      </c>
      <c r="F13" s="1133" t="str">
        <f>IF(Inputs!D16="No", "Constant", "Linear")</f>
        <v>Constant</v>
      </c>
      <c r="G13" s="1134" t="str">
        <f>IF(Inputs!D17="No", "Constant", "Linear")</f>
        <v>Constant</v>
      </c>
      <c r="H13" s="1123"/>
      <c r="I13" s="1123"/>
      <c r="J13" s="1123"/>
      <c r="K13" s="1123"/>
      <c r="L13" s="1123"/>
      <c r="M13" s="1123"/>
      <c r="N13" s="1123"/>
      <c r="O13" s="1123"/>
      <c r="P13" s="1123"/>
      <c r="Q13" s="1123"/>
    </row>
    <row r="14" spans="1:17" s="436" customFormat="1" ht="12.75" customHeight="1">
      <c r="A14" s="1124" t="s">
        <v>1177</v>
      </c>
      <c r="B14" s="1136" t="s">
        <v>1167</v>
      </c>
      <c r="C14" s="1126" t="s">
        <v>1178</v>
      </c>
      <c r="D14" s="1127" t="str">
        <f>IF(Inputs!D14="Yes",_xlfn.CONCAT(Inputs!E14," + ",Inputs!F14,"z"),"No Equation")</f>
        <v>No Equation</v>
      </c>
      <c r="E14" s="1128" t="str">
        <f>IF(Inputs!D15="Yes",_xlfn.CONCAT(Inputs!E15," + ",Inputs!F15,"z"),"No Equation")</f>
        <v>No Equation</v>
      </c>
      <c r="F14" s="1128" t="str">
        <f>IF(Inputs!D16="Yes",_xlfn.CONCAT(Inputs!E16," + ",Inputs!F16,"z"),"No Equation")</f>
        <v>No Equation</v>
      </c>
      <c r="G14" s="1129" t="str">
        <f>IF(Inputs!D17="Yes",_xlfn.CONCAT(Inputs!E17," + ",Inputs!F17,"z"),"No Equation")</f>
        <v>No Equation</v>
      </c>
      <c r="H14" s="1123"/>
      <c r="I14" s="1123"/>
      <c r="J14" s="1123"/>
      <c r="K14" s="1123"/>
      <c r="L14" s="1123"/>
      <c r="M14" s="1123"/>
      <c r="N14" s="1123"/>
      <c r="O14" s="1123"/>
      <c r="P14" s="1123"/>
      <c r="Q14" s="1123"/>
    </row>
    <row r="15" spans="1:17" s="436" customFormat="1" ht="12.75" customHeight="1">
      <c r="A15" s="1124" t="s">
        <v>1179</v>
      </c>
      <c r="B15" s="1135" t="s">
        <v>1180</v>
      </c>
      <c r="C15" s="1131" t="s">
        <v>1178</v>
      </c>
      <c r="D15" s="1132" t="str">
        <f>IF(D7="Cohesive",(IF(Inputs!D14="Yes",Inputs!E14,INDEX('Ground Model Database'!E7:E21,MATCH(Inputs!B14,'Ground Model Database'!A7:A21,0)))),"0")</f>
        <v>0</v>
      </c>
      <c r="E15" s="1133">
        <f>IF(E7="Cohesive",(IF(Inputs!D15="Yes",Inputs!E15,INDEX('Ground Model Database'!E7:E21,MATCH(Inputs!B15,'Ground Model Database'!A7:A21,0)))),"0")</f>
        <v>40</v>
      </c>
      <c r="F15" s="1133" t="str">
        <f>IF(F7="Cohesive",(IF(Inputs!D16="Yes",Inputs!E16,INDEX('Ground Model Database'!E7:E21,MATCH(Inputs!B16,'Ground Model Database'!A7:A21,0)))),"0")</f>
        <v>0</v>
      </c>
      <c r="G15" s="1134" t="str">
        <f>IF(G7="Cohesive",(IF(Inputs!D17="Yes",Inputs!E17,INDEX('Ground Model Database'!E7:E21,MATCH(Inputs!B17,'Ground Model Database'!A7:A21,0)))),"0")</f>
        <v>0</v>
      </c>
      <c r="H15" s="1123"/>
      <c r="I15" s="1123"/>
      <c r="J15" s="1123"/>
      <c r="K15" s="1123"/>
      <c r="L15" s="1123"/>
      <c r="M15" s="1123"/>
      <c r="N15" s="1123"/>
      <c r="O15" s="1123"/>
      <c r="P15" s="1123"/>
      <c r="Q15" s="1123"/>
    </row>
    <row r="16" spans="1:17" s="436" customFormat="1" ht="12.75" customHeight="1">
      <c r="A16" s="1124" t="s">
        <v>1181</v>
      </c>
      <c r="B16" s="1136" t="s">
        <v>1180</v>
      </c>
      <c r="C16" s="1126" t="s">
        <v>1178</v>
      </c>
      <c r="D16" s="1127" t="str">
        <f>IF(D7="Cohesive",(IF(Inputs!D14="Yes",Inputs!E14+D10*Inputs!F14,INDEX('Ground Model Database'!E7:E21,MATCH(Inputs!B14,'Ground Model Database'!A7:A21,0)))),"0")</f>
        <v>0</v>
      </c>
      <c r="E16" s="1128">
        <f>IF(E7="Cohesive",(IF(Inputs!D15="Yes",Inputs!E15+E10*Inputs!F15,INDEX('Ground Model Database'!E7:E21,MATCH(Inputs!B15,'Ground Model Database'!A7:A21,0)))),"0")</f>
        <v>40</v>
      </c>
      <c r="F16" s="1128" t="str">
        <f>IF(F7="Cohesive",(IF(Inputs!D16="Yes",Inputs!E16+F10*Inputs!F16,INDEX('Ground Model Database'!E7:E21,MATCH(Inputs!B16,'Ground Model Database'!A7:A21,0)))),"0")</f>
        <v>0</v>
      </c>
      <c r="G16" s="1129" t="str">
        <f>IF(G7="Cohesive",(IF(Inputs!D17="Yes",Inputs!E17+G10*Inputs!F17,INDEX('Ground Model Database'!E7:E28,MATCH(Inputs!B17,'Ground Model Database'!A7:A28,0)))),"0")</f>
        <v>0</v>
      </c>
      <c r="H16" s="1123"/>
      <c r="I16" s="1123"/>
      <c r="J16" s="1123"/>
      <c r="K16" s="1123"/>
      <c r="L16" s="1123"/>
      <c r="M16" s="1123"/>
      <c r="N16" s="1123"/>
      <c r="O16" s="1123"/>
      <c r="P16" s="1123"/>
      <c r="Q16" s="1123"/>
    </row>
    <row r="17" spans="1:17" s="436" customFormat="1" ht="12.75" customHeight="1">
      <c r="A17" s="1124" t="s">
        <v>1182</v>
      </c>
      <c r="B17" s="1135" t="s">
        <v>1167</v>
      </c>
      <c r="C17" s="1131" t="s">
        <v>1183</v>
      </c>
      <c r="D17" s="1132">
        <f>INDEX('Ground Model Database'!F7:F21,MATCH(Inputs!B14,'Ground Model Database'!A7:A21,0))</f>
        <v>30</v>
      </c>
      <c r="E17" s="1133">
        <f>INDEX('Ground Model Database'!F7:F21,MATCH(Inputs!B15,'Ground Model Database'!A7:A21,0))</f>
        <v>0</v>
      </c>
      <c r="F17" s="1133">
        <f>INDEX('Ground Model Database'!F7:F21,MATCH(Inputs!B16,'Ground Model Database'!A7:A21,0))</f>
        <v>33</v>
      </c>
      <c r="G17" s="1134">
        <f>INDEX('Ground Model Database'!F7:F21,MATCH(Inputs!B17,'Ground Model Database'!A7:A21,0))</f>
        <v>0</v>
      </c>
      <c r="H17" s="1123"/>
      <c r="I17" s="1123"/>
      <c r="J17" s="1123"/>
      <c r="K17" s="1123"/>
      <c r="L17" s="1123"/>
      <c r="M17" s="1123"/>
      <c r="N17" s="1123"/>
      <c r="O17" s="1123"/>
      <c r="P17" s="1123"/>
      <c r="Q17" s="1123"/>
    </row>
    <row r="18" spans="1:17" s="436" customFormat="1" ht="12.75" customHeight="1">
      <c r="A18" s="1124" t="s">
        <v>1184</v>
      </c>
      <c r="B18" s="1136" t="s">
        <v>1185</v>
      </c>
      <c r="C18" s="1126" t="s">
        <v>1178</v>
      </c>
      <c r="D18" s="1127">
        <f>INDEX('Ground Model Database'!G7:G21,MATCH(Inputs!B14,'Ground Model Database'!A7:A21,0))</f>
        <v>0</v>
      </c>
      <c r="E18" s="1128">
        <f>INDEX('Ground Model Database'!G7:G21,MATCH(Inputs!B15,'Ground Model Database'!A7:A21,0))</f>
        <v>0</v>
      </c>
      <c r="F18" s="1128">
        <f>INDEX('Ground Model Database'!G7:G21,MATCH(Inputs!B16,'Ground Model Database'!A7:A21,0))</f>
        <v>0</v>
      </c>
      <c r="G18" s="1129">
        <f>INDEX('Ground Model Database'!G7:G21,MATCH(Inputs!B17,'Ground Model Database'!A7:A21,0))</f>
        <v>0</v>
      </c>
      <c r="H18" s="1123"/>
      <c r="I18" s="1123"/>
      <c r="J18" s="1123"/>
      <c r="K18" s="1123"/>
      <c r="L18" s="1123"/>
      <c r="M18" s="1123"/>
      <c r="N18" s="1123"/>
      <c r="O18" s="1123"/>
      <c r="P18" s="1123"/>
      <c r="Q18" s="1123"/>
    </row>
    <row r="19" spans="1:17" s="436" customFormat="1" ht="12.75" customHeight="1">
      <c r="A19" s="1137" t="s">
        <v>1186</v>
      </c>
      <c r="B19" s="1135" t="s">
        <v>1187</v>
      </c>
      <c r="C19" s="1131" t="s">
        <v>1178</v>
      </c>
      <c r="D19" s="1132">
        <f>IF(D10&lt;B23,INDEX('Ground Model Database'!H7:H21,MATCH(Inputs!B14,'Ground Model Database'!A7:A21,0)),"0")</f>
        <v>0</v>
      </c>
      <c r="E19" s="1133">
        <f t="array" ref="E19">INDEX('Ground Model Database'!H7:H21,MATCH(Inputs!B15,'Ground Model Database'!A7:A21,0))</f>
        <v>0</v>
      </c>
      <c r="F19" s="1133">
        <f t="array" ref="F19">INDEX('Ground Model Database'!H7:H21,MATCH(Inputs!B16,'Ground Model Database'!A7:A21,0))</f>
        <v>0</v>
      </c>
      <c r="G19" s="1134">
        <f t="array" ref="G19">INDEX('Ground Model Database'!H7:H21,MATCH(Inputs!B17,'Ground Model Database'!A7:A21,0))</f>
        <v>11000</v>
      </c>
      <c r="H19" s="1123"/>
      <c r="I19" s="1123"/>
      <c r="J19" s="1123"/>
      <c r="K19" s="1123"/>
      <c r="L19" s="1123"/>
      <c r="M19" s="1123"/>
      <c r="N19" s="1123"/>
      <c r="O19" s="1123"/>
      <c r="P19" s="1123"/>
      <c r="Q19" s="1123"/>
    </row>
    <row r="20" spans="1:17" s="436" customFormat="1" ht="12.75" customHeight="1">
      <c r="A20" s="1137" t="s">
        <v>1188</v>
      </c>
      <c r="B20" s="1138" t="s">
        <v>1189</v>
      </c>
      <c r="C20" s="1139" t="s">
        <v>1178</v>
      </c>
      <c r="D20" s="1140" t="str">
        <f>IF(D10&lt;B23,"0",INDEX('Ground Model Database'!I7:I21,MATCH(Inputs!B14,'Ground Model Database'!A7:A21,0)))</f>
        <v>0</v>
      </c>
      <c r="E20" s="1141" t="str">
        <f>IF(D10+E10&lt;B23,"0",INDEX('Ground Model Database'!I7:I21,MATCH(Inputs!B15,'Ground Model Database'!A7:A21,0)))</f>
        <v>0</v>
      </c>
      <c r="F20" s="1141">
        <f>IF(D10+E10+F10&lt;B23,"0",INDEX('Ground Model Database'!I7:I21,MATCH(Inputs!B16,'Ground Model Database'!A7:A21,0)))</f>
        <v>0</v>
      </c>
      <c r="G20" s="1142">
        <f>IF(D10+E10+F10+G10&lt;B23, "-",INDEX('Ground Model Database'!I7:I21,MATCH(Inputs!B17,'Ground Model Database'!A7:A21,0)))</f>
        <v>5200</v>
      </c>
      <c r="H20" s="1123"/>
      <c r="I20" s="1123"/>
      <c r="J20" s="1123"/>
      <c r="K20" s="1123"/>
      <c r="L20" s="1123"/>
      <c r="M20" s="1123"/>
      <c r="N20" s="1123"/>
      <c r="O20" s="1123"/>
      <c r="P20" s="1123"/>
      <c r="Q20" s="1123"/>
    </row>
    <row r="21" spans="1:17" s="436" customFormat="1" ht="12.75" customHeight="1" thickBot="1">
      <c r="A21" s="1137" t="s">
        <v>1190</v>
      </c>
      <c r="B21" s="1143" t="s">
        <v>1191</v>
      </c>
      <c r="C21" s="1144" t="s">
        <v>1167</v>
      </c>
      <c r="D21" s="1145" t="str">
        <f>IF(D6="Low Density Chalk",'Ground Model Database'!J18,IF('Ground Model Results'!D6="Medium Density Chalk",'Ground Model Database'!J19,IF('Ground Model Results'!D6="High Density Chalk",'Ground Model Database'!J20,"0")))</f>
        <v>0</v>
      </c>
      <c r="E21" s="1146" t="str">
        <f>IF(E6="Low Density Chalk",'Ground Model Database'!J18,IF('Ground Model Results'!E6="Medium Density Chalk",'Ground Model Database'!J19,IF('Ground Model Results'!E6="High Density Chalk",'Ground Model Database'!J20,"0")))</f>
        <v>0</v>
      </c>
      <c r="F21" s="1146" t="str">
        <f>IF(F6="Low Density Chalk",'Ground Model Database'!J18,IF('Ground Model Results'!F6="Medium Density Chalk",'Ground Model Database'!J19,IF('Ground Model Results'!F6="High Density Chalk",'Ground Model Database'!J20,"0")))</f>
        <v>0</v>
      </c>
      <c r="G21" s="1147">
        <f>IF(G6="Low Density Chalk",'Ground Model Database'!J18,IF('Ground Model Results'!G6="Medium Density Chalk",'Ground Model Database'!J19,IF('Ground Model Results'!G6="High Density Chalk",'Ground Model Database'!J20,"0")))</f>
        <v>30</v>
      </c>
      <c r="H21" s="1123"/>
      <c r="I21" s="1123"/>
      <c r="J21" s="1123"/>
      <c r="K21" s="1123"/>
      <c r="L21" s="1123"/>
      <c r="M21" s="1123"/>
      <c r="N21" s="1123"/>
      <c r="O21" s="1123"/>
      <c r="P21" s="1123"/>
      <c r="Q21" s="1123"/>
    </row>
    <row r="22" spans="1:17" s="436" customFormat="1" ht="12.75" customHeight="1" thickBot="1">
      <c r="A22" s="1148" t="s">
        <v>70</v>
      </c>
      <c r="B22" s="1149" t="s">
        <v>1192</v>
      </c>
      <c r="C22" s="1150" t="s">
        <v>1193</v>
      </c>
      <c r="D22" s="953"/>
      <c r="E22" s="953"/>
      <c r="F22" s="953"/>
      <c r="G22" s="953"/>
      <c r="H22" s="953"/>
      <c r="I22" s="1123"/>
      <c r="J22" s="1123"/>
      <c r="K22" s="1123"/>
      <c r="L22" s="1123"/>
      <c r="M22" s="1123"/>
      <c r="N22" s="1123"/>
      <c r="O22" s="1123"/>
      <c r="P22" s="1123"/>
      <c r="Q22" s="1123"/>
    </row>
    <row r="23" spans="1:17" s="436" customFormat="1" ht="12.75" customHeight="1" thickBot="1">
      <c r="A23" s="1151"/>
      <c r="B23" s="675">
        <f>Inputs!B11</f>
        <v>20</v>
      </c>
      <c r="C23" s="1152">
        <f>Inputs!$B$9-Inputs!$B$11</f>
        <v>-15</v>
      </c>
      <c r="D23" s="953"/>
      <c r="E23" s="953"/>
      <c r="F23" s="953"/>
      <c r="G23" s="953"/>
      <c r="H23" s="953"/>
      <c r="I23" s="1123"/>
      <c r="J23" s="1123"/>
      <c r="K23" s="1123"/>
      <c r="L23" s="1123"/>
      <c r="M23" s="1123"/>
      <c r="N23" s="1123"/>
      <c r="O23" s="1123"/>
      <c r="P23" s="1123"/>
      <c r="Q23" s="1123"/>
    </row>
    <row r="24" spans="1:17" s="436" customFormat="1" ht="12.75" customHeight="1" thickBot="1">
      <c r="A24" s="953"/>
      <c r="B24" s="953"/>
      <c r="C24" s="953"/>
      <c r="D24" s="953"/>
      <c r="E24" s="953"/>
      <c r="F24" s="953"/>
      <c r="G24" s="953"/>
      <c r="H24" s="953"/>
      <c r="I24" s="953"/>
      <c r="J24" s="953"/>
      <c r="K24" s="953"/>
      <c r="L24" s="953"/>
      <c r="M24" s="953"/>
      <c r="N24" s="953"/>
      <c r="O24" s="953"/>
      <c r="P24" s="953"/>
      <c r="Q24" s="953"/>
    </row>
    <row r="25" spans="1:17" s="436" customFormat="1" ht="18.75" customHeight="1" thickBot="1">
      <c r="A25" s="1107" t="s">
        <v>1194</v>
      </c>
      <c r="B25" s="953"/>
      <c r="C25" s="953"/>
      <c r="D25" s="953"/>
      <c r="E25" s="953"/>
      <c r="F25" s="953"/>
      <c r="G25" s="953"/>
      <c r="H25" s="953"/>
      <c r="I25" s="953"/>
      <c r="J25" s="953"/>
      <c r="K25" s="953"/>
      <c r="L25" s="953"/>
      <c r="M25" s="953"/>
      <c r="N25" s="953"/>
      <c r="O25" s="953"/>
      <c r="P25" s="953"/>
      <c r="Q25" s="953"/>
    </row>
    <row r="26" spans="1:17" ht="15" thickBot="1">
      <c r="A26" s="1108"/>
      <c r="B26" s="1109"/>
      <c r="C26" s="1109"/>
      <c r="D26" s="1110" t="s">
        <v>1163</v>
      </c>
      <c r="E26" s="1111" t="s">
        <v>51</v>
      </c>
      <c r="F26" s="1111" t="s">
        <v>55</v>
      </c>
      <c r="G26" s="1112" t="s">
        <v>1164</v>
      </c>
      <c r="H26" s="1123"/>
      <c r="I26" s="1123"/>
      <c r="J26" s="1123"/>
      <c r="K26" s="1123"/>
      <c r="L26" s="1123"/>
      <c r="M26" s="1123"/>
      <c r="N26" s="1123"/>
      <c r="O26" s="1123"/>
      <c r="P26" s="1123"/>
      <c r="Q26" s="1123"/>
    </row>
    <row r="27" spans="1:17" ht="15" thickBot="1">
      <c r="A27" s="1113"/>
      <c r="B27" s="1153" t="s">
        <v>1165</v>
      </c>
      <c r="C27" s="1153" t="s">
        <v>1166</v>
      </c>
      <c r="D27" s="1154" t="str">
        <f t="shared" ref="D27:G28" si="0">D6</f>
        <v>Loose Sand/Gravel</v>
      </c>
      <c r="E27" s="1154" t="str">
        <f t="shared" si="0"/>
        <v>Firm Clay</v>
      </c>
      <c r="F27" s="1154" t="str">
        <f t="shared" si="0"/>
        <v>Medium Sand/Gravel</v>
      </c>
      <c r="G27" s="1154" t="str">
        <f t="shared" si="0"/>
        <v>Medium Density Chalk</v>
      </c>
      <c r="H27" s="1123"/>
      <c r="I27" s="1123"/>
      <c r="J27" s="1123"/>
      <c r="K27" s="1123"/>
      <c r="L27" s="1123"/>
      <c r="M27" s="1123"/>
      <c r="N27" s="1123"/>
      <c r="O27" s="1123"/>
      <c r="P27" s="1123"/>
      <c r="Q27" s="1123"/>
    </row>
    <row r="28" spans="1:17" s="436" customFormat="1" ht="12.75" customHeight="1">
      <c r="A28" s="1155" t="s">
        <v>103</v>
      </c>
      <c r="B28" s="1156" t="s">
        <v>1167</v>
      </c>
      <c r="C28" s="1157" t="s">
        <v>1167</v>
      </c>
      <c r="D28" s="1158" t="str">
        <f t="shared" si="0"/>
        <v>Granular</v>
      </c>
      <c r="E28" s="1158" t="str">
        <f t="shared" si="0"/>
        <v>Cohesive</v>
      </c>
      <c r="F28" s="1158" t="str">
        <f t="shared" si="0"/>
        <v>Granular</v>
      </c>
      <c r="G28" s="1159" t="str">
        <f t="shared" si="0"/>
        <v>Chalk</v>
      </c>
      <c r="H28" s="1123"/>
      <c r="I28" s="1123"/>
      <c r="J28" s="1123"/>
      <c r="K28" s="1123"/>
      <c r="L28" s="1123"/>
      <c r="M28" s="1123"/>
      <c r="N28" s="1123"/>
      <c r="O28" s="1123"/>
      <c r="P28" s="1123"/>
      <c r="Q28" s="1123"/>
    </row>
    <row r="29" spans="1:17" s="436" customFormat="1" ht="12.75" customHeight="1">
      <c r="A29" s="1160" t="s">
        <v>1168</v>
      </c>
      <c r="B29" s="1161" t="s">
        <v>1167</v>
      </c>
      <c r="C29" s="1162" t="s">
        <v>67</v>
      </c>
      <c r="D29" s="1163">
        <f>D8-Inputs!B32</f>
        <v>6</v>
      </c>
      <c r="E29" s="1163">
        <f>D29-D31</f>
        <v>0</v>
      </c>
      <c r="F29" s="1163">
        <f>E29-E31</f>
        <v>-6</v>
      </c>
      <c r="G29" s="1164">
        <f>F29-F31</f>
        <v>-36</v>
      </c>
      <c r="H29" s="1123"/>
      <c r="I29" s="1123"/>
      <c r="J29" s="1123"/>
      <c r="K29" s="1123"/>
      <c r="L29" s="1123"/>
      <c r="M29" s="1123"/>
      <c r="N29" s="1123"/>
      <c r="O29" s="1123"/>
      <c r="P29" s="1123"/>
      <c r="Q29" s="1123"/>
    </row>
    <row r="30" spans="1:17" s="436" customFormat="1" ht="12.75" customHeight="1">
      <c r="A30" s="1160" t="s">
        <v>1169</v>
      </c>
      <c r="B30" s="1165" t="s">
        <v>1167</v>
      </c>
      <c r="C30" s="1166" t="s">
        <v>67</v>
      </c>
      <c r="D30" s="1167">
        <f>D29-D31</f>
        <v>0</v>
      </c>
      <c r="E30" s="1167">
        <f>D29-D31-E31</f>
        <v>-6</v>
      </c>
      <c r="F30" s="1167">
        <f>D29-D31-E31-F31</f>
        <v>-36</v>
      </c>
      <c r="G30" s="1168">
        <f>D29-D31-E31-F31-G31</f>
        <v>-42</v>
      </c>
      <c r="H30" s="1123"/>
      <c r="I30" s="1123"/>
      <c r="J30" s="1123"/>
      <c r="K30" s="1123"/>
      <c r="L30" s="1123"/>
      <c r="M30" s="1123"/>
      <c r="N30" s="1123"/>
      <c r="O30" s="1123"/>
      <c r="P30" s="1123"/>
      <c r="Q30" s="1123"/>
    </row>
    <row r="31" spans="1:17" s="436" customFormat="1" ht="12.75" customHeight="1">
      <c r="A31" s="1160" t="s">
        <v>1170</v>
      </c>
      <c r="B31" s="1161" t="s">
        <v>1167</v>
      </c>
      <c r="C31" s="1162" t="s">
        <v>15</v>
      </c>
      <c r="D31" s="1163">
        <f>IF(Inputs!B32&gt;=D10,0,D10-Inputs!B32)</f>
        <v>6</v>
      </c>
      <c r="E31" s="1163">
        <f>IF(SUM(D10:E10)&lt;=Inputs!B32,0,IF((D10&gt;Inputs!B32),E10,E10-(Inputs!B32-D10)))</f>
        <v>6</v>
      </c>
      <c r="F31" s="1163">
        <f>IF(SUM(D10:F10)&lt;=Inputs!B32,0,IF((SUM(D10:E10)&gt;Inputs!B32),F10,F10-(Inputs!B32-SUM(D10:E10))))</f>
        <v>30</v>
      </c>
      <c r="G31" s="1164">
        <f>IF(SUM(D10:G10)&lt;=Inputs!B32,0,IF((SUM(D10:F10)&gt;Inputs!B32),G10,G10-(Inputs!B32-SUM(D10:F10))))</f>
        <v>6</v>
      </c>
      <c r="H31" s="1123"/>
      <c r="I31" s="1123"/>
      <c r="J31" s="1123"/>
      <c r="K31" s="1123"/>
      <c r="L31" s="1123"/>
      <c r="M31" s="1123"/>
      <c r="N31" s="1123"/>
      <c r="O31" s="1123"/>
      <c r="P31" s="1123"/>
      <c r="Q31" s="1123"/>
    </row>
    <row r="32" spans="1:17" s="436" customFormat="1" ht="12.75" customHeight="1">
      <c r="A32" s="1160" t="s">
        <v>1171</v>
      </c>
      <c r="B32" s="1165" t="s">
        <v>1195</v>
      </c>
      <c r="C32" s="1166" t="s">
        <v>1196</v>
      </c>
      <c r="D32" s="1167">
        <f t="shared" ref="D32:G34" si="1">D11</f>
        <v>19</v>
      </c>
      <c r="E32" s="1167">
        <f t="shared" si="1"/>
        <v>18.5</v>
      </c>
      <c r="F32" s="1167">
        <f t="shared" si="1"/>
        <v>19.5</v>
      </c>
      <c r="G32" s="1168">
        <f t="shared" si="1"/>
        <v>20.233125000000001</v>
      </c>
      <c r="H32" s="1123"/>
      <c r="I32" s="1123"/>
      <c r="J32" s="1123"/>
      <c r="K32" s="1123"/>
      <c r="L32" s="1123"/>
      <c r="M32" s="1123"/>
      <c r="N32" s="1123"/>
      <c r="O32" s="1123"/>
      <c r="P32" s="1123"/>
      <c r="Q32" s="1123"/>
    </row>
    <row r="33" spans="1:17" s="436" customFormat="1" ht="12.75" customHeight="1">
      <c r="A33" s="1160" t="s">
        <v>1174</v>
      </c>
      <c r="B33" s="1161" t="s">
        <v>1197</v>
      </c>
      <c r="C33" s="1162" t="s">
        <v>1196</v>
      </c>
      <c r="D33" s="1163">
        <f t="shared" si="1"/>
        <v>16.5</v>
      </c>
      <c r="E33" s="1163">
        <f t="shared" si="1"/>
        <v>18.5</v>
      </c>
      <c r="F33" s="1163">
        <f t="shared" si="1"/>
        <v>17</v>
      </c>
      <c r="G33" s="1164">
        <f t="shared" si="1"/>
        <v>15.892200000000003</v>
      </c>
      <c r="H33" s="1123"/>
      <c r="I33" s="1123"/>
      <c r="J33" s="1123"/>
      <c r="K33" s="1123"/>
      <c r="L33" s="1123"/>
      <c r="M33" s="1123"/>
      <c r="N33" s="1123"/>
      <c r="O33" s="1123"/>
      <c r="P33" s="1123"/>
      <c r="Q33" s="1123"/>
    </row>
    <row r="34" spans="1:17" s="436" customFormat="1" ht="12.75" customHeight="1">
      <c r="A34" s="1160" t="s">
        <v>1176</v>
      </c>
      <c r="B34" s="1165" t="s">
        <v>1167</v>
      </c>
      <c r="C34" s="1166" t="s">
        <v>1167</v>
      </c>
      <c r="D34" s="1167" t="str">
        <f t="shared" si="1"/>
        <v>Constant</v>
      </c>
      <c r="E34" s="1167" t="str">
        <f t="shared" si="1"/>
        <v>Constant</v>
      </c>
      <c r="F34" s="1167" t="str">
        <f t="shared" si="1"/>
        <v>Constant</v>
      </c>
      <c r="G34" s="1168" t="str">
        <f t="shared" si="1"/>
        <v>Constant</v>
      </c>
      <c r="H34" s="1123"/>
      <c r="I34" s="1123"/>
      <c r="J34" s="1123"/>
      <c r="K34" s="1123"/>
      <c r="L34" s="1123"/>
      <c r="M34" s="1123"/>
      <c r="N34" s="1123"/>
      <c r="O34" s="1123"/>
      <c r="P34" s="1123"/>
      <c r="Q34" s="1123"/>
    </row>
    <row r="35" spans="1:17" s="436" customFormat="1" ht="12.75" customHeight="1">
      <c r="A35" s="1160" t="s">
        <v>1177</v>
      </c>
      <c r="B35" s="1161" t="s">
        <v>1167</v>
      </c>
      <c r="C35" s="1162" t="s">
        <v>1198</v>
      </c>
      <c r="D35" s="1163" t="str">
        <f>IF(D31=0,"N/A",IF(AND(D34="Linear",D31&gt;0,D10-D31&gt;0),D15+(D10-D31)*Inputs!F14&amp;" +"&amp;Inputs!F14&amp;"z",D14))</f>
        <v>No Equation</v>
      </c>
      <c r="E35" s="1163" t="str">
        <f>IF(E31=0,"N/A",IF(AND(E34="Linear",E31&gt;0,E10-E31&gt;0),E15+(E10-E31)*Inputs!F14&amp;" +"&amp;Inputs!F15&amp;"z",E14))</f>
        <v>No Equation</v>
      </c>
      <c r="F35" s="1163" t="str">
        <f>IF(F31=0,"N/A",IF(AND(F34="Linear",F31&gt;0,F10-F31&gt;0),F15+(F10-F31)*Inputs!F14&amp;" +"&amp;Inputs!F16&amp;"z",F14))</f>
        <v>No Equation</v>
      </c>
      <c r="G35" s="1163" t="str">
        <f>IF(G31=0,"N/A",IF(AND(G34="Linear",G31&gt;0,G10-G31&gt;0),G15+(G10-G31)*Inputs!F14&amp;" +"&amp;Inputs!F17&amp;"z",G14))</f>
        <v>No Equation</v>
      </c>
      <c r="H35" s="1123"/>
      <c r="I35" s="1123"/>
      <c r="J35" s="1123"/>
      <c r="K35" s="1123"/>
      <c r="L35" s="1123"/>
      <c r="M35" s="1123"/>
      <c r="N35" s="1123"/>
      <c r="O35" s="1123"/>
      <c r="P35" s="1123"/>
      <c r="Q35" s="1123"/>
    </row>
    <row r="36" spans="1:17" s="436" customFormat="1" ht="12.75" customHeight="1">
      <c r="A36" s="1160" t="s">
        <v>1179</v>
      </c>
      <c r="B36" s="1165" t="s">
        <v>1199</v>
      </c>
      <c r="C36" s="1166" t="s">
        <v>1198</v>
      </c>
      <c r="D36" s="1167">
        <f>IF(OR(D31=0,D28&lt;&gt;"Cohesive"),0,IF(Inputs!D14="No",'Ground Model Results'!D15,IF(D31=D10,D15,(Inputs!E14+(D10-D31)*Inputs!F14))))</f>
        <v>0</v>
      </c>
      <c r="E36" s="1167">
        <f>IF(OR(E31=0,E28&lt;&gt;"Cohesive"),0,IF(Inputs!D15="No",'Ground Model Results'!E15,IF(E31=E10,E15,(Inputs!E15+(E10-E31)*Inputs!F15))))</f>
        <v>40</v>
      </c>
      <c r="F36" s="1167">
        <f>IF(OR(F31=0,F28&lt;&gt;"Cohesive"),0,IF(Inputs!D16="No",'Ground Model Results'!F15,IF(F31=F10,F15,(Inputs!E16+(F10-F31)*Inputs!F16))))</f>
        <v>0</v>
      </c>
      <c r="G36" s="1168">
        <f>IF(OR(G31=0,G28&lt;&gt;"Cohesive"),0,IF(Inputs!D17="No",'Ground Model Results'!G15,IF(G31=G10,G15,(Inputs!E17+(G10-G31)*Inputs!F17))))</f>
        <v>0</v>
      </c>
      <c r="H36" s="1123"/>
      <c r="I36" s="1123"/>
      <c r="J36" s="1123"/>
      <c r="K36" s="1123"/>
      <c r="L36" s="1123"/>
      <c r="M36" s="1123"/>
      <c r="N36" s="1123"/>
      <c r="O36" s="1123"/>
      <c r="P36" s="1123"/>
      <c r="Q36" s="1123"/>
    </row>
    <row r="37" spans="1:17" s="436" customFormat="1" ht="12.75" customHeight="1">
      <c r="A37" s="1160" t="s">
        <v>1181</v>
      </c>
      <c r="B37" s="1161" t="s">
        <v>1199</v>
      </c>
      <c r="C37" s="1162" t="s">
        <v>1198</v>
      </c>
      <c r="D37" s="1163" t="str">
        <f>IF(D31=0,0,D16)</f>
        <v>0</v>
      </c>
      <c r="E37" s="1163">
        <f>IF(E31=0,0,E16)</f>
        <v>40</v>
      </c>
      <c r="F37" s="1163" t="str">
        <f>IF(F31=0,0,F16)</f>
        <v>0</v>
      </c>
      <c r="G37" s="1164" t="str">
        <f>IF(G31=0,0,G16)</f>
        <v>0</v>
      </c>
      <c r="H37" s="1123"/>
      <c r="I37" s="1123"/>
      <c r="J37" s="1123"/>
      <c r="K37" s="1123"/>
      <c r="L37" s="1123"/>
      <c r="M37" s="1123"/>
      <c r="N37" s="1123"/>
      <c r="O37" s="1123"/>
      <c r="P37" s="1123"/>
      <c r="Q37" s="1123"/>
    </row>
    <row r="38" spans="1:17" s="436" customFormat="1" ht="12.75" customHeight="1">
      <c r="A38" s="1160" t="s">
        <v>1182</v>
      </c>
      <c r="B38" s="1165" t="s">
        <v>1167</v>
      </c>
      <c r="C38" s="1166" t="s">
        <v>1183</v>
      </c>
      <c r="D38" s="1167">
        <f>IF(D31=0,0,D17)</f>
        <v>30</v>
      </c>
      <c r="E38" s="1167">
        <f>IF(E31=0,0,E17)</f>
        <v>0</v>
      </c>
      <c r="F38" s="1167">
        <f t="shared" ref="F38:G41" si="2">F17</f>
        <v>33</v>
      </c>
      <c r="G38" s="1168">
        <f t="shared" si="2"/>
        <v>0</v>
      </c>
      <c r="H38" s="1123"/>
      <c r="I38" s="1123"/>
      <c r="J38" s="1123"/>
      <c r="K38" s="1123"/>
      <c r="L38" s="1123"/>
      <c r="M38" s="1123"/>
      <c r="N38" s="1123"/>
      <c r="O38" s="1123"/>
      <c r="P38" s="1123"/>
      <c r="Q38" s="1123"/>
    </row>
    <row r="39" spans="1:17" s="436" customFormat="1" ht="12.75" customHeight="1">
      <c r="A39" s="1160" t="s">
        <v>1184</v>
      </c>
      <c r="B39" s="1161" t="s">
        <v>1200</v>
      </c>
      <c r="C39" s="1162" t="s">
        <v>1198</v>
      </c>
      <c r="D39" s="1163">
        <f>IF(D31=0,0,D18)</f>
        <v>0</v>
      </c>
      <c r="E39" s="1163">
        <f>IF(E31=0,0,E18)</f>
        <v>0</v>
      </c>
      <c r="F39" s="1163">
        <f t="shared" si="2"/>
        <v>0</v>
      </c>
      <c r="G39" s="1164">
        <f t="shared" si="2"/>
        <v>0</v>
      </c>
      <c r="H39" s="1123"/>
      <c r="I39" s="1123"/>
      <c r="J39" s="1123"/>
      <c r="K39" s="1123"/>
      <c r="L39" s="1123"/>
      <c r="M39" s="1123"/>
      <c r="N39" s="1123"/>
      <c r="O39" s="1123"/>
      <c r="P39" s="1123"/>
      <c r="Q39" s="1123"/>
    </row>
    <row r="40" spans="1:17" s="436" customFormat="1" ht="12.75" customHeight="1">
      <c r="A40" s="1160" t="s">
        <v>1186</v>
      </c>
      <c r="B40" s="1165" t="s">
        <v>1201</v>
      </c>
      <c r="C40" s="1166" t="s">
        <v>1198</v>
      </c>
      <c r="D40" s="1167">
        <f>IF(D31=0,0,D19)</f>
        <v>0</v>
      </c>
      <c r="E40" s="1167">
        <f>IF(E31=0,0,E19)</f>
        <v>0</v>
      </c>
      <c r="F40" s="1167">
        <f t="shared" si="2"/>
        <v>0</v>
      </c>
      <c r="G40" s="1168">
        <f t="shared" si="2"/>
        <v>11000</v>
      </c>
      <c r="H40" s="1123"/>
      <c r="I40" s="1123"/>
      <c r="J40" s="1123"/>
      <c r="K40" s="1123"/>
      <c r="L40" s="1123"/>
      <c r="M40" s="1123"/>
      <c r="N40" s="1123"/>
      <c r="O40" s="1123"/>
      <c r="P40" s="1123"/>
      <c r="Q40" s="1123"/>
    </row>
    <row r="41" spans="1:17" s="436" customFormat="1" ht="12.75" customHeight="1">
      <c r="A41" s="1137" t="s">
        <v>1188</v>
      </c>
      <c r="B41" s="1169" t="s">
        <v>1202</v>
      </c>
      <c r="C41" s="1162" t="s">
        <v>1198</v>
      </c>
      <c r="D41" s="1163" t="str">
        <f>IF(D31=0,0,D20)</f>
        <v>0</v>
      </c>
      <c r="E41" s="1163" t="str">
        <f>IF(E31=0,0,E20)</f>
        <v>0</v>
      </c>
      <c r="F41" s="1163">
        <f t="shared" si="2"/>
        <v>0</v>
      </c>
      <c r="G41" s="1164">
        <f t="shared" si="2"/>
        <v>5200</v>
      </c>
      <c r="H41" s="1123"/>
      <c r="I41" s="1123"/>
      <c r="J41" s="1123"/>
      <c r="K41" s="1123"/>
      <c r="L41" s="1123"/>
      <c r="M41" s="1123"/>
      <c r="N41" s="1123"/>
      <c r="O41" s="1123"/>
      <c r="P41" s="1123"/>
      <c r="Q41" s="1123"/>
    </row>
    <row r="42" spans="1:17" s="436" customFormat="1" ht="12.75" customHeight="1" thickBot="1">
      <c r="A42" s="1137" t="s">
        <v>1190</v>
      </c>
      <c r="B42" s="1170" t="s">
        <v>1191</v>
      </c>
      <c r="C42" s="1171" t="s">
        <v>1167</v>
      </c>
      <c r="D42" s="1172" t="str">
        <f>IF(D31=0,0,D21)</f>
        <v>0</v>
      </c>
      <c r="E42" s="1172" t="str">
        <f>IF(E31=0,0,E21)</f>
        <v>0</v>
      </c>
      <c r="F42" s="1172" t="str">
        <f>IF(F31=0,0,F21)</f>
        <v>0</v>
      </c>
      <c r="G42" s="1173">
        <f>IF(G31=0,0,G21)</f>
        <v>30</v>
      </c>
      <c r="H42" s="1123"/>
      <c r="I42" s="1123"/>
      <c r="J42" s="1123"/>
      <c r="K42" s="1123"/>
      <c r="L42" s="1123"/>
      <c r="M42" s="1123"/>
      <c r="N42" s="1123"/>
      <c r="O42" s="1123"/>
      <c r="P42" s="1123"/>
      <c r="Q42" s="1123"/>
    </row>
    <row r="43" spans="1:17" s="436" customFormat="1" ht="12.75" customHeight="1" thickBot="1">
      <c r="A43" s="1148" t="s">
        <v>70</v>
      </c>
      <c r="B43" s="1149" t="s">
        <v>1192</v>
      </c>
      <c r="C43" s="1150" t="s">
        <v>1193</v>
      </c>
      <c r="D43" s="953"/>
      <c r="E43" s="953"/>
      <c r="F43" s="953"/>
      <c r="G43" s="953"/>
      <c r="H43" s="953"/>
      <c r="I43" s="953"/>
      <c r="J43" s="953"/>
      <c r="K43" s="953"/>
      <c r="L43" s="953"/>
      <c r="M43" s="953"/>
      <c r="N43" s="953"/>
      <c r="O43" s="953"/>
      <c r="P43" s="953"/>
      <c r="Q43" s="953"/>
    </row>
    <row r="44" spans="1:17" s="436" customFormat="1" ht="12.75" customHeight="1" thickBot="1">
      <c r="A44" s="1151"/>
      <c r="B44" s="675">
        <f>B23-Inputs!B32</f>
        <v>20</v>
      </c>
      <c r="C44" s="1152">
        <f>Inputs!$B$9-Inputs!$B$11</f>
        <v>-15</v>
      </c>
      <c r="D44" s="953"/>
      <c r="E44" s="953"/>
      <c r="F44" s="953"/>
      <c r="G44" s="953"/>
      <c r="H44" s="953"/>
      <c r="I44" s="953"/>
      <c r="J44" s="953"/>
      <c r="K44" s="953"/>
      <c r="L44" s="953"/>
      <c r="M44" s="953"/>
      <c r="N44" s="953"/>
      <c r="O44" s="953"/>
      <c r="P44" s="953"/>
      <c r="Q44" s="953"/>
    </row>
    <row r="45" spans="1:17">
      <c r="A45" s="953"/>
      <c r="B45" s="953"/>
      <c r="C45" s="953"/>
      <c r="D45" s="953"/>
      <c r="E45" s="953"/>
      <c r="F45" s="953"/>
      <c r="G45" s="953"/>
      <c r="H45" s="953"/>
      <c r="I45" s="953"/>
      <c r="J45" s="953"/>
      <c r="K45" s="953"/>
      <c r="L45" s="953"/>
      <c r="M45" s="953"/>
      <c r="N45" s="953"/>
      <c r="O45" s="953"/>
      <c r="P45" s="953"/>
      <c r="Q45" s="953"/>
    </row>
    <row r="46" spans="1:17">
      <c r="A46" s="953"/>
      <c r="B46" s="953"/>
      <c r="C46" s="953"/>
      <c r="D46" s="953"/>
      <c r="E46" s="953"/>
      <c r="F46" s="953"/>
      <c r="G46" s="953"/>
      <c r="H46" s="953"/>
      <c r="I46" s="953"/>
      <c r="J46" s="953"/>
      <c r="K46" s="953"/>
      <c r="L46" s="953"/>
      <c r="M46" s="953"/>
      <c r="N46" s="953"/>
      <c r="O46" s="953"/>
      <c r="P46" s="953"/>
      <c r="Q46" s="953"/>
    </row>
    <row r="47" spans="1:17">
      <c r="A47" s="953"/>
      <c r="B47" s="953"/>
      <c r="C47" s="953"/>
      <c r="D47" s="953"/>
      <c r="E47" s="953"/>
      <c r="F47" s="953"/>
      <c r="G47" s="953"/>
      <c r="H47" s="953"/>
      <c r="I47" s="953"/>
      <c r="J47" s="953"/>
      <c r="K47" s="953"/>
      <c r="L47" s="953"/>
      <c r="M47" s="953"/>
      <c r="N47" s="953"/>
      <c r="O47" s="953"/>
      <c r="P47" s="953"/>
      <c r="Q47" s="953"/>
    </row>
    <row r="48" spans="1:17">
      <c r="A48" s="953"/>
      <c r="B48" s="953"/>
      <c r="C48" s="953"/>
      <c r="D48" s="953"/>
      <c r="E48" s="953"/>
      <c r="F48" s="953"/>
      <c r="G48" s="953"/>
      <c r="H48" s="953"/>
      <c r="I48" s="953"/>
      <c r="J48" s="953"/>
      <c r="K48" s="953"/>
      <c r="L48" s="953"/>
      <c r="M48" s="953"/>
      <c r="N48" s="953"/>
      <c r="O48" s="953"/>
      <c r="P48" s="953"/>
      <c r="Q48" s="953"/>
    </row>
    <row r="49" spans="1:17">
      <c r="A49" s="953"/>
      <c r="B49" s="953"/>
      <c r="C49" s="953"/>
      <c r="D49" s="953"/>
      <c r="E49" s="953"/>
      <c r="F49" s="953"/>
      <c r="G49" s="953"/>
      <c r="H49" s="953"/>
      <c r="I49" s="953"/>
      <c r="J49" s="953"/>
      <c r="K49" s="953"/>
      <c r="L49" s="953"/>
      <c r="M49" s="953"/>
      <c r="N49" s="953"/>
      <c r="O49" s="953"/>
      <c r="P49" s="953"/>
      <c r="Q49" s="953"/>
    </row>
    <row r="50" spans="1:17">
      <c r="A50" s="953"/>
      <c r="B50" s="953"/>
      <c r="C50" s="953"/>
      <c r="D50" s="953"/>
      <c r="E50" s="953"/>
      <c r="F50" s="953"/>
      <c r="G50" s="953"/>
      <c r="H50" s="953"/>
      <c r="I50" s="953"/>
      <c r="J50" s="953"/>
      <c r="K50" s="953"/>
      <c r="L50" s="953"/>
      <c r="M50" s="953"/>
      <c r="N50" s="953"/>
      <c r="O50" s="953"/>
      <c r="P50" s="953"/>
      <c r="Q50" s="953"/>
    </row>
    <row r="51" spans="1:17">
      <c r="A51" s="953"/>
      <c r="B51" s="953"/>
      <c r="C51" s="953"/>
      <c r="D51" s="953"/>
      <c r="E51" s="953"/>
      <c r="F51" s="953"/>
      <c r="G51" s="953"/>
      <c r="H51" s="953"/>
      <c r="I51" s="953"/>
      <c r="J51" s="953"/>
      <c r="K51" s="953"/>
      <c r="L51" s="953"/>
      <c r="M51" s="953"/>
      <c r="N51" s="953"/>
      <c r="O51" s="953"/>
      <c r="P51" s="953"/>
      <c r="Q51" s="953"/>
    </row>
    <row r="52" spans="1:17">
      <c r="A52" s="953"/>
      <c r="B52" s="953"/>
      <c r="C52" s="953"/>
      <c r="D52" s="953"/>
      <c r="E52" s="953"/>
      <c r="F52" s="953"/>
      <c r="G52" s="953"/>
      <c r="H52" s="953"/>
      <c r="I52" s="953"/>
      <c r="J52" s="953"/>
      <c r="K52" s="953"/>
      <c r="L52" s="953"/>
      <c r="M52" s="953"/>
      <c r="N52" s="953"/>
      <c r="O52" s="953"/>
      <c r="P52" s="953"/>
      <c r="Q52" s="953"/>
    </row>
    <row r="53" spans="1:17">
      <c r="A53" s="953"/>
      <c r="B53" s="953"/>
      <c r="C53" s="953"/>
      <c r="D53" s="953"/>
      <c r="E53" s="953"/>
      <c r="F53" s="953"/>
      <c r="G53" s="953"/>
      <c r="H53" s="953"/>
      <c r="I53" s="953"/>
      <c r="J53" s="953"/>
      <c r="K53" s="953"/>
      <c r="L53" s="953"/>
      <c r="M53" s="953"/>
      <c r="N53" s="953"/>
      <c r="O53" s="953"/>
      <c r="P53" s="953"/>
      <c r="Q53" s="953"/>
    </row>
    <row r="54" spans="1:17">
      <c r="A54" s="953"/>
      <c r="B54" s="953"/>
      <c r="C54" s="953"/>
      <c r="D54" s="953"/>
      <c r="E54" s="953"/>
      <c r="F54" s="953"/>
      <c r="G54" s="953"/>
      <c r="H54" s="953"/>
      <c r="I54" s="953"/>
      <c r="J54" s="953"/>
      <c r="K54" s="953"/>
      <c r="L54" s="953"/>
      <c r="M54" s="953"/>
      <c r="N54" s="953"/>
      <c r="O54" s="953"/>
      <c r="P54" s="953"/>
      <c r="Q54" s="953"/>
    </row>
    <row r="55" spans="1:17">
      <c r="A55" s="953"/>
      <c r="B55" s="953"/>
      <c r="C55" s="953"/>
      <c r="D55" s="953"/>
      <c r="E55" s="953"/>
      <c r="F55" s="953"/>
      <c r="G55" s="953"/>
      <c r="H55" s="953"/>
      <c r="I55" s="953"/>
      <c r="J55" s="953"/>
      <c r="K55" s="953"/>
      <c r="L55" s="953"/>
      <c r="M55" s="953"/>
      <c r="N55" s="953"/>
      <c r="O55" s="953"/>
      <c r="P55" s="953"/>
      <c r="Q55" s="953"/>
    </row>
    <row r="56" spans="1:17">
      <c r="A56" s="953"/>
      <c r="B56" s="953"/>
      <c r="C56" s="953"/>
      <c r="D56" s="953"/>
      <c r="E56" s="953"/>
      <c r="F56" s="953"/>
      <c r="G56" s="953"/>
      <c r="H56" s="953"/>
      <c r="I56" s="953"/>
      <c r="J56" s="953"/>
      <c r="K56" s="953"/>
      <c r="L56" s="953"/>
      <c r="M56" s="953"/>
      <c r="N56" s="953"/>
      <c r="O56" s="953"/>
      <c r="P56" s="953"/>
      <c r="Q56" s="953"/>
    </row>
    <row r="57" spans="1:17">
      <c r="A57" s="953"/>
      <c r="B57" s="953"/>
      <c r="C57" s="953"/>
      <c r="D57" s="953"/>
      <c r="E57" s="953"/>
      <c r="F57" s="953"/>
      <c r="G57" s="953"/>
      <c r="H57" s="953"/>
      <c r="I57" s="953"/>
      <c r="J57" s="953"/>
      <c r="K57" s="953"/>
      <c r="L57" s="953"/>
      <c r="M57" s="953"/>
      <c r="N57" s="953"/>
      <c r="O57" s="953"/>
      <c r="P57" s="953"/>
      <c r="Q57" s="953"/>
    </row>
    <row r="58" spans="1:17">
      <c r="A58" s="953"/>
      <c r="B58" s="953"/>
      <c r="C58" s="953"/>
      <c r="D58" s="953"/>
      <c r="E58" s="953"/>
      <c r="F58" s="953"/>
      <c r="G58" s="953"/>
      <c r="H58" s="953"/>
      <c r="I58" s="953"/>
      <c r="J58" s="953"/>
      <c r="K58" s="953"/>
      <c r="L58" s="953"/>
      <c r="M58" s="953"/>
      <c r="N58" s="953"/>
      <c r="O58" s="953"/>
      <c r="P58" s="953"/>
      <c r="Q58" s="953"/>
    </row>
    <row r="59" spans="1:17">
      <c r="A59" s="953"/>
      <c r="B59" s="953"/>
      <c r="C59" s="953"/>
      <c r="D59" s="953"/>
      <c r="E59" s="953"/>
      <c r="F59" s="953"/>
      <c r="G59" s="953"/>
      <c r="H59" s="953"/>
      <c r="I59" s="953"/>
      <c r="J59" s="953"/>
      <c r="K59" s="953"/>
      <c r="L59" s="953"/>
      <c r="M59" s="953"/>
      <c r="N59" s="953"/>
      <c r="O59" s="953"/>
      <c r="P59" s="953"/>
      <c r="Q59" s="953"/>
    </row>
    <row r="60" spans="1:17">
      <c r="A60" s="953"/>
      <c r="B60" s="953"/>
      <c r="C60" s="953"/>
      <c r="D60" s="953"/>
      <c r="E60" s="953"/>
      <c r="F60" s="953"/>
      <c r="G60" s="953"/>
      <c r="H60" s="953"/>
      <c r="I60" s="953"/>
      <c r="J60" s="953"/>
      <c r="K60" s="953"/>
      <c r="L60" s="953"/>
      <c r="M60" s="953"/>
      <c r="N60" s="953"/>
      <c r="O60" s="953"/>
      <c r="P60" s="953"/>
      <c r="Q60" s="953"/>
    </row>
    <row r="61" spans="1:17">
      <c r="A61" s="953"/>
      <c r="B61" s="953"/>
      <c r="C61" s="953"/>
      <c r="D61" s="953"/>
      <c r="E61" s="953"/>
      <c r="F61" s="953"/>
      <c r="G61" s="953"/>
      <c r="H61" s="953"/>
      <c r="I61" s="953"/>
      <c r="J61" s="953"/>
      <c r="K61" s="953"/>
      <c r="L61" s="953"/>
      <c r="M61" s="953"/>
      <c r="N61" s="953"/>
      <c r="O61" s="953"/>
      <c r="P61" s="953"/>
      <c r="Q61" s="953"/>
    </row>
    <row r="62" spans="1:17">
      <c r="A62" s="953"/>
      <c r="B62" s="953"/>
      <c r="C62" s="953"/>
      <c r="D62" s="953"/>
      <c r="E62" s="953"/>
      <c r="F62" s="953"/>
      <c r="G62" s="953"/>
      <c r="H62" s="953"/>
      <c r="I62" s="953"/>
      <c r="J62" s="953"/>
      <c r="K62" s="953"/>
      <c r="L62" s="953"/>
      <c r="M62" s="953"/>
      <c r="N62" s="953"/>
      <c r="O62" s="953"/>
      <c r="P62" s="953"/>
      <c r="Q62" s="953"/>
    </row>
    <row r="63" spans="1:17">
      <c r="A63" s="953"/>
      <c r="B63" s="953"/>
      <c r="C63" s="953"/>
      <c r="D63" s="953"/>
      <c r="E63" s="953"/>
      <c r="F63" s="953"/>
      <c r="G63" s="953"/>
      <c r="H63" s="953"/>
      <c r="I63" s="953"/>
      <c r="J63" s="953"/>
      <c r="K63" s="953"/>
      <c r="L63" s="953"/>
      <c r="M63" s="953"/>
      <c r="N63" s="953"/>
      <c r="O63" s="953"/>
      <c r="P63" s="953"/>
      <c r="Q63" s="953"/>
    </row>
    <row r="64" spans="1:17">
      <c r="A64" s="953"/>
      <c r="B64" s="953"/>
      <c r="C64" s="953"/>
      <c r="D64" s="953"/>
      <c r="E64" s="953"/>
      <c r="F64" s="953"/>
      <c r="G64" s="953"/>
      <c r="H64" s="953"/>
      <c r="I64" s="953"/>
      <c r="J64" s="953"/>
      <c r="K64" s="953"/>
      <c r="L64" s="953"/>
      <c r="M64" s="953"/>
      <c r="N64" s="953"/>
      <c r="O64" s="953"/>
      <c r="P64" s="953"/>
      <c r="Q64" s="953"/>
    </row>
    <row r="65" spans="1:17">
      <c r="A65" s="953"/>
      <c r="B65" s="953"/>
      <c r="C65" s="953"/>
      <c r="D65" s="953"/>
      <c r="E65" s="953"/>
      <c r="F65" s="953"/>
      <c r="G65" s="953"/>
      <c r="H65" s="953"/>
      <c r="I65" s="953"/>
      <c r="J65" s="953"/>
      <c r="K65" s="953"/>
      <c r="L65" s="953"/>
      <c r="M65" s="953"/>
      <c r="N65" s="953"/>
      <c r="O65" s="953"/>
      <c r="P65" s="953"/>
      <c r="Q65" s="953"/>
    </row>
    <row r="66" spans="1:17">
      <c r="A66" s="953"/>
      <c r="B66" s="953"/>
      <c r="C66" s="953"/>
      <c r="D66" s="953"/>
      <c r="E66" s="953"/>
      <c r="F66" s="953"/>
      <c r="G66" s="953"/>
      <c r="H66" s="953"/>
      <c r="I66" s="953"/>
      <c r="J66" s="953"/>
      <c r="K66" s="953"/>
      <c r="L66" s="953"/>
      <c r="M66" s="953"/>
      <c r="N66" s="953"/>
      <c r="O66" s="953"/>
      <c r="P66" s="953"/>
      <c r="Q66" s="953"/>
    </row>
    <row r="67" spans="1:17">
      <c r="A67" s="953"/>
      <c r="B67" s="953"/>
      <c r="C67" s="953"/>
      <c r="D67" s="953"/>
      <c r="E67" s="953"/>
      <c r="F67" s="953"/>
      <c r="G67" s="953"/>
      <c r="H67" s="953"/>
      <c r="I67" s="953"/>
      <c r="J67" s="953"/>
      <c r="K67" s="953"/>
      <c r="L67" s="953"/>
      <c r="M67" s="953"/>
      <c r="N67" s="953"/>
      <c r="O67" s="953"/>
      <c r="P67" s="953"/>
      <c r="Q67" s="953"/>
    </row>
    <row r="68" spans="1:17">
      <c r="A68" s="953"/>
      <c r="B68" s="953"/>
      <c r="C68" s="953"/>
      <c r="D68" s="953"/>
      <c r="E68" s="953"/>
      <c r="F68" s="953"/>
      <c r="G68" s="953"/>
      <c r="H68" s="953"/>
      <c r="I68" s="953"/>
      <c r="J68" s="953"/>
      <c r="K68" s="953"/>
      <c r="L68" s="953"/>
      <c r="M68" s="953"/>
      <c r="N68" s="953"/>
      <c r="O68" s="953"/>
      <c r="P68" s="953"/>
      <c r="Q68" s="953"/>
    </row>
    <row r="69" spans="1:17">
      <c r="A69" s="953"/>
      <c r="B69" s="953"/>
      <c r="C69" s="953"/>
      <c r="D69" s="953"/>
      <c r="E69" s="953"/>
      <c r="F69" s="953"/>
      <c r="G69" s="953"/>
      <c r="H69" s="953"/>
      <c r="I69" s="953"/>
      <c r="J69" s="953"/>
      <c r="K69" s="953"/>
      <c r="L69" s="953"/>
      <c r="M69" s="953"/>
      <c r="N69" s="953"/>
      <c r="O69" s="953"/>
      <c r="P69" s="953"/>
      <c r="Q69" s="953"/>
    </row>
    <row r="70" spans="1:17">
      <c r="H70" s="953"/>
      <c r="I70" s="953"/>
      <c r="J70" s="953"/>
      <c r="K70" s="953"/>
      <c r="L70" s="953"/>
      <c r="M70" s="953"/>
      <c r="N70" s="953"/>
      <c r="O70" s="953"/>
      <c r="P70" s="953"/>
      <c r="Q70" s="953"/>
    </row>
    <row r="71" spans="1:17">
      <c r="N71" s="953"/>
      <c r="O71" s="953"/>
      <c r="P71" s="953"/>
      <c r="Q71" s="953"/>
    </row>
    <row r="93" spans="1:9" ht="15" thickBot="1"/>
    <row r="94" spans="1:9" ht="15" thickBot="1">
      <c r="A94" s="604" t="s">
        <v>1203</v>
      </c>
      <c r="B94" s="606"/>
      <c r="C94" s="607"/>
    </row>
    <row r="95" spans="1:9" ht="15">
      <c r="A95" s="1174"/>
      <c r="B95" s="1174" t="s">
        <v>1204</v>
      </c>
      <c r="C95" s="1174" t="s">
        <v>1205</v>
      </c>
      <c r="D95" s="1174" t="s">
        <v>1206</v>
      </c>
      <c r="E95" s="1174" t="s">
        <v>45</v>
      </c>
      <c r="H95" s="583"/>
      <c r="I95" s="583"/>
    </row>
    <row r="96" spans="1:9">
      <c r="A96" s="1175" t="str">
        <f>D6</f>
        <v>Loose Sand/Gravel</v>
      </c>
      <c r="B96" s="1176"/>
      <c r="C96" s="1175">
        <f>$D$10</f>
        <v>6</v>
      </c>
      <c r="D96" s="1176"/>
      <c r="E96" s="1176"/>
    </row>
    <row r="97" spans="1:8">
      <c r="A97" s="1175" t="str">
        <f>E6</f>
        <v>Firm Clay</v>
      </c>
      <c r="B97" s="1175"/>
      <c r="C97" s="1175">
        <f>$E$10</f>
        <v>6</v>
      </c>
      <c r="D97" s="1176"/>
      <c r="E97" s="1176"/>
    </row>
    <row r="98" spans="1:8">
      <c r="A98" s="1175" t="str">
        <f>F6</f>
        <v>Medium Sand/Gravel</v>
      </c>
      <c r="B98" s="1175"/>
      <c r="C98" s="1175">
        <f>$F$10</f>
        <v>30</v>
      </c>
      <c r="D98" s="1176"/>
      <c r="E98" s="1176"/>
    </row>
    <row r="99" spans="1:8">
      <c r="A99" s="1175" t="str">
        <f>G6</f>
        <v>Medium Density Chalk</v>
      </c>
      <c r="B99" s="1176"/>
      <c r="C99" s="1175">
        <f>$G$10</f>
        <v>6</v>
      </c>
      <c r="D99" s="1176"/>
      <c r="E99" s="1176"/>
    </row>
    <row r="100" spans="1:8">
      <c r="A100" s="1175"/>
      <c r="B100" s="1175">
        <f>Inputs!B11</f>
        <v>20</v>
      </c>
      <c r="C100" s="1175"/>
      <c r="D100" s="1176"/>
      <c r="E100" s="1176"/>
    </row>
    <row r="101" spans="1:8" ht="15" thickBot="1">
      <c r="A101" s="1177"/>
      <c r="B101" s="1178">
        <f>SUM(D10:G10)-Inputs!B11</f>
        <v>28</v>
      </c>
      <c r="C101" s="1177"/>
      <c r="D101" s="1177">
        <f>IF(Basement!B154="Contiguous",Basement!B158,Basement!D158)</f>
        <v>0</v>
      </c>
      <c r="E101" s="1177">
        <f>Inputs!$B$32</f>
        <v>0</v>
      </c>
      <c r="H101" s="300"/>
    </row>
    <row r="102" spans="1:8">
      <c r="A102" s="284" t="s">
        <v>1207</v>
      </c>
    </row>
    <row r="106" spans="1:8">
      <c r="B106" s="300"/>
    </row>
  </sheetData>
  <mergeCells count="1">
    <mergeCell ref="A1:P1"/>
  </mergeCells>
  <dataValidations count="19">
    <dataValidation allowBlank="1" showInputMessage="1" showErrorMessage="1" promptTitle="Groundwater Level AOD" prompt="This is the groundwater level relative to Average Ordnance Datum" sqref="C44" xr:uid="{144CD524-E957-419F-981E-D84A4A1C5E89}"/>
    <dataValidation allowBlank="1" showInputMessage="1" showErrorMessage="1" promptTitle="Groundwatr Level AOD" prompt="This is the groundwater level relative to Average Ordnance Datum" sqref="C23" xr:uid="{B5A35089-33C1-4681-A3A7-781599ADE148}"/>
    <dataValidation allowBlank="1" showInputMessage="1" showErrorMessage="1" promptTitle="Groundwater Level - Basement" prompt="This is the Groundwater Level relative to basement level. If this value is negative, the groundater in the surrounding starata is considered higher than the basement level." sqref="B44" xr:uid="{5AA3E70E-1CE7-40EB-85E4-44F51AF6D084}"/>
    <dataValidation allowBlank="1" showInputMessage="1" showErrorMessage="1" promptTitle="Groundwater level " prompt="This is the groundwater level in meters below ground level." sqref="B22" xr:uid="{C81383C1-ACF1-4D73-88BC-FB0C777F85DF}"/>
    <dataValidation allowBlank="1" showInputMessage="1" showErrorMessage="1" promptTitle="Standard Penetration Test-Chalk" prompt="This is the SPT values associated with a Low, Medium and High Density Chalk" sqref="A42 A21" xr:uid="{C5FCAC9E-7DDD-4118-A4FF-3A3FD37439CD}"/>
    <dataValidation allowBlank="1" showInputMessage="1" showErrorMessage="1" promptTitle="UCS (Saturated Chalk)" prompt="This Unconfined Compressive Strength is the average maximum axial compressive stress that a saturated chalk can withstand before failing._x000a__x000a_Refer to Saturated Unit Weight for the definition of a Saturated chalk." sqref="A41 A20" xr:uid="{39EFEA13-4D60-4A26-9CC7-726A456EAF2D}"/>
    <dataValidation allowBlank="1" showInputMessage="1" showErrorMessage="1" promptTitle="UCS (Dry Chalk)" prompt="This Unconfined Compressive Strength is the average maximum axial compressive stress that a dry chalk can withstand before failing._x000a__x000a_Refer to Dry Unit Weight for the definition of a dry chalk." sqref="A40 A19" xr:uid="{F9220AD2-B592-476B-B4C3-47C52FB5E235}"/>
    <dataValidation allowBlank="1" showInputMessage="1" showErrorMessage="1" promptTitle="Undrained Shear Strength (Bottom" prompt="This is the undrained shear strength at the botttom of each stratum. This property is only relevant for clays._x000a__x000a_If linear, this uses the equations from D22 to G22, where z is the depth below the top of each stratum." sqref="A37 A16" xr:uid="{3FE7CEEF-8EBB-4A1D-A3E0-97A904DCEF0E}"/>
    <dataValidation allowBlank="1" showInputMessage="1" showErrorMessage="1" promptTitle="Undrained Shear Strength (Top)" prompt="This is the undrained shear strength at the top of each individual stratum. This property is only relevant for clays." sqref="A36 A15" xr:uid="{99942A21-1206-4990-AA79-DB0337660ACB}"/>
    <dataValidation allowBlank="1" showInputMessage="1" showErrorMessage="1" promptTitle="Saturated Unit Weight" prompt="This is the unit weight of the material assuming 100% of voids are filled with water." sqref="A32 A11" xr:uid="{76D131C5-4246-41DB-92C2-F47E57FCC316}"/>
    <dataValidation allowBlank="1" showInputMessage="1" showErrorMessage="1" promptTitle="Uniaxial Compressive Strength" prompt="This Uniaxial Compressive Strength is the average maximum axial compressive stress that a rock can withstand before failing." sqref="A18 A39" xr:uid="{225F4496-9CE7-415D-8160-63FCAAAD7628}"/>
    <dataValidation allowBlank="1" showInputMessage="1" showErrorMessage="1" promptTitle="Internal Angle of Friction" prompt="This is the internal angle of friction. This is usually only applicable to granular soils (i.e. Silts, Sands, and Gravels)" sqref="A17 A38" xr:uid="{B828F68A-479C-44D8-8A0E-530CECE7B6DF}"/>
    <dataValidation allowBlank="1" showInputMessage="1" showErrorMessage="1" promptTitle="Linear Strength Equation" prompt="Linear Strength Equations are calculated with respect to the depth below the top of each stratum (z)." sqref="A14 A35" xr:uid="{CA8E47B9-F6B4-4B29-942C-866DFDD751D8}"/>
    <dataValidation allowBlank="1" showInputMessage="1" showErrorMessage="1" promptTitle="Linear Strength Model" prompt="Does the strength increase linearly with depth or is it constant? Refer to input cell F4:F9. If unsure, ask a geotechnical engineer!" sqref="A13 A34" xr:uid="{6F3C026B-360F-45B9-854B-E313AD60E4AA}"/>
    <dataValidation allowBlank="1" showInputMessage="1" showErrorMessage="1" promptTitle="Dry Unit Weight" prompt="This is the unit weight of the material assuming 100% of voids do not contain water." sqref="A12 A33" xr:uid="{6DADAE50-587E-41F2-B5F4-614AD96C9026}"/>
    <dataValidation allowBlank="1" showInputMessage="1" showErrorMessage="1" promptTitle="Thickness of Stratum" prompt="This is the thickness of each stratum in metres." sqref="A10 A31" xr:uid="{02FF97CE-E122-420A-97A7-2703B960774D}"/>
    <dataValidation allowBlank="1" showInputMessage="1" showErrorMessage="1" promptTitle="Level of Bottom of Stratum" prompt="This is the level in metres above ordnance datum for the bottom of each stratum." sqref="A9 A30" xr:uid="{180F9F81-9D51-4AD0-BE35-F89508039113}"/>
    <dataValidation allowBlank="1" showInputMessage="1" showErrorMessage="1" promptTitle="Level of Top of Stratum" prompt="This is the level in metres above ordnance datum for the top of each stratum." sqref="A8 A29" xr:uid="{176C8095-6D14-4EF8-94CA-578861C18C58}"/>
    <dataValidation allowBlank="1" showInputMessage="1" showErrorMessage="1" promptTitle="Material Type" prompt="This identfies any rock or soil type into 4 material catagories; Cohesive, Granular, Chalk or Rock. _x000a__x000a_Depending on what material category the stratum is, different methods and parameters are used in foundation calculations." sqref="A28 A7" xr:uid="{D654B157-292D-4A7B-997D-262C5E392762}"/>
  </dataValidations>
  <pageMargins left="0.7" right="0.7" top="0.75" bottom="0.75" header="0.3" footer="0.3"/>
  <pageSetup paperSize="9" orientation="portrait" horizontalDpi="300" r:id="rId1"/>
  <ignoredErrors>
    <ignoredError sqref="D15 E15:E20 F15:F17 G15 D17:D20" formulaRange="1"/>
  </ignoredErrors>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E9EA2-40E2-41F5-A22B-319BB3BE8080}">
  <sheetPr codeName="Sheet17">
    <tabColor theme="8" tint="0.79998168889431442"/>
  </sheetPr>
  <dimension ref="A1:AH57"/>
  <sheetViews>
    <sheetView topLeftCell="A5" workbookViewId="0">
      <selection activeCell="H18" sqref="H18"/>
    </sheetView>
  </sheetViews>
  <sheetFormatPr defaultRowHeight="15"/>
  <cols>
    <col min="1" max="1" width="26.5703125" customWidth="1"/>
    <col min="2" max="2" width="11.85546875" customWidth="1"/>
    <col min="3" max="12" width="14.42578125" customWidth="1"/>
    <col min="13" max="16" width="19.5703125" customWidth="1"/>
  </cols>
  <sheetData>
    <row r="1" spans="1:27" ht="78.599999999999994" customHeight="1">
      <c r="A1" s="1368" t="s">
        <v>2062</v>
      </c>
      <c r="B1" s="1369"/>
      <c r="C1" s="1369"/>
      <c r="D1" s="1369"/>
      <c r="E1" s="1369"/>
      <c r="F1" s="1369"/>
      <c r="G1" s="1369"/>
      <c r="H1" s="1369"/>
      <c r="I1" s="1369"/>
      <c r="J1" s="1369"/>
      <c r="K1" s="1369"/>
      <c r="L1" s="1369"/>
      <c r="M1" s="1369"/>
      <c r="N1" s="1369"/>
      <c r="O1" s="1369"/>
      <c r="P1" s="1369"/>
      <c r="Q1" s="1369"/>
    </row>
    <row r="2" spans="1:27" ht="15.75">
      <c r="A2" s="5"/>
      <c r="B2" s="5"/>
      <c r="C2" s="5"/>
      <c r="D2" s="5"/>
      <c r="E2" s="5"/>
      <c r="F2" s="5"/>
      <c r="G2" s="5"/>
      <c r="H2" s="5"/>
      <c r="I2" s="5"/>
      <c r="J2" s="5"/>
      <c r="K2" s="5"/>
      <c r="L2" s="5"/>
      <c r="M2" s="5"/>
      <c r="N2" s="5"/>
      <c r="O2" s="5"/>
      <c r="P2" s="5"/>
      <c r="Q2" s="5"/>
    </row>
    <row r="3" spans="1:27" ht="15.75">
      <c r="A3" t="s">
        <v>2063</v>
      </c>
      <c r="L3" s="6"/>
      <c r="M3" s="7"/>
      <c r="N3" s="7"/>
      <c r="O3" s="7"/>
      <c r="P3" s="7"/>
      <c r="Q3" s="7"/>
    </row>
    <row r="4" spans="1:27" ht="16.5" thickBot="1">
      <c r="A4" s="1"/>
      <c r="C4" s="1"/>
      <c r="D4" s="1"/>
      <c r="E4" s="1"/>
      <c r="F4" s="1"/>
      <c r="G4" s="1"/>
      <c r="H4" s="1"/>
      <c r="I4" s="1"/>
      <c r="J4" s="1"/>
      <c r="L4" s="7"/>
      <c r="M4" s="7"/>
      <c r="N4" s="7"/>
      <c r="O4" s="7"/>
      <c r="Q4" s="7"/>
    </row>
    <row r="5" spans="1:27" ht="87" thickBot="1">
      <c r="A5" s="8" t="s">
        <v>2064</v>
      </c>
      <c r="B5" s="9" t="s">
        <v>2065</v>
      </c>
      <c r="C5" s="10" t="s">
        <v>2066</v>
      </c>
      <c r="D5" s="10" t="s">
        <v>2067</v>
      </c>
      <c r="E5" s="10" t="s">
        <v>2068</v>
      </c>
      <c r="F5" s="10" t="s">
        <v>1182</v>
      </c>
      <c r="G5" s="10" t="s">
        <v>1184</v>
      </c>
      <c r="H5" s="10" t="s">
        <v>1186</v>
      </c>
      <c r="I5" s="10" t="s">
        <v>1188</v>
      </c>
      <c r="J5" s="11" t="s">
        <v>1190</v>
      </c>
      <c r="K5" s="6"/>
      <c r="L5" s="6"/>
      <c r="M5" s="6"/>
      <c r="N5" s="6"/>
      <c r="O5" s="6"/>
      <c r="P5" s="6"/>
      <c r="Q5" s="6"/>
    </row>
    <row r="6" spans="1:27" ht="21.75" thickBot="1">
      <c r="A6" s="12"/>
      <c r="B6" s="12"/>
      <c r="C6" s="13" t="s">
        <v>2069</v>
      </c>
      <c r="D6" s="14" t="s">
        <v>2069</v>
      </c>
      <c r="E6" s="13" t="s">
        <v>2070</v>
      </c>
      <c r="F6" s="15" t="s">
        <v>1183</v>
      </c>
      <c r="G6" s="13" t="s">
        <v>2070</v>
      </c>
      <c r="H6" s="13" t="s">
        <v>2070</v>
      </c>
      <c r="I6" s="13" t="s">
        <v>2070</v>
      </c>
      <c r="J6" s="16" t="s">
        <v>1167</v>
      </c>
      <c r="K6" s="17"/>
      <c r="L6" s="17"/>
      <c r="M6" s="17"/>
      <c r="N6" s="18"/>
      <c r="O6" s="19"/>
      <c r="P6" s="19"/>
      <c r="Q6" s="19"/>
    </row>
    <row r="7" spans="1:27" ht="16.5" thickBot="1">
      <c r="A7" s="20" t="s">
        <v>2071</v>
      </c>
      <c r="B7" s="21" t="s">
        <v>665</v>
      </c>
      <c r="C7" s="22">
        <v>16</v>
      </c>
      <c r="D7" s="22">
        <v>16</v>
      </c>
      <c r="E7" s="23">
        <v>0</v>
      </c>
      <c r="F7" s="23">
        <v>0</v>
      </c>
      <c r="G7" s="23">
        <v>0</v>
      </c>
      <c r="H7" s="23">
        <v>0</v>
      </c>
      <c r="I7" s="24">
        <v>0</v>
      </c>
      <c r="J7" s="25">
        <v>0</v>
      </c>
      <c r="K7" s="26"/>
      <c r="L7" s="26"/>
      <c r="M7" s="26"/>
      <c r="N7" s="26"/>
      <c r="O7" s="26"/>
      <c r="P7" s="26"/>
      <c r="Q7" s="26"/>
    </row>
    <row r="8" spans="1:27" ht="15.75">
      <c r="A8" s="27" t="s">
        <v>47</v>
      </c>
      <c r="B8" s="28" t="s">
        <v>666</v>
      </c>
      <c r="C8" s="29">
        <v>18</v>
      </c>
      <c r="D8" s="29">
        <v>18</v>
      </c>
      <c r="E8" s="30">
        <v>0</v>
      </c>
      <c r="F8" s="31">
        <v>0</v>
      </c>
      <c r="G8" s="31">
        <v>0</v>
      </c>
      <c r="H8" s="31">
        <v>0</v>
      </c>
      <c r="I8" s="31">
        <v>0</v>
      </c>
      <c r="J8" s="32">
        <v>0</v>
      </c>
      <c r="K8" s="33"/>
      <c r="L8" s="33"/>
      <c r="M8" s="33"/>
      <c r="N8" s="26"/>
      <c r="O8" s="26"/>
      <c r="P8" s="26"/>
      <c r="Q8" s="26"/>
    </row>
    <row r="9" spans="1:27" ht="15.75">
      <c r="A9" s="27" t="s">
        <v>2072</v>
      </c>
      <c r="B9" s="28" t="s">
        <v>665</v>
      </c>
      <c r="C9" s="29">
        <v>17</v>
      </c>
      <c r="D9" s="29">
        <v>17</v>
      </c>
      <c r="E9" s="34">
        <v>20</v>
      </c>
      <c r="F9" s="31">
        <v>0</v>
      </c>
      <c r="G9" s="31">
        <v>0</v>
      </c>
      <c r="H9" s="31">
        <v>0</v>
      </c>
      <c r="I9" s="31">
        <v>0</v>
      </c>
      <c r="J9" s="32">
        <v>0</v>
      </c>
      <c r="K9" s="35"/>
      <c r="L9" s="36"/>
      <c r="M9" s="36"/>
      <c r="N9" s="26"/>
      <c r="O9" s="26"/>
      <c r="P9" s="26"/>
      <c r="Q9" s="26"/>
    </row>
    <row r="10" spans="1:27" ht="15.75">
      <c r="A10" s="27" t="s">
        <v>52</v>
      </c>
      <c r="B10" s="28" t="s">
        <v>665</v>
      </c>
      <c r="C10" s="29">
        <v>18.5</v>
      </c>
      <c r="D10" s="29">
        <v>18.5</v>
      </c>
      <c r="E10" s="34">
        <v>40</v>
      </c>
      <c r="F10" s="31">
        <v>0</v>
      </c>
      <c r="G10" s="31">
        <v>0</v>
      </c>
      <c r="H10" s="31">
        <v>0</v>
      </c>
      <c r="I10" s="31">
        <v>0</v>
      </c>
      <c r="J10" s="32">
        <v>0</v>
      </c>
      <c r="K10" s="35"/>
      <c r="L10" s="36"/>
      <c r="M10" s="36"/>
      <c r="N10" s="26"/>
      <c r="O10" s="26"/>
      <c r="P10" s="26"/>
      <c r="Q10" s="26"/>
    </row>
    <row r="11" spans="1:27" ht="15.75">
      <c r="A11" s="27" t="s">
        <v>2073</v>
      </c>
      <c r="B11" s="28" t="s">
        <v>665</v>
      </c>
      <c r="C11" s="29">
        <v>20</v>
      </c>
      <c r="D11" s="37">
        <v>20</v>
      </c>
      <c r="E11" s="34">
        <v>75</v>
      </c>
      <c r="F11" s="31">
        <v>0</v>
      </c>
      <c r="G11" s="31">
        <v>0</v>
      </c>
      <c r="H11" s="31">
        <v>0</v>
      </c>
      <c r="I11" s="31">
        <v>0</v>
      </c>
      <c r="J11" s="32">
        <v>0</v>
      </c>
      <c r="K11" s="35"/>
      <c r="L11" s="36"/>
      <c r="M11" s="36"/>
      <c r="N11" s="26"/>
      <c r="O11" s="26"/>
      <c r="P11" s="26"/>
      <c r="Q11" s="26"/>
    </row>
    <row r="12" spans="1:27">
      <c r="A12" s="27" t="s">
        <v>61</v>
      </c>
      <c r="B12" s="28" t="s">
        <v>665</v>
      </c>
      <c r="C12" s="29">
        <v>21.5</v>
      </c>
      <c r="D12" s="29">
        <v>21.5</v>
      </c>
      <c r="E12" s="34">
        <v>150</v>
      </c>
      <c r="F12" s="31">
        <v>0</v>
      </c>
      <c r="G12" s="31">
        <v>0</v>
      </c>
      <c r="H12" s="31">
        <v>0</v>
      </c>
      <c r="I12" s="31">
        <v>0</v>
      </c>
      <c r="J12" s="32">
        <v>0</v>
      </c>
    </row>
    <row r="13" spans="1:27" ht="15.75" thickBot="1">
      <c r="A13" s="27" t="s">
        <v>2074</v>
      </c>
      <c r="B13" s="28" t="s">
        <v>665</v>
      </c>
      <c r="C13" s="29">
        <v>22.5</v>
      </c>
      <c r="D13" s="29">
        <v>22.5</v>
      </c>
      <c r="E13" s="38">
        <v>300</v>
      </c>
      <c r="F13" s="31">
        <v>0</v>
      </c>
      <c r="G13" s="31">
        <v>0</v>
      </c>
      <c r="H13" s="31">
        <v>0</v>
      </c>
      <c r="I13" s="31">
        <v>0</v>
      </c>
      <c r="J13" s="32">
        <v>0</v>
      </c>
    </row>
    <row r="14" spans="1:27" ht="15.75" thickBot="1">
      <c r="A14" s="27" t="s">
        <v>2075</v>
      </c>
      <c r="B14" s="28" t="s">
        <v>666</v>
      </c>
      <c r="C14" s="29">
        <v>19.7</v>
      </c>
      <c r="D14" s="29">
        <v>18.2</v>
      </c>
      <c r="E14" s="31">
        <v>0</v>
      </c>
      <c r="F14" s="31">
        <v>28</v>
      </c>
      <c r="G14" s="31">
        <v>0</v>
      </c>
      <c r="H14" s="31">
        <v>0</v>
      </c>
      <c r="I14" s="31">
        <v>0</v>
      </c>
      <c r="J14" s="32">
        <v>0</v>
      </c>
    </row>
    <row r="15" spans="1:27">
      <c r="A15" s="27" t="s">
        <v>2076</v>
      </c>
      <c r="B15" s="28" t="s">
        <v>666</v>
      </c>
      <c r="C15" s="29">
        <v>19</v>
      </c>
      <c r="D15" s="29">
        <v>16.5</v>
      </c>
      <c r="E15" s="31">
        <v>0</v>
      </c>
      <c r="F15" s="22">
        <v>30</v>
      </c>
      <c r="G15" s="31">
        <v>0</v>
      </c>
      <c r="H15" s="31">
        <v>0</v>
      </c>
      <c r="I15" s="31">
        <v>0</v>
      </c>
      <c r="J15" s="39">
        <v>0</v>
      </c>
      <c r="K15" s="40"/>
    </row>
    <row r="16" spans="1:27">
      <c r="A16" s="27" t="s">
        <v>56</v>
      </c>
      <c r="B16" s="28" t="s">
        <v>666</v>
      </c>
      <c r="C16" s="29">
        <v>19.5</v>
      </c>
      <c r="D16" s="29">
        <v>17</v>
      </c>
      <c r="E16" s="31">
        <v>0</v>
      </c>
      <c r="F16" s="29">
        <v>33</v>
      </c>
      <c r="G16" s="31">
        <v>0</v>
      </c>
      <c r="H16" s="31">
        <v>0</v>
      </c>
      <c r="I16" s="31">
        <v>0</v>
      </c>
      <c r="J16" s="39">
        <v>0</v>
      </c>
      <c r="K16" s="41"/>
      <c r="L16" s="41"/>
      <c r="M16" s="41"/>
      <c r="N16" s="41"/>
      <c r="O16" s="41"/>
      <c r="P16" s="41"/>
      <c r="Q16" s="41"/>
      <c r="R16" s="41"/>
      <c r="S16" s="41"/>
      <c r="T16" s="41"/>
      <c r="U16" s="41"/>
      <c r="V16" s="41"/>
      <c r="W16" s="41"/>
      <c r="X16" s="41"/>
      <c r="Y16" s="41"/>
      <c r="Z16" s="41"/>
      <c r="AA16" s="41"/>
    </row>
    <row r="17" spans="1:34" ht="16.5" customHeight="1" thickBot="1">
      <c r="A17" s="27" t="s">
        <v>1062</v>
      </c>
      <c r="B17" s="28" t="s">
        <v>666</v>
      </c>
      <c r="C17" s="29">
        <v>20.3</v>
      </c>
      <c r="D17" s="29">
        <v>18</v>
      </c>
      <c r="E17" s="31">
        <v>0</v>
      </c>
      <c r="F17" s="42">
        <v>38</v>
      </c>
      <c r="G17" s="31">
        <v>0</v>
      </c>
      <c r="H17" s="31">
        <v>0</v>
      </c>
      <c r="I17" s="31">
        <v>0</v>
      </c>
      <c r="J17" s="39">
        <v>0</v>
      </c>
      <c r="K17" s="43"/>
      <c r="L17" s="43"/>
      <c r="M17" s="43"/>
      <c r="N17" s="43"/>
      <c r="O17" s="41"/>
      <c r="P17" s="41"/>
      <c r="Q17" s="41"/>
      <c r="R17" s="41"/>
      <c r="S17" s="41"/>
      <c r="T17" s="41"/>
      <c r="U17" s="41"/>
      <c r="V17" s="41"/>
      <c r="W17" s="41"/>
      <c r="X17" s="41"/>
      <c r="Y17" s="41"/>
      <c r="Z17" s="41"/>
      <c r="AA17" s="41"/>
    </row>
    <row r="18" spans="1:34">
      <c r="A18" s="27" t="s">
        <v>2077</v>
      </c>
      <c r="B18" s="28" t="s">
        <v>2078</v>
      </c>
      <c r="C18" s="44">
        <f>9.81*(2.7+0.85)/(1+0.85)</f>
        <v>18.824594594594597</v>
      </c>
      <c r="D18" s="44">
        <f>1.5*9.81</f>
        <v>14.715</v>
      </c>
      <c r="E18" s="31">
        <v>0</v>
      </c>
      <c r="F18" s="31">
        <v>0</v>
      </c>
      <c r="G18" s="31">
        <v>0</v>
      </c>
      <c r="H18" s="45">
        <v>6300</v>
      </c>
      <c r="I18" s="23">
        <v>3100</v>
      </c>
      <c r="J18" s="46">
        <v>10</v>
      </c>
      <c r="K18" s="47"/>
      <c r="L18" s="47"/>
      <c r="M18" s="47"/>
      <c r="N18" s="47"/>
      <c r="O18" s="41"/>
      <c r="P18" s="41"/>
      <c r="Q18" s="41"/>
      <c r="R18" s="41"/>
      <c r="S18" s="41"/>
      <c r="T18" s="41"/>
      <c r="U18" s="41"/>
      <c r="V18" s="41"/>
      <c r="W18" s="41"/>
      <c r="X18" s="41"/>
      <c r="Y18" s="41"/>
      <c r="Z18" s="41"/>
      <c r="AA18" s="41"/>
    </row>
    <row r="19" spans="1:34">
      <c r="A19" s="27" t="s">
        <v>2079</v>
      </c>
      <c r="B19" s="28" t="s">
        <v>2078</v>
      </c>
      <c r="C19" s="48">
        <f>9.81*(2.7+0.6)/(1+0.6)</f>
        <v>20.233125000000001</v>
      </c>
      <c r="D19" s="48">
        <f>1.62*9.81</f>
        <v>15.892200000000003</v>
      </c>
      <c r="E19" s="31">
        <v>0</v>
      </c>
      <c r="F19" s="31">
        <v>0</v>
      </c>
      <c r="G19" s="31">
        <v>0</v>
      </c>
      <c r="H19" s="49">
        <v>11000</v>
      </c>
      <c r="I19" s="31">
        <v>5200</v>
      </c>
      <c r="J19" s="46">
        <v>30</v>
      </c>
      <c r="K19" s="41"/>
      <c r="L19" s="41"/>
      <c r="M19" s="41"/>
      <c r="N19" s="41"/>
      <c r="O19" s="41"/>
      <c r="P19" s="41"/>
      <c r="Q19" s="41"/>
      <c r="R19" s="41"/>
      <c r="S19" s="41"/>
      <c r="T19" s="41"/>
      <c r="U19" s="41"/>
      <c r="V19" s="41"/>
      <c r="W19" s="41"/>
      <c r="X19" s="41"/>
      <c r="Y19" s="41"/>
      <c r="Z19" s="41"/>
      <c r="AA19" s="41"/>
      <c r="AC19" s="2"/>
      <c r="AD19" s="2"/>
      <c r="AE19" s="2"/>
      <c r="AF19" s="2"/>
      <c r="AG19" s="2"/>
      <c r="AH19" s="2"/>
    </row>
    <row r="20" spans="1:34" ht="15.75" thickBot="1">
      <c r="A20" s="27" t="s">
        <v>2080</v>
      </c>
      <c r="B20" s="28" t="s">
        <v>2078</v>
      </c>
      <c r="C20" s="50">
        <f>9.81*(2.7+0.35)/(1+0.35)</f>
        <v>22.163333333333334</v>
      </c>
      <c r="D20" s="50">
        <f>1.82*9.81</f>
        <v>17.854200000000002</v>
      </c>
      <c r="E20" s="31">
        <v>0</v>
      </c>
      <c r="F20" s="31">
        <v>0</v>
      </c>
      <c r="G20" s="31">
        <v>0</v>
      </c>
      <c r="H20" s="51">
        <v>17000</v>
      </c>
      <c r="I20" s="52">
        <v>8200</v>
      </c>
      <c r="J20" s="46">
        <v>50</v>
      </c>
      <c r="K20" s="41"/>
      <c r="L20" s="41"/>
      <c r="M20" s="41"/>
      <c r="N20" s="41"/>
      <c r="O20" s="41"/>
      <c r="P20" s="41"/>
      <c r="Q20" s="41"/>
      <c r="R20" s="41"/>
      <c r="S20" s="41"/>
      <c r="T20" s="41"/>
      <c r="U20" s="41"/>
      <c r="V20" s="41"/>
      <c r="W20" s="41"/>
      <c r="X20" s="41"/>
      <c r="Y20" s="41"/>
      <c r="Z20" s="41"/>
      <c r="AA20" s="41"/>
    </row>
    <row r="21" spans="1:34" ht="15.75" thickBot="1">
      <c r="A21" s="53" t="s">
        <v>1053</v>
      </c>
      <c r="B21" s="54" t="s">
        <v>1053</v>
      </c>
      <c r="C21" s="55">
        <v>0</v>
      </c>
      <c r="D21" s="56">
        <v>0</v>
      </c>
      <c r="E21" s="56">
        <v>0</v>
      </c>
      <c r="F21" s="56">
        <v>0</v>
      </c>
      <c r="G21" s="52">
        <v>0</v>
      </c>
      <c r="H21" s="56">
        <v>0</v>
      </c>
      <c r="I21" s="56">
        <v>0</v>
      </c>
      <c r="J21" s="32">
        <v>0</v>
      </c>
      <c r="K21" s="41"/>
      <c r="L21" s="41"/>
      <c r="M21" s="41"/>
      <c r="N21" s="41"/>
      <c r="O21" s="41"/>
      <c r="P21" s="41"/>
      <c r="Q21" s="41"/>
      <c r="R21" s="41"/>
      <c r="S21" s="41"/>
      <c r="T21" s="41"/>
      <c r="U21" s="41"/>
      <c r="V21" s="41"/>
      <c r="W21" s="41"/>
      <c r="X21" s="41"/>
      <c r="Y21" s="41"/>
      <c r="Z21" s="41"/>
      <c r="AA21" s="41"/>
    </row>
    <row r="22" spans="1:34">
      <c r="A22" s="27" t="s">
        <v>2081</v>
      </c>
      <c r="B22" s="28" t="s">
        <v>2082</v>
      </c>
      <c r="C22" s="22">
        <v>20</v>
      </c>
      <c r="D22" s="31">
        <v>0</v>
      </c>
      <c r="E22" s="31">
        <v>0</v>
      </c>
      <c r="F22" s="31">
        <v>0</v>
      </c>
      <c r="G22" s="22">
        <v>625</v>
      </c>
      <c r="H22" s="57">
        <v>0</v>
      </c>
      <c r="I22" s="31">
        <v>0</v>
      </c>
      <c r="J22" s="32">
        <v>0</v>
      </c>
      <c r="K22" s="41"/>
      <c r="L22" s="41"/>
      <c r="M22" s="41"/>
      <c r="N22" s="41"/>
      <c r="O22" s="41"/>
      <c r="P22" s="41"/>
      <c r="Q22" s="41"/>
      <c r="R22" s="41"/>
      <c r="S22" s="41"/>
      <c r="T22" s="41"/>
      <c r="U22" s="41"/>
      <c r="V22" s="41"/>
      <c r="W22" s="41"/>
      <c r="X22" s="41"/>
      <c r="Y22" s="41"/>
      <c r="Z22" s="41"/>
      <c r="AA22" s="41"/>
    </row>
    <row r="23" spans="1:34">
      <c r="A23" s="27" t="s">
        <v>2083</v>
      </c>
      <c r="B23" s="28" t="s">
        <v>2082</v>
      </c>
      <c r="C23" s="29">
        <v>22</v>
      </c>
      <c r="D23" s="31">
        <v>0</v>
      </c>
      <c r="E23" s="31">
        <v>0</v>
      </c>
      <c r="F23" s="31">
        <v>0</v>
      </c>
      <c r="G23" s="29">
        <v>2500</v>
      </c>
      <c r="H23" s="31">
        <v>0</v>
      </c>
      <c r="I23" s="31">
        <v>0</v>
      </c>
      <c r="J23" s="32">
        <v>0</v>
      </c>
      <c r="K23" s="41"/>
      <c r="L23" s="41"/>
      <c r="M23" s="41"/>
      <c r="N23" s="41"/>
      <c r="O23" s="41"/>
      <c r="P23" s="41"/>
      <c r="Q23" s="41"/>
      <c r="R23" s="41"/>
      <c r="S23" s="41"/>
      <c r="T23" s="41"/>
      <c r="U23" s="41"/>
      <c r="V23" s="41"/>
      <c r="W23" s="41"/>
      <c r="X23" s="41"/>
      <c r="Y23" s="41"/>
      <c r="Z23" s="41"/>
      <c r="AA23" s="41"/>
    </row>
    <row r="24" spans="1:34">
      <c r="A24" s="27" t="s">
        <v>2084</v>
      </c>
      <c r="B24" s="28" t="s">
        <v>2082</v>
      </c>
      <c r="C24" s="29">
        <v>24</v>
      </c>
      <c r="D24" s="31">
        <v>0</v>
      </c>
      <c r="E24" s="31">
        <v>0</v>
      </c>
      <c r="F24" s="31">
        <v>0</v>
      </c>
      <c r="G24" s="29">
        <v>15000</v>
      </c>
      <c r="H24" s="31">
        <v>0</v>
      </c>
      <c r="I24" s="31">
        <v>0</v>
      </c>
      <c r="J24" s="32">
        <v>0</v>
      </c>
      <c r="K24" s="41"/>
      <c r="L24" s="41"/>
      <c r="M24" s="41"/>
      <c r="N24" s="41"/>
      <c r="O24" s="41"/>
      <c r="P24" s="41"/>
      <c r="Q24" s="41"/>
      <c r="R24" s="41"/>
      <c r="S24" s="41"/>
      <c r="T24" s="41"/>
      <c r="U24" s="41"/>
      <c r="V24" s="41"/>
      <c r="W24" s="41"/>
      <c r="X24" s="41"/>
      <c r="Y24" s="41"/>
      <c r="Z24" s="41"/>
      <c r="AA24" s="41"/>
    </row>
    <row r="25" spans="1:34">
      <c r="A25" s="27" t="s">
        <v>2085</v>
      </c>
      <c r="B25" s="28" t="s">
        <v>2082</v>
      </c>
      <c r="C25" s="29">
        <v>24</v>
      </c>
      <c r="D25" s="31">
        <v>0</v>
      </c>
      <c r="E25" s="31">
        <v>0</v>
      </c>
      <c r="F25" s="31">
        <v>0</v>
      </c>
      <c r="G25" s="58">
        <v>37500</v>
      </c>
      <c r="H25" s="31">
        <v>0</v>
      </c>
      <c r="I25" s="31">
        <v>0</v>
      </c>
      <c r="J25" s="32">
        <v>0</v>
      </c>
      <c r="K25" s="41"/>
      <c r="L25" s="41"/>
      <c r="M25" s="41"/>
      <c r="N25" s="41"/>
      <c r="O25" s="41"/>
      <c r="P25" s="41"/>
      <c r="Q25" s="41"/>
      <c r="R25" s="41"/>
      <c r="S25" s="41"/>
      <c r="T25" s="41"/>
      <c r="U25" s="41"/>
      <c r="V25" s="41"/>
      <c r="W25" s="41"/>
      <c r="X25" s="41"/>
      <c r="Y25" s="41"/>
      <c r="Z25" s="41"/>
      <c r="AA25" s="41"/>
    </row>
    <row r="26" spans="1:34">
      <c r="A26" s="27" t="s">
        <v>2086</v>
      </c>
      <c r="B26" s="28" t="s">
        <v>2082</v>
      </c>
      <c r="C26" s="29">
        <v>26</v>
      </c>
      <c r="D26" s="31">
        <v>0</v>
      </c>
      <c r="E26" s="31">
        <v>0</v>
      </c>
      <c r="F26" s="31">
        <v>0</v>
      </c>
      <c r="G26" s="29">
        <v>75000</v>
      </c>
      <c r="H26" s="31">
        <v>0</v>
      </c>
      <c r="I26" s="31">
        <v>0</v>
      </c>
      <c r="J26" s="32">
        <v>0</v>
      </c>
      <c r="K26" s="41"/>
      <c r="L26" s="41"/>
      <c r="M26" s="41"/>
      <c r="N26" s="41"/>
      <c r="O26" s="41"/>
      <c r="P26" s="41"/>
      <c r="Q26" s="41"/>
      <c r="R26" s="41"/>
      <c r="S26" s="41"/>
      <c r="T26" s="41"/>
      <c r="U26" s="41"/>
      <c r="V26" s="41"/>
      <c r="W26" s="41"/>
      <c r="X26" s="41"/>
      <c r="Y26" s="41"/>
      <c r="Z26" s="41"/>
      <c r="AA26" s="41"/>
    </row>
    <row r="27" spans="1:34">
      <c r="A27" s="27" t="s">
        <v>2087</v>
      </c>
      <c r="B27" s="28" t="s">
        <v>2082</v>
      </c>
      <c r="C27" s="29">
        <v>27</v>
      </c>
      <c r="D27" s="31">
        <v>0</v>
      </c>
      <c r="E27" s="31">
        <v>0</v>
      </c>
      <c r="F27" s="31">
        <v>0</v>
      </c>
      <c r="G27" s="29">
        <v>175000</v>
      </c>
      <c r="H27" s="31">
        <v>0</v>
      </c>
      <c r="I27" s="31">
        <v>0</v>
      </c>
      <c r="J27" s="32">
        <v>0</v>
      </c>
      <c r="K27" s="41"/>
      <c r="L27" s="41"/>
      <c r="M27" s="41"/>
      <c r="N27" s="41"/>
      <c r="O27" s="41"/>
      <c r="P27" s="41"/>
      <c r="Q27" s="41"/>
      <c r="R27" s="41"/>
      <c r="S27" s="41"/>
      <c r="T27" s="41"/>
      <c r="U27" s="41"/>
      <c r="V27" s="41"/>
      <c r="W27" s="41"/>
      <c r="X27" s="41"/>
      <c r="Y27" s="41"/>
      <c r="Z27" s="41"/>
      <c r="AA27" s="41"/>
    </row>
    <row r="28" spans="1:34" ht="15.75" thickBot="1">
      <c r="A28" s="59" t="s">
        <v>2088</v>
      </c>
      <c r="B28" s="60" t="s">
        <v>2082</v>
      </c>
      <c r="C28" s="42">
        <v>29</v>
      </c>
      <c r="D28" s="52">
        <v>0</v>
      </c>
      <c r="E28" s="52">
        <v>0</v>
      </c>
      <c r="F28" s="52">
        <v>0</v>
      </c>
      <c r="G28" s="42">
        <v>250000</v>
      </c>
      <c r="H28" s="52">
        <v>0</v>
      </c>
      <c r="I28" s="52">
        <v>0</v>
      </c>
      <c r="J28" s="61">
        <v>0</v>
      </c>
      <c r="K28" s="41"/>
      <c r="L28" s="41"/>
      <c r="M28" s="41"/>
      <c r="N28" s="41"/>
      <c r="O28" s="41"/>
      <c r="P28" s="41"/>
      <c r="Q28" s="41"/>
      <c r="R28" s="41"/>
      <c r="S28" s="41"/>
      <c r="T28" s="41"/>
      <c r="U28" s="41"/>
      <c r="V28" s="41"/>
      <c r="W28" s="41"/>
      <c r="X28" s="41"/>
      <c r="Y28" s="41"/>
      <c r="Z28" s="41"/>
      <c r="AA28" s="41"/>
    </row>
    <row r="29" spans="1:34">
      <c r="K29" s="41"/>
      <c r="L29" s="41"/>
      <c r="M29" s="41"/>
      <c r="N29" s="41"/>
      <c r="O29" s="41"/>
      <c r="P29" s="41"/>
      <c r="Q29" s="41"/>
      <c r="R29" s="41"/>
      <c r="S29" s="41"/>
      <c r="T29" s="41"/>
      <c r="U29" s="41"/>
      <c r="V29" s="41"/>
      <c r="W29" s="41"/>
      <c r="X29" s="41"/>
      <c r="Y29" s="41"/>
      <c r="Z29" s="41"/>
      <c r="AA29" s="41"/>
    </row>
    <row r="30" spans="1:34">
      <c r="A30" s="62" t="s">
        <v>2089</v>
      </c>
      <c r="K30" s="41"/>
      <c r="L30" s="41"/>
      <c r="M30" s="41"/>
      <c r="N30" s="41"/>
      <c r="O30" s="41"/>
      <c r="P30" s="41"/>
      <c r="Q30" s="41"/>
      <c r="R30" s="41"/>
      <c r="S30" s="41"/>
      <c r="T30" s="41"/>
      <c r="U30" s="41"/>
      <c r="V30" s="41"/>
      <c r="W30" s="41"/>
      <c r="X30" s="41"/>
      <c r="Y30" s="41"/>
      <c r="Z30" s="41"/>
      <c r="AA30" s="41"/>
    </row>
    <row r="31" spans="1:34">
      <c r="A31" s="63" t="s">
        <v>2090</v>
      </c>
      <c r="B31" t="s">
        <v>2091</v>
      </c>
      <c r="K31" s="41"/>
      <c r="L31" s="41"/>
      <c r="M31" s="41"/>
      <c r="N31" s="41"/>
      <c r="O31" s="41"/>
      <c r="P31" s="41"/>
      <c r="Q31" s="41"/>
      <c r="R31" s="41"/>
      <c r="S31" s="41"/>
      <c r="T31" s="41"/>
      <c r="U31" s="41"/>
      <c r="V31" s="41"/>
      <c r="W31" s="41"/>
      <c r="X31" s="41"/>
      <c r="Y31" s="41"/>
      <c r="Z31" s="41"/>
      <c r="AA31" s="41"/>
    </row>
    <row r="32" spans="1:34">
      <c r="A32">
        <v>0</v>
      </c>
      <c r="B32" s="31">
        <v>0</v>
      </c>
      <c r="K32" s="41"/>
      <c r="L32" s="41"/>
      <c r="M32" s="41"/>
      <c r="N32" s="41"/>
      <c r="O32" s="41"/>
      <c r="P32" s="41"/>
      <c r="Q32" s="41"/>
      <c r="R32" s="41"/>
      <c r="S32" s="41"/>
      <c r="T32" s="41"/>
      <c r="U32" s="41"/>
      <c r="V32" s="41"/>
      <c r="W32" s="41"/>
      <c r="X32" s="41"/>
      <c r="Y32" s="41"/>
      <c r="Z32" s="41"/>
      <c r="AA32" s="41"/>
    </row>
    <row r="33" spans="1:27">
      <c r="A33">
        <v>2</v>
      </c>
      <c r="K33" s="64"/>
      <c r="L33" s="41"/>
      <c r="M33" s="41"/>
      <c r="N33" s="41"/>
      <c r="O33" s="41"/>
      <c r="P33" s="41"/>
      <c r="Q33" s="41"/>
      <c r="R33" s="41"/>
      <c r="S33" s="41"/>
      <c r="T33" s="41"/>
      <c r="U33" s="41"/>
      <c r="V33" s="41"/>
      <c r="W33" s="41"/>
      <c r="X33" s="41"/>
      <c r="Y33" s="41"/>
      <c r="Z33" s="41"/>
      <c r="AA33" s="41"/>
    </row>
    <row r="34" spans="1:27">
      <c r="A34">
        <v>4</v>
      </c>
      <c r="K34" s="64"/>
      <c r="L34" s="41"/>
      <c r="M34" s="41"/>
      <c r="N34" s="41"/>
      <c r="O34" s="41"/>
      <c r="P34" s="41"/>
      <c r="Q34" s="41"/>
      <c r="R34" s="41"/>
      <c r="S34" s="41"/>
      <c r="T34" s="41"/>
      <c r="U34" s="41"/>
      <c r="V34" s="41"/>
      <c r="W34" s="41"/>
      <c r="X34" s="41"/>
      <c r="Y34" s="41"/>
      <c r="Z34" s="41"/>
      <c r="AA34" s="41"/>
    </row>
    <row r="35" spans="1:27">
      <c r="A35">
        <v>6</v>
      </c>
      <c r="K35" s="64"/>
      <c r="L35" s="41"/>
      <c r="M35" s="41"/>
      <c r="N35" s="41"/>
      <c r="O35" s="41"/>
      <c r="P35" s="41"/>
      <c r="Q35" s="41"/>
      <c r="R35" s="41"/>
      <c r="S35" s="41"/>
      <c r="T35" s="41"/>
      <c r="U35" s="41"/>
      <c r="V35" s="41"/>
      <c r="W35" s="41"/>
      <c r="X35" s="41"/>
      <c r="Y35" s="41"/>
      <c r="Z35" s="41"/>
      <c r="AA35" s="41"/>
    </row>
    <row r="36" spans="1:27">
      <c r="A36">
        <v>8</v>
      </c>
      <c r="K36" s="64"/>
      <c r="L36" s="41"/>
      <c r="M36" s="41"/>
      <c r="N36" s="41"/>
      <c r="O36" s="41"/>
      <c r="P36" s="41"/>
      <c r="Q36" s="41"/>
      <c r="R36" s="41"/>
      <c r="S36" s="41"/>
      <c r="T36" s="41"/>
      <c r="U36" s="41"/>
      <c r="V36" s="41"/>
      <c r="W36" s="41"/>
      <c r="X36" s="41"/>
      <c r="Y36" s="41"/>
      <c r="Z36" s="41"/>
      <c r="AA36" s="41"/>
    </row>
    <row r="37" spans="1:27">
      <c r="A37">
        <v>10</v>
      </c>
      <c r="K37" s="41"/>
      <c r="L37" s="41"/>
      <c r="M37" s="41"/>
      <c r="N37" s="41"/>
      <c r="O37" s="41"/>
      <c r="P37" s="41"/>
      <c r="Q37" s="41"/>
      <c r="R37" s="41"/>
      <c r="S37" s="41"/>
      <c r="T37" s="41"/>
      <c r="U37" s="41"/>
      <c r="V37" s="41"/>
      <c r="W37" s="41"/>
      <c r="X37" s="41"/>
      <c r="Y37" s="41"/>
      <c r="Z37" s="41"/>
      <c r="AA37" s="41"/>
    </row>
    <row r="38" spans="1:27">
      <c r="A38">
        <v>12</v>
      </c>
      <c r="K38" s="41"/>
      <c r="L38" s="41"/>
      <c r="M38" s="41"/>
      <c r="N38" s="41"/>
      <c r="O38" s="41"/>
      <c r="P38" s="41"/>
      <c r="Q38" s="41"/>
      <c r="R38" s="41"/>
      <c r="S38" s="41"/>
      <c r="T38" s="41"/>
      <c r="U38" s="41"/>
      <c r="V38" s="41"/>
      <c r="W38" s="41"/>
      <c r="X38" s="41"/>
      <c r="Y38" s="41"/>
      <c r="Z38" s="41"/>
      <c r="AA38" s="41"/>
    </row>
    <row r="39" spans="1:27">
      <c r="A39">
        <v>14</v>
      </c>
      <c r="K39" s="41"/>
      <c r="L39" s="41"/>
      <c r="M39" s="41"/>
      <c r="N39" s="41"/>
      <c r="O39" s="41"/>
      <c r="P39" s="41"/>
      <c r="Q39" s="41"/>
      <c r="R39" s="41"/>
      <c r="S39" s="41"/>
      <c r="T39" s="41"/>
      <c r="U39" s="41"/>
      <c r="V39" s="41"/>
      <c r="W39" s="41"/>
      <c r="X39" s="41"/>
      <c r="Y39" s="41"/>
      <c r="Z39" s="41"/>
      <c r="AA39" s="41"/>
    </row>
    <row r="40" spans="1:27">
      <c r="A40">
        <v>16</v>
      </c>
      <c r="K40" s="41"/>
      <c r="L40" s="41"/>
      <c r="M40" s="41"/>
      <c r="N40" s="41"/>
      <c r="O40" s="41"/>
      <c r="P40" s="41"/>
      <c r="Q40" s="41"/>
      <c r="R40" s="41"/>
      <c r="S40" s="41"/>
      <c r="T40" s="41"/>
      <c r="U40" s="41"/>
      <c r="V40" s="41"/>
      <c r="W40" s="41"/>
      <c r="X40" s="41"/>
      <c r="Y40" s="41"/>
      <c r="Z40" s="41"/>
      <c r="AA40" s="41"/>
    </row>
    <row r="41" spans="1:27">
      <c r="A41">
        <v>18</v>
      </c>
      <c r="K41" s="41"/>
      <c r="L41" s="65"/>
      <c r="M41" s="41"/>
      <c r="N41" s="41"/>
      <c r="O41" s="41"/>
      <c r="P41" s="41"/>
      <c r="Q41" s="41"/>
      <c r="R41" s="41"/>
      <c r="S41" s="41"/>
      <c r="T41" s="41"/>
      <c r="U41" s="41"/>
      <c r="V41" s="41"/>
      <c r="W41" s="41"/>
      <c r="X41" s="41"/>
      <c r="Y41" s="41"/>
      <c r="Z41" s="41"/>
      <c r="AA41" s="41"/>
    </row>
    <row r="42" spans="1:27">
      <c r="A42">
        <v>20</v>
      </c>
      <c r="K42" s="41"/>
      <c r="L42" s="41"/>
      <c r="M42" s="41"/>
      <c r="N42" s="41"/>
      <c r="O42" s="41"/>
      <c r="P42" s="41"/>
      <c r="Q42" s="41"/>
      <c r="R42" s="41"/>
      <c r="S42" s="41"/>
      <c r="T42" s="41"/>
      <c r="U42" s="41"/>
      <c r="V42" s="41"/>
      <c r="W42" s="41"/>
      <c r="X42" s="41"/>
      <c r="Y42" s="41"/>
      <c r="Z42" s="41"/>
      <c r="AA42" s="41"/>
    </row>
    <row r="43" spans="1:27">
      <c r="A43">
        <v>22</v>
      </c>
    </row>
    <row r="44" spans="1:27">
      <c r="A44">
        <v>24</v>
      </c>
    </row>
    <row r="45" spans="1:27">
      <c r="A45">
        <v>26</v>
      </c>
    </row>
    <row r="46" spans="1:27">
      <c r="A46">
        <v>28</v>
      </c>
    </row>
    <row r="47" spans="1:27">
      <c r="A47">
        <v>30</v>
      </c>
    </row>
    <row r="48" spans="1:27">
      <c r="A48">
        <v>32</v>
      </c>
    </row>
    <row r="49" spans="1:8">
      <c r="A49">
        <v>34</v>
      </c>
    </row>
    <row r="50" spans="1:8">
      <c r="A50">
        <v>36</v>
      </c>
    </row>
    <row r="51" spans="1:8">
      <c r="A51">
        <v>38</v>
      </c>
    </row>
    <row r="52" spans="1:8" ht="18.75">
      <c r="A52">
        <v>40</v>
      </c>
      <c r="C52" s="66"/>
      <c r="E52" s="4"/>
      <c r="F52" s="4"/>
      <c r="G52" s="4"/>
      <c r="H52" s="4"/>
    </row>
    <row r="53" spans="1:8" ht="18.75">
      <c r="C53" s="66"/>
      <c r="E53" s="4"/>
      <c r="F53" s="4"/>
      <c r="G53" s="4"/>
      <c r="H53" s="4"/>
    </row>
    <row r="54" spans="1:8" ht="18.75">
      <c r="C54" s="66"/>
      <c r="E54" s="4"/>
      <c r="F54" s="4"/>
      <c r="G54" s="4"/>
      <c r="H54" s="4"/>
    </row>
    <row r="55" spans="1:8" ht="18.75">
      <c r="A55" s="3"/>
      <c r="B55" s="3"/>
      <c r="C55" s="66"/>
      <c r="E55" s="4"/>
      <c r="F55" s="4"/>
      <c r="G55" s="4"/>
      <c r="H55" s="4"/>
    </row>
    <row r="56" spans="1:8">
      <c r="E56" s="4"/>
      <c r="F56" s="4"/>
      <c r="G56" s="4"/>
      <c r="H56" s="4"/>
    </row>
    <row r="57" spans="1:8">
      <c r="E57" s="4"/>
      <c r="F57" s="4"/>
      <c r="G57" s="4"/>
      <c r="H57" s="4"/>
    </row>
  </sheetData>
  <mergeCells count="1">
    <mergeCell ref="A1:Q1"/>
  </mergeCells>
  <pageMargins left="0.7" right="0.7" top="0.75" bottom="0.75" header="0.3" footer="0.3"/>
  <pageSetup paperSize="9" orientation="portrait" horizontalDpi="30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4BF97-5F76-446E-9E1A-60E7B488446C}">
  <sheetPr codeName="Sheet9">
    <tabColor theme="7" tint="0.79998168889431442"/>
    <pageSetUpPr autoPageBreaks="0"/>
  </sheetPr>
  <dimension ref="A1:FB554"/>
  <sheetViews>
    <sheetView tabSelected="1" topLeftCell="A6" workbookViewId="0">
      <selection activeCell="A23" sqref="A23"/>
    </sheetView>
  </sheetViews>
  <sheetFormatPr defaultColWidth="9.140625" defaultRowHeight="14.25"/>
  <cols>
    <col min="1" max="1" width="28.5703125" style="284" customWidth="1"/>
    <col min="2" max="4" width="19.42578125" style="284" customWidth="1"/>
    <col min="5" max="7" width="22.7109375" style="284" customWidth="1"/>
    <col min="8" max="9" width="19.42578125" style="284" customWidth="1"/>
    <col min="10" max="10" width="29" style="284" customWidth="1"/>
    <col min="11" max="15" width="19.42578125" style="284" customWidth="1"/>
    <col min="16" max="16" width="17.85546875" style="284" customWidth="1"/>
    <col min="17" max="17" width="20.140625" style="284" customWidth="1"/>
    <col min="18" max="24" width="22" style="284" customWidth="1"/>
    <col min="25" max="36" width="23.140625" style="284" customWidth="1"/>
    <col min="37" max="37" width="31.5703125" style="284" customWidth="1"/>
    <col min="38" max="115" width="23.140625" style="284" customWidth="1"/>
    <col min="116" max="116" width="20.42578125" style="284" customWidth="1"/>
    <col min="117" max="157" width="20.5703125" style="284" customWidth="1"/>
    <col min="158" max="16384" width="9.140625" style="284"/>
  </cols>
  <sheetData>
    <row r="1" spans="1:124" s="308" customFormat="1" ht="61.5">
      <c r="A1" s="307" t="s">
        <v>741</v>
      </c>
    </row>
    <row r="2" spans="1:124" s="308" customFormat="1" ht="28.5" customHeight="1">
      <c r="A2" s="307"/>
    </row>
    <row r="3" spans="1:124" s="308" customFormat="1" ht="34.5" customHeight="1">
      <c r="A3" s="309" t="s">
        <v>742</v>
      </c>
      <c r="B3" s="310"/>
      <c r="C3" s="310"/>
      <c r="D3" s="310"/>
      <c r="E3" s="310"/>
      <c r="F3" s="310"/>
      <c r="G3" s="310"/>
      <c r="H3" s="310"/>
      <c r="I3" s="310"/>
      <c r="J3" s="310"/>
      <c r="K3" s="310"/>
      <c r="L3" s="310"/>
      <c r="M3" s="310"/>
      <c r="N3" s="310"/>
      <c r="O3" s="310"/>
      <c r="P3" s="310"/>
      <c r="Q3" s="310"/>
      <c r="R3" s="310"/>
      <c r="S3" s="310"/>
      <c r="T3" s="310"/>
      <c r="U3" s="310"/>
      <c r="V3" s="310"/>
      <c r="W3" s="310"/>
      <c r="X3" s="310"/>
      <c r="Y3" s="310"/>
      <c r="Z3" s="310"/>
      <c r="AA3" s="310"/>
      <c r="AB3" s="310"/>
      <c r="AC3" s="310"/>
      <c r="AD3" s="310"/>
      <c r="AE3" s="310"/>
      <c r="AF3" s="310"/>
      <c r="AG3" s="310"/>
      <c r="AH3" s="310"/>
      <c r="AI3" s="310"/>
      <c r="AJ3" s="310"/>
      <c r="AK3" s="310"/>
      <c r="AL3" s="310"/>
      <c r="AM3" s="310"/>
      <c r="AN3" s="310"/>
      <c r="AO3" s="310"/>
      <c r="AP3" s="310"/>
      <c r="AQ3" s="310"/>
      <c r="AR3" s="310"/>
      <c r="AS3" s="310"/>
      <c r="AT3" s="310"/>
      <c r="AU3" s="310"/>
      <c r="AV3" s="310"/>
      <c r="AW3" s="310"/>
      <c r="AX3" s="310"/>
      <c r="AY3" s="310"/>
      <c r="AZ3" s="310"/>
      <c r="BA3" s="310"/>
      <c r="BB3" s="310"/>
      <c r="BC3" s="310"/>
      <c r="BD3" s="310"/>
      <c r="BE3" s="310"/>
      <c r="BF3" s="310"/>
      <c r="BG3" s="310"/>
      <c r="BH3" s="310"/>
      <c r="BI3" s="310"/>
      <c r="BJ3" s="310"/>
      <c r="BK3" s="310"/>
      <c r="BL3" s="310"/>
      <c r="BM3" s="310"/>
      <c r="BN3" s="310"/>
      <c r="BO3" s="310"/>
      <c r="BP3" s="310"/>
      <c r="BQ3" s="310"/>
      <c r="BR3" s="310"/>
      <c r="BS3" s="310"/>
      <c r="BT3" s="310"/>
      <c r="BU3" s="310"/>
      <c r="BV3" s="310"/>
      <c r="BW3" s="310"/>
      <c r="BX3" s="310"/>
      <c r="BY3" s="310"/>
      <c r="BZ3" s="310"/>
      <c r="CA3" s="310"/>
      <c r="CB3" s="310"/>
      <c r="CC3" s="310"/>
      <c r="CD3" s="310"/>
      <c r="CE3" s="310"/>
      <c r="CF3" s="310"/>
      <c r="CG3" s="310"/>
      <c r="CH3" s="310"/>
      <c r="CI3" s="310"/>
      <c r="CJ3" s="310"/>
      <c r="CK3" s="310"/>
      <c r="CL3" s="310"/>
      <c r="CM3" s="310"/>
      <c r="CN3" s="310"/>
      <c r="CO3" s="310"/>
      <c r="CP3" s="310"/>
      <c r="CQ3" s="310"/>
      <c r="CR3" s="310"/>
      <c r="CS3" s="310"/>
      <c r="CT3" s="310"/>
      <c r="CU3" s="310"/>
      <c r="CV3" s="310"/>
      <c r="CW3" s="310"/>
      <c r="CX3" s="310"/>
      <c r="CY3" s="310"/>
      <c r="CZ3" s="310"/>
      <c r="DA3" s="310"/>
      <c r="DB3" s="310"/>
      <c r="DC3" s="310"/>
      <c r="DD3" s="310"/>
      <c r="DE3" s="310"/>
      <c r="DF3" s="310"/>
      <c r="DG3" s="310"/>
      <c r="DH3" s="310"/>
      <c r="DI3" s="310"/>
      <c r="DJ3" s="310"/>
      <c r="DK3" s="310"/>
      <c r="DL3" s="310"/>
      <c r="DM3" s="310"/>
      <c r="DN3" s="310"/>
      <c r="DO3" s="310"/>
      <c r="DP3" s="310"/>
      <c r="DQ3" s="310"/>
      <c r="DR3" s="310"/>
      <c r="DS3" s="310"/>
      <c r="DT3" s="310"/>
    </row>
    <row r="4" spans="1:124" s="308" customFormat="1" ht="15.75">
      <c r="A4" s="311" t="s">
        <v>743</v>
      </c>
      <c r="B4" s="312"/>
      <c r="C4" s="313"/>
      <c r="D4" s="313"/>
      <c r="E4" s="313"/>
      <c r="F4" s="313"/>
      <c r="G4" s="313"/>
      <c r="H4" s="313"/>
      <c r="I4" s="313"/>
      <c r="J4" s="313"/>
      <c r="K4" s="313"/>
      <c r="L4" s="314"/>
      <c r="M4" s="314"/>
      <c r="N4" s="314"/>
      <c r="O4" s="314"/>
      <c r="P4" s="314"/>
      <c r="Q4" s="314"/>
      <c r="R4" s="314"/>
      <c r="S4" s="314"/>
      <c r="T4" s="1371"/>
      <c r="U4" s="1372"/>
      <c r="V4" s="1372"/>
      <c r="W4" s="1372"/>
    </row>
    <row r="5" spans="1:124" s="308" customFormat="1" ht="15.75">
      <c r="A5" s="315"/>
      <c r="B5" s="315"/>
      <c r="C5" s="316"/>
      <c r="D5" s="314"/>
      <c r="E5" s="314"/>
      <c r="F5" s="314"/>
      <c r="G5" s="314"/>
      <c r="H5" s="314"/>
      <c r="I5" s="314"/>
      <c r="J5" s="314"/>
      <c r="K5" s="314"/>
      <c r="L5" s="314"/>
      <c r="M5" s="314"/>
      <c r="N5" s="314"/>
      <c r="O5" s="314"/>
      <c r="P5" s="314"/>
      <c r="Q5" s="314"/>
      <c r="R5" s="314"/>
      <c r="S5" s="314"/>
      <c r="T5" s="1371"/>
      <c r="U5" s="1372"/>
      <c r="V5" s="1372"/>
      <c r="W5" s="1372"/>
    </row>
    <row r="6" spans="1:124" s="308" customFormat="1" ht="15.75">
      <c r="A6" s="317"/>
      <c r="B6" s="315"/>
      <c r="C6" s="314"/>
      <c r="D6" s="314"/>
      <c r="E6" s="314"/>
      <c r="F6" s="314"/>
      <c r="G6" s="314"/>
      <c r="H6" s="314"/>
      <c r="I6" s="314"/>
      <c r="J6" s="314"/>
      <c r="K6" s="314"/>
      <c r="L6" s="314"/>
      <c r="M6" s="314"/>
      <c r="N6" s="314"/>
      <c r="O6" s="314"/>
      <c r="P6" s="314"/>
      <c r="Q6" s="314"/>
      <c r="R6" s="314"/>
      <c r="S6" s="314"/>
      <c r="T6" s="1373"/>
      <c r="U6" s="1373"/>
      <c r="V6" s="1372"/>
      <c r="W6" s="1372"/>
    </row>
    <row r="7" spans="1:124" s="308" customFormat="1" ht="15">
      <c r="A7" s="318" t="s">
        <v>744</v>
      </c>
      <c r="B7" s="319"/>
      <c r="C7" s="320"/>
      <c r="D7" s="320"/>
      <c r="E7" s="320"/>
      <c r="F7" s="314"/>
      <c r="G7" s="320"/>
      <c r="H7" s="314"/>
      <c r="I7" s="314"/>
      <c r="J7" s="314"/>
      <c r="K7" s="314"/>
      <c r="L7" s="314"/>
      <c r="M7" s="314"/>
      <c r="N7" s="314"/>
      <c r="O7" s="314"/>
      <c r="P7" s="314"/>
      <c r="Q7" s="314"/>
      <c r="R7" s="314"/>
      <c r="S7" s="314"/>
      <c r="T7" s="1371"/>
      <c r="U7" s="1372"/>
      <c r="V7" s="1372"/>
      <c r="W7" s="1372"/>
    </row>
    <row r="8" spans="1:124" s="308" customFormat="1" ht="15.75">
      <c r="A8" s="321" t="s">
        <v>745</v>
      </c>
      <c r="B8" s="322" t="s">
        <v>746</v>
      </c>
      <c r="C8" s="320"/>
      <c r="D8" s="314"/>
      <c r="E8" s="320"/>
      <c r="F8" s="314"/>
      <c r="G8" s="320"/>
      <c r="H8" s="314"/>
      <c r="I8" s="314"/>
      <c r="J8" s="314"/>
      <c r="K8" s="314"/>
      <c r="L8" s="314"/>
      <c r="M8" s="314"/>
      <c r="N8" s="314"/>
      <c r="O8" s="314"/>
      <c r="P8" s="314"/>
      <c r="Q8" s="314"/>
      <c r="R8" s="314"/>
      <c r="S8" s="314"/>
      <c r="T8" s="1371"/>
      <c r="U8" s="1372"/>
      <c r="V8" s="1372"/>
      <c r="W8" s="1372"/>
    </row>
    <row r="9" spans="1:124" s="308" customFormat="1" ht="15.75">
      <c r="A9" s="321" t="s">
        <v>747</v>
      </c>
      <c r="B9" s="322" t="s">
        <v>748</v>
      </c>
      <c r="C9" s="320"/>
      <c r="D9" s="314"/>
      <c r="E9" s="320"/>
      <c r="F9" s="314"/>
      <c r="G9" s="320"/>
      <c r="H9" s="314"/>
      <c r="I9" s="314"/>
      <c r="J9" s="314"/>
      <c r="K9" s="314"/>
      <c r="L9" s="314"/>
      <c r="M9" s="314"/>
      <c r="N9" s="314"/>
      <c r="O9" s="314"/>
      <c r="P9" s="314"/>
      <c r="Q9" s="314"/>
      <c r="R9" s="314"/>
      <c r="S9" s="314"/>
      <c r="T9" s="314"/>
      <c r="U9" s="314"/>
      <c r="V9" s="314"/>
      <c r="W9" s="314"/>
    </row>
    <row r="10" spans="1:124" s="308" customFormat="1" ht="15.75">
      <c r="A10" s="321" t="s">
        <v>749</v>
      </c>
      <c r="B10" s="322" t="s">
        <v>750</v>
      </c>
      <c r="C10" s="320"/>
      <c r="D10" s="314"/>
      <c r="E10" s="320"/>
      <c r="F10" s="314"/>
      <c r="G10" s="320"/>
      <c r="H10" s="314"/>
      <c r="I10" s="314"/>
      <c r="J10" s="314"/>
      <c r="K10" s="314"/>
      <c r="L10" s="314"/>
      <c r="M10" s="314"/>
      <c r="N10" s="314"/>
      <c r="O10" s="314"/>
      <c r="P10" s="314"/>
      <c r="Q10" s="314"/>
      <c r="R10" s="314"/>
      <c r="S10" s="314"/>
      <c r="T10" s="314"/>
      <c r="U10" s="314"/>
      <c r="V10" s="314"/>
      <c r="W10" s="314"/>
    </row>
    <row r="11" spans="1:124" s="308" customFormat="1" ht="15.75">
      <c r="A11" s="321" t="s">
        <v>751</v>
      </c>
      <c r="B11" s="322" t="s">
        <v>752</v>
      </c>
      <c r="C11" s="320"/>
      <c r="D11" s="314"/>
      <c r="E11" s="320"/>
      <c r="F11" s="314"/>
      <c r="G11" s="320"/>
      <c r="H11" s="314"/>
      <c r="I11" s="314"/>
      <c r="J11" s="314"/>
      <c r="K11" s="314"/>
      <c r="L11" s="314"/>
      <c r="M11" s="314"/>
      <c r="N11" s="314"/>
      <c r="O11" s="314"/>
      <c r="P11" s="314"/>
      <c r="Q11" s="314"/>
      <c r="R11" s="314"/>
      <c r="S11" s="314"/>
      <c r="T11" s="314"/>
      <c r="U11" s="314"/>
      <c r="V11" s="314"/>
      <c r="W11" s="314"/>
    </row>
    <row r="12" spans="1:124" s="308" customFormat="1" ht="15.75">
      <c r="A12" s="321" t="s">
        <v>753</v>
      </c>
      <c r="B12" s="322" t="s">
        <v>754</v>
      </c>
      <c r="C12" s="320"/>
      <c r="D12" s="314"/>
      <c r="E12" s="320"/>
      <c r="F12" s="314"/>
      <c r="G12" s="320"/>
      <c r="H12" s="314"/>
      <c r="I12" s="314"/>
      <c r="J12" s="314"/>
      <c r="K12" s="314"/>
      <c r="L12" s="314"/>
      <c r="M12" s="314"/>
      <c r="N12" s="314"/>
      <c r="O12" s="314"/>
      <c r="P12" s="314"/>
      <c r="Q12" s="314"/>
      <c r="R12" s="314"/>
      <c r="S12" s="314"/>
      <c r="T12" s="314"/>
      <c r="U12" s="314"/>
      <c r="V12" s="314"/>
      <c r="W12" s="323"/>
    </row>
    <row r="13" spans="1:124" s="308" customFormat="1" ht="15.75">
      <c r="A13" s="321" t="s">
        <v>755</v>
      </c>
      <c r="B13" s="322" t="s">
        <v>756</v>
      </c>
      <c r="C13" s="320"/>
      <c r="D13" s="314"/>
      <c r="E13" s="320"/>
      <c r="F13" s="314"/>
      <c r="G13" s="320"/>
      <c r="H13" s="314"/>
      <c r="I13" s="314"/>
      <c r="J13" s="314"/>
      <c r="K13" s="314"/>
      <c r="L13" s="314"/>
      <c r="M13" s="314"/>
      <c r="N13" s="314"/>
      <c r="O13" s="314"/>
      <c r="P13" s="314"/>
      <c r="Q13" s="314"/>
      <c r="R13" s="314"/>
      <c r="S13" s="314"/>
      <c r="T13" s="314"/>
      <c r="U13" s="314"/>
      <c r="V13" s="314"/>
      <c r="W13" s="323"/>
    </row>
    <row r="14" spans="1:124" s="308" customFormat="1" ht="15">
      <c r="A14" s="324"/>
      <c r="B14" s="325"/>
      <c r="C14" s="325"/>
      <c r="D14" s="325"/>
      <c r="E14" s="325"/>
      <c r="F14" s="326"/>
      <c r="G14" s="325"/>
      <c r="H14" s="326"/>
      <c r="I14" s="326"/>
      <c r="J14" s="326"/>
      <c r="K14" s="326"/>
      <c r="L14" s="326"/>
      <c r="M14" s="326"/>
      <c r="N14" s="326"/>
      <c r="O14" s="326"/>
      <c r="P14" s="326"/>
      <c r="Q14" s="326"/>
      <c r="R14" s="326"/>
      <c r="S14" s="326"/>
      <c r="T14" s="326"/>
      <c r="U14" s="326"/>
      <c r="V14" s="326"/>
      <c r="W14" s="327"/>
    </row>
    <row r="15" spans="1:124" s="308" customFormat="1" ht="15">
      <c r="A15" s="314"/>
      <c r="B15" s="314"/>
      <c r="C15" s="314"/>
      <c r="D15" s="314"/>
      <c r="E15" s="314"/>
      <c r="F15" s="314"/>
      <c r="G15" s="314"/>
      <c r="H15" s="314"/>
      <c r="I15" s="314"/>
      <c r="J15" s="314"/>
      <c r="K15" s="314"/>
      <c r="L15" s="314"/>
      <c r="M15" s="314"/>
      <c r="N15" s="314"/>
      <c r="O15" s="314"/>
      <c r="P15" s="314"/>
      <c r="Q15" s="314"/>
      <c r="R15" s="314"/>
      <c r="S15" s="314"/>
      <c r="T15" s="314"/>
      <c r="U15" s="314"/>
      <c r="V15" s="314"/>
      <c r="W15" s="314"/>
    </row>
    <row r="16" spans="1:124" s="308" customFormat="1" ht="15">
      <c r="A16" s="316" t="s">
        <v>757</v>
      </c>
      <c r="B16" s="314"/>
      <c r="C16" s="314"/>
      <c r="D16" s="314"/>
      <c r="E16" s="314"/>
      <c r="F16" s="314"/>
      <c r="G16" s="314"/>
      <c r="H16" s="314"/>
      <c r="I16" s="314"/>
      <c r="J16" s="314"/>
      <c r="K16" s="314"/>
      <c r="L16" s="314"/>
      <c r="M16" s="314"/>
      <c r="N16" s="314"/>
      <c r="O16" s="314"/>
      <c r="P16" s="314"/>
      <c r="Q16" s="314"/>
      <c r="R16" s="314"/>
      <c r="S16" s="314"/>
      <c r="T16" s="314"/>
      <c r="U16" s="314"/>
      <c r="V16" s="314"/>
      <c r="W16" s="314"/>
    </row>
    <row r="17" spans="1:23" s="308" customFormat="1" ht="15">
      <c r="A17" s="328"/>
      <c r="B17" s="329"/>
      <c r="C17" s="314"/>
      <c r="D17" s="314"/>
      <c r="E17" s="314"/>
      <c r="F17" s="314"/>
      <c r="G17" s="314"/>
      <c r="H17" s="314"/>
      <c r="I17" s="314"/>
      <c r="J17" s="314"/>
      <c r="K17" s="314"/>
      <c r="L17" s="314"/>
      <c r="M17" s="314"/>
      <c r="N17" s="314"/>
      <c r="O17" s="314"/>
      <c r="P17" s="314"/>
      <c r="Q17" s="314"/>
      <c r="R17" s="314"/>
      <c r="S17" s="314"/>
      <c r="T17" s="314"/>
      <c r="U17" s="314"/>
      <c r="V17" s="314"/>
      <c r="W17" s="314"/>
    </row>
    <row r="18" spans="1:23" s="308" customFormat="1" ht="15">
      <c r="A18" s="308" t="s">
        <v>758</v>
      </c>
      <c r="B18" s="330" t="s">
        <v>759</v>
      </c>
      <c r="C18" s="331"/>
      <c r="D18" s="332"/>
      <c r="E18" s="314"/>
      <c r="F18" s="314"/>
      <c r="G18" s="314"/>
      <c r="H18" s="333"/>
      <c r="I18" s="314"/>
      <c r="J18" s="314"/>
      <c r="K18" s="334"/>
      <c r="L18" s="314"/>
      <c r="M18" s="314"/>
      <c r="N18" s="314"/>
      <c r="O18" s="314"/>
      <c r="P18" s="314"/>
      <c r="Q18" s="314"/>
      <c r="R18" s="314"/>
      <c r="S18" s="314"/>
      <c r="T18" s="314"/>
      <c r="U18" s="314"/>
      <c r="V18" s="314"/>
      <c r="W18" s="314"/>
    </row>
    <row r="19" spans="1:23" s="308" customFormat="1" ht="15">
      <c r="A19" s="314"/>
      <c r="B19" s="314"/>
      <c r="C19" s="314"/>
      <c r="D19" s="314"/>
      <c r="E19" s="314"/>
      <c r="F19" s="314"/>
      <c r="G19" s="314"/>
      <c r="H19" s="314"/>
      <c r="I19" s="314"/>
      <c r="J19" s="314"/>
      <c r="K19" s="314"/>
      <c r="M19" s="314"/>
      <c r="N19" s="314"/>
      <c r="O19" s="314"/>
      <c r="P19" s="314"/>
      <c r="Q19" s="314"/>
      <c r="R19" s="314"/>
      <c r="S19" s="314"/>
      <c r="T19" s="314"/>
      <c r="U19" s="314"/>
      <c r="V19" s="314"/>
      <c r="W19" s="314"/>
    </row>
    <row r="20" spans="1:23" s="308" customFormat="1" ht="15">
      <c r="A20" s="335" t="s">
        <v>760</v>
      </c>
      <c r="B20" s="336" t="s">
        <v>761</v>
      </c>
      <c r="C20" s="336" t="s">
        <v>762</v>
      </c>
      <c r="D20" s="336" t="s">
        <v>763</v>
      </c>
      <c r="E20" s="336" t="s">
        <v>764</v>
      </c>
      <c r="F20" s="337" t="s">
        <v>103</v>
      </c>
      <c r="G20" s="338" t="s">
        <v>765</v>
      </c>
      <c r="H20" s="339"/>
      <c r="I20" s="339"/>
      <c r="J20" s="339"/>
      <c r="K20" s="339"/>
      <c r="L20" s="339"/>
      <c r="M20" s="339"/>
      <c r="N20" s="339"/>
      <c r="O20" s="339"/>
      <c r="P20" s="339"/>
      <c r="Q20" s="339"/>
      <c r="R20" s="339"/>
      <c r="S20" s="339"/>
      <c r="T20" s="339"/>
      <c r="U20" s="339"/>
      <c r="V20" s="340"/>
      <c r="W20" s="314"/>
    </row>
    <row r="21" spans="1:23" s="308" customFormat="1" ht="16.5">
      <c r="A21" s="341" t="str">
        <f>IF(Inputs!B32=0,"From Surface Level","From Basement Floor Level")</f>
        <v>From Surface Level</v>
      </c>
      <c r="B21" s="342"/>
      <c r="C21" s="342" t="s">
        <v>766</v>
      </c>
      <c r="D21" s="342" t="s">
        <v>15</v>
      </c>
      <c r="E21" s="342" t="s">
        <v>767</v>
      </c>
      <c r="F21" s="343"/>
      <c r="G21" s="344" t="s">
        <v>768</v>
      </c>
      <c r="H21" s="345"/>
      <c r="I21" s="345"/>
      <c r="J21" s="345"/>
      <c r="K21" s="344" t="s">
        <v>769</v>
      </c>
      <c r="L21" s="346"/>
      <c r="M21" s="344" t="s">
        <v>770</v>
      </c>
      <c r="N21" s="345"/>
      <c r="O21" s="345"/>
      <c r="P21" s="347" t="s">
        <v>771</v>
      </c>
      <c r="Q21" s="348"/>
      <c r="R21" s="348"/>
      <c r="S21" s="344"/>
      <c r="T21" s="345"/>
      <c r="U21" s="345"/>
      <c r="V21" s="349"/>
      <c r="W21" s="314"/>
    </row>
    <row r="22" spans="1:23" s="308" customFormat="1" ht="27.75" customHeight="1">
      <c r="A22" s="350"/>
      <c r="B22" s="342"/>
      <c r="C22" s="342"/>
      <c r="D22" s="342"/>
      <c r="E22" s="342"/>
      <c r="F22" s="351"/>
      <c r="G22" s="352" t="s">
        <v>772</v>
      </c>
      <c r="H22" s="352" t="s">
        <v>773</v>
      </c>
      <c r="I22" s="352" t="s">
        <v>774</v>
      </c>
      <c r="J22" s="352" t="s">
        <v>775</v>
      </c>
      <c r="K22" s="338" t="s">
        <v>776</v>
      </c>
      <c r="L22" s="352" t="s">
        <v>777</v>
      </c>
      <c r="M22" s="353" t="s">
        <v>778</v>
      </c>
      <c r="N22" s="353" t="s">
        <v>779</v>
      </c>
      <c r="O22" s="352" t="s">
        <v>780</v>
      </c>
      <c r="P22" s="352"/>
      <c r="Q22" s="352"/>
      <c r="R22" s="352"/>
      <c r="S22" s="354" t="s">
        <v>781</v>
      </c>
      <c r="T22" s="354" t="s">
        <v>782</v>
      </c>
      <c r="U22" s="354" t="s">
        <v>783</v>
      </c>
      <c r="V22" s="354" t="s">
        <v>784</v>
      </c>
      <c r="W22" s="314"/>
    </row>
    <row r="23" spans="1:23" s="308" customFormat="1" ht="15">
      <c r="A23" s="355" t="str">
        <f>IF('Ground Model Results'!D31&gt;0,'Ground Model Results'!D26,IF('Ground Model Results'!E31&gt;0,'Ground Model Results'!E26,IF('Ground Model Results'!F31&gt;0,'Ground Model Results'!F26,IF('Ground Model Results'!G31&gt;0,'Ground Model Results'!G26,"No Ground Model"))))</f>
        <v>Layer 1 (Top Layer)</v>
      </c>
      <c r="B23" s="355" t="str">
        <f>IF(A23="-","0",INDEX('Ground Model Results'!$D$27:$G$27,MATCH(A23,'Ground Model Results'!$D$26:$G$26,0)))</f>
        <v>Loose Sand/Gravel</v>
      </c>
      <c r="C23" s="355">
        <f>IF($A23="-","0",INDEX('Ground Model Results'!$D$29:$G$29,MATCH($A23,'Ground Model Results'!$D$26:$G$26,0)))</f>
        <v>6</v>
      </c>
      <c r="D23" s="355">
        <f>IF(A23="-","0",INDEX('Ground Model Results'!$D$31:$G$31,MATCH(A23,'Ground Model Results'!$D$26:$G$26,0)))</f>
        <v>6</v>
      </c>
      <c r="E23" s="356">
        <f>IF(A23="-","0",IF($C$28&gt;C23-D23,INDEX('Ground Model Results'!$D$32:$G$32,MATCH(A23,'Ground Model Results'!$D$26:$G$26,0)),INDEX('Ground Model Results'!$D$33:$G$33,MATCH(A23,'Ground Model Results'!$D$26:$G$26,0))))</f>
        <v>16.5</v>
      </c>
      <c r="F23" s="356" t="str">
        <f>IF($A23="-","0",INDEX('Ground Model Results'!$D$28:$G$28,MATCH($A23,'Ground Model Results'!$D$26:$G$26,0)))</f>
        <v>Granular</v>
      </c>
      <c r="G23" s="356" t="str">
        <f>IF(F23="Cohesive",INDEX('Ground Model Results'!$D$36:$G$36,MATCH(A23,'Ground Model Results'!$D$26:$G$26,0)),"0")</f>
        <v>0</v>
      </c>
      <c r="H23" s="356" t="str">
        <f>IF(F23="Cohesive",INDEX('Ground Model Results'!$D$37:$G$37,MATCH(A23,'Ground Model Results'!$D$26:$G$26,0)),"0")</f>
        <v>0</v>
      </c>
      <c r="I23" s="356" t="str">
        <f>IF(F23="Cohesive",0.5,"0")</f>
        <v>0</v>
      </c>
      <c r="J23" s="356" t="str">
        <f>IF(F23="Cohesive",9,"0")</f>
        <v>0</v>
      </c>
      <c r="K23" s="357">
        <f>IF(AND(F23="Granular",B23&lt;&gt;"Made Ground"),EXP(PI()*TAN((INDEX('Ground Model Results'!$D$38:$G$38,MATCH($A23,'Ground Model Results'!$D$26:$G$26,0)))*PI()/180))*(TAN((45+(INDEX('Ground Model Results'!$D$38:$G$38,MATCH($A23,'Ground Model Results'!$D$26:$G$26,0)))/2)*PI()/180))^2,"0")</f>
        <v>18.401122218708668</v>
      </c>
      <c r="L23" s="356">
        <f>IF(B23="Silt", 'Pile Data and Eurocode Factors'!D25*(TAN( 'Pile Data and Eurocode Factors'!C25*((INDEX('Ground Model Results'!$D$38:$G$38,MATCH($A23,'Ground Model Results'!$D$26:$G$26,0)))*PI()/180))),IF(B23="Loose Sand/Gravel", 'Pile Data and Eurocode Factors'!D25*(TAN( 'Pile Data and Eurocode Factors'!C25*((INDEX('Ground Model Results'!$D$38:$G$38,MATCH($A23,'Ground Model Results'!$D$26:$G$26,0)))*PI()/180))),IF(B23="Medium Sand/Gravel", 'Pile Data and Eurocode Factors'!D25*(TAN( 'Pile Data and Eurocode Factors'!C25*((INDEX('Ground Model Results'!$D$38:$G$38,MATCH($A23,'Ground Model Results'!$D$26:$G$26,0)))*PI()/180))),IF(B23="Dense Sand/Gravel", 'Pile Data and Eurocode Factors'!D25*(TAN( 'Pile Data and Eurocode Factors'!C25*((INDEX('Ground Model Results'!$D$38:$G$38,MATCH($A23,'Ground Model Results'!$D$26:$G$26,0)))*PI()/180))),"0"))))</f>
        <v>0.404145188432738</v>
      </c>
      <c r="M23" s="358">
        <f>IF(OR(AND(F23="Chalk",B23="Low Density Chalk"),AND(F23="Chalk",B23="Medium Density Chalk")),0.8,0)</f>
        <v>0</v>
      </c>
      <c r="N23" s="356" t="str">
        <f>IF(AND(C23-D23&lt;$C$28,B23="High Density Chalk"),0.1*(INDEX('Ground Model Results'!$D$40:$G$40,MATCH($A23,'Ground Model Results'!$D$26:$G$26,0))),IF(AND(C23-D23&gt;=$C$28,B23="High Density Chalk"),0.1*(INDEX('Ground Model Results'!$D$41:$G$41,MATCH($A23,'Ground Model Results'!$D$26:$G$26,0))),"0"))</f>
        <v>0</v>
      </c>
      <c r="O23" s="356">
        <f>IF(F23="Chalk",(INDEX('Ground Model Results'!$D$42:$G$42,MATCH($A23,'Ground Model Results'!$D$26:$G$26,0)))*200,0)</f>
        <v>0</v>
      </c>
      <c r="P23" s="356"/>
      <c r="Q23" s="356"/>
      <c r="R23" s="356"/>
      <c r="S23" s="359" t="str">
        <f>IF(OR(B23="Low Density Chalk",B23="Medium Density Chalk",B23="High Density Chalk"),320,"0")</f>
        <v>0</v>
      </c>
      <c r="T23" s="359">
        <f>IF(F23="Cohesive",100,IF(F23="Granular",1200,IF(F23="Chalk",320,"")))</f>
        <v>1200</v>
      </c>
      <c r="U23" s="359"/>
      <c r="V23" s="359">
        <f>IF(F23="Cohesive","",IF(F23="Granular",15000,IF(B23="Low Density Chalk",700,IF(B23="Medium Density Chalk",1000,IF(B23="High Density Chalk", 1400,"")))))</f>
        <v>15000</v>
      </c>
      <c r="W23" s="314"/>
    </row>
    <row r="24" spans="1:23" s="308" customFormat="1" ht="15">
      <c r="A24" s="355" t="str">
        <f>_xlfn.IFS(A23="Layer 1 (Top Layer)","Layer 2", A23="Layer 2","Layer 3", A23="Layer 3","Layer 4 (Bottom Layer)",A23="Layer 4 (Bottom Layer)","-")</f>
        <v>Layer 2</v>
      </c>
      <c r="B24" s="355" t="str">
        <f>IF(A24="-","0",INDEX('Ground Model Results'!$D$27:$G$27,MATCH(A24,'Ground Model Results'!$D$26:$G$26,0)))</f>
        <v>Firm Clay</v>
      </c>
      <c r="C24" s="355">
        <f>IF(A24="-","0",INDEX('Ground Model Results'!$D$29:$G$29,MATCH(A24,'Ground Model Results'!$D$26:$G$26,0)))</f>
        <v>0</v>
      </c>
      <c r="D24" s="355">
        <f>IF(A24="-","0",INDEX('Ground Model Results'!$D$31:$G$31,MATCH(A24,'Ground Model Results'!$D$26:$G$26,0)))</f>
        <v>6</v>
      </c>
      <c r="E24" s="356">
        <f>IF(A24="-","0",IF($C$28&gt;C24-D24,INDEX('Ground Model Results'!$D$32:$G$32,MATCH(A24,'Ground Model Results'!$D$26:$G$26,0)),INDEX('Ground Model Results'!$D$33:$G$33,MATCH(A24,'Ground Model Results'!$D$26:$G$26,0))))</f>
        <v>18.5</v>
      </c>
      <c r="F24" s="356" t="str">
        <f>IF($A24="-","0",INDEX('Ground Model Results'!$D$28:$G$28,MATCH($A24,'Ground Model Results'!$D$26:$G$26,0)))</f>
        <v>Cohesive</v>
      </c>
      <c r="G24" s="356">
        <f>IF(F24="Cohesive",INDEX('Ground Model Results'!$D$36:$G$36,MATCH(A24,'Ground Model Results'!$D$26:$G$26,0)),"0")</f>
        <v>40</v>
      </c>
      <c r="H24" s="356">
        <f>IF(F24="Cohesive",INDEX('Ground Model Results'!$D$37:$G$37,MATCH(A24,'Ground Model Results'!$D$26:$G$26,0)),"0")</f>
        <v>40</v>
      </c>
      <c r="I24" s="356">
        <f>IF(F24="Cohesive",0.5,"0")</f>
        <v>0.5</v>
      </c>
      <c r="J24" s="356">
        <f>IF(F24="Cohesive",9,"0")</f>
        <v>9</v>
      </c>
      <c r="K24" s="357" t="str">
        <f>IF(AND(F24="Granular",B24&lt;&gt;"Made Ground"),EXP(PI()*TAN((INDEX('Ground Model Results'!$D$38:$G$38,MATCH($A24,'Ground Model Results'!$D$26:$G$26,0)))*PI()/180))*(TAN((45+(INDEX('Ground Model Results'!$D$38:$G$38,MATCH($A24,'Ground Model Results'!$D$26:$G$26,0)))/2)*PI()/180))^2,"0")</f>
        <v>0</v>
      </c>
      <c r="L24" s="356" t="str">
        <f>IF(B24="Silt", 'Pile Data and Eurocode Factors'!D25*(TAN( 'Pile Data and Eurocode Factors'!C25*((INDEX('Ground Model Results'!$D$38:$G$38,MATCH($A24,'Ground Model Results'!$D$26:$G$26,0)))*PI()/180))),IF(B24="Loose Sand/Gravel", 'Pile Data and Eurocode Factors'!D25*(TAN( 'Pile Data and Eurocode Factors'!C25*((INDEX('Ground Model Results'!$D$38:$G$38,MATCH($A24,'Ground Model Results'!$D$26:$G$26,0)))*PI()/180))),IF(B24="Medium Sand/Gravel", 'Pile Data and Eurocode Factors'!D25*(TAN( 'Pile Data and Eurocode Factors'!C25*((INDEX('Ground Model Results'!$D$38:$G$38,MATCH($A24,'Ground Model Results'!$D$26:$G$26,0)))*PI()/180))),IF(B24="Dense Sand/Gravel", 'Pile Data and Eurocode Factors'!D25*(TAN( 'Pile Data and Eurocode Factors'!C25*((INDEX('Ground Model Results'!$D$38:$G$38,MATCH($A24,'Ground Model Results'!$D$26:$G$26,0)))*PI()/180))),"0"))))</f>
        <v>0</v>
      </c>
      <c r="M24" s="358">
        <f>IF(OR(AND(F24="Chalk",B24="Low Density Chalk"),AND(F24="Chalk",B24="Medium Density Chalk")),0.8,0)</f>
        <v>0</v>
      </c>
      <c r="N24" s="356" t="str">
        <f>IF(AND(C24-D24&lt;$C$28,B24="High Density Chalk"),0.1*(INDEX('Ground Model Results'!$D$40:$G$40,MATCH($A24,'Ground Model Results'!$D$26:$G$26,0))),IF(AND(C24-D24&gt;=$C$28,B24="High Density Chalk"),0.1*(INDEX('Ground Model Results'!$D$41:$G$41,MATCH($A24,'Ground Model Results'!$D$26:$G$26,0))),"0"))</f>
        <v>0</v>
      </c>
      <c r="O24" s="356">
        <f>IF(F24="Chalk",(INDEX('Ground Model Results'!$D$42:$G$42,MATCH($A24,'Ground Model Results'!$D$26:$G$26,0)))*200,0)</f>
        <v>0</v>
      </c>
      <c r="P24" s="356"/>
      <c r="Q24" s="356"/>
      <c r="R24" s="356"/>
      <c r="S24" s="359" t="str">
        <f>IF(OR(B24="Low Density Chalk",B24="Medium Density Chalk",B24="High Density Chalk"),320,"0")</f>
        <v>0</v>
      </c>
      <c r="T24" s="359">
        <f>IF(F24="Cohesive",100,IF(F24="Granular",1200,IF(F24="Chalk",320,"")))</f>
        <v>100</v>
      </c>
      <c r="U24" s="359"/>
      <c r="V24" s="359" t="str">
        <f>IF(F24="Cohesive","",IF(F24="Granular",15000,IF(B24="Low Density Chalk",700,IF(B24="Medium Density Chalk",1000,IF(B24="High Density Chalk", 1400,"")))))</f>
        <v/>
      </c>
      <c r="W24" s="314"/>
    </row>
    <row r="25" spans="1:23" s="308" customFormat="1" ht="15">
      <c r="A25" s="355" t="str">
        <f>_xlfn.IFS(A23="Layer 1 (Top Layer)","Layer 3", A23="Layer 2","Layer 4 (Bottom Layer)", A23="Layer 3","-",A23="Layer 4 (Bottom Layer)","-")</f>
        <v>Layer 3</v>
      </c>
      <c r="B25" s="355" t="str">
        <f>IF(A25="-","0",INDEX('Ground Model Results'!$D$27:$G$27,MATCH(A25,'Ground Model Results'!$D$26:$G$26,0)))</f>
        <v>Medium Sand/Gravel</v>
      </c>
      <c r="C25" s="355">
        <f>IF(A25="-","0",INDEX('Ground Model Results'!$D$29:$G$29,MATCH(A25,'Ground Model Results'!$D$26:$G$26,0)))</f>
        <v>-6</v>
      </c>
      <c r="D25" s="355">
        <f>IF(A25="-","0",INDEX('Ground Model Results'!$D$31:$G$31,MATCH(A25,'Ground Model Results'!$D$26:$G$26,0)))</f>
        <v>30</v>
      </c>
      <c r="E25" s="356">
        <f>IF(A25="-","0",IF($C$28&gt;C25-D25,INDEX('Ground Model Results'!$D$32:$G$32,MATCH(A25,'Ground Model Results'!$D$26:$G$26,0)),INDEX('Ground Model Results'!$D$33:$G$33,MATCH(A25,'Ground Model Results'!$D$26:$G$26,0))))</f>
        <v>19.5</v>
      </c>
      <c r="F25" s="356" t="str">
        <f>IF($A25="-","0",INDEX('Ground Model Results'!$D$28:$G$28,MATCH($A25,'Ground Model Results'!$D$26:$G$26,0)))</f>
        <v>Granular</v>
      </c>
      <c r="G25" s="356" t="str">
        <f>IF(F25="Cohesive",INDEX('Ground Model Results'!$D$36:$G$36,MATCH(A25,'Ground Model Results'!$D$26:$G$26,0)),"0")</f>
        <v>0</v>
      </c>
      <c r="H25" s="356" t="str">
        <f>IF(F25="Cohesive",INDEX('Ground Model Results'!$D$37:$G$37,MATCH(A25,'Ground Model Results'!$D$26:$G$26,0)),"0")</f>
        <v>0</v>
      </c>
      <c r="I25" s="356" t="str">
        <f>IF(F25="Cohesive",0.5,"0")</f>
        <v>0</v>
      </c>
      <c r="J25" s="356" t="str">
        <f>IF(F25="Cohesive",9,"0")</f>
        <v>0</v>
      </c>
      <c r="K25" s="357">
        <f>IF(AND(F25="Granular",B25&lt;&gt;"Made Ground"),EXP(PI()*TAN((INDEX('Ground Model Results'!$D$38:$G$38,MATCH($A25,'Ground Model Results'!$D$26:$G$26,0)))*PI()/180))*(TAN((45+(INDEX('Ground Model Results'!$D$38:$G$38,MATCH($A25,'Ground Model Results'!$D$26:$G$26,0)))/2)*PI()/180))^2,"0")</f>
        <v>26.092012099198989</v>
      </c>
      <c r="L25" s="356">
        <f>IF(B25="Silt", 'Pile Data and Eurocode Factors'!D25*(TAN( 'Pile Data and Eurocode Factors'!C25*((INDEX('Ground Model Results'!$D$38:$G$38,MATCH($A25,'Ground Model Results'!$D$26:$G$26,0)))*PI()/180))),IF(B25="Loose Sand/Gravel", 'Pile Data and Eurocode Factors'!D25*(TAN( 'Pile Data and Eurocode Factors'!C25*((INDEX('Ground Model Results'!$D$38:$G$38,MATCH($A25,'Ground Model Results'!$D$26:$G$26,0)))*PI()/180))),IF(B25="Medium Sand/Gravel", 'Pile Data and Eurocode Factors'!D25*(TAN( 'Pile Data and Eurocode Factors'!C25*((INDEX('Ground Model Results'!$D$38:$G$38,MATCH($A25,'Ground Model Results'!$D$26:$G$26,0)))*PI()/180))),IF(B25="Dense Sand/Gravel", 'Pile Data and Eurocode Factors'!D25*(TAN( 'Pile Data and Eurocode Factors'!C25*((INDEX('Ground Model Results'!$D$38:$G$38,MATCH($A25,'Ground Model Results'!$D$26:$G$26,0)))*PI()/180))),"0"))))</f>
        <v>0.4545853152382574</v>
      </c>
      <c r="M25" s="358">
        <f>IF(OR(AND(F25="Chalk",B25="Low Density Chalk"),AND(F25="Chalk",B25="Medium Density Chalk")),0.8,0)</f>
        <v>0</v>
      </c>
      <c r="N25" s="356" t="str">
        <f>IF(AND(C25-D25&lt;$C$28,B25="High Density Chalk"),0.1*(INDEX('Ground Model Results'!$D$40:$G$40,MATCH($A25,'Ground Model Results'!$D$26:$G$26,0))),IF(AND(C25-D25&gt;=$C$28,B25="High Density Chalk"),0.1*(INDEX('Ground Model Results'!$D$41:$G$41,MATCH($A25,'Ground Model Results'!$D$26:$G$26,0))),"0"))</f>
        <v>0</v>
      </c>
      <c r="O25" s="356">
        <f>IF(F25="Chalk",(INDEX('Ground Model Results'!$D$42:$G$42,MATCH($A25,'Ground Model Results'!$D$26:$G$26,0)))*200,0)</f>
        <v>0</v>
      </c>
      <c r="P25" s="356"/>
      <c r="Q25" s="356"/>
      <c r="R25" s="356"/>
      <c r="S25" s="359" t="str">
        <f>IF(OR(B25="Low Density Chalk",B25="Medium Density Chalk",B25="High Density Chalk"),320,"0")</f>
        <v>0</v>
      </c>
      <c r="T25" s="359">
        <f>IF(F25="Cohesive",100,IF(F25="Granular",1200,IF(F25="Chalk",320,"")))</f>
        <v>1200</v>
      </c>
      <c r="U25" s="359"/>
      <c r="V25" s="359">
        <f>IF(F25="Cohesive","",IF(F25="Granular",15000,IF(B25="Low Density Chalk",700,IF(B25="Medium Density Chalk",1000,IF(B25="High Density Chalk", 1400,"")))))</f>
        <v>15000</v>
      </c>
      <c r="W25" s="314"/>
    </row>
    <row r="26" spans="1:23" s="308" customFormat="1" ht="15">
      <c r="A26" s="355" t="str">
        <f>_xlfn.IFS(A23="Layer 1 (Top Layer)","Layer 4 (Bottom Layer)", A23="Layer 2","-", A23="Layer 3","-",A23="Layer 4 (Bottom Layer)","-")</f>
        <v>Layer 4 (Bottom Layer)</v>
      </c>
      <c r="B26" s="355" t="str">
        <f>IF(A26="-","0",INDEX('Ground Model Results'!$D$27:$G$27,MATCH(A26,'Ground Model Results'!$D$26:$G$26,0)))</f>
        <v>Medium Density Chalk</v>
      </c>
      <c r="C26" s="355">
        <f>IF(A26="-","0",INDEX('Ground Model Results'!$D$29:$G$29,MATCH(A26,'Ground Model Results'!$D$26:$G$26,0)))</f>
        <v>-36</v>
      </c>
      <c r="D26" s="355">
        <f>IF(A26="-","0",INDEX('Ground Model Results'!$D$31:$G$31,MATCH(A26,'Ground Model Results'!$D$26:$G$26,0)))</f>
        <v>6</v>
      </c>
      <c r="E26" s="356">
        <f>IF(A26="-","0",IF($C$28&gt;C26-D26,INDEX('Ground Model Results'!$D$32:$G$32,MATCH(A26,'Ground Model Results'!$D$26:$G$26,0)),INDEX('Ground Model Results'!$D$33:$G$33,MATCH(A26,'Ground Model Results'!$D$26:$G$26,0))))</f>
        <v>20.233125000000001</v>
      </c>
      <c r="F26" s="356" t="str">
        <f>IF($A26="-","0",INDEX('Ground Model Results'!$D$28:$G$28,MATCH($A26,'Ground Model Results'!$D$26:$G$26,0)))</f>
        <v>Chalk</v>
      </c>
      <c r="G26" s="356" t="str">
        <f>IF(F26="Cohesive",INDEX('Ground Model Results'!$D$36:$G$36,MATCH(A26,'Ground Model Results'!$D$26:$G$26,0)),"0")</f>
        <v>0</v>
      </c>
      <c r="H26" s="356" t="str">
        <f>IF(F26="Cohesive",INDEX('Ground Model Results'!$D$37:$G$37,MATCH(A26,'Ground Model Results'!$D$26:$G$26,0)),"0")</f>
        <v>0</v>
      </c>
      <c r="I26" s="356" t="str">
        <f>IF(F26="Cohesive",0.5,"0")</f>
        <v>0</v>
      </c>
      <c r="J26" s="356" t="str">
        <f>IF(F26="Cohesive",9,"0")</f>
        <v>0</v>
      </c>
      <c r="K26" s="357" t="str">
        <f>IF(AND(F26="Granular",B26&lt;&gt;"Made Ground"),EXP(PI()*TAN((INDEX('Ground Model Results'!$D$38:$G$38,MATCH($A26,'Ground Model Results'!$D$26:$G$26,0)))*PI()/180))*(TAN((45+(INDEX('Ground Model Results'!$D$38:$G$38,MATCH($A26,'Ground Model Results'!$D$26:$G$26,0)))/2)*PI()/180))^2,"0")</f>
        <v>0</v>
      </c>
      <c r="L26" s="356" t="str">
        <f>IF(B26="Silt", 'Pile Data and Eurocode Factors'!D25*(TAN( 'Pile Data and Eurocode Factors'!C25*((INDEX('Ground Model Results'!$D$38:$G$38,MATCH($A26,'Ground Model Results'!$D$26:$G$26,0)))*PI()/180))),IF(B26="Loose Sand/Gravel", 'Pile Data and Eurocode Factors'!D25*(TAN( 'Pile Data and Eurocode Factors'!C25*((INDEX('Ground Model Results'!$D$38:$G$38,MATCH($A26,'Ground Model Results'!$D$26:$G$26,0)))*PI()/180))),IF(B26="Medium Sand/Gravel", 'Pile Data and Eurocode Factors'!D25*(TAN( 'Pile Data and Eurocode Factors'!C25*((INDEX('Ground Model Results'!$D$38:$G$38,MATCH($A26,'Ground Model Results'!$D$26:$G$26,0)))*PI()/180))),IF(B26="Dense Sand/Gravel", 'Pile Data and Eurocode Factors'!D25*(TAN( 'Pile Data and Eurocode Factors'!C25*((INDEX('Ground Model Results'!$D$38:$G$38,MATCH($A26,'Ground Model Results'!$D$26:$G$26,0)))*PI()/180))),"0"))))</f>
        <v>0</v>
      </c>
      <c r="M26" s="358">
        <f>IF(OR(AND(F26="Chalk",B26="Low Density Chalk"),AND(F26="Chalk",B26="Medium Density Chalk")),0.8,0)</f>
        <v>0.8</v>
      </c>
      <c r="N26" s="356" t="str">
        <f>IF(AND(C26-D26&lt;$C$28,B26="High Density Chalk"),0.1*(INDEX('Ground Model Results'!$D$40:$G$40,MATCH($A26,'Ground Model Results'!$D$26:$G$26,0))),IF(AND(C26-D26&gt;=$C$28,B26="High Density Chalk"),0.1*(INDEX('Ground Model Results'!$D$41:$G$41,MATCH($A26,'Ground Model Results'!$D$26:$G$26,0))),"0"))</f>
        <v>0</v>
      </c>
      <c r="O26" s="356">
        <f>IF(F26="Chalk",(INDEX('Ground Model Results'!$D$42:$G$42,MATCH($A26,'Ground Model Results'!$D$26:$G$26,0)))*200,0)</f>
        <v>6000</v>
      </c>
      <c r="P26" s="356"/>
      <c r="Q26" s="356"/>
      <c r="R26" s="356"/>
      <c r="S26" s="359">
        <f>IF(OR(B26="Low Density Chalk",B26="Medium Density Chalk",B26="High Density Chalk"),320,"0")</f>
        <v>320</v>
      </c>
      <c r="T26" s="359">
        <f>IF(F26="Cohesive",100,IF(F26="Granular",1200,IF(F26="Chalk",320,"")))</f>
        <v>320</v>
      </c>
      <c r="U26" s="359"/>
      <c r="V26" s="359">
        <f>IF(F26="Cohesive","",IF(F26="Granular",15000,IF(B26="Low Density Chalk",700,IF(B26="Medium Density Chalk",1000,IF(B26="High Density Chalk", 1400,"")))))</f>
        <v>1000</v>
      </c>
      <c r="W26" s="314"/>
    </row>
    <row r="27" spans="1:23" s="308" customFormat="1" ht="15">
      <c r="A27" s="360"/>
      <c r="B27" s="360"/>
      <c r="C27" s="360"/>
      <c r="D27" s="361"/>
      <c r="E27" s="361"/>
      <c r="F27" s="361"/>
      <c r="G27" s="361"/>
      <c r="H27" s="361"/>
      <c r="I27" s="361"/>
      <c r="J27" s="361"/>
      <c r="K27" s="362"/>
      <c r="L27" s="361"/>
      <c r="M27" s="361"/>
      <c r="N27" s="361"/>
      <c r="O27" s="356"/>
      <c r="P27" s="361"/>
      <c r="Q27" s="361"/>
      <c r="R27" s="361"/>
      <c r="S27" s="363"/>
      <c r="T27" s="363"/>
      <c r="U27" s="363"/>
      <c r="V27" s="363"/>
      <c r="W27" s="314"/>
    </row>
    <row r="28" spans="1:23" s="308" customFormat="1" ht="15">
      <c r="A28" s="364"/>
      <c r="B28" s="365" t="s">
        <v>785</v>
      </c>
      <c r="C28" s="355">
        <f>'Ground Model Results'!C44</f>
        <v>-15</v>
      </c>
      <c r="D28" s="364"/>
      <c r="E28" s="364"/>
      <c r="F28" s="364"/>
      <c r="G28" s="364"/>
      <c r="H28" s="364"/>
      <c r="I28" s="364"/>
      <c r="J28" s="364"/>
      <c r="K28" s="366"/>
      <c r="L28" s="364"/>
      <c r="M28" s="364"/>
      <c r="N28" s="364"/>
      <c r="O28" s="364"/>
      <c r="P28" s="364"/>
      <c r="Q28" s="364"/>
      <c r="R28" s="364"/>
      <c r="S28" s="367"/>
      <c r="T28" s="367"/>
      <c r="U28" s="367"/>
      <c r="V28" s="367"/>
      <c r="W28" s="314"/>
    </row>
    <row r="29" spans="1:23" s="308" customFormat="1" ht="15">
      <c r="A29" s="368"/>
      <c r="B29" s="368"/>
      <c r="C29" s="368"/>
      <c r="D29" s="368"/>
      <c r="E29" s="368"/>
      <c r="F29" s="368"/>
      <c r="G29" s="368"/>
      <c r="H29" s="368"/>
      <c r="I29" s="368"/>
      <c r="J29" s="368"/>
      <c r="K29" s="369"/>
      <c r="L29" s="368"/>
      <c r="M29" s="368"/>
      <c r="N29" s="368"/>
      <c r="O29" s="368"/>
      <c r="P29" s="368"/>
      <c r="Q29" s="368"/>
      <c r="R29" s="368"/>
      <c r="S29" s="370"/>
      <c r="T29" s="370"/>
      <c r="U29" s="370"/>
      <c r="V29" s="370"/>
      <c r="W29" s="314"/>
    </row>
    <row r="30" spans="1:23" s="308" customFormat="1" ht="15">
      <c r="A30" s="328"/>
      <c r="B30" s="329"/>
      <c r="C30" s="314"/>
      <c r="D30" s="314"/>
      <c r="E30" s="371"/>
      <c r="F30" s="314"/>
      <c r="G30" s="314"/>
      <c r="H30" s="314"/>
      <c r="I30" s="314"/>
      <c r="J30" s="314"/>
      <c r="K30" s="314"/>
      <c r="L30" s="314"/>
      <c r="M30" s="314"/>
      <c r="N30" s="314"/>
      <c r="O30" s="314"/>
      <c r="P30" s="314"/>
      <c r="Q30" s="314"/>
      <c r="R30" s="314"/>
      <c r="S30" s="314"/>
      <c r="T30" s="314"/>
      <c r="U30" s="314"/>
      <c r="V30" s="314"/>
      <c r="W30" s="314"/>
    </row>
    <row r="31" spans="1:23" s="308" customFormat="1" ht="15">
      <c r="A31" s="308" t="s">
        <v>758</v>
      </c>
      <c r="B31" s="330" t="s">
        <v>786</v>
      </c>
      <c r="C31" s="372"/>
      <c r="D31" s="373"/>
      <c r="E31" s="314"/>
      <c r="F31" s="314"/>
      <c r="G31" s="314"/>
      <c r="H31" s="314"/>
      <c r="I31" s="314"/>
      <c r="J31" s="314"/>
      <c r="K31" s="334"/>
      <c r="L31" s="314"/>
      <c r="M31" s="314"/>
      <c r="N31" s="314"/>
      <c r="O31" s="314"/>
      <c r="P31" s="314"/>
      <c r="Q31" s="314"/>
      <c r="R31" s="314"/>
      <c r="S31" s="314"/>
      <c r="T31" s="314"/>
      <c r="U31" s="314"/>
      <c r="V31" s="314"/>
      <c r="W31" s="314"/>
    </row>
    <row r="32" spans="1:23" s="308" customFormat="1" ht="15">
      <c r="A32" s="314"/>
      <c r="B32" s="314"/>
      <c r="C32" s="314"/>
      <c r="D32" s="314"/>
      <c r="E32" s="314"/>
      <c r="F32" s="314"/>
      <c r="G32" s="314"/>
      <c r="H32" s="314"/>
      <c r="I32" s="314"/>
      <c r="J32" s="314"/>
      <c r="K32" s="314"/>
      <c r="L32" s="314"/>
      <c r="M32" s="314"/>
      <c r="N32" s="314"/>
      <c r="O32" s="314"/>
      <c r="P32" s="314"/>
      <c r="Q32" s="314"/>
      <c r="R32" s="314"/>
      <c r="S32" s="314"/>
      <c r="T32" s="314"/>
      <c r="U32" s="314"/>
      <c r="V32" s="314"/>
      <c r="W32" s="314"/>
    </row>
    <row r="33" spans="1:23" s="308" customFormat="1" ht="15">
      <c r="A33" s="335" t="s">
        <v>760</v>
      </c>
      <c r="B33" s="336" t="s">
        <v>761</v>
      </c>
      <c r="C33" s="336" t="s">
        <v>762</v>
      </c>
      <c r="D33" s="336" t="s">
        <v>763</v>
      </c>
      <c r="E33" s="336" t="s">
        <v>764</v>
      </c>
      <c r="F33" s="337" t="s">
        <v>103</v>
      </c>
      <c r="G33" s="344" t="s">
        <v>765</v>
      </c>
      <c r="H33" s="339"/>
      <c r="I33" s="339"/>
      <c r="J33" s="339"/>
      <c r="K33" s="339"/>
      <c r="L33" s="339"/>
      <c r="M33" s="339"/>
      <c r="N33" s="339"/>
      <c r="O33" s="339"/>
      <c r="P33" s="339"/>
      <c r="Q33" s="339"/>
      <c r="R33" s="339"/>
      <c r="S33" s="339"/>
      <c r="T33" s="339"/>
      <c r="U33" s="339"/>
      <c r="V33" s="340"/>
      <c r="W33" s="314"/>
    </row>
    <row r="34" spans="1:23" s="308" customFormat="1" ht="16.5">
      <c r="A34" s="341" t="str">
        <f>IF( Inputs!B32=0,"From Surface Level","From Basement Floor Level")</f>
        <v>From Surface Level</v>
      </c>
      <c r="B34" s="342"/>
      <c r="C34" s="342" t="s">
        <v>766</v>
      </c>
      <c r="D34" s="342" t="s">
        <v>15</v>
      </c>
      <c r="E34" s="342" t="s">
        <v>767</v>
      </c>
      <c r="F34" s="343"/>
      <c r="G34" s="344" t="s">
        <v>768</v>
      </c>
      <c r="H34" s="345"/>
      <c r="I34" s="345"/>
      <c r="J34" s="345"/>
      <c r="K34" s="344" t="s">
        <v>769</v>
      </c>
      <c r="L34" s="346"/>
      <c r="M34" s="344" t="s">
        <v>770</v>
      </c>
      <c r="N34" s="345"/>
      <c r="O34" s="345"/>
      <c r="P34" s="347" t="s">
        <v>771</v>
      </c>
      <c r="Q34" s="348"/>
      <c r="R34" s="348"/>
      <c r="S34" s="344"/>
      <c r="T34" s="345"/>
      <c r="U34" s="345"/>
      <c r="V34" s="349"/>
      <c r="W34" s="314"/>
    </row>
    <row r="35" spans="1:23" s="308" customFormat="1" ht="27" customHeight="1">
      <c r="A35" s="350"/>
      <c r="B35" s="342"/>
      <c r="C35" s="342"/>
      <c r="D35" s="342"/>
      <c r="E35" s="342"/>
      <c r="F35" s="351"/>
      <c r="G35" s="352" t="s">
        <v>772</v>
      </c>
      <c r="H35" s="352" t="s">
        <v>773</v>
      </c>
      <c r="I35" s="352" t="s">
        <v>774</v>
      </c>
      <c r="J35" s="352" t="s">
        <v>775</v>
      </c>
      <c r="K35" s="338" t="s">
        <v>776</v>
      </c>
      <c r="L35" s="352" t="s">
        <v>777</v>
      </c>
      <c r="M35" s="353" t="s">
        <v>787</v>
      </c>
      <c r="N35" s="353" t="s">
        <v>779</v>
      </c>
      <c r="O35" s="352" t="s">
        <v>788</v>
      </c>
      <c r="P35" s="352"/>
      <c r="Q35" s="352"/>
      <c r="R35" s="352"/>
      <c r="S35" s="354" t="s">
        <v>781</v>
      </c>
      <c r="T35" s="354" t="s">
        <v>782</v>
      </c>
      <c r="U35" s="354" t="s">
        <v>783</v>
      </c>
      <c r="V35" s="354" t="s">
        <v>784</v>
      </c>
      <c r="W35" s="314"/>
    </row>
    <row r="36" spans="1:23" s="308" customFormat="1" ht="15">
      <c r="A36" s="355" t="str">
        <f>IF('Ground Model Results'!D31&gt;0,'Ground Model Results'!D26,IF('Ground Model Results'!E31&gt;0,'Ground Model Results'!E26,IF('Ground Model Results'!F31&gt;0,'Ground Model Results'!F26,IF('Ground Model Results'!G31&gt;0,'Ground Model Results'!G26,"No Ground Model"))))</f>
        <v>Layer 1 (Top Layer)</v>
      </c>
      <c r="B36" s="355" t="str">
        <f>IF(A36="-","0",INDEX('Ground Model Results'!$D$27:$G$27,MATCH(A36,'Ground Model Results'!$D$26:$G$26,0)))</f>
        <v>Loose Sand/Gravel</v>
      </c>
      <c r="C36" s="355">
        <f>IF($A36="-","0",INDEX('Ground Model Results'!$D$29:$G$29,MATCH($A36,'Ground Model Results'!$D$26:$G$26,0)))</f>
        <v>6</v>
      </c>
      <c r="D36" s="356">
        <f>IF($A36="-","0",INDEX('Ground Model Results'!$D$31:$G$31,MATCH($A36,'Ground Model Results'!$D$26:$G$26,0)))</f>
        <v>6</v>
      </c>
      <c r="E36" s="356">
        <f>IF(A36="-","0",IF($C$41&gt;C36-D36,INDEX('Ground Model Results'!$D$32:$G$32,MATCH(A36,'Ground Model Results'!$D$26:$G$26,0)),INDEX('Ground Model Results'!$D$33:$G$33,MATCH(A36,'Ground Model Results'!$D$26:$G$26,0))))</f>
        <v>16.5</v>
      </c>
      <c r="F36" s="356" t="str">
        <f>IF($A36="-","0",INDEX('Ground Model Results'!$D$28:$G$28,MATCH($A36,'Ground Model Results'!$D$26:$G$26,0)))</f>
        <v>Granular</v>
      </c>
      <c r="G36" s="356" t="str">
        <f>IF(F36="Cohesive",INDEX('Ground Model Results'!$D$36:$G$36,MATCH(A36,'Ground Model Results'!$D$26:$G$26,0)),"0")</f>
        <v>0</v>
      </c>
      <c r="H36" s="356" t="str">
        <f>IF(F36="Cohesive",INDEX('Ground Model Results'!$D$37:$G$37,MATCH(A36,'Ground Model Results'!$D$26:$G$26,0)),"0")</f>
        <v>0</v>
      </c>
      <c r="I36" s="356" t="str">
        <f>IF(OR(B36="Soft Clay",B36="Firm Clay"),1,IF(OR(B36="Stiff Clay", B36="Very Stiff Clay",B36="Hard Clay"),0.5,"0"))</f>
        <v>0</v>
      </c>
      <c r="J36" s="356" t="str">
        <f>IF(F36="Cohesive",9,"0")</f>
        <v>0</v>
      </c>
      <c r="K36" s="357">
        <f>IF(AND(F36="Granular",B36&lt;&gt;"Made Ground"),EXP(PI()*TAN((INDEX('Ground Model Results'!$D$38:$G$38,MATCH($A36,'Ground Model Results'!$D$26:$G$26,0)))*PI()/180))*(TAN((45+(INDEX('Ground Model Results'!$D$38:$G$38,MATCH($A36,'Ground Model Results'!$D$26:$G$26,0)))/2)*PI()/180))^2,"0")</f>
        <v>18.401122218708668</v>
      </c>
      <c r="L36" s="374">
        <f>IF(B36="Silt", 'Pile Data and Eurocode Factors'!D28*(TAN( 'Pile Data and Eurocode Factors'!C28*((INDEX('Ground Model Results'!$D$38:$G$38,MATCH($A36,'Ground Model Results'!$D$26:$G$26,0)))*PI()/180))),IF(B36="Loose Sand/Gravel", 'Pile Data and Eurocode Factors'!D28*(TAN( 'Pile Data and Eurocode Factors'!C28*((INDEX('Ground Model Results'!$D$38:$G$38,MATCH($A36,'Ground Model Results'!$D$26:$G$26,0)))*PI()/180))),IF(B36="Medium Sand/Gravel", 'Pile Data and Eurocode Factors'!D28*(TAN( 'Pile Data and Eurocode Factors'!C28*((INDEX('Ground Model Results'!$D$38:$G$38,MATCH($A36,'Ground Model Results'!$D$26:$G$26,0)))*PI()/180))),IF(B36="Dense Sand/Gravel", 'Pile Data and Eurocode Factors'!D28*(TAN( 'Pile Data and Eurocode Factors'!C28*((INDEX('Ground Model Results'!$D$38:$G$38,MATCH($A36,'Ground Model Results'!$D$26:$G$26,0)))*PI()/180))),"0"))))</f>
        <v>0.4025428365693513</v>
      </c>
      <c r="M36" s="358">
        <f>IF(OR(AND(F36="Chalk",B36="Low Density Chalk"),AND(F36="Chalk",B36="Medium Density Chalk")),0.8,0)</f>
        <v>0</v>
      </c>
      <c r="N36" s="356" t="str">
        <f>IF(AND(C36-D36&lt;$C$41,B36="High Density Chalk"),0.1*(INDEX('Ground Model Results'!$D$40:$G$40,MATCH($A36,'Ground Model Results'!$D$26:$G$26,0))),IF(AND(C36-D36&gt;=$C$41,B36="High Density Chalk"),0.1*(INDEX('Ground Model Results'!$D$41:$G$41,MATCH($A36,'Ground Model Results'!$D$26:$G$26,0))),"0"))</f>
        <v>0</v>
      </c>
      <c r="O36" s="356">
        <f>IF(F36="Chalk",(INDEX('Ground Model Results'!$D$42:$G$42,MATCH($A36,'Ground Model Results'!$D$26:$G$26,0)))*300,0)</f>
        <v>0</v>
      </c>
      <c r="P36" s="356"/>
      <c r="Q36" s="356"/>
      <c r="R36" s="356"/>
      <c r="S36" s="375" t="str">
        <f>IF(OR(B36="Low Density Chalk",B36="Medium Density Chalk",B36="High Density Chalk"),30,"0")</f>
        <v>0</v>
      </c>
      <c r="T36" s="375">
        <f>IF(F36="Cohesive",100,IF(F36="Granular",1200,IF(F36="Chalk",30,"0")))</f>
        <v>1200</v>
      </c>
      <c r="U36" s="359"/>
      <c r="V36" s="359">
        <f>IF(F36="Cohesive","",IF(F36="Granular",15000,IF(B36="Low Density Chalk",700,IF(B36="Medium Density Chalk",1000,IF(B36="High Density Chalk", 1400,"0")))))</f>
        <v>15000</v>
      </c>
      <c r="W36" s="314"/>
    </row>
    <row r="37" spans="1:23" s="308" customFormat="1" ht="15">
      <c r="A37" s="355" t="str">
        <f>_xlfn.IFS(A23="Layer 1 (Top Layer)","Layer 2", A23="Layer 2","Layer 3", A23="Layer 3","Layer 4 (Bottom Layer)",A23="Layer 4 (Bottom Layer)","-")</f>
        <v>Layer 2</v>
      </c>
      <c r="B37" s="355" t="str">
        <f>IF(A37="-","0",INDEX('Ground Model Results'!$D$27:$G$27,MATCH(A37,'Ground Model Results'!$D$26:$G$26,0)))</f>
        <v>Firm Clay</v>
      </c>
      <c r="C37" s="355">
        <f>IF($A37="-","0",INDEX('Ground Model Results'!$D$29:$G$29,MATCH($A37,'Ground Model Results'!$D$26:$G$26,0)))</f>
        <v>0</v>
      </c>
      <c r="D37" s="356">
        <f>IF($A37="-","0",INDEX('Ground Model Results'!$D$31:$G$31,MATCH($A37,'Ground Model Results'!$D$26:$G$26,0)))</f>
        <v>6</v>
      </c>
      <c r="E37" s="356">
        <f>IF(A37="-","0",IF($C$41&gt;C37-D37,INDEX('Ground Model Results'!$D$32:$G$32,MATCH(A37,'Ground Model Results'!$D$26:$G$26,0)),INDEX('Ground Model Results'!$D$33:$G$33,MATCH(A37,'Ground Model Results'!$D$26:$G$26,0))))</f>
        <v>18.5</v>
      </c>
      <c r="F37" s="356" t="str">
        <f>IF($A37="-","0",INDEX('Ground Model Results'!$D$28:$G$28,MATCH($A37,'Ground Model Results'!$D$26:$G$26,0)))</f>
        <v>Cohesive</v>
      </c>
      <c r="G37" s="356">
        <f>IF(F37="Cohesive",INDEX('Ground Model Results'!$D$36:$G$36,MATCH(A37,'Ground Model Results'!$D$26:$G$26,0)),"0")</f>
        <v>40</v>
      </c>
      <c r="H37" s="356">
        <f>IF(F37="Cohesive",INDEX('Ground Model Results'!$D$37:$G$37,MATCH(A37,'Ground Model Results'!$D$26:$G$26,0)),"0")</f>
        <v>40</v>
      </c>
      <c r="I37" s="356">
        <f>IF(OR(B37="Soft Clay",B37="Firm Clay"),1,IF(OR(B37="Stiff Clay", B37="Very Stiff Clay",B37="Hard Clay"),0.5,"0"))</f>
        <v>1</v>
      </c>
      <c r="J37" s="356">
        <f>IF(F37="Cohesive",9,"0")</f>
        <v>9</v>
      </c>
      <c r="K37" s="357" t="str">
        <f>IF(AND(F37="Granular",B37&lt;&gt;"Made Ground"),EXP(PI()*TAN((INDEX('Ground Model Results'!$D$38:$G$38,MATCH($A37,'Ground Model Results'!$D$26:$G$26,0)))*PI()/180))*(TAN((45+(INDEX('Ground Model Results'!$D$38:$G$38,MATCH($A37,'Ground Model Results'!$D$26:$G$26,0)))/2)*PI()/180))^2,"0")</f>
        <v>0</v>
      </c>
      <c r="L37" s="374" t="str">
        <f>IF(B37="Silt", 'Pile Data and Eurocode Factors'!D28*(TAN( 'Pile Data and Eurocode Factors'!C28*((INDEX('Ground Model Results'!$D$38:$G$38,MATCH($A37,'Ground Model Results'!$D$26:$G$26,0)))*PI()/180))),IF(B37="Loose Sand/Gravel", 'Pile Data and Eurocode Factors'!D28*(TAN( 'Pile Data and Eurocode Factors'!C28*((INDEX('Ground Model Results'!$D$38:$G$38,MATCH($A37,'Ground Model Results'!$D$26:$G$26,0)))*PI()/180))),IF(B37="Medium Sand/Gravel", 'Pile Data and Eurocode Factors'!D28*(TAN( 'Pile Data and Eurocode Factors'!C28*((INDEX('Ground Model Results'!$D$38:$G$38,MATCH($A37,'Ground Model Results'!$D$26:$G$26,0)))*PI()/180))),IF(B37="Dense Sand/Gravel", 'Pile Data and Eurocode Factors'!D28*(TAN( 'Pile Data and Eurocode Factors'!C28*((INDEX('Ground Model Results'!$D$38:$G$38,MATCH($A37,'Ground Model Results'!$D$26:$G$26,0)))*PI()/180))),"0"))))</f>
        <v>0</v>
      </c>
      <c r="M37" s="358">
        <f>IF(OR(AND(F37="Chalk",B37="Low Density Chalk"),AND(F37="Chalk",B37="Medium Density Chalk")),0.8,0)</f>
        <v>0</v>
      </c>
      <c r="N37" s="356" t="str">
        <f>IF(AND(C37-D37&lt;$C$41,B37="High Density Chalk"),0.1*(INDEX('Ground Model Results'!$D$40:$G$40,MATCH($A37,'Ground Model Results'!$D$26:$G$26,0))),IF(AND(C37-D37&gt;=$C$41,B37="High Density Chalk"),0.1*(INDEX('Ground Model Results'!$D$41:$G$41,MATCH($A37,'Ground Model Results'!$D$26:$G$26,0))),"0"))</f>
        <v>0</v>
      </c>
      <c r="O37" s="356">
        <f>IF(F37="Chalk",(INDEX('Ground Model Results'!$D$42:$G$42,MATCH($A37,'Ground Model Results'!$D$26:$G$26,0)))*300,0)</f>
        <v>0</v>
      </c>
      <c r="P37" s="356"/>
      <c r="Q37" s="356"/>
      <c r="R37" s="356"/>
      <c r="S37" s="375" t="str">
        <f>IF(OR(B37="Low Density Chalk",B37="Medium Density Chalk",B37="High Density Chalk"),30,"0")</f>
        <v>0</v>
      </c>
      <c r="T37" s="375">
        <f>IF(F37="Cohesive",100,IF(F37="Granular",1200,IF(F37="Chalk",30,"0")))</f>
        <v>100</v>
      </c>
      <c r="U37" s="359"/>
      <c r="V37" s="359" t="str">
        <f>IF(F37="Cohesive","",IF(F37="Granular",15000,IF(B37="Low Density Chalk",700,IF(B37="Medium Density Chalk",1000,IF(B37="High Density Chalk", 1400,"0")))))</f>
        <v/>
      </c>
      <c r="W37" s="314"/>
    </row>
    <row r="38" spans="1:23" s="308" customFormat="1" ht="15">
      <c r="A38" s="355" t="str">
        <f>_xlfn.IFS(A23="Layer 1 (Top Layer)","Layer 3", A23="Layer 2","Layer 4 (Bottom Layer)", A23="Layer 3","-",A23="Layer 4 (Bottom Layer)","-")</f>
        <v>Layer 3</v>
      </c>
      <c r="B38" s="355" t="str">
        <f>IF(A38="-","0",INDEX('Ground Model Results'!$D$27:$G$27,MATCH(A38,'Ground Model Results'!$D$26:$G$26,0)))</f>
        <v>Medium Sand/Gravel</v>
      </c>
      <c r="C38" s="355">
        <f>IF($A38="-","0",INDEX('Ground Model Results'!$D$29:$G$29,MATCH($A38,'Ground Model Results'!$D$26:$G$26,0)))</f>
        <v>-6</v>
      </c>
      <c r="D38" s="356">
        <f>IF($A38="-","0",INDEX('Ground Model Results'!$D$31:$G$31,MATCH($A38,'Ground Model Results'!$D$26:$G$26,0)))</f>
        <v>30</v>
      </c>
      <c r="E38" s="356">
        <f>IF(A38="-","0",IF($C$41&gt;C38-D38,INDEX('Ground Model Results'!$D$32:$G$32,MATCH(A38,'Ground Model Results'!$D$26:$G$26,0)),INDEX('Ground Model Results'!$D$33:$G$33,MATCH(A38,'Ground Model Results'!$D$26:$G$26,0))))</f>
        <v>19.5</v>
      </c>
      <c r="F38" s="356" t="str">
        <f>IF($A38="-","0",INDEX('Ground Model Results'!$D$28:$G$28,MATCH($A38,'Ground Model Results'!$D$26:$G$26,0)))</f>
        <v>Granular</v>
      </c>
      <c r="G38" s="356" t="str">
        <f>IF(F38="Cohesive",INDEX('Ground Model Results'!$D$36:$G$36,MATCH(A38,'Ground Model Results'!$D$26:$G$26,0)),"0")</f>
        <v>0</v>
      </c>
      <c r="H38" s="356" t="str">
        <f>IF(F38="Cohesive",INDEX('Ground Model Results'!$D$37:$G$37,MATCH(A38,'Ground Model Results'!$D$26:$G$26,0)),"0")</f>
        <v>0</v>
      </c>
      <c r="I38" s="356" t="str">
        <f>IF(OR(B38="Soft Clay",B38="Firm Clay"),1,IF(OR(B38="Stiff Clay", B38="Very Stiff Clay",B38="Hard Clay"),0.5,"0"))</f>
        <v>0</v>
      </c>
      <c r="J38" s="356" t="str">
        <f>IF(F38="Cohesive",9,"0")</f>
        <v>0</v>
      </c>
      <c r="K38" s="357">
        <f>IF(AND(F38="Granular",B38&lt;&gt;"Made Ground"),EXP(PI()*TAN((INDEX('Ground Model Results'!$D$38:$G$38,MATCH($A38,'Ground Model Results'!$D$26:$G$26,0)))*PI()/180))*(TAN((45+(INDEX('Ground Model Results'!$D$38:$G$38,MATCH($A38,'Ground Model Results'!$D$26:$G$26,0)))/2)*PI()/180))^2,"0")</f>
        <v>26.092012099198989</v>
      </c>
      <c r="L38" s="374">
        <f>IF(B38="Silt", 'Pile Data and Eurocode Factors'!D28*(TAN( 'Pile Data and Eurocode Factors'!C28*((INDEX('Ground Model Results'!$D$38:$G$38,MATCH($A38,'Ground Model Results'!$D$26:$G$26,0)))*PI()/180))),IF(B38="Loose Sand/Gravel", 'Pile Data and Eurocode Factors'!D28*(TAN( 'Pile Data and Eurocode Factors'!C28*((INDEX('Ground Model Results'!$D$38:$G$38,MATCH($A38,'Ground Model Results'!$D$26:$G$26,0)))*PI()/180))),IF(B38="Medium Sand/Gravel", 'Pile Data and Eurocode Factors'!D28*(TAN( 'Pile Data and Eurocode Factors'!C28*((INDEX('Ground Model Results'!$D$38:$G$38,MATCH($A38,'Ground Model Results'!$D$26:$G$26,0)))*PI()/180))),IF(B38="Dense Sand/Gravel", 'Pile Data and Eurocode Factors'!D28*(TAN( 'Pile Data and Eurocode Factors'!C28*((INDEX('Ground Model Results'!$D$38:$G$38,MATCH($A38,'Ground Model Results'!$D$26:$G$26,0)))*PI()/180))),"0"))))</f>
        <v>0.44688733902318017</v>
      </c>
      <c r="M38" s="358">
        <f>IF(OR(AND(F38="Chalk",B38="Low Density Chalk"),AND(F38="Chalk",B38="Medium Density Chalk")),0.8,0)</f>
        <v>0</v>
      </c>
      <c r="N38" s="356" t="str">
        <f>IF(AND(C38-D38&lt;$C$41,B38="High Density Chalk"),0.1*(INDEX('Ground Model Results'!$D$40:$G$40,MATCH($A38,'Ground Model Results'!$D$26:$G$26,0))),IF(AND(C38-D38&gt;=$C$41,B38="High Density Chalk"),0.1*(INDEX('Ground Model Results'!$D$41:$G$41,MATCH($A38,'Ground Model Results'!$D$26:$G$26,0))),"0"))</f>
        <v>0</v>
      </c>
      <c r="O38" s="356">
        <f>IF(F38="Chalk",(INDEX('Ground Model Results'!$D$42:$G$42,MATCH($A38,'Ground Model Results'!$D$26:$G$26,0)))*300,0)</f>
        <v>0</v>
      </c>
      <c r="P38" s="356"/>
      <c r="Q38" s="356"/>
      <c r="R38" s="356"/>
      <c r="S38" s="375" t="str">
        <f>IF(OR(B38="Low Density Chalk",B38="Medium Density Chalk",B38="High Density Chalk"),30,"0")</f>
        <v>0</v>
      </c>
      <c r="T38" s="375">
        <f>IF(F38="Cohesive",100,IF(F38="Granular",1200,IF(F38="Chalk",30,"0")))</f>
        <v>1200</v>
      </c>
      <c r="U38" s="359"/>
      <c r="V38" s="359">
        <f>IF(F38="Cohesive","",IF(F38="Granular",15000,IF(B38="Low Density Chalk",700,IF(B38="Medium Density Chalk",1000,IF(B38="High Density Chalk", 1400,"0")))))</f>
        <v>15000</v>
      </c>
      <c r="W38" s="314"/>
    </row>
    <row r="39" spans="1:23" s="308" customFormat="1" ht="15">
      <c r="A39" s="355" t="str">
        <f>_xlfn.IFS(A23="Layer 1 (Top Layer)","Layer 4 (Bottom Layer)", A23="Layer 2","-", A23="Layer 3","-",A23="Layer 4 (Bottom Layer)","-")</f>
        <v>Layer 4 (Bottom Layer)</v>
      </c>
      <c r="B39" s="355" t="str">
        <f>IF(A39="-","0",INDEX('Ground Model Results'!$D$27:$G$27,MATCH(A39,'Ground Model Results'!$D$26:$G$26,0)))</f>
        <v>Medium Density Chalk</v>
      </c>
      <c r="C39" s="355">
        <f>IF($A39="-","0",INDEX('Ground Model Results'!$D$29:$G$29,MATCH($A39,'Ground Model Results'!$D$26:$G$26,0)))</f>
        <v>-36</v>
      </c>
      <c r="D39" s="356">
        <f>IF($A39="-","0",INDEX('Ground Model Results'!$D$31:$G$31,MATCH($A39,'Ground Model Results'!$D$26:$G$26,0)))</f>
        <v>6</v>
      </c>
      <c r="E39" s="356">
        <f>IF(A39="-","0",IF($C$41&gt;C39-D39,INDEX('Ground Model Results'!$D$32:$G$32,MATCH(A39,'Ground Model Results'!$D$26:$G$26,0)),INDEX('Ground Model Results'!$D$33:$G$33,MATCH(A39,'Ground Model Results'!$D$26:$G$26,0))))</f>
        <v>20.233125000000001</v>
      </c>
      <c r="F39" s="356" t="str">
        <f>IF($A39="-","0",INDEX('Ground Model Results'!$D$28:$G$28,MATCH($A39,'Ground Model Results'!$D$26:$G$26,0)))</f>
        <v>Chalk</v>
      </c>
      <c r="G39" s="356" t="str">
        <f>IF(F39="Cohesive",INDEX('Ground Model Results'!$D$36:$G$36,MATCH(A39,'Ground Model Results'!$D$26:$G$26,0)),"0")</f>
        <v>0</v>
      </c>
      <c r="H39" s="356" t="str">
        <f>IF(F39="Cohesive",INDEX('Ground Model Results'!$D$37:$G$37,MATCH(A39,'Ground Model Results'!$D$26:$G$26,0)),"0")</f>
        <v>0</v>
      </c>
      <c r="I39" s="356" t="str">
        <f>IF(OR(B39="Soft Clay",B39="Firm Clay"),1,IF(OR(B39="Stiff Clay", B39="Very Stiff Clay",B39="Hard Clay"),0.5,"0"))</f>
        <v>0</v>
      </c>
      <c r="J39" s="356" t="str">
        <f>IF(F39="Cohesive",9,"0")</f>
        <v>0</v>
      </c>
      <c r="K39" s="357" t="str">
        <f>IF(AND(F39="Granular",B39&lt;&gt;"Made Ground"),EXP(PI()*TAN((INDEX('Ground Model Results'!$D$38:$G$38,MATCH($A39,'Ground Model Results'!$D$26:$G$26,0)))*PI()/180))*(TAN((45+(INDEX('Ground Model Results'!$D$38:$G$38,MATCH($A39,'Ground Model Results'!$D$26:$G$26,0)))/2)*PI()/180))^2,"0")</f>
        <v>0</v>
      </c>
      <c r="L39" s="374" t="str">
        <f>IF(B39="Silt", 'Pile Data and Eurocode Factors'!D28*(TAN( 'Pile Data and Eurocode Factors'!C28*((INDEX('Ground Model Results'!$D$38:$G$38,MATCH($A39,'Ground Model Results'!$D$26:$G$26,0)))*PI()/180))),IF(B39="Loose Sand/Gravel", 'Pile Data and Eurocode Factors'!D28*(TAN( 'Pile Data and Eurocode Factors'!C28*((INDEX('Ground Model Results'!$D$38:$G$38,MATCH($A39,'Ground Model Results'!$D$26:$G$26,0)))*PI()/180))),IF(B39="Medium Sand/Gravel", 'Pile Data and Eurocode Factors'!D28*(TAN( 'Pile Data and Eurocode Factors'!C28*((INDEX('Ground Model Results'!$D$38:$G$38,MATCH($A39,'Ground Model Results'!$D$26:$G$26,0)))*PI()/180))),IF(B39="Dense Sand/Gravel", 'Pile Data and Eurocode Factors'!D28*(TAN( 'Pile Data and Eurocode Factors'!C28*((INDEX('Ground Model Results'!$D$38:$G$38,MATCH($A39,'Ground Model Results'!$D$26:$G$26,0)))*PI()/180))),"0"))))</f>
        <v>0</v>
      </c>
      <c r="M39" s="358">
        <f>IF(OR(AND(F39="Chalk",B39="Low Density Chalk"),AND(F39="Chalk",B39="Medium Density Chalk")),0.8,0)</f>
        <v>0.8</v>
      </c>
      <c r="N39" s="356" t="str">
        <f>IF(AND(C39-D39&lt;$C$41,B39="High Density Chalk"),0.1*(INDEX('Ground Model Results'!$D$40:$G$40,MATCH($A39,'Ground Model Results'!$D$26:$G$26,0))),IF(AND(C39-D39&gt;=$C$41,B39="High Density Chalk"),0.1*(INDEX('Ground Model Results'!$D$41:$G$41,MATCH($A39,'Ground Model Results'!$D$26:$G$26,0))),"0"))</f>
        <v>0</v>
      </c>
      <c r="O39" s="356">
        <f>IF(F39="Chalk",(INDEX('Ground Model Results'!$D$42:$G$42,MATCH($A39,'Ground Model Results'!$D$26:$G$26,0)))*300,0)</f>
        <v>9000</v>
      </c>
      <c r="P39" s="356"/>
      <c r="Q39" s="356"/>
      <c r="R39" s="356"/>
      <c r="S39" s="375">
        <f>IF(OR(B39="Low Density Chalk",B39="Medium Density Chalk",B39="High Density Chalk"),30,"0")</f>
        <v>30</v>
      </c>
      <c r="T39" s="375">
        <f>IF(F39="Cohesive",100,IF(F39="Granular",1200,IF(F39="Chalk",30,"0")))</f>
        <v>30</v>
      </c>
      <c r="U39" s="359"/>
      <c r="V39" s="359">
        <f>IF(F39="Cohesive","",IF(F39="Granular",15000,IF(B39="Low Density Chalk",700,IF(B39="Medium Density Chalk",1000,IF(B39="High Density Chalk", 1400,"0")))))</f>
        <v>1000</v>
      </c>
      <c r="W39" s="314"/>
    </row>
    <row r="40" spans="1:23" s="308" customFormat="1" ht="15">
      <c r="A40" s="360"/>
      <c r="B40" s="360"/>
      <c r="C40" s="360"/>
      <c r="D40" s="361"/>
      <c r="E40" s="361"/>
      <c r="F40" s="361"/>
      <c r="G40" s="356"/>
      <c r="H40" s="356" t="str">
        <f>IF(F40="Cohesive",INDEX('Ground Model Results'!$D$37:$G$37,MATCH(A40,'Ground Model Results'!$D$26:$G$26,0)),"")</f>
        <v/>
      </c>
      <c r="I40" s="356" t="str">
        <f>IF(OR(B40="Soft Clay",B40="Firm Clay"),1,IF(OR(B40="Stiff Clay", B40="Very Stiff Clay",B40="Hard Clay"),0.5,""))</f>
        <v/>
      </c>
      <c r="J40" s="361"/>
      <c r="K40" s="362"/>
      <c r="L40" s="361"/>
      <c r="M40" s="361"/>
      <c r="N40" s="361"/>
      <c r="O40" s="356"/>
      <c r="P40" s="361"/>
      <c r="Q40" s="361"/>
      <c r="R40" s="361"/>
      <c r="S40" s="363"/>
      <c r="T40" s="363"/>
      <c r="U40" s="363"/>
      <c r="V40" s="363"/>
      <c r="W40" s="314"/>
    </row>
    <row r="41" spans="1:23" s="308" customFormat="1" ht="15">
      <c r="A41" s="364"/>
      <c r="B41" s="365" t="s">
        <v>785</v>
      </c>
      <c r="C41" s="355">
        <f>'Ground Model Results'!C44</f>
        <v>-15</v>
      </c>
      <c r="D41" s="364"/>
      <c r="E41" s="364"/>
      <c r="F41" s="364"/>
      <c r="G41" s="364"/>
      <c r="H41" s="364"/>
      <c r="I41" s="364"/>
      <c r="J41" s="364"/>
      <c r="K41" s="366"/>
      <c r="L41" s="364"/>
      <c r="M41" s="364"/>
      <c r="N41" s="364"/>
      <c r="O41" s="364"/>
      <c r="P41" s="364"/>
      <c r="Q41" s="364"/>
      <c r="R41" s="364"/>
      <c r="S41" s="367"/>
      <c r="T41" s="367"/>
      <c r="U41" s="367"/>
      <c r="V41" s="367"/>
      <c r="W41" s="314"/>
    </row>
    <row r="42" spans="1:23" s="308" customFormat="1" ht="15">
      <c r="A42" s="368"/>
      <c r="B42" s="368"/>
      <c r="C42" s="368"/>
      <c r="D42" s="368"/>
      <c r="E42" s="368"/>
      <c r="F42" s="368"/>
      <c r="G42" s="368"/>
      <c r="H42" s="368"/>
      <c r="I42" s="368"/>
      <c r="J42" s="368"/>
      <c r="K42" s="369"/>
      <c r="L42" s="368"/>
      <c r="M42" s="368"/>
      <c r="N42" s="368"/>
      <c r="O42" s="368"/>
      <c r="P42" s="368"/>
      <c r="Q42" s="368"/>
      <c r="R42" s="368"/>
      <c r="S42" s="370"/>
      <c r="T42" s="370"/>
      <c r="U42" s="370"/>
      <c r="V42" s="370"/>
      <c r="W42" s="314"/>
    </row>
    <row r="43" spans="1:23" s="308" customFormat="1" ht="15">
      <c r="A43" s="328"/>
      <c r="B43" s="329"/>
      <c r="C43" s="314"/>
      <c r="D43" s="314"/>
      <c r="E43" s="371"/>
      <c r="F43" s="314"/>
      <c r="G43" s="314"/>
      <c r="H43" s="314"/>
      <c r="I43" s="314"/>
      <c r="J43" s="314"/>
      <c r="K43" s="314"/>
      <c r="L43" s="314"/>
      <c r="M43" s="314"/>
      <c r="N43" s="314"/>
      <c r="O43" s="314"/>
      <c r="P43" s="314"/>
      <c r="Q43" s="314"/>
      <c r="R43" s="314"/>
      <c r="S43" s="314"/>
      <c r="T43" s="314"/>
      <c r="U43" s="314"/>
      <c r="V43" s="314"/>
      <c r="W43" s="314"/>
    </row>
    <row r="44" spans="1:23" s="308" customFormat="1" ht="15">
      <c r="A44" s="314" t="s">
        <v>758</v>
      </c>
      <c r="B44" s="330" t="s">
        <v>789</v>
      </c>
      <c r="C44" s="372"/>
      <c r="D44" s="373"/>
      <c r="E44" s="314"/>
      <c r="F44" s="314"/>
      <c r="G44" s="314"/>
      <c r="H44" s="314"/>
      <c r="I44" s="314"/>
      <c r="J44" s="314"/>
      <c r="K44" s="334"/>
      <c r="L44" s="314"/>
      <c r="M44" s="314"/>
      <c r="N44" s="314"/>
      <c r="O44" s="314"/>
      <c r="P44" s="314"/>
      <c r="Q44" s="314"/>
      <c r="R44" s="314"/>
      <c r="S44" s="314"/>
      <c r="T44" s="314"/>
      <c r="U44" s="314"/>
      <c r="V44" s="314"/>
      <c r="W44" s="314"/>
    </row>
    <row r="45" spans="1:23" s="308" customFormat="1" ht="15">
      <c r="A45" s="314"/>
      <c r="B45" s="314"/>
      <c r="C45" s="314"/>
      <c r="D45" s="314"/>
      <c r="E45" s="314"/>
      <c r="F45" s="314"/>
      <c r="G45" s="314"/>
      <c r="H45" s="314"/>
      <c r="I45" s="314"/>
      <c r="J45" s="314"/>
      <c r="K45" s="314"/>
      <c r="L45" s="314"/>
      <c r="M45" s="314"/>
      <c r="N45" s="314"/>
      <c r="O45" s="314"/>
      <c r="P45" s="314"/>
      <c r="Q45" s="314"/>
      <c r="R45" s="314"/>
      <c r="S45" s="314"/>
      <c r="T45" s="314"/>
      <c r="U45" s="314"/>
      <c r="V45" s="314"/>
      <c r="W45" s="314"/>
    </row>
    <row r="46" spans="1:23" s="308" customFormat="1" ht="15">
      <c r="A46" s="335" t="s">
        <v>760</v>
      </c>
      <c r="B46" s="336" t="s">
        <v>761</v>
      </c>
      <c r="C46" s="336" t="s">
        <v>762</v>
      </c>
      <c r="D46" s="336" t="s">
        <v>763</v>
      </c>
      <c r="E46" s="336" t="s">
        <v>764</v>
      </c>
      <c r="F46" s="337" t="s">
        <v>103</v>
      </c>
      <c r="G46" s="338" t="s">
        <v>765</v>
      </c>
      <c r="H46" s="339"/>
      <c r="I46" s="339"/>
      <c r="J46" s="339"/>
      <c r="K46" s="339"/>
      <c r="L46" s="339"/>
      <c r="M46" s="339"/>
      <c r="N46" s="339"/>
      <c r="O46" s="339"/>
      <c r="P46" s="339"/>
      <c r="Q46" s="339"/>
      <c r="R46" s="339"/>
      <c r="S46" s="339"/>
      <c r="T46" s="339"/>
      <c r="U46" s="339"/>
      <c r="V46" s="340"/>
      <c r="W46" s="314"/>
    </row>
    <row r="47" spans="1:23" s="308" customFormat="1" ht="16.5">
      <c r="A47" s="341" t="str">
        <f>IF( Inputs!B32=0,"From Surface Level","From Basement Floor Level")</f>
        <v>From Surface Level</v>
      </c>
      <c r="B47" s="342"/>
      <c r="C47" s="342" t="s">
        <v>766</v>
      </c>
      <c r="D47" s="342" t="s">
        <v>15</v>
      </c>
      <c r="E47" s="342" t="s">
        <v>767</v>
      </c>
      <c r="F47" s="343"/>
      <c r="G47" s="344" t="s">
        <v>768</v>
      </c>
      <c r="H47" s="345"/>
      <c r="I47" s="345"/>
      <c r="J47" s="345"/>
      <c r="K47" s="344" t="s">
        <v>769</v>
      </c>
      <c r="L47" s="346"/>
      <c r="M47" s="344" t="s">
        <v>770</v>
      </c>
      <c r="N47" s="345"/>
      <c r="O47" s="345"/>
      <c r="P47" s="347" t="s">
        <v>771</v>
      </c>
      <c r="Q47" s="348"/>
      <c r="R47" s="348"/>
      <c r="S47" s="344"/>
      <c r="T47" s="345"/>
      <c r="U47" s="345"/>
      <c r="V47" s="349"/>
      <c r="W47" s="314"/>
    </row>
    <row r="48" spans="1:23" s="308" customFormat="1" ht="27.75" customHeight="1">
      <c r="A48" s="350"/>
      <c r="B48" s="342"/>
      <c r="C48" s="342"/>
      <c r="D48" s="342"/>
      <c r="E48" s="342"/>
      <c r="F48" s="351"/>
      <c r="G48" s="352" t="s">
        <v>772</v>
      </c>
      <c r="H48" s="352" t="s">
        <v>773</v>
      </c>
      <c r="I48" s="352" t="s">
        <v>774</v>
      </c>
      <c r="J48" s="352" t="s">
        <v>775</v>
      </c>
      <c r="K48" s="338" t="s">
        <v>776</v>
      </c>
      <c r="L48" s="352" t="s">
        <v>777</v>
      </c>
      <c r="M48" s="353" t="s">
        <v>787</v>
      </c>
      <c r="N48" s="353" t="s">
        <v>779</v>
      </c>
      <c r="O48" s="352" t="s">
        <v>780</v>
      </c>
      <c r="P48" s="352"/>
      <c r="Q48" s="352"/>
      <c r="R48" s="352"/>
      <c r="S48" s="354" t="s">
        <v>781</v>
      </c>
      <c r="T48" s="354" t="s">
        <v>782</v>
      </c>
      <c r="U48" s="354" t="s">
        <v>783</v>
      </c>
      <c r="V48" s="354" t="s">
        <v>784</v>
      </c>
      <c r="W48" s="314"/>
    </row>
    <row r="49" spans="1:124" s="308" customFormat="1" ht="15">
      <c r="A49" s="355" t="str">
        <f>IF('Ground Model Results'!D31&gt;0,'Ground Model Results'!D26,IF('Ground Model Results'!E31&gt;0,'Ground Model Results'!E26,IF('Ground Model Results'!F31&gt;0,'Ground Model Results'!F26,IF('Ground Model Results'!G31&gt;0,'Ground Model Results'!G26,"No Ground Model"))))</f>
        <v>Layer 1 (Top Layer)</v>
      </c>
      <c r="B49" s="355" t="str">
        <f>IF(A49="-","0",INDEX('Ground Model Results'!$D$27:$G$27,MATCH(A49,'Ground Model Results'!$D$26:$G$26,0)))</f>
        <v>Loose Sand/Gravel</v>
      </c>
      <c r="C49" s="355">
        <f>IF($A49="-","-",INDEX('Ground Model Results'!$D$29:$G$29,MATCH($A49,'Ground Model Results'!$D$26:$G$26,0)))</f>
        <v>6</v>
      </c>
      <c r="D49" s="356">
        <f>IF($A49="-","0",INDEX('Ground Model Results'!$D$31:$G$31,MATCH($A49,'Ground Model Results'!$D$26:$G$26,0)))</f>
        <v>6</v>
      </c>
      <c r="E49" s="356">
        <f>IF(A49="-","-",IF($C$54&gt;C49-D49,INDEX('Ground Model Results'!$D$32:$G$32,MATCH(A49,'Ground Model Results'!$D$26:$G$26,0)),INDEX('Ground Model Results'!$D$33:$G$33,MATCH(A49,'Ground Model Results'!$D$26:$G$26,0))))</f>
        <v>16.5</v>
      </c>
      <c r="F49" s="356" t="str">
        <f>IF($A49="-","0",INDEX('Ground Model Results'!$D$28:$G$28,MATCH($A49,'Ground Model Results'!$D$26:$G$26,0)))</f>
        <v>Granular</v>
      </c>
      <c r="G49" s="356" t="str">
        <f>IF(F49="Cohesive",INDEX('Ground Model Results'!$D$36:$G$36,MATCH(A49,'Ground Model Results'!$D$26:$G$26,0)),"0")</f>
        <v>0</v>
      </c>
      <c r="H49" s="356" t="str">
        <f>IF(F49="Cohesive",INDEX('Ground Model Results'!$D$37:$G$37,MATCH(A49,'Ground Model Results'!$D$26:$G$26,0)),"0")</f>
        <v>0</v>
      </c>
      <c r="I49" s="356" t="str">
        <f>IF(F49="Cohesive",0.5,"0")</f>
        <v>0</v>
      </c>
      <c r="J49" s="356" t="str">
        <f>IF(F49="Cohesive",9,"0")</f>
        <v>0</v>
      </c>
      <c r="K49" s="357">
        <f>IF(AND(F49="Granular",B49&lt;&gt;"Made Ground"),EXP(PI()*TAN((INDEX('Ground Model Results'!$D$38:$G$38,MATCH($A49,'Ground Model Results'!$D$26:$G$26,0)))*PI()/180))*(TAN((45+(INDEX('Ground Model Results'!$D$38:$G$38,MATCH($A49,'Ground Model Results'!$D$26:$G$26,0)))/2)*PI()/180))^2,"0")</f>
        <v>18.401122218708668</v>
      </c>
      <c r="L49" s="374">
        <f>IF(B49="Silt", 'Pile Data and Eurocode Factors'!D26*(TAN( 'Pile Data and Eurocode Factors'!C26*((INDEX('Ground Model Results'!$D$38:$G$38,MATCH($A49,'Ground Model Results'!$D$26:$G$26,0)))*PI()/180))),IF(B49="Loose Sand/Gravel", 'Pile Data and Eurocode Factors'!D27*(TAN( 'Pile Data and Eurocode Factors'!C27*((INDEX('Ground Model Results'!$D$38:$G$38,MATCH($A49,'Ground Model Results'!$D$26:$G$26,0)))*PI()/180))),IF(B49="Medium Sand/Gravel", 'Pile Data and Eurocode Factors'!D27*(TAN( 'Pile Data and Eurocode Factors'!C27*((INDEX('Ground Model Results'!$D$38:$G$38,MATCH($A49,'Ground Model Results'!$D$26:$G$26,0)))*PI()/180))),IF(B49="Dense Sand/Gravel", 'Pile Data and Eurocode Factors'!D27*(TAN( 'Pile Data and Eurocode Factors'!C27*((INDEX('Ground Model Results'!$D$38:$G$38,MATCH($A49,'Ground Model Results'!$D$26:$G$26,0)))*PI()/180))),"0"))))</f>
        <v>0.51961524227066314</v>
      </c>
      <c r="M49" s="376">
        <f>IF(AND(F49="Chalk",B49="Low Density Chalk"),0.45,IF(AND(F49="Chalk",B49="Medium Density Chalk"),0.45,0))</f>
        <v>0</v>
      </c>
      <c r="N49" s="356" t="str">
        <f>IF(AND(C49-D49&lt;$C$54,B49="High Density Chalk"),0.1*(INDEX('Ground Model Results'!$D$40:$G$40,MATCH($A49,'Ground Model Results'!$D$26:$G$26,0))),IF(AND(C49-D49&gt;=$C$54,B49="High Density Chalk"),0.1*(INDEX('Ground Model Results'!$D$41:$G$41,MATCH($A49,'Ground Model Results'!$D$26:$G$26,0))),"0"))</f>
        <v>0</v>
      </c>
      <c r="O49" s="356">
        <f>IF(F49="Chalk",(INDEX('Ground Model Results'!$D$42:$G$42,MATCH($A49,'Ground Model Results'!$D$26:$G$26,0)))*200,0)</f>
        <v>0</v>
      </c>
      <c r="P49" s="356"/>
      <c r="Q49" s="356"/>
      <c r="R49" s="356"/>
      <c r="S49" s="375" t="str">
        <f>IF(OR(B49="Low Density Chalk",B49="Medium Density Chalk",B49="High Density Chalk"),100,"0")</f>
        <v>0</v>
      </c>
      <c r="T49" s="359">
        <f>IF(F49="Cohesive",100,IF(F49="Granular",1200,IF(F49="Chalk",100,"0")))</f>
        <v>1200</v>
      </c>
      <c r="U49" s="359"/>
      <c r="V49" s="359">
        <f>IF(F49="Cohesive","",IF(F49="Granular",15000,IF(B49="Low Density Chalk",700,IF(B49="Medium Density Chalk",1000,IF(B49="High Density Chalk", 1400,"0")))))</f>
        <v>15000</v>
      </c>
      <c r="W49" s="314"/>
    </row>
    <row r="50" spans="1:124" s="308" customFormat="1" ht="15">
      <c r="A50" s="355" t="str">
        <f>_xlfn.IFS(A23="Layer 1 (Top Layer)","Layer 2", A23="Layer 2","Layer 3", A23="Layer 3","Layer 4 (Bottom Layer)",A23="Layer 4 (Bottom Layer)","-")</f>
        <v>Layer 2</v>
      </c>
      <c r="B50" s="355" t="str">
        <f>IF(A50="-","0",INDEX('Ground Model Results'!$D$27:$G$27,MATCH(A50,'Ground Model Results'!$D$26:$G$26,0)))</f>
        <v>Firm Clay</v>
      </c>
      <c r="C50" s="355">
        <f>IF($A50="-","-",INDEX('Ground Model Results'!$D$29:$G$29,MATCH($A50,'Ground Model Results'!$D$26:$G$26,0)))</f>
        <v>0</v>
      </c>
      <c r="D50" s="356">
        <f>IF($A50="-","0",INDEX('Ground Model Results'!$D$31:$G$31,MATCH($A50,'Ground Model Results'!$D$26:$G$26,0)))</f>
        <v>6</v>
      </c>
      <c r="E50" s="356">
        <f>IF(A50="-","-",IF($C$54&gt;C50-D50,INDEX('Ground Model Results'!$D$32:$G$32,MATCH(A50,'Ground Model Results'!$D$26:$G$26,0)),INDEX('Ground Model Results'!$D$33:$G$33,MATCH(A50,'Ground Model Results'!$D$26:$G$26,0))))</f>
        <v>18.5</v>
      </c>
      <c r="F50" s="356" t="str">
        <f>IF($A50="-","0",INDEX('Ground Model Results'!$D$28:$G$28,MATCH($A50,'Ground Model Results'!$D$26:$G$26,0)))</f>
        <v>Cohesive</v>
      </c>
      <c r="G50" s="356">
        <f>IF(F50="Cohesive",INDEX('Ground Model Results'!$D$36:$G$36,MATCH(A50,'Ground Model Results'!$D$26:$G$26,0)),"0")</f>
        <v>40</v>
      </c>
      <c r="H50" s="356">
        <f>IF(F50="Cohesive",INDEX('Ground Model Results'!$D$37:$G$37,MATCH(A50,'Ground Model Results'!$D$26:$G$26,0)),"0")</f>
        <v>40</v>
      </c>
      <c r="I50" s="356">
        <f>IF(F50="Cohesive",0.5,"0")</f>
        <v>0.5</v>
      </c>
      <c r="J50" s="356">
        <f>IF(F50="Cohesive",9,"0")</f>
        <v>9</v>
      </c>
      <c r="K50" s="357" t="str">
        <f>IF(AND(F50="Granular",B50&lt;&gt;"Made Ground"),EXP(PI()*TAN((INDEX('Ground Model Results'!$D$38:$G$38,MATCH($A50,'Ground Model Results'!$D$26:$G$26,0)))*PI()/180))*(TAN((45+(INDEX('Ground Model Results'!$D$38:$G$38,MATCH($A50,'Ground Model Results'!$D$26:$G$26,0)))/2)*PI()/180))^2,"0")</f>
        <v>0</v>
      </c>
      <c r="L50" s="374" t="str">
        <f>IF(B50="Silt", 'Pile Data and Eurocode Factors'!D26*(TAN( 'Pile Data and Eurocode Factors'!C26*((INDEX('Ground Model Results'!$D$38:$G$38,MATCH($A50,'Ground Model Results'!$D$26:$G$26,0)))*PI()/180))),IF(B50="Loose Sand/Gravel", 'Pile Data and Eurocode Factors'!D27*(TAN( 'Pile Data and Eurocode Factors'!C27*((INDEX('Ground Model Results'!$D$38:$G$38,MATCH($A50,'Ground Model Results'!$D$26:$G$26,0)))*PI()/180))),IF(B50="Medium Sand/Gravel", 'Pile Data and Eurocode Factors'!D27*(TAN( 'Pile Data and Eurocode Factors'!C27*((INDEX('Ground Model Results'!$D$38:$G$38,MATCH($A50,'Ground Model Results'!$D$26:$G$26,0)))*PI()/180))),IF(B50="Dense Sand/Gravel", 'Pile Data and Eurocode Factors'!D27*(TAN( 'Pile Data and Eurocode Factors'!C27*((INDEX('Ground Model Results'!$D$38:$G$38,MATCH($A50,'Ground Model Results'!$D$26:$G$26,0)))*PI()/180))),"0"))))</f>
        <v>0</v>
      </c>
      <c r="M50" s="376">
        <f>IF(AND(F50="Chalk",B50="Low Density Chalk"),0.45,IF(AND(F50="Chalk",B50="Medium Density Chalk"),0.45,0))</f>
        <v>0</v>
      </c>
      <c r="N50" s="356" t="str">
        <f>IF(AND(C50-D50&lt;$C$54,B50="High Density Chalk"),0.1*(INDEX('Ground Model Results'!$D$40:$G$40,MATCH($A50,'Ground Model Results'!$D$26:$G$26,0))),IF(AND(C50-D50&gt;=$C$54,B50="High Density Chalk"),0.1*(INDEX('Ground Model Results'!$D$41:$G$41,MATCH($A50,'Ground Model Results'!$D$26:$G$26,0))),"0"))</f>
        <v>0</v>
      </c>
      <c r="O50" s="356">
        <f>IF(F50="Chalk",(INDEX('Ground Model Results'!$D$42:$G$42,MATCH($A50,'Ground Model Results'!$D$26:$G$26,0)))*200,0)</f>
        <v>0</v>
      </c>
      <c r="P50" s="356"/>
      <c r="Q50" s="356"/>
      <c r="R50" s="356"/>
      <c r="S50" s="375" t="str">
        <f>IF(OR(B50="Low Density Chalk",B50="Medium Density Chalk",B50="High Density Chalk"),100,"0")</f>
        <v>0</v>
      </c>
      <c r="T50" s="359">
        <f>IF(F50="Cohesive",100,IF(F50="Granular",1200,IF(F50="Chalk",100,"0")))</f>
        <v>100</v>
      </c>
      <c r="U50" s="359"/>
      <c r="V50" s="359" t="str">
        <f>IF(F50="Cohesive","",IF(F50="Granular",15000,IF(B50="Low Density Chalk",700,IF(B50="Medium Density Chalk",1000,IF(B50="High Density Chalk", 1400,"0")))))</f>
        <v/>
      </c>
      <c r="W50" s="314"/>
    </row>
    <row r="51" spans="1:124" s="308" customFormat="1" ht="15">
      <c r="A51" s="355" t="str">
        <f>_xlfn.IFS(A23="Layer 1 (Top Layer)","Layer 3", A23="Layer 2","Layer 4 (Bottom Layer)", A23="Layer 3","-",A23="Layer 4 (Bottom Layer)","-")</f>
        <v>Layer 3</v>
      </c>
      <c r="B51" s="355" t="str">
        <f>IF(A51="-","0",INDEX('Ground Model Results'!$D$27:$G$27,MATCH(A51,'Ground Model Results'!$D$26:$G$26,0)))</f>
        <v>Medium Sand/Gravel</v>
      </c>
      <c r="C51" s="355">
        <f>IF($A51="-","0",INDEX('Ground Model Results'!$D$29:$G$29,MATCH($A51,'Ground Model Results'!$D$26:$G$26,0)))</f>
        <v>-6</v>
      </c>
      <c r="D51" s="356">
        <f>IF($A51="-","0",INDEX('Ground Model Results'!$D$31:$G$31,MATCH($A51,'Ground Model Results'!$D$26:$G$26,0)))</f>
        <v>30</v>
      </c>
      <c r="E51" s="356">
        <f>IF(A51="-","0",IF($C$54&gt;C51-D51,INDEX('Ground Model Results'!$D$32:$G$32,MATCH(A51,'Ground Model Results'!$D$26:$G$26,0)),INDEX('Ground Model Results'!$D$33:$G$33,MATCH(A51,'Ground Model Results'!$D$26:$G$26,0))))</f>
        <v>19.5</v>
      </c>
      <c r="F51" s="356" t="str">
        <f>IF($A51="-","0",INDEX('Ground Model Results'!$D$28:$G$28,MATCH($A51,'Ground Model Results'!$D$26:$G$26,0)))</f>
        <v>Granular</v>
      </c>
      <c r="G51" s="356" t="str">
        <f>IF(F51="Cohesive",INDEX('Ground Model Results'!$D$36:$G$36,MATCH(A51,'Ground Model Results'!$D$26:$G$26,0)),"0")</f>
        <v>0</v>
      </c>
      <c r="H51" s="356" t="str">
        <f>IF(F51="Cohesive",INDEX('Ground Model Results'!$D$37:$G$37,MATCH(A51,'Ground Model Results'!$D$26:$G$26,0)),"0")</f>
        <v>0</v>
      </c>
      <c r="I51" s="356" t="str">
        <f>IF(F51="Cohesive",0.5,"0")</f>
        <v>0</v>
      </c>
      <c r="J51" s="356" t="str">
        <f>IF(F51="Cohesive",9,"0")</f>
        <v>0</v>
      </c>
      <c r="K51" s="357">
        <f>IF(AND(F51="Granular",B51&lt;&gt;"Made Ground"),EXP(PI()*TAN((INDEX('Ground Model Results'!$D$38:$G$38,MATCH($A51,'Ground Model Results'!$D$26:$G$26,0)))*PI()/180))*(TAN((45+(INDEX('Ground Model Results'!$D$38:$G$38,MATCH($A51,'Ground Model Results'!$D$26:$G$26,0)))/2)*PI()/180))^2,"0")</f>
        <v>26.092012099198989</v>
      </c>
      <c r="L51" s="374">
        <f>IF(B51="Silt", 'Pile Data and Eurocode Factors'!D26*(TAN( 'Pile Data and Eurocode Factors'!C26*((INDEX('Ground Model Results'!$D$38:$G$38,MATCH($A51,'Ground Model Results'!$D$26:$G$26,0)))*PI()/180))),IF(B51="Loose Sand/Gravel", 'Pile Data and Eurocode Factors'!D27*(TAN( 'Pile Data and Eurocode Factors'!C27*((INDEX('Ground Model Results'!$D$38:$G$38,MATCH($A51,'Ground Model Results'!$D$26:$G$26,0)))*PI()/180))),IF(B51="Medium Sand/Gravel", 'Pile Data and Eurocode Factors'!D27*(TAN( 'Pile Data and Eurocode Factors'!C27*((INDEX('Ground Model Results'!$D$38:$G$38,MATCH($A51,'Ground Model Results'!$D$26:$G$26,0)))*PI()/180))),IF(B51="Dense Sand/Gravel", 'Pile Data and Eurocode Factors'!D27*(TAN( 'Pile Data and Eurocode Factors'!C27*((INDEX('Ground Model Results'!$D$38:$G$38,MATCH($A51,'Ground Model Results'!$D$26:$G$26,0)))*PI()/180))),"0"))))</f>
        <v>0.58446683387775955</v>
      </c>
      <c r="M51" s="376">
        <f>IF(AND(F51="Chalk",B51="Low Density Chalk"),0.45,IF(AND(F51="Chalk",B51="Medium Density Chalk"),0.45,0))</f>
        <v>0</v>
      </c>
      <c r="N51" s="356" t="str">
        <f>IF(AND(C51-D51&lt;$C$54,B51="High Density Chalk"),0.1*(INDEX('Ground Model Results'!$D$40:$G$40,MATCH($A51,'Ground Model Results'!$D$26:$G$26,0))),IF(AND(C51-D51&gt;=$C$54,B51="High Density Chalk"),0.1*(INDEX('Ground Model Results'!$D$41:$G$41,MATCH($A51,'Ground Model Results'!$D$26:$G$26,0))),"0"))</f>
        <v>0</v>
      </c>
      <c r="O51" s="356">
        <f>IF(F51="Chalk",(INDEX('Ground Model Results'!$D$42:$G$42,MATCH($A51,'Ground Model Results'!$D$26:$G$26,0)))*200,0)</f>
        <v>0</v>
      </c>
      <c r="P51" s="356"/>
      <c r="Q51" s="356"/>
      <c r="R51" s="356"/>
      <c r="S51" s="375" t="str">
        <f>IF(OR(B51="Low Density Chalk",B51="Medium Density Chalk",B51="High Density Chalk"),100,"0")</f>
        <v>0</v>
      </c>
      <c r="T51" s="359">
        <f>IF(F51="Cohesive",100,IF(F51="Granular",1200,IF(F51="Chalk",100,"0")))</f>
        <v>1200</v>
      </c>
      <c r="U51" s="359"/>
      <c r="V51" s="359">
        <f>IF(F51="Cohesive","",IF(F51="Granular",15000,IF(B51="Low Density Chalk",700,IF(B51="Medium Density Chalk",1000,IF(B51="High Density Chalk", 1400,"0")))))</f>
        <v>15000</v>
      </c>
      <c r="W51" s="314"/>
    </row>
    <row r="52" spans="1:124" s="308" customFormat="1" ht="15">
      <c r="A52" s="355" t="str">
        <f>_xlfn.IFS(A23="Layer 1 (Top Layer)","Layer 4 (Bottom Layer)", A23="Layer 2","-", A23="Layer 3","-",A23="Layer 4 (Bottom Layer)","-")</f>
        <v>Layer 4 (Bottom Layer)</v>
      </c>
      <c r="B52" s="355" t="str">
        <f>IF(A52="-","0",INDEX('Ground Model Results'!$D$27:$G$27,MATCH(A52,'Ground Model Results'!$D$26:$G$26,0)))</f>
        <v>Medium Density Chalk</v>
      </c>
      <c r="C52" s="355">
        <f>IF($A52="-","0",INDEX('Ground Model Results'!$D$29:$G$29,MATCH($A52,'Ground Model Results'!$D$26:$G$26,0)))</f>
        <v>-36</v>
      </c>
      <c r="D52" s="356">
        <f>IF($A52="-","0",INDEX('Ground Model Results'!$D$31:$G$31,MATCH($A52,'Ground Model Results'!$D$26:$G$26,0)))</f>
        <v>6</v>
      </c>
      <c r="E52" s="356">
        <f>IF(A52="-","0",IF($C$54&gt;C52-D52,INDEX('Ground Model Results'!$D$32:$G$32,MATCH(A52,'Ground Model Results'!$D$26:$G$26,0)),INDEX('Ground Model Results'!$D$33:$G$33,MATCH(A52,'Ground Model Results'!$D$26:$G$26,0))))</f>
        <v>20.233125000000001</v>
      </c>
      <c r="F52" s="356" t="str">
        <f>IF($A52="-","0",INDEX('Ground Model Results'!$D$28:$G$28,MATCH($A52,'Ground Model Results'!$D$26:$G$26,0)))</f>
        <v>Chalk</v>
      </c>
      <c r="G52" s="356" t="str">
        <f>IF(F52="Cohesive",INDEX('Ground Model Results'!$D$36:$G$36,MATCH(A52,'Ground Model Results'!$D$26:$G$26,0)),"0")</f>
        <v>0</v>
      </c>
      <c r="H52" s="356" t="str">
        <f>IF(F52="Cohesive",INDEX('Ground Model Results'!$D$37:$G$37,MATCH(A52,'Ground Model Results'!$D$26:$G$26,0)),"0")</f>
        <v>0</v>
      </c>
      <c r="I52" s="356" t="str">
        <f>IF(F52="Cohesive",0.5,"0")</f>
        <v>0</v>
      </c>
      <c r="J52" s="356" t="str">
        <f>IF(F52="Cohesive",9,"0")</f>
        <v>0</v>
      </c>
      <c r="K52" s="357" t="str">
        <f>IF(AND(F52="Granular",B52&lt;&gt;"Made Ground"),EXP(PI()*TAN((INDEX('Ground Model Results'!$D$38:$G$38,MATCH($A52,'Ground Model Results'!$D$26:$G$26,0)))*PI()/180))*(TAN((45+(INDEX('Ground Model Results'!$D$38:$G$38,MATCH($A52,'Ground Model Results'!$D$26:$G$26,0)))/2)*PI()/180))^2,"0")</f>
        <v>0</v>
      </c>
      <c r="L52" s="374" t="str">
        <f>IF(B52="Silt", 'Pile Data and Eurocode Factors'!D26*(TAN( 'Pile Data and Eurocode Factors'!C26*((INDEX('Ground Model Results'!$D$38:$G$38,MATCH($A52,'Ground Model Results'!$D$26:$G$26,0)))*PI()/180))),IF(B52="Loose Sand/Gravel", 'Pile Data and Eurocode Factors'!D27*(TAN( 'Pile Data and Eurocode Factors'!C27*((INDEX('Ground Model Results'!$D$38:$G$38,MATCH($A52,'Ground Model Results'!$D$26:$G$26,0)))*PI()/180))),IF(B52="Medium Sand/Gravel", 'Pile Data and Eurocode Factors'!D27*(TAN( 'Pile Data and Eurocode Factors'!C27*((INDEX('Ground Model Results'!$D$38:$G$38,MATCH($A52,'Ground Model Results'!$D$26:$G$26,0)))*PI()/180))),IF(B52="Dense Sand/Gravel", 'Pile Data and Eurocode Factors'!D27*(TAN( 'Pile Data and Eurocode Factors'!C27*((INDEX('Ground Model Results'!$D$38:$G$38,MATCH($A52,'Ground Model Results'!$D$26:$G$26,0)))*PI()/180))),"0"))))</f>
        <v>0</v>
      </c>
      <c r="M52" s="376">
        <f>IF(AND(F52="Chalk",B52="Low Density Chalk"),0.45,IF(AND(F52="Chalk",B52="Medium Density Chalk"),0.45,0))</f>
        <v>0.45</v>
      </c>
      <c r="N52" s="356" t="str">
        <f>IF(AND(C52-D52&lt;$C$54,B52="High Density Chalk"),0.1*(INDEX('Ground Model Results'!$D$40:$G$40,MATCH($A52,'Ground Model Results'!$D$26:$G$26,0))),IF(AND(C52-D52&gt;=$C$54,B52="High Density Chalk"),0.1*(INDEX('Ground Model Results'!$D$41:$G$41,MATCH($A52,'Ground Model Results'!$D$26:$G$26,0))),"0"))</f>
        <v>0</v>
      </c>
      <c r="O52" s="356">
        <f>IF(F52="Chalk",(INDEX('Ground Model Results'!$D$42:$G$42,MATCH($A52,'Ground Model Results'!$D$26:$G$26,0)))*200,0)</f>
        <v>6000</v>
      </c>
      <c r="P52" s="356"/>
      <c r="Q52" s="356"/>
      <c r="R52" s="356"/>
      <c r="S52" s="375">
        <f>IF(OR(B52="Low Density Chalk",B52="Medium Density Chalk",B52="High Density Chalk"),100,"0")</f>
        <v>100</v>
      </c>
      <c r="T52" s="359">
        <f>IF(F52="Cohesive",100,IF(F52="Granular",1200,IF(F52="Chalk",100,"0")))</f>
        <v>100</v>
      </c>
      <c r="U52" s="359"/>
      <c r="V52" s="359">
        <f>IF(F52="Cohesive","",IF(F52="Granular",15000,IF(B52="Low Density Chalk",700,IF(B52="Medium Density Chalk",1000,IF(B52="High Density Chalk", 1400,"0")))))</f>
        <v>1000</v>
      </c>
      <c r="W52" s="314"/>
    </row>
    <row r="53" spans="1:124" s="308" customFormat="1" ht="15">
      <c r="A53" s="360"/>
      <c r="B53" s="360"/>
      <c r="C53" s="360"/>
      <c r="D53" s="361"/>
      <c r="E53" s="361"/>
      <c r="F53" s="361"/>
      <c r="G53" s="356"/>
      <c r="H53" s="356"/>
      <c r="I53" s="361"/>
      <c r="J53" s="361"/>
      <c r="K53" s="362"/>
      <c r="L53" s="361"/>
      <c r="M53" s="361"/>
      <c r="N53" s="361"/>
      <c r="O53" s="356"/>
      <c r="P53" s="361"/>
      <c r="Q53" s="361"/>
      <c r="R53" s="361"/>
      <c r="S53" s="363"/>
      <c r="T53" s="363"/>
      <c r="U53" s="363"/>
      <c r="V53" s="359"/>
      <c r="W53" s="314"/>
    </row>
    <row r="54" spans="1:124" s="308" customFormat="1" ht="15">
      <c r="A54" s="364"/>
      <c r="B54" s="365" t="s">
        <v>785</v>
      </c>
      <c r="C54" s="355">
        <f>'Ground Model Results'!C44</f>
        <v>-15</v>
      </c>
      <c r="D54" s="364"/>
      <c r="E54" s="364"/>
      <c r="F54" s="364"/>
      <c r="G54" s="364"/>
      <c r="H54" s="364"/>
      <c r="I54" s="364"/>
      <c r="J54" s="364"/>
      <c r="K54" s="366"/>
      <c r="L54" s="364"/>
      <c r="M54" s="364"/>
      <c r="N54" s="364"/>
      <c r="O54" s="364"/>
      <c r="P54" s="364"/>
      <c r="Q54" s="364"/>
      <c r="R54" s="364"/>
      <c r="S54" s="364"/>
      <c r="T54" s="367"/>
      <c r="U54" s="367"/>
      <c r="V54" s="367"/>
      <c r="W54" s="370"/>
    </row>
    <row r="55" spans="1:124" s="308" customFormat="1" ht="15">
      <c r="A55" s="314"/>
      <c r="B55" s="314"/>
      <c r="C55" s="314"/>
      <c r="D55" s="314"/>
      <c r="E55" s="314"/>
      <c r="F55" s="368"/>
      <c r="G55" s="368"/>
      <c r="H55" s="368"/>
      <c r="I55" s="368"/>
      <c r="J55" s="368"/>
      <c r="K55" s="369"/>
      <c r="L55" s="368"/>
      <c r="M55" s="368"/>
      <c r="N55" s="368"/>
      <c r="O55" s="368"/>
      <c r="P55" s="368"/>
      <c r="Q55" s="368"/>
      <c r="R55" s="368"/>
      <c r="S55" s="368"/>
      <c r="T55" s="370"/>
      <c r="U55" s="370"/>
      <c r="V55" s="370"/>
      <c r="W55" s="370"/>
    </row>
    <row r="56" spans="1:124" s="308" customFormat="1" ht="15">
      <c r="A56" s="314"/>
      <c r="B56" s="314"/>
      <c r="C56" s="314"/>
      <c r="D56" s="314"/>
      <c r="E56" s="314"/>
      <c r="F56" s="314"/>
      <c r="G56" s="314"/>
      <c r="H56" s="314"/>
      <c r="I56" s="314"/>
      <c r="J56" s="314"/>
      <c r="K56" s="314"/>
      <c r="L56" s="314"/>
      <c r="M56" s="314"/>
      <c r="N56" s="314"/>
      <c r="O56" s="314"/>
      <c r="P56" s="314"/>
      <c r="Q56" s="314"/>
      <c r="R56" s="314"/>
      <c r="S56" s="314"/>
      <c r="T56" s="314"/>
      <c r="U56" s="314"/>
      <c r="V56" s="314"/>
      <c r="W56" s="314"/>
    </row>
    <row r="57" spans="1:124" s="308" customFormat="1" ht="15">
      <c r="A57" s="314"/>
      <c r="B57" s="314"/>
      <c r="C57" s="314"/>
      <c r="D57" s="314"/>
      <c r="E57" s="314"/>
      <c r="F57" s="314"/>
      <c r="G57" s="314"/>
      <c r="H57" s="314"/>
      <c r="I57" s="314"/>
      <c r="J57" s="314"/>
      <c r="K57" s="314"/>
      <c r="L57" s="314"/>
      <c r="M57" s="314"/>
      <c r="N57" s="314"/>
      <c r="O57" s="314"/>
      <c r="P57" s="314"/>
      <c r="Q57" s="314"/>
      <c r="R57" s="314"/>
      <c r="S57" s="314"/>
      <c r="T57" s="314"/>
      <c r="U57" s="314"/>
      <c r="V57" s="314"/>
      <c r="W57" s="314"/>
    </row>
    <row r="58" spans="1:124" s="308" customFormat="1" ht="15">
      <c r="A58" s="314"/>
      <c r="B58" s="314"/>
      <c r="C58" s="314"/>
      <c r="D58" s="314"/>
      <c r="E58" s="314"/>
      <c r="F58" s="377"/>
      <c r="G58" s="314"/>
      <c r="H58" s="314"/>
      <c r="I58" s="314"/>
      <c r="J58" s="314"/>
      <c r="K58" s="314"/>
      <c r="L58" s="314"/>
      <c r="M58" s="314"/>
      <c r="N58" s="314"/>
      <c r="O58" s="314"/>
      <c r="P58" s="314"/>
      <c r="Q58" s="314"/>
      <c r="R58" s="314"/>
      <c r="S58" s="314"/>
      <c r="T58" s="314"/>
      <c r="U58" s="314"/>
      <c r="V58" s="314"/>
      <c r="W58" s="314"/>
    </row>
    <row r="59" spans="1:124" s="308" customFormat="1" ht="15">
      <c r="A59" s="314"/>
      <c r="B59" s="314"/>
      <c r="C59" s="314"/>
      <c r="D59" s="314"/>
      <c r="E59" s="314"/>
      <c r="F59" s="314"/>
      <c r="G59" s="314"/>
      <c r="H59" s="314"/>
      <c r="I59" s="314"/>
      <c r="J59" s="314"/>
      <c r="K59" s="314"/>
      <c r="L59" s="314"/>
      <c r="M59" s="314"/>
      <c r="N59" s="314"/>
      <c r="O59" s="314"/>
      <c r="P59" s="314"/>
      <c r="Q59" s="314"/>
      <c r="R59" s="314"/>
      <c r="S59" s="314"/>
      <c r="T59" s="314"/>
      <c r="U59" s="314"/>
      <c r="V59" s="314"/>
      <c r="W59" s="314"/>
    </row>
    <row r="60" spans="1:124" s="308" customFormat="1" ht="15.75">
      <c r="A60" s="378"/>
      <c r="B60" s="314"/>
      <c r="C60" s="314"/>
      <c r="D60" s="314"/>
      <c r="E60" s="314"/>
      <c r="F60" s="314"/>
      <c r="G60" s="314"/>
      <c r="H60" s="314"/>
      <c r="I60" s="314"/>
      <c r="J60" s="314"/>
      <c r="K60" s="314"/>
      <c r="L60" s="314"/>
      <c r="M60" s="314"/>
      <c r="N60" s="314"/>
      <c r="O60" s="314"/>
      <c r="P60" s="314"/>
      <c r="Q60" s="314"/>
      <c r="R60" s="314"/>
      <c r="S60" s="314"/>
      <c r="T60" s="314"/>
      <c r="U60" s="314"/>
      <c r="V60" s="314"/>
      <c r="W60" s="314"/>
    </row>
    <row r="61" spans="1:124" s="308" customFormat="1" ht="26.25">
      <c r="A61" s="309" t="s">
        <v>790</v>
      </c>
      <c r="B61" s="310"/>
      <c r="C61" s="310"/>
      <c r="D61" s="310"/>
      <c r="E61" s="310"/>
      <c r="F61" s="310"/>
      <c r="G61" s="310"/>
      <c r="H61" s="310"/>
      <c r="I61" s="310"/>
      <c r="J61" s="310"/>
      <c r="K61" s="310"/>
      <c r="L61" s="310"/>
      <c r="M61" s="310"/>
      <c r="N61" s="310"/>
      <c r="O61" s="310"/>
      <c r="P61" s="310"/>
      <c r="Q61" s="310"/>
      <c r="R61" s="310"/>
      <c r="S61" s="310"/>
      <c r="T61" s="310"/>
      <c r="U61" s="310"/>
      <c r="V61" s="310"/>
      <c r="W61" s="310"/>
      <c r="X61" s="310"/>
      <c r="Y61" s="310"/>
      <c r="Z61" s="310"/>
      <c r="AA61" s="310"/>
      <c r="AB61" s="310"/>
      <c r="AC61" s="310"/>
      <c r="AD61" s="310"/>
      <c r="AE61" s="310"/>
      <c r="AF61" s="310"/>
      <c r="AG61" s="310"/>
      <c r="AH61" s="310"/>
      <c r="AI61" s="310"/>
      <c r="AJ61" s="310"/>
      <c r="AK61" s="310"/>
      <c r="AL61" s="310"/>
      <c r="AM61" s="310"/>
      <c r="AN61" s="310"/>
      <c r="AO61" s="310"/>
      <c r="AP61" s="310"/>
      <c r="AQ61" s="310"/>
      <c r="AR61" s="310"/>
      <c r="AS61" s="310"/>
      <c r="AT61" s="310"/>
      <c r="AU61" s="310"/>
      <c r="AV61" s="310"/>
      <c r="AW61" s="310"/>
      <c r="AX61" s="310"/>
      <c r="AY61" s="310"/>
      <c r="AZ61" s="310"/>
      <c r="BA61" s="310"/>
      <c r="BB61" s="310"/>
      <c r="BC61" s="310"/>
      <c r="BD61" s="310"/>
      <c r="BE61" s="310"/>
      <c r="BF61" s="310"/>
      <c r="BG61" s="310"/>
      <c r="BH61" s="310"/>
      <c r="BI61" s="310"/>
      <c r="BJ61" s="310"/>
      <c r="BK61" s="310"/>
      <c r="BL61" s="310"/>
      <c r="BM61" s="310"/>
      <c r="BN61" s="310"/>
      <c r="BO61" s="310"/>
      <c r="BP61" s="310"/>
      <c r="BQ61" s="310"/>
      <c r="BR61" s="310"/>
      <c r="BS61" s="310"/>
      <c r="BT61" s="310"/>
      <c r="BU61" s="310"/>
      <c r="BV61" s="310"/>
      <c r="BW61" s="310"/>
      <c r="BX61" s="310"/>
      <c r="BY61" s="310"/>
      <c r="BZ61" s="310"/>
      <c r="CA61" s="310"/>
      <c r="CB61" s="310"/>
      <c r="CC61" s="310"/>
      <c r="CD61" s="310"/>
      <c r="CE61" s="310"/>
      <c r="CF61" s="310"/>
      <c r="CG61" s="310"/>
      <c r="CH61" s="310"/>
      <c r="CI61" s="310"/>
      <c r="CJ61" s="310"/>
      <c r="CK61" s="310"/>
      <c r="CL61" s="310"/>
      <c r="CM61" s="310"/>
      <c r="CN61" s="310"/>
      <c r="CO61" s="310"/>
      <c r="CP61" s="310"/>
      <c r="CQ61" s="310"/>
      <c r="CR61" s="310"/>
      <c r="CS61" s="310"/>
      <c r="CT61" s="310"/>
      <c r="CU61" s="310"/>
      <c r="CV61" s="310"/>
      <c r="CW61" s="310"/>
      <c r="CX61" s="310"/>
      <c r="CY61" s="310"/>
      <c r="CZ61" s="310"/>
      <c r="DA61" s="310"/>
      <c r="DB61" s="310"/>
      <c r="DC61" s="310"/>
      <c r="DD61" s="310"/>
      <c r="DE61" s="310"/>
      <c r="DF61" s="310"/>
      <c r="DG61" s="310"/>
      <c r="DH61" s="310"/>
      <c r="DI61" s="310"/>
      <c r="DJ61" s="310"/>
      <c r="DK61" s="310"/>
      <c r="DL61" s="310"/>
      <c r="DM61" s="310"/>
      <c r="DN61" s="310"/>
      <c r="DO61" s="310"/>
      <c r="DP61" s="310"/>
      <c r="DQ61" s="310"/>
      <c r="DR61" s="310"/>
      <c r="DS61" s="310"/>
      <c r="DT61" s="310"/>
    </row>
    <row r="62" spans="1:124" s="308" customFormat="1" ht="15"/>
    <row r="63" spans="1:124" s="308" customFormat="1" ht="15"/>
    <row r="64" spans="1:124" s="308" customFormat="1" ht="15"/>
    <row r="65" spans="2:116" s="308" customFormat="1" ht="15"/>
    <row r="66" spans="2:116" s="308" customFormat="1" ht="25.5" customHeight="1" thickBot="1">
      <c r="B66" s="379" t="s">
        <v>791</v>
      </c>
      <c r="C66" s="380"/>
      <c r="D66" s="380"/>
      <c r="S66" s="381"/>
      <c r="T66" s="381"/>
      <c r="U66" s="381"/>
      <c r="V66" s="381"/>
      <c r="W66" s="381"/>
      <c r="X66" s="381"/>
      <c r="Y66" s="382"/>
      <c r="Z66" s="382"/>
      <c r="AA66" s="382"/>
      <c r="AB66" s="382"/>
      <c r="AC66" s="382"/>
      <c r="AD66" s="382"/>
      <c r="AE66" s="382"/>
      <c r="AF66" s="382"/>
      <c r="AG66" s="382"/>
      <c r="AH66" s="382"/>
      <c r="AI66" s="382"/>
      <c r="AJ66" s="382"/>
      <c r="AK66" s="382"/>
      <c r="AL66" s="382"/>
    </row>
    <row r="67" spans="2:116" s="308" customFormat="1" ht="29.25" customHeight="1" thickBot="1">
      <c r="B67" s="383" t="s">
        <v>792</v>
      </c>
      <c r="C67" s="384"/>
      <c r="D67" s="385"/>
      <c r="E67" s="386"/>
      <c r="F67" s="383" t="s">
        <v>793</v>
      </c>
      <c r="G67" s="384"/>
      <c r="H67" s="385"/>
      <c r="I67" s="386"/>
      <c r="J67" s="383" t="s">
        <v>794</v>
      </c>
      <c r="K67" s="384"/>
      <c r="L67" s="385"/>
      <c r="M67" s="386"/>
      <c r="N67" s="385" t="s">
        <v>795</v>
      </c>
      <c r="O67" s="384"/>
      <c r="P67" s="383" t="s">
        <v>796</v>
      </c>
      <c r="Q67" s="384"/>
      <c r="R67" s="386"/>
      <c r="S67" s="383" t="s">
        <v>797</v>
      </c>
      <c r="T67" s="387"/>
      <c r="U67" s="387"/>
      <c r="V67" s="387"/>
      <c r="W67" s="387"/>
      <c r="X67" s="388"/>
      <c r="Y67" s="389" t="s">
        <v>798</v>
      </c>
      <c r="Z67" s="390"/>
      <c r="AA67" s="390"/>
      <c r="AB67" s="390"/>
      <c r="AC67" s="390"/>
      <c r="AD67" s="390"/>
      <c r="AE67" s="390"/>
      <c r="AF67" s="390"/>
      <c r="AG67" s="390"/>
      <c r="AH67" s="390"/>
      <c r="AI67" s="390"/>
      <c r="AJ67" s="390"/>
      <c r="AK67" s="390"/>
      <c r="AL67" s="391"/>
      <c r="AM67" s="389" t="s">
        <v>799</v>
      </c>
      <c r="AN67" s="390"/>
      <c r="AO67" s="390"/>
      <c r="AP67" s="390"/>
      <c r="AQ67" s="390"/>
      <c r="AR67" s="390"/>
      <c r="AS67" s="390"/>
      <c r="AT67" s="390"/>
      <c r="AU67" s="390"/>
      <c r="AV67" s="390"/>
      <c r="AW67" s="390"/>
      <c r="AX67" s="390"/>
      <c r="AY67" s="390"/>
      <c r="AZ67" s="391"/>
      <c r="BA67" s="389" t="s">
        <v>800</v>
      </c>
      <c r="BB67" s="390"/>
      <c r="BC67" s="390"/>
      <c r="BD67" s="390"/>
      <c r="BE67" s="390"/>
      <c r="BF67" s="390"/>
      <c r="BG67" s="390"/>
      <c r="BH67" s="390"/>
      <c r="BI67" s="390"/>
      <c r="BJ67" s="390"/>
      <c r="BK67" s="390"/>
      <c r="BL67" s="390"/>
      <c r="BM67" s="390"/>
      <c r="BN67" s="391"/>
      <c r="BO67" s="389" t="s">
        <v>801</v>
      </c>
      <c r="BP67" s="392"/>
      <c r="BQ67" s="392"/>
      <c r="BR67" s="392"/>
      <c r="BS67" s="392"/>
      <c r="BT67" s="392"/>
      <c r="BU67" s="392"/>
      <c r="BV67" s="392"/>
      <c r="BW67" s="392"/>
      <c r="BX67" s="392"/>
      <c r="BY67" s="392"/>
      <c r="BZ67" s="392"/>
      <c r="CA67" s="392"/>
      <c r="CB67" s="393"/>
      <c r="CC67" s="389" t="s">
        <v>802</v>
      </c>
      <c r="CD67" s="392"/>
      <c r="CE67" s="392"/>
      <c r="CF67" s="392"/>
      <c r="CG67" s="392"/>
      <c r="CH67" s="392"/>
      <c r="CI67" s="392"/>
      <c r="CJ67" s="392"/>
      <c r="CK67" s="392"/>
      <c r="CL67" s="392"/>
      <c r="CM67" s="392"/>
      <c r="CN67" s="392"/>
      <c r="CO67" s="392"/>
      <c r="CP67" s="393"/>
      <c r="CQ67" s="389" t="s">
        <v>803</v>
      </c>
      <c r="CR67" s="392"/>
      <c r="CS67" s="392"/>
      <c r="CT67" s="392"/>
      <c r="CU67" s="392"/>
      <c r="CV67" s="392"/>
      <c r="CW67" s="392"/>
      <c r="CX67" s="392"/>
      <c r="CY67" s="392"/>
      <c r="CZ67" s="392"/>
      <c r="DA67" s="392"/>
      <c r="DB67" s="392"/>
      <c r="DC67" s="392"/>
      <c r="DD67" s="393"/>
    </row>
    <row r="68" spans="2:116" s="308" customFormat="1" ht="108.75" customHeight="1">
      <c r="B68" s="394"/>
      <c r="C68" s="395" t="s">
        <v>804</v>
      </c>
      <c r="D68" s="395" t="s">
        <v>761</v>
      </c>
      <c r="E68" s="395" t="s">
        <v>103</v>
      </c>
      <c r="F68" s="395" t="s">
        <v>805</v>
      </c>
      <c r="G68" s="395" t="s">
        <v>806</v>
      </c>
      <c r="H68" s="395" t="s">
        <v>807</v>
      </c>
      <c r="I68" s="395" t="s">
        <v>808</v>
      </c>
      <c r="J68" s="395" t="s">
        <v>809</v>
      </c>
      <c r="K68" s="395" t="s">
        <v>810</v>
      </c>
      <c r="L68" s="395" t="s">
        <v>811</v>
      </c>
      <c r="M68" s="395" t="s">
        <v>775</v>
      </c>
      <c r="N68" s="395" t="s">
        <v>776</v>
      </c>
      <c r="O68" s="395" t="s">
        <v>812</v>
      </c>
      <c r="P68" s="395" t="s">
        <v>787</v>
      </c>
      <c r="Q68" s="395" t="s">
        <v>813</v>
      </c>
      <c r="R68" s="395" t="s">
        <v>814</v>
      </c>
      <c r="S68" s="395" t="s">
        <v>815</v>
      </c>
      <c r="T68" s="395" t="s">
        <v>816</v>
      </c>
      <c r="U68" s="395" t="s">
        <v>817</v>
      </c>
      <c r="V68" s="395" t="s">
        <v>818</v>
      </c>
      <c r="W68" s="395" t="s">
        <v>819</v>
      </c>
      <c r="X68" s="395" t="s">
        <v>820</v>
      </c>
      <c r="Y68" s="396" t="s">
        <v>821</v>
      </c>
      <c r="Z68" s="397" t="s">
        <v>822</v>
      </c>
      <c r="AA68" s="397" t="s">
        <v>823</v>
      </c>
      <c r="AB68" s="397" t="s">
        <v>824</v>
      </c>
      <c r="AC68" s="397" t="s">
        <v>825</v>
      </c>
      <c r="AD68" s="397" t="s">
        <v>826</v>
      </c>
      <c r="AE68" s="397" t="s">
        <v>827</v>
      </c>
      <c r="AF68" s="397" t="s">
        <v>828</v>
      </c>
      <c r="AG68" s="397" t="s">
        <v>829</v>
      </c>
      <c r="AH68" s="397" t="s">
        <v>830</v>
      </c>
      <c r="AI68" s="397" t="s">
        <v>831</v>
      </c>
      <c r="AJ68" s="397" t="s">
        <v>832</v>
      </c>
      <c r="AK68" s="397" t="s">
        <v>833</v>
      </c>
      <c r="AL68" s="398" t="s">
        <v>834</v>
      </c>
      <c r="AM68" s="396" t="s">
        <v>821</v>
      </c>
      <c r="AN68" s="397" t="s">
        <v>822</v>
      </c>
      <c r="AO68" s="397" t="s">
        <v>823</v>
      </c>
      <c r="AP68" s="397" t="s">
        <v>824</v>
      </c>
      <c r="AQ68" s="397" t="s">
        <v>825</v>
      </c>
      <c r="AR68" s="397" t="s">
        <v>826</v>
      </c>
      <c r="AS68" s="397" t="s">
        <v>827</v>
      </c>
      <c r="AT68" s="397" t="s">
        <v>828</v>
      </c>
      <c r="AU68" s="397" t="s">
        <v>829</v>
      </c>
      <c r="AV68" s="397" t="s">
        <v>830</v>
      </c>
      <c r="AW68" s="397" t="s">
        <v>831</v>
      </c>
      <c r="AX68" s="397" t="s">
        <v>832</v>
      </c>
      <c r="AY68" s="397" t="s">
        <v>833</v>
      </c>
      <c r="AZ68" s="398" t="s">
        <v>834</v>
      </c>
      <c r="BA68" s="396" t="s">
        <v>821</v>
      </c>
      <c r="BB68" s="397" t="s">
        <v>822</v>
      </c>
      <c r="BC68" s="397" t="s">
        <v>823</v>
      </c>
      <c r="BD68" s="397" t="s">
        <v>824</v>
      </c>
      <c r="BE68" s="397" t="s">
        <v>825</v>
      </c>
      <c r="BF68" s="397" t="s">
        <v>826</v>
      </c>
      <c r="BG68" s="397" t="s">
        <v>827</v>
      </c>
      <c r="BH68" s="397" t="s">
        <v>828</v>
      </c>
      <c r="BI68" s="397" t="s">
        <v>829</v>
      </c>
      <c r="BJ68" s="397" t="s">
        <v>830</v>
      </c>
      <c r="BK68" s="397" t="s">
        <v>831</v>
      </c>
      <c r="BL68" s="397" t="s">
        <v>832</v>
      </c>
      <c r="BM68" s="397" t="s">
        <v>833</v>
      </c>
      <c r="BN68" s="398" t="s">
        <v>834</v>
      </c>
      <c r="BO68" s="396" t="s">
        <v>821</v>
      </c>
      <c r="BP68" s="397" t="s">
        <v>822</v>
      </c>
      <c r="BQ68" s="397" t="s">
        <v>823</v>
      </c>
      <c r="BR68" s="397" t="s">
        <v>824</v>
      </c>
      <c r="BS68" s="397" t="s">
        <v>825</v>
      </c>
      <c r="BT68" s="397" t="s">
        <v>826</v>
      </c>
      <c r="BU68" s="397" t="s">
        <v>827</v>
      </c>
      <c r="BV68" s="397" t="s">
        <v>828</v>
      </c>
      <c r="BW68" s="397" t="s">
        <v>829</v>
      </c>
      <c r="BX68" s="397" t="s">
        <v>830</v>
      </c>
      <c r="BY68" s="397" t="s">
        <v>831</v>
      </c>
      <c r="BZ68" s="397" t="s">
        <v>832</v>
      </c>
      <c r="CA68" s="397" t="s">
        <v>833</v>
      </c>
      <c r="CB68" s="398" t="s">
        <v>834</v>
      </c>
      <c r="CC68" s="396" t="s">
        <v>821</v>
      </c>
      <c r="CD68" s="397" t="s">
        <v>822</v>
      </c>
      <c r="CE68" s="397" t="s">
        <v>823</v>
      </c>
      <c r="CF68" s="397" t="s">
        <v>824</v>
      </c>
      <c r="CG68" s="397" t="s">
        <v>825</v>
      </c>
      <c r="CH68" s="397" t="s">
        <v>826</v>
      </c>
      <c r="CI68" s="397" t="s">
        <v>827</v>
      </c>
      <c r="CJ68" s="397" t="s">
        <v>828</v>
      </c>
      <c r="CK68" s="397" t="s">
        <v>829</v>
      </c>
      <c r="CL68" s="397" t="s">
        <v>830</v>
      </c>
      <c r="CM68" s="397" t="s">
        <v>831</v>
      </c>
      <c r="CN68" s="397" t="s">
        <v>832</v>
      </c>
      <c r="CO68" s="397" t="s">
        <v>833</v>
      </c>
      <c r="CP68" s="398" t="s">
        <v>834</v>
      </c>
      <c r="CQ68" s="396" t="s">
        <v>821</v>
      </c>
      <c r="CR68" s="397" t="s">
        <v>822</v>
      </c>
      <c r="CS68" s="397" t="s">
        <v>823</v>
      </c>
      <c r="CT68" s="397" t="s">
        <v>824</v>
      </c>
      <c r="CU68" s="397" t="s">
        <v>825</v>
      </c>
      <c r="CV68" s="397" t="s">
        <v>826</v>
      </c>
      <c r="CW68" s="397" t="s">
        <v>827</v>
      </c>
      <c r="CX68" s="397" t="s">
        <v>828</v>
      </c>
      <c r="CY68" s="397" t="s">
        <v>829</v>
      </c>
      <c r="CZ68" s="397" t="s">
        <v>830</v>
      </c>
      <c r="DA68" s="397" t="s">
        <v>831</v>
      </c>
      <c r="DB68" s="397" t="s">
        <v>832</v>
      </c>
      <c r="DC68" s="397" t="s">
        <v>833</v>
      </c>
      <c r="DD68" s="398" t="s">
        <v>834</v>
      </c>
      <c r="DE68" s="399" t="s">
        <v>835</v>
      </c>
      <c r="DG68" s="399" t="s">
        <v>836</v>
      </c>
      <c r="DH68" s="399" t="s">
        <v>837</v>
      </c>
      <c r="DI68" s="399" t="s">
        <v>838</v>
      </c>
      <c r="DJ68" s="399" t="s">
        <v>839</v>
      </c>
      <c r="DK68" s="399" t="s">
        <v>840</v>
      </c>
      <c r="DL68" s="399" t="s">
        <v>841</v>
      </c>
    </row>
    <row r="69" spans="2:116" s="308" customFormat="1" ht="15.75">
      <c r="B69" s="400"/>
      <c r="C69" s="401" t="s">
        <v>67</v>
      </c>
      <c r="D69" s="401"/>
      <c r="E69" s="401"/>
      <c r="F69" s="401" t="s">
        <v>842</v>
      </c>
      <c r="G69" s="401" t="s">
        <v>842</v>
      </c>
      <c r="H69" s="401" t="s">
        <v>842</v>
      </c>
      <c r="I69" s="401" t="s">
        <v>842</v>
      </c>
      <c r="J69" s="401" t="s">
        <v>842</v>
      </c>
      <c r="K69" s="401" t="s">
        <v>842</v>
      </c>
      <c r="M69" s="401"/>
      <c r="N69" s="400"/>
      <c r="S69" s="401" t="s">
        <v>842</v>
      </c>
      <c r="T69" s="401" t="s">
        <v>842</v>
      </c>
      <c r="U69" s="401" t="s">
        <v>842</v>
      </c>
      <c r="V69" s="401" t="s">
        <v>842</v>
      </c>
      <c r="W69" s="401" t="s">
        <v>842</v>
      </c>
      <c r="X69" s="401" t="s">
        <v>842</v>
      </c>
      <c r="Y69" s="402" t="s">
        <v>843</v>
      </c>
      <c r="Z69" s="382"/>
      <c r="AA69" s="382"/>
      <c r="AB69" s="382"/>
      <c r="AC69" s="382"/>
      <c r="AD69" s="382"/>
      <c r="AE69" s="382"/>
      <c r="AF69" s="382"/>
      <c r="AG69" s="382"/>
      <c r="AH69" s="382"/>
      <c r="AI69" s="382"/>
      <c r="AJ69" s="382"/>
      <c r="AK69" s="382"/>
      <c r="AL69" s="403"/>
      <c r="AM69" s="402" t="s">
        <v>843</v>
      </c>
      <c r="AN69" s="382"/>
      <c r="AO69" s="382"/>
      <c r="AP69" s="382"/>
      <c r="AQ69" s="382"/>
      <c r="AR69" s="382"/>
      <c r="AS69" s="382"/>
      <c r="AT69" s="382"/>
      <c r="AU69" s="382"/>
      <c r="AV69" s="382"/>
      <c r="AW69" s="382"/>
      <c r="AX69" s="382"/>
      <c r="AY69" s="382"/>
      <c r="AZ69" s="403"/>
      <c r="BA69" s="402" t="s">
        <v>843</v>
      </c>
      <c r="BB69" s="382"/>
      <c r="BC69" s="382"/>
      <c r="BD69" s="382"/>
      <c r="BE69" s="382"/>
      <c r="BF69" s="382"/>
      <c r="BG69" s="382"/>
      <c r="BH69" s="382"/>
      <c r="BI69" s="382"/>
      <c r="BJ69" s="382"/>
      <c r="BK69" s="382"/>
      <c r="BL69" s="382"/>
      <c r="BM69" s="382"/>
      <c r="BN69" s="403"/>
      <c r="BO69" s="402" t="s">
        <v>843</v>
      </c>
      <c r="BP69" s="382"/>
      <c r="BQ69" s="382"/>
      <c r="BR69" s="382"/>
      <c r="BS69" s="382"/>
      <c r="BT69" s="382"/>
      <c r="BU69" s="382"/>
      <c r="BV69" s="382"/>
      <c r="BW69" s="382"/>
      <c r="BX69" s="382"/>
      <c r="BY69" s="382"/>
      <c r="BZ69" s="382"/>
      <c r="CA69" s="382"/>
      <c r="CB69" s="403"/>
      <c r="CC69" s="402" t="s">
        <v>843</v>
      </c>
      <c r="CD69" s="382"/>
      <c r="CE69" s="382"/>
      <c r="CF69" s="382"/>
      <c r="CG69" s="382"/>
      <c r="CH69" s="382"/>
      <c r="CI69" s="382"/>
      <c r="CJ69" s="382"/>
      <c r="CK69" s="382"/>
      <c r="CL69" s="382"/>
      <c r="CM69" s="382"/>
      <c r="CN69" s="382"/>
      <c r="CO69" s="382"/>
      <c r="CP69" s="403"/>
      <c r="CQ69" s="402" t="s">
        <v>843</v>
      </c>
      <c r="CR69" s="382"/>
      <c r="CS69" s="382"/>
      <c r="CT69" s="382"/>
      <c r="CU69" s="382"/>
      <c r="CV69" s="382"/>
      <c r="CW69" s="382"/>
      <c r="CX69" s="382"/>
      <c r="CY69" s="382"/>
      <c r="CZ69" s="382"/>
      <c r="DA69" s="382"/>
      <c r="DB69" s="382"/>
      <c r="DC69" s="382"/>
      <c r="DD69" s="403"/>
    </row>
    <row r="70" spans="2:116" s="414" customFormat="1" ht="15">
      <c r="B70" s="404">
        <v>1</v>
      </c>
      <c r="C70" s="405">
        <f xml:space="preserve"> Pile!C23- Pile!D23/20</f>
        <v>5.7</v>
      </c>
      <c r="D70" s="406" t="str">
        <f>B23</f>
        <v>Loose Sand/Gravel</v>
      </c>
      <c r="E70" s="406" t="str">
        <f>F23</f>
        <v>Granular</v>
      </c>
      <c r="F70" s="405">
        <f xml:space="preserve"> Pile!$E$23*( Pile!$C$23- Pile!C70)</f>
        <v>4.9499999999999975</v>
      </c>
      <c r="G70" s="405">
        <f>IF(C70&gt; Pile!$C$28,0,( Pile!$C$28-C70)*9.81)</f>
        <v>0</v>
      </c>
      <c r="H70" s="405">
        <f t="shared" ref="H70:H133" si="0">F70-G70</f>
        <v>4.9499999999999975</v>
      </c>
      <c r="I70" s="405">
        <f t="shared" ref="I70:I89" si="1">+H70/2</f>
        <v>2.4749999999999988</v>
      </c>
      <c r="J70" s="405">
        <f>IF(E70="Cohesive", Pile!$G$23+(( Pile!$H$23- Pile!$G$23)/20),0)</f>
        <v>0</v>
      </c>
      <c r="K70" s="405">
        <f>IF(E70="Cohesive",( Pile!$G$23+ Pile!$J70)/2,0)</f>
        <v>0</v>
      </c>
      <c r="L70" s="405" t="str">
        <f>IF( Pile!I$23="",0, Pile!I$23)</f>
        <v>0</v>
      </c>
      <c r="M70" s="405" t="str">
        <f>IF( Pile!J$23="",0, Pile!J$23)</f>
        <v>0</v>
      </c>
      <c r="N70" s="405">
        <f>IF(E70="Granular", Pile!$K$23,0)</f>
        <v>18.401122218708668</v>
      </c>
      <c r="O70" s="407">
        <f>IF(AND(E70="Granular",D70&lt;&gt;"Made Ground"), Pile!$L$23,0)</f>
        <v>0.404145188432738</v>
      </c>
      <c r="P70" s="405">
        <f>IF(OR(D70="Low Density Chalk",D70="Medium Density Chalk"), Pile!$M$23,0)</f>
        <v>0</v>
      </c>
      <c r="Q70" s="408">
        <f>IF(D70="High Density Chalk", Pile!$N$23,0)</f>
        <v>0</v>
      </c>
      <c r="R70" s="405">
        <f>IF( Pile!O$23="",0, Pile!O$23)</f>
        <v>0</v>
      </c>
      <c r="S70" s="409">
        <f>P70*I70+L70*K70+O70*I70+Q70*I70</f>
        <v>1.0002593413710261</v>
      </c>
      <c r="T70" s="410">
        <f xml:space="preserve"> Pile!$T$23</f>
        <v>1200</v>
      </c>
      <c r="U70" s="410">
        <f>IF(T70&gt;0,MIN(S70:T70),S70)</f>
        <v>1.0002593413710261</v>
      </c>
      <c r="V70" s="410">
        <f t="shared" ref="V70:V133" si="2">R70+M70*J70+N70*H70</f>
        <v>91.08555498260786</v>
      </c>
      <c r="W70" s="410">
        <f xml:space="preserve"> Pile!$V$23</f>
        <v>15000</v>
      </c>
      <c r="X70" s="410">
        <f>IF(W70&gt;0,MIN(V70:W70),V70)</f>
        <v>91.08555498260786</v>
      </c>
      <c r="Y70" s="411">
        <v>450</v>
      </c>
      <c r="Z70" s="410">
        <f>PI()*Y70/1000*( Pile!$C$23- Pile!$C70)</f>
        <v>0.42411500823462184</v>
      </c>
      <c r="AA70" s="410">
        <f t="shared" ref="AA70:AA133" si="3">PI()*(Y70/2000)^2</f>
        <v>0.15904312808798329</v>
      </c>
      <c r="AB70" s="410">
        <f>+$U70*Z70</f>
        <v>0.42422499880233017</v>
      </c>
      <c r="AC70" s="410">
        <f>Z70* Pile!$S$23</f>
        <v>0</v>
      </c>
      <c r="AD70" s="410">
        <f>IF(AC70&gt;0,MIN(AB70:AC70),AB70)</f>
        <v>0.42422499880233017</v>
      </c>
      <c r="AE70" s="410">
        <f>IF(AD70&gt;0,+AD70)/ 'Pile Data and Eurocode Factors'!$B$14/ 'Pile Data and Eurocode Factors'!$B$15</f>
        <v>0.18938616017961168</v>
      </c>
      <c r="AF70" s="410">
        <f>AA70*$X70</f>
        <v>14.486531588063947</v>
      </c>
      <c r="AG70" s="410">
        <f>AA70* Pile!$U$23</f>
        <v>0</v>
      </c>
      <c r="AH70" s="410">
        <f t="shared" ref="AH70:AH133" si="4">IF(AG70&gt;0,MIN(AF70:AG70),AF70)</f>
        <v>14.486531588063947</v>
      </c>
      <c r="AI70" s="410">
        <f>AH70/ 'Pile Data and Eurocode Factors'!$C$14/ 'Pile Data and Eurocode Factors'!$C$15</f>
        <v>5.1737612814514105</v>
      </c>
      <c r="AJ70" s="410">
        <f t="shared" ref="AJ70:AJ133" si="5">AI70+AE70</f>
        <v>5.3631474416310221</v>
      </c>
      <c r="AK70" s="410">
        <f>VLOOKUP(Y70, 'Pile Data and Eurocode Factors'!$A$34:$J$39,3, FALSE)</f>
        <v>2366.1761868507956</v>
      </c>
      <c r="AL70" s="412">
        <f t="shared" ref="AL70:AL133" si="6">MIN(AJ70:AK70)</f>
        <v>5.3631474416310221</v>
      </c>
      <c r="AM70" s="411">
        <v>600</v>
      </c>
      <c r="AN70" s="410">
        <f>PI()*AM70/1000*( Pile!$C$23- Pile!$C70)</f>
        <v>0.56548667764616245</v>
      </c>
      <c r="AO70" s="410">
        <f t="shared" ref="AO70:AO133" si="7">PI()*(AM70/2000)^2</f>
        <v>0.28274333882308139</v>
      </c>
      <c r="AP70" s="410">
        <f>+$U70*AN70</f>
        <v>0.56563333173644026</v>
      </c>
      <c r="AQ70" s="410">
        <f>AN70* Pile!$S$23</f>
        <v>0</v>
      </c>
      <c r="AR70" s="410">
        <f>IF(AQ70&gt;0,MIN(AP70:AQ70),AP70)</f>
        <v>0.56563333173644026</v>
      </c>
      <c r="AS70" s="410">
        <f>IF(AR70&gt;0,+AR70)/ 'Pile Data and Eurocode Factors'!$B$14/ 'Pile Data and Eurocode Factors'!$B$15</f>
        <v>0.25251488023948226</v>
      </c>
      <c r="AT70" s="410">
        <f>AO70*$X70</f>
        <v>25.753833934335905</v>
      </c>
      <c r="AU70" s="410">
        <f>AO70* Pile!$U$23</f>
        <v>0</v>
      </c>
      <c r="AV70" s="410">
        <f t="shared" ref="AV70:AV133" si="8">IF(AU70&gt;0,MIN(AT70:AU70),AT70)</f>
        <v>25.753833934335905</v>
      </c>
      <c r="AW70" s="410">
        <f>AV70/ 'Pile Data and Eurocode Factors'!$C$14/ 'Pile Data and Eurocode Factors'!$C$15</f>
        <v>9.1977978336913946</v>
      </c>
      <c r="AX70" s="410">
        <f t="shared" ref="AX70:AX133" si="9">AW70+AS70</f>
        <v>9.4503127139308774</v>
      </c>
      <c r="AY70" s="410">
        <f>VLOOKUP(AM70, 'Pile Data and Eurocode Factors'!$A$34:$J$39,3, FALSE)</f>
        <v>4206.5354432903041</v>
      </c>
      <c r="AZ70" s="412">
        <f t="shared" ref="AZ70:AZ133" si="10">MIN(AX70:AY70)</f>
        <v>9.4503127139308774</v>
      </c>
      <c r="BA70" s="411">
        <v>750</v>
      </c>
      <c r="BB70" s="410">
        <f>PI()*BA70/1000*( Pile!$C$23- Pile!$C70)</f>
        <v>0.70685834705770301</v>
      </c>
      <c r="BC70" s="410">
        <f t="shared" ref="BC70:BC133" si="11">PI()*(BA70/2000)^2</f>
        <v>0.44178646691106466</v>
      </c>
      <c r="BD70" s="410">
        <f>+$U70*BB70</f>
        <v>0.70704166467055019</v>
      </c>
      <c r="BE70" s="410">
        <f>BB70* Pile!$S$23</f>
        <v>0</v>
      </c>
      <c r="BF70" s="410">
        <f>IF(BE70&gt;0,MIN(BD70:BE70),BD70)</f>
        <v>0.70704166467055019</v>
      </c>
      <c r="BG70" s="410">
        <f>IF(BF70&gt;0,+BF70)/ 'Pile Data and Eurocode Factors'!$B$14/ 'Pile Data and Eurocode Factors'!$B$15</f>
        <v>0.31564360029935273</v>
      </c>
      <c r="BH70" s="410">
        <f>BC70*$X70</f>
        <v>40.240365522399848</v>
      </c>
      <c r="BI70" s="410">
        <f>BC70* Pile!$U$23</f>
        <v>0</v>
      </c>
      <c r="BJ70" s="410">
        <f t="shared" ref="BJ70:BJ133" si="12">IF(BI70&gt;0,MIN(BH70:BI70),BH70)</f>
        <v>40.240365522399848</v>
      </c>
      <c r="BK70" s="410">
        <f>BJ70/ 'Pile Data and Eurocode Factors'!$C$14/ 'Pile Data and Eurocode Factors'!$C$15</f>
        <v>14.371559115142803</v>
      </c>
      <c r="BL70" s="410">
        <f t="shared" ref="BL70:BL133" si="13">BK70+BG70</f>
        <v>14.687202715442156</v>
      </c>
      <c r="BM70" s="410">
        <f>VLOOKUP(BA70, 'Pile Data and Eurocode Factors'!$A$34:$J$39,3, FALSE)</f>
        <v>6572.7116301410997</v>
      </c>
      <c r="BN70" s="412">
        <f t="shared" ref="BN70:BN133" si="14">MIN(BL70:BM70)</f>
        <v>14.687202715442156</v>
      </c>
      <c r="BO70" s="411">
        <v>900</v>
      </c>
      <c r="BP70" s="410">
        <f>PI()*BO70/1000*( Pile!$C$23- Pile!$C70)</f>
        <v>0.84823001646924368</v>
      </c>
      <c r="BQ70" s="410">
        <f t="shared" ref="BQ70:BQ133" si="15">PI()*(BO70/2000)^2</f>
        <v>0.63617251235193317</v>
      </c>
      <c r="BR70" s="410">
        <f>+$U70*BP70</f>
        <v>0.84844999760466033</v>
      </c>
      <c r="BS70" s="410">
        <f>BP70* Pile!$S$23</f>
        <v>0</v>
      </c>
      <c r="BT70" s="410">
        <f>IF(BS70&gt;0,MIN(BR70:BS70),BR70)</f>
        <v>0.84844999760466033</v>
      </c>
      <c r="BU70" s="410">
        <f>IF(BT70&gt;0,+BT70)/ 'Pile Data and Eurocode Factors'!$B$14/ 'Pile Data and Eurocode Factors'!$B$15</f>
        <v>0.37877232035922337</v>
      </c>
      <c r="BV70" s="410">
        <f>BQ70*$X70</f>
        <v>57.946126352255789</v>
      </c>
      <c r="BW70" s="410">
        <f>BQ70* Pile!$U$23</f>
        <v>0</v>
      </c>
      <c r="BX70" s="410">
        <f t="shared" ref="BX70:BX133" si="16">IF(BW70&gt;0,MIN(BV70:BW70),BV70)</f>
        <v>57.946126352255789</v>
      </c>
      <c r="BY70" s="410">
        <f>BX70/ 'Pile Data and Eurocode Factors'!$C$14/ 'Pile Data and Eurocode Factors'!$C$15</f>
        <v>20.695045125805642</v>
      </c>
      <c r="BZ70" s="410">
        <f t="shared" ref="BZ70:BZ133" si="17">BY70+BU70</f>
        <v>21.073817446164867</v>
      </c>
      <c r="CA70" s="410">
        <f>VLOOKUP(BO70, 'Pile Data and Eurocode Factors'!$A$34:$J$39,3, FALSE)</f>
        <v>9464.7047474031824</v>
      </c>
      <c r="CB70" s="412">
        <f t="shared" ref="CB70:CB133" si="18">MIN(BZ70:CA70)</f>
        <v>21.073817446164867</v>
      </c>
      <c r="CC70" s="411">
        <v>1050</v>
      </c>
      <c r="CD70" s="410">
        <f>PI()*CC70/1000*( Pile!$C$23- Pile!$C70)</f>
        <v>0.98960168588078423</v>
      </c>
      <c r="CE70" s="410">
        <f t="shared" ref="CE70:CE133" si="19">PI()*(CC70/2000)^2</f>
        <v>0.86590147514568672</v>
      </c>
      <c r="CF70" s="410">
        <f>+$U70*CD70</f>
        <v>0.98985833053877037</v>
      </c>
      <c r="CG70" s="410">
        <f>CD70* Pile!$S$23</f>
        <v>0</v>
      </c>
      <c r="CH70" s="410">
        <f>IF(CG70&gt;0,MIN(CF70:CG70),CF70)</f>
        <v>0.98985833053877037</v>
      </c>
      <c r="CI70" s="410">
        <f>IF(CH70&gt;0,+CH70)/ 'Pile Data and Eurocode Factors'!$B$14/ 'Pile Data and Eurocode Factors'!$B$15</f>
        <v>0.44190104041909389</v>
      </c>
      <c r="CJ70" s="410">
        <f>CE70*$X70</f>
        <v>78.8711164239037</v>
      </c>
      <c r="CK70" s="410">
        <f>CE70* Pile!$U$23</f>
        <v>0</v>
      </c>
      <c r="CL70" s="410">
        <f t="shared" ref="CL70:CL133" si="20">IF(CK70&gt;0,MIN(CJ70:CK70),CJ70)</f>
        <v>78.8711164239037</v>
      </c>
      <c r="CM70" s="410">
        <f>CL70/ 'Pile Data and Eurocode Factors'!$C$14/ 'Pile Data and Eurocode Factors'!$C$15</f>
        <v>28.168255865679896</v>
      </c>
      <c r="CN70" s="410">
        <f t="shared" ref="CN70:CN133" si="21">CM70+CI70</f>
        <v>28.61015690609899</v>
      </c>
      <c r="CO70" s="410">
        <f>VLOOKUP(CC70, 'Pile Data and Eurocode Factors'!$A$34:$J$39,3, FALSE)</f>
        <v>12882.514795076555</v>
      </c>
      <c r="CP70" s="412">
        <f t="shared" ref="CP70:CP133" si="22">MIN(CN70:CO70)</f>
        <v>28.61015690609899</v>
      </c>
      <c r="CQ70" s="411">
        <v>1200</v>
      </c>
      <c r="CR70" s="410">
        <f>PI()*CQ70/1000*( Pile!$C$23- Pile!$C70)</f>
        <v>1.1309733552923249</v>
      </c>
      <c r="CS70" s="410">
        <f t="shared" ref="CS70:CS133" si="23">PI()*(CQ70/2000)^2</f>
        <v>1.1309733552923256</v>
      </c>
      <c r="CT70" s="410">
        <f>+$U70*CR70</f>
        <v>1.1312666634728805</v>
      </c>
      <c r="CU70" s="410">
        <f>CR70* Pile!$S$23</f>
        <v>0</v>
      </c>
      <c r="CV70" s="410">
        <f>IF(CU70&gt;0,MIN(CT70:CU70),CT70)</f>
        <v>1.1312666634728805</v>
      </c>
      <c r="CW70" s="410">
        <f>IF(CV70&gt;0,+CV70)/ 'Pile Data and Eurocode Factors'!$B$14/ 'Pile Data and Eurocode Factors'!$B$15</f>
        <v>0.50502976047896453</v>
      </c>
      <c r="CX70" s="410">
        <f>CS70*$X70</f>
        <v>103.01533573734362</v>
      </c>
      <c r="CY70" s="410">
        <f>CS70* Pile!$U$23</f>
        <v>0</v>
      </c>
      <c r="CZ70" s="410">
        <f t="shared" ref="CZ70:CZ133" si="24">IF(CY70&gt;0,MIN(CX70:CY70),CX70)</f>
        <v>103.01533573734362</v>
      </c>
      <c r="DA70" s="410">
        <f>CZ70/ 'Pile Data and Eurocode Factors'!$C$14/ 'Pile Data and Eurocode Factors'!$C$15</f>
        <v>36.791191334765578</v>
      </c>
      <c r="DB70" s="410">
        <f t="shared" ref="DB70:DB133" si="25">DA70+CW70</f>
        <v>37.29622109524454</v>
      </c>
      <c r="DC70" s="410">
        <f>VLOOKUP(CQ70, 'Pile Data and Eurocode Factors'!$A$34:$J$39,3, FALSE)</f>
        <v>16826.141773161216</v>
      </c>
      <c r="DD70" s="412">
        <f t="shared" ref="DD70:DD133" si="26">MIN(DB70:DC70)</f>
        <v>37.29622109524454</v>
      </c>
      <c r="DE70" s="413">
        <f xml:space="preserve"> Pile!$C$23- Pile!C70</f>
        <v>0.29999999999999982</v>
      </c>
      <c r="DG70" s="410">
        <f>$AL70</f>
        <v>5.3631474416310221</v>
      </c>
      <c r="DH70" s="410">
        <f t="shared" ref="DH70:DH133" si="27">$AZ70</f>
        <v>9.4503127139308774</v>
      </c>
      <c r="DI70" s="410">
        <f t="shared" ref="DI70:DI133" si="28">$BN70</f>
        <v>14.687202715442156</v>
      </c>
      <c r="DJ70" s="410">
        <f t="shared" ref="DJ70:DJ133" si="29">$CB70</f>
        <v>21.073817446164867</v>
      </c>
      <c r="DK70" s="410">
        <f t="shared" ref="DK70:DK133" si="30">$CP70</f>
        <v>28.61015690609899</v>
      </c>
      <c r="DL70" s="410">
        <f>$DD70</f>
        <v>37.29622109524454</v>
      </c>
    </row>
    <row r="71" spans="2:116" s="308" customFormat="1" ht="15">
      <c r="B71" s="400">
        <v>2</v>
      </c>
      <c r="C71" s="401">
        <f>+C70- Pile!D$23/20</f>
        <v>5.4</v>
      </c>
      <c r="D71" s="415" t="str">
        <f>B23</f>
        <v>Loose Sand/Gravel</v>
      </c>
      <c r="E71" s="415" t="str">
        <f>F23</f>
        <v>Granular</v>
      </c>
      <c r="F71" s="401">
        <f xml:space="preserve"> Pile!$E$23*(+C70-C71)+F70</f>
        <v>9.899999999999995</v>
      </c>
      <c r="G71" s="401">
        <f>IF(C71&gt; Pile!$C$28,0,( Pile!$C$28-C71)*9.81)</f>
        <v>0</v>
      </c>
      <c r="H71" s="401">
        <f t="shared" si="0"/>
        <v>9.899999999999995</v>
      </c>
      <c r="I71" s="401">
        <f t="shared" si="1"/>
        <v>4.9499999999999975</v>
      </c>
      <c r="J71" s="401">
        <f>IF(E71="Cohesive",(( Pile!$H$23- Pile!$G$23)/20)+J70,0)</f>
        <v>0</v>
      </c>
      <c r="K71" s="401">
        <f>IF(E71="Cohesive",( Pile!$G$23+ Pile!$J71)/2,0)</f>
        <v>0</v>
      </c>
      <c r="L71" s="401" t="str">
        <f>IF( Pile!I$23="",0, Pile!I$23)</f>
        <v>0</v>
      </c>
      <c r="M71" s="401" t="str">
        <f>IF( Pile!J$23="",0, Pile!J$23)</f>
        <v>0</v>
      </c>
      <c r="N71" s="401">
        <f>IF(E71="Granular", Pile!$K$23,0)</f>
        <v>18.401122218708668</v>
      </c>
      <c r="O71" s="416">
        <f>IF(AND(E71="Granular",D71&lt;&gt;"Made Ground"), Pile!$L$23,0)</f>
        <v>0.404145188432738</v>
      </c>
      <c r="P71" s="401">
        <f>IF(OR(D71="Low Density Chalk",D71="Medium Density Chalk"), Pile!$M$23,0)</f>
        <v>0</v>
      </c>
      <c r="Q71" s="417">
        <f>IF(D71="High Density Chalk", Pile!$N$23,0)</f>
        <v>0</v>
      </c>
      <c r="R71" s="401">
        <f>IF( Pile!O$23="",0, Pile!O$23)</f>
        <v>0</v>
      </c>
      <c r="S71" s="418">
        <f t="shared" ref="S71:S134" si="31">P71*I71+L71*K71+O71*I71+Q71*I71</f>
        <v>2.0005186827420522</v>
      </c>
      <c r="T71" s="382">
        <f xml:space="preserve"> Pile!$T$23</f>
        <v>1200</v>
      </c>
      <c r="U71" s="382">
        <f t="shared" ref="U71:U134" si="32">IF(T71&gt;0,MIN(S71:T71),S71)</f>
        <v>2.0005186827420522</v>
      </c>
      <c r="V71" s="382">
        <f t="shared" si="2"/>
        <v>182.17110996521572</v>
      </c>
      <c r="W71" s="382">
        <f xml:space="preserve"> Pile!$V$23</f>
        <v>15000</v>
      </c>
      <c r="X71" s="382">
        <f t="shared" ref="X71:X134" si="33">IF(W71&gt;0,MIN(V71:W71),V71)</f>
        <v>182.17110996521572</v>
      </c>
      <c r="Y71" s="419">
        <v>450</v>
      </c>
      <c r="Z71" s="382">
        <f>PI()*Y71/1000*( Pile!$C$23- Pile!$C71)</f>
        <v>0.84823001646924368</v>
      </c>
      <c r="AA71" s="382">
        <f t="shared" si="3"/>
        <v>0.15904312808798329</v>
      </c>
      <c r="AB71" s="382">
        <f t="shared" ref="AB71:AB134" si="34">+$U71*Z71</f>
        <v>1.6968999952093207</v>
      </c>
      <c r="AC71" s="382">
        <f>Z71* Pile!$S$23</f>
        <v>0</v>
      </c>
      <c r="AD71" s="382">
        <f t="shared" ref="AD71:AD134" si="35">IF(AC71&gt;0,MIN(AB71:AC71),AB71)</f>
        <v>1.6968999952093207</v>
      </c>
      <c r="AE71" s="382">
        <f>IF(AD71&gt;0,+AD71)/ 'Pile Data and Eurocode Factors'!$B$14/ 'Pile Data and Eurocode Factors'!$B$15</f>
        <v>0.75754464071844674</v>
      </c>
      <c r="AF71" s="382">
        <f t="shared" ref="AF71:AF134" si="36">AA71*$X71</f>
        <v>28.973063176127894</v>
      </c>
      <c r="AG71" s="382">
        <f>AA71* Pile!$U$23</f>
        <v>0</v>
      </c>
      <c r="AH71" s="382">
        <f t="shared" si="4"/>
        <v>28.973063176127894</v>
      </c>
      <c r="AI71" s="382">
        <f>AH71/ 'Pile Data and Eurocode Factors'!$C$14/ 'Pile Data and Eurocode Factors'!$C$15</f>
        <v>10.347522562902821</v>
      </c>
      <c r="AJ71" s="382">
        <f t="shared" si="5"/>
        <v>11.105067203621267</v>
      </c>
      <c r="AK71" s="382">
        <f>VLOOKUP(Y71, 'Pile Data and Eurocode Factors'!$A$34:$J$39,3, FALSE)</f>
        <v>2366.1761868507956</v>
      </c>
      <c r="AL71" s="403">
        <f t="shared" si="6"/>
        <v>11.105067203621267</v>
      </c>
      <c r="AM71" s="419">
        <v>600</v>
      </c>
      <c r="AN71" s="382">
        <f>PI()*AM71/1000*( Pile!$C$23- Pile!$C71)</f>
        <v>1.1309733552923249</v>
      </c>
      <c r="AO71" s="382">
        <f t="shared" si="7"/>
        <v>0.28274333882308139</v>
      </c>
      <c r="AP71" s="382">
        <f t="shared" ref="AP71:AP74" si="37">+$U71*AN71</f>
        <v>2.262533326945761</v>
      </c>
      <c r="AQ71" s="382">
        <f>AN71* Pile!$S$23</f>
        <v>0</v>
      </c>
      <c r="AR71" s="382">
        <f t="shared" ref="AR71:AR76" si="38">IF(AQ71&gt;0,MIN(AP71:AQ71),AP71)</f>
        <v>2.262533326945761</v>
      </c>
      <c r="AS71" s="382">
        <f>IF(AR71&gt;0,+AR71)/ 'Pile Data and Eurocode Factors'!$B$14/ 'Pile Data and Eurocode Factors'!$B$15</f>
        <v>1.0100595209579291</v>
      </c>
      <c r="AT71" s="382">
        <f t="shared" ref="AT71:AT89" si="39">AO71*$X71</f>
        <v>51.50766786867181</v>
      </c>
      <c r="AU71" s="382">
        <f>AO71* Pile!$U$23</f>
        <v>0</v>
      </c>
      <c r="AV71" s="382">
        <f t="shared" si="8"/>
        <v>51.50766786867181</v>
      </c>
      <c r="AW71" s="382">
        <f>AV71/ 'Pile Data and Eurocode Factors'!$C$14/ 'Pile Data and Eurocode Factors'!$C$15</f>
        <v>18.395595667382789</v>
      </c>
      <c r="AX71" s="382">
        <f t="shared" si="9"/>
        <v>19.405655188340717</v>
      </c>
      <c r="AY71" s="382">
        <f>VLOOKUP(AM71, 'Pile Data and Eurocode Factors'!$A$34:$J$39,3, FALSE)</f>
        <v>4206.5354432903041</v>
      </c>
      <c r="AZ71" s="403">
        <f t="shared" si="10"/>
        <v>19.405655188340717</v>
      </c>
      <c r="BA71" s="419">
        <v>750</v>
      </c>
      <c r="BB71" s="382">
        <f>PI()*BA71/1000*( Pile!$C$23- Pile!$C71)</f>
        <v>1.413716694115406</v>
      </c>
      <c r="BC71" s="382">
        <f t="shared" si="11"/>
        <v>0.44178646691106466</v>
      </c>
      <c r="BD71" s="382">
        <f t="shared" ref="BD71:BD74" si="40">+$U71*BB71</f>
        <v>2.8281666586822007</v>
      </c>
      <c r="BE71" s="382">
        <f>BB71* Pile!$S$23</f>
        <v>0</v>
      </c>
      <c r="BF71" s="382">
        <f t="shared" ref="BF71:BF76" si="41">IF(BE71&gt;0,MIN(BD71:BE71),BD71)</f>
        <v>2.8281666586822007</v>
      </c>
      <c r="BG71" s="382">
        <f>IF(BF71&gt;0,+BF71)/ 'Pile Data and Eurocode Factors'!$B$14/ 'Pile Data and Eurocode Factors'!$B$15</f>
        <v>1.2625744011974109</v>
      </c>
      <c r="BH71" s="382">
        <f t="shared" ref="BH71:BH89" si="42">BC71*$X71</f>
        <v>80.480731044799697</v>
      </c>
      <c r="BI71" s="382">
        <f>BC71* Pile!$U$23</f>
        <v>0</v>
      </c>
      <c r="BJ71" s="382">
        <f t="shared" si="12"/>
        <v>80.480731044799697</v>
      </c>
      <c r="BK71" s="382">
        <f>BJ71/ 'Pile Data and Eurocode Factors'!$C$14/ 'Pile Data and Eurocode Factors'!$C$15</f>
        <v>28.743118230285607</v>
      </c>
      <c r="BL71" s="382">
        <f t="shared" si="13"/>
        <v>30.005692631483019</v>
      </c>
      <c r="BM71" s="382">
        <f>VLOOKUP(BA71, 'Pile Data and Eurocode Factors'!$A$34:$J$39,3, FALSE)</f>
        <v>6572.7116301410997</v>
      </c>
      <c r="BN71" s="403">
        <f t="shared" si="14"/>
        <v>30.005692631483019</v>
      </c>
      <c r="BO71" s="419">
        <v>900</v>
      </c>
      <c r="BP71" s="382">
        <f>PI()*BO71/1000*( Pile!$C$23- Pile!$C71)</f>
        <v>1.6964600329384874</v>
      </c>
      <c r="BQ71" s="382">
        <f t="shared" si="15"/>
        <v>0.63617251235193317</v>
      </c>
      <c r="BR71" s="382">
        <f t="shared" ref="BR71:BR74" si="43">+$U71*BP71</f>
        <v>3.3937999904186413</v>
      </c>
      <c r="BS71" s="382">
        <f>BP71* Pile!$S$23</f>
        <v>0</v>
      </c>
      <c r="BT71" s="382">
        <f t="shared" ref="BT71:BT76" si="44">IF(BS71&gt;0,MIN(BR71:BS71),BR71)</f>
        <v>3.3937999904186413</v>
      </c>
      <c r="BU71" s="382">
        <f>IF(BT71&gt;0,+BT71)/ 'Pile Data and Eurocode Factors'!$B$14/ 'Pile Data and Eurocode Factors'!$B$15</f>
        <v>1.5150892814368935</v>
      </c>
      <c r="BV71" s="382">
        <f t="shared" ref="BV71:BV89" si="45">BQ71*$X71</f>
        <v>115.89225270451158</v>
      </c>
      <c r="BW71" s="382">
        <f>BQ71* Pile!$U$23</f>
        <v>0</v>
      </c>
      <c r="BX71" s="382">
        <f t="shared" si="16"/>
        <v>115.89225270451158</v>
      </c>
      <c r="BY71" s="382">
        <f>BX71/ 'Pile Data and Eurocode Factors'!$C$14/ 'Pile Data and Eurocode Factors'!$C$15</f>
        <v>41.390090251611284</v>
      </c>
      <c r="BZ71" s="382">
        <f t="shared" si="17"/>
        <v>42.905179533048177</v>
      </c>
      <c r="CA71" s="382">
        <f>VLOOKUP(BO71, 'Pile Data and Eurocode Factors'!$A$34:$J$39,3, FALSE)</f>
        <v>9464.7047474031824</v>
      </c>
      <c r="CB71" s="403">
        <f t="shared" si="18"/>
        <v>42.905179533048177</v>
      </c>
      <c r="CC71" s="419">
        <v>1050</v>
      </c>
      <c r="CD71" s="382">
        <f>PI()*CC71/1000*( Pile!$C$23- Pile!$C71)</f>
        <v>1.9792033717615685</v>
      </c>
      <c r="CE71" s="382">
        <f t="shared" si="19"/>
        <v>0.86590147514568672</v>
      </c>
      <c r="CF71" s="382">
        <f t="shared" ref="CF71:CF74" si="46">+$U71*CD71</f>
        <v>3.9594333221550815</v>
      </c>
      <c r="CG71" s="382">
        <f>CD71* Pile!$S$23</f>
        <v>0</v>
      </c>
      <c r="CH71" s="382">
        <f t="shared" ref="CH71:CH76" si="47">IF(CG71&gt;0,MIN(CF71:CG71),CF71)</f>
        <v>3.9594333221550815</v>
      </c>
      <c r="CI71" s="382">
        <f>IF(CH71&gt;0,+CH71)/ 'Pile Data and Eurocode Factors'!$B$14/ 'Pile Data and Eurocode Factors'!$B$15</f>
        <v>1.7676041616763756</v>
      </c>
      <c r="CJ71" s="382">
        <f t="shared" ref="CJ71:CJ89" si="48">CE71*$X71</f>
        <v>157.7422328478074</v>
      </c>
      <c r="CK71" s="382">
        <f>CE71* Pile!$U$23</f>
        <v>0</v>
      </c>
      <c r="CL71" s="382">
        <f t="shared" si="20"/>
        <v>157.7422328478074</v>
      </c>
      <c r="CM71" s="382">
        <f>CL71/ 'Pile Data and Eurocode Factors'!$C$14/ 'Pile Data and Eurocode Factors'!$C$15</f>
        <v>56.336511731359792</v>
      </c>
      <c r="CN71" s="382">
        <f t="shared" si="21"/>
        <v>58.104115893036166</v>
      </c>
      <c r="CO71" s="382">
        <f>VLOOKUP(CC71, 'Pile Data and Eurocode Factors'!$A$34:$J$39,3, FALSE)</f>
        <v>12882.514795076555</v>
      </c>
      <c r="CP71" s="403">
        <f t="shared" si="22"/>
        <v>58.104115893036166</v>
      </c>
      <c r="CQ71" s="419">
        <v>1200</v>
      </c>
      <c r="CR71" s="382">
        <f>PI()*CQ71/1000*( Pile!$C$23- Pile!$C71)</f>
        <v>2.2619467105846498</v>
      </c>
      <c r="CS71" s="382">
        <f t="shared" si="23"/>
        <v>1.1309733552923256</v>
      </c>
      <c r="CT71" s="382">
        <f t="shared" ref="CT71:CT74" si="49">+$U71*CR71</f>
        <v>4.5250666538915221</v>
      </c>
      <c r="CU71" s="382">
        <f>CR71* Pile!$S$23</f>
        <v>0</v>
      </c>
      <c r="CV71" s="382">
        <f t="shared" ref="CV71:CV76" si="50">IF(CU71&gt;0,MIN(CT71:CU71),CT71)</f>
        <v>4.5250666538915221</v>
      </c>
      <c r="CW71" s="382">
        <f>IF(CV71&gt;0,+CV71)/ 'Pile Data and Eurocode Factors'!$B$14/ 'Pile Data and Eurocode Factors'!$B$15</f>
        <v>2.0201190419158581</v>
      </c>
      <c r="CX71" s="382">
        <f t="shared" ref="CX71:CX89" si="51">CS71*$X71</f>
        <v>206.03067147468724</v>
      </c>
      <c r="CY71" s="382">
        <f>CS71* Pile!$U$23</f>
        <v>0</v>
      </c>
      <c r="CZ71" s="382">
        <f t="shared" si="24"/>
        <v>206.03067147468724</v>
      </c>
      <c r="DA71" s="382">
        <f>CZ71/ 'Pile Data and Eurocode Factors'!$C$14/ 'Pile Data and Eurocode Factors'!$C$15</f>
        <v>73.582382669531157</v>
      </c>
      <c r="DB71" s="382">
        <f t="shared" si="25"/>
        <v>75.602501711447019</v>
      </c>
      <c r="DC71" s="382">
        <f>VLOOKUP(CQ71, 'Pile Data and Eurocode Factors'!$A$34:$J$39,3, FALSE)</f>
        <v>16826.141773161216</v>
      </c>
      <c r="DD71" s="403">
        <f t="shared" si="26"/>
        <v>75.602501711447019</v>
      </c>
      <c r="DE71" s="420">
        <f xml:space="preserve"> Pile!$C$23- Pile!C71</f>
        <v>0.59999999999999964</v>
      </c>
      <c r="DG71" s="382">
        <f t="shared" ref="DG71:DG134" si="52">$AL71</f>
        <v>11.105067203621267</v>
      </c>
      <c r="DH71" s="382">
        <f t="shared" si="27"/>
        <v>19.405655188340717</v>
      </c>
      <c r="DI71" s="382">
        <f t="shared" si="28"/>
        <v>30.005692631483019</v>
      </c>
      <c r="DJ71" s="382">
        <f t="shared" si="29"/>
        <v>42.905179533048177</v>
      </c>
      <c r="DK71" s="382">
        <f t="shared" si="30"/>
        <v>58.104115893036166</v>
      </c>
      <c r="DL71" s="382">
        <f t="shared" ref="DL71:DL134" si="53">DD71</f>
        <v>75.602501711447019</v>
      </c>
    </row>
    <row r="72" spans="2:116" s="308" customFormat="1" ht="15">
      <c r="B72" s="400">
        <v>3</v>
      </c>
      <c r="C72" s="401">
        <f>+C71- Pile!D$23/20</f>
        <v>5.1000000000000005</v>
      </c>
      <c r="D72" s="415" t="str">
        <f>B23</f>
        <v>Loose Sand/Gravel</v>
      </c>
      <c r="E72" s="415" t="str">
        <f>F23</f>
        <v>Granular</v>
      </c>
      <c r="F72" s="401">
        <f xml:space="preserve"> Pile!$E$23*(+C71-C72)+F71</f>
        <v>14.849999999999993</v>
      </c>
      <c r="G72" s="401">
        <f>IF(C72&gt; Pile!$C$28,0,( Pile!$C$28-C72)*9.81)</f>
        <v>0</v>
      </c>
      <c r="H72" s="401">
        <f t="shared" si="0"/>
        <v>14.849999999999993</v>
      </c>
      <c r="I72" s="401">
        <f t="shared" si="1"/>
        <v>7.4249999999999963</v>
      </c>
      <c r="J72" s="401">
        <f>IF(E72="Cohesive",(( Pile!$H$23- Pile!$G$23)/20)+J71,0)</f>
        <v>0</v>
      </c>
      <c r="K72" s="401">
        <f>IF(E72="Cohesive",( Pile!$G$23+ Pile!$J72)/2,0)</f>
        <v>0</v>
      </c>
      <c r="L72" s="401" t="str">
        <f>IF( Pile!I$23="",0, Pile!I$23)</f>
        <v>0</v>
      </c>
      <c r="M72" s="401" t="str">
        <f>IF( Pile!J$23="",0, Pile!J$23)</f>
        <v>0</v>
      </c>
      <c r="N72" s="401">
        <f>IF(E72="Granular", Pile!$K$23,0)</f>
        <v>18.401122218708668</v>
      </c>
      <c r="O72" s="416">
        <f>IF(AND(E72="Granular",D72&lt;&gt;"Made Ground"), Pile!$L$23,0)</f>
        <v>0.404145188432738</v>
      </c>
      <c r="P72" s="401">
        <f>IF(OR(D72="Low Density Chalk",D72="Medium Density Chalk"), Pile!$M$23,0)</f>
        <v>0</v>
      </c>
      <c r="Q72" s="417">
        <f>IF(D72="High Density Chalk", Pile!$N$23,0)</f>
        <v>0</v>
      </c>
      <c r="R72" s="401">
        <f>IF( Pile!O$23="",0, Pile!O$23)</f>
        <v>0</v>
      </c>
      <c r="S72" s="418">
        <f t="shared" si="31"/>
        <v>3.0007780241130781</v>
      </c>
      <c r="T72" s="382">
        <f xml:space="preserve"> Pile!$T$23</f>
        <v>1200</v>
      </c>
      <c r="U72" s="382">
        <f t="shared" si="32"/>
        <v>3.0007780241130781</v>
      </c>
      <c r="V72" s="382">
        <f t="shared" si="2"/>
        <v>273.25666494782359</v>
      </c>
      <c r="W72" s="382">
        <f xml:space="preserve"> Pile!$V$23</f>
        <v>15000</v>
      </c>
      <c r="X72" s="382">
        <f t="shared" si="33"/>
        <v>273.25666494782359</v>
      </c>
      <c r="Y72" s="419">
        <v>450</v>
      </c>
      <c r="Z72" s="382">
        <f>PI()*Y72/1000*( Pile!$C$23- Pile!$C72)</f>
        <v>1.2723450247038655</v>
      </c>
      <c r="AA72" s="382">
        <f t="shared" si="3"/>
        <v>0.15904312808798329</v>
      </c>
      <c r="AB72" s="382">
        <f t="shared" si="34"/>
        <v>3.8180249892209708</v>
      </c>
      <c r="AC72" s="382">
        <f>Z72* Pile!$S$23</f>
        <v>0</v>
      </c>
      <c r="AD72" s="382">
        <f t="shared" si="35"/>
        <v>3.8180249892209708</v>
      </c>
      <c r="AE72" s="382">
        <f>IF(AD72&gt;0,+AD72)/ 'Pile Data and Eurocode Factors'!$B$14/ 'Pile Data and Eurocode Factors'!$B$15</f>
        <v>1.7044754416165049</v>
      </c>
      <c r="AF72" s="382">
        <f t="shared" si="36"/>
        <v>43.459594764191841</v>
      </c>
      <c r="AG72" s="382">
        <f>AA72* Pile!$U$23</f>
        <v>0</v>
      </c>
      <c r="AH72" s="382">
        <f t="shared" si="4"/>
        <v>43.459594764191841</v>
      </c>
      <c r="AI72" s="382">
        <f>AH72/ 'Pile Data and Eurocode Factors'!$C$14/ 'Pile Data and Eurocode Factors'!$C$15</f>
        <v>15.52128384435423</v>
      </c>
      <c r="AJ72" s="382">
        <f t="shared" si="5"/>
        <v>17.225759285970735</v>
      </c>
      <c r="AK72" s="382">
        <f>VLOOKUP(Y72, 'Pile Data and Eurocode Factors'!$A$34:$J$39,3, FALSE)</f>
        <v>2366.1761868507956</v>
      </c>
      <c r="AL72" s="403">
        <f t="shared" si="6"/>
        <v>17.225759285970735</v>
      </c>
      <c r="AM72" s="419">
        <v>600</v>
      </c>
      <c r="AN72" s="382">
        <f>PI()*AM72/1000*( Pile!$C$23- Pile!$C72)</f>
        <v>1.6964600329384874</v>
      </c>
      <c r="AO72" s="382">
        <f t="shared" si="7"/>
        <v>0.28274333882308139</v>
      </c>
      <c r="AP72" s="382">
        <f t="shared" si="37"/>
        <v>5.0906999856279613</v>
      </c>
      <c r="AQ72" s="382">
        <f>AN72* Pile!$S$23</f>
        <v>0</v>
      </c>
      <c r="AR72" s="382">
        <f t="shared" si="38"/>
        <v>5.0906999856279613</v>
      </c>
      <c r="AS72" s="382">
        <f>IF(AR72&gt;0,+AR72)/ 'Pile Data and Eurocode Factors'!$B$14/ 'Pile Data and Eurocode Factors'!$B$15</f>
        <v>2.27263392215534</v>
      </c>
      <c r="AT72" s="382">
        <f t="shared" si="39"/>
        <v>77.261501803007718</v>
      </c>
      <c r="AU72" s="382">
        <f>AO72* Pile!$U$23</f>
        <v>0</v>
      </c>
      <c r="AV72" s="382">
        <f t="shared" si="8"/>
        <v>77.261501803007718</v>
      </c>
      <c r="AW72" s="382">
        <f>AV72/ 'Pile Data and Eurocode Factors'!$C$14/ 'Pile Data and Eurocode Factors'!$C$15</f>
        <v>27.593393501074186</v>
      </c>
      <c r="AX72" s="382">
        <f t="shared" si="9"/>
        <v>29.866027423229525</v>
      </c>
      <c r="AY72" s="382">
        <f>VLOOKUP(AM72, 'Pile Data and Eurocode Factors'!$A$34:$J$39,3, FALSE)</f>
        <v>4206.5354432903041</v>
      </c>
      <c r="AZ72" s="403">
        <f t="shared" si="10"/>
        <v>29.866027423229525</v>
      </c>
      <c r="BA72" s="419">
        <v>750</v>
      </c>
      <c r="BB72" s="382">
        <f>PI()*BA72/1000*( Pile!$C$23- Pile!$C72)</f>
        <v>2.120575041173109</v>
      </c>
      <c r="BC72" s="382">
        <f t="shared" si="11"/>
        <v>0.44178646691106466</v>
      </c>
      <c r="BD72" s="382">
        <f t="shared" si="40"/>
        <v>6.3633749820349514</v>
      </c>
      <c r="BE72" s="382">
        <f>BB72* Pile!$S$23</f>
        <v>0</v>
      </c>
      <c r="BF72" s="382">
        <f t="shared" si="41"/>
        <v>6.3633749820349514</v>
      </c>
      <c r="BG72" s="382">
        <f>IF(BF72&gt;0,+BF72)/ 'Pile Data and Eurocode Factors'!$B$14/ 'Pile Data and Eurocode Factors'!$B$15</f>
        <v>2.8407924026941749</v>
      </c>
      <c r="BH72" s="382">
        <f t="shared" si="42"/>
        <v>120.72109656719955</v>
      </c>
      <c r="BI72" s="382">
        <f>BC72* Pile!$U$23</f>
        <v>0</v>
      </c>
      <c r="BJ72" s="382">
        <f t="shared" si="12"/>
        <v>120.72109656719955</v>
      </c>
      <c r="BK72" s="382">
        <f>BJ72/ 'Pile Data and Eurocode Factors'!$C$14/ 'Pile Data and Eurocode Factors'!$C$15</f>
        <v>43.114677345428412</v>
      </c>
      <c r="BL72" s="382">
        <f t="shared" si="13"/>
        <v>45.955469748122589</v>
      </c>
      <c r="BM72" s="382">
        <f>VLOOKUP(BA72, 'Pile Data and Eurocode Factors'!$A$34:$J$39,3, FALSE)</f>
        <v>6572.7116301410997</v>
      </c>
      <c r="BN72" s="403">
        <f t="shared" si="14"/>
        <v>45.955469748122589</v>
      </c>
      <c r="BO72" s="419">
        <v>900</v>
      </c>
      <c r="BP72" s="382">
        <f>PI()*BO72/1000*( Pile!$C$23- Pile!$C72)</f>
        <v>2.5446900494077309</v>
      </c>
      <c r="BQ72" s="382">
        <f t="shared" si="15"/>
        <v>0.63617251235193317</v>
      </c>
      <c r="BR72" s="382">
        <f t="shared" si="43"/>
        <v>7.6360499784419416</v>
      </c>
      <c r="BS72" s="382">
        <f>BP72* Pile!$S$23</f>
        <v>0</v>
      </c>
      <c r="BT72" s="382">
        <f t="shared" si="44"/>
        <v>7.6360499784419416</v>
      </c>
      <c r="BU72" s="382">
        <f>IF(BT72&gt;0,+BT72)/ 'Pile Data and Eurocode Factors'!$B$14/ 'Pile Data and Eurocode Factors'!$B$15</f>
        <v>3.4089508832330098</v>
      </c>
      <c r="BV72" s="382">
        <f t="shared" si="45"/>
        <v>173.83837905676737</v>
      </c>
      <c r="BW72" s="382">
        <f>BQ72* Pile!$U$23</f>
        <v>0</v>
      </c>
      <c r="BX72" s="382">
        <f t="shared" si="16"/>
        <v>173.83837905676737</v>
      </c>
      <c r="BY72" s="382">
        <f>BX72/ 'Pile Data and Eurocode Factors'!$C$14/ 'Pile Data and Eurocode Factors'!$C$15</f>
        <v>62.085135377416918</v>
      </c>
      <c r="BZ72" s="382">
        <f t="shared" si="17"/>
        <v>65.494086260649922</v>
      </c>
      <c r="CA72" s="382">
        <f>VLOOKUP(BO72, 'Pile Data and Eurocode Factors'!$A$34:$J$39,3, FALSE)</f>
        <v>9464.7047474031824</v>
      </c>
      <c r="CB72" s="403">
        <f t="shared" si="18"/>
        <v>65.494086260649922</v>
      </c>
      <c r="CC72" s="419">
        <v>1050</v>
      </c>
      <c r="CD72" s="382">
        <f>PI()*CC72/1000*( Pile!$C$23- Pile!$C72)</f>
        <v>2.9688050576423528</v>
      </c>
      <c r="CE72" s="382">
        <f t="shared" si="19"/>
        <v>0.86590147514568672</v>
      </c>
      <c r="CF72" s="382">
        <f t="shared" si="46"/>
        <v>8.9087249748489317</v>
      </c>
      <c r="CG72" s="382">
        <f>CD72* Pile!$S$23</f>
        <v>0</v>
      </c>
      <c r="CH72" s="382">
        <f t="shared" si="47"/>
        <v>8.9087249748489317</v>
      </c>
      <c r="CI72" s="382">
        <f>IF(CH72&gt;0,+CH72)/ 'Pile Data and Eurocode Factors'!$B$14/ 'Pile Data and Eurocode Factors'!$B$15</f>
        <v>3.9771093637718447</v>
      </c>
      <c r="CJ72" s="382">
        <f t="shared" si="48"/>
        <v>236.61334927171112</v>
      </c>
      <c r="CK72" s="382">
        <f>CE72* Pile!$U$23</f>
        <v>0</v>
      </c>
      <c r="CL72" s="382">
        <f t="shared" si="20"/>
        <v>236.61334927171112</v>
      </c>
      <c r="CM72" s="382">
        <f>CL72/ 'Pile Data and Eurocode Factors'!$C$14/ 'Pile Data and Eurocode Factors'!$C$15</f>
        <v>84.504767597039688</v>
      </c>
      <c r="CN72" s="382">
        <f t="shared" si="21"/>
        <v>88.481876960811533</v>
      </c>
      <c r="CO72" s="382">
        <f>VLOOKUP(CC72, 'Pile Data and Eurocode Factors'!$A$34:$J$39,3, FALSE)</f>
        <v>12882.514795076555</v>
      </c>
      <c r="CP72" s="403">
        <f t="shared" si="22"/>
        <v>88.481876960811533</v>
      </c>
      <c r="CQ72" s="419">
        <v>1200</v>
      </c>
      <c r="CR72" s="382">
        <f>PI()*CQ72/1000*( Pile!$C$23- Pile!$C72)</f>
        <v>3.3929200658769747</v>
      </c>
      <c r="CS72" s="382">
        <f t="shared" si="23"/>
        <v>1.1309733552923256</v>
      </c>
      <c r="CT72" s="382">
        <f t="shared" si="49"/>
        <v>10.181399971255923</v>
      </c>
      <c r="CU72" s="382">
        <f>CR72* Pile!$S$23</f>
        <v>0</v>
      </c>
      <c r="CV72" s="382">
        <f t="shared" si="50"/>
        <v>10.181399971255923</v>
      </c>
      <c r="CW72" s="382">
        <f>IF(CV72&gt;0,+CV72)/ 'Pile Data and Eurocode Factors'!$B$14/ 'Pile Data and Eurocode Factors'!$B$15</f>
        <v>4.54526784431068</v>
      </c>
      <c r="CX72" s="382">
        <f t="shared" si="51"/>
        <v>309.04600721203087</v>
      </c>
      <c r="CY72" s="382">
        <f>CS72* Pile!$U$23</f>
        <v>0</v>
      </c>
      <c r="CZ72" s="382">
        <f t="shared" si="24"/>
        <v>309.04600721203087</v>
      </c>
      <c r="DA72" s="382">
        <f>CZ72/ 'Pile Data and Eurocode Factors'!$C$14/ 'Pile Data and Eurocode Factors'!$C$15</f>
        <v>110.37357400429674</v>
      </c>
      <c r="DB72" s="382">
        <f t="shared" si="25"/>
        <v>114.91884184860743</v>
      </c>
      <c r="DC72" s="382">
        <f>VLOOKUP(CQ72, 'Pile Data and Eurocode Factors'!$A$34:$J$39,3, FALSE)</f>
        <v>16826.141773161216</v>
      </c>
      <c r="DD72" s="403">
        <f t="shared" si="26"/>
        <v>114.91884184860743</v>
      </c>
      <c r="DE72" s="420">
        <f xml:space="preserve"> Pile!$C$23- Pile!C72</f>
        <v>0.89999999999999947</v>
      </c>
      <c r="DG72" s="382">
        <f t="shared" si="52"/>
        <v>17.225759285970735</v>
      </c>
      <c r="DH72" s="382">
        <f t="shared" si="27"/>
        <v>29.866027423229525</v>
      </c>
      <c r="DI72" s="382">
        <f t="shared" si="28"/>
        <v>45.955469748122589</v>
      </c>
      <c r="DJ72" s="382">
        <f t="shared" si="29"/>
        <v>65.494086260649922</v>
      </c>
      <c r="DK72" s="382">
        <f t="shared" si="30"/>
        <v>88.481876960811533</v>
      </c>
      <c r="DL72" s="382">
        <f t="shared" si="53"/>
        <v>114.91884184860743</v>
      </c>
    </row>
    <row r="73" spans="2:116" s="308" customFormat="1" ht="15">
      <c r="B73" s="400">
        <v>4</v>
      </c>
      <c r="C73" s="401">
        <f>+C72- Pile!D$23/20</f>
        <v>4.8000000000000007</v>
      </c>
      <c r="D73" s="415" t="str">
        <f>B23</f>
        <v>Loose Sand/Gravel</v>
      </c>
      <c r="E73" s="415" t="str">
        <f>F23</f>
        <v>Granular</v>
      </c>
      <c r="F73" s="401">
        <f xml:space="preserve"> Pile!$E$23*(+C72-C73)+F72</f>
        <v>19.79999999999999</v>
      </c>
      <c r="G73" s="401">
        <f>IF(C73&gt; Pile!$C$28,0,( Pile!$C$28-C73)*9.81)</f>
        <v>0</v>
      </c>
      <c r="H73" s="401">
        <f t="shared" si="0"/>
        <v>19.79999999999999</v>
      </c>
      <c r="I73" s="401">
        <f t="shared" si="1"/>
        <v>9.899999999999995</v>
      </c>
      <c r="J73" s="401">
        <f>IF(E73="Cohesive",(( Pile!$H$23- Pile!$G$23)/20)+J72,0)</f>
        <v>0</v>
      </c>
      <c r="K73" s="401">
        <f>IF(E73="Cohesive",( Pile!$G$23+ Pile!$J73)/2,0)</f>
        <v>0</v>
      </c>
      <c r="L73" s="401" t="str">
        <f>IF( Pile!I$23="",0, Pile!I$23)</f>
        <v>0</v>
      </c>
      <c r="M73" s="401" t="str">
        <f>IF( Pile!J$23="",0, Pile!J$23)</f>
        <v>0</v>
      </c>
      <c r="N73" s="401">
        <f>IF(E73="Granular", Pile!$K$23,0)</f>
        <v>18.401122218708668</v>
      </c>
      <c r="O73" s="416">
        <f>IF(AND(E73="Granular",D73&lt;&gt;"Made Ground"), Pile!$L$23,0)</f>
        <v>0.404145188432738</v>
      </c>
      <c r="P73" s="401">
        <f>IF(OR(D73="Low Density Chalk",D73="Medium Density Chalk"), Pile!$M$23,0)</f>
        <v>0</v>
      </c>
      <c r="Q73" s="417">
        <f>IF(D73="High Density Chalk", Pile!$N$23,0)</f>
        <v>0</v>
      </c>
      <c r="R73" s="401">
        <f>IF( Pile!O$23="",0, Pile!O$23)</f>
        <v>0</v>
      </c>
      <c r="S73" s="418">
        <f t="shared" si="31"/>
        <v>4.0010373654841045</v>
      </c>
      <c r="T73" s="382">
        <f xml:space="preserve"> Pile!$T$23</f>
        <v>1200</v>
      </c>
      <c r="U73" s="382">
        <f t="shared" si="32"/>
        <v>4.0010373654841045</v>
      </c>
      <c r="V73" s="382">
        <f t="shared" si="2"/>
        <v>364.34221993043144</v>
      </c>
      <c r="W73" s="382">
        <f xml:space="preserve"> Pile!$V$23</f>
        <v>15000</v>
      </c>
      <c r="X73" s="382">
        <f t="shared" si="33"/>
        <v>364.34221993043144</v>
      </c>
      <c r="Y73" s="419">
        <v>450</v>
      </c>
      <c r="Z73" s="382">
        <f>PI()*Y73/1000*( Pile!$C$23- Pile!$C73)</f>
        <v>1.6964600329384874</v>
      </c>
      <c r="AA73" s="382">
        <f t="shared" si="3"/>
        <v>0.15904312808798329</v>
      </c>
      <c r="AB73" s="382">
        <f t="shared" si="34"/>
        <v>6.7875999808372827</v>
      </c>
      <c r="AC73" s="382">
        <f>Z73* Pile!$S$23</f>
        <v>0</v>
      </c>
      <c r="AD73" s="382">
        <f t="shared" si="35"/>
        <v>6.7875999808372827</v>
      </c>
      <c r="AE73" s="382">
        <f>IF(AD73&gt;0,+AD73)/ 'Pile Data and Eurocode Factors'!$B$14/ 'Pile Data and Eurocode Factors'!$B$15</f>
        <v>3.030178562873787</v>
      </c>
      <c r="AF73" s="382">
        <f t="shared" si="36"/>
        <v>57.946126352255789</v>
      </c>
      <c r="AG73" s="382">
        <f>AA73* Pile!$U$23</f>
        <v>0</v>
      </c>
      <c r="AH73" s="382">
        <f t="shared" si="4"/>
        <v>57.946126352255789</v>
      </c>
      <c r="AI73" s="382">
        <f>AH73/ 'Pile Data and Eurocode Factors'!$C$14/ 'Pile Data and Eurocode Factors'!$C$15</f>
        <v>20.695045125805642</v>
      </c>
      <c r="AJ73" s="382">
        <f t="shared" si="5"/>
        <v>23.725223688679428</v>
      </c>
      <c r="AK73" s="382">
        <f>VLOOKUP(Y73, 'Pile Data and Eurocode Factors'!$A$34:$J$39,3, FALSE)</f>
        <v>2366.1761868507956</v>
      </c>
      <c r="AL73" s="403">
        <f t="shared" si="6"/>
        <v>23.725223688679428</v>
      </c>
      <c r="AM73" s="419">
        <v>600</v>
      </c>
      <c r="AN73" s="382">
        <f>PI()*AM73/1000*( Pile!$C$23- Pile!$C73)</f>
        <v>2.2619467105846498</v>
      </c>
      <c r="AO73" s="382">
        <f t="shared" si="7"/>
        <v>0.28274333882308139</v>
      </c>
      <c r="AP73" s="382">
        <f t="shared" si="37"/>
        <v>9.0501333077830441</v>
      </c>
      <c r="AQ73" s="382">
        <f>AN73* Pile!$S$23</f>
        <v>0</v>
      </c>
      <c r="AR73" s="382">
        <f t="shared" si="38"/>
        <v>9.0501333077830441</v>
      </c>
      <c r="AS73" s="382">
        <f>IF(AR73&gt;0,+AR73)/ 'Pile Data and Eurocode Factors'!$B$14/ 'Pile Data and Eurocode Factors'!$B$15</f>
        <v>4.0402380838317162</v>
      </c>
      <c r="AT73" s="382">
        <f t="shared" si="39"/>
        <v>103.01533573734362</v>
      </c>
      <c r="AU73" s="382">
        <f>AO73* Pile!$U$23</f>
        <v>0</v>
      </c>
      <c r="AV73" s="382">
        <f t="shared" si="8"/>
        <v>103.01533573734362</v>
      </c>
      <c r="AW73" s="382">
        <f>AV73/ 'Pile Data and Eurocode Factors'!$C$14/ 'Pile Data and Eurocode Factors'!$C$15</f>
        <v>36.791191334765578</v>
      </c>
      <c r="AX73" s="382">
        <f t="shared" si="9"/>
        <v>40.831429418597295</v>
      </c>
      <c r="AY73" s="382">
        <f>VLOOKUP(AM73, 'Pile Data and Eurocode Factors'!$A$34:$J$39,3, FALSE)</f>
        <v>4206.5354432903041</v>
      </c>
      <c r="AZ73" s="403">
        <f t="shared" si="10"/>
        <v>40.831429418597295</v>
      </c>
      <c r="BA73" s="419">
        <v>750</v>
      </c>
      <c r="BB73" s="382">
        <f>PI()*BA73/1000*( Pile!$C$23- Pile!$C73)</f>
        <v>2.827433388230812</v>
      </c>
      <c r="BC73" s="382">
        <f t="shared" si="11"/>
        <v>0.44178646691106466</v>
      </c>
      <c r="BD73" s="382">
        <f t="shared" si="40"/>
        <v>11.312666634728803</v>
      </c>
      <c r="BE73" s="382">
        <f>BB73* Pile!$S$23</f>
        <v>0</v>
      </c>
      <c r="BF73" s="382">
        <f t="shared" si="41"/>
        <v>11.312666634728803</v>
      </c>
      <c r="BG73" s="382">
        <f>IF(BF73&gt;0,+BF73)/ 'Pile Data and Eurocode Factors'!$B$14/ 'Pile Data and Eurocode Factors'!$B$15</f>
        <v>5.0502976047896437</v>
      </c>
      <c r="BH73" s="382">
        <f t="shared" si="42"/>
        <v>160.96146208959939</v>
      </c>
      <c r="BI73" s="382">
        <f>BC73* Pile!$U$23</f>
        <v>0</v>
      </c>
      <c r="BJ73" s="382">
        <f t="shared" si="12"/>
        <v>160.96146208959939</v>
      </c>
      <c r="BK73" s="382">
        <f>BJ73/ 'Pile Data and Eurocode Factors'!$C$14/ 'Pile Data and Eurocode Factors'!$C$15</f>
        <v>57.486236460571213</v>
      </c>
      <c r="BL73" s="382">
        <f t="shared" si="13"/>
        <v>62.536534065360854</v>
      </c>
      <c r="BM73" s="382">
        <f>VLOOKUP(BA73, 'Pile Data and Eurocode Factors'!$A$34:$J$39,3, FALSE)</f>
        <v>6572.7116301410997</v>
      </c>
      <c r="BN73" s="403">
        <f t="shared" si="14"/>
        <v>62.536534065360854</v>
      </c>
      <c r="BO73" s="419">
        <v>900</v>
      </c>
      <c r="BP73" s="382">
        <f>PI()*BO73/1000*( Pile!$C$23- Pile!$C73)</f>
        <v>3.3929200658769747</v>
      </c>
      <c r="BQ73" s="382">
        <f t="shared" si="15"/>
        <v>0.63617251235193317</v>
      </c>
      <c r="BR73" s="382">
        <f t="shared" si="43"/>
        <v>13.575199961674565</v>
      </c>
      <c r="BS73" s="382">
        <f>BP73* Pile!$S$23</f>
        <v>0</v>
      </c>
      <c r="BT73" s="382">
        <f t="shared" si="44"/>
        <v>13.575199961674565</v>
      </c>
      <c r="BU73" s="382">
        <f>IF(BT73&gt;0,+BT73)/ 'Pile Data and Eurocode Factors'!$B$14/ 'Pile Data and Eurocode Factors'!$B$15</f>
        <v>6.0603571257475739</v>
      </c>
      <c r="BV73" s="382">
        <f t="shared" si="45"/>
        <v>231.78450540902315</v>
      </c>
      <c r="BW73" s="382">
        <f>BQ73* Pile!$U$23</f>
        <v>0</v>
      </c>
      <c r="BX73" s="382">
        <f t="shared" si="16"/>
        <v>231.78450540902315</v>
      </c>
      <c r="BY73" s="382">
        <f>BX73/ 'Pile Data and Eurocode Factors'!$C$14/ 'Pile Data and Eurocode Factors'!$C$15</f>
        <v>82.780180503222567</v>
      </c>
      <c r="BZ73" s="382">
        <f t="shared" si="17"/>
        <v>88.840537628970139</v>
      </c>
      <c r="CA73" s="382">
        <f>VLOOKUP(BO73, 'Pile Data and Eurocode Factors'!$A$34:$J$39,3, FALSE)</f>
        <v>9464.7047474031824</v>
      </c>
      <c r="CB73" s="403">
        <f t="shared" si="18"/>
        <v>88.840537628970139</v>
      </c>
      <c r="CC73" s="419">
        <v>1050</v>
      </c>
      <c r="CD73" s="382">
        <f>PI()*CC73/1000*( Pile!$C$23- Pile!$C73)</f>
        <v>3.9584067435231369</v>
      </c>
      <c r="CE73" s="382">
        <f t="shared" si="19"/>
        <v>0.86590147514568672</v>
      </c>
      <c r="CF73" s="382">
        <f t="shared" si="46"/>
        <v>15.837733288620326</v>
      </c>
      <c r="CG73" s="382">
        <f>CD73* Pile!$S$23</f>
        <v>0</v>
      </c>
      <c r="CH73" s="382">
        <f t="shared" si="47"/>
        <v>15.837733288620326</v>
      </c>
      <c r="CI73" s="382">
        <f>IF(CH73&gt;0,+CH73)/ 'Pile Data and Eurocode Factors'!$B$14/ 'Pile Data and Eurocode Factors'!$B$15</f>
        <v>7.0704166467055023</v>
      </c>
      <c r="CJ73" s="382">
        <f t="shared" si="48"/>
        <v>315.4844656956148</v>
      </c>
      <c r="CK73" s="382">
        <f>CE73* Pile!$U$23</f>
        <v>0</v>
      </c>
      <c r="CL73" s="382">
        <f t="shared" si="20"/>
        <v>315.4844656956148</v>
      </c>
      <c r="CM73" s="382">
        <f>CL73/ 'Pile Data and Eurocode Factors'!$C$14/ 'Pile Data and Eurocode Factors'!$C$15</f>
        <v>112.67302346271958</v>
      </c>
      <c r="CN73" s="382">
        <f t="shared" si="21"/>
        <v>119.74344010942508</v>
      </c>
      <c r="CO73" s="382">
        <f>VLOOKUP(CC73, 'Pile Data and Eurocode Factors'!$A$34:$J$39,3, FALSE)</f>
        <v>12882.514795076555</v>
      </c>
      <c r="CP73" s="403">
        <f t="shared" si="22"/>
        <v>119.74344010942508</v>
      </c>
      <c r="CQ73" s="419">
        <v>1200</v>
      </c>
      <c r="CR73" s="382">
        <f>PI()*CQ73/1000*( Pile!$C$23- Pile!$C73)</f>
        <v>4.5238934211692996</v>
      </c>
      <c r="CS73" s="382">
        <f t="shared" si="23"/>
        <v>1.1309733552923256</v>
      </c>
      <c r="CT73" s="382">
        <f t="shared" si="49"/>
        <v>18.100266615566088</v>
      </c>
      <c r="CU73" s="382">
        <f>CR73* Pile!$S$23</f>
        <v>0</v>
      </c>
      <c r="CV73" s="382">
        <f t="shared" si="50"/>
        <v>18.100266615566088</v>
      </c>
      <c r="CW73" s="382">
        <f>IF(CV73&gt;0,+CV73)/ 'Pile Data and Eurocode Factors'!$B$14/ 'Pile Data and Eurocode Factors'!$B$15</f>
        <v>8.0804761676634325</v>
      </c>
      <c r="CX73" s="382">
        <f t="shared" si="51"/>
        <v>412.06134294937448</v>
      </c>
      <c r="CY73" s="382">
        <f>CS73* Pile!$U$23</f>
        <v>0</v>
      </c>
      <c r="CZ73" s="382">
        <f t="shared" si="24"/>
        <v>412.06134294937448</v>
      </c>
      <c r="DA73" s="382">
        <f>CZ73/ 'Pile Data and Eurocode Factors'!$C$14/ 'Pile Data and Eurocode Factors'!$C$15</f>
        <v>147.16476533906231</v>
      </c>
      <c r="DB73" s="382">
        <f t="shared" si="25"/>
        <v>155.24524150672573</v>
      </c>
      <c r="DC73" s="382">
        <f>VLOOKUP(CQ73, 'Pile Data and Eurocode Factors'!$A$34:$J$39,3, FALSE)</f>
        <v>16826.141773161216</v>
      </c>
      <c r="DD73" s="403">
        <f t="shared" si="26"/>
        <v>155.24524150672573</v>
      </c>
      <c r="DE73" s="420">
        <f xml:space="preserve"> Pile!$C$23- Pile!C73</f>
        <v>1.1999999999999993</v>
      </c>
      <c r="DG73" s="382">
        <f t="shared" si="52"/>
        <v>23.725223688679428</v>
      </c>
      <c r="DH73" s="382">
        <f t="shared" si="27"/>
        <v>40.831429418597295</v>
      </c>
      <c r="DI73" s="382">
        <f t="shared" si="28"/>
        <v>62.536534065360854</v>
      </c>
      <c r="DJ73" s="382">
        <f t="shared" si="29"/>
        <v>88.840537628970139</v>
      </c>
      <c r="DK73" s="382">
        <f t="shared" si="30"/>
        <v>119.74344010942508</v>
      </c>
      <c r="DL73" s="382">
        <f t="shared" si="53"/>
        <v>155.24524150672573</v>
      </c>
    </row>
    <row r="74" spans="2:116" s="308" customFormat="1" ht="15">
      <c r="B74" s="400">
        <v>5</v>
      </c>
      <c r="C74" s="401">
        <f>+C73- Pile!D$23/20</f>
        <v>4.5000000000000009</v>
      </c>
      <c r="D74" s="415" t="str">
        <f>B23</f>
        <v>Loose Sand/Gravel</v>
      </c>
      <c r="E74" s="415" t="str">
        <f>F23</f>
        <v>Granular</v>
      </c>
      <c r="F74" s="401">
        <f xml:space="preserve"> Pile!$E$23*(+C73-C74)+F73</f>
        <v>24.749999999999986</v>
      </c>
      <c r="G74" s="401">
        <f>IF(C74&gt; Pile!$C$28,0,( Pile!$C$28-C74)*9.81)</f>
        <v>0</v>
      </c>
      <c r="H74" s="401">
        <f t="shared" si="0"/>
        <v>24.749999999999986</v>
      </c>
      <c r="I74" s="401">
        <f t="shared" si="1"/>
        <v>12.374999999999993</v>
      </c>
      <c r="J74" s="401">
        <f>IF(E74="Cohesive",(( Pile!$H$23- Pile!$G$23)/20)+J73,0)</f>
        <v>0</v>
      </c>
      <c r="K74" s="401">
        <f>IF(E74="Cohesive",( Pile!$G$23+ Pile!$J74)/2,0)</f>
        <v>0</v>
      </c>
      <c r="L74" s="401" t="str">
        <f>IF( Pile!I$23="",0, Pile!I$23)</f>
        <v>0</v>
      </c>
      <c r="M74" s="401" t="str">
        <f>IF( Pile!J$23="",0, Pile!J$23)</f>
        <v>0</v>
      </c>
      <c r="N74" s="401">
        <f>IF(E74="Granular", Pile!$K$23,0)</f>
        <v>18.401122218708668</v>
      </c>
      <c r="O74" s="416">
        <f>IF(AND(E74="Granular",D74&lt;&gt;"Made Ground"), Pile!$L$23,0)</f>
        <v>0.404145188432738</v>
      </c>
      <c r="P74" s="401">
        <f>IF(OR(D74="Low Density Chalk",D74="Medium Density Chalk"), Pile!$M$23,0)</f>
        <v>0</v>
      </c>
      <c r="Q74" s="417">
        <f>IF(D74="High Density Chalk", Pile!$N$23,0)</f>
        <v>0</v>
      </c>
      <c r="R74" s="401">
        <f>IF( Pile!O$23="",0, Pile!O$23)</f>
        <v>0</v>
      </c>
      <c r="S74" s="418">
        <f t="shared" si="31"/>
        <v>5.0012967068551299</v>
      </c>
      <c r="T74" s="382">
        <f xml:space="preserve"> Pile!$T$23</f>
        <v>1200</v>
      </c>
      <c r="U74" s="382">
        <f t="shared" si="32"/>
        <v>5.0012967068551299</v>
      </c>
      <c r="V74" s="382">
        <f t="shared" si="2"/>
        <v>455.42777491303929</v>
      </c>
      <c r="W74" s="382">
        <f xml:space="preserve"> Pile!$V$23</f>
        <v>15000</v>
      </c>
      <c r="X74" s="382">
        <f t="shared" si="33"/>
        <v>455.42777491303929</v>
      </c>
      <c r="Y74" s="419">
        <v>450</v>
      </c>
      <c r="Z74" s="382">
        <f>PI()*Y74/1000*( Pile!$C$23- Pile!$C74)</f>
        <v>2.120575041173109</v>
      </c>
      <c r="AA74" s="382">
        <f t="shared" si="3"/>
        <v>0.15904312808798329</v>
      </c>
      <c r="AB74" s="382">
        <f t="shared" si="34"/>
        <v>10.605624970058251</v>
      </c>
      <c r="AC74" s="382">
        <f>Z74* Pile!$S$23</f>
        <v>0</v>
      </c>
      <c r="AD74" s="382">
        <f t="shared" si="35"/>
        <v>10.605624970058251</v>
      </c>
      <c r="AE74" s="382">
        <f>IF(AD74&gt;0,+AD74)/ 'Pile Data and Eurocode Factors'!$B$14/ 'Pile Data and Eurocode Factors'!$B$15</f>
        <v>4.7346540044902907</v>
      </c>
      <c r="AF74" s="382">
        <f t="shared" si="36"/>
        <v>72.432657940319729</v>
      </c>
      <c r="AG74" s="382">
        <f>AA74* Pile!$U$23</f>
        <v>0</v>
      </c>
      <c r="AH74" s="382">
        <f t="shared" si="4"/>
        <v>72.432657940319729</v>
      </c>
      <c r="AI74" s="382">
        <f>AH74/ 'Pile Data and Eurocode Factors'!$C$14/ 'Pile Data and Eurocode Factors'!$C$15</f>
        <v>25.868806407257047</v>
      </c>
      <c r="AJ74" s="382">
        <f t="shared" si="5"/>
        <v>30.603460411747339</v>
      </c>
      <c r="AK74" s="382">
        <f>VLOOKUP(Y74, 'Pile Data and Eurocode Factors'!$A$34:$J$39,3, FALSE)</f>
        <v>2366.1761868507956</v>
      </c>
      <c r="AL74" s="403">
        <f t="shared" si="6"/>
        <v>30.603460411747339</v>
      </c>
      <c r="AM74" s="419">
        <v>600</v>
      </c>
      <c r="AN74" s="382">
        <f>PI()*AM74/1000*( Pile!$C$23- Pile!$C74)</f>
        <v>2.827433388230812</v>
      </c>
      <c r="AO74" s="382">
        <f t="shared" si="7"/>
        <v>0.28274333882308139</v>
      </c>
      <c r="AP74" s="382">
        <f t="shared" si="37"/>
        <v>14.140833293411003</v>
      </c>
      <c r="AQ74" s="382">
        <f>AN74* Pile!$S$23</f>
        <v>0</v>
      </c>
      <c r="AR74" s="382">
        <f t="shared" si="38"/>
        <v>14.140833293411003</v>
      </c>
      <c r="AS74" s="382">
        <f>IF(AR74&gt;0,+AR74)/ 'Pile Data and Eurocode Factors'!$B$14/ 'Pile Data and Eurocode Factors'!$B$15</f>
        <v>6.3128720059870558</v>
      </c>
      <c r="AT74" s="382">
        <f t="shared" si="39"/>
        <v>128.76916967167952</v>
      </c>
      <c r="AU74" s="382">
        <f>AO74* Pile!$U$23</f>
        <v>0</v>
      </c>
      <c r="AV74" s="382">
        <f t="shared" si="8"/>
        <v>128.76916967167952</v>
      </c>
      <c r="AW74" s="382">
        <f>AV74/ 'Pile Data and Eurocode Factors'!$C$14/ 'Pile Data and Eurocode Factors'!$C$15</f>
        <v>45.988989168456975</v>
      </c>
      <c r="AX74" s="382">
        <f t="shared" si="9"/>
        <v>52.301861174444028</v>
      </c>
      <c r="AY74" s="382">
        <f>VLOOKUP(AM74, 'Pile Data and Eurocode Factors'!$A$34:$J$39,3, FALSE)</f>
        <v>4206.5354432903041</v>
      </c>
      <c r="AZ74" s="403">
        <f t="shared" si="10"/>
        <v>52.301861174444028</v>
      </c>
      <c r="BA74" s="419">
        <v>750</v>
      </c>
      <c r="BB74" s="382">
        <f>PI()*BA74/1000*( Pile!$C$23- Pile!$C74)</f>
        <v>3.534291735288515</v>
      </c>
      <c r="BC74" s="382">
        <f t="shared" si="11"/>
        <v>0.44178646691106466</v>
      </c>
      <c r="BD74" s="382">
        <f t="shared" si="40"/>
        <v>17.676041616763754</v>
      </c>
      <c r="BE74" s="382">
        <f>BB74* Pile!$S$23</f>
        <v>0</v>
      </c>
      <c r="BF74" s="382">
        <f t="shared" si="41"/>
        <v>17.676041616763754</v>
      </c>
      <c r="BG74" s="382">
        <f>IF(BF74&gt;0,+BF74)/ 'Pile Data and Eurocode Factors'!$B$14/ 'Pile Data and Eurocode Factors'!$B$15</f>
        <v>7.8910900074838191</v>
      </c>
      <c r="BH74" s="382">
        <f t="shared" si="42"/>
        <v>201.20182761199922</v>
      </c>
      <c r="BI74" s="382">
        <f>BC74* Pile!$U$23</f>
        <v>0</v>
      </c>
      <c r="BJ74" s="382">
        <f t="shared" si="12"/>
        <v>201.20182761199922</v>
      </c>
      <c r="BK74" s="382">
        <f>BJ74/ 'Pile Data and Eurocode Factors'!$C$14/ 'Pile Data and Eurocode Factors'!$C$15</f>
        <v>71.857795575714007</v>
      </c>
      <c r="BL74" s="382">
        <f t="shared" si="13"/>
        <v>79.748885583197833</v>
      </c>
      <c r="BM74" s="382">
        <f>VLOOKUP(BA74, 'Pile Data and Eurocode Factors'!$A$34:$J$39,3, FALSE)</f>
        <v>6572.7116301410997</v>
      </c>
      <c r="BN74" s="403">
        <f t="shared" si="14"/>
        <v>79.748885583197833</v>
      </c>
      <c r="BO74" s="419">
        <v>900</v>
      </c>
      <c r="BP74" s="382">
        <f>PI()*BO74/1000*( Pile!$C$23- Pile!$C74)</f>
        <v>4.241150082346218</v>
      </c>
      <c r="BQ74" s="382">
        <f t="shared" si="15"/>
        <v>0.63617251235193317</v>
      </c>
      <c r="BR74" s="382">
        <f t="shared" si="43"/>
        <v>21.211249940116502</v>
      </c>
      <c r="BS74" s="382">
        <f>BP74* Pile!$S$23</f>
        <v>0</v>
      </c>
      <c r="BT74" s="382">
        <f t="shared" si="44"/>
        <v>21.211249940116502</v>
      </c>
      <c r="BU74" s="382">
        <f>IF(BT74&gt;0,+BT74)/ 'Pile Data and Eurocode Factors'!$B$14/ 'Pile Data and Eurocode Factors'!$B$15</f>
        <v>9.4693080089805814</v>
      </c>
      <c r="BV74" s="382">
        <f t="shared" si="45"/>
        <v>289.73063176127891</v>
      </c>
      <c r="BW74" s="382">
        <f>BQ74* Pile!$U$23</f>
        <v>0</v>
      </c>
      <c r="BX74" s="382">
        <f t="shared" si="16"/>
        <v>289.73063176127891</v>
      </c>
      <c r="BY74" s="382">
        <f>BX74/ 'Pile Data and Eurocode Factors'!$C$14/ 'Pile Data and Eurocode Factors'!$C$15</f>
        <v>103.47522562902819</v>
      </c>
      <c r="BZ74" s="382">
        <f t="shared" si="17"/>
        <v>112.94453363800876</v>
      </c>
      <c r="CA74" s="382">
        <f>VLOOKUP(BO74, 'Pile Data and Eurocode Factors'!$A$34:$J$39,3, FALSE)</f>
        <v>9464.7047474031824</v>
      </c>
      <c r="CB74" s="403">
        <f t="shared" si="18"/>
        <v>112.94453363800876</v>
      </c>
      <c r="CC74" s="419">
        <v>1050</v>
      </c>
      <c r="CD74" s="382">
        <f>PI()*CC74/1000*( Pile!$C$23- Pile!$C74)</f>
        <v>4.948008429403921</v>
      </c>
      <c r="CE74" s="382">
        <f t="shared" si="19"/>
        <v>0.86590147514568672</v>
      </c>
      <c r="CF74" s="382">
        <f t="shared" si="46"/>
        <v>24.746458263469254</v>
      </c>
      <c r="CG74" s="382">
        <f>CD74* Pile!$S$23</f>
        <v>0</v>
      </c>
      <c r="CH74" s="382">
        <f t="shared" si="47"/>
        <v>24.746458263469254</v>
      </c>
      <c r="CI74" s="382">
        <f>IF(CH74&gt;0,+CH74)/ 'Pile Data and Eurocode Factors'!$B$14/ 'Pile Data and Eurocode Factors'!$B$15</f>
        <v>11.047526010477347</v>
      </c>
      <c r="CJ74" s="382">
        <f t="shared" si="48"/>
        <v>394.35558211951849</v>
      </c>
      <c r="CK74" s="382">
        <f>CE74* Pile!$U$23</f>
        <v>0</v>
      </c>
      <c r="CL74" s="382">
        <f t="shared" si="20"/>
        <v>394.35558211951849</v>
      </c>
      <c r="CM74" s="382">
        <f>CL74/ 'Pile Data and Eurocode Factors'!$C$14/ 'Pile Data and Eurocode Factors'!$C$15</f>
        <v>140.84127932839948</v>
      </c>
      <c r="CN74" s="382">
        <f t="shared" si="21"/>
        <v>151.88880533887684</v>
      </c>
      <c r="CO74" s="382">
        <f>VLOOKUP(CC74, 'Pile Data and Eurocode Factors'!$A$34:$J$39,3, FALSE)</f>
        <v>12882.514795076555</v>
      </c>
      <c r="CP74" s="403">
        <f t="shared" si="22"/>
        <v>151.88880533887684</v>
      </c>
      <c r="CQ74" s="419">
        <v>1200</v>
      </c>
      <c r="CR74" s="382">
        <f>PI()*CQ74/1000*( Pile!$C$23- Pile!$C74)</f>
        <v>5.6548667764616241</v>
      </c>
      <c r="CS74" s="382">
        <f t="shared" si="23"/>
        <v>1.1309733552923256</v>
      </c>
      <c r="CT74" s="382">
        <f t="shared" si="49"/>
        <v>28.281666586822006</v>
      </c>
      <c r="CU74" s="382">
        <f>CR74* Pile!$S$23</f>
        <v>0</v>
      </c>
      <c r="CV74" s="382">
        <f t="shared" si="50"/>
        <v>28.281666586822006</v>
      </c>
      <c r="CW74" s="382">
        <f>IF(CV74&gt;0,+CV74)/ 'Pile Data and Eurocode Factors'!$B$14/ 'Pile Data and Eurocode Factors'!$B$15</f>
        <v>12.625744011974112</v>
      </c>
      <c r="CX74" s="382">
        <f t="shared" si="51"/>
        <v>515.07667868671808</v>
      </c>
      <c r="CY74" s="382">
        <f>CS74* Pile!$U$23</f>
        <v>0</v>
      </c>
      <c r="CZ74" s="382">
        <f t="shared" si="24"/>
        <v>515.07667868671808</v>
      </c>
      <c r="DA74" s="382">
        <f>CZ74/ 'Pile Data and Eurocode Factors'!$C$14/ 'Pile Data and Eurocode Factors'!$C$15</f>
        <v>183.9559566738279</v>
      </c>
      <c r="DB74" s="382">
        <f t="shared" si="25"/>
        <v>196.58170068580202</v>
      </c>
      <c r="DC74" s="382">
        <f>VLOOKUP(CQ74, 'Pile Data and Eurocode Factors'!$A$34:$J$39,3, FALSE)</f>
        <v>16826.141773161216</v>
      </c>
      <c r="DD74" s="403">
        <f t="shared" si="26"/>
        <v>196.58170068580202</v>
      </c>
      <c r="DE74" s="420">
        <f xml:space="preserve"> Pile!$C$23- Pile!C74</f>
        <v>1.4999999999999991</v>
      </c>
      <c r="DG74" s="382">
        <f t="shared" si="52"/>
        <v>30.603460411747339</v>
      </c>
      <c r="DH74" s="382">
        <f t="shared" si="27"/>
        <v>52.301861174444028</v>
      </c>
      <c r="DI74" s="382">
        <f t="shared" si="28"/>
        <v>79.748885583197833</v>
      </c>
      <c r="DJ74" s="382">
        <f t="shared" si="29"/>
        <v>112.94453363800876</v>
      </c>
      <c r="DK74" s="382">
        <f t="shared" si="30"/>
        <v>151.88880533887684</v>
      </c>
      <c r="DL74" s="382">
        <f t="shared" si="53"/>
        <v>196.58170068580202</v>
      </c>
    </row>
    <row r="75" spans="2:116" s="308" customFormat="1" ht="15">
      <c r="B75" s="400">
        <v>6</v>
      </c>
      <c r="C75" s="401">
        <f>+C74- Pile!D$23/20</f>
        <v>4.2000000000000011</v>
      </c>
      <c r="D75" s="415" t="str">
        <f>B23</f>
        <v>Loose Sand/Gravel</v>
      </c>
      <c r="E75" s="415" t="str">
        <f>F23</f>
        <v>Granular</v>
      </c>
      <c r="F75" s="401">
        <f xml:space="preserve"> Pile!$E$23*(+C74-C75)+F74</f>
        <v>29.699999999999982</v>
      </c>
      <c r="G75" s="401">
        <f>IF(C75&gt; Pile!$C$28,0,( Pile!$C$28-C75)*9.81)</f>
        <v>0</v>
      </c>
      <c r="H75" s="401">
        <f t="shared" si="0"/>
        <v>29.699999999999982</v>
      </c>
      <c r="I75" s="401">
        <f t="shared" si="1"/>
        <v>14.849999999999991</v>
      </c>
      <c r="J75" s="401">
        <f>IF(E75="Cohesive",(( Pile!$H$23- Pile!$G$23)/20)+J74,0)</f>
        <v>0</v>
      </c>
      <c r="K75" s="401">
        <f>IF(E75="Cohesive",( Pile!$G$23+ Pile!$J75)/2,0)</f>
        <v>0</v>
      </c>
      <c r="L75" s="401" t="str">
        <f>IF( Pile!I$23="",0, Pile!I$23)</f>
        <v>0</v>
      </c>
      <c r="M75" s="401" t="str">
        <f>IF( Pile!J$23="",0, Pile!J$23)</f>
        <v>0</v>
      </c>
      <c r="N75" s="401">
        <f>IF(E75="Granular", Pile!$K$23,0)</f>
        <v>18.401122218708668</v>
      </c>
      <c r="O75" s="416">
        <f>IF(AND(E75="Granular",D75&lt;&gt;"Made Ground"), Pile!$L$23,0)</f>
        <v>0.404145188432738</v>
      </c>
      <c r="P75" s="401">
        <f>IF(OR(D75="Low Density Chalk",D75="Medium Density Chalk"), Pile!$M$23,0)</f>
        <v>0</v>
      </c>
      <c r="Q75" s="417">
        <f>IF(D75="High Density Chalk", Pile!$N$23,0)</f>
        <v>0</v>
      </c>
      <c r="R75" s="401">
        <f>IF( Pile!O$23="",0, Pile!O$23)</f>
        <v>0</v>
      </c>
      <c r="S75" s="418">
        <f t="shared" si="31"/>
        <v>6.0015560482261554</v>
      </c>
      <c r="T75" s="382">
        <f xml:space="preserve"> Pile!$T$23</f>
        <v>1200</v>
      </c>
      <c r="U75" s="382">
        <f t="shared" si="32"/>
        <v>6.0015560482261554</v>
      </c>
      <c r="V75" s="382">
        <f t="shared" si="2"/>
        <v>546.51332989564708</v>
      </c>
      <c r="W75" s="382">
        <f xml:space="preserve"> Pile!$V$23</f>
        <v>15000</v>
      </c>
      <c r="X75" s="382">
        <f t="shared" si="33"/>
        <v>546.51332989564708</v>
      </c>
      <c r="Y75" s="419">
        <v>450</v>
      </c>
      <c r="Z75" s="382">
        <f>PI()*Y75/1000*( Pile!$C$23- Pile!$C75)</f>
        <v>2.5446900494077309</v>
      </c>
      <c r="AA75" s="382">
        <f t="shared" si="3"/>
        <v>0.15904312808798329</v>
      </c>
      <c r="AB75" s="382">
        <f>+$U75*Z75</f>
        <v>15.272099956883881</v>
      </c>
      <c r="AC75" s="382">
        <f>Z75* Pile!$S$23</f>
        <v>0</v>
      </c>
      <c r="AD75" s="382">
        <f t="shared" si="35"/>
        <v>15.272099956883881</v>
      </c>
      <c r="AE75" s="382">
        <f>IF(AD75&gt;0,+AD75)/ 'Pile Data and Eurocode Factors'!$B$14/ 'Pile Data and Eurocode Factors'!$B$15</f>
        <v>6.8179017664660186</v>
      </c>
      <c r="AF75" s="382">
        <f t="shared" si="36"/>
        <v>86.919189528383669</v>
      </c>
      <c r="AG75" s="382">
        <f>AA75* Pile!$U$23</f>
        <v>0</v>
      </c>
      <c r="AH75" s="382">
        <f t="shared" si="4"/>
        <v>86.919189528383669</v>
      </c>
      <c r="AI75" s="382">
        <f>AH75/ 'Pile Data and Eurocode Factors'!$C$14/ 'Pile Data and Eurocode Factors'!$C$15</f>
        <v>31.042567688708456</v>
      </c>
      <c r="AJ75" s="382">
        <f t="shared" si="5"/>
        <v>37.860469455174474</v>
      </c>
      <c r="AK75" s="382">
        <f>VLOOKUP(Y75, 'Pile Data and Eurocode Factors'!$A$34:$J$39,3, FALSE)</f>
        <v>2366.1761868507956</v>
      </c>
      <c r="AL75" s="403">
        <f t="shared" si="6"/>
        <v>37.860469455174474</v>
      </c>
      <c r="AM75" s="419">
        <v>600</v>
      </c>
      <c r="AN75" s="382">
        <f>PI()*AM75/1000*( Pile!$C$23- Pile!$C75)</f>
        <v>3.3929200658769747</v>
      </c>
      <c r="AO75" s="382">
        <f t="shared" si="7"/>
        <v>0.28274333882308139</v>
      </c>
      <c r="AP75" s="382">
        <f>+$U75*AN75</f>
        <v>20.362799942511842</v>
      </c>
      <c r="AQ75" s="382">
        <f>AN75* Pile!$S$23</f>
        <v>0</v>
      </c>
      <c r="AR75" s="382">
        <f t="shared" si="38"/>
        <v>20.362799942511842</v>
      </c>
      <c r="AS75" s="382">
        <f>IF(AR75&gt;0,+AR75)/ 'Pile Data and Eurocode Factors'!$B$14/ 'Pile Data and Eurocode Factors'!$B$15</f>
        <v>9.0905356886213582</v>
      </c>
      <c r="AT75" s="382">
        <f t="shared" si="39"/>
        <v>154.52300360601541</v>
      </c>
      <c r="AU75" s="382">
        <f>AO75* Pile!$U$23</f>
        <v>0</v>
      </c>
      <c r="AV75" s="382">
        <f t="shared" si="8"/>
        <v>154.52300360601541</v>
      </c>
      <c r="AW75" s="382">
        <f>AV75/ 'Pile Data and Eurocode Factors'!$C$14/ 'Pile Data and Eurocode Factors'!$C$15</f>
        <v>55.186787002148364</v>
      </c>
      <c r="AX75" s="382">
        <f t="shared" si="9"/>
        <v>64.277322690769722</v>
      </c>
      <c r="AY75" s="382">
        <f>VLOOKUP(AM75, 'Pile Data and Eurocode Factors'!$A$34:$J$39,3, FALSE)</f>
        <v>4206.5354432903041</v>
      </c>
      <c r="AZ75" s="403">
        <f t="shared" si="10"/>
        <v>64.277322690769722</v>
      </c>
      <c r="BA75" s="419">
        <v>750</v>
      </c>
      <c r="BB75" s="382">
        <f>PI()*BA75/1000*( Pile!$C$23- Pile!$C75)</f>
        <v>4.241150082346218</v>
      </c>
      <c r="BC75" s="382">
        <f t="shared" si="11"/>
        <v>0.44178646691106466</v>
      </c>
      <c r="BD75" s="382">
        <f>+$U75*BB75</f>
        <v>25.453499928139802</v>
      </c>
      <c r="BE75" s="382">
        <f>BB75* Pile!$S$23</f>
        <v>0</v>
      </c>
      <c r="BF75" s="382">
        <f t="shared" si="41"/>
        <v>25.453499928139802</v>
      </c>
      <c r="BG75" s="382">
        <f>IF(BF75&gt;0,+BF75)/ 'Pile Data and Eurocode Factors'!$B$14/ 'Pile Data and Eurocode Factors'!$B$15</f>
        <v>11.363169610776698</v>
      </c>
      <c r="BH75" s="382">
        <f t="shared" si="42"/>
        <v>241.44219313439905</v>
      </c>
      <c r="BI75" s="382">
        <f>BC75* Pile!$U$23</f>
        <v>0</v>
      </c>
      <c r="BJ75" s="382">
        <f t="shared" si="12"/>
        <v>241.44219313439905</v>
      </c>
      <c r="BK75" s="382">
        <f>BJ75/ 'Pile Data and Eurocode Factors'!$C$14/ 'Pile Data and Eurocode Factors'!$C$15</f>
        <v>86.229354690856809</v>
      </c>
      <c r="BL75" s="382">
        <f t="shared" si="13"/>
        <v>97.592524301633503</v>
      </c>
      <c r="BM75" s="382">
        <f>VLOOKUP(BA75, 'Pile Data and Eurocode Factors'!$A$34:$J$39,3, FALSE)</f>
        <v>6572.7116301410997</v>
      </c>
      <c r="BN75" s="403">
        <f t="shared" si="14"/>
        <v>97.592524301633503</v>
      </c>
      <c r="BO75" s="419">
        <v>900</v>
      </c>
      <c r="BP75" s="382">
        <f>PI()*BO75/1000*( Pile!$C$23- Pile!$C75)</f>
        <v>5.0893800988154618</v>
      </c>
      <c r="BQ75" s="382">
        <f t="shared" si="15"/>
        <v>0.63617251235193317</v>
      </c>
      <c r="BR75" s="382">
        <f>+$U75*BP75</f>
        <v>30.544199913767763</v>
      </c>
      <c r="BS75" s="382">
        <f>BP75* Pile!$S$23</f>
        <v>0</v>
      </c>
      <c r="BT75" s="382">
        <f t="shared" si="44"/>
        <v>30.544199913767763</v>
      </c>
      <c r="BU75" s="382">
        <f>IF(BT75&gt;0,+BT75)/ 'Pile Data and Eurocode Factors'!$B$14/ 'Pile Data and Eurocode Factors'!$B$15</f>
        <v>13.635803532932037</v>
      </c>
      <c r="BV75" s="382">
        <f t="shared" si="45"/>
        <v>347.67675811353467</v>
      </c>
      <c r="BW75" s="382">
        <f>BQ75* Pile!$U$23</f>
        <v>0</v>
      </c>
      <c r="BX75" s="382">
        <f t="shared" si="16"/>
        <v>347.67675811353467</v>
      </c>
      <c r="BY75" s="382">
        <f>BX75/ 'Pile Data and Eurocode Factors'!$C$14/ 'Pile Data and Eurocode Factors'!$C$15</f>
        <v>124.17027075483382</v>
      </c>
      <c r="BZ75" s="382">
        <f t="shared" si="17"/>
        <v>137.80607428776585</v>
      </c>
      <c r="CA75" s="382">
        <f>VLOOKUP(BO75, 'Pile Data and Eurocode Factors'!$A$34:$J$39,3, FALSE)</f>
        <v>9464.7047474031824</v>
      </c>
      <c r="CB75" s="403">
        <f t="shared" si="18"/>
        <v>137.80607428776585</v>
      </c>
      <c r="CC75" s="419">
        <v>1050</v>
      </c>
      <c r="CD75" s="382">
        <f>PI()*CC75/1000*( Pile!$C$23- Pile!$C75)</f>
        <v>5.9376101152847056</v>
      </c>
      <c r="CE75" s="382">
        <f t="shared" si="19"/>
        <v>0.86590147514568672</v>
      </c>
      <c r="CF75" s="382">
        <f>+$U75*CD75</f>
        <v>35.634899899395727</v>
      </c>
      <c r="CG75" s="382">
        <f>CD75* Pile!$S$23</f>
        <v>0</v>
      </c>
      <c r="CH75" s="382">
        <f t="shared" si="47"/>
        <v>35.634899899395727</v>
      </c>
      <c r="CI75" s="382">
        <f>IF(CH75&gt;0,+CH75)/ 'Pile Data and Eurocode Factors'!$B$14/ 'Pile Data and Eurocode Factors'!$B$15</f>
        <v>15.908437455087379</v>
      </c>
      <c r="CJ75" s="382">
        <f t="shared" si="48"/>
        <v>473.22669854342212</v>
      </c>
      <c r="CK75" s="382">
        <f>CE75* Pile!$U$23</f>
        <v>0</v>
      </c>
      <c r="CL75" s="382">
        <f t="shared" si="20"/>
        <v>473.22669854342212</v>
      </c>
      <c r="CM75" s="382">
        <f>CL75/ 'Pile Data and Eurocode Factors'!$C$14/ 'Pile Data and Eurocode Factors'!$C$15</f>
        <v>169.00953519407935</v>
      </c>
      <c r="CN75" s="382">
        <f t="shared" si="21"/>
        <v>184.91797264916673</v>
      </c>
      <c r="CO75" s="382">
        <f>VLOOKUP(CC75, 'Pile Data and Eurocode Factors'!$A$34:$J$39,3, FALSE)</f>
        <v>12882.514795076555</v>
      </c>
      <c r="CP75" s="403">
        <f t="shared" si="22"/>
        <v>184.91797264916673</v>
      </c>
      <c r="CQ75" s="419">
        <v>1200</v>
      </c>
      <c r="CR75" s="382">
        <f>PI()*CQ75/1000*( Pile!$C$23- Pile!$C75)</f>
        <v>6.7858401317539494</v>
      </c>
      <c r="CS75" s="382">
        <f t="shared" si="23"/>
        <v>1.1309733552923256</v>
      </c>
      <c r="CT75" s="382">
        <f>+$U75*CR75</f>
        <v>40.725599885023684</v>
      </c>
      <c r="CU75" s="382">
        <f>CR75* Pile!$S$23</f>
        <v>0</v>
      </c>
      <c r="CV75" s="382">
        <f t="shared" si="50"/>
        <v>40.725599885023684</v>
      </c>
      <c r="CW75" s="382">
        <f>IF(CV75&gt;0,+CV75)/ 'Pile Data and Eurocode Factors'!$B$14/ 'Pile Data and Eurocode Factors'!$B$15</f>
        <v>18.181071377242716</v>
      </c>
      <c r="CX75" s="382">
        <f t="shared" si="51"/>
        <v>618.09201442406163</v>
      </c>
      <c r="CY75" s="382">
        <f>CS75* Pile!$U$23</f>
        <v>0</v>
      </c>
      <c r="CZ75" s="382">
        <f t="shared" si="24"/>
        <v>618.09201442406163</v>
      </c>
      <c r="DA75" s="382">
        <f>CZ75/ 'Pile Data and Eurocode Factors'!$C$14/ 'Pile Data and Eurocode Factors'!$C$15</f>
        <v>220.74714800859346</v>
      </c>
      <c r="DB75" s="382">
        <f t="shared" si="25"/>
        <v>238.92821938583617</v>
      </c>
      <c r="DC75" s="382">
        <f>VLOOKUP(CQ75, 'Pile Data and Eurocode Factors'!$A$34:$J$39,3, FALSE)</f>
        <v>16826.141773161216</v>
      </c>
      <c r="DD75" s="403">
        <f t="shared" si="26"/>
        <v>238.92821938583617</v>
      </c>
      <c r="DE75" s="420">
        <f xml:space="preserve"> Pile!$C$23- Pile!C75</f>
        <v>1.7999999999999989</v>
      </c>
      <c r="DG75" s="382">
        <f t="shared" si="52"/>
        <v>37.860469455174474</v>
      </c>
      <c r="DH75" s="382">
        <f t="shared" si="27"/>
        <v>64.277322690769722</v>
      </c>
      <c r="DI75" s="382">
        <f t="shared" si="28"/>
        <v>97.592524301633503</v>
      </c>
      <c r="DJ75" s="382">
        <f t="shared" si="29"/>
        <v>137.80607428776585</v>
      </c>
      <c r="DK75" s="382">
        <f t="shared" si="30"/>
        <v>184.91797264916673</v>
      </c>
      <c r="DL75" s="382">
        <f t="shared" si="53"/>
        <v>238.92821938583617</v>
      </c>
    </row>
    <row r="76" spans="2:116" s="308" customFormat="1" ht="15">
      <c r="B76" s="400">
        <v>7</v>
      </c>
      <c r="C76" s="401">
        <f>+C75- Pile!D$23/20</f>
        <v>3.9000000000000012</v>
      </c>
      <c r="D76" s="415" t="str">
        <f>B23</f>
        <v>Loose Sand/Gravel</v>
      </c>
      <c r="E76" s="415" t="str">
        <f>F23</f>
        <v>Granular</v>
      </c>
      <c r="F76" s="401">
        <f xml:space="preserve"> Pile!$E$23*(+C75-C76)+F75</f>
        <v>34.649999999999977</v>
      </c>
      <c r="G76" s="401">
        <f>IF(C76&gt; Pile!$C$28,0,( Pile!$C$28-C76)*9.81)</f>
        <v>0</v>
      </c>
      <c r="H76" s="401">
        <f t="shared" si="0"/>
        <v>34.649999999999977</v>
      </c>
      <c r="I76" s="401">
        <f t="shared" si="1"/>
        <v>17.324999999999989</v>
      </c>
      <c r="J76" s="401">
        <f>IF(E76="Cohesive",(( Pile!$H$23- Pile!$G$23)/20)+J75,0)</f>
        <v>0</v>
      </c>
      <c r="K76" s="401">
        <f>IF(E76="Cohesive",( Pile!$G$23+ Pile!$J76)/2,0)</f>
        <v>0</v>
      </c>
      <c r="L76" s="401" t="str">
        <f>IF( Pile!I$23="",0, Pile!I$23)</f>
        <v>0</v>
      </c>
      <c r="M76" s="401" t="str">
        <f>IF( Pile!J$23="",0, Pile!J$23)</f>
        <v>0</v>
      </c>
      <c r="N76" s="401">
        <f>IF(E76="Granular", Pile!$K$23,0)</f>
        <v>18.401122218708668</v>
      </c>
      <c r="O76" s="416">
        <f>IF(AND(E76="Granular",D76&lt;&gt;"Made Ground"), Pile!$L$23,0)</f>
        <v>0.404145188432738</v>
      </c>
      <c r="P76" s="401">
        <f>IF(OR(D76="Low Density Chalk",D76="Medium Density Chalk"), Pile!$M$23,0)</f>
        <v>0</v>
      </c>
      <c r="Q76" s="417">
        <f>IF(D76="High Density Chalk", Pile!$N$23,0)</f>
        <v>0</v>
      </c>
      <c r="R76" s="401">
        <f>IF( Pile!O$23="",0, Pile!O$23)</f>
        <v>0</v>
      </c>
      <c r="S76" s="418">
        <f t="shared" si="31"/>
        <v>7.0018153895971809</v>
      </c>
      <c r="T76" s="382">
        <f xml:space="preserve"> Pile!$T$23</f>
        <v>1200</v>
      </c>
      <c r="U76" s="382">
        <f t="shared" si="32"/>
        <v>7.0018153895971809</v>
      </c>
      <c r="V76" s="382">
        <f t="shared" si="2"/>
        <v>637.59888487825492</v>
      </c>
      <c r="W76" s="382">
        <f xml:space="preserve"> Pile!$V$23</f>
        <v>15000</v>
      </c>
      <c r="X76" s="382">
        <f t="shared" si="33"/>
        <v>637.59888487825492</v>
      </c>
      <c r="Y76" s="419">
        <v>450</v>
      </c>
      <c r="Z76" s="382">
        <f>PI()*Y76/1000*( Pile!$C$23- Pile!$C76)</f>
        <v>2.9688050576423528</v>
      </c>
      <c r="AA76" s="382">
        <f t="shared" si="3"/>
        <v>0.15904312808798329</v>
      </c>
      <c r="AB76" s="382">
        <f t="shared" si="34"/>
        <v>20.787024941314172</v>
      </c>
      <c r="AC76" s="382">
        <f>Z76* Pile!$S$23</f>
        <v>0</v>
      </c>
      <c r="AD76" s="382">
        <f t="shared" si="35"/>
        <v>20.787024941314172</v>
      </c>
      <c r="AE76" s="382">
        <f>IF(AD76&gt;0,+AD76)/ 'Pile Data and Eurocode Factors'!$B$14/ 'Pile Data and Eurocode Factors'!$B$15</f>
        <v>9.2799218488009707</v>
      </c>
      <c r="AF76" s="382">
        <f t="shared" si="36"/>
        <v>101.40572111644761</v>
      </c>
      <c r="AG76" s="382">
        <f>AA76* Pile!$U$23</f>
        <v>0</v>
      </c>
      <c r="AH76" s="382">
        <f t="shared" si="4"/>
        <v>101.40572111644761</v>
      </c>
      <c r="AI76" s="382">
        <f>AH76/ 'Pile Data and Eurocode Factors'!$C$14/ 'Pile Data and Eurocode Factors'!$C$15</f>
        <v>36.216328970159864</v>
      </c>
      <c r="AJ76" s="382">
        <f t="shared" si="5"/>
        <v>45.496250818960831</v>
      </c>
      <c r="AK76" s="382">
        <f>VLOOKUP(Y76, 'Pile Data and Eurocode Factors'!$A$34:$J$39,3, FALSE)</f>
        <v>2366.1761868507956</v>
      </c>
      <c r="AL76" s="403">
        <f t="shared" si="6"/>
        <v>45.496250818960831</v>
      </c>
      <c r="AM76" s="419">
        <v>600</v>
      </c>
      <c r="AN76" s="382">
        <f>PI()*AM76/1000*( Pile!$C$23- Pile!$C76)</f>
        <v>3.9584067435231369</v>
      </c>
      <c r="AO76" s="382">
        <f t="shared" si="7"/>
        <v>0.28274333882308139</v>
      </c>
      <c r="AP76" s="382">
        <f t="shared" ref="AP76:AP139" si="54">+$U76*AN76</f>
        <v>27.716033255085559</v>
      </c>
      <c r="AQ76" s="382">
        <f>AN76* Pile!$S$23</f>
        <v>0</v>
      </c>
      <c r="AR76" s="382">
        <f t="shared" si="38"/>
        <v>27.716033255085559</v>
      </c>
      <c r="AS76" s="382">
        <f>IF(AR76&gt;0,+AR76)/ 'Pile Data and Eurocode Factors'!$B$14/ 'Pile Data and Eurocode Factors'!$B$15</f>
        <v>12.373229131734623</v>
      </c>
      <c r="AT76" s="382">
        <f t="shared" si="39"/>
        <v>180.27683754035129</v>
      </c>
      <c r="AU76" s="382">
        <f>AO76* Pile!$U$23</f>
        <v>0</v>
      </c>
      <c r="AV76" s="382">
        <f t="shared" si="8"/>
        <v>180.27683754035129</v>
      </c>
      <c r="AW76" s="382">
        <f>AV76/ 'Pile Data and Eurocode Factors'!$C$14/ 'Pile Data and Eurocode Factors'!$C$15</f>
        <v>64.384584835839746</v>
      </c>
      <c r="AX76" s="382">
        <f t="shared" si="9"/>
        <v>76.757813967574364</v>
      </c>
      <c r="AY76" s="382">
        <f>VLOOKUP(AM76, 'Pile Data and Eurocode Factors'!$A$34:$J$39,3, FALSE)</f>
        <v>4206.5354432903041</v>
      </c>
      <c r="AZ76" s="403">
        <f t="shared" si="10"/>
        <v>76.757813967574364</v>
      </c>
      <c r="BA76" s="419">
        <v>750</v>
      </c>
      <c r="BB76" s="382">
        <f>PI()*BA76/1000*( Pile!$C$23- Pile!$C76)</f>
        <v>4.948008429403921</v>
      </c>
      <c r="BC76" s="382">
        <f t="shared" si="11"/>
        <v>0.44178646691106466</v>
      </c>
      <c r="BD76" s="382">
        <f t="shared" ref="BD76:BD139" si="55">+$U76*BB76</f>
        <v>34.645041568856954</v>
      </c>
      <c r="BE76" s="382">
        <f>BB76* Pile!$S$23</f>
        <v>0</v>
      </c>
      <c r="BF76" s="382">
        <f t="shared" si="41"/>
        <v>34.645041568856954</v>
      </c>
      <c r="BG76" s="382">
        <f>IF(BF76&gt;0,+BF76)/ 'Pile Data and Eurocode Factors'!$B$14/ 'Pile Data and Eurocode Factors'!$B$15</f>
        <v>15.466536414668283</v>
      </c>
      <c r="BH76" s="382">
        <f t="shared" si="42"/>
        <v>281.6825586567989</v>
      </c>
      <c r="BI76" s="382">
        <f>BC76* Pile!$U$23</f>
        <v>0</v>
      </c>
      <c r="BJ76" s="382">
        <f t="shared" si="12"/>
        <v>281.6825586567989</v>
      </c>
      <c r="BK76" s="382">
        <f>BJ76/ 'Pile Data and Eurocode Factors'!$C$14/ 'Pile Data and Eurocode Factors'!$C$15</f>
        <v>100.60091380599961</v>
      </c>
      <c r="BL76" s="382">
        <f t="shared" si="13"/>
        <v>116.06745022066789</v>
      </c>
      <c r="BM76" s="382">
        <f>VLOOKUP(BA76, 'Pile Data and Eurocode Factors'!$A$34:$J$39,3, FALSE)</f>
        <v>6572.7116301410997</v>
      </c>
      <c r="BN76" s="403">
        <f t="shared" si="14"/>
        <v>116.06745022066789</v>
      </c>
      <c r="BO76" s="419">
        <v>900</v>
      </c>
      <c r="BP76" s="382">
        <f>PI()*BO76/1000*( Pile!$C$23- Pile!$C76)</f>
        <v>5.9376101152847056</v>
      </c>
      <c r="BQ76" s="382">
        <f t="shared" si="15"/>
        <v>0.63617251235193317</v>
      </c>
      <c r="BR76" s="382">
        <f t="shared" ref="BR76:BR139" si="56">+$U76*BP76</f>
        <v>41.574049882628344</v>
      </c>
      <c r="BS76" s="382">
        <f>BP76* Pile!$S$23</f>
        <v>0</v>
      </c>
      <c r="BT76" s="382">
        <f t="shared" si="44"/>
        <v>41.574049882628344</v>
      </c>
      <c r="BU76" s="382">
        <f>IF(BT76&gt;0,+BT76)/ 'Pile Data and Eurocode Factors'!$B$14/ 'Pile Data and Eurocode Factors'!$B$15</f>
        <v>18.559843697601941</v>
      </c>
      <c r="BV76" s="382">
        <f t="shared" si="45"/>
        <v>405.62288446579043</v>
      </c>
      <c r="BW76" s="382">
        <f>BQ76* Pile!$U$23</f>
        <v>0</v>
      </c>
      <c r="BX76" s="382">
        <f t="shared" si="16"/>
        <v>405.62288446579043</v>
      </c>
      <c r="BY76" s="382">
        <f>BX76/ 'Pile Data and Eurocode Factors'!$C$14/ 'Pile Data and Eurocode Factors'!$C$15</f>
        <v>144.86531588063946</v>
      </c>
      <c r="BZ76" s="382">
        <f t="shared" si="17"/>
        <v>163.42515957824139</v>
      </c>
      <c r="CA76" s="382">
        <f>VLOOKUP(BO76, 'Pile Data and Eurocode Factors'!$A$34:$J$39,3, FALSE)</f>
        <v>9464.7047474031824</v>
      </c>
      <c r="CB76" s="403">
        <f t="shared" si="18"/>
        <v>163.42515957824139</v>
      </c>
      <c r="CC76" s="419">
        <v>1050</v>
      </c>
      <c r="CD76" s="382">
        <f>PI()*CC76/1000*( Pile!$C$23- Pile!$C76)</f>
        <v>6.9272118011654893</v>
      </c>
      <c r="CE76" s="382">
        <f t="shared" si="19"/>
        <v>0.86590147514568672</v>
      </c>
      <c r="CF76" s="382">
        <f t="shared" ref="CF76:CF139" si="57">+$U76*CD76</f>
        <v>48.503058196399728</v>
      </c>
      <c r="CG76" s="382">
        <f>CD76* Pile!$S$23</f>
        <v>0</v>
      </c>
      <c r="CH76" s="382">
        <f t="shared" si="47"/>
        <v>48.503058196399728</v>
      </c>
      <c r="CI76" s="382">
        <f>IF(CH76&gt;0,+CH76)/ 'Pile Data and Eurocode Factors'!$B$14/ 'Pile Data and Eurocode Factors'!$B$15</f>
        <v>21.653150980535596</v>
      </c>
      <c r="CJ76" s="382">
        <f t="shared" si="48"/>
        <v>552.0978149673258</v>
      </c>
      <c r="CK76" s="382">
        <f>CE76* Pile!$U$23</f>
        <v>0</v>
      </c>
      <c r="CL76" s="382">
        <f t="shared" si="20"/>
        <v>552.0978149673258</v>
      </c>
      <c r="CM76" s="382">
        <f>CL76/ 'Pile Data and Eurocode Factors'!$C$14/ 'Pile Data and Eurocode Factors'!$C$15</f>
        <v>197.17779105975922</v>
      </c>
      <c r="CN76" s="382">
        <f t="shared" si="21"/>
        <v>218.83094204029481</v>
      </c>
      <c r="CO76" s="382">
        <f>VLOOKUP(CC76, 'Pile Data and Eurocode Factors'!$A$34:$J$39,3, FALSE)</f>
        <v>12882.514795076555</v>
      </c>
      <c r="CP76" s="403">
        <f t="shared" si="22"/>
        <v>218.83094204029481</v>
      </c>
      <c r="CQ76" s="419">
        <v>1200</v>
      </c>
      <c r="CR76" s="382">
        <f>PI()*CQ76/1000*( Pile!$C$23- Pile!$C76)</f>
        <v>7.9168134870462739</v>
      </c>
      <c r="CS76" s="382">
        <f t="shared" si="23"/>
        <v>1.1309733552923256</v>
      </c>
      <c r="CT76" s="382">
        <f t="shared" ref="CT76:CT139" si="58">+$U76*CR76</f>
        <v>55.432066510171119</v>
      </c>
      <c r="CU76" s="382">
        <f>CR76* Pile!$S$23</f>
        <v>0</v>
      </c>
      <c r="CV76" s="382">
        <f t="shared" si="50"/>
        <v>55.432066510171119</v>
      </c>
      <c r="CW76" s="382">
        <f>IF(CV76&gt;0,+CV76)/ 'Pile Data and Eurocode Factors'!$B$14/ 'Pile Data and Eurocode Factors'!$B$15</f>
        <v>24.746458263469247</v>
      </c>
      <c r="CX76" s="382">
        <f t="shared" si="51"/>
        <v>721.10735016140518</v>
      </c>
      <c r="CY76" s="382">
        <f>CS76* Pile!$U$23</f>
        <v>0</v>
      </c>
      <c r="CZ76" s="382">
        <f t="shared" si="24"/>
        <v>721.10735016140518</v>
      </c>
      <c r="DA76" s="382">
        <f>CZ76/ 'Pile Data and Eurocode Factors'!$C$14/ 'Pile Data and Eurocode Factors'!$C$15</f>
        <v>257.53833934335898</v>
      </c>
      <c r="DB76" s="382">
        <f t="shared" si="25"/>
        <v>282.28479760682825</v>
      </c>
      <c r="DC76" s="382">
        <f>VLOOKUP(CQ76, 'Pile Data and Eurocode Factors'!$A$34:$J$39,3, FALSE)</f>
        <v>16826.141773161216</v>
      </c>
      <c r="DD76" s="403">
        <f t="shared" si="26"/>
        <v>282.28479760682825</v>
      </c>
      <c r="DE76" s="420">
        <f xml:space="preserve"> Pile!$C$23- Pile!C76</f>
        <v>2.0999999999999988</v>
      </c>
      <c r="DG76" s="382">
        <f t="shared" si="52"/>
        <v>45.496250818960831</v>
      </c>
      <c r="DH76" s="382">
        <f t="shared" si="27"/>
        <v>76.757813967574364</v>
      </c>
      <c r="DI76" s="382">
        <f t="shared" si="28"/>
        <v>116.06745022066789</v>
      </c>
      <c r="DJ76" s="382">
        <f t="shared" si="29"/>
        <v>163.42515957824139</v>
      </c>
      <c r="DK76" s="382">
        <f t="shared" si="30"/>
        <v>218.83094204029481</v>
      </c>
      <c r="DL76" s="382">
        <f t="shared" si="53"/>
        <v>282.28479760682825</v>
      </c>
    </row>
    <row r="77" spans="2:116" s="308" customFormat="1" ht="15">
      <c r="B77" s="400">
        <v>8</v>
      </c>
      <c r="C77" s="401">
        <f>+C76- Pile!D$23/20</f>
        <v>3.6000000000000014</v>
      </c>
      <c r="D77" s="415" t="str">
        <f>B23</f>
        <v>Loose Sand/Gravel</v>
      </c>
      <c r="E77" s="415" t="str">
        <f>F23</f>
        <v>Granular</v>
      </c>
      <c r="F77" s="401">
        <f xml:space="preserve"> Pile!$E$23*(+C76-C77)+F76</f>
        <v>39.599999999999973</v>
      </c>
      <c r="G77" s="401">
        <f>IF(C77&gt; Pile!$C$28,0,( Pile!$C$28-C77)*9.81)</f>
        <v>0</v>
      </c>
      <c r="H77" s="401">
        <f t="shared" si="0"/>
        <v>39.599999999999973</v>
      </c>
      <c r="I77" s="401">
        <f t="shared" si="1"/>
        <v>19.799999999999986</v>
      </c>
      <c r="J77" s="401">
        <f>IF(E77="Cohesive",(( Pile!$H$23- Pile!$G$23)/20)+J76,0)</f>
        <v>0</v>
      </c>
      <c r="K77" s="401">
        <f>IF(E77="Cohesive",( Pile!$G$23+ Pile!$J77)/2,0)</f>
        <v>0</v>
      </c>
      <c r="L77" s="401" t="str">
        <f>IF( Pile!I$23="",0, Pile!I$23)</f>
        <v>0</v>
      </c>
      <c r="M77" s="401" t="str">
        <f>IF( Pile!J$23="",0, Pile!J$23)</f>
        <v>0</v>
      </c>
      <c r="N77" s="401">
        <f>IF(E77="Granular", Pile!$K$23,0)</f>
        <v>18.401122218708668</v>
      </c>
      <c r="O77" s="416">
        <f>IF(AND(E77="Granular",D77&lt;&gt;"Made Ground"), Pile!$L$23,0)</f>
        <v>0.404145188432738</v>
      </c>
      <c r="P77" s="401">
        <f>IF(OR(D77="Low Density Chalk",D77="Medium Density Chalk"), Pile!$M$23,0)</f>
        <v>0</v>
      </c>
      <c r="Q77" s="417">
        <f>IF(D77="High Density Chalk", Pile!$N$23,0)</f>
        <v>0</v>
      </c>
      <c r="R77" s="401">
        <f>IF( Pile!O$23="",0, Pile!O$23)</f>
        <v>0</v>
      </c>
      <c r="S77" s="418">
        <f t="shared" si="31"/>
        <v>8.0020747309682072</v>
      </c>
      <c r="T77" s="382">
        <f xml:space="preserve"> Pile!$T$23</f>
        <v>1200</v>
      </c>
      <c r="U77" s="382">
        <f t="shared" si="32"/>
        <v>8.0020747309682072</v>
      </c>
      <c r="V77" s="382">
        <f t="shared" si="2"/>
        <v>728.68443986086277</v>
      </c>
      <c r="W77" s="382">
        <f xml:space="preserve"> Pile!$V$23</f>
        <v>15000</v>
      </c>
      <c r="X77" s="382">
        <f t="shared" si="33"/>
        <v>728.68443986086277</v>
      </c>
      <c r="Y77" s="419">
        <v>450</v>
      </c>
      <c r="Z77" s="382">
        <f>PI()*Y77/1000*( Pile!$C$23- Pile!$C77)</f>
        <v>3.3929200658769747</v>
      </c>
      <c r="AA77" s="382">
        <f t="shared" si="3"/>
        <v>0.15904312808798329</v>
      </c>
      <c r="AB77" s="382">
        <f t="shared" si="34"/>
        <v>27.150399923349124</v>
      </c>
      <c r="AC77" s="382">
        <f>Z77* Pile!$S$23</f>
        <v>0</v>
      </c>
      <c r="AD77" s="382">
        <f>IF(AC77&gt;0,MIN(AB77:AC77),AB77)</f>
        <v>27.150399923349124</v>
      </c>
      <c r="AE77" s="382">
        <f>IF(AD77&gt;0,+AD77)/ 'Pile Data and Eurocode Factors'!$B$14/ 'Pile Data and Eurocode Factors'!$B$15</f>
        <v>12.120714251495146</v>
      </c>
      <c r="AF77" s="382">
        <f t="shared" si="36"/>
        <v>115.89225270451156</v>
      </c>
      <c r="AG77" s="382">
        <f>AA77* Pile!$U$23</f>
        <v>0</v>
      </c>
      <c r="AH77" s="382">
        <f t="shared" si="4"/>
        <v>115.89225270451156</v>
      </c>
      <c r="AI77" s="382">
        <f>AH77/ 'Pile Data and Eurocode Factors'!$C$14/ 'Pile Data and Eurocode Factors'!$C$15</f>
        <v>41.390090251611277</v>
      </c>
      <c r="AJ77" s="382">
        <f t="shared" si="5"/>
        <v>53.510804503106421</v>
      </c>
      <c r="AK77" s="382">
        <f>VLOOKUP(Y77, 'Pile Data and Eurocode Factors'!$A$34:$J$39,3, FALSE)</f>
        <v>2366.1761868507956</v>
      </c>
      <c r="AL77" s="403">
        <f t="shared" si="6"/>
        <v>53.510804503106421</v>
      </c>
      <c r="AM77" s="419">
        <v>600</v>
      </c>
      <c r="AN77" s="382">
        <f>PI()*AM77/1000*( Pile!$C$23- Pile!$C77)</f>
        <v>4.5238934211692996</v>
      </c>
      <c r="AO77" s="382">
        <f t="shared" si="7"/>
        <v>0.28274333882308139</v>
      </c>
      <c r="AP77" s="382">
        <f t="shared" si="54"/>
        <v>36.200533231132162</v>
      </c>
      <c r="AQ77" s="382">
        <f>AN77* Pile!$S$23</f>
        <v>0</v>
      </c>
      <c r="AR77" s="382">
        <f>IF(AQ77&gt;0,MIN(AP77:AQ77),AP77)</f>
        <v>36.200533231132162</v>
      </c>
      <c r="AS77" s="382">
        <f>IF(AR77&gt;0,+AR77)/ 'Pile Data and Eurocode Factors'!$B$14/ 'Pile Data and Eurocode Factors'!$B$15</f>
        <v>16.160952335326858</v>
      </c>
      <c r="AT77" s="382">
        <f t="shared" si="39"/>
        <v>206.03067147468721</v>
      </c>
      <c r="AU77" s="382">
        <f>AO77* Pile!$U$23</f>
        <v>0</v>
      </c>
      <c r="AV77" s="382">
        <f t="shared" si="8"/>
        <v>206.03067147468721</v>
      </c>
      <c r="AW77" s="382">
        <f>AV77/ 'Pile Data and Eurocode Factors'!$C$14/ 'Pile Data and Eurocode Factors'!$C$15</f>
        <v>73.582382669531157</v>
      </c>
      <c r="AX77" s="382">
        <f t="shared" si="9"/>
        <v>89.743335004858011</v>
      </c>
      <c r="AY77" s="382">
        <f>VLOOKUP(AM77, 'Pile Data and Eurocode Factors'!$A$34:$J$39,3, FALSE)</f>
        <v>4206.5354432903041</v>
      </c>
      <c r="AZ77" s="403">
        <f t="shared" si="10"/>
        <v>89.743335004858011</v>
      </c>
      <c r="BA77" s="419">
        <v>750</v>
      </c>
      <c r="BB77" s="382">
        <f>PI()*BA77/1000*( Pile!$C$23- Pile!$C77)</f>
        <v>5.6548667764616241</v>
      </c>
      <c r="BC77" s="382">
        <f t="shared" si="11"/>
        <v>0.44178646691106466</v>
      </c>
      <c r="BD77" s="382">
        <f t="shared" si="55"/>
        <v>45.250666538915205</v>
      </c>
      <c r="BE77" s="382">
        <f>BB77* Pile!$S$23</f>
        <v>0</v>
      </c>
      <c r="BF77" s="382">
        <f>IF(BE77&gt;0,MIN(BD77:BE77),BD77)</f>
        <v>45.250666538915205</v>
      </c>
      <c r="BG77" s="382">
        <f>IF(BF77&gt;0,+BF77)/ 'Pile Data and Eurocode Factors'!$B$14/ 'Pile Data and Eurocode Factors'!$B$15</f>
        <v>20.201190419158575</v>
      </c>
      <c r="BH77" s="382">
        <f t="shared" si="42"/>
        <v>321.92292417919873</v>
      </c>
      <c r="BI77" s="382">
        <f>BC77* Pile!$U$23</f>
        <v>0</v>
      </c>
      <c r="BJ77" s="382">
        <f t="shared" si="12"/>
        <v>321.92292417919873</v>
      </c>
      <c r="BK77" s="382">
        <f>BJ77/ 'Pile Data and Eurocode Factors'!$C$14/ 'Pile Data and Eurocode Factors'!$C$15</f>
        <v>114.97247292114241</v>
      </c>
      <c r="BL77" s="382">
        <f t="shared" si="13"/>
        <v>135.17366334030098</v>
      </c>
      <c r="BM77" s="382">
        <f>VLOOKUP(BA77, 'Pile Data and Eurocode Factors'!$A$34:$J$39,3, FALSE)</f>
        <v>6572.7116301410997</v>
      </c>
      <c r="BN77" s="403">
        <f t="shared" si="14"/>
        <v>135.17366334030098</v>
      </c>
      <c r="BO77" s="419">
        <v>900</v>
      </c>
      <c r="BP77" s="382">
        <f>PI()*BO77/1000*( Pile!$C$23- Pile!$C77)</f>
        <v>6.7858401317539494</v>
      </c>
      <c r="BQ77" s="382">
        <f t="shared" si="15"/>
        <v>0.63617251235193317</v>
      </c>
      <c r="BR77" s="382">
        <f t="shared" si="56"/>
        <v>54.300799846698247</v>
      </c>
      <c r="BS77" s="382">
        <f>BP77* Pile!$S$23</f>
        <v>0</v>
      </c>
      <c r="BT77" s="382">
        <f>IF(BS77&gt;0,MIN(BR77:BS77),BR77)</f>
        <v>54.300799846698247</v>
      </c>
      <c r="BU77" s="382">
        <f>IF(BT77&gt;0,+BT77)/ 'Pile Data and Eurocode Factors'!$B$14/ 'Pile Data and Eurocode Factors'!$B$15</f>
        <v>24.241428502990292</v>
      </c>
      <c r="BV77" s="382">
        <f t="shared" si="45"/>
        <v>463.56901081804625</v>
      </c>
      <c r="BW77" s="382">
        <f>BQ77* Pile!$U$23</f>
        <v>0</v>
      </c>
      <c r="BX77" s="382">
        <f t="shared" si="16"/>
        <v>463.56901081804625</v>
      </c>
      <c r="BY77" s="382">
        <f>BX77/ 'Pile Data and Eurocode Factors'!$C$14/ 'Pile Data and Eurocode Factors'!$C$15</f>
        <v>165.56036100644511</v>
      </c>
      <c r="BZ77" s="382">
        <f t="shared" si="17"/>
        <v>189.80178950943539</v>
      </c>
      <c r="CA77" s="382">
        <f>VLOOKUP(BO77, 'Pile Data and Eurocode Factors'!$A$34:$J$39,3, FALSE)</f>
        <v>9464.7047474031824</v>
      </c>
      <c r="CB77" s="403">
        <f t="shared" si="18"/>
        <v>189.80178950943539</v>
      </c>
      <c r="CC77" s="419">
        <v>1050</v>
      </c>
      <c r="CD77" s="382">
        <f>PI()*CC77/1000*( Pile!$C$23- Pile!$C77)</f>
        <v>7.9168134870462739</v>
      </c>
      <c r="CE77" s="382">
        <f t="shared" si="19"/>
        <v>0.86590147514568672</v>
      </c>
      <c r="CF77" s="382">
        <f t="shared" si="57"/>
        <v>63.350933154481289</v>
      </c>
      <c r="CG77" s="382">
        <f>CD77* Pile!$S$23</f>
        <v>0</v>
      </c>
      <c r="CH77" s="382">
        <f>IF(CG77&gt;0,MIN(CF77:CG77),CF77)</f>
        <v>63.350933154481289</v>
      </c>
      <c r="CI77" s="382">
        <f>IF(CH77&gt;0,+CH77)/ 'Pile Data and Eurocode Factors'!$B$14/ 'Pile Data and Eurocode Factors'!$B$15</f>
        <v>28.281666586822006</v>
      </c>
      <c r="CJ77" s="382">
        <f t="shared" si="48"/>
        <v>630.96893139122949</v>
      </c>
      <c r="CK77" s="382">
        <f>CE77* Pile!$U$23</f>
        <v>0</v>
      </c>
      <c r="CL77" s="382">
        <f t="shared" si="20"/>
        <v>630.96893139122949</v>
      </c>
      <c r="CM77" s="382">
        <f>CL77/ 'Pile Data and Eurocode Factors'!$C$14/ 'Pile Data and Eurocode Factors'!$C$15</f>
        <v>225.34604692543911</v>
      </c>
      <c r="CN77" s="382">
        <f t="shared" si="21"/>
        <v>253.62771351226112</v>
      </c>
      <c r="CO77" s="382">
        <f>VLOOKUP(CC77, 'Pile Data and Eurocode Factors'!$A$34:$J$39,3, FALSE)</f>
        <v>12882.514795076555</v>
      </c>
      <c r="CP77" s="403">
        <f t="shared" si="22"/>
        <v>253.62771351226112</v>
      </c>
      <c r="CQ77" s="419">
        <v>1200</v>
      </c>
      <c r="CR77" s="382">
        <f>PI()*CQ77/1000*( Pile!$C$23- Pile!$C77)</f>
        <v>9.0477868423385992</v>
      </c>
      <c r="CS77" s="382">
        <f t="shared" si="23"/>
        <v>1.1309733552923256</v>
      </c>
      <c r="CT77" s="382">
        <f t="shared" si="58"/>
        <v>72.401066462264325</v>
      </c>
      <c r="CU77" s="382">
        <f>CR77* Pile!$S$23</f>
        <v>0</v>
      </c>
      <c r="CV77" s="382">
        <f>IF(CU77&gt;0,MIN(CT77:CU77),CT77)</f>
        <v>72.401066462264325</v>
      </c>
      <c r="CW77" s="382">
        <f>IF(CV77&gt;0,+CV77)/ 'Pile Data and Eurocode Factors'!$B$14/ 'Pile Data and Eurocode Factors'!$B$15</f>
        <v>32.321904670653716</v>
      </c>
      <c r="CX77" s="382">
        <f t="shared" si="51"/>
        <v>824.12268589874884</v>
      </c>
      <c r="CY77" s="382">
        <f>CS77* Pile!$U$23</f>
        <v>0</v>
      </c>
      <c r="CZ77" s="382">
        <f t="shared" si="24"/>
        <v>824.12268589874884</v>
      </c>
      <c r="DA77" s="382">
        <f>CZ77/ 'Pile Data and Eurocode Factors'!$C$14/ 'Pile Data and Eurocode Factors'!$C$15</f>
        <v>294.32953067812463</v>
      </c>
      <c r="DB77" s="382">
        <f t="shared" si="25"/>
        <v>326.65143534877836</v>
      </c>
      <c r="DC77" s="382">
        <f>VLOOKUP(CQ77, 'Pile Data and Eurocode Factors'!$A$34:$J$39,3, FALSE)</f>
        <v>16826.141773161216</v>
      </c>
      <c r="DD77" s="403">
        <f t="shared" si="26"/>
        <v>326.65143534877836</v>
      </c>
      <c r="DE77" s="420">
        <f xml:space="preserve"> Pile!$C$23- Pile!C77</f>
        <v>2.3999999999999986</v>
      </c>
      <c r="DG77" s="382">
        <f t="shared" si="52"/>
        <v>53.510804503106421</v>
      </c>
      <c r="DH77" s="382">
        <f t="shared" si="27"/>
        <v>89.743335004858011</v>
      </c>
      <c r="DI77" s="382">
        <f t="shared" si="28"/>
        <v>135.17366334030098</v>
      </c>
      <c r="DJ77" s="382">
        <f t="shared" si="29"/>
        <v>189.80178950943539</v>
      </c>
      <c r="DK77" s="382">
        <f t="shared" si="30"/>
        <v>253.62771351226112</v>
      </c>
      <c r="DL77" s="382">
        <f t="shared" si="53"/>
        <v>326.65143534877836</v>
      </c>
    </row>
    <row r="78" spans="2:116" s="308" customFormat="1" ht="15">
      <c r="B78" s="400">
        <v>9</v>
      </c>
      <c r="C78" s="401">
        <f>+C77- Pile!D$23/20</f>
        <v>3.3000000000000016</v>
      </c>
      <c r="D78" s="415" t="str">
        <f>B23</f>
        <v>Loose Sand/Gravel</v>
      </c>
      <c r="E78" s="415" t="str">
        <f>F23</f>
        <v>Granular</v>
      </c>
      <c r="F78" s="401">
        <f xml:space="preserve"> Pile!$E$23*(+C77-C78)+F77</f>
        <v>44.549999999999969</v>
      </c>
      <c r="G78" s="401">
        <f>IF(C78&gt; Pile!$C$28,0,( Pile!$C$28-C78)*9.81)</f>
        <v>0</v>
      </c>
      <c r="H78" s="401">
        <f t="shared" si="0"/>
        <v>44.549999999999969</v>
      </c>
      <c r="I78" s="401">
        <f t="shared" si="1"/>
        <v>22.274999999999984</v>
      </c>
      <c r="J78" s="401">
        <f>IF(E78="Cohesive",(( Pile!$H$23- Pile!$G$23)/20)+J77,0)</f>
        <v>0</v>
      </c>
      <c r="K78" s="401">
        <f>IF(E78="Cohesive",( Pile!$G$23+ Pile!$J78)/2,0)</f>
        <v>0</v>
      </c>
      <c r="L78" s="401" t="str">
        <f>IF( Pile!I$23="",0, Pile!I$23)</f>
        <v>0</v>
      </c>
      <c r="M78" s="401" t="str">
        <f>IF( Pile!J$23="",0, Pile!J$23)</f>
        <v>0</v>
      </c>
      <c r="N78" s="401">
        <f>IF(E78="Granular", Pile!$K$23,0)</f>
        <v>18.401122218708668</v>
      </c>
      <c r="O78" s="416">
        <f>IF(AND(E78="Granular",D78&lt;&gt;"Made Ground"), Pile!$L$23,0)</f>
        <v>0.404145188432738</v>
      </c>
      <c r="P78" s="401">
        <f>IF(OR(D78="Low Density Chalk",D78="Medium Density Chalk"), Pile!$M$23,0)</f>
        <v>0</v>
      </c>
      <c r="Q78" s="417">
        <f>IF(D78="High Density Chalk", Pile!$N$23,0)</f>
        <v>0</v>
      </c>
      <c r="R78" s="401">
        <f>IF( Pile!O$23="",0, Pile!O$23)</f>
        <v>0</v>
      </c>
      <c r="S78" s="418">
        <f t="shared" si="31"/>
        <v>9.0023340723392327</v>
      </c>
      <c r="T78" s="382">
        <f xml:space="preserve"> Pile!$T$23</f>
        <v>1200</v>
      </c>
      <c r="U78" s="382">
        <f t="shared" si="32"/>
        <v>9.0023340723392327</v>
      </c>
      <c r="V78" s="382">
        <f t="shared" si="2"/>
        <v>819.76999484347061</v>
      </c>
      <c r="W78" s="382">
        <f xml:space="preserve"> Pile!$V$23</f>
        <v>15000</v>
      </c>
      <c r="X78" s="382">
        <f t="shared" si="33"/>
        <v>819.76999484347061</v>
      </c>
      <c r="Y78" s="419">
        <v>450</v>
      </c>
      <c r="Z78" s="382">
        <f>PI()*Y78/1000*( Pile!$C$23- Pile!$C78)</f>
        <v>3.8170350741115966</v>
      </c>
      <c r="AA78" s="382">
        <f t="shared" si="3"/>
        <v>0.15904312808798329</v>
      </c>
      <c r="AB78" s="382">
        <f t="shared" si="34"/>
        <v>34.362224902988736</v>
      </c>
      <c r="AC78" s="382">
        <f>Z78* Pile!$S$23</f>
        <v>0</v>
      </c>
      <c r="AD78" s="382">
        <f t="shared" si="35"/>
        <v>34.362224902988736</v>
      </c>
      <c r="AE78" s="382">
        <f>IF(AD78&gt;0,+AD78)/ 'Pile Data and Eurocode Factors'!$B$14/ 'Pile Data and Eurocode Factors'!$B$15</f>
        <v>15.340278974548545</v>
      </c>
      <c r="AF78" s="382">
        <f t="shared" si="36"/>
        <v>130.37878429257549</v>
      </c>
      <c r="AG78" s="382">
        <f>AA78* Pile!$U$23</f>
        <v>0</v>
      </c>
      <c r="AH78" s="382">
        <f t="shared" si="4"/>
        <v>130.37878429257549</v>
      </c>
      <c r="AI78" s="382">
        <f>AH78/ 'Pile Data and Eurocode Factors'!$C$14/ 'Pile Data and Eurocode Factors'!$C$15</f>
        <v>46.563851533062675</v>
      </c>
      <c r="AJ78" s="382">
        <f t="shared" si="5"/>
        <v>61.904130507611221</v>
      </c>
      <c r="AK78" s="382">
        <f>VLOOKUP(Y78, 'Pile Data and Eurocode Factors'!$A$34:$J$39,3, FALSE)</f>
        <v>2366.1761868507956</v>
      </c>
      <c r="AL78" s="403">
        <f t="shared" si="6"/>
        <v>61.904130507611221</v>
      </c>
      <c r="AM78" s="419">
        <v>600</v>
      </c>
      <c r="AN78" s="382">
        <f>PI()*AM78/1000*( Pile!$C$23- Pile!$C78)</f>
        <v>5.0893800988154618</v>
      </c>
      <c r="AO78" s="382">
        <f t="shared" si="7"/>
        <v>0.28274333882308139</v>
      </c>
      <c r="AP78" s="382">
        <f t="shared" si="54"/>
        <v>45.81629987065164</v>
      </c>
      <c r="AQ78" s="382">
        <f>AN78* Pile!$S$23</f>
        <v>0</v>
      </c>
      <c r="AR78" s="382">
        <f t="shared" ref="AR78:AR141" si="59">IF(AQ78&gt;0,MIN(AP78:AQ78),AP78)</f>
        <v>45.81629987065164</v>
      </c>
      <c r="AS78" s="382">
        <f>IF(AR78&gt;0,+AR78)/ 'Pile Data and Eurocode Factors'!$B$14/ 'Pile Data and Eurocode Factors'!$B$15</f>
        <v>20.453705299398052</v>
      </c>
      <c r="AT78" s="382">
        <f t="shared" si="39"/>
        <v>231.7845054090231</v>
      </c>
      <c r="AU78" s="382">
        <f>AO78* Pile!$U$23</f>
        <v>0</v>
      </c>
      <c r="AV78" s="382">
        <f t="shared" si="8"/>
        <v>231.7845054090231</v>
      </c>
      <c r="AW78" s="382">
        <f>AV78/ 'Pile Data and Eurocode Factors'!$C$14/ 'Pile Data and Eurocode Factors'!$C$15</f>
        <v>82.780180503222539</v>
      </c>
      <c r="AX78" s="382">
        <f t="shared" si="9"/>
        <v>103.23388580262059</v>
      </c>
      <c r="AY78" s="382">
        <f>VLOOKUP(AM78, 'Pile Data and Eurocode Factors'!$A$34:$J$39,3, FALSE)</f>
        <v>4206.5354432903041</v>
      </c>
      <c r="AZ78" s="403">
        <f t="shared" si="10"/>
        <v>103.23388580262059</v>
      </c>
      <c r="BA78" s="419">
        <v>750</v>
      </c>
      <c r="BB78" s="382">
        <f>PI()*BA78/1000*( Pile!$C$23- Pile!$C78)</f>
        <v>6.3617251235193271</v>
      </c>
      <c r="BC78" s="382">
        <f t="shared" si="11"/>
        <v>0.44178646691106466</v>
      </c>
      <c r="BD78" s="382">
        <f t="shared" si="55"/>
        <v>57.270374838314552</v>
      </c>
      <c r="BE78" s="382">
        <f>BB78* Pile!$S$23</f>
        <v>0</v>
      </c>
      <c r="BF78" s="382">
        <f t="shared" ref="BF78:BF129" si="60">IF(BE78&gt;0,MIN(BD78:BE78),BD78)</f>
        <v>57.270374838314552</v>
      </c>
      <c r="BG78" s="382">
        <f>IF(BF78&gt;0,+BF78)/ 'Pile Data and Eurocode Factors'!$B$14/ 'Pile Data and Eurocode Factors'!$B$15</f>
        <v>25.567131624247569</v>
      </c>
      <c r="BH78" s="382">
        <f t="shared" si="42"/>
        <v>362.16328970159856</v>
      </c>
      <c r="BI78" s="382">
        <f>BC78* Pile!$U$23</f>
        <v>0</v>
      </c>
      <c r="BJ78" s="382">
        <f t="shared" si="12"/>
        <v>362.16328970159856</v>
      </c>
      <c r="BK78" s="382">
        <f>BJ78/ 'Pile Data and Eurocode Factors'!$C$14/ 'Pile Data and Eurocode Factors'!$C$15</f>
        <v>129.3440320362852</v>
      </c>
      <c r="BL78" s="382">
        <f t="shared" si="13"/>
        <v>154.91116366053276</v>
      </c>
      <c r="BM78" s="382">
        <f>VLOOKUP(BA78, 'Pile Data and Eurocode Factors'!$A$34:$J$39,3, FALSE)</f>
        <v>6572.7116301410997</v>
      </c>
      <c r="BN78" s="403">
        <f t="shared" si="14"/>
        <v>154.91116366053276</v>
      </c>
      <c r="BO78" s="419">
        <v>900</v>
      </c>
      <c r="BP78" s="382">
        <f>PI()*BO78/1000*( Pile!$C$23- Pile!$C78)</f>
        <v>7.6340701482231932</v>
      </c>
      <c r="BQ78" s="382">
        <f t="shared" si="15"/>
        <v>0.63617251235193317</v>
      </c>
      <c r="BR78" s="382">
        <f t="shared" si="56"/>
        <v>68.724449805977471</v>
      </c>
      <c r="BS78" s="382">
        <f>BP78* Pile!$S$23</f>
        <v>0</v>
      </c>
      <c r="BT78" s="382">
        <f t="shared" ref="BT78:BT129" si="61">IF(BS78&gt;0,MIN(BR78:BS78),BR78)</f>
        <v>68.724449805977471</v>
      </c>
      <c r="BU78" s="382">
        <f>IF(BT78&gt;0,+BT78)/ 'Pile Data and Eurocode Factors'!$B$14/ 'Pile Data and Eurocode Factors'!$B$15</f>
        <v>30.680557949097089</v>
      </c>
      <c r="BV78" s="382">
        <f t="shared" si="45"/>
        <v>521.51513717030195</v>
      </c>
      <c r="BW78" s="382">
        <f>BQ78* Pile!$U$23</f>
        <v>0</v>
      </c>
      <c r="BX78" s="382">
        <f t="shared" si="16"/>
        <v>521.51513717030195</v>
      </c>
      <c r="BY78" s="382">
        <f>BX78/ 'Pile Data and Eurocode Factors'!$C$14/ 'Pile Data and Eurocode Factors'!$C$15</f>
        <v>186.2554061322507</v>
      </c>
      <c r="BZ78" s="382">
        <f t="shared" si="17"/>
        <v>216.93596408134778</v>
      </c>
      <c r="CA78" s="382">
        <f>VLOOKUP(BO78, 'Pile Data and Eurocode Factors'!$A$34:$J$39,3, FALSE)</f>
        <v>9464.7047474031824</v>
      </c>
      <c r="CB78" s="403">
        <f t="shared" si="18"/>
        <v>216.93596408134778</v>
      </c>
      <c r="CC78" s="419">
        <v>1050</v>
      </c>
      <c r="CD78" s="382">
        <f>PI()*CC78/1000*( Pile!$C$23- Pile!$C78)</f>
        <v>8.9064151729270584</v>
      </c>
      <c r="CE78" s="382">
        <f t="shared" si="19"/>
        <v>0.86590147514568672</v>
      </c>
      <c r="CF78" s="382">
        <f t="shared" si="57"/>
        <v>80.178524773640376</v>
      </c>
      <c r="CG78" s="382">
        <f>CD78* Pile!$S$23</f>
        <v>0</v>
      </c>
      <c r="CH78" s="382">
        <f t="shared" ref="CH78:CH89" si="62">IF(CG78&gt;0,MIN(CF78:CG78),CF78)</f>
        <v>80.178524773640376</v>
      </c>
      <c r="CI78" s="382">
        <f>IF(CH78&gt;0,+CH78)/ 'Pile Data and Eurocode Factors'!$B$14/ 'Pile Data and Eurocode Factors'!$B$15</f>
        <v>35.793984273946599</v>
      </c>
      <c r="CJ78" s="382">
        <f t="shared" si="48"/>
        <v>709.84004781513318</v>
      </c>
      <c r="CK78" s="382">
        <f>CE78* Pile!$U$23</f>
        <v>0</v>
      </c>
      <c r="CL78" s="382">
        <f t="shared" si="20"/>
        <v>709.84004781513318</v>
      </c>
      <c r="CM78" s="382">
        <f>CL78/ 'Pile Data and Eurocode Factors'!$C$14/ 'Pile Data and Eurocode Factors'!$C$15</f>
        <v>253.51430279111901</v>
      </c>
      <c r="CN78" s="382">
        <f t="shared" si="21"/>
        <v>289.3082870650656</v>
      </c>
      <c r="CO78" s="382">
        <f>VLOOKUP(CC78, 'Pile Data and Eurocode Factors'!$A$34:$J$39,3, FALSE)</f>
        <v>12882.514795076555</v>
      </c>
      <c r="CP78" s="403">
        <f t="shared" si="22"/>
        <v>289.3082870650656</v>
      </c>
      <c r="CQ78" s="419">
        <v>1200</v>
      </c>
      <c r="CR78" s="382">
        <f>PI()*CQ78/1000*( Pile!$C$23- Pile!$C78)</f>
        <v>10.178760197630924</v>
      </c>
      <c r="CS78" s="382">
        <f t="shared" si="23"/>
        <v>1.1309733552923256</v>
      </c>
      <c r="CT78" s="382">
        <f t="shared" si="58"/>
        <v>91.632599741303281</v>
      </c>
      <c r="CU78" s="382">
        <f>CR78* Pile!$S$23</f>
        <v>0</v>
      </c>
      <c r="CV78" s="382">
        <f t="shared" ref="CV78:CV89" si="63">IF(CU78&gt;0,MIN(CT78:CU78),CT78)</f>
        <v>91.632599741303281</v>
      </c>
      <c r="CW78" s="382">
        <f>IF(CV78&gt;0,+CV78)/ 'Pile Data and Eurocode Factors'!$B$14/ 'Pile Data and Eurocode Factors'!$B$15</f>
        <v>40.907410598796105</v>
      </c>
      <c r="CX78" s="382">
        <f t="shared" si="51"/>
        <v>927.13802163609239</v>
      </c>
      <c r="CY78" s="382">
        <f>CS78* Pile!$U$23</f>
        <v>0</v>
      </c>
      <c r="CZ78" s="382">
        <f t="shared" si="24"/>
        <v>927.13802163609239</v>
      </c>
      <c r="DA78" s="382">
        <f>CZ78/ 'Pile Data and Eurocode Factors'!$C$14/ 'Pile Data and Eurocode Factors'!$C$15</f>
        <v>331.12072201289016</v>
      </c>
      <c r="DB78" s="382">
        <f t="shared" si="25"/>
        <v>372.02813261168626</v>
      </c>
      <c r="DC78" s="382">
        <f>VLOOKUP(CQ78, 'Pile Data and Eurocode Factors'!$A$34:$J$39,3, FALSE)</f>
        <v>16826.141773161216</v>
      </c>
      <c r="DD78" s="403">
        <f t="shared" si="26"/>
        <v>372.02813261168626</v>
      </c>
      <c r="DE78" s="420">
        <f xml:space="preserve"> Pile!$C$23- Pile!C78</f>
        <v>2.6999999999999984</v>
      </c>
      <c r="DG78" s="382">
        <f t="shared" si="52"/>
        <v>61.904130507611221</v>
      </c>
      <c r="DH78" s="382">
        <f t="shared" si="27"/>
        <v>103.23388580262059</v>
      </c>
      <c r="DI78" s="382">
        <f t="shared" si="28"/>
        <v>154.91116366053276</v>
      </c>
      <c r="DJ78" s="382">
        <f t="shared" si="29"/>
        <v>216.93596408134778</v>
      </c>
      <c r="DK78" s="382">
        <f t="shared" si="30"/>
        <v>289.3082870650656</v>
      </c>
      <c r="DL78" s="382">
        <f t="shared" si="53"/>
        <v>372.02813261168626</v>
      </c>
    </row>
    <row r="79" spans="2:116" s="308" customFormat="1" ht="15">
      <c r="B79" s="400">
        <v>10</v>
      </c>
      <c r="C79" s="401">
        <f>+C78- Pile!D$23/20</f>
        <v>3.0000000000000018</v>
      </c>
      <c r="D79" s="415" t="str">
        <f>B23</f>
        <v>Loose Sand/Gravel</v>
      </c>
      <c r="E79" s="415" t="str">
        <f>F23</f>
        <v>Granular</v>
      </c>
      <c r="F79" s="401">
        <f xml:space="preserve"> Pile!$E$23*(+C78-C79)+F78</f>
        <v>49.499999999999964</v>
      </c>
      <c r="G79" s="401">
        <f>IF(C79&gt; Pile!$C$28,0,( Pile!$C$28-C79)*9.81)</f>
        <v>0</v>
      </c>
      <c r="H79" s="401">
        <f t="shared" si="0"/>
        <v>49.499999999999964</v>
      </c>
      <c r="I79" s="401">
        <f t="shared" si="1"/>
        <v>24.749999999999982</v>
      </c>
      <c r="J79" s="401">
        <f>IF(E79="Cohesive",(( Pile!$H$23- Pile!$G$23)/20)+J78,0)</f>
        <v>0</v>
      </c>
      <c r="K79" s="401">
        <f>IF(E79="Cohesive",( Pile!$G$23+ Pile!$J79)/2,0)</f>
        <v>0</v>
      </c>
      <c r="L79" s="401" t="str">
        <f>IF( Pile!I$23="",0, Pile!I$23)</f>
        <v>0</v>
      </c>
      <c r="M79" s="401" t="str">
        <f>IF( Pile!J$23="",0, Pile!J$23)</f>
        <v>0</v>
      </c>
      <c r="N79" s="401">
        <f>IF(E79="Granular", Pile!$K$23,0)</f>
        <v>18.401122218708668</v>
      </c>
      <c r="O79" s="416">
        <f>IF(AND(E79="Granular",D79&lt;&gt;"Made Ground"), Pile!$L$23,0)</f>
        <v>0.404145188432738</v>
      </c>
      <c r="P79" s="401">
        <f>IF(OR(D79="Low Density Chalk",D79="Medium Density Chalk"), Pile!$M$23,0)</f>
        <v>0</v>
      </c>
      <c r="Q79" s="417">
        <f>IF(D79="High Density Chalk", Pile!$N$23,0)</f>
        <v>0</v>
      </c>
      <c r="R79" s="401">
        <f>IF( Pile!O$23="",0, Pile!O$23)</f>
        <v>0</v>
      </c>
      <c r="S79" s="418">
        <f t="shared" si="31"/>
        <v>10.002593413710258</v>
      </c>
      <c r="T79" s="382">
        <f xml:space="preserve"> Pile!$T$23</f>
        <v>1200</v>
      </c>
      <c r="U79" s="382">
        <f t="shared" si="32"/>
        <v>10.002593413710258</v>
      </c>
      <c r="V79" s="382">
        <f t="shared" si="2"/>
        <v>910.85554982607846</v>
      </c>
      <c r="W79" s="382">
        <f xml:space="preserve"> Pile!$V$23</f>
        <v>15000</v>
      </c>
      <c r="X79" s="382">
        <f t="shared" si="33"/>
        <v>910.85554982607846</v>
      </c>
      <c r="Y79" s="419">
        <v>450</v>
      </c>
      <c r="Z79" s="382">
        <f>PI()*Y79/1000*( Pile!$C$23- Pile!$C79)</f>
        <v>4.241150082346218</v>
      </c>
      <c r="AA79" s="382">
        <f t="shared" si="3"/>
        <v>0.15904312808798329</v>
      </c>
      <c r="AB79" s="382">
        <f t="shared" si="34"/>
        <v>42.422499880232998</v>
      </c>
      <c r="AC79" s="382">
        <f>Z79* Pile!$S$23</f>
        <v>0</v>
      </c>
      <c r="AD79" s="382">
        <f t="shared" si="35"/>
        <v>42.422499880232998</v>
      </c>
      <c r="AE79" s="382">
        <f>IF(AD79&gt;0,+AD79)/ 'Pile Data and Eurocode Factors'!$B$14/ 'Pile Data and Eurocode Factors'!$B$15</f>
        <v>18.938616017961159</v>
      </c>
      <c r="AF79" s="382">
        <f t="shared" si="36"/>
        <v>144.86531588063946</v>
      </c>
      <c r="AG79" s="382">
        <f>AA79* Pile!$U$23</f>
        <v>0</v>
      </c>
      <c r="AH79" s="382">
        <f t="shared" si="4"/>
        <v>144.86531588063946</v>
      </c>
      <c r="AI79" s="382">
        <f>AH79/ 'Pile Data and Eurocode Factors'!$C$14/ 'Pile Data and Eurocode Factors'!$C$15</f>
        <v>51.737612814514094</v>
      </c>
      <c r="AJ79" s="382">
        <f t="shared" si="5"/>
        <v>70.67622883247526</v>
      </c>
      <c r="AK79" s="382">
        <f>VLOOKUP(Y79, 'Pile Data and Eurocode Factors'!$A$34:$J$39,3, FALSE)</f>
        <v>2366.1761868507956</v>
      </c>
      <c r="AL79" s="403">
        <f t="shared" si="6"/>
        <v>70.67622883247526</v>
      </c>
      <c r="AM79" s="419">
        <v>600</v>
      </c>
      <c r="AN79" s="382">
        <f>PI()*AM79/1000*( Pile!$C$23- Pile!$C79)</f>
        <v>5.6548667764616241</v>
      </c>
      <c r="AO79" s="382">
        <f t="shared" si="7"/>
        <v>0.28274333882308139</v>
      </c>
      <c r="AP79" s="382">
        <f t="shared" si="54"/>
        <v>56.563333173643997</v>
      </c>
      <c r="AQ79" s="382">
        <f>AN79* Pile!$S$23</f>
        <v>0</v>
      </c>
      <c r="AR79" s="382">
        <f t="shared" si="59"/>
        <v>56.563333173643997</v>
      </c>
      <c r="AS79" s="382">
        <f>IF(AR79&gt;0,+AR79)/ 'Pile Data and Eurocode Factors'!$B$14/ 'Pile Data and Eurocode Factors'!$B$15</f>
        <v>25.251488023948212</v>
      </c>
      <c r="AT79" s="382">
        <f t="shared" si="39"/>
        <v>257.53833934335898</v>
      </c>
      <c r="AU79" s="382">
        <f>AO79* Pile!$U$23</f>
        <v>0</v>
      </c>
      <c r="AV79" s="382">
        <f t="shared" si="8"/>
        <v>257.53833934335898</v>
      </c>
      <c r="AW79" s="382">
        <f>AV79/ 'Pile Data and Eurocode Factors'!$C$14/ 'Pile Data and Eurocode Factors'!$C$15</f>
        <v>91.977978336913935</v>
      </c>
      <c r="AX79" s="382">
        <f t="shared" si="9"/>
        <v>117.22946636086215</v>
      </c>
      <c r="AY79" s="382">
        <f>VLOOKUP(AM79, 'Pile Data and Eurocode Factors'!$A$34:$J$39,3, FALSE)</f>
        <v>4206.5354432903041</v>
      </c>
      <c r="AZ79" s="403">
        <f t="shared" si="10"/>
        <v>117.22946636086215</v>
      </c>
      <c r="BA79" s="419">
        <v>750</v>
      </c>
      <c r="BB79" s="382">
        <f>PI()*BA79/1000*( Pile!$C$23- Pile!$C79)</f>
        <v>7.0685834705770301</v>
      </c>
      <c r="BC79" s="382">
        <f t="shared" si="11"/>
        <v>0.44178646691106466</v>
      </c>
      <c r="BD79" s="382">
        <f t="shared" si="55"/>
        <v>70.704166467055003</v>
      </c>
      <c r="BE79" s="382">
        <f>BB79* Pile!$S$23</f>
        <v>0</v>
      </c>
      <c r="BF79" s="382">
        <f t="shared" si="60"/>
        <v>70.704166467055003</v>
      </c>
      <c r="BG79" s="382">
        <f>IF(BF79&gt;0,+BF79)/ 'Pile Data and Eurocode Factors'!$B$14/ 'Pile Data and Eurocode Factors'!$B$15</f>
        <v>31.564360029935269</v>
      </c>
      <c r="BH79" s="382">
        <f t="shared" si="42"/>
        <v>402.40365522399844</v>
      </c>
      <c r="BI79" s="382">
        <f>BC79* Pile!$U$23</f>
        <v>0</v>
      </c>
      <c r="BJ79" s="382">
        <f t="shared" si="12"/>
        <v>402.40365522399844</v>
      </c>
      <c r="BK79" s="382">
        <f>BJ79/ 'Pile Data and Eurocode Factors'!$C$14/ 'Pile Data and Eurocode Factors'!$C$15</f>
        <v>143.71559115142801</v>
      </c>
      <c r="BL79" s="382">
        <f t="shared" si="13"/>
        <v>175.27995118136329</v>
      </c>
      <c r="BM79" s="382">
        <f>VLOOKUP(BA79, 'Pile Data and Eurocode Factors'!$A$34:$J$39,3, FALSE)</f>
        <v>6572.7116301410997</v>
      </c>
      <c r="BN79" s="403">
        <f t="shared" si="14"/>
        <v>175.27995118136329</v>
      </c>
      <c r="BO79" s="419">
        <v>900</v>
      </c>
      <c r="BP79" s="382">
        <f>PI()*BO79/1000*( Pile!$C$23- Pile!$C79)</f>
        <v>8.4823001646924361</v>
      </c>
      <c r="BQ79" s="382">
        <f t="shared" si="15"/>
        <v>0.63617251235193317</v>
      </c>
      <c r="BR79" s="382">
        <f t="shared" si="56"/>
        <v>84.844999760465996</v>
      </c>
      <c r="BS79" s="382">
        <f>BP79* Pile!$S$23</f>
        <v>0</v>
      </c>
      <c r="BT79" s="382">
        <f t="shared" si="61"/>
        <v>84.844999760465996</v>
      </c>
      <c r="BU79" s="382">
        <f>IF(BT79&gt;0,+BT79)/ 'Pile Data and Eurocode Factors'!$B$14/ 'Pile Data and Eurocode Factors'!$B$15</f>
        <v>37.877232035922319</v>
      </c>
      <c r="BV79" s="382">
        <f t="shared" si="45"/>
        <v>579.46126352255783</v>
      </c>
      <c r="BW79" s="382">
        <f>BQ79* Pile!$U$23</f>
        <v>0</v>
      </c>
      <c r="BX79" s="382">
        <f t="shared" si="16"/>
        <v>579.46126352255783</v>
      </c>
      <c r="BY79" s="382">
        <f>BX79/ 'Pile Data and Eurocode Factors'!$C$14/ 'Pile Data and Eurocode Factors'!$C$15</f>
        <v>206.95045125805638</v>
      </c>
      <c r="BZ79" s="382">
        <f t="shared" si="17"/>
        <v>244.82768329397868</v>
      </c>
      <c r="CA79" s="382">
        <f>VLOOKUP(BO79, 'Pile Data and Eurocode Factors'!$A$34:$J$39,3, FALSE)</f>
        <v>9464.7047474031824</v>
      </c>
      <c r="CB79" s="403">
        <f t="shared" si="18"/>
        <v>244.82768329397868</v>
      </c>
      <c r="CC79" s="419">
        <v>1050</v>
      </c>
      <c r="CD79" s="382">
        <f>PI()*CC79/1000*( Pile!$C$23- Pile!$C79)</f>
        <v>9.8960168588078421</v>
      </c>
      <c r="CE79" s="382">
        <f t="shared" si="19"/>
        <v>0.86590147514568672</v>
      </c>
      <c r="CF79" s="382">
        <f t="shared" si="57"/>
        <v>98.985833053877002</v>
      </c>
      <c r="CG79" s="382">
        <f>CD79* Pile!$S$23</f>
        <v>0</v>
      </c>
      <c r="CH79" s="382">
        <f t="shared" si="62"/>
        <v>98.985833053877002</v>
      </c>
      <c r="CI79" s="382">
        <f>IF(CH79&gt;0,+CH79)/ 'Pile Data and Eurocode Factors'!$B$14/ 'Pile Data and Eurocode Factors'!$B$15</f>
        <v>44.190104041909372</v>
      </c>
      <c r="CJ79" s="382">
        <f t="shared" si="48"/>
        <v>788.71116423903686</v>
      </c>
      <c r="CK79" s="382">
        <f>CE79* Pile!$U$23</f>
        <v>0</v>
      </c>
      <c r="CL79" s="382">
        <f t="shared" si="20"/>
        <v>788.71116423903686</v>
      </c>
      <c r="CM79" s="382">
        <f>CL79/ 'Pile Data and Eurocode Factors'!$C$14/ 'Pile Data and Eurocode Factors'!$C$15</f>
        <v>281.6825586567989</v>
      </c>
      <c r="CN79" s="382">
        <f t="shared" si="21"/>
        <v>325.87266269870827</v>
      </c>
      <c r="CO79" s="382">
        <f>VLOOKUP(CC79, 'Pile Data and Eurocode Factors'!$A$34:$J$39,3, FALSE)</f>
        <v>12882.514795076555</v>
      </c>
      <c r="CP79" s="403">
        <f t="shared" si="22"/>
        <v>325.87266269870827</v>
      </c>
      <c r="CQ79" s="419">
        <v>1200</v>
      </c>
      <c r="CR79" s="382">
        <f>PI()*CQ79/1000*( Pile!$C$23- Pile!$C79)</f>
        <v>11.309733552923248</v>
      </c>
      <c r="CS79" s="382">
        <f t="shared" si="23"/>
        <v>1.1309733552923256</v>
      </c>
      <c r="CT79" s="382">
        <f t="shared" si="58"/>
        <v>113.12666634728799</v>
      </c>
      <c r="CU79" s="382">
        <f>CR79* Pile!$S$23</f>
        <v>0</v>
      </c>
      <c r="CV79" s="382">
        <f t="shared" si="63"/>
        <v>113.12666634728799</v>
      </c>
      <c r="CW79" s="382">
        <f>IF(CV79&gt;0,+CV79)/ 'Pile Data and Eurocode Factors'!$B$14/ 'Pile Data and Eurocode Factors'!$B$15</f>
        <v>50.502976047896425</v>
      </c>
      <c r="CX79" s="382">
        <f t="shared" si="51"/>
        <v>1030.1533573734359</v>
      </c>
      <c r="CY79" s="382">
        <f>CS79* Pile!$U$23</f>
        <v>0</v>
      </c>
      <c r="CZ79" s="382">
        <f t="shared" si="24"/>
        <v>1030.1533573734359</v>
      </c>
      <c r="DA79" s="382">
        <f>CZ79/ 'Pile Data and Eurocode Factors'!$C$14/ 'Pile Data and Eurocode Factors'!$C$15</f>
        <v>367.91191334765574</v>
      </c>
      <c r="DB79" s="382">
        <f t="shared" si="25"/>
        <v>418.41488939555217</v>
      </c>
      <c r="DC79" s="382">
        <f>VLOOKUP(CQ79, 'Pile Data and Eurocode Factors'!$A$34:$J$39,3, FALSE)</f>
        <v>16826.141773161216</v>
      </c>
      <c r="DD79" s="403">
        <f t="shared" si="26"/>
        <v>418.41488939555217</v>
      </c>
      <c r="DE79" s="420">
        <f xml:space="preserve"> Pile!$C$23- Pile!C79</f>
        <v>2.9999999999999982</v>
      </c>
      <c r="DG79" s="382">
        <f t="shared" si="52"/>
        <v>70.67622883247526</v>
      </c>
      <c r="DH79" s="382">
        <f t="shared" si="27"/>
        <v>117.22946636086215</v>
      </c>
      <c r="DI79" s="382">
        <f t="shared" si="28"/>
        <v>175.27995118136329</v>
      </c>
      <c r="DJ79" s="382">
        <f t="shared" si="29"/>
        <v>244.82768329397868</v>
      </c>
      <c r="DK79" s="382">
        <f t="shared" si="30"/>
        <v>325.87266269870827</v>
      </c>
      <c r="DL79" s="382">
        <f t="shared" si="53"/>
        <v>418.41488939555217</v>
      </c>
    </row>
    <row r="80" spans="2:116" s="308" customFormat="1" ht="15">
      <c r="B80" s="400">
        <v>11</v>
      </c>
      <c r="C80" s="401">
        <f>+C79- Pile!D$23/20</f>
        <v>2.700000000000002</v>
      </c>
      <c r="D80" s="415" t="str">
        <f>B23</f>
        <v>Loose Sand/Gravel</v>
      </c>
      <c r="E80" s="415" t="str">
        <f>F23</f>
        <v>Granular</v>
      </c>
      <c r="F80" s="401">
        <f xml:space="preserve"> Pile!$E$23*(+C79-C80)+F79</f>
        <v>54.44999999999996</v>
      </c>
      <c r="G80" s="401">
        <f>IF(C80&gt; Pile!$C$28,0,( Pile!$C$28-C80)*9.81)</f>
        <v>0</v>
      </c>
      <c r="H80" s="401">
        <f t="shared" si="0"/>
        <v>54.44999999999996</v>
      </c>
      <c r="I80" s="401">
        <f t="shared" si="1"/>
        <v>27.22499999999998</v>
      </c>
      <c r="J80" s="401">
        <f>IF(E80="Cohesive",(( Pile!$H$23- Pile!$G$23)/20)+J79,0)</f>
        <v>0</v>
      </c>
      <c r="K80" s="401">
        <f>IF(E80="Cohesive",( Pile!$G$23+ Pile!$J80)/2,0)</f>
        <v>0</v>
      </c>
      <c r="L80" s="401" t="str">
        <f>IF( Pile!I$23="",0, Pile!I$23)</f>
        <v>0</v>
      </c>
      <c r="M80" s="401" t="str">
        <f>IF( Pile!J$23="",0, Pile!J$23)</f>
        <v>0</v>
      </c>
      <c r="N80" s="401">
        <f>IF(E80="Granular", Pile!$K$23,0)</f>
        <v>18.401122218708668</v>
      </c>
      <c r="O80" s="416">
        <f>IF(AND(E80="Granular",D80&lt;&gt;"Made Ground"), Pile!$L$23,0)</f>
        <v>0.404145188432738</v>
      </c>
      <c r="P80" s="401">
        <f>IF(OR(D80="Low Density Chalk",D80="Medium Density Chalk"), Pile!$M$23,0)</f>
        <v>0</v>
      </c>
      <c r="Q80" s="417">
        <f>IF(D80="High Density Chalk", Pile!$N$23,0)</f>
        <v>0</v>
      </c>
      <c r="R80" s="401">
        <f>IF( Pile!O$23="",0, Pile!O$23)</f>
        <v>0</v>
      </c>
      <c r="S80" s="418">
        <f t="shared" si="31"/>
        <v>11.002852755081284</v>
      </c>
      <c r="T80" s="382">
        <f xml:space="preserve"> Pile!$T$23</f>
        <v>1200</v>
      </c>
      <c r="U80" s="382">
        <f t="shared" si="32"/>
        <v>11.002852755081284</v>
      </c>
      <c r="V80" s="382">
        <f t="shared" si="2"/>
        <v>1001.9411048086862</v>
      </c>
      <c r="W80" s="382">
        <f xml:space="preserve"> Pile!$V$23</f>
        <v>15000</v>
      </c>
      <c r="X80" s="382">
        <f t="shared" si="33"/>
        <v>1001.9411048086862</v>
      </c>
      <c r="Y80" s="419">
        <v>450</v>
      </c>
      <c r="Z80" s="382">
        <f>PI()*Y80/1000*( Pile!$C$23- Pile!$C80)</f>
        <v>4.6652650905808404</v>
      </c>
      <c r="AA80" s="382">
        <f t="shared" si="3"/>
        <v>0.15904312808798329</v>
      </c>
      <c r="AB80" s="382">
        <f t="shared" si="34"/>
        <v>51.331224855081935</v>
      </c>
      <c r="AC80" s="382">
        <f>Z80* Pile!$S$23</f>
        <v>0</v>
      </c>
      <c r="AD80" s="382">
        <f t="shared" si="35"/>
        <v>51.331224855081935</v>
      </c>
      <c r="AE80" s="382">
        <f>IF(AD80&gt;0,+AD80)/ 'Pile Data and Eurocode Factors'!$B$14/ 'Pile Data and Eurocode Factors'!$B$15</f>
        <v>22.915725381733008</v>
      </c>
      <c r="AF80" s="382">
        <f t="shared" si="36"/>
        <v>159.35184746870337</v>
      </c>
      <c r="AG80" s="382">
        <f>AA80* Pile!$U$23</f>
        <v>0</v>
      </c>
      <c r="AH80" s="382">
        <f t="shared" si="4"/>
        <v>159.35184746870337</v>
      </c>
      <c r="AI80" s="382">
        <f>AH80/ 'Pile Data and Eurocode Factors'!$C$14/ 'Pile Data and Eurocode Factors'!$C$15</f>
        <v>56.911374095965492</v>
      </c>
      <c r="AJ80" s="382">
        <f t="shared" si="5"/>
        <v>79.827099477698496</v>
      </c>
      <c r="AK80" s="382">
        <f>VLOOKUP(Y80, 'Pile Data and Eurocode Factors'!$A$34:$J$39,3, FALSE)</f>
        <v>2366.1761868507956</v>
      </c>
      <c r="AL80" s="403">
        <f t="shared" si="6"/>
        <v>79.827099477698496</v>
      </c>
      <c r="AM80" s="419">
        <v>600</v>
      </c>
      <c r="AN80" s="382">
        <f>PI()*AM80/1000*( Pile!$C$23- Pile!$C80)</f>
        <v>6.2203534541077863</v>
      </c>
      <c r="AO80" s="382">
        <f t="shared" si="7"/>
        <v>0.28274333882308139</v>
      </c>
      <c r="AP80" s="382">
        <f t="shared" si="54"/>
        <v>68.441633140109232</v>
      </c>
      <c r="AQ80" s="382">
        <f>AN80* Pile!$S$23</f>
        <v>0</v>
      </c>
      <c r="AR80" s="382">
        <f t="shared" si="59"/>
        <v>68.441633140109232</v>
      </c>
      <c r="AS80" s="382">
        <f>IF(AR80&gt;0,+AR80)/ 'Pile Data and Eurocode Factors'!$B$14/ 'Pile Data and Eurocode Factors'!$B$15</f>
        <v>30.554300508977338</v>
      </c>
      <c r="AT80" s="382">
        <f t="shared" si="39"/>
        <v>283.29217327769487</v>
      </c>
      <c r="AU80" s="382">
        <f>AO80* Pile!$U$23</f>
        <v>0</v>
      </c>
      <c r="AV80" s="382">
        <f t="shared" si="8"/>
        <v>283.29217327769487</v>
      </c>
      <c r="AW80" s="382">
        <f>AV80/ 'Pile Data and Eurocode Factors'!$C$14/ 'Pile Data and Eurocode Factors'!$C$15</f>
        <v>101.17577617060532</v>
      </c>
      <c r="AX80" s="382">
        <f t="shared" si="9"/>
        <v>131.73007667958265</v>
      </c>
      <c r="AY80" s="382">
        <f>VLOOKUP(AM80, 'Pile Data and Eurocode Factors'!$A$34:$J$39,3, FALSE)</f>
        <v>4206.5354432903041</v>
      </c>
      <c r="AZ80" s="403">
        <f t="shared" si="10"/>
        <v>131.73007667958265</v>
      </c>
      <c r="BA80" s="419">
        <v>750</v>
      </c>
      <c r="BB80" s="382">
        <f>PI()*BA80/1000*( Pile!$C$23- Pile!$C80)</f>
        <v>7.7754418176347331</v>
      </c>
      <c r="BC80" s="382">
        <f t="shared" si="11"/>
        <v>0.44178646691106466</v>
      </c>
      <c r="BD80" s="382">
        <f t="shared" si="55"/>
        <v>85.552041425136551</v>
      </c>
      <c r="BE80" s="382">
        <f>BB80* Pile!$S$23</f>
        <v>0</v>
      </c>
      <c r="BF80" s="382">
        <f t="shared" si="60"/>
        <v>85.552041425136551</v>
      </c>
      <c r="BG80" s="382">
        <f>IF(BF80&gt;0,+BF80)/ 'Pile Data and Eurocode Factors'!$B$14/ 'Pile Data and Eurocode Factors'!$B$15</f>
        <v>38.192875636221672</v>
      </c>
      <c r="BH80" s="382">
        <f t="shared" si="42"/>
        <v>442.64402074639821</v>
      </c>
      <c r="BI80" s="382">
        <f>BC80* Pile!$U$23</f>
        <v>0</v>
      </c>
      <c r="BJ80" s="382">
        <f t="shared" si="12"/>
        <v>442.64402074639821</v>
      </c>
      <c r="BK80" s="382">
        <f>BJ80/ 'Pile Data and Eurocode Factors'!$C$14/ 'Pile Data and Eurocode Factors'!$C$15</f>
        <v>158.0871502665708</v>
      </c>
      <c r="BL80" s="382">
        <f t="shared" si="13"/>
        <v>196.28002590279249</v>
      </c>
      <c r="BM80" s="382">
        <f>VLOOKUP(BA80, 'Pile Data and Eurocode Factors'!$A$34:$J$39,3, FALSE)</f>
        <v>6572.7116301410997</v>
      </c>
      <c r="BN80" s="403">
        <f t="shared" si="14"/>
        <v>196.28002590279249</v>
      </c>
      <c r="BO80" s="419">
        <v>900</v>
      </c>
      <c r="BP80" s="382">
        <f>PI()*BO80/1000*( Pile!$C$23- Pile!$C80)</f>
        <v>9.3305301811616808</v>
      </c>
      <c r="BQ80" s="382">
        <f t="shared" si="15"/>
        <v>0.63617251235193317</v>
      </c>
      <c r="BR80" s="382">
        <f t="shared" si="56"/>
        <v>102.66244971016387</v>
      </c>
      <c r="BS80" s="382">
        <f>BP80* Pile!$S$23</f>
        <v>0</v>
      </c>
      <c r="BT80" s="382">
        <f t="shared" si="61"/>
        <v>102.66244971016387</v>
      </c>
      <c r="BU80" s="382">
        <f>IF(BT80&gt;0,+BT80)/ 'Pile Data and Eurocode Factors'!$B$14/ 'Pile Data and Eurocode Factors'!$B$15</f>
        <v>45.831450763466016</v>
      </c>
      <c r="BV80" s="382">
        <f t="shared" si="45"/>
        <v>637.40738987481348</v>
      </c>
      <c r="BW80" s="382">
        <f>BQ80* Pile!$U$23</f>
        <v>0</v>
      </c>
      <c r="BX80" s="382">
        <f t="shared" si="16"/>
        <v>637.40738987481348</v>
      </c>
      <c r="BY80" s="382">
        <f>BX80/ 'Pile Data and Eurocode Factors'!$C$14/ 'Pile Data and Eurocode Factors'!$C$15</f>
        <v>227.64549638386197</v>
      </c>
      <c r="BZ80" s="382">
        <f t="shared" si="17"/>
        <v>273.47694714732796</v>
      </c>
      <c r="CA80" s="382">
        <f>VLOOKUP(BO80, 'Pile Data and Eurocode Factors'!$A$34:$J$39,3, FALSE)</f>
        <v>9464.7047474031824</v>
      </c>
      <c r="CB80" s="403">
        <f t="shared" si="18"/>
        <v>273.47694714732796</v>
      </c>
      <c r="CC80" s="419">
        <v>1050</v>
      </c>
      <c r="CD80" s="382">
        <f>PI()*CC80/1000*( Pile!$C$23- Pile!$C80)</f>
        <v>10.885618544688628</v>
      </c>
      <c r="CE80" s="382">
        <f t="shared" si="19"/>
        <v>0.86590147514568672</v>
      </c>
      <c r="CF80" s="382">
        <f t="shared" si="57"/>
        <v>119.77285799519117</v>
      </c>
      <c r="CG80" s="382">
        <f>CD80* Pile!$S$23</f>
        <v>0</v>
      </c>
      <c r="CH80" s="382">
        <f t="shared" si="62"/>
        <v>119.77285799519117</v>
      </c>
      <c r="CI80" s="382">
        <f>IF(CH80&gt;0,+CH80)/ 'Pile Data and Eurocode Factors'!$B$14/ 'Pile Data and Eurocode Factors'!$B$15</f>
        <v>53.470025890710353</v>
      </c>
      <c r="CJ80" s="382">
        <f t="shared" si="48"/>
        <v>867.58228066294043</v>
      </c>
      <c r="CK80" s="382">
        <f>CE80* Pile!$U$23</f>
        <v>0</v>
      </c>
      <c r="CL80" s="382">
        <f t="shared" si="20"/>
        <v>867.58228066294043</v>
      </c>
      <c r="CM80" s="382">
        <f>CL80/ 'Pile Data and Eurocode Factors'!$C$14/ 'Pile Data and Eurocode Factors'!$C$15</f>
        <v>309.85081452247874</v>
      </c>
      <c r="CN80" s="382">
        <f t="shared" si="21"/>
        <v>363.3208404131891</v>
      </c>
      <c r="CO80" s="382">
        <f>VLOOKUP(CC80, 'Pile Data and Eurocode Factors'!$A$34:$J$39,3, FALSE)</f>
        <v>12882.514795076555</v>
      </c>
      <c r="CP80" s="403">
        <f t="shared" si="22"/>
        <v>363.3208404131891</v>
      </c>
      <c r="CQ80" s="419">
        <v>1200</v>
      </c>
      <c r="CR80" s="382">
        <f>PI()*CQ80/1000*( Pile!$C$23- Pile!$C80)</f>
        <v>12.440706908215573</v>
      </c>
      <c r="CS80" s="382">
        <f t="shared" si="23"/>
        <v>1.1309733552923256</v>
      </c>
      <c r="CT80" s="382">
        <f t="shared" si="58"/>
        <v>136.88326628021846</v>
      </c>
      <c r="CU80" s="382">
        <f>CR80* Pile!$S$23</f>
        <v>0</v>
      </c>
      <c r="CV80" s="382">
        <f t="shared" si="63"/>
        <v>136.88326628021846</v>
      </c>
      <c r="CW80" s="382">
        <f>IF(CV80&gt;0,+CV80)/ 'Pile Data and Eurocode Factors'!$B$14/ 'Pile Data and Eurocode Factors'!$B$15</f>
        <v>61.108601017954676</v>
      </c>
      <c r="CX80" s="382">
        <f t="shared" si="51"/>
        <v>1133.1686931107795</v>
      </c>
      <c r="CY80" s="382">
        <f>CS80* Pile!$U$23</f>
        <v>0</v>
      </c>
      <c r="CZ80" s="382">
        <f t="shared" si="24"/>
        <v>1133.1686931107795</v>
      </c>
      <c r="DA80" s="382">
        <f>CZ80/ 'Pile Data and Eurocode Factors'!$C$14/ 'Pile Data and Eurocode Factors'!$C$15</f>
        <v>404.70310468242127</v>
      </c>
      <c r="DB80" s="382">
        <f t="shared" si="25"/>
        <v>465.81170570037597</v>
      </c>
      <c r="DC80" s="382">
        <f>VLOOKUP(CQ80, 'Pile Data and Eurocode Factors'!$A$34:$J$39,3, FALSE)</f>
        <v>16826.141773161216</v>
      </c>
      <c r="DD80" s="403">
        <f t="shared" si="26"/>
        <v>465.81170570037597</v>
      </c>
      <c r="DE80" s="420">
        <f xml:space="preserve"> Pile!$C$23- Pile!C80</f>
        <v>3.299999999999998</v>
      </c>
      <c r="DG80" s="382">
        <f t="shared" si="52"/>
        <v>79.827099477698496</v>
      </c>
      <c r="DH80" s="382">
        <f t="shared" si="27"/>
        <v>131.73007667958265</v>
      </c>
      <c r="DI80" s="382">
        <f t="shared" si="28"/>
        <v>196.28002590279249</v>
      </c>
      <c r="DJ80" s="382">
        <f t="shared" si="29"/>
        <v>273.47694714732796</v>
      </c>
      <c r="DK80" s="382">
        <f t="shared" si="30"/>
        <v>363.3208404131891</v>
      </c>
      <c r="DL80" s="382">
        <f t="shared" si="53"/>
        <v>465.81170570037597</v>
      </c>
    </row>
    <row r="81" spans="2:116" s="308" customFormat="1" ht="15">
      <c r="B81" s="400">
        <v>12</v>
      </c>
      <c r="C81" s="401">
        <f>+C80- Pile!D$23/20</f>
        <v>2.4000000000000021</v>
      </c>
      <c r="D81" s="415" t="str">
        <f>B23</f>
        <v>Loose Sand/Gravel</v>
      </c>
      <c r="E81" s="415" t="str">
        <f>F23</f>
        <v>Granular</v>
      </c>
      <c r="F81" s="401">
        <f xml:space="preserve"> Pile!$E$23*(+C80-C81)+F80</f>
        <v>59.399999999999956</v>
      </c>
      <c r="G81" s="401">
        <f>IF(C81&gt; Pile!$C$28,0,( Pile!$C$28-C81)*9.81)</f>
        <v>0</v>
      </c>
      <c r="H81" s="401">
        <f t="shared" si="0"/>
        <v>59.399999999999956</v>
      </c>
      <c r="I81" s="401">
        <f t="shared" si="1"/>
        <v>29.699999999999978</v>
      </c>
      <c r="J81" s="401">
        <f>IF(E81="Cohesive",(( Pile!$H$23- Pile!$G$23)/20)+J80,0)</f>
        <v>0</v>
      </c>
      <c r="K81" s="401">
        <f>IF(E81="Cohesive",( Pile!$G$23+ Pile!$J81)/2,0)</f>
        <v>0</v>
      </c>
      <c r="L81" s="401" t="str">
        <f>IF( Pile!I$23="",0, Pile!I$23)</f>
        <v>0</v>
      </c>
      <c r="M81" s="401" t="str">
        <f>IF( Pile!J$23="",0, Pile!J$23)</f>
        <v>0</v>
      </c>
      <c r="N81" s="401">
        <f>IF(E81="Granular", Pile!$K$23,0)</f>
        <v>18.401122218708668</v>
      </c>
      <c r="O81" s="416">
        <f>IF(AND(E81="Granular",D81&lt;&gt;"Made Ground"), Pile!$L$23,0)</f>
        <v>0.404145188432738</v>
      </c>
      <c r="P81" s="401">
        <f>IF(OR(D81="Low Density Chalk",D81="Medium Density Chalk"), Pile!$M$23,0)</f>
        <v>0</v>
      </c>
      <c r="Q81" s="417">
        <f>IF(D81="High Density Chalk", Pile!$N$23,0)</f>
        <v>0</v>
      </c>
      <c r="R81" s="401">
        <f>IF( Pile!O$23="",0, Pile!O$23)</f>
        <v>0</v>
      </c>
      <c r="S81" s="418">
        <f t="shared" si="31"/>
        <v>12.003112096452309</v>
      </c>
      <c r="T81" s="382">
        <f xml:space="preserve"> Pile!$T$23</f>
        <v>1200</v>
      </c>
      <c r="U81" s="382">
        <f t="shared" si="32"/>
        <v>12.003112096452309</v>
      </c>
      <c r="V81" s="382">
        <f t="shared" si="2"/>
        <v>1093.0266597912942</v>
      </c>
      <c r="W81" s="382">
        <f xml:space="preserve"> Pile!$V$23</f>
        <v>15000</v>
      </c>
      <c r="X81" s="382">
        <f t="shared" si="33"/>
        <v>1093.0266597912942</v>
      </c>
      <c r="Y81" s="419">
        <v>450</v>
      </c>
      <c r="Z81" s="382">
        <f>PI()*Y81/1000*( Pile!$C$23- Pile!$C81)</f>
        <v>5.0893800988154618</v>
      </c>
      <c r="AA81" s="382">
        <f t="shared" si="3"/>
        <v>0.15904312808798329</v>
      </c>
      <c r="AB81" s="382">
        <f t="shared" si="34"/>
        <v>61.088399827535518</v>
      </c>
      <c r="AC81" s="382">
        <f>Z81* Pile!$S$23</f>
        <v>0</v>
      </c>
      <c r="AD81" s="382">
        <f t="shared" si="35"/>
        <v>61.088399827535518</v>
      </c>
      <c r="AE81" s="382">
        <f>IF(AD81&gt;0,+AD81)/ 'Pile Data and Eurocode Factors'!$B$14/ 'Pile Data and Eurocode Factors'!$B$15</f>
        <v>27.271607065864071</v>
      </c>
      <c r="AF81" s="382">
        <f t="shared" si="36"/>
        <v>173.83837905676734</v>
      </c>
      <c r="AG81" s="382">
        <f>AA81* Pile!$U$23</f>
        <v>0</v>
      </c>
      <c r="AH81" s="382">
        <f t="shared" si="4"/>
        <v>173.83837905676734</v>
      </c>
      <c r="AI81" s="382">
        <f>AH81/ 'Pile Data and Eurocode Factors'!$C$14/ 'Pile Data and Eurocode Factors'!$C$15</f>
        <v>62.085135377416911</v>
      </c>
      <c r="AJ81" s="382">
        <f t="shared" si="5"/>
        <v>89.356742443280979</v>
      </c>
      <c r="AK81" s="382">
        <f>VLOOKUP(Y81, 'Pile Data and Eurocode Factors'!$A$34:$J$39,3, FALSE)</f>
        <v>2366.1761868507956</v>
      </c>
      <c r="AL81" s="403">
        <f t="shared" si="6"/>
        <v>89.356742443280979</v>
      </c>
      <c r="AM81" s="419">
        <v>600</v>
      </c>
      <c r="AN81" s="382">
        <f>PI()*AM81/1000*( Pile!$C$23- Pile!$C81)</f>
        <v>6.7858401317539494</v>
      </c>
      <c r="AO81" s="382">
        <f t="shared" si="7"/>
        <v>0.28274333882308139</v>
      </c>
      <c r="AP81" s="382">
        <f t="shared" si="54"/>
        <v>81.451199770047367</v>
      </c>
      <c r="AQ81" s="382">
        <f>AN81* Pile!$S$23</f>
        <v>0</v>
      </c>
      <c r="AR81" s="382">
        <f t="shared" si="59"/>
        <v>81.451199770047367</v>
      </c>
      <c r="AS81" s="382">
        <f>IF(AR81&gt;0,+AR81)/ 'Pile Data and Eurocode Factors'!$B$14/ 'Pile Data and Eurocode Factors'!$B$15</f>
        <v>36.362142754485433</v>
      </c>
      <c r="AT81" s="382">
        <f t="shared" si="39"/>
        <v>309.04600721203082</v>
      </c>
      <c r="AU81" s="382">
        <f>AO81* Pile!$U$23</f>
        <v>0</v>
      </c>
      <c r="AV81" s="382">
        <f t="shared" si="8"/>
        <v>309.04600721203082</v>
      </c>
      <c r="AW81" s="382">
        <f>AV81/ 'Pile Data and Eurocode Factors'!$C$14/ 'Pile Data and Eurocode Factors'!$C$15</f>
        <v>110.37357400429673</v>
      </c>
      <c r="AX81" s="382">
        <f t="shared" si="9"/>
        <v>146.73571675878216</v>
      </c>
      <c r="AY81" s="382">
        <f>VLOOKUP(AM81, 'Pile Data and Eurocode Factors'!$A$34:$J$39,3, FALSE)</f>
        <v>4206.5354432903041</v>
      </c>
      <c r="AZ81" s="403">
        <f t="shared" si="10"/>
        <v>146.73571675878216</v>
      </c>
      <c r="BA81" s="419">
        <v>750</v>
      </c>
      <c r="BB81" s="382">
        <f>PI()*BA81/1000*( Pile!$C$23- Pile!$C81)</f>
        <v>8.4823001646924361</v>
      </c>
      <c r="BC81" s="382">
        <f t="shared" si="11"/>
        <v>0.44178646691106466</v>
      </c>
      <c r="BD81" s="382">
        <f t="shared" si="55"/>
        <v>101.81399971255919</v>
      </c>
      <c r="BE81" s="382">
        <f>BB81* Pile!$S$23</f>
        <v>0</v>
      </c>
      <c r="BF81" s="382">
        <f t="shared" si="60"/>
        <v>101.81399971255919</v>
      </c>
      <c r="BG81" s="382">
        <f>IF(BF81&gt;0,+BF81)/ 'Pile Data and Eurocode Factors'!$B$14/ 'Pile Data and Eurocode Factors'!$B$15</f>
        <v>45.452678443106777</v>
      </c>
      <c r="BH81" s="382">
        <f t="shared" si="42"/>
        <v>482.8843862687981</v>
      </c>
      <c r="BI81" s="382">
        <f>BC81* Pile!$U$23</f>
        <v>0</v>
      </c>
      <c r="BJ81" s="382">
        <f t="shared" si="12"/>
        <v>482.8843862687981</v>
      </c>
      <c r="BK81" s="382">
        <f>BJ81/ 'Pile Data and Eurocode Factors'!$C$14/ 'Pile Data and Eurocode Factors'!$C$15</f>
        <v>172.45870938171362</v>
      </c>
      <c r="BL81" s="382">
        <f t="shared" si="13"/>
        <v>217.91138782482039</v>
      </c>
      <c r="BM81" s="382">
        <f>VLOOKUP(BA81, 'Pile Data and Eurocode Factors'!$A$34:$J$39,3, FALSE)</f>
        <v>6572.7116301410997</v>
      </c>
      <c r="BN81" s="403">
        <f t="shared" si="14"/>
        <v>217.91138782482039</v>
      </c>
      <c r="BO81" s="419">
        <v>900</v>
      </c>
      <c r="BP81" s="382">
        <f>PI()*BO81/1000*( Pile!$C$23- Pile!$C81)</f>
        <v>10.178760197630924</v>
      </c>
      <c r="BQ81" s="382">
        <f t="shared" si="15"/>
        <v>0.63617251235193317</v>
      </c>
      <c r="BR81" s="382">
        <f t="shared" si="56"/>
        <v>122.17679965507104</v>
      </c>
      <c r="BS81" s="382">
        <f>BP81* Pile!$S$23</f>
        <v>0</v>
      </c>
      <c r="BT81" s="382">
        <f t="shared" si="61"/>
        <v>122.17679965507104</v>
      </c>
      <c r="BU81" s="382">
        <f>IF(BT81&gt;0,+BT81)/ 'Pile Data and Eurocode Factors'!$B$14/ 'Pile Data and Eurocode Factors'!$B$15</f>
        <v>54.543214131728142</v>
      </c>
      <c r="BV81" s="382">
        <f t="shared" si="45"/>
        <v>695.35351622706935</v>
      </c>
      <c r="BW81" s="382">
        <f>BQ81* Pile!$U$23</f>
        <v>0</v>
      </c>
      <c r="BX81" s="382">
        <f t="shared" si="16"/>
        <v>695.35351622706935</v>
      </c>
      <c r="BY81" s="382">
        <f>BX81/ 'Pile Data and Eurocode Factors'!$C$14/ 'Pile Data and Eurocode Factors'!$C$15</f>
        <v>248.34054150966764</v>
      </c>
      <c r="BZ81" s="382">
        <f t="shared" si="17"/>
        <v>302.88375564139579</v>
      </c>
      <c r="CA81" s="382">
        <f>VLOOKUP(BO81, 'Pile Data and Eurocode Factors'!$A$34:$J$39,3, FALSE)</f>
        <v>9464.7047474031824</v>
      </c>
      <c r="CB81" s="403">
        <f t="shared" si="18"/>
        <v>302.88375564139579</v>
      </c>
      <c r="CC81" s="419">
        <v>1050</v>
      </c>
      <c r="CD81" s="382">
        <f>PI()*CC81/1000*( Pile!$C$23- Pile!$C81)</f>
        <v>11.875220230569411</v>
      </c>
      <c r="CE81" s="382">
        <f t="shared" si="19"/>
        <v>0.86590147514568672</v>
      </c>
      <c r="CF81" s="382">
        <f t="shared" si="57"/>
        <v>142.53959959758288</v>
      </c>
      <c r="CG81" s="382">
        <f>CD81* Pile!$S$23</f>
        <v>0</v>
      </c>
      <c r="CH81" s="382">
        <f t="shared" si="62"/>
        <v>142.53959959758288</v>
      </c>
      <c r="CI81" s="382">
        <f>IF(CH81&gt;0,+CH81)/ 'Pile Data and Eurocode Factors'!$B$14/ 'Pile Data and Eurocode Factors'!$B$15</f>
        <v>63.6337498203495</v>
      </c>
      <c r="CJ81" s="382">
        <f t="shared" si="48"/>
        <v>946.45339708684423</v>
      </c>
      <c r="CK81" s="382">
        <f>CE81* Pile!$U$23</f>
        <v>0</v>
      </c>
      <c r="CL81" s="382">
        <f t="shared" si="20"/>
        <v>946.45339708684423</v>
      </c>
      <c r="CM81" s="382">
        <f>CL81/ 'Pile Data and Eurocode Factors'!$C$14/ 'Pile Data and Eurocode Factors'!$C$15</f>
        <v>338.0190703881587</v>
      </c>
      <c r="CN81" s="382">
        <f t="shared" si="21"/>
        <v>401.65282020850822</v>
      </c>
      <c r="CO81" s="382">
        <f>VLOOKUP(CC81, 'Pile Data and Eurocode Factors'!$A$34:$J$39,3, FALSE)</f>
        <v>12882.514795076555</v>
      </c>
      <c r="CP81" s="403">
        <f t="shared" si="22"/>
        <v>401.65282020850822</v>
      </c>
      <c r="CQ81" s="419">
        <v>1200</v>
      </c>
      <c r="CR81" s="382">
        <f>PI()*CQ81/1000*( Pile!$C$23- Pile!$C81)</f>
        <v>13.571680263507899</v>
      </c>
      <c r="CS81" s="382">
        <f t="shared" si="23"/>
        <v>1.1309733552923256</v>
      </c>
      <c r="CT81" s="382">
        <f t="shared" si="58"/>
        <v>162.90239954009473</v>
      </c>
      <c r="CU81" s="382">
        <f>CR81* Pile!$S$23</f>
        <v>0</v>
      </c>
      <c r="CV81" s="382">
        <f t="shared" si="63"/>
        <v>162.90239954009473</v>
      </c>
      <c r="CW81" s="382">
        <f>IF(CV81&gt;0,+CV81)/ 'Pile Data and Eurocode Factors'!$B$14/ 'Pile Data and Eurocode Factors'!$B$15</f>
        <v>72.724285508970866</v>
      </c>
      <c r="CX81" s="382">
        <f t="shared" si="51"/>
        <v>1236.1840288481233</v>
      </c>
      <c r="CY81" s="382">
        <f>CS81* Pile!$U$23</f>
        <v>0</v>
      </c>
      <c r="CZ81" s="382">
        <f t="shared" si="24"/>
        <v>1236.1840288481233</v>
      </c>
      <c r="DA81" s="382">
        <f>CZ81/ 'Pile Data and Eurocode Factors'!$C$14/ 'Pile Data and Eurocode Factors'!$C$15</f>
        <v>441.49429601718691</v>
      </c>
      <c r="DB81" s="382">
        <f t="shared" si="25"/>
        <v>514.21858152615778</v>
      </c>
      <c r="DC81" s="382">
        <f>VLOOKUP(CQ81, 'Pile Data and Eurocode Factors'!$A$34:$J$39,3, FALSE)</f>
        <v>16826.141773161216</v>
      </c>
      <c r="DD81" s="403">
        <f t="shared" si="26"/>
        <v>514.21858152615778</v>
      </c>
      <c r="DE81" s="420">
        <f xml:space="preserve"> Pile!$C$23- Pile!C81</f>
        <v>3.5999999999999979</v>
      </c>
      <c r="DG81" s="382">
        <f t="shared" si="52"/>
        <v>89.356742443280979</v>
      </c>
      <c r="DH81" s="382">
        <f t="shared" si="27"/>
        <v>146.73571675878216</v>
      </c>
      <c r="DI81" s="382">
        <f t="shared" si="28"/>
        <v>217.91138782482039</v>
      </c>
      <c r="DJ81" s="382">
        <f t="shared" si="29"/>
        <v>302.88375564139579</v>
      </c>
      <c r="DK81" s="382">
        <f t="shared" si="30"/>
        <v>401.65282020850822</v>
      </c>
      <c r="DL81" s="382">
        <f t="shared" si="53"/>
        <v>514.21858152615778</v>
      </c>
    </row>
    <row r="82" spans="2:116" s="308" customFormat="1" ht="15">
      <c r="B82" s="400">
        <v>13</v>
      </c>
      <c r="C82" s="401">
        <f>+C81- Pile!D$23/20</f>
        <v>2.1000000000000023</v>
      </c>
      <c r="D82" s="415" t="str">
        <f>B23</f>
        <v>Loose Sand/Gravel</v>
      </c>
      <c r="E82" s="415" t="str">
        <f>F23</f>
        <v>Granular</v>
      </c>
      <c r="F82" s="401">
        <f xml:space="preserve"> Pile!$E$23*(+C81-C82)+F81</f>
        <v>64.349999999999952</v>
      </c>
      <c r="G82" s="401">
        <f>IF(C82&gt; Pile!$C$28,0,( Pile!$C$28-C82)*9.81)</f>
        <v>0</v>
      </c>
      <c r="H82" s="401">
        <f t="shared" si="0"/>
        <v>64.349999999999952</v>
      </c>
      <c r="I82" s="401">
        <f t="shared" si="1"/>
        <v>32.174999999999976</v>
      </c>
      <c r="J82" s="401">
        <f>IF(E82="Cohesive",(( Pile!$H$23- Pile!$G$23)/20)+J81,0)</f>
        <v>0</v>
      </c>
      <c r="K82" s="401">
        <f>IF(E82="Cohesive",( Pile!$G$23+ Pile!$J82)/2,0)</f>
        <v>0</v>
      </c>
      <c r="L82" s="401" t="str">
        <f>IF( Pile!I$23="",0, Pile!I$23)</f>
        <v>0</v>
      </c>
      <c r="M82" s="401" t="str">
        <f>IF( Pile!J$23="",0, Pile!J$23)</f>
        <v>0</v>
      </c>
      <c r="N82" s="401">
        <f>IF(E82="Granular", Pile!$K$23,0)</f>
        <v>18.401122218708668</v>
      </c>
      <c r="O82" s="416">
        <f>IF(AND(E82="Granular",D82&lt;&gt;"Made Ground"), Pile!$L$23,0)</f>
        <v>0.404145188432738</v>
      </c>
      <c r="P82" s="401">
        <f>IF(OR(D82="Low Density Chalk",D82="Medium Density Chalk"), Pile!$M$23,0)</f>
        <v>0</v>
      </c>
      <c r="Q82" s="417">
        <f>IF(D82="High Density Chalk", Pile!$N$23,0)</f>
        <v>0</v>
      </c>
      <c r="R82" s="401">
        <f>IF( Pile!O$23="",0, Pile!O$23)</f>
        <v>0</v>
      </c>
      <c r="S82" s="418">
        <f t="shared" si="31"/>
        <v>13.003371437823336</v>
      </c>
      <c r="T82" s="382">
        <f xml:space="preserve"> Pile!$T$23</f>
        <v>1200</v>
      </c>
      <c r="U82" s="382">
        <f t="shared" si="32"/>
        <v>13.003371437823336</v>
      </c>
      <c r="V82" s="382">
        <f t="shared" si="2"/>
        <v>1184.112214773902</v>
      </c>
      <c r="W82" s="382">
        <f xml:space="preserve"> Pile!$V$23</f>
        <v>15000</v>
      </c>
      <c r="X82" s="382">
        <f t="shared" si="33"/>
        <v>1184.112214773902</v>
      </c>
      <c r="Y82" s="419">
        <v>450</v>
      </c>
      <c r="Z82" s="382">
        <f>PI()*Y82/1000*( Pile!$C$23- Pile!$C82)</f>
        <v>5.5134951070500833</v>
      </c>
      <c r="AA82" s="382">
        <f t="shared" si="3"/>
        <v>0.15904312808798329</v>
      </c>
      <c r="AB82" s="382">
        <f t="shared" si="34"/>
        <v>71.694024797593769</v>
      </c>
      <c r="AC82" s="382">
        <f>Z82* Pile!$S$23</f>
        <v>0</v>
      </c>
      <c r="AD82" s="382">
        <f t="shared" si="35"/>
        <v>71.694024797593769</v>
      </c>
      <c r="AE82" s="382">
        <f>IF(AD82&gt;0,+AD82)/ 'Pile Data and Eurocode Factors'!$B$14/ 'Pile Data and Eurocode Factors'!$B$15</f>
        <v>32.006261070354363</v>
      </c>
      <c r="AF82" s="382">
        <f t="shared" si="36"/>
        <v>188.32491064483128</v>
      </c>
      <c r="AG82" s="382">
        <f>AA82* Pile!$U$23</f>
        <v>0</v>
      </c>
      <c r="AH82" s="382">
        <f t="shared" si="4"/>
        <v>188.32491064483128</v>
      </c>
      <c r="AI82" s="382">
        <f>AH82/ 'Pile Data and Eurocode Factors'!$C$14/ 'Pile Data and Eurocode Factors'!$C$15</f>
        <v>67.258896658868323</v>
      </c>
      <c r="AJ82" s="382">
        <f t="shared" si="5"/>
        <v>99.265157729222693</v>
      </c>
      <c r="AK82" s="382">
        <f>VLOOKUP(Y82, 'Pile Data and Eurocode Factors'!$A$34:$J$39,3, FALSE)</f>
        <v>2366.1761868507956</v>
      </c>
      <c r="AL82" s="403">
        <f t="shared" si="6"/>
        <v>99.265157729222693</v>
      </c>
      <c r="AM82" s="419">
        <v>600</v>
      </c>
      <c r="AN82" s="382">
        <f>PI()*AM82/1000*( Pile!$C$23- Pile!$C82)</f>
        <v>7.3513268094001116</v>
      </c>
      <c r="AO82" s="382">
        <f t="shared" si="7"/>
        <v>0.28274333882308139</v>
      </c>
      <c r="AP82" s="382">
        <f t="shared" si="54"/>
        <v>95.592033063458373</v>
      </c>
      <c r="AQ82" s="382">
        <f>AN82* Pile!$S$23</f>
        <v>0</v>
      </c>
      <c r="AR82" s="382">
        <f t="shared" si="59"/>
        <v>95.592033063458373</v>
      </c>
      <c r="AS82" s="382">
        <f>IF(AR82&gt;0,+AR82)/ 'Pile Data and Eurocode Factors'!$B$14/ 'Pile Data and Eurocode Factors'!$B$15</f>
        <v>42.675014760472486</v>
      </c>
      <c r="AT82" s="382">
        <f t="shared" si="39"/>
        <v>334.7998411463667</v>
      </c>
      <c r="AU82" s="382">
        <f>AO82* Pile!$U$23</f>
        <v>0</v>
      </c>
      <c r="AV82" s="382">
        <f t="shared" si="8"/>
        <v>334.7998411463667</v>
      </c>
      <c r="AW82" s="382">
        <f>AV82/ 'Pile Data and Eurocode Factors'!$C$14/ 'Pile Data and Eurocode Factors'!$C$15</f>
        <v>119.57137183798811</v>
      </c>
      <c r="AX82" s="382">
        <f t="shared" si="9"/>
        <v>162.24638659846059</v>
      </c>
      <c r="AY82" s="382">
        <f>VLOOKUP(AM82, 'Pile Data and Eurocode Factors'!$A$34:$J$39,3, FALSE)</f>
        <v>4206.5354432903041</v>
      </c>
      <c r="AZ82" s="403">
        <f t="shared" si="10"/>
        <v>162.24638659846059</v>
      </c>
      <c r="BA82" s="419">
        <v>750</v>
      </c>
      <c r="BB82" s="382">
        <f>PI()*BA82/1000*( Pile!$C$23- Pile!$C82)</f>
        <v>9.18915851175014</v>
      </c>
      <c r="BC82" s="382">
        <f t="shared" si="11"/>
        <v>0.44178646691106466</v>
      </c>
      <c r="BD82" s="382">
        <f t="shared" si="55"/>
        <v>119.49004132932296</v>
      </c>
      <c r="BE82" s="382">
        <f>BB82* Pile!$S$23</f>
        <v>0</v>
      </c>
      <c r="BF82" s="382">
        <f t="shared" si="60"/>
        <v>119.49004132932296</v>
      </c>
      <c r="BG82" s="382">
        <f>IF(BF82&gt;0,+BF82)/ 'Pile Data and Eurocode Factors'!$B$14/ 'Pile Data and Eurocode Factors'!$B$15</f>
        <v>53.343768450590616</v>
      </c>
      <c r="BH82" s="382">
        <f t="shared" si="42"/>
        <v>523.12475179119792</v>
      </c>
      <c r="BI82" s="382">
        <f>BC82* Pile!$U$23</f>
        <v>0</v>
      </c>
      <c r="BJ82" s="382">
        <f t="shared" si="12"/>
        <v>523.12475179119792</v>
      </c>
      <c r="BK82" s="382">
        <f>BJ82/ 'Pile Data and Eurocode Factors'!$C$14/ 'Pile Data and Eurocode Factors'!$C$15</f>
        <v>186.83026849685641</v>
      </c>
      <c r="BL82" s="382">
        <f t="shared" si="13"/>
        <v>240.17403694744701</v>
      </c>
      <c r="BM82" s="382">
        <f>VLOOKUP(BA82, 'Pile Data and Eurocode Factors'!$A$34:$J$39,3, FALSE)</f>
        <v>6572.7116301410997</v>
      </c>
      <c r="BN82" s="403">
        <f t="shared" si="14"/>
        <v>240.17403694744701</v>
      </c>
      <c r="BO82" s="419">
        <v>900</v>
      </c>
      <c r="BP82" s="382">
        <f>PI()*BO82/1000*( Pile!$C$23- Pile!$C82)</f>
        <v>11.026990214100167</v>
      </c>
      <c r="BQ82" s="382">
        <f t="shared" si="15"/>
        <v>0.63617251235193317</v>
      </c>
      <c r="BR82" s="382">
        <f t="shared" si="56"/>
        <v>143.38804959518754</v>
      </c>
      <c r="BS82" s="382">
        <f>BP82* Pile!$S$23</f>
        <v>0</v>
      </c>
      <c r="BT82" s="382">
        <f t="shared" si="61"/>
        <v>143.38804959518754</v>
      </c>
      <c r="BU82" s="382">
        <f>IF(BT82&gt;0,+BT82)/ 'Pile Data and Eurocode Factors'!$B$14/ 'Pile Data and Eurocode Factors'!$B$15</f>
        <v>64.012522140708725</v>
      </c>
      <c r="BV82" s="382">
        <f t="shared" si="45"/>
        <v>753.29964257932511</v>
      </c>
      <c r="BW82" s="382">
        <f>BQ82* Pile!$U$23</f>
        <v>0</v>
      </c>
      <c r="BX82" s="382">
        <f t="shared" si="16"/>
        <v>753.29964257932511</v>
      </c>
      <c r="BY82" s="382">
        <f>BX82/ 'Pile Data and Eurocode Factors'!$C$14/ 'Pile Data and Eurocode Factors'!$C$15</f>
        <v>269.03558663547329</v>
      </c>
      <c r="BZ82" s="382">
        <f t="shared" si="17"/>
        <v>333.048108776182</v>
      </c>
      <c r="CA82" s="382">
        <f>VLOOKUP(BO82, 'Pile Data and Eurocode Factors'!$A$34:$J$39,3, FALSE)</f>
        <v>9464.7047474031824</v>
      </c>
      <c r="CB82" s="403">
        <f t="shared" si="18"/>
        <v>333.048108776182</v>
      </c>
      <c r="CC82" s="419">
        <v>1050</v>
      </c>
      <c r="CD82" s="382">
        <f>PI()*CC82/1000*( Pile!$C$23- Pile!$C82)</f>
        <v>12.864821916450195</v>
      </c>
      <c r="CE82" s="382">
        <f t="shared" si="19"/>
        <v>0.86590147514568672</v>
      </c>
      <c r="CF82" s="382">
        <f t="shared" si="57"/>
        <v>167.28605786105214</v>
      </c>
      <c r="CG82" s="382">
        <f>CD82* Pile!$S$23</f>
        <v>0</v>
      </c>
      <c r="CH82" s="382">
        <f t="shared" si="62"/>
        <v>167.28605786105214</v>
      </c>
      <c r="CI82" s="382">
        <f>IF(CH82&gt;0,+CH82)/ 'Pile Data and Eurocode Factors'!$B$14/ 'Pile Data and Eurocode Factors'!$B$15</f>
        <v>74.681275830826849</v>
      </c>
      <c r="CJ82" s="382">
        <f t="shared" si="48"/>
        <v>1025.3245135107479</v>
      </c>
      <c r="CK82" s="382">
        <f>CE82* Pile!$U$23</f>
        <v>0</v>
      </c>
      <c r="CL82" s="382">
        <f t="shared" si="20"/>
        <v>1025.3245135107479</v>
      </c>
      <c r="CM82" s="382">
        <f>CL82/ 'Pile Data and Eurocode Factors'!$C$14/ 'Pile Data and Eurocode Factors'!$C$15</f>
        <v>366.18732625383859</v>
      </c>
      <c r="CN82" s="382">
        <f t="shared" si="21"/>
        <v>440.86860208466544</v>
      </c>
      <c r="CO82" s="382">
        <f>VLOOKUP(CC82, 'Pile Data and Eurocode Factors'!$A$34:$J$39,3, FALSE)</f>
        <v>12882.514795076555</v>
      </c>
      <c r="CP82" s="403">
        <f t="shared" si="22"/>
        <v>440.86860208466544</v>
      </c>
      <c r="CQ82" s="419">
        <v>1200</v>
      </c>
      <c r="CR82" s="382">
        <f>PI()*CQ82/1000*( Pile!$C$23- Pile!$C82)</f>
        <v>14.702653618800223</v>
      </c>
      <c r="CS82" s="382">
        <f t="shared" si="23"/>
        <v>1.1309733552923256</v>
      </c>
      <c r="CT82" s="382">
        <f t="shared" si="58"/>
        <v>191.18406612691675</v>
      </c>
      <c r="CU82" s="382">
        <f>CR82* Pile!$S$23</f>
        <v>0</v>
      </c>
      <c r="CV82" s="382">
        <f t="shared" si="63"/>
        <v>191.18406612691675</v>
      </c>
      <c r="CW82" s="382">
        <f>IF(CV82&gt;0,+CV82)/ 'Pile Data and Eurocode Factors'!$B$14/ 'Pile Data and Eurocode Factors'!$B$15</f>
        <v>85.350029520944972</v>
      </c>
      <c r="CX82" s="382">
        <f t="shared" si="51"/>
        <v>1339.1993645854668</v>
      </c>
      <c r="CY82" s="382">
        <f>CS82* Pile!$U$23</f>
        <v>0</v>
      </c>
      <c r="CZ82" s="382">
        <f t="shared" si="24"/>
        <v>1339.1993645854668</v>
      </c>
      <c r="DA82" s="382">
        <f>CZ82/ 'Pile Data and Eurocode Factors'!$C$14/ 'Pile Data and Eurocode Factors'!$C$15</f>
        <v>478.28548735195244</v>
      </c>
      <c r="DB82" s="382">
        <f t="shared" si="25"/>
        <v>563.63551687289737</v>
      </c>
      <c r="DC82" s="382">
        <f>VLOOKUP(CQ82, 'Pile Data and Eurocode Factors'!$A$34:$J$39,3, FALSE)</f>
        <v>16826.141773161216</v>
      </c>
      <c r="DD82" s="403">
        <f t="shared" si="26"/>
        <v>563.63551687289737</v>
      </c>
      <c r="DE82" s="420">
        <f xml:space="preserve"> Pile!$C$23- Pile!C82</f>
        <v>3.8999999999999977</v>
      </c>
      <c r="DG82" s="382">
        <f t="shared" si="52"/>
        <v>99.265157729222693</v>
      </c>
      <c r="DH82" s="382">
        <f t="shared" si="27"/>
        <v>162.24638659846059</v>
      </c>
      <c r="DI82" s="382">
        <f t="shared" si="28"/>
        <v>240.17403694744701</v>
      </c>
      <c r="DJ82" s="382">
        <f t="shared" si="29"/>
        <v>333.048108776182</v>
      </c>
      <c r="DK82" s="382">
        <f t="shared" si="30"/>
        <v>440.86860208466544</v>
      </c>
      <c r="DL82" s="382">
        <f t="shared" si="53"/>
        <v>563.63551687289737</v>
      </c>
    </row>
    <row r="83" spans="2:116" s="308" customFormat="1" ht="15">
      <c r="B83" s="400">
        <v>14</v>
      </c>
      <c r="C83" s="401">
        <f>+C82- Pile!D$23/20</f>
        <v>1.8000000000000023</v>
      </c>
      <c r="D83" s="415" t="str">
        <f>B23</f>
        <v>Loose Sand/Gravel</v>
      </c>
      <c r="E83" s="415" t="str">
        <f>F23</f>
        <v>Granular</v>
      </c>
      <c r="F83" s="401">
        <f xml:space="preserve"> Pile!$E$23*(+C82-C83)+F82</f>
        <v>69.299999999999955</v>
      </c>
      <c r="G83" s="401">
        <f>IF(C83&gt; Pile!$C$28,0,( Pile!$C$28-C83)*9.81)</f>
        <v>0</v>
      </c>
      <c r="H83" s="401">
        <f t="shared" si="0"/>
        <v>69.299999999999955</v>
      </c>
      <c r="I83" s="401">
        <f t="shared" si="1"/>
        <v>34.649999999999977</v>
      </c>
      <c r="J83" s="401">
        <f>IF(E83="Cohesive",(( Pile!$H$23- Pile!$G$23)/20)+J82,0)</f>
        <v>0</v>
      </c>
      <c r="K83" s="401">
        <f>IF(E83="Cohesive",( Pile!$G$23+ Pile!$J83)/2,0)</f>
        <v>0</v>
      </c>
      <c r="L83" s="401" t="str">
        <f>IF( Pile!I$23="",0, Pile!I$23)</f>
        <v>0</v>
      </c>
      <c r="M83" s="401" t="str">
        <f>IF( Pile!J$23="",0, Pile!J$23)</f>
        <v>0</v>
      </c>
      <c r="N83" s="401">
        <f>IF(E83="Granular", Pile!$K$23,0)</f>
        <v>18.401122218708668</v>
      </c>
      <c r="O83" s="416">
        <f>IF(AND(E83="Granular",D83&lt;&gt;"Made Ground"), Pile!$L$23,0)</f>
        <v>0.404145188432738</v>
      </c>
      <c r="P83" s="401">
        <f>IF(OR(D83="Low Density Chalk",D83="Medium Density Chalk"), Pile!$M$23,0)</f>
        <v>0</v>
      </c>
      <c r="Q83" s="417">
        <f>IF(D83="High Density Chalk", Pile!$N$23,0)</f>
        <v>0</v>
      </c>
      <c r="R83" s="401">
        <f>IF( Pile!O$23="",0, Pile!O$23)</f>
        <v>0</v>
      </c>
      <c r="S83" s="418">
        <f t="shared" si="31"/>
        <v>14.003630779194362</v>
      </c>
      <c r="T83" s="382">
        <f xml:space="preserve"> Pile!$T$23</f>
        <v>1200</v>
      </c>
      <c r="U83" s="382">
        <f t="shared" si="32"/>
        <v>14.003630779194362</v>
      </c>
      <c r="V83" s="382">
        <f t="shared" si="2"/>
        <v>1275.1977697565098</v>
      </c>
      <c r="W83" s="382">
        <f xml:space="preserve"> Pile!$V$23</f>
        <v>15000</v>
      </c>
      <c r="X83" s="382">
        <f t="shared" si="33"/>
        <v>1275.1977697565098</v>
      </c>
      <c r="Y83" s="419">
        <v>450</v>
      </c>
      <c r="Z83" s="382">
        <f>PI()*Y83/1000*( Pile!$C$23- Pile!$C83)</f>
        <v>5.9376101152847056</v>
      </c>
      <c r="AA83" s="382">
        <f t="shared" si="3"/>
        <v>0.15904312808798329</v>
      </c>
      <c r="AB83" s="382">
        <f t="shared" si="34"/>
        <v>83.148099765256688</v>
      </c>
      <c r="AC83" s="382">
        <f>Z83* Pile!$S$23</f>
        <v>0</v>
      </c>
      <c r="AD83" s="382">
        <f t="shared" si="35"/>
        <v>83.148099765256688</v>
      </c>
      <c r="AE83" s="382">
        <f>IF(AD83&gt;0,+AD83)/ 'Pile Data and Eurocode Factors'!$B$14/ 'Pile Data and Eurocode Factors'!$B$15</f>
        <v>37.119687395203883</v>
      </c>
      <c r="AF83" s="382">
        <f t="shared" si="36"/>
        <v>202.81144223289522</v>
      </c>
      <c r="AG83" s="382">
        <f>AA83* Pile!$U$23</f>
        <v>0</v>
      </c>
      <c r="AH83" s="382">
        <f t="shared" si="4"/>
        <v>202.81144223289522</v>
      </c>
      <c r="AI83" s="382">
        <f>AH83/ 'Pile Data and Eurocode Factors'!$C$14/ 'Pile Data and Eurocode Factors'!$C$15</f>
        <v>72.432657940319729</v>
      </c>
      <c r="AJ83" s="382">
        <f t="shared" si="5"/>
        <v>109.55234533552361</v>
      </c>
      <c r="AK83" s="382">
        <f>VLOOKUP(Y83, 'Pile Data and Eurocode Factors'!$A$34:$J$39,3, FALSE)</f>
        <v>2366.1761868507956</v>
      </c>
      <c r="AL83" s="403">
        <f t="shared" si="6"/>
        <v>109.55234533552361</v>
      </c>
      <c r="AM83" s="419">
        <v>600</v>
      </c>
      <c r="AN83" s="382">
        <f>PI()*AM83/1000*( Pile!$C$23- Pile!$C83)</f>
        <v>7.9168134870462739</v>
      </c>
      <c r="AO83" s="382">
        <f t="shared" si="7"/>
        <v>0.28274333882308139</v>
      </c>
      <c r="AP83" s="382">
        <f t="shared" si="54"/>
        <v>110.86413302034224</v>
      </c>
      <c r="AQ83" s="382">
        <f>AN83* Pile!$S$23</f>
        <v>0</v>
      </c>
      <c r="AR83" s="382">
        <f t="shared" si="59"/>
        <v>110.86413302034224</v>
      </c>
      <c r="AS83" s="382">
        <f>IF(AR83&gt;0,+AR83)/ 'Pile Data and Eurocode Factors'!$B$14/ 'Pile Data and Eurocode Factors'!$B$15</f>
        <v>49.492916526938494</v>
      </c>
      <c r="AT83" s="382">
        <f t="shared" si="39"/>
        <v>360.55367508070259</v>
      </c>
      <c r="AU83" s="382">
        <f>AO83* Pile!$U$23</f>
        <v>0</v>
      </c>
      <c r="AV83" s="382">
        <f t="shared" si="8"/>
        <v>360.55367508070259</v>
      </c>
      <c r="AW83" s="382">
        <f>AV83/ 'Pile Data and Eurocode Factors'!$C$14/ 'Pile Data and Eurocode Factors'!$C$15</f>
        <v>128.76916967167949</v>
      </c>
      <c r="AX83" s="382">
        <f t="shared" si="9"/>
        <v>178.26208619861799</v>
      </c>
      <c r="AY83" s="382">
        <f>VLOOKUP(AM83, 'Pile Data and Eurocode Factors'!$A$34:$J$39,3, FALSE)</f>
        <v>4206.5354432903041</v>
      </c>
      <c r="AZ83" s="403">
        <f t="shared" si="10"/>
        <v>178.26208619861799</v>
      </c>
      <c r="BA83" s="419">
        <v>750</v>
      </c>
      <c r="BB83" s="382">
        <f>PI()*BA83/1000*( Pile!$C$23- Pile!$C83)</f>
        <v>9.8960168588078421</v>
      </c>
      <c r="BC83" s="382">
        <f t="shared" si="11"/>
        <v>0.44178646691106466</v>
      </c>
      <c r="BD83" s="382">
        <f t="shared" si="55"/>
        <v>138.58016627542781</v>
      </c>
      <c r="BE83" s="382">
        <f>BB83* Pile!$S$23</f>
        <v>0</v>
      </c>
      <c r="BF83" s="382">
        <f t="shared" si="60"/>
        <v>138.58016627542781</v>
      </c>
      <c r="BG83" s="382">
        <f>IF(BF83&gt;0,+BF83)/ 'Pile Data and Eurocode Factors'!$B$14/ 'Pile Data and Eurocode Factors'!$B$15</f>
        <v>61.866145658673133</v>
      </c>
      <c r="BH83" s="382">
        <f t="shared" si="42"/>
        <v>563.36511731359781</v>
      </c>
      <c r="BI83" s="382">
        <f>BC83* Pile!$U$23</f>
        <v>0</v>
      </c>
      <c r="BJ83" s="382">
        <f t="shared" si="12"/>
        <v>563.36511731359781</v>
      </c>
      <c r="BK83" s="382">
        <f>BJ83/ 'Pile Data and Eurocode Factors'!$C$14/ 'Pile Data and Eurocode Factors'!$C$15</f>
        <v>201.20182761199922</v>
      </c>
      <c r="BL83" s="382">
        <f t="shared" si="13"/>
        <v>263.06797327067238</v>
      </c>
      <c r="BM83" s="382">
        <f>VLOOKUP(BA83, 'Pile Data and Eurocode Factors'!$A$34:$J$39,3, FALSE)</f>
        <v>6572.7116301410997</v>
      </c>
      <c r="BN83" s="403">
        <f t="shared" si="14"/>
        <v>263.06797327067238</v>
      </c>
      <c r="BO83" s="419">
        <v>900</v>
      </c>
      <c r="BP83" s="382">
        <f>PI()*BO83/1000*( Pile!$C$23- Pile!$C83)</f>
        <v>11.875220230569411</v>
      </c>
      <c r="BQ83" s="382">
        <f t="shared" si="15"/>
        <v>0.63617251235193317</v>
      </c>
      <c r="BR83" s="382">
        <f t="shared" si="56"/>
        <v>166.29619953051338</v>
      </c>
      <c r="BS83" s="382">
        <f>BP83* Pile!$S$23</f>
        <v>0</v>
      </c>
      <c r="BT83" s="382">
        <f t="shared" si="61"/>
        <v>166.29619953051338</v>
      </c>
      <c r="BU83" s="382">
        <f>IF(BT83&gt;0,+BT83)/ 'Pile Data and Eurocode Factors'!$B$14/ 'Pile Data and Eurocode Factors'!$B$15</f>
        <v>74.239374790407766</v>
      </c>
      <c r="BV83" s="382">
        <f t="shared" si="45"/>
        <v>811.24576893158087</v>
      </c>
      <c r="BW83" s="382">
        <f>BQ83* Pile!$U$23</f>
        <v>0</v>
      </c>
      <c r="BX83" s="382">
        <f t="shared" si="16"/>
        <v>811.24576893158087</v>
      </c>
      <c r="BY83" s="382">
        <f>BX83/ 'Pile Data and Eurocode Factors'!$C$14/ 'Pile Data and Eurocode Factors'!$C$15</f>
        <v>289.73063176127891</v>
      </c>
      <c r="BZ83" s="382">
        <f t="shared" si="17"/>
        <v>363.97000655168665</v>
      </c>
      <c r="CA83" s="382">
        <f>VLOOKUP(BO83, 'Pile Data and Eurocode Factors'!$A$34:$J$39,3, FALSE)</f>
        <v>9464.7047474031824</v>
      </c>
      <c r="CB83" s="403">
        <f t="shared" si="18"/>
        <v>363.97000655168665</v>
      </c>
      <c r="CC83" s="419">
        <v>1050</v>
      </c>
      <c r="CD83" s="382">
        <f>PI()*CC83/1000*( Pile!$C$23- Pile!$C83)</f>
        <v>13.854423602330979</v>
      </c>
      <c r="CE83" s="382">
        <f t="shared" si="19"/>
        <v>0.86590147514568672</v>
      </c>
      <c r="CF83" s="382">
        <f t="shared" si="57"/>
        <v>194.01223278559891</v>
      </c>
      <c r="CG83" s="382">
        <f>CD83* Pile!$S$23</f>
        <v>0</v>
      </c>
      <c r="CH83" s="382">
        <f t="shared" si="62"/>
        <v>194.01223278559891</v>
      </c>
      <c r="CI83" s="382">
        <f>IF(CH83&gt;0,+CH83)/ 'Pile Data and Eurocode Factors'!$B$14/ 'Pile Data and Eurocode Factors'!$B$15</f>
        <v>86.612603922142384</v>
      </c>
      <c r="CJ83" s="382">
        <f t="shared" si="48"/>
        <v>1104.1956299346516</v>
      </c>
      <c r="CK83" s="382">
        <f>CE83* Pile!$U$23</f>
        <v>0</v>
      </c>
      <c r="CL83" s="382">
        <f t="shared" si="20"/>
        <v>1104.1956299346516</v>
      </c>
      <c r="CM83" s="382">
        <f>CL83/ 'Pile Data and Eurocode Factors'!$C$14/ 'Pile Data and Eurocode Factors'!$C$15</f>
        <v>394.35558211951843</v>
      </c>
      <c r="CN83" s="382">
        <f t="shared" si="21"/>
        <v>480.96818604166083</v>
      </c>
      <c r="CO83" s="382">
        <f>VLOOKUP(CC83, 'Pile Data and Eurocode Factors'!$A$34:$J$39,3, FALSE)</f>
        <v>12882.514795076555</v>
      </c>
      <c r="CP83" s="403">
        <f t="shared" si="22"/>
        <v>480.96818604166083</v>
      </c>
      <c r="CQ83" s="419">
        <v>1200</v>
      </c>
      <c r="CR83" s="382">
        <f>PI()*CQ83/1000*( Pile!$C$23- Pile!$C83)</f>
        <v>15.833626974092548</v>
      </c>
      <c r="CS83" s="382">
        <f t="shared" si="23"/>
        <v>1.1309733552923256</v>
      </c>
      <c r="CT83" s="382">
        <f t="shared" si="58"/>
        <v>221.72826604068447</v>
      </c>
      <c r="CU83" s="382">
        <f>CR83* Pile!$S$23</f>
        <v>0</v>
      </c>
      <c r="CV83" s="382">
        <f t="shared" si="63"/>
        <v>221.72826604068447</v>
      </c>
      <c r="CW83" s="382">
        <f>IF(CV83&gt;0,+CV83)/ 'Pile Data and Eurocode Factors'!$B$14/ 'Pile Data and Eurocode Factors'!$B$15</f>
        <v>98.985833053876988</v>
      </c>
      <c r="CX83" s="382">
        <f t="shared" si="51"/>
        <v>1442.2147003228104</v>
      </c>
      <c r="CY83" s="382">
        <f>CS83* Pile!$U$23</f>
        <v>0</v>
      </c>
      <c r="CZ83" s="382">
        <f t="shared" si="24"/>
        <v>1442.2147003228104</v>
      </c>
      <c r="DA83" s="382">
        <f>CZ83/ 'Pile Data and Eurocode Factors'!$C$14/ 'Pile Data and Eurocode Factors'!$C$15</f>
        <v>515.07667868671797</v>
      </c>
      <c r="DB83" s="382">
        <f t="shared" si="25"/>
        <v>614.06251174059491</v>
      </c>
      <c r="DC83" s="382">
        <f>VLOOKUP(CQ83, 'Pile Data and Eurocode Factors'!$A$34:$J$39,3, FALSE)</f>
        <v>16826.141773161216</v>
      </c>
      <c r="DD83" s="403">
        <f t="shared" si="26"/>
        <v>614.06251174059491</v>
      </c>
      <c r="DE83" s="420">
        <f xml:space="preserve"> Pile!$C$23- Pile!C83</f>
        <v>4.1999999999999975</v>
      </c>
      <c r="DG83" s="382">
        <f t="shared" si="52"/>
        <v>109.55234533552361</v>
      </c>
      <c r="DH83" s="382">
        <f t="shared" si="27"/>
        <v>178.26208619861799</v>
      </c>
      <c r="DI83" s="382">
        <f t="shared" si="28"/>
        <v>263.06797327067238</v>
      </c>
      <c r="DJ83" s="382">
        <f t="shared" si="29"/>
        <v>363.97000655168665</v>
      </c>
      <c r="DK83" s="382">
        <f t="shared" si="30"/>
        <v>480.96818604166083</v>
      </c>
      <c r="DL83" s="382">
        <f t="shared" si="53"/>
        <v>614.06251174059491</v>
      </c>
    </row>
    <row r="84" spans="2:116" s="308" customFormat="1" ht="15">
      <c r="B84" s="400">
        <v>15</v>
      </c>
      <c r="C84" s="401">
        <f>+C83- Pile!D$23/20</f>
        <v>1.5000000000000022</v>
      </c>
      <c r="D84" s="415" t="str">
        <f>B23</f>
        <v>Loose Sand/Gravel</v>
      </c>
      <c r="E84" s="415" t="str">
        <f>F23</f>
        <v>Granular</v>
      </c>
      <c r="F84" s="401">
        <f xml:space="preserve"> Pile!$E$23*(+C83-C84)+F83</f>
        <v>74.249999999999957</v>
      </c>
      <c r="G84" s="401">
        <f>IF(C84&gt; Pile!$C$28,0,( Pile!$C$28-C84)*9.81)</f>
        <v>0</v>
      </c>
      <c r="H84" s="401">
        <f t="shared" si="0"/>
        <v>74.249999999999957</v>
      </c>
      <c r="I84" s="401">
        <f t="shared" si="1"/>
        <v>37.124999999999979</v>
      </c>
      <c r="J84" s="401">
        <f>IF(E84="Cohesive",(( Pile!$H$23- Pile!$G$23)/20)+J83,0)</f>
        <v>0</v>
      </c>
      <c r="K84" s="401">
        <f>IF(E84="Cohesive",( Pile!$G$23+ Pile!$J84)/2,0)</f>
        <v>0</v>
      </c>
      <c r="L84" s="401" t="str">
        <f>IF( Pile!I$23="",0, Pile!I$23)</f>
        <v>0</v>
      </c>
      <c r="M84" s="401" t="str">
        <f>IF( Pile!J$23="",0, Pile!J$23)</f>
        <v>0</v>
      </c>
      <c r="N84" s="401">
        <f>IF(E84="Granular", Pile!$K$23,0)</f>
        <v>18.401122218708668</v>
      </c>
      <c r="O84" s="416">
        <f>IF(AND(E84="Granular",D84&lt;&gt;"Made Ground"), Pile!$L$23,0)</f>
        <v>0.404145188432738</v>
      </c>
      <c r="P84" s="401">
        <f>IF(OR(D84="Low Density Chalk",D84="Medium Density Chalk"), Pile!$M$23,0)</f>
        <v>0</v>
      </c>
      <c r="Q84" s="417">
        <f>IF(D84="High Density Chalk", Pile!$N$23,0)</f>
        <v>0</v>
      </c>
      <c r="R84" s="401">
        <f>IF( Pile!O$23="",0, Pile!O$23)</f>
        <v>0</v>
      </c>
      <c r="S84" s="418">
        <f t="shared" si="31"/>
        <v>15.003890120565389</v>
      </c>
      <c r="T84" s="382">
        <f xml:space="preserve"> Pile!$T$23</f>
        <v>1200</v>
      </c>
      <c r="U84" s="382">
        <f t="shared" si="32"/>
        <v>15.003890120565389</v>
      </c>
      <c r="V84" s="382">
        <f t="shared" si="2"/>
        <v>1366.2833247391179</v>
      </c>
      <c r="W84" s="382">
        <f xml:space="preserve"> Pile!$V$23</f>
        <v>15000</v>
      </c>
      <c r="X84" s="382">
        <f t="shared" si="33"/>
        <v>1366.2833247391179</v>
      </c>
      <c r="Y84" s="419">
        <v>450</v>
      </c>
      <c r="Z84" s="382">
        <f>PI()*Y84/1000*( Pile!$C$23- Pile!$C84)</f>
        <v>6.3617251235193288</v>
      </c>
      <c r="AA84" s="382">
        <f t="shared" si="3"/>
        <v>0.15904312808798329</v>
      </c>
      <c r="AB84" s="382">
        <f t="shared" si="34"/>
        <v>95.450624730524282</v>
      </c>
      <c r="AC84" s="382">
        <f>Z84* Pile!$S$23</f>
        <v>0</v>
      </c>
      <c r="AD84" s="382">
        <f t="shared" si="35"/>
        <v>95.450624730524282</v>
      </c>
      <c r="AE84" s="382">
        <f>IF(AD84&gt;0,+AD84)/ 'Pile Data and Eurocode Factors'!$B$14/ 'Pile Data and Eurocode Factors'!$B$15</f>
        <v>42.611886040412628</v>
      </c>
      <c r="AF84" s="382">
        <f t="shared" si="36"/>
        <v>217.29797382095921</v>
      </c>
      <c r="AG84" s="382">
        <f>AA84* Pile!$U$23</f>
        <v>0</v>
      </c>
      <c r="AH84" s="382">
        <f t="shared" si="4"/>
        <v>217.29797382095921</v>
      </c>
      <c r="AI84" s="382">
        <f>AH84/ 'Pile Data and Eurocode Factors'!$C$14/ 'Pile Data and Eurocode Factors'!$C$15</f>
        <v>77.606419221771148</v>
      </c>
      <c r="AJ84" s="382">
        <f t="shared" si="5"/>
        <v>120.21830526218378</v>
      </c>
      <c r="AK84" s="382">
        <f>VLOOKUP(Y84, 'Pile Data and Eurocode Factors'!$A$34:$J$39,3, FALSE)</f>
        <v>2366.1761868507956</v>
      </c>
      <c r="AL84" s="403">
        <f t="shared" si="6"/>
        <v>120.21830526218378</v>
      </c>
      <c r="AM84" s="419">
        <v>600</v>
      </c>
      <c r="AN84" s="382">
        <f>PI()*AM84/1000*( Pile!$C$23- Pile!$C84)</f>
        <v>8.4823001646924379</v>
      </c>
      <c r="AO84" s="382">
        <f t="shared" si="7"/>
        <v>0.28274333882308139</v>
      </c>
      <c r="AP84" s="382">
        <f t="shared" si="54"/>
        <v>127.26749964069904</v>
      </c>
      <c r="AQ84" s="382">
        <f>AN84* Pile!$S$23</f>
        <v>0</v>
      </c>
      <c r="AR84" s="382">
        <f t="shared" si="59"/>
        <v>127.26749964069904</v>
      </c>
      <c r="AS84" s="382">
        <f>IF(AR84&gt;0,+AR84)/ 'Pile Data and Eurocode Factors'!$B$14/ 'Pile Data and Eurocode Factors'!$B$15</f>
        <v>56.815848053883506</v>
      </c>
      <c r="AT84" s="382">
        <f t="shared" si="39"/>
        <v>386.30750901503853</v>
      </c>
      <c r="AU84" s="382">
        <f>AO84* Pile!$U$23</f>
        <v>0</v>
      </c>
      <c r="AV84" s="382">
        <f t="shared" si="8"/>
        <v>386.30750901503853</v>
      </c>
      <c r="AW84" s="382">
        <f>AV84/ 'Pile Data and Eurocode Factors'!$C$14/ 'Pile Data and Eurocode Factors'!$C$15</f>
        <v>137.96696750537092</v>
      </c>
      <c r="AX84" s="382">
        <f t="shared" si="9"/>
        <v>194.78281555925443</v>
      </c>
      <c r="AY84" s="382">
        <f>VLOOKUP(AM84, 'Pile Data and Eurocode Factors'!$A$34:$J$39,3, FALSE)</f>
        <v>4206.5354432903041</v>
      </c>
      <c r="AZ84" s="403">
        <f t="shared" si="10"/>
        <v>194.78281555925443</v>
      </c>
      <c r="BA84" s="419">
        <v>750</v>
      </c>
      <c r="BB84" s="382">
        <f>PI()*BA84/1000*( Pile!$C$23- Pile!$C84)</f>
        <v>10.602875205865548</v>
      </c>
      <c r="BC84" s="382">
        <f t="shared" si="11"/>
        <v>0.44178646691106466</v>
      </c>
      <c r="BD84" s="382">
        <f t="shared" si="55"/>
        <v>159.0843745508738</v>
      </c>
      <c r="BE84" s="382">
        <f>BB84* Pile!$S$23</f>
        <v>0</v>
      </c>
      <c r="BF84" s="382">
        <f t="shared" si="60"/>
        <v>159.0843745508738</v>
      </c>
      <c r="BG84" s="382">
        <f>IF(BF84&gt;0,+BF84)/ 'Pile Data and Eurocode Factors'!$B$14/ 'Pile Data and Eurocode Factors'!$B$15</f>
        <v>71.019810067354385</v>
      </c>
      <c r="BH84" s="382">
        <f t="shared" si="42"/>
        <v>603.60548283599769</v>
      </c>
      <c r="BI84" s="382">
        <f>BC84* Pile!$U$23</f>
        <v>0</v>
      </c>
      <c r="BJ84" s="382">
        <f t="shared" si="12"/>
        <v>603.60548283599769</v>
      </c>
      <c r="BK84" s="382">
        <f>BJ84/ 'Pile Data and Eurocode Factors'!$C$14/ 'Pile Data and Eurocode Factors'!$C$15</f>
        <v>215.57338672714204</v>
      </c>
      <c r="BL84" s="382">
        <f t="shared" si="13"/>
        <v>286.59319679449641</v>
      </c>
      <c r="BM84" s="382">
        <f>VLOOKUP(BA84, 'Pile Data and Eurocode Factors'!$A$34:$J$39,3, FALSE)</f>
        <v>6572.7116301410997</v>
      </c>
      <c r="BN84" s="403">
        <f t="shared" si="14"/>
        <v>286.59319679449641</v>
      </c>
      <c r="BO84" s="419">
        <v>900</v>
      </c>
      <c r="BP84" s="382">
        <f>PI()*BO84/1000*( Pile!$C$23- Pile!$C84)</f>
        <v>12.723450247038658</v>
      </c>
      <c r="BQ84" s="382">
        <f t="shared" si="15"/>
        <v>0.63617251235193317</v>
      </c>
      <c r="BR84" s="382">
        <f t="shared" si="56"/>
        <v>190.90124946104856</v>
      </c>
      <c r="BS84" s="382">
        <f>BP84* Pile!$S$23</f>
        <v>0</v>
      </c>
      <c r="BT84" s="382">
        <f t="shared" si="61"/>
        <v>190.90124946104856</v>
      </c>
      <c r="BU84" s="382">
        <f>IF(BT84&gt;0,+BT84)/ 'Pile Data and Eurocode Factors'!$B$14/ 'Pile Data and Eurocode Factors'!$B$15</f>
        <v>85.223772080825256</v>
      </c>
      <c r="BV84" s="382">
        <f t="shared" si="45"/>
        <v>869.19189528383686</v>
      </c>
      <c r="BW84" s="382">
        <f>BQ84* Pile!$U$23</f>
        <v>0</v>
      </c>
      <c r="BX84" s="382">
        <f t="shared" si="16"/>
        <v>869.19189528383686</v>
      </c>
      <c r="BY84" s="382">
        <f>BX84/ 'Pile Data and Eurocode Factors'!$C$14/ 'Pile Data and Eurocode Factors'!$C$15</f>
        <v>310.42567688708459</v>
      </c>
      <c r="BZ84" s="382">
        <f t="shared" si="17"/>
        <v>395.64944896790985</v>
      </c>
      <c r="CA84" s="382">
        <f>VLOOKUP(BO84, 'Pile Data and Eurocode Factors'!$A$34:$J$39,3, FALSE)</f>
        <v>9464.7047474031824</v>
      </c>
      <c r="CB84" s="403">
        <f t="shared" si="18"/>
        <v>395.64944896790985</v>
      </c>
      <c r="CC84" s="419">
        <v>1050</v>
      </c>
      <c r="CD84" s="382">
        <f>PI()*CC84/1000*( Pile!$C$23- Pile!$C84)</f>
        <v>14.844025288211766</v>
      </c>
      <c r="CE84" s="382">
        <f t="shared" si="19"/>
        <v>0.86590147514568672</v>
      </c>
      <c r="CF84" s="382">
        <f t="shared" si="57"/>
        <v>222.71812437122333</v>
      </c>
      <c r="CG84" s="382">
        <f>CD84* Pile!$S$23</f>
        <v>0</v>
      </c>
      <c r="CH84" s="382">
        <f t="shared" si="62"/>
        <v>222.71812437122333</v>
      </c>
      <c r="CI84" s="382">
        <f>IF(CH84&gt;0,+CH84)/ 'Pile Data and Eurocode Factors'!$B$14/ 'Pile Data and Eurocode Factors'!$B$15</f>
        <v>99.427734094296127</v>
      </c>
      <c r="CJ84" s="382">
        <f t="shared" si="48"/>
        <v>1183.0667463585555</v>
      </c>
      <c r="CK84" s="382">
        <f>CE84* Pile!$U$23</f>
        <v>0</v>
      </c>
      <c r="CL84" s="382">
        <f t="shared" si="20"/>
        <v>1183.0667463585555</v>
      </c>
      <c r="CM84" s="382">
        <f>CL84/ 'Pile Data and Eurocode Factors'!$C$14/ 'Pile Data and Eurocode Factors'!$C$15</f>
        <v>422.52383798519844</v>
      </c>
      <c r="CN84" s="382">
        <f t="shared" si="21"/>
        <v>521.95157207949455</v>
      </c>
      <c r="CO84" s="382">
        <f>VLOOKUP(CC84, 'Pile Data and Eurocode Factors'!$A$34:$J$39,3, FALSE)</f>
        <v>12882.514795076555</v>
      </c>
      <c r="CP84" s="403">
        <f t="shared" si="22"/>
        <v>521.95157207949455</v>
      </c>
      <c r="CQ84" s="419">
        <v>1200</v>
      </c>
      <c r="CR84" s="382">
        <f>PI()*CQ84/1000*( Pile!$C$23- Pile!$C84)</f>
        <v>16.964600329384876</v>
      </c>
      <c r="CS84" s="382">
        <f t="shared" si="23"/>
        <v>1.1309733552923256</v>
      </c>
      <c r="CT84" s="382">
        <f t="shared" si="58"/>
        <v>254.53499928139809</v>
      </c>
      <c r="CU84" s="382">
        <f>CR84* Pile!$S$23</f>
        <v>0</v>
      </c>
      <c r="CV84" s="382">
        <f t="shared" si="63"/>
        <v>254.53499928139809</v>
      </c>
      <c r="CW84" s="382">
        <f>IF(CV84&gt;0,+CV84)/ 'Pile Data and Eurocode Factors'!$B$14/ 'Pile Data and Eurocode Factors'!$B$15</f>
        <v>113.63169610776701</v>
      </c>
      <c r="CX84" s="382">
        <f t="shared" si="51"/>
        <v>1545.2300360601541</v>
      </c>
      <c r="CY84" s="382">
        <f>CS84* Pile!$U$23</f>
        <v>0</v>
      </c>
      <c r="CZ84" s="382">
        <f t="shared" si="24"/>
        <v>1545.2300360601541</v>
      </c>
      <c r="DA84" s="382">
        <f>CZ84/ 'Pile Data and Eurocode Factors'!$C$14/ 'Pile Data and Eurocode Factors'!$C$15</f>
        <v>551.86787002148367</v>
      </c>
      <c r="DB84" s="382">
        <f t="shared" si="25"/>
        <v>665.49956612925064</v>
      </c>
      <c r="DC84" s="382">
        <f>VLOOKUP(CQ84, 'Pile Data and Eurocode Factors'!$A$34:$J$39,3, FALSE)</f>
        <v>16826.141773161216</v>
      </c>
      <c r="DD84" s="403">
        <f t="shared" si="26"/>
        <v>665.49956612925064</v>
      </c>
      <c r="DE84" s="420">
        <f xml:space="preserve"> Pile!$C$23- Pile!C84</f>
        <v>4.4999999999999982</v>
      </c>
      <c r="DG84" s="382">
        <f t="shared" si="52"/>
        <v>120.21830526218378</v>
      </c>
      <c r="DH84" s="382">
        <f t="shared" si="27"/>
        <v>194.78281555925443</v>
      </c>
      <c r="DI84" s="382">
        <f t="shared" si="28"/>
        <v>286.59319679449641</v>
      </c>
      <c r="DJ84" s="382">
        <f t="shared" si="29"/>
        <v>395.64944896790985</v>
      </c>
      <c r="DK84" s="382">
        <f t="shared" si="30"/>
        <v>521.95157207949455</v>
      </c>
      <c r="DL84" s="382">
        <f t="shared" si="53"/>
        <v>665.49956612925064</v>
      </c>
    </row>
    <row r="85" spans="2:116" s="308" customFormat="1" ht="15">
      <c r="B85" s="400">
        <v>16</v>
      </c>
      <c r="C85" s="401">
        <f>+C84- Pile!D$23/20</f>
        <v>1.2000000000000022</v>
      </c>
      <c r="D85" s="415" t="str">
        <f>B23</f>
        <v>Loose Sand/Gravel</v>
      </c>
      <c r="E85" s="415" t="str">
        <f>F23</f>
        <v>Granular</v>
      </c>
      <c r="F85" s="401">
        <f xml:space="preserve"> Pile!$E$23*(+C84-C85)+F84</f>
        <v>79.19999999999996</v>
      </c>
      <c r="G85" s="401">
        <f>IF(C85&gt; Pile!$C$28,0,( Pile!$C$28-C85)*9.81)</f>
        <v>0</v>
      </c>
      <c r="H85" s="401">
        <f t="shared" si="0"/>
        <v>79.19999999999996</v>
      </c>
      <c r="I85" s="401">
        <f t="shared" si="1"/>
        <v>39.59999999999998</v>
      </c>
      <c r="J85" s="401">
        <f>IF(E85="Cohesive",(( Pile!$H$23- Pile!$G$23)/20)+J84,0)</f>
        <v>0</v>
      </c>
      <c r="K85" s="401">
        <f>IF(E85="Cohesive",( Pile!$G$23+ Pile!$J85)/2,0)</f>
        <v>0</v>
      </c>
      <c r="L85" s="401" t="str">
        <f>IF( Pile!I$23="",0, Pile!I$23)</f>
        <v>0</v>
      </c>
      <c r="M85" s="401" t="str">
        <f>IF( Pile!J$23="",0, Pile!J$23)</f>
        <v>0</v>
      </c>
      <c r="N85" s="401">
        <f>IF(E85="Granular", Pile!$K$23,0)</f>
        <v>18.401122218708668</v>
      </c>
      <c r="O85" s="416">
        <f>IF(AND(E85="Granular",D85&lt;&gt;"Made Ground"), Pile!$L$23,0)</f>
        <v>0.404145188432738</v>
      </c>
      <c r="P85" s="401">
        <f>IF(OR(D85="Low Density Chalk",D85="Medium Density Chalk"), Pile!$M$23,0)</f>
        <v>0</v>
      </c>
      <c r="Q85" s="417">
        <f>IF(D85="High Density Chalk", Pile!$N$23,0)</f>
        <v>0</v>
      </c>
      <c r="R85" s="401">
        <f>IF( Pile!O$23="",0, Pile!O$23)</f>
        <v>0</v>
      </c>
      <c r="S85" s="418">
        <f t="shared" si="31"/>
        <v>16.004149461936418</v>
      </c>
      <c r="T85" s="382">
        <f xml:space="preserve"> Pile!$T$23</f>
        <v>1200</v>
      </c>
      <c r="U85" s="382">
        <f t="shared" si="32"/>
        <v>16.004149461936418</v>
      </c>
      <c r="V85" s="382">
        <f t="shared" si="2"/>
        <v>1457.3688797217258</v>
      </c>
      <c r="W85" s="382">
        <f xml:space="preserve"> Pile!$V$23</f>
        <v>15000</v>
      </c>
      <c r="X85" s="382">
        <f t="shared" si="33"/>
        <v>1457.3688797217258</v>
      </c>
      <c r="Y85" s="419">
        <v>450</v>
      </c>
      <c r="Z85" s="382">
        <f>PI()*Y85/1000*( Pile!$C$23- Pile!$C85)</f>
        <v>6.7858401317539503</v>
      </c>
      <c r="AA85" s="382">
        <f t="shared" si="3"/>
        <v>0.15904312808798329</v>
      </c>
      <c r="AB85" s="382">
        <f t="shared" si="34"/>
        <v>108.60159969339654</v>
      </c>
      <c r="AC85" s="382">
        <f>Z85* Pile!$S$23</f>
        <v>0</v>
      </c>
      <c r="AD85" s="382">
        <f t="shared" si="35"/>
        <v>108.60159969339654</v>
      </c>
      <c r="AE85" s="382">
        <f>IF(AD85&gt;0,+AD85)/ 'Pile Data and Eurocode Factors'!$B$14/ 'Pile Data and Eurocode Factors'!$B$15</f>
        <v>48.482857005980598</v>
      </c>
      <c r="AF85" s="382">
        <f t="shared" si="36"/>
        <v>231.78450540902315</v>
      </c>
      <c r="AG85" s="382">
        <f>AA85* Pile!$U$23</f>
        <v>0</v>
      </c>
      <c r="AH85" s="382">
        <f t="shared" si="4"/>
        <v>231.78450540902315</v>
      </c>
      <c r="AI85" s="382">
        <f>AH85/ 'Pile Data and Eurocode Factors'!$C$14/ 'Pile Data and Eurocode Factors'!$C$15</f>
        <v>82.780180503222567</v>
      </c>
      <c r="AJ85" s="382">
        <f t="shared" si="5"/>
        <v>131.26303750920317</v>
      </c>
      <c r="AK85" s="382">
        <f>VLOOKUP(Y85, 'Pile Data and Eurocode Factors'!$A$34:$J$39,3, FALSE)</f>
        <v>2366.1761868507956</v>
      </c>
      <c r="AL85" s="403">
        <f t="shared" si="6"/>
        <v>131.26303750920317</v>
      </c>
      <c r="AM85" s="419">
        <v>600</v>
      </c>
      <c r="AN85" s="382">
        <f>PI()*AM85/1000*( Pile!$C$23- Pile!$C85)</f>
        <v>9.047786842338601</v>
      </c>
      <c r="AO85" s="382">
        <f t="shared" si="7"/>
        <v>0.28274333882308139</v>
      </c>
      <c r="AP85" s="382">
        <f t="shared" si="54"/>
        <v>144.80213292452873</v>
      </c>
      <c r="AQ85" s="382">
        <f>AN85* Pile!$S$23</f>
        <v>0</v>
      </c>
      <c r="AR85" s="382">
        <f t="shared" si="59"/>
        <v>144.80213292452873</v>
      </c>
      <c r="AS85" s="382">
        <f>IF(AR85&gt;0,+AR85)/ 'Pile Data and Eurocode Factors'!$B$14/ 'Pile Data and Eurocode Factors'!$B$15</f>
        <v>64.643809341307474</v>
      </c>
      <c r="AT85" s="382">
        <f t="shared" si="39"/>
        <v>412.06134294937448</v>
      </c>
      <c r="AU85" s="382">
        <f>AO85* Pile!$U$23</f>
        <v>0</v>
      </c>
      <c r="AV85" s="382">
        <f t="shared" si="8"/>
        <v>412.06134294937448</v>
      </c>
      <c r="AW85" s="382">
        <f>AV85/ 'Pile Data and Eurocode Factors'!$C$14/ 'Pile Data and Eurocode Factors'!$C$15</f>
        <v>147.16476533906231</v>
      </c>
      <c r="AX85" s="382">
        <f t="shared" si="9"/>
        <v>211.80857468036979</v>
      </c>
      <c r="AY85" s="382">
        <f>VLOOKUP(AM85, 'Pile Data and Eurocode Factors'!$A$34:$J$39,3, FALSE)</f>
        <v>4206.5354432903041</v>
      </c>
      <c r="AZ85" s="403">
        <f t="shared" si="10"/>
        <v>211.80857468036979</v>
      </c>
      <c r="BA85" s="419">
        <v>750</v>
      </c>
      <c r="BB85" s="382">
        <f>PI()*BA85/1000*( Pile!$C$23- Pile!$C85)</f>
        <v>11.30973355292325</v>
      </c>
      <c r="BC85" s="382">
        <f t="shared" si="11"/>
        <v>0.44178646691106466</v>
      </c>
      <c r="BD85" s="382">
        <f t="shared" si="55"/>
        <v>181.00266615566088</v>
      </c>
      <c r="BE85" s="382">
        <f>BB85* Pile!$S$23</f>
        <v>0</v>
      </c>
      <c r="BF85" s="382">
        <f t="shared" si="60"/>
        <v>181.00266615566088</v>
      </c>
      <c r="BG85" s="382">
        <f>IF(BF85&gt;0,+BF85)/ 'Pile Data and Eurocode Factors'!$B$14/ 'Pile Data and Eurocode Factors'!$B$15</f>
        <v>80.804761676634314</v>
      </c>
      <c r="BH85" s="382">
        <f t="shared" si="42"/>
        <v>643.84584835839757</v>
      </c>
      <c r="BI85" s="382">
        <f>BC85* Pile!$U$23</f>
        <v>0</v>
      </c>
      <c r="BJ85" s="382">
        <f t="shared" si="12"/>
        <v>643.84584835839757</v>
      </c>
      <c r="BK85" s="382">
        <f>BJ85/ 'Pile Data and Eurocode Factors'!$C$14/ 'Pile Data and Eurocode Factors'!$C$15</f>
        <v>229.94494584228485</v>
      </c>
      <c r="BL85" s="382">
        <f t="shared" si="13"/>
        <v>310.74970751891919</v>
      </c>
      <c r="BM85" s="382">
        <f>VLOOKUP(BA85, 'Pile Data and Eurocode Factors'!$A$34:$J$39,3, FALSE)</f>
        <v>6572.7116301410997</v>
      </c>
      <c r="BN85" s="403">
        <f t="shared" si="14"/>
        <v>310.74970751891919</v>
      </c>
      <c r="BO85" s="419">
        <v>900</v>
      </c>
      <c r="BP85" s="382">
        <f>PI()*BO85/1000*( Pile!$C$23- Pile!$C85)</f>
        <v>13.571680263507901</v>
      </c>
      <c r="BQ85" s="382">
        <f t="shared" si="15"/>
        <v>0.63617251235193317</v>
      </c>
      <c r="BR85" s="382">
        <f t="shared" si="56"/>
        <v>217.20319938679307</v>
      </c>
      <c r="BS85" s="382">
        <f>BP85* Pile!$S$23</f>
        <v>0</v>
      </c>
      <c r="BT85" s="382">
        <f t="shared" si="61"/>
        <v>217.20319938679307</v>
      </c>
      <c r="BU85" s="382">
        <f>IF(BT85&gt;0,+BT85)/ 'Pile Data and Eurocode Factors'!$B$14/ 'Pile Data and Eurocode Factors'!$B$15</f>
        <v>96.965714011961197</v>
      </c>
      <c r="BV85" s="382">
        <f t="shared" si="45"/>
        <v>927.13802163609262</v>
      </c>
      <c r="BW85" s="382">
        <f>BQ85* Pile!$U$23</f>
        <v>0</v>
      </c>
      <c r="BX85" s="382">
        <f t="shared" si="16"/>
        <v>927.13802163609262</v>
      </c>
      <c r="BY85" s="382">
        <f>BX85/ 'Pile Data and Eurocode Factors'!$C$14/ 'Pile Data and Eurocode Factors'!$C$15</f>
        <v>331.12072201289027</v>
      </c>
      <c r="BZ85" s="382">
        <f t="shared" si="17"/>
        <v>428.08643602485148</v>
      </c>
      <c r="CA85" s="382">
        <f>VLOOKUP(BO85, 'Pile Data and Eurocode Factors'!$A$34:$J$39,3, FALSE)</f>
        <v>9464.7047474031824</v>
      </c>
      <c r="CB85" s="403">
        <f t="shared" si="18"/>
        <v>428.08643602485148</v>
      </c>
      <c r="CC85" s="419">
        <v>1050</v>
      </c>
      <c r="CD85" s="382">
        <f>PI()*CC85/1000*( Pile!$C$23- Pile!$C85)</f>
        <v>15.833626974092551</v>
      </c>
      <c r="CE85" s="382">
        <f t="shared" si="19"/>
        <v>0.86590147514568672</v>
      </c>
      <c r="CF85" s="382">
        <f t="shared" si="57"/>
        <v>253.40373261792527</v>
      </c>
      <c r="CG85" s="382">
        <f>CD85* Pile!$S$23</f>
        <v>0</v>
      </c>
      <c r="CH85" s="382">
        <f t="shared" si="62"/>
        <v>253.40373261792527</v>
      </c>
      <c r="CI85" s="382">
        <f>IF(CH85&gt;0,+CH85)/ 'Pile Data and Eurocode Factors'!$B$14/ 'Pile Data and Eurocode Factors'!$B$15</f>
        <v>113.12666634728808</v>
      </c>
      <c r="CJ85" s="382">
        <f t="shared" si="48"/>
        <v>1261.9378627824592</v>
      </c>
      <c r="CK85" s="382">
        <f>CE85* Pile!$U$23</f>
        <v>0</v>
      </c>
      <c r="CL85" s="382">
        <f t="shared" si="20"/>
        <v>1261.9378627824592</v>
      </c>
      <c r="CM85" s="382">
        <f>CL85/ 'Pile Data and Eurocode Factors'!$C$14/ 'Pile Data and Eurocode Factors'!$C$15</f>
        <v>450.69209385087834</v>
      </c>
      <c r="CN85" s="382">
        <f t="shared" si="21"/>
        <v>563.81876019816639</v>
      </c>
      <c r="CO85" s="382">
        <f>VLOOKUP(CC85, 'Pile Data and Eurocode Factors'!$A$34:$J$39,3, FALSE)</f>
        <v>12882.514795076555</v>
      </c>
      <c r="CP85" s="403">
        <f t="shared" si="22"/>
        <v>563.81876019816639</v>
      </c>
      <c r="CQ85" s="419">
        <v>1200</v>
      </c>
      <c r="CR85" s="382">
        <f>PI()*CQ85/1000*( Pile!$C$23- Pile!$C85)</f>
        <v>18.095573684677202</v>
      </c>
      <c r="CS85" s="382">
        <f t="shared" si="23"/>
        <v>1.1309733552923256</v>
      </c>
      <c r="CT85" s="382">
        <f t="shared" si="58"/>
        <v>289.60426584905747</v>
      </c>
      <c r="CU85" s="382">
        <f>CR85* Pile!$S$23</f>
        <v>0</v>
      </c>
      <c r="CV85" s="382">
        <f t="shared" si="63"/>
        <v>289.60426584905747</v>
      </c>
      <c r="CW85" s="382">
        <f>IF(CV85&gt;0,+CV85)/ 'Pile Data and Eurocode Factors'!$B$14/ 'Pile Data and Eurocode Factors'!$B$15</f>
        <v>129.28761868261495</v>
      </c>
      <c r="CX85" s="382">
        <f t="shared" si="51"/>
        <v>1648.2453717974979</v>
      </c>
      <c r="CY85" s="382">
        <f>CS85* Pile!$U$23</f>
        <v>0</v>
      </c>
      <c r="CZ85" s="382">
        <f t="shared" si="24"/>
        <v>1648.2453717974979</v>
      </c>
      <c r="DA85" s="382">
        <f>CZ85/ 'Pile Data and Eurocode Factors'!$C$14/ 'Pile Data and Eurocode Factors'!$C$15</f>
        <v>588.65906135624925</v>
      </c>
      <c r="DB85" s="382">
        <f t="shared" si="25"/>
        <v>717.9466800388642</v>
      </c>
      <c r="DC85" s="382">
        <f>VLOOKUP(CQ85, 'Pile Data and Eurocode Factors'!$A$34:$J$39,3, FALSE)</f>
        <v>16826.141773161216</v>
      </c>
      <c r="DD85" s="403">
        <f t="shared" si="26"/>
        <v>717.9466800388642</v>
      </c>
      <c r="DE85" s="420">
        <f xml:space="preserve"> Pile!$C$23- Pile!C85</f>
        <v>4.799999999999998</v>
      </c>
      <c r="DG85" s="382">
        <f t="shared" si="52"/>
        <v>131.26303750920317</v>
      </c>
      <c r="DH85" s="382">
        <f t="shared" si="27"/>
        <v>211.80857468036979</v>
      </c>
      <c r="DI85" s="382">
        <f t="shared" si="28"/>
        <v>310.74970751891919</v>
      </c>
      <c r="DJ85" s="382">
        <f t="shared" si="29"/>
        <v>428.08643602485148</v>
      </c>
      <c r="DK85" s="382">
        <f t="shared" si="30"/>
        <v>563.81876019816639</v>
      </c>
      <c r="DL85" s="382">
        <f t="shared" si="53"/>
        <v>717.9466800388642</v>
      </c>
    </row>
    <row r="86" spans="2:116" s="308" customFormat="1" ht="15">
      <c r="B86" s="400">
        <v>17</v>
      </c>
      <c r="C86" s="401">
        <f>+C85- Pile!D$23/20</f>
        <v>0.90000000000000213</v>
      </c>
      <c r="D86" s="415" t="str">
        <f>B23</f>
        <v>Loose Sand/Gravel</v>
      </c>
      <c r="E86" s="415" t="str">
        <f>F23</f>
        <v>Granular</v>
      </c>
      <c r="F86" s="401">
        <f xml:space="preserve"> Pile!$E$23*(+C85-C86)+F85</f>
        <v>84.149999999999963</v>
      </c>
      <c r="G86" s="401">
        <f>IF(C86&gt; Pile!$C$28,0,( Pile!$C$28-C86)*9.81)</f>
        <v>0</v>
      </c>
      <c r="H86" s="401">
        <f t="shared" si="0"/>
        <v>84.149999999999963</v>
      </c>
      <c r="I86" s="401">
        <f t="shared" si="1"/>
        <v>42.074999999999982</v>
      </c>
      <c r="J86" s="401">
        <f>IF(E86="Cohesive",(( Pile!$H$23- Pile!$G$23)/20)+J85,0)</f>
        <v>0</v>
      </c>
      <c r="K86" s="401">
        <f>IF(E86="Cohesive",( Pile!$G$23+ Pile!$J86)/2,0)</f>
        <v>0</v>
      </c>
      <c r="L86" s="401" t="str">
        <f>IF( Pile!I$23="",0, Pile!I$23)</f>
        <v>0</v>
      </c>
      <c r="M86" s="401" t="str">
        <f>IF( Pile!J$23="",0, Pile!J$23)</f>
        <v>0</v>
      </c>
      <c r="N86" s="401">
        <f>IF(E86="Granular", Pile!$K$23,0)</f>
        <v>18.401122218708668</v>
      </c>
      <c r="O86" s="416">
        <f>IF(AND(E86="Granular",D86&lt;&gt;"Made Ground"), Pile!$L$23,0)</f>
        <v>0.404145188432738</v>
      </c>
      <c r="P86" s="401">
        <f>IF(OR(D86="Low Density Chalk",D86="Medium Density Chalk"), Pile!$M$23,0)</f>
        <v>0</v>
      </c>
      <c r="Q86" s="417">
        <f>IF(D86="High Density Chalk", Pile!$N$23,0)</f>
        <v>0</v>
      </c>
      <c r="R86" s="401">
        <f>IF( Pile!O$23="",0, Pile!O$23)</f>
        <v>0</v>
      </c>
      <c r="S86" s="418">
        <f t="shared" si="31"/>
        <v>17.004408803307445</v>
      </c>
      <c r="T86" s="382">
        <f xml:space="preserve"> Pile!$T$23</f>
        <v>1200</v>
      </c>
      <c r="U86" s="382">
        <f t="shared" si="32"/>
        <v>17.004408803307445</v>
      </c>
      <c r="V86" s="382">
        <f t="shared" si="2"/>
        <v>1548.4544347043338</v>
      </c>
      <c r="W86" s="382">
        <f xml:space="preserve"> Pile!$V$23</f>
        <v>15000</v>
      </c>
      <c r="X86" s="382">
        <f t="shared" si="33"/>
        <v>1548.4544347043338</v>
      </c>
      <c r="Y86" s="419">
        <v>450</v>
      </c>
      <c r="Z86" s="382">
        <f>PI()*Y86/1000*( Pile!$C$23- Pile!$C86)</f>
        <v>7.2099551399885726</v>
      </c>
      <c r="AA86" s="382">
        <f t="shared" si="3"/>
        <v>0.15904312808798329</v>
      </c>
      <c r="AB86" s="382">
        <f t="shared" si="34"/>
        <v>122.60102465387345</v>
      </c>
      <c r="AC86" s="382">
        <f>Z86* Pile!$S$23</f>
        <v>0</v>
      </c>
      <c r="AD86" s="382">
        <f t="shared" si="35"/>
        <v>122.60102465387345</v>
      </c>
      <c r="AE86" s="382">
        <f>IF(AD86&gt;0,+AD86)/ 'Pile Data and Eurocode Factors'!$B$14/ 'Pile Data and Eurocode Factors'!$B$15</f>
        <v>54.732600291907794</v>
      </c>
      <c r="AF86" s="382">
        <f t="shared" si="36"/>
        <v>246.27103699708712</v>
      </c>
      <c r="AG86" s="382">
        <f>AA86* Pile!$U$23</f>
        <v>0</v>
      </c>
      <c r="AH86" s="382">
        <f t="shared" si="4"/>
        <v>246.27103699708712</v>
      </c>
      <c r="AI86" s="382">
        <f>AH86/ 'Pile Data and Eurocode Factors'!$C$14/ 'Pile Data and Eurocode Factors'!$C$15</f>
        <v>87.953941784673972</v>
      </c>
      <c r="AJ86" s="382">
        <f t="shared" si="5"/>
        <v>142.68654207658176</v>
      </c>
      <c r="AK86" s="382">
        <f>VLOOKUP(Y86, 'Pile Data and Eurocode Factors'!$A$34:$J$39,3, FALSE)</f>
        <v>2366.1761868507956</v>
      </c>
      <c r="AL86" s="403">
        <f t="shared" si="6"/>
        <v>142.68654207658176</v>
      </c>
      <c r="AM86" s="419">
        <v>600</v>
      </c>
      <c r="AN86" s="382">
        <f>PI()*AM86/1000*( Pile!$C$23- Pile!$C86)</f>
        <v>9.6132735199847623</v>
      </c>
      <c r="AO86" s="382">
        <f t="shared" si="7"/>
        <v>0.28274333882308139</v>
      </c>
      <c r="AP86" s="382">
        <f t="shared" si="54"/>
        <v>163.46803287183124</v>
      </c>
      <c r="AQ86" s="382">
        <f>AN86* Pile!$S$23</f>
        <v>0</v>
      </c>
      <c r="AR86" s="382">
        <f t="shared" si="59"/>
        <v>163.46803287183124</v>
      </c>
      <c r="AS86" s="382">
        <f>IF(AR86&gt;0,+AR86)/ 'Pile Data and Eurocode Factors'!$B$14/ 'Pile Data and Eurocode Factors'!$B$15</f>
        <v>72.976800389210368</v>
      </c>
      <c r="AT86" s="382">
        <f t="shared" si="39"/>
        <v>437.81517688371042</v>
      </c>
      <c r="AU86" s="382">
        <f>AO86* Pile!$U$23</f>
        <v>0</v>
      </c>
      <c r="AV86" s="382">
        <f t="shared" si="8"/>
        <v>437.81517688371042</v>
      </c>
      <c r="AW86" s="382">
        <f>AV86/ 'Pile Data and Eurocode Factors'!$C$14/ 'Pile Data and Eurocode Factors'!$C$15</f>
        <v>156.36256317275374</v>
      </c>
      <c r="AX86" s="382">
        <f t="shared" si="9"/>
        <v>229.33936356196409</v>
      </c>
      <c r="AY86" s="382">
        <f>VLOOKUP(AM86, 'Pile Data and Eurocode Factors'!$A$34:$J$39,3, FALSE)</f>
        <v>4206.5354432903041</v>
      </c>
      <c r="AZ86" s="403">
        <f t="shared" si="10"/>
        <v>229.33936356196409</v>
      </c>
      <c r="BA86" s="419">
        <v>750</v>
      </c>
      <c r="BB86" s="382">
        <f>PI()*BA86/1000*( Pile!$C$23- Pile!$C86)</f>
        <v>12.016591899980954</v>
      </c>
      <c r="BC86" s="382">
        <f t="shared" si="11"/>
        <v>0.44178646691106466</v>
      </c>
      <c r="BD86" s="382">
        <f t="shared" si="55"/>
        <v>204.33504108978906</v>
      </c>
      <c r="BE86" s="382">
        <f>BB86* Pile!$S$23</f>
        <v>0</v>
      </c>
      <c r="BF86" s="382">
        <f t="shared" si="60"/>
        <v>204.33504108978906</v>
      </c>
      <c r="BG86" s="382">
        <f>IF(BF86&gt;0,+BF86)/ 'Pile Data and Eurocode Factors'!$B$14/ 'Pile Data and Eurocode Factors'!$B$15</f>
        <v>91.221000486512978</v>
      </c>
      <c r="BH86" s="382">
        <f t="shared" si="42"/>
        <v>684.08621388079746</v>
      </c>
      <c r="BI86" s="382">
        <f>BC86* Pile!$U$23</f>
        <v>0</v>
      </c>
      <c r="BJ86" s="382">
        <f t="shared" si="12"/>
        <v>684.08621388079746</v>
      </c>
      <c r="BK86" s="382">
        <f>BJ86/ 'Pile Data and Eurocode Factors'!$C$14/ 'Pile Data and Eurocode Factors'!$C$15</f>
        <v>244.31650495742767</v>
      </c>
      <c r="BL86" s="382">
        <f t="shared" si="13"/>
        <v>335.53750544394063</v>
      </c>
      <c r="BM86" s="382">
        <f>VLOOKUP(BA86, 'Pile Data and Eurocode Factors'!$A$34:$J$39,3, FALSE)</f>
        <v>6572.7116301410997</v>
      </c>
      <c r="BN86" s="403">
        <f t="shared" si="14"/>
        <v>335.53750544394063</v>
      </c>
      <c r="BO86" s="419">
        <v>900</v>
      </c>
      <c r="BP86" s="382">
        <f>PI()*BO86/1000*( Pile!$C$23- Pile!$C86)</f>
        <v>14.419910279977145</v>
      </c>
      <c r="BQ86" s="382">
        <f t="shared" si="15"/>
        <v>0.63617251235193317</v>
      </c>
      <c r="BR86" s="382">
        <f t="shared" si="56"/>
        <v>245.2020493077469</v>
      </c>
      <c r="BS86" s="382">
        <f>BP86* Pile!$S$23</f>
        <v>0</v>
      </c>
      <c r="BT86" s="382">
        <f t="shared" si="61"/>
        <v>245.2020493077469</v>
      </c>
      <c r="BU86" s="382">
        <f>IF(BT86&gt;0,+BT86)/ 'Pile Data and Eurocode Factors'!$B$14/ 'Pile Data and Eurocode Factors'!$B$15</f>
        <v>109.46520058381559</v>
      </c>
      <c r="BV86" s="382">
        <f t="shared" si="45"/>
        <v>985.08414798834849</v>
      </c>
      <c r="BW86" s="382">
        <f>BQ86* Pile!$U$23</f>
        <v>0</v>
      </c>
      <c r="BX86" s="382">
        <f t="shared" si="16"/>
        <v>985.08414798834849</v>
      </c>
      <c r="BY86" s="382">
        <f>BX86/ 'Pile Data and Eurocode Factors'!$C$14/ 'Pile Data and Eurocode Factors'!$C$15</f>
        <v>351.81576713869589</v>
      </c>
      <c r="BZ86" s="382">
        <f t="shared" si="17"/>
        <v>461.28096772251149</v>
      </c>
      <c r="CA86" s="382">
        <f>VLOOKUP(BO86, 'Pile Data and Eurocode Factors'!$A$34:$J$39,3, FALSE)</f>
        <v>9464.7047474031824</v>
      </c>
      <c r="CB86" s="403">
        <f t="shared" si="18"/>
        <v>461.28096772251149</v>
      </c>
      <c r="CC86" s="419">
        <v>1050</v>
      </c>
      <c r="CD86" s="382">
        <f>PI()*CC86/1000*( Pile!$C$23- Pile!$C86)</f>
        <v>16.823228659973335</v>
      </c>
      <c r="CE86" s="382">
        <f t="shared" si="19"/>
        <v>0.86590147514568672</v>
      </c>
      <c r="CF86" s="382">
        <f t="shared" si="57"/>
        <v>286.06905752570469</v>
      </c>
      <c r="CG86" s="382">
        <f>CD86* Pile!$S$23</f>
        <v>0</v>
      </c>
      <c r="CH86" s="382">
        <f t="shared" si="62"/>
        <v>286.06905752570469</v>
      </c>
      <c r="CI86" s="382">
        <f>IF(CH86&gt;0,+CH86)/ 'Pile Data and Eurocode Factors'!$B$14/ 'Pile Data and Eurocode Factors'!$B$15</f>
        <v>127.70940068111817</v>
      </c>
      <c r="CJ86" s="382">
        <f t="shared" si="48"/>
        <v>1340.8089792063631</v>
      </c>
      <c r="CK86" s="382">
        <f>CE86* Pile!$U$23</f>
        <v>0</v>
      </c>
      <c r="CL86" s="382">
        <f t="shared" si="20"/>
        <v>1340.8089792063631</v>
      </c>
      <c r="CM86" s="382">
        <f>CL86/ 'Pile Data and Eurocode Factors'!$C$14/ 'Pile Data and Eurocode Factors'!$C$15</f>
        <v>478.86034971655829</v>
      </c>
      <c r="CN86" s="382">
        <f t="shared" si="21"/>
        <v>606.56975039767644</v>
      </c>
      <c r="CO86" s="382">
        <f>VLOOKUP(CC86, 'Pile Data and Eurocode Factors'!$A$34:$J$39,3, FALSE)</f>
        <v>12882.514795076555</v>
      </c>
      <c r="CP86" s="403">
        <f t="shared" si="22"/>
        <v>606.56975039767644</v>
      </c>
      <c r="CQ86" s="419">
        <v>1200</v>
      </c>
      <c r="CR86" s="382">
        <f>PI()*CQ86/1000*( Pile!$C$23- Pile!$C86)</f>
        <v>19.226547039969525</v>
      </c>
      <c r="CS86" s="382">
        <f t="shared" si="23"/>
        <v>1.1309733552923256</v>
      </c>
      <c r="CT86" s="382">
        <f t="shared" si="58"/>
        <v>326.93606574366248</v>
      </c>
      <c r="CU86" s="382">
        <f>CR86* Pile!$S$23</f>
        <v>0</v>
      </c>
      <c r="CV86" s="382">
        <f t="shared" si="63"/>
        <v>326.93606574366248</v>
      </c>
      <c r="CW86" s="382">
        <f>IF(CV86&gt;0,+CV86)/ 'Pile Data and Eurocode Factors'!$B$14/ 'Pile Data and Eurocode Factors'!$B$15</f>
        <v>145.95360077842074</v>
      </c>
      <c r="CX86" s="382">
        <f t="shared" si="51"/>
        <v>1751.2607075348417</v>
      </c>
      <c r="CY86" s="382">
        <f>CS86* Pile!$U$23</f>
        <v>0</v>
      </c>
      <c r="CZ86" s="382">
        <f t="shared" si="24"/>
        <v>1751.2607075348417</v>
      </c>
      <c r="DA86" s="382">
        <f>CZ86/ 'Pile Data and Eurocode Factors'!$C$14/ 'Pile Data and Eurocode Factors'!$C$15</f>
        <v>625.45025269101495</v>
      </c>
      <c r="DB86" s="382">
        <f t="shared" si="25"/>
        <v>771.40385346943572</v>
      </c>
      <c r="DC86" s="382">
        <f>VLOOKUP(CQ86, 'Pile Data and Eurocode Factors'!$A$34:$J$39,3, FALSE)</f>
        <v>16826.141773161216</v>
      </c>
      <c r="DD86" s="403">
        <f t="shared" si="26"/>
        <v>771.40385346943572</v>
      </c>
      <c r="DE86" s="420">
        <f xml:space="preserve"> Pile!$C$23- Pile!C86</f>
        <v>5.0999999999999979</v>
      </c>
      <c r="DG86" s="382">
        <f t="shared" si="52"/>
        <v>142.68654207658176</v>
      </c>
      <c r="DH86" s="382">
        <f t="shared" si="27"/>
        <v>229.33936356196409</v>
      </c>
      <c r="DI86" s="382">
        <f t="shared" si="28"/>
        <v>335.53750544394063</v>
      </c>
      <c r="DJ86" s="382">
        <f t="shared" si="29"/>
        <v>461.28096772251149</v>
      </c>
      <c r="DK86" s="382">
        <f t="shared" si="30"/>
        <v>606.56975039767644</v>
      </c>
      <c r="DL86" s="382">
        <f t="shared" si="53"/>
        <v>771.40385346943572</v>
      </c>
    </row>
    <row r="87" spans="2:116" s="308" customFormat="1" ht="15">
      <c r="B87" s="400">
        <v>18</v>
      </c>
      <c r="C87" s="401">
        <f>+C86- Pile!D$23/20</f>
        <v>0.60000000000000209</v>
      </c>
      <c r="D87" s="415" t="str">
        <f>B23</f>
        <v>Loose Sand/Gravel</v>
      </c>
      <c r="E87" s="415" t="str">
        <f>F23</f>
        <v>Granular</v>
      </c>
      <c r="F87" s="401">
        <f xml:space="preserve"> Pile!$E$23*(+C86-C87)+F86</f>
        <v>89.099999999999966</v>
      </c>
      <c r="G87" s="401">
        <f>IF(C87&gt; Pile!$C$28,0,( Pile!$C$28-C87)*9.81)</f>
        <v>0</v>
      </c>
      <c r="H87" s="401">
        <f t="shared" si="0"/>
        <v>89.099999999999966</v>
      </c>
      <c r="I87" s="401">
        <f t="shared" si="1"/>
        <v>44.549999999999983</v>
      </c>
      <c r="J87" s="401">
        <f>IF(E87="Cohesive",(( Pile!$H$23- Pile!$G$23)/20)+J86,0)</f>
        <v>0</v>
      </c>
      <c r="K87" s="401">
        <f>IF(E87="Cohesive",( Pile!$G$23+ Pile!$J87)/2,0)</f>
        <v>0</v>
      </c>
      <c r="L87" s="401" t="str">
        <f>IF( Pile!I$23="",0, Pile!I$23)</f>
        <v>0</v>
      </c>
      <c r="M87" s="401" t="str">
        <f>IF( Pile!J$23="",0, Pile!J$23)</f>
        <v>0</v>
      </c>
      <c r="N87" s="401">
        <f>IF(E87="Granular", Pile!$K$23,0)</f>
        <v>18.401122218708668</v>
      </c>
      <c r="O87" s="416">
        <f>IF(AND(E87="Granular",D87&lt;&gt;"Made Ground"), Pile!$L$23,0)</f>
        <v>0.404145188432738</v>
      </c>
      <c r="P87" s="401">
        <f>IF(OR(D87="Low Density Chalk",D87="Medium Density Chalk"), Pile!$M$23,0)</f>
        <v>0</v>
      </c>
      <c r="Q87" s="417">
        <f>IF(D87="High Density Chalk", Pile!$N$23,0)</f>
        <v>0</v>
      </c>
      <c r="R87" s="401">
        <f>IF( Pile!O$23="",0, Pile!O$23)</f>
        <v>0</v>
      </c>
      <c r="S87" s="418">
        <f t="shared" si="31"/>
        <v>18.004668144678472</v>
      </c>
      <c r="T87" s="382">
        <f xml:space="preserve"> Pile!$T$23</f>
        <v>1200</v>
      </c>
      <c r="U87" s="382">
        <f t="shared" si="32"/>
        <v>18.004668144678472</v>
      </c>
      <c r="V87" s="382">
        <f t="shared" si="2"/>
        <v>1639.5399896869417</v>
      </c>
      <c r="W87" s="382">
        <f xml:space="preserve"> Pile!$V$23</f>
        <v>15000</v>
      </c>
      <c r="X87" s="382">
        <f t="shared" si="33"/>
        <v>1639.5399896869417</v>
      </c>
      <c r="Y87" s="419">
        <v>450</v>
      </c>
      <c r="Z87" s="382">
        <f>PI()*Y87/1000*( Pile!$C$23- Pile!$C87)</f>
        <v>7.6340701482231941</v>
      </c>
      <c r="AA87" s="382">
        <f t="shared" si="3"/>
        <v>0.15904312808798329</v>
      </c>
      <c r="AB87" s="382">
        <f t="shared" si="34"/>
        <v>137.448899611955</v>
      </c>
      <c r="AC87" s="382">
        <f>Z87* Pile!$S$23</f>
        <v>0</v>
      </c>
      <c r="AD87" s="382">
        <f t="shared" si="35"/>
        <v>137.448899611955</v>
      </c>
      <c r="AE87" s="382">
        <f>IF(AD87&gt;0,+AD87)/ 'Pile Data and Eurocode Factors'!$B$14/ 'Pile Data and Eurocode Factors'!$B$15</f>
        <v>61.361115898194193</v>
      </c>
      <c r="AF87" s="382">
        <f t="shared" si="36"/>
        <v>260.75756858515109</v>
      </c>
      <c r="AG87" s="382">
        <f>AA87* Pile!$U$23</f>
        <v>0</v>
      </c>
      <c r="AH87" s="382">
        <f t="shared" si="4"/>
        <v>260.75756858515109</v>
      </c>
      <c r="AI87" s="382">
        <f>AH87/ 'Pile Data and Eurocode Factors'!$C$14/ 'Pile Data and Eurocode Factors'!$C$15</f>
        <v>93.127703066125392</v>
      </c>
      <c r="AJ87" s="382">
        <f t="shared" si="5"/>
        <v>154.48881896431959</v>
      </c>
      <c r="AK87" s="382">
        <f>VLOOKUP(Y87, 'Pile Data and Eurocode Factors'!$A$34:$J$39,3, FALSE)</f>
        <v>2366.1761868507956</v>
      </c>
      <c r="AL87" s="403">
        <f t="shared" si="6"/>
        <v>154.48881896431959</v>
      </c>
      <c r="AM87" s="419">
        <v>600</v>
      </c>
      <c r="AN87" s="382">
        <f>PI()*AM87/1000*( Pile!$C$23- Pile!$C87)</f>
        <v>10.178760197630925</v>
      </c>
      <c r="AO87" s="382">
        <f t="shared" si="7"/>
        <v>0.28274333882308139</v>
      </c>
      <c r="AP87" s="382">
        <f t="shared" si="54"/>
        <v>183.26519948260668</v>
      </c>
      <c r="AQ87" s="382">
        <f>AN87* Pile!$S$23</f>
        <v>0</v>
      </c>
      <c r="AR87" s="382">
        <f t="shared" si="59"/>
        <v>183.26519948260668</v>
      </c>
      <c r="AS87" s="382">
        <f>IF(AR87&gt;0,+AR87)/ 'Pile Data and Eurocode Factors'!$B$14/ 'Pile Data and Eurocode Factors'!$B$15</f>
        <v>81.814821197592266</v>
      </c>
      <c r="AT87" s="382">
        <f t="shared" si="39"/>
        <v>463.56901081804631</v>
      </c>
      <c r="AU87" s="382">
        <f>AO87* Pile!$U$23</f>
        <v>0</v>
      </c>
      <c r="AV87" s="382">
        <f t="shared" si="8"/>
        <v>463.56901081804631</v>
      </c>
      <c r="AW87" s="382">
        <f>AV87/ 'Pile Data and Eurocode Factors'!$C$14/ 'Pile Data and Eurocode Factors'!$C$15</f>
        <v>165.56036100644513</v>
      </c>
      <c r="AX87" s="382">
        <f t="shared" si="9"/>
        <v>247.3751822040374</v>
      </c>
      <c r="AY87" s="382">
        <f>VLOOKUP(AM87, 'Pile Data and Eurocode Factors'!$A$34:$J$39,3, FALSE)</f>
        <v>4206.5354432903041</v>
      </c>
      <c r="AZ87" s="403">
        <f t="shared" si="10"/>
        <v>247.3751822040374</v>
      </c>
      <c r="BA87" s="419">
        <v>750</v>
      </c>
      <c r="BB87" s="382">
        <f>PI()*BA87/1000*( Pile!$C$23- Pile!$C87)</f>
        <v>12.723450247038656</v>
      </c>
      <c r="BC87" s="382">
        <f t="shared" si="11"/>
        <v>0.44178646691106466</v>
      </c>
      <c r="BD87" s="382">
        <f t="shared" si="55"/>
        <v>229.08149935325832</v>
      </c>
      <c r="BE87" s="382">
        <f>BB87* Pile!$S$23</f>
        <v>0</v>
      </c>
      <c r="BF87" s="382">
        <f t="shared" si="60"/>
        <v>229.08149935325832</v>
      </c>
      <c r="BG87" s="382">
        <f>IF(BF87&gt;0,+BF87)/ 'Pile Data and Eurocode Factors'!$B$14/ 'Pile Data and Eurocode Factors'!$B$15</f>
        <v>102.26852649699033</v>
      </c>
      <c r="BH87" s="382">
        <f t="shared" si="42"/>
        <v>724.32657940319734</v>
      </c>
      <c r="BI87" s="382">
        <f>BC87* Pile!$U$23</f>
        <v>0</v>
      </c>
      <c r="BJ87" s="382">
        <f t="shared" si="12"/>
        <v>724.32657940319734</v>
      </c>
      <c r="BK87" s="382">
        <f>BJ87/ 'Pile Data and Eurocode Factors'!$C$14/ 'Pile Data and Eurocode Factors'!$C$15</f>
        <v>258.68806407257051</v>
      </c>
      <c r="BL87" s="382">
        <f t="shared" si="13"/>
        <v>360.95659056956083</v>
      </c>
      <c r="BM87" s="382">
        <f>VLOOKUP(BA87, 'Pile Data and Eurocode Factors'!$A$34:$J$39,3, FALSE)</f>
        <v>6572.7116301410997</v>
      </c>
      <c r="BN87" s="403">
        <f t="shared" si="14"/>
        <v>360.95659056956083</v>
      </c>
      <c r="BO87" s="419">
        <v>900</v>
      </c>
      <c r="BP87" s="382">
        <f>PI()*BO87/1000*( Pile!$C$23- Pile!$C87)</f>
        <v>15.268140296446388</v>
      </c>
      <c r="BQ87" s="382">
        <f t="shared" si="15"/>
        <v>0.63617251235193317</v>
      </c>
      <c r="BR87" s="382">
        <f t="shared" si="56"/>
        <v>274.89779922391</v>
      </c>
      <c r="BS87" s="382">
        <f>BP87* Pile!$S$23</f>
        <v>0</v>
      </c>
      <c r="BT87" s="382">
        <f t="shared" si="61"/>
        <v>274.89779922391</v>
      </c>
      <c r="BU87" s="382">
        <f>IF(BT87&gt;0,+BT87)/ 'Pile Data and Eurocode Factors'!$B$14/ 'Pile Data and Eurocode Factors'!$B$15</f>
        <v>122.72223179638839</v>
      </c>
      <c r="BV87" s="382">
        <f t="shared" si="45"/>
        <v>1043.0302743406044</v>
      </c>
      <c r="BW87" s="382">
        <f>BQ87* Pile!$U$23</f>
        <v>0</v>
      </c>
      <c r="BX87" s="382">
        <f t="shared" si="16"/>
        <v>1043.0302743406044</v>
      </c>
      <c r="BY87" s="382">
        <f>BX87/ 'Pile Data and Eurocode Factors'!$C$14/ 'Pile Data and Eurocode Factors'!$C$15</f>
        <v>372.51081226450157</v>
      </c>
      <c r="BZ87" s="382">
        <f t="shared" si="17"/>
        <v>495.23304406088994</v>
      </c>
      <c r="CA87" s="382">
        <f>VLOOKUP(BO87, 'Pile Data and Eurocode Factors'!$A$34:$J$39,3, FALSE)</f>
        <v>9464.7047474031824</v>
      </c>
      <c r="CB87" s="403">
        <f t="shared" si="18"/>
        <v>495.23304406088994</v>
      </c>
      <c r="CC87" s="419">
        <v>1050</v>
      </c>
      <c r="CD87" s="382">
        <f>PI()*CC87/1000*( Pile!$C$23- Pile!$C87)</f>
        <v>17.81283034585412</v>
      </c>
      <c r="CE87" s="382">
        <f t="shared" si="19"/>
        <v>0.86590147514568672</v>
      </c>
      <c r="CF87" s="382">
        <f t="shared" si="57"/>
        <v>320.71409909456167</v>
      </c>
      <c r="CG87" s="382">
        <f>CD87* Pile!$S$23</f>
        <v>0</v>
      </c>
      <c r="CH87" s="382">
        <f t="shared" si="62"/>
        <v>320.71409909456167</v>
      </c>
      <c r="CI87" s="382">
        <f>IF(CH87&gt;0,+CH87)/ 'Pile Data and Eurocode Factors'!$B$14/ 'Pile Data and Eurocode Factors'!$B$15</f>
        <v>143.17593709578645</v>
      </c>
      <c r="CJ87" s="382">
        <f t="shared" si="48"/>
        <v>1419.6800956302668</v>
      </c>
      <c r="CK87" s="382">
        <f>CE87* Pile!$U$23</f>
        <v>0</v>
      </c>
      <c r="CL87" s="382">
        <f t="shared" si="20"/>
        <v>1419.6800956302668</v>
      </c>
      <c r="CM87" s="382">
        <f>CL87/ 'Pile Data and Eurocode Factors'!$C$14/ 'Pile Data and Eurocode Factors'!$C$15</f>
        <v>507.02860558223819</v>
      </c>
      <c r="CN87" s="382">
        <f t="shared" si="21"/>
        <v>650.20454267802461</v>
      </c>
      <c r="CO87" s="382">
        <f>VLOOKUP(CC87, 'Pile Data and Eurocode Factors'!$A$34:$J$39,3, FALSE)</f>
        <v>12882.514795076555</v>
      </c>
      <c r="CP87" s="403">
        <f t="shared" si="22"/>
        <v>650.20454267802461</v>
      </c>
      <c r="CQ87" s="419">
        <v>1200</v>
      </c>
      <c r="CR87" s="382">
        <f>PI()*CQ87/1000*( Pile!$C$23- Pile!$C87)</f>
        <v>20.357520395261851</v>
      </c>
      <c r="CS87" s="382">
        <f t="shared" si="23"/>
        <v>1.1309733552923256</v>
      </c>
      <c r="CT87" s="382">
        <f t="shared" si="58"/>
        <v>366.53039896521335</v>
      </c>
      <c r="CU87" s="382">
        <f>CR87* Pile!$S$23</f>
        <v>0</v>
      </c>
      <c r="CV87" s="382">
        <f t="shared" si="63"/>
        <v>366.53039896521335</v>
      </c>
      <c r="CW87" s="382">
        <f>IF(CV87&gt;0,+CV87)/ 'Pile Data and Eurocode Factors'!$B$14/ 'Pile Data and Eurocode Factors'!$B$15</f>
        <v>163.62964239518453</v>
      </c>
      <c r="CX87" s="382">
        <f t="shared" si="51"/>
        <v>1854.2760432721852</v>
      </c>
      <c r="CY87" s="382">
        <f>CS87* Pile!$U$23</f>
        <v>0</v>
      </c>
      <c r="CZ87" s="382">
        <f t="shared" si="24"/>
        <v>1854.2760432721852</v>
      </c>
      <c r="DA87" s="382">
        <f>CZ87/ 'Pile Data and Eurocode Factors'!$C$14/ 'Pile Data and Eurocode Factors'!$C$15</f>
        <v>662.24144402578054</v>
      </c>
      <c r="DB87" s="382">
        <f t="shared" si="25"/>
        <v>825.87108642096507</v>
      </c>
      <c r="DC87" s="382">
        <f>VLOOKUP(CQ87, 'Pile Data and Eurocode Factors'!$A$34:$J$39,3, FALSE)</f>
        <v>16826.141773161216</v>
      </c>
      <c r="DD87" s="403">
        <f t="shared" si="26"/>
        <v>825.87108642096507</v>
      </c>
      <c r="DE87" s="420">
        <f xml:space="preserve"> Pile!$C$23- Pile!C87</f>
        <v>5.3999999999999977</v>
      </c>
      <c r="DG87" s="382">
        <f t="shared" si="52"/>
        <v>154.48881896431959</v>
      </c>
      <c r="DH87" s="382">
        <f t="shared" si="27"/>
        <v>247.3751822040374</v>
      </c>
      <c r="DI87" s="382">
        <f t="shared" si="28"/>
        <v>360.95659056956083</v>
      </c>
      <c r="DJ87" s="382">
        <f t="shared" si="29"/>
        <v>495.23304406088994</v>
      </c>
      <c r="DK87" s="382">
        <f t="shared" si="30"/>
        <v>650.20454267802461</v>
      </c>
      <c r="DL87" s="382">
        <f t="shared" si="53"/>
        <v>825.87108642096507</v>
      </c>
    </row>
    <row r="88" spans="2:116" s="308" customFormat="1" ht="15">
      <c r="B88" s="400">
        <v>19</v>
      </c>
      <c r="C88" s="401">
        <f>+C87- Pile!D$23/20</f>
        <v>0.3000000000000021</v>
      </c>
      <c r="D88" s="415" t="str">
        <f>B23</f>
        <v>Loose Sand/Gravel</v>
      </c>
      <c r="E88" s="415" t="str">
        <f>F23</f>
        <v>Granular</v>
      </c>
      <c r="F88" s="401">
        <f xml:space="preserve"> Pile!$E$23*(+C87-C88)+F87</f>
        <v>94.049999999999969</v>
      </c>
      <c r="G88" s="401">
        <f>IF(C88&gt; Pile!$C$28,0,( Pile!$C$28-C88)*9.81)</f>
        <v>0</v>
      </c>
      <c r="H88" s="401">
        <f t="shared" si="0"/>
        <v>94.049999999999969</v>
      </c>
      <c r="I88" s="401">
        <f t="shared" si="1"/>
        <v>47.024999999999984</v>
      </c>
      <c r="J88" s="401">
        <f>IF(E88="Cohesive",(( Pile!$H$23- Pile!$G$23)/20)+J87,0)</f>
        <v>0</v>
      </c>
      <c r="K88" s="401">
        <f>IF(E88="Cohesive",( Pile!$G$23+ Pile!$J88)/2,0)</f>
        <v>0</v>
      </c>
      <c r="L88" s="401" t="str">
        <f>IF( Pile!I$23="",0, Pile!I$23)</f>
        <v>0</v>
      </c>
      <c r="M88" s="401" t="str">
        <f>IF( Pile!J$23="",0, Pile!J$23)</f>
        <v>0</v>
      </c>
      <c r="N88" s="401">
        <f>IF(E88="Granular", Pile!$K$23,0)</f>
        <v>18.401122218708668</v>
      </c>
      <c r="O88" s="416">
        <f>IF(AND(E88="Granular",D88&lt;&gt;"Made Ground"), Pile!$L$23,0)</f>
        <v>0.404145188432738</v>
      </c>
      <c r="P88" s="401">
        <f>IF(OR(D88="Low Density Chalk",D88="Medium Density Chalk"), Pile!$M$23,0)</f>
        <v>0</v>
      </c>
      <c r="Q88" s="417">
        <f>IF(D88="High Density Chalk", Pile!$N$23,0)</f>
        <v>0</v>
      </c>
      <c r="R88" s="401">
        <f>IF( Pile!O$23="",0, Pile!O$23)</f>
        <v>0</v>
      </c>
      <c r="S88" s="418">
        <f t="shared" si="31"/>
        <v>19.0049274860495</v>
      </c>
      <c r="T88" s="382">
        <f xml:space="preserve"> Pile!$T$23</f>
        <v>1200</v>
      </c>
      <c r="U88" s="382">
        <f t="shared" si="32"/>
        <v>19.0049274860495</v>
      </c>
      <c r="V88" s="382">
        <f t="shared" si="2"/>
        <v>1730.6255446695498</v>
      </c>
      <c r="W88" s="382">
        <f xml:space="preserve"> Pile!$V$23</f>
        <v>15000</v>
      </c>
      <c r="X88" s="382">
        <f t="shared" si="33"/>
        <v>1730.6255446695498</v>
      </c>
      <c r="Y88" s="419">
        <v>450</v>
      </c>
      <c r="Z88" s="382">
        <f>PI()*Y88/1000*( Pile!$C$23- Pile!$C88)</f>
        <v>8.0581851564578155</v>
      </c>
      <c r="AA88" s="382">
        <f t="shared" si="3"/>
        <v>0.15904312808798329</v>
      </c>
      <c r="AB88" s="382">
        <f t="shared" si="34"/>
        <v>153.14522456764124</v>
      </c>
      <c r="AC88" s="382">
        <f>Z88* Pile!$S$23</f>
        <v>0</v>
      </c>
      <c r="AD88" s="382">
        <f t="shared" si="35"/>
        <v>153.14522456764124</v>
      </c>
      <c r="AE88" s="382">
        <f>IF(AD88&gt;0,+AD88)/ 'Pile Data and Eurocode Factors'!$B$14/ 'Pile Data and Eurocode Factors'!$B$15</f>
        <v>68.368403824839845</v>
      </c>
      <c r="AF88" s="382">
        <f t="shared" si="36"/>
        <v>275.24410017321503</v>
      </c>
      <c r="AG88" s="382">
        <f>AA88* Pile!$U$23</f>
        <v>0</v>
      </c>
      <c r="AH88" s="382">
        <f t="shared" si="4"/>
        <v>275.24410017321503</v>
      </c>
      <c r="AI88" s="382">
        <f>AH88/ 'Pile Data and Eurocode Factors'!$C$14/ 'Pile Data and Eurocode Factors'!$C$15</f>
        <v>98.301464347576797</v>
      </c>
      <c r="AJ88" s="382">
        <f t="shared" si="5"/>
        <v>166.66986817241664</v>
      </c>
      <c r="AK88" s="382">
        <f>VLOOKUP(Y88, 'Pile Data and Eurocode Factors'!$A$34:$J$39,3, FALSE)</f>
        <v>2366.1761868507956</v>
      </c>
      <c r="AL88" s="403">
        <f t="shared" si="6"/>
        <v>166.66986817241664</v>
      </c>
      <c r="AM88" s="419">
        <v>600</v>
      </c>
      <c r="AN88" s="382">
        <f>PI()*AM88/1000*( Pile!$C$23- Pile!$C88)</f>
        <v>10.744246875277089</v>
      </c>
      <c r="AO88" s="382">
        <f t="shared" si="7"/>
        <v>0.28274333882308139</v>
      </c>
      <c r="AP88" s="382">
        <f t="shared" si="54"/>
        <v>204.19363275685498</v>
      </c>
      <c r="AQ88" s="382">
        <f>AN88* Pile!$S$23</f>
        <v>0</v>
      </c>
      <c r="AR88" s="382">
        <f t="shared" si="59"/>
        <v>204.19363275685498</v>
      </c>
      <c r="AS88" s="382">
        <f>IF(AR88&gt;0,+AR88)/ 'Pile Data and Eurocode Factors'!$B$14/ 'Pile Data and Eurocode Factors'!$B$15</f>
        <v>91.157871766453127</v>
      </c>
      <c r="AT88" s="382">
        <f t="shared" si="39"/>
        <v>489.32284475238231</v>
      </c>
      <c r="AU88" s="382">
        <f>AO88* Pile!$U$23</f>
        <v>0</v>
      </c>
      <c r="AV88" s="382">
        <f t="shared" si="8"/>
        <v>489.32284475238231</v>
      </c>
      <c r="AW88" s="382">
        <f>AV88/ 'Pile Data and Eurocode Factors'!$C$14/ 'Pile Data and Eurocode Factors'!$C$15</f>
        <v>174.75815884013656</v>
      </c>
      <c r="AX88" s="382">
        <f t="shared" si="9"/>
        <v>265.91603060658969</v>
      </c>
      <c r="AY88" s="382">
        <f>VLOOKUP(AM88, 'Pile Data and Eurocode Factors'!$A$34:$J$39,3, FALSE)</f>
        <v>4206.5354432903041</v>
      </c>
      <c r="AZ88" s="403">
        <f t="shared" si="10"/>
        <v>265.91603060658969</v>
      </c>
      <c r="BA88" s="419">
        <v>750</v>
      </c>
      <c r="BB88" s="382">
        <f>PI()*BA88/1000*( Pile!$C$23- Pile!$C88)</f>
        <v>13.43030859409636</v>
      </c>
      <c r="BC88" s="382">
        <f t="shared" si="11"/>
        <v>0.44178646691106466</v>
      </c>
      <c r="BD88" s="382">
        <f t="shared" si="55"/>
        <v>255.24204094606873</v>
      </c>
      <c r="BE88" s="382">
        <f>BB88* Pile!$S$23</f>
        <v>0</v>
      </c>
      <c r="BF88" s="382">
        <f t="shared" si="60"/>
        <v>255.24204094606873</v>
      </c>
      <c r="BG88" s="382">
        <f>IF(BF88&gt;0,+BF88)/ 'Pile Data and Eurocode Factors'!$B$14/ 'Pile Data and Eurocode Factors'!$B$15</f>
        <v>113.94733970806641</v>
      </c>
      <c r="BH88" s="382">
        <f t="shared" si="42"/>
        <v>764.56694492559734</v>
      </c>
      <c r="BI88" s="382">
        <f>BC88* Pile!$U$23</f>
        <v>0</v>
      </c>
      <c r="BJ88" s="382">
        <f t="shared" si="12"/>
        <v>764.56694492559734</v>
      </c>
      <c r="BK88" s="382">
        <f>BJ88/ 'Pile Data and Eurocode Factors'!$C$14/ 'Pile Data and Eurocode Factors'!$C$15</f>
        <v>273.05962318771333</v>
      </c>
      <c r="BL88" s="382">
        <f t="shared" si="13"/>
        <v>387.00696289577974</v>
      </c>
      <c r="BM88" s="382">
        <f>VLOOKUP(BA88, 'Pile Data and Eurocode Factors'!$A$34:$J$39,3, FALSE)</f>
        <v>6572.7116301410997</v>
      </c>
      <c r="BN88" s="403">
        <f t="shared" si="14"/>
        <v>387.00696289577974</v>
      </c>
      <c r="BO88" s="419">
        <v>900</v>
      </c>
      <c r="BP88" s="382">
        <f>PI()*BO88/1000*( Pile!$C$23- Pile!$C88)</f>
        <v>16.116370312915631</v>
      </c>
      <c r="BQ88" s="382">
        <f t="shared" si="15"/>
        <v>0.63617251235193317</v>
      </c>
      <c r="BR88" s="382">
        <f t="shared" si="56"/>
        <v>306.29044913528247</v>
      </c>
      <c r="BS88" s="382">
        <f>BP88* Pile!$S$23</f>
        <v>0</v>
      </c>
      <c r="BT88" s="382">
        <f t="shared" si="61"/>
        <v>306.29044913528247</v>
      </c>
      <c r="BU88" s="382">
        <f>IF(BT88&gt;0,+BT88)/ 'Pile Data and Eurocode Factors'!$B$14/ 'Pile Data and Eurocode Factors'!$B$15</f>
        <v>136.73680764967969</v>
      </c>
      <c r="BV88" s="382">
        <f t="shared" si="45"/>
        <v>1100.9764006928601</v>
      </c>
      <c r="BW88" s="382">
        <f>BQ88* Pile!$U$23</f>
        <v>0</v>
      </c>
      <c r="BX88" s="382">
        <f t="shared" si="16"/>
        <v>1100.9764006928601</v>
      </c>
      <c r="BY88" s="382">
        <f>BX88/ 'Pile Data and Eurocode Factors'!$C$14/ 'Pile Data and Eurocode Factors'!$C$15</f>
        <v>393.20585739030719</v>
      </c>
      <c r="BZ88" s="382">
        <f t="shared" si="17"/>
        <v>529.94266503998688</v>
      </c>
      <c r="CA88" s="382">
        <f>VLOOKUP(BO88, 'Pile Data and Eurocode Factors'!$A$34:$J$39,3, FALSE)</f>
        <v>9464.7047474031824</v>
      </c>
      <c r="CB88" s="403">
        <f t="shared" si="18"/>
        <v>529.94266503998688</v>
      </c>
      <c r="CC88" s="419">
        <v>1050</v>
      </c>
      <c r="CD88" s="382">
        <f>PI()*CC88/1000*( Pile!$C$23- Pile!$C88)</f>
        <v>18.802432031734902</v>
      </c>
      <c r="CE88" s="382">
        <f t="shared" si="19"/>
        <v>0.86590147514568672</v>
      </c>
      <c r="CF88" s="382">
        <f t="shared" si="57"/>
        <v>357.33885732449619</v>
      </c>
      <c r="CG88" s="382">
        <f>CD88* Pile!$S$23</f>
        <v>0</v>
      </c>
      <c r="CH88" s="382">
        <f t="shared" si="62"/>
        <v>357.33885732449619</v>
      </c>
      <c r="CI88" s="382">
        <f>IF(CH88&gt;0,+CH88)/ 'Pile Data and Eurocode Factors'!$B$14/ 'Pile Data and Eurocode Factors'!$B$15</f>
        <v>159.52627559129294</v>
      </c>
      <c r="CJ88" s="382">
        <f t="shared" si="48"/>
        <v>1498.5512120541707</v>
      </c>
      <c r="CK88" s="382">
        <f>CE88* Pile!$U$23</f>
        <v>0</v>
      </c>
      <c r="CL88" s="382">
        <f t="shared" si="20"/>
        <v>1498.5512120541707</v>
      </c>
      <c r="CM88" s="382">
        <f>CL88/ 'Pile Data and Eurocode Factors'!$C$14/ 'Pile Data and Eurocode Factors'!$C$15</f>
        <v>535.1968614479182</v>
      </c>
      <c r="CN88" s="382">
        <f t="shared" si="21"/>
        <v>694.72313703921111</v>
      </c>
      <c r="CO88" s="382">
        <f>VLOOKUP(CC88, 'Pile Data and Eurocode Factors'!$A$34:$J$39,3, FALSE)</f>
        <v>12882.514795076555</v>
      </c>
      <c r="CP88" s="403">
        <f t="shared" si="22"/>
        <v>694.72313703921111</v>
      </c>
      <c r="CQ88" s="419">
        <v>1200</v>
      </c>
      <c r="CR88" s="382">
        <f>PI()*CQ88/1000*( Pile!$C$23- Pile!$C88)</f>
        <v>21.488493750554177</v>
      </c>
      <c r="CS88" s="382">
        <f t="shared" si="23"/>
        <v>1.1309733552923256</v>
      </c>
      <c r="CT88" s="382">
        <f t="shared" si="58"/>
        <v>408.38726551370996</v>
      </c>
      <c r="CU88" s="382">
        <f>CR88* Pile!$S$23</f>
        <v>0</v>
      </c>
      <c r="CV88" s="382">
        <f t="shared" si="63"/>
        <v>408.38726551370996</v>
      </c>
      <c r="CW88" s="382">
        <f>IF(CV88&gt;0,+CV88)/ 'Pile Data and Eurocode Factors'!$B$14/ 'Pile Data and Eurocode Factors'!$B$15</f>
        <v>182.31574353290625</v>
      </c>
      <c r="CX88" s="382">
        <f t="shared" si="51"/>
        <v>1957.2913790095292</v>
      </c>
      <c r="CY88" s="382">
        <f>CS88* Pile!$U$23</f>
        <v>0</v>
      </c>
      <c r="CZ88" s="382">
        <f t="shared" si="24"/>
        <v>1957.2913790095292</v>
      </c>
      <c r="DA88" s="382">
        <f>CZ88/ 'Pile Data and Eurocode Factors'!$C$14/ 'Pile Data and Eurocode Factors'!$C$15</f>
        <v>699.03263536054624</v>
      </c>
      <c r="DB88" s="382">
        <f t="shared" si="25"/>
        <v>881.34837889345249</v>
      </c>
      <c r="DC88" s="382">
        <f>VLOOKUP(CQ88, 'Pile Data and Eurocode Factors'!$A$34:$J$39,3, FALSE)</f>
        <v>16826.141773161216</v>
      </c>
      <c r="DD88" s="403">
        <f t="shared" si="26"/>
        <v>881.34837889345249</v>
      </c>
      <c r="DE88" s="420">
        <f xml:space="preserve"> Pile!$C$23- Pile!C88</f>
        <v>5.6999999999999975</v>
      </c>
      <c r="DG88" s="382">
        <f t="shared" si="52"/>
        <v>166.66986817241664</v>
      </c>
      <c r="DH88" s="382">
        <f t="shared" si="27"/>
        <v>265.91603060658969</v>
      </c>
      <c r="DI88" s="382">
        <f t="shared" si="28"/>
        <v>387.00696289577974</v>
      </c>
      <c r="DJ88" s="382">
        <f t="shared" si="29"/>
        <v>529.94266503998688</v>
      </c>
      <c r="DK88" s="382">
        <f t="shared" si="30"/>
        <v>694.72313703921111</v>
      </c>
      <c r="DL88" s="382">
        <f t="shared" si="53"/>
        <v>881.34837889345249</v>
      </c>
    </row>
    <row r="89" spans="2:116" s="308" customFormat="1" ht="15">
      <c r="B89" s="400">
        <v>20</v>
      </c>
      <c r="C89" s="416">
        <f>+C88- Pile!D$23/20</f>
        <v>2.1094237467877974E-15</v>
      </c>
      <c r="D89" s="415" t="str">
        <f>B23</f>
        <v>Loose Sand/Gravel</v>
      </c>
      <c r="E89" s="415" t="str">
        <f>F23</f>
        <v>Granular</v>
      </c>
      <c r="F89" s="401">
        <f xml:space="preserve"> Pile!$E$23*(+C88-C89)+F88</f>
        <v>98.999999999999972</v>
      </c>
      <c r="G89" s="401">
        <f>IF(C89&gt; Pile!$C$28,0,( Pile!$C$28-C89)*9.81)</f>
        <v>0</v>
      </c>
      <c r="H89" s="401">
        <f>F89-G89</f>
        <v>98.999999999999972</v>
      </c>
      <c r="I89" s="401">
        <f t="shared" si="1"/>
        <v>49.499999999999986</v>
      </c>
      <c r="J89" s="401">
        <f>IF(E89="Cohesive",(( Pile!$H$23- Pile!$G$23)/20)+J88,0)</f>
        <v>0</v>
      </c>
      <c r="K89" s="401">
        <f>IF(E89="Cohesive",( Pile!$G$23+ Pile!$J89)/2,0)</f>
        <v>0</v>
      </c>
      <c r="L89" s="401" t="str">
        <f>IF( Pile!I$23="",0, Pile!I$23)</f>
        <v>0</v>
      </c>
      <c r="M89" s="401" t="str">
        <f>IF( Pile!J$23="",0, Pile!J$23)</f>
        <v>0</v>
      </c>
      <c r="N89" s="401">
        <f>IF(E89="Granular", Pile!$K$23,0)</f>
        <v>18.401122218708668</v>
      </c>
      <c r="O89" s="416">
        <f>IF(AND(E89="Granular",D89&lt;&gt;"Made Ground"), Pile!$L$23,0)</f>
        <v>0.404145188432738</v>
      </c>
      <c r="P89" s="401">
        <f>IF(OR(D89="Low Density Chalk",D89="Medium Density Chalk"), Pile!$M$23,0)</f>
        <v>0</v>
      </c>
      <c r="Q89" s="417">
        <f>IF(D89="High Density Chalk", Pile!$N$23,0)</f>
        <v>0</v>
      </c>
      <c r="R89" s="401">
        <f>IF( Pile!O$23="",0, Pile!O$23)</f>
        <v>0</v>
      </c>
      <c r="S89" s="418">
        <f t="shared" si="31"/>
        <v>20.005186827420527</v>
      </c>
      <c r="T89" s="382">
        <f xml:space="preserve"> Pile!$T$23</f>
        <v>1200</v>
      </c>
      <c r="U89" s="382">
        <f t="shared" si="32"/>
        <v>20.005186827420527</v>
      </c>
      <c r="V89" s="382">
        <f t="shared" si="2"/>
        <v>1821.7110996521576</v>
      </c>
      <c r="W89" s="382">
        <f xml:space="preserve"> Pile!$V$23</f>
        <v>15000</v>
      </c>
      <c r="X89" s="382">
        <f t="shared" si="33"/>
        <v>1821.7110996521576</v>
      </c>
      <c r="Y89" s="419">
        <v>450</v>
      </c>
      <c r="Z89" s="382">
        <f>PI()*Y89/1000*( Pile!$C$23- Pile!$C89)</f>
        <v>8.4823001646924396</v>
      </c>
      <c r="AA89" s="382">
        <f t="shared" si="3"/>
        <v>0.15904312808798329</v>
      </c>
      <c r="AB89" s="382">
        <f t="shared" si="34"/>
        <v>169.68999952093216</v>
      </c>
      <c r="AC89" s="382">
        <f>Z89* Pile!$S$23</f>
        <v>0</v>
      </c>
      <c r="AD89" s="382">
        <f t="shared" si="35"/>
        <v>169.68999952093216</v>
      </c>
      <c r="AE89" s="382">
        <f>IF(AD89&gt;0,+AD89)/ 'Pile Data and Eurocode Factors'!$B$14/ 'Pile Data and Eurocode Factors'!$B$15</f>
        <v>75.754464071844723</v>
      </c>
      <c r="AF89" s="382">
        <f t="shared" si="36"/>
        <v>289.73063176127897</v>
      </c>
      <c r="AG89" s="382">
        <f>AA89* Pile!$U$23</f>
        <v>0</v>
      </c>
      <c r="AH89" s="382">
        <f t="shared" si="4"/>
        <v>289.73063176127897</v>
      </c>
      <c r="AI89" s="382">
        <f>AH89/ 'Pile Data and Eurocode Factors'!$C$14/ 'Pile Data and Eurocode Factors'!$C$15</f>
        <v>103.47522562902822</v>
      </c>
      <c r="AJ89" s="382">
        <f t="shared" si="5"/>
        <v>179.22968970087294</v>
      </c>
      <c r="AK89" s="382">
        <f>VLOOKUP(Y89, 'Pile Data and Eurocode Factors'!$A$34:$J$39,3, FALSE)</f>
        <v>2366.1761868507956</v>
      </c>
      <c r="AL89" s="403">
        <f t="shared" si="6"/>
        <v>179.22968970087294</v>
      </c>
      <c r="AM89" s="419">
        <v>600</v>
      </c>
      <c r="AN89" s="382">
        <f>PI()*AM89/1000*( Pile!$C$23- Pile!$C89)</f>
        <v>11.309733552923252</v>
      </c>
      <c r="AO89" s="382">
        <f t="shared" si="7"/>
        <v>0.28274333882308139</v>
      </c>
      <c r="AP89" s="382">
        <f t="shared" si="54"/>
        <v>226.25333269457619</v>
      </c>
      <c r="AQ89" s="382">
        <f>AN89* Pile!$S$23</f>
        <v>0</v>
      </c>
      <c r="AR89" s="382">
        <f t="shared" si="59"/>
        <v>226.25333269457619</v>
      </c>
      <c r="AS89" s="382">
        <f>IF(AR89&gt;0,+AR89)/ 'Pile Data and Eurocode Factors'!$B$14/ 'Pile Data and Eurocode Factors'!$B$15</f>
        <v>101.00595209579294</v>
      </c>
      <c r="AT89" s="382">
        <f t="shared" si="39"/>
        <v>515.0766786867182</v>
      </c>
      <c r="AU89" s="382">
        <f>AO89* Pile!$U$23</f>
        <v>0</v>
      </c>
      <c r="AV89" s="382">
        <f t="shared" si="8"/>
        <v>515.0766786867182</v>
      </c>
      <c r="AW89" s="382">
        <f>AV89/ 'Pile Data and Eurocode Factors'!$C$14/ 'Pile Data and Eurocode Factors'!$C$15</f>
        <v>183.95595667382793</v>
      </c>
      <c r="AX89" s="382">
        <f t="shared" si="9"/>
        <v>284.96190876962089</v>
      </c>
      <c r="AY89" s="382">
        <f>VLOOKUP(AM89, 'Pile Data and Eurocode Factors'!$A$34:$J$39,3, FALSE)</f>
        <v>4206.5354432903041</v>
      </c>
      <c r="AZ89" s="403">
        <f t="shared" si="10"/>
        <v>284.96190876962089</v>
      </c>
      <c r="BA89" s="419">
        <v>750</v>
      </c>
      <c r="BB89" s="382">
        <f>PI()*BA89/1000*( Pile!$C$23- Pile!$C89)</f>
        <v>14.137166941154065</v>
      </c>
      <c r="BC89" s="382">
        <f t="shared" si="11"/>
        <v>0.44178646691106466</v>
      </c>
      <c r="BD89" s="382">
        <f t="shared" si="55"/>
        <v>282.81666586822024</v>
      </c>
      <c r="BE89" s="382">
        <f>BB89* Pile!$S$23</f>
        <v>0</v>
      </c>
      <c r="BF89" s="382">
        <f t="shared" si="60"/>
        <v>282.81666586822024</v>
      </c>
      <c r="BG89" s="382">
        <f>IF(BF89&gt;0,+BF89)/ 'Pile Data and Eurocode Factors'!$B$14/ 'Pile Data and Eurocode Factors'!$B$15</f>
        <v>126.25744011974118</v>
      </c>
      <c r="BH89" s="382">
        <f t="shared" si="42"/>
        <v>804.80731044799711</v>
      </c>
      <c r="BI89" s="382">
        <f>BC89* Pile!$U$23</f>
        <v>0</v>
      </c>
      <c r="BJ89" s="382">
        <f t="shared" si="12"/>
        <v>804.80731044799711</v>
      </c>
      <c r="BK89" s="382">
        <f>BJ89/ 'Pile Data and Eurocode Factors'!$C$14/ 'Pile Data and Eurocode Factors'!$C$15</f>
        <v>287.43118230285614</v>
      </c>
      <c r="BL89" s="382">
        <f t="shared" si="13"/>
        <v>413.68862242259729</v>
      </c>
      <c r="BM89" s="382">
        <f>VLOOKUP(BA89, 'Pile Data and Eurocode Factors'!$A$34:$J$39,3, FALSE)</f>
        <v>6572.7116301410997</v>
      </c>
      <c r="BN89" s="403">
        <f t="shared" si="14"/>
        <v>413.68862242259729</v>
      </c>
      <c r="BO89" s="419">
        <v>900</v>
      </c>
      <c r="BP89" s="382">
        <f>PI()*BO89/1000*( Pile!$C$23- Pile!$C89)</f>
        <v>16.964600329384879</v>
      </c>
      <c r="BQ89" s="382">
        <f t="shared" si="15"/>
        <v>0.63617251235193317</v>
      </c>
      <c r="BR89" s="382">
        <f t="shared" si="56"/>
        <v>339.37999904186432</v>
      </c>
      <c r="BS89" s="382">
        <f>BP89* Pile!$S$23</f>
        <v>0</v>
      </c>
      <c r="BT89" s="382">
        <f t="shared" si="61"/>
        <v>339.37999904186432</v>
      </c>
      <c r="BU89" s="382">
        <f>IF(BT89&gt;0,+BT89)/ 'Pile Data and Eurocode Factors'!$B$14/ 'Pile Data and Eurocode Factors'!$B$15</f>
        <v>151.50892814368945</v>
      </c>
      <c r="BV89" s="382">
        <f t="shared" si="45"/>
        <v>1158.9225270451159</v>
      </c>
      <c r="BW89" s="382">
        <f>BQ89* Pile!$U$23</f>
        <v>0</v>
      </c>
      <c r="BX89" s="382">
        <f t="shared" si="16"/>
        <v>1158.9225270451159</v>
      </c>
      <c r="BY89" s="382">
        <f>BX89/ 'Pile Data and Eurocode Factors'!$C$14/ 'Pile Data and Eurocode Factors'!$C$15</f>
        <v>413.90090251611286</v>
      </c>
      <c r="BZ89" s="382">
        <f t="shared" si="17"/>
        <v>565.40983065980231</v>
      </c>
      <c r="CA89" s="382">
        <f>VLOOKUP(BO89, 'Pile Data and Eurocode Factors'!$A$34:$J$39,3, FALSE)</f>
        <v>9464.7047474031824</v>
      </c>
      <c r="CB89" s="403">
        <f t="shared" si="18"/>
        <v>565.40983065980231</v>
      </c>
      <c r="CC89" s="419">
        <v>1050</v>
      </c>
      <c r="CD89" s="382">
        <f>PI()*CC89/1000*( Pile!$C$23- Pile!$C89)</f>
        <v>19.792033717615691</v>
      </c>
      <c r="CE89" s="382">
        <f t="shared" si="19"/>
        <v>0.86590147514568672</v>
      </c>
      <c r="CF89" s="382">
        <f t="shared" si="57"/>
        <v>395.94333221550835</v>
      </c>
      <c r="CG89" s="382">
        <f>CD89* Pile!$S$23</f>
        <v>0</v>
      </c>
      <c r="CH89" s="382">
        <f t="shared" si="62"/>
        <v>395.94333221550835</v>
      </c>
      <c r="CI89" s="382">
        <f>IF(CH89&gt;0,+CH89)/ 'Pile Data and Eurocode Factors'!$B$14/ 'Pile Data and Eurocode Factors'!$B$15</f>
        <v>176.76041616763763</v>
      </c>
      <c r="CJ89" s="382">
        <f t="shared" si="48"/>
        <v>1577.4223284780744</v>
      </c>
      <c r="CK89" s="382">
        <f>CE89* Pile!$U$23</f>
        <v>0</v>
      </c>
      <c r="CL89" s="382">
        <f t="shared" si="20"/>
        <v>1577.4223284780744</v>
      </c>
      <c r="CM89" s="382">
        <f>CL89/ 'Pile Data and Eurocode Factors'!$C$14/ 'Pile Data and Eurocode Factors'!$C$15</f>
        <v>563.36511731359803</v>
      </c>
      <c r="CN89" s="382">
        <f t="shared" si="21"/>
        <v>740.12553348123561</v>
      </c>
      <c r="CO89" s="382">
        <f>VLOOKUP(CC89, 'Pile Data and Eurocode Factors'!$A$34:$J$39,3, FALSE)</f>
        <v>12882.514795076555</v>
      </c>
      <c r="CP89" s="403">
        <f t="shared" si="22"/>
        <v>740.12553348123561</v>
      </c>
      <c r="CQ89" s="419">
        <v>1200</v>
      </c>
      <c r="CR89" s="382">
        <f>PI()*CQ89/1000*( Pile!$C$23- Pile!$C89)</f>
        <v>22.619467105846503</v>
      </c>
      <c r="CS89" s="382">
        <f t="shared" si="23"/>
        <v>1.1309733552923256</v>
      </c>
      <c r="CT89" s="382">
        <f t="shared" si="58"/>
        <v>452.50666538915237</v>
      </c>
      <c r="CU89" s="382">
        <f>CR89* Pile!$S$23</f>
        <v>0</v>
      </c>
      <c r="CV89" s="382">
        <f t="shared" si="63"/>
        <v>452.50666538915237</v>
      </c>
      <c r="CW89" s="382">
        <f>IF(CV89&gt;0,+CV89)/ 'Pile Data and Eurocode Factors'!$B$14/ 'Pile Data and Eurocode Factors'!$B$15</f>
        <v>202.01190419158587</v>
      </c>
      <c r="CX89" s="382">
        <f t="shared" si="51"/>
        <v>2060.3067147468728</v>
      </c>
      <c r="CY89" s="382">
        <f>CS89* Pile!$U$23</f>
        <v>0</v>
      </c>
      <c r="CZ89" s="382">
        <f t="shared" si="24"/>
        <v>2060.3067147468728</v>
      </c>
      <c r="DA89" s="382">
        <f>CZ89/ 'Pile Data and Eurocode Factors'!$C$14/ 'Pile Data and Eurocode Factors'!$C$15</f>
        <v>735.82382669531171</v>
      </c>
      <c r="DB89" s="382">
        <f t="shared" si="25"/>
        <v>937.83573088689764</v>
      </c>
      <c r="DC89" s="382">
        <f>VLOOKUP(CQ89, 'Pile Data and Eurocode Factors'!$A$34:$J$39,3, FALSE)</f>
        <v>16826.141773161216</v>
      </c>
      <c r="DD89" s="403">
        <f t="shared" si="26"/>
        <v>937.83573088689764</v>
      </c>
      <c r="DE89" s="382">
        <f xml:space="preserve"> Pile!$C$23- Pile!C89</f>
        <v>5.9999999999999982</v>
      </c>
      <c r="DG89" s="382">
        <f t="shared" si="52"/>
        <v>179.22968970087294</v>
      </c>
      <c r="DH89" s="382">
        <f t="shared" si="27"/>
        <v>284.96190876962089</v>
      </c>
      <c r="DI89" s="382">
        <f t="shared" si="28"/>
        <v>413.68862242259729</v>
      </c>
      <c r="DJ89" s="382">
        <f t="shared" si="29"/>
        <v>565.40983065980231</v>
      </c>
      <c r="DK89" s="382">
        <f t="shared" si="30"/>
        <v>740.12553348123561</v>
      </c>
      <c r="DL89" s="382">
        <f t="shared" si="53"/>
        <v>937.83573088689764</v>
      </c>
    </row>
    <row r="90" spans="2:116" s="414" customFormat="1" ht="15">
      <c r="B90" s="404">
        <v>1</v>
      </c>
      <c r="C90" s="405">
        <f>+C89- Pile!D$24/20</f>
        <v>-0.29999999999999788</v>
      </c>
      <c r="D90" s="406" t="str">
        <f>B24</f>
        <v>Firm Clay</v>
      </c>
      <c r="E90" s="406" t="str">
        <f>F24</f>
        <v>Cohesive</v>
      </c>
      <c r="F90" s="405">
        <f xml:space="preserve"> Pile!$E$24*(C89-C90)+F89</f>
        <v>104.54999999999997</v>
      </c>
      <c r="G90" s="405">
        <f>IF(C90&gt; Pile!$C$28,0,( Pile!$C$28-C90)*9.81)</f>
        <v>0</v>
      </c>
      <c r="H90" s="405">
        <f t="shared" si="0"/>
        <v>104.54999999999997</v>
      </c>
      <c r="I90" s="405">
        <f t="shared" ref="I90:I109" si="64">($H$89+H90)/2</f>
        <v>101.77499999999998</v>
      </c>
      <c r="J90" s="405">
        <f>IF(E90="Cohesive", Pile!$G$24+(( Pile!$H$24- Pile!$G$24)/20),0)</f>
        <v>40</v>
      </c>
      <c r="K90" s="405">
        <f>IF(E90="Cohesive",( Pile!$G$24+ Pile!$J90)/2,0)</f>
        <v>40</v>
      </c>
      <c r="L90" s="405">
        <f>IF( Pile!I$24="",0, Pile!I$24)</f>
        <v>0.5</v>
      </c>
      <c r="M90" s="405">
        <f>IF( Pile!J$24="",0, Pile!J$24)</f>
        <v>9</v>
      </c>
      <c r="N90" s="405">
        <f>IF(E90="Granular", Pile!$K$24,0)</f>
        <v>0</v>
      </c>
      <c r="O90" s="407">
        <f>IF(AND(E90="Granular",D90&lt;&gt;"Made Ground"), Pile!$L$24,0)</f>
        <v>0</v>
      </c>
      <c r="P90" s="405">
        <f>IF(OR(D90="Low Density Chalk",D90="Medium Density Chalk"), Pile!$M$24,0)</f>
        <v>0</v>
      </c>
      <c r="Q90" s="408">
        <f>IF(D90="High Density Chalk", Pile!$N$24,0)</f>
        <v>0</v>
      </c>
      <c r="R90" s="405">
        <f>IF( Pile!O$24="",0, Pile!O$24)</f>
        <v>0</v>
      </c>
      <c r="S90" s="409">
        <f t="shared" si="31"/>
        <v>20</v>
      </c>
      <c r="T90" s="410">
        <f xml:space="preserve"> Pile!$T$24</f>
        <v>100</v>
      </c>
      <c r="U90" s="410">
        <f t="shared" si="32"/>
        <v>20</v>
      </c>
      <c r="V90" s="410">
        <f>R90+M90*J90+N90*H90</f>
        <v>360</v>
      </c>
      <c r="W90" s="410" t="str">
        <f xml:space="preserve"> Pile!$V$24</f>
        <v/>
      </c>
      <c r="X90" s="410">
        <f>IF(W90&gt;0,MIN(V90:W90),V90)</f>
        <v>360</v>
      </c>
      <c r="Y90" s="411">
        <v>450</v>
      </c>
      <c r="Z90" s="410">
        <f>PI()*Y90/1000*( Pile!$C$24- Pile!$C90)</f>
        <v>0.42411500823461906</v>
      </c>
      <c r="AA90" s="410">
        <f t="shared" si="3"/>
        <v>0.15904312808798329</v>
      </c>
      <c r="AB90" s="410">
        <f t="shared" si="34"/>
        <v>8.482300164692381</v>
      </c>
      <c r="AC90" s="410">
        <f>Z90* Pile!$S$24</f>
        <v>0</v>
      </c>
      <c r="AD90" s="410">
        <f t="shared" si="35"/>
        <v>8.482300164692381</v>
      </c>
      <c r="AE90" s="410">
        <f>IF(AD90&gt;0,+AD90)/ 'Pile Data and Eurocode Factors'!$B$14/ 'Pile Data and Eurocode Factors'!$B$15+$AE$89</f>
        <v>79.541205216796683</v>
      </c>
      <c r="AF90" s="410">
        <f>AA90*$X90</f>
        <v>57.255526111673987</v>
      </c>
      <c r="AG90" s="410">
        <f>AA90* Pile!$U$24</f>
        <v>0</v>
      </c>
      <c r="AH90" s="410">
        <f t="shared" si="4"/>
        <v>57.255526111673987</v>
      </c>
      <c r="AI90" s="410">
        <f>AH90/ 'Pile Data and Eurocode Factors'!$C$14/ 'Pile Data and Eurocode Factors'!$C$15</f>
        <v>20.448402182740711</v>
      </c>
      <c r="AJ90" s="410">
        <f t="shared" si="5"/>
        <v>99.989607399537391</v>
      </c>
      <c r="AK90" s="410">
        <f>VLOOKUP(Y90, 'Pile Data and Eurocode Factors'!$A$34:$J$39,3, FALSE)</f>
        <v>2366.1761868507956</v>
      </c>
      <c r="AL90" s="412">
        <f t="shared" si="6"/>
        <v>99.989607399537391</v>
      </c>
      <c r="AM90" s="411">
        <v>600</v>
      </c>
      <c r="AN90" s="410">
        <f>PI()*AM90/1000*( Pile!$C$24- Pile!$C90)</f>
        <v>0.56548667764615879</v>
      </c>
      <c r="AO90" s="410">
        <f t="shared" si="7"/>
        <v>0.28274333882308139</v>
      </c>
      <c r="AP90" s="410">
        <f t="shared" si="54"/>
        <v>11.309733552923175</v>
      </c>
      <c r="AQ90" s="410">
        <f>AN90* Pile!$S$24</f>
        <v>0</v>
      </c>
      <c r="AR90" s="410">
        <f t="shared" si="59"/>
        <v>11.309733552923175</v>
      </c>
      <c r="AS90" s="410">
        <f>IF(AR90&gt;0,+AR90)/ 'Pile Data and Eurocode Factors'!$B$14/ 'Pile Data and Eurocode Factors'!$B$15+$AS$89</f>
        <v>106.05494028906222</v>
      </c>
      <c r="AT90" s="410">
        <f>AO90*$X90</f>
        <v>101.7876019763093</v>
      </c>
      <c r="AU90" s="410">
        <f>AO90* Pile!$U$24</f>
        <v>0</v>
      </c>
      <c r="AV90" s="410">
        <f t="shared" si="8"/>
        <v>101.7876019763093</v>
      </c>
      <c r="AW90" s="410">
        <f>AV90/ 'Pile Data and Eurocode Factors'!$C$14/ 'Pile Data and Eurocode Factors'!$C$15</f>
        <v>36.352714991539038</v>
      </c>
      <c r="AX90" s="410">
        <f t="shared" si="9"/>
        <v>142.40765528060126</v>
      </c>
      <c r="AY90" s="410">
        <f>VLOOKUP(AM90, 'Pile Data and Eurocode Factors'!$A$34:$J$39,3, FALSE)</f>
        <v>4206.5354432903041</v>
      </c>
      <c r="AZ90" s="412">
        <f t="shared" si="10"/>
        <v>142.40765528060126</v>
      </c>
      <c r="BA90" s="411">
        <v>750</v>
      </c>
      <c r="BB90" s="410">
        <f>PI()*BA90/1000*( Pile!$C$24- Pile!$C90)</f>
        <v>0.70685834705769846</v>
      </c>
      <c r="BC90" s="410">
        <f t="shared" si="11"/>
        <v>0.44178646691106466</v>
      </c>
      <c r="BD90" s="410">
        <f t="shared" si="55"/>
        <v>14.13716694115397</v>
      </c>
      <c r="BE90" s="410">
        <f>BB90* Pile!$S$24</f>
        <v>0</v>
      </c>
      <c r="BF90" s="410">
        <f t="shared" si="60"/>
        <v>14.13716694115397</v>
      </c>
      <c r="BG90" s="410">
        <f>IF(BF90&gt;0,+BF90)/ 'Pile Data and Eurocode Factors'!$B$14/ 'Pile Data and Eurocode Factors'!$B$15+$BG$89</f>
        <v>132.56867536132776</v>
      </c>
      <c r="BH90" s="410">
        <f>BC90*$X90</f>
        <v>159.04312808798326</v>
      </c>
      <c r="BI90" s="410">
        <f>BC90* Pile!$U$24</f>
        <v>0</v>
      </c>
      <c r="BJ90" s="410">
        <f t="shared" si="12"/>
        <v>159.04312808798326</v>
      </c>
      <c r="BK90" s="410">
        <f>BJ90/ 'Pile Data and Eurocode Factors'!$C$14/ 'Pile Data and Eurocode Factors'!$C$15</f>
        <v>56.801117174279739</v>
      </c>
      <c r="BL90" s="410">
        <f t="shared" si="13"/>
        <v>189.3697925356075</v>
      </c>
      <c r="BM90" s="410">
        <f>VLOOKUP(BA90, 'Pile Data and Eurocode Factors'!$A$34:$J$39,3, FALSE)</f>
        <v>6572.7116301410997</v>
      </c>
      <c r="BN90" s="412">
        <f t="shared" si="14"/>
        <v>189.3697925356075</v>
      </c>
      <c r="BO90" s="411">
        <v>900</v>
      </c>
      <c r="BP90" s="410">
        <f>PI()*BO90/1000*( Pile!$C$24- Pile!$C90)</f>
        <v>0.84823001646923812</v>
      </c>
      <c r="BQ90" s="410">
        <f t="shared" si="15"/>
        <v>0.63617251235193317</v>
      </c>
      <c r="BR90" s="410">
        <f t="shared" si="56"/>
        <v>16.964600329384762</v>
      </c>
      <c r="BS90" s="410">
        <f>BP90* Pile!$S$24</f>
        <v>0</v>
      </c>
      <c r="BT90" s="410">
        <f>IF(BS90&gt;0,MIN(BR90:BS90),BR90)</f>
        <v>16.964600329384762</v>
      </c>
      <c r="BU90" s="410">
        <f>IF(BT90&gt;0,+BT90)/ 'Pile Data and Eurocode Factors'!$B$14/ 'Pile Data and Eurocode Factors'!$B$15+$BU$89</f>
        <v>159.08241043359337</v>
      </c>
      <c r="BV90" s="410">
        <f>BQ90*$X90</f>
        <v>229.02210444669595</v>
      </c>
      <c r="BW90" s="410">
        <f>BQ90* Pile!$U$24</f>
        <v>0</v>
      </c>
      <c r="BX90" s="410">
        <f t="shared" si="16"/>
        <v>229.02210444669595</v>
      </c>
      <c r="BY90" s="410">
        <f>BX90/ 'Pile Data and Eurocode Factors'!$C$14/ 'Pile Data and Eurocode Factors'!$C$15</f>
        <v>81.793608730962845</v>
      </c>
      <c r="BZ90" s="410">
        <f t="shared" si="17"/>
        <v>240.87601916455623</v>
      </c>
      <c r="CA90" s="410">
        <f>VLOOKUP(BO90, 'Pile Data and Eurocode Factors'!$A$34:$J$39,3, FALSE)</f>
        <v>9464.7047474031824</v>
      </c>
      <c r="CB90" s="412">
        <f t="shared" si="18"/>
        <v>240.87601916455623</v>
      </c>
      <c r="CC90" s="411">
        <v>1050</v>
      </c>
      <c r="CD90" s="410">
        <f>PI()*CC90/1000*( Pile!$C$24- Pile!$C90)</f>
        <v>0.98960168588077779</v>
      </c>
      <c r="CE90" s="410">
        <f t="shared" si="19"/>
        <v>0.86590147514568672</v>
      </c>
      <c r="CF90" s="410">
        <f t="shared" si="57"/>
        <v>19.792033717615556</v>
      </c>
      <c r="CG90" s="410">
        <f>CD90* Pile!$S$24</f>
        <v>0</v>
      </c>
      <c r="CH90" s="410">
        <f>IF(CG90&gt;0,MIN(CF90:CG90),CF90)</f>
        <v>19.792033717615556</v>
      </c>
      <c r="CI90" s="410">
        <f>IF(CH90&gt;0,+CH90)/ 'Pile Data and Eurocode Factors'!$B$14/ 'Pile Data and Eurocode Factors'!$B$15+$CI$89</f>
        <v>185.59614550585886</v>
      </c>
      <c r="CJ90" s="410">
        <f>CE90*$X90</f>
        <v>311.72453105244722</v>
      </c>
      <c r="CK90" s="410">
        <f>CE90* Pile!$U$24</f>
        <v>0</v>
      </c>
      <c r="CL90" s="410">
        <f t="shared" si="20"/>
        <v>311.72453105244722</v>
      </c>
      <c r="CM90" s="410">
        <f>CL90/ 'Pile Data and Eurocode Factors'!$C$14/ 'Pile Data and Eurocode Factors'!$C$15</f>
        <v>111.33018966158829</v>
      </c>
      <c r="CN90" s="410">
        <f t="shared" si="21"/>
        <v>296.92633516744718</v>
      </c>
      <c r="CO90" s="410">
        <f>VLOOKUP(CC90, 'Pile Data and Eurocode Factors'!$A$34:$J$39,3, FALSE)</f>
        <v>12882.514795076555</v>
      </c>
      <c r="CP90" s="412">
        <f t="shared" si="22"/>
        <v>296.92633516744718</v>
      </c>
      <c r="CQ90" s="411">
        <v>1200</v>
      </c>
      <c r="CR90" s="410">
        <f>PI()*CQ90/1000*( Pile!$C$24- Pile!$C90)</f>
        <v>1.1309733552923176</v>
      </c>
      <c r="CS90" s="410">
        <f t="shared" si="23"/>
        <v>1.1309733552923256</v>
      </c>
      <c r="CT90" s="410">
        <f t="shared" si="58"/>
        <v>22.619467105846351</v>
      </c>
      <c r="CU90" s="410">
        <f>CR90* Pile!$S$24</f>
        <v>0</v>
      </c>
      <c r="CV90" s="410">
        <f>IF(CU90&gt;0,MIN(CT90:CU90),CT90)</f>
        <v>22.619467105846351</v>
      </c>
      <c r="CW90" s="410">
        <f>IF(CV90&gt;0,+CV90)/ 'Pile Data and Eurocode Factors'!$B$14/ 'Pile Data and Eurocode Factors'!$B$15+$CW$89</f>
        <v>212.10988057812443</v>
      </c>
      <c r="CX90" s="410">
        <f>CS90*$X90</f>
        <v>407.15040790523722</v>
      </c>
      <c r="CY90" s="410">
        <f>CS90* Pile!$U$24</f>
        <v>0</v>
      </c>
      <c r="CZ90" s="410">
        <f t="shared" si="24"/>
        <v>407.15040790523722</v>
      </c>
      <c r="DA90" s="410">
        <f>CZ90/ 'Pile Data and Eurocode Factors'!$C$14/ 'Pile Data and Eurocode Factors'!$C$15</f>
        <v>145.41085996615615</v>
      </c>
      <c r="DB90" s="410">
        <f t="shared" si="25"/>
        <v>357.52074054428056</v>
      </c>
      <c r="DC90" s="410">
        <f>VLOOKUP(CQ90, 'Pile Data and Eurocode Factors'!$A$34:$J$39,3, FALSE)</f>
        <v>16826.141773161216</v>
      </c>
      <c r="DD90" s="412">
        <f t="shared" si="26"/>
        <v>357.52074054428056</v>
      </c>
      <c r="DE90" s="413">
        <f xml:space="preserve"> Pile!$C$23- Pile!C90</f>
        <v>6.299999999999998</v>
      </c>
      <c r="DG90" s="410">
        <f t="shared" si="52"/>
        <v>99.989607399537391</v>
      </c>
      <c r="DH90" s="410">
        <f t="shared" si="27"/>
        <v>142.40765528060126</v>
      </c>
      <c r="DI90" s="410">
        <f t="shared" si="28"/>
        <v>189.3697925356075</v>
      </c>
      <c r="DJ90" s="410">
        <f t="shared" si="29"/>
        <v>240.87601916455623</v>
      </c>
      <c r="DK90" s="410">
        <f t="shared" si="30"/>
        <v>296.92633516744718</v>
      </c>
      <c r="DL90" s="410">
        <f t="shared" si="53"/>
        <v>357.52074054428056</v>
      </c>
    </row>
    <row r="91" spans="2:116" s="308" customFormat="1" ht="15">
      <c r="B91" s="400">
        <v>2</v>
      </c>
      <c r="C91" s="401">
        <f>+C90- Pile!D$24/20</f>
        <v>-0.59999999999999787</v>
      </c>
      <c r="D91" s="415" t="str">
        <f>B24</f>
        <v>Firm Clay</v>
      </c>
      <c r="E91" s="415" t="str">
        <f>F24</f>
        <v>Cohesive</v>
      </c>
      <c r="F91" s="401">
        <f xml:space="preserve"> Pile!$E$24*(C90-C91)+F90</f>
        <v>110.09999999999997</v>
      </c>
      <c r="G91" s="401">
        <f>IF(C91&gt; Pile!$C$28,0,( Pile!$C$28-C91)*9.81)</f>
        <v>0</v>
      </c>
      <c r="H91" s="401">
        <f t="shared" si="0"/>
        <v>110.09999999999997</v>
      </c>
      <c r="I91" s="401">
        <f t="shared" si="64"/>
        <v>104.54999999999997</v>
      </c>
      <c r="J91" s="401">
        <f>IF(E91="Cohesive",(( Pile!$H$24- Pile!$G$24)/20)+J90,0)</f>
        <v>40</v>
      </c>
      <c r="K91" s="401">
        <f>IF(E91="Cohesive",( Pile!$G$24+ Pile!$J91)/2,0)</f>
        <v>40</v>
      </c>
      <c r="L91" s="401">
        <f>IF( Pile!I$24="",0, Pile!I$24)</f>
        <v>0.5</v>
      </c>
      <c r="M91" s="401">
        <f>IF( Pile!J$24="",0, Pile!J$24)</f>
        <v>9</v>
      </c>
      <c r="N91" s="401">
        <f>IF(E91="Granular", Pile!$K$24,0)</f>
        <v>0</v>
      </c>
      <c r="O91" s="416">
        <f>IF(AND(E91="Granular",D91&lt;&gt;"Made Ground"), Pile!$L$24,0)</f>
        <v>0</v>
      </c>
      <c r="P91" s="401">
        <f>IF(OR(D91="Low Density Chalk",D91="Medium Density Chalk"), Pile!$M$24,0)</f>
        <v>0</v>
      </c>
      <c r="Q91" s="417">
        <f>IF(D91="High Density Chalk", Pile!$N$24,0)</f>
        <v>0</v>
      </c>
      <c r="R91" s="401">
        <f>IF( Pile!O$24="",0, Pile!O$24)</f>
        <v>0</v>
      </c>
      <c r="S91" s="418">
        <f t="shared" si="31"/>
        <v>20</v>
      </c>
      <c r="T91" s="382">
        <f xml:space="preserve"> Pile!$T$24</f>
        <v>100</v>
      </c>
      <c r="U91" s="382">
        <f t="shared" si="32"/>
        <v>20</v>
      </c>
      <c r="V91" s="382">
        <f t="shared" si="2"/>
        <v>360</v>
      </c>
      <c r="W91" s="382" t="str">
        <f xml:space="preserve"> Pile!$V$24</f>
        <v/>
      </c>
      <c r="X91" s="382">
        <f t="shared" si="33"/>
        <v>360</v>
      </c>
      <c r="Y91" s="419">
        <v>450</v>
      </c>
      <c r="Z91" s="382">
        <f>PI()*Y91/1000*( Pile!$C$24- Pile!$C91)</f>
        <v>0.84823001646924112</v>
      </c>
      <c r="AA91" s="382">
        <f t="shared" si="3"/>
        <v>0.15904312808798329</v>
      </c>
      <c r="AB91" s="382">
        <f t="shared" si="34"/>
        <v>16.964600329384822</v>
      </c>
      <c r="AC91" s="382">
        <f>Z91* Pile!$S$24</f>
        <v>0</v>
      </c>
      <c r="AD91" s="382">
        <f t="shared" si="35"/>
        <v>16.964600329384822</v>
      </c>
      <c r="AE91" s="382">
        <f>IF(AD91&gt;0,+AD91)/ 'Pile Data and Eurocode Factors'!$B$14/ 'Pile Data and Eurocode Factors'!$B$15+$AE$89</f>
        <v>83.327946361748658</v>
      </c>
      <c r="AF91" s="382">
        <f t="shared" si="36"/>
        <v>57.255526111673987</v>
      </c>
      <c r="AG91" s="382">
        <f>AA91* Pile!$U$24</f>
        <v>0</v>
      </c>
      <c r="AH91" s="382">
        <f t="shared" si="4"/>
        <v>57.255526111673987</v>
      </c>
      <c r="AI91" s="382">
        <f>AH91/ 'Pile Data and Eurocode Factors'!$C$14/ 'Pile Data and Eurocode Factors'!$C$15</f>
        <v>20.448402182740711</v>
      </c>
      <c r="AJ91" s="382">
        <f t="shared" si="5"/>
        <v>103.77634854448937</v>
      </c>
      <c r="AK91" s="382">
        <f>VLOOKUP(Y91, 'Pile Data and Eurocode Factors'!$A$34:$J$39,3, FALSE)</f>
        <v>2366.1761868507956</v>
      </c>
      <c r="AL91" s="403">
        <f t="shared" si="6"/>
        <v>103.77634854448937</v>
      </c>
      <c r="AM91" s="419">
        <v>600</v>
      </c>
      <c r="AN91" s="382">
        <f>PI()*AM91/1000*( Pile!$C$24- Pile!$C91)</f>
        <v>1.1309733552923216</v>
      </c>
      <c r="AO91" s="382">
        <f t="shared" si="7"/>
        <v>0.28274333882308139</v>
      </c>
      <c r="AP91" s="382">
        <f t="shared" si="54"/>
        <v>22.619467105846432</v>
      </c>
      <c r="AQ91" s="382">
        <f>AN91* Pile!$S$24</f>
        <v>0</v>
      </c>
      <c r="AR91" s="382">
        <f t="shared" si="59"/>
        <v>22.619467105846432</v>
      </c>
      <c r="AS91" s="382">
        <f>IF(AR91&gt;0,+AR91)/ 'Pile Data and Eurocode Factors'!$B$14/ 'Pile Data and Eurocode Factors'!$B$15+$AS$89</f>
        <v>111.10392848233153</v>
      </c>
      <c r="AT91" s="382">
        <f t="shared" ref="AT91:AT149" si="65">AO91*$X91</f>
        <v>101.7876019763093</v>
      </c>
      <c r="AU91" s="382">
        <f>AO91* Pile!$U$24</f>
        <v>0</v>
      </c>
      <c r="AV91" s="382">
        <f t="shared" si="8"/>
        <v>101.7876019763093</v>
      </c>
      <c r="AW91" s="382">
        <f>AV91/ 'Pile Data and Eurocode Factors'!$C$14/ 'Pile Data and Eurocode Factors'!$C$15</f>
        <v>36.352714991539038</v>
      </c>
      <c r="AX91" s="382">
        <f t="shared" si="9"/>
        <v>147.45664347387057</v>
      </c>
      <c r="AY91" s="382">
        <f>VLOOKUP(AM91, 'Pile Data and Eurocode Factors'!$A$34:$J$39,3, FALSE)</f>
        <v>4206.5354432903041</v>
      </c>
      <c r="AZ91" s="403">
        <f t="shared" si="10"/>
        <v>147.45664347387057</v>
      </c>
      <c r="BA91" s="419">
        <v>750</v>
      </c>
      <c r="BB91" s="382">
        <f>PI()*BA91/1000*( Pile!$C$24- Pile!$C91)</f>
        <v>1.4137166941154018</v>
      </c>
      <c r="BC91" s="382">
        <f t="shared" si="11"/>
        <v>0.44178646691106466</v>
      </c>
      <c r="BD91" s="382">
        <f t="shared" si="55"/>
        <v>28.274333882308035</v>
      </c>
      <c r="BE91" s="382">
        <f>BB91* Pile!$S$24</f>
        <v>0</v>
      </c>
      <c r="BF91" s="382">
        <f t="shared" si="60"/>
        <v>28.274333882308035</v>
      </c>
      <c r="BG91" s="382">
        <f>IF(BF91&gt;0,+BF91)/ 'Pile Data and Eurocode Factors'!$B$14/ 'Pile Data and Eurocode Factors'!$B$15+$BG$89</f>
        <v>138.87991060291441</v>
      </c>
      <c r="BH91" s="382">
        <f t="shared" ref="BH91:BH149" si="66">BC91*$X91</f>
        <v>159.04312808798326</v>
      </c>
      <c r="BI91" s="382">
        <f>BC91* Pile!$U$24</f>
        <v>0</v>
      </c>
      <c r="BJ91" s="382">
        <f t="shared" si="12"/>
        <v>159.04312808798326</v>
      </c>
      <c r="BK91" s="382">
        <f>BJ91/ 'Pile Data and Eurocode Factors'!$C$14/ 'Pile Data and Eurocode Factors'!$C$15</f>
        <v>56.801117174279739</v>
      </c>
      <c r="BL91" s="382">
        <f t="shared" si="13"/>
        <v>195.68102777719415</v>
      </c>
      <c r="BM91" s="382">
        <f>VLOOKUP(BA91, 'Pile Data and Eurocode Factors'!$A$34:$J$39,3, FALSE)</f>
        <v>6572.7116301410997</v>
      </c>
      <c r="BN91" s="403">
        <f t="shared" si="14"/>
        <v>195.68102777719415</v>
      </c>
      <c r="BO91" s="419">
        <v>900</v>
      </c>
      <c r="BP91" s="382">
        <f>PI()*BO91/1000*( Pile!$C$24- Pile!$C91)</f>
        <v>1.6964600329384822</v>
      </c>
      <c r="BQ91" s="382">
        <f t="shared" si="15"/>
        <v>0.63617251235193317</v>
      </c>
      <c r="BR91" s="382">
        <f t="shared" si="56"/>
        <v>33.929200658769645</v>
      </c>
      <c r="BS91" s="382">
        <f>BP91* Pile!$S$24</f>
        <v>0</v>
      </c>
      <c r="BT91" s="382">
        <f t="shared" si="61"/>
        <v>33.929200658769645</v>
      </c>
      <c r="BU91" s="382">
        <f>IF(BT91&gt;0,+BT91)/ 'Pile Data and Eurocode Factors'!$B$14/ 'Pile Data and Eurocode Factors'!$B$15+$BU$89</f>
        <v>166.65589272349732</v>
      </c>
      <c r="BV91" s="382">
        <f t="shared" ref="BV91:BV149" si="67">BQ91*$X91</f>
        <v>229.02210444669595</v>
      </c>
      <c r="BW91" s="382">
        <f>BQ91* Pile!$U$24</f>
        <v>0</v>
      </c>
      <c r="BX91" s="382">
        <f t="shared" si="16"/>
        <v>229.02210444669595</v>
      </c>
      <c r="BY91" s="382">
        <f>BX91/ 'Pile Data and Eurocode Factors'!$C$14/ 'Pile Data and Eurocode Factors'!$C$15</f>
        <v>81.793608730962845</v>
      </c>
      <c r="BZ91" s="382">
        <f t="shared" si="17"/>
        <v>248.44950145446018</v>
      </c>
      <c r="CA91" s="382">
        <f>VLOOKUP(BO91, 'Pile Data and Eurocode Factors'!$A$34:$J$39,3, FALSE)</f>
        <v>9464.7047474031824</v>
      </c>
      <c r="CB91" s="403">
        <f t="shared" si="18"/>
        <v>248.44950145446018</v>
      </c>
      <c r="CC91" s="419">
        <v>1050</v>
      </c>
      <c r="CD91" s="382">
        <f>PI()*CC91/1000*( Pile!$C$24- Pile!$C91)</f>
        <v>1.9792033717615627</v>
      </c>
      <c r="CE91" s="382">
        <f t="shared" si="19"/>
        <v>0.86590147514568672</v>
      </c>
      <c r="CF91" s="382">
        <f t="shared" si="57"/>
        <v>39.584067435231255</v>
      </c>
      <c r="CG91" s="382">
        <f>CD91* Pile!$S$24</f>
        <v>0</v>
      </c>
      <c r="CH91" s="382">
        <f t="shared" ref="CH91:CH129" si="68">IF(CG91&gt;0,MIN(CF91:CG91),CF91)</f>
        <v>39.584067435231255</v>
      </c>
      <c r="CI91" s="382">
        <f>IF(CH91&gt;0,+CH91)/ 'Pile Data and Eurocode Factors'!$B$14/ 'Pile Data and Eurocode Factors'!$B$15+$CI$89</f>
        <v>194.43187484408014</v>
      </c>
      <c r="CJ91" s="382">
        <f t="shared" ref="CJ91:CJ149" si="69">CE91*$X91</f>
        <v>311.72453105244722</v>
      </c>
      <c r="CK91" s="382">
        <f>CE91* Pile!$U$24</f>
        <v>0</v>
      </c>
      <c r="CL91" s="382">
        <f t="shared" si="20"/>
        <v>311.72453105244722</v>
      </c>
      <c r="CM91" s="382">
        <f>CL91/ 'Pile Data and Eurocode Factors'!$C$14/ 'Pile Data and Eurocode Factors'!$C$15</f>
        <v>111.33018966158829</v>
      </c>
      <c r="CN91" s="382">
        <f t="shared" si="21"/>
        <v>305.76206450566843</v>
      </c>
      <c r="CO91" s="382">
        <f>VLOOKUP(CC91, 'Pile Data and Eurocode Factors'!$A$34:$J$39,3, FALSE)</f>
        <v>12882.514795076555</v>
      </c>
      <c r="CP91" s="403">
        <f t="shared" si="22"/>
        <v>305.76206450566843</v>
      </c>
      <c r="CQ91" s="419">
        <v>1200</v>
      </c>
      <c r="CR91" s="382">
        <f>PI()*CQ91/1000*( Pile!$C$24- Pile!$C91)</f>
        <v>2.2619467105846431</v>
      </c>
      <c r="CS91" s="382">
        <f t="shared" si="23"/>
        <v>1.1309733552923256</v>
      </c>
      <c r="CT91" s="382">
        <f t="shared" si="58"/>
        <v>45.238934211692865</v>
      </c>
      <c r="CU91" s="382">
        <f>CR91* Pile!$S$24</f>
        <v>0</v>
      </c>
      <c r="CV91" s="382">
        <f t="shared" ref="CV91:CV129" si="70">IF(CU91&gt;0,MIN(CT91:CU91),CT91)</f>
        <v>45.238934211692865</v>
      </c>
      <c r="CW91" s="382">
        <f>IF(CV91&gt;0,+CV91)/ 'Pile Data and Eurocode Factors'!$B$14/ 'Pile Data and Eurocode Factors'!$B$15+$CW$89</f>
        <v>222.20785696466305</v>
      </c>
      <c r="CX91" s="382">
        <f t="shared" ref="CX91:CX149" si="71">CS91*$X91</f>
        <v>407.15040790523722</v>
      </c>
      <c r="CY91" s="382">
        <f>CS91* Pile!$U$24</f>
        <v>0</v>
      </c>
      <c r="CZ91" s="382">
        <f t="shared" si="24"/>
        <v>407.15040790523722</v>
      </c>
      <c r="DA91" s="382">
        <f>CZ91/ 'Pile Data and Eurocode Factors'!$C$14/ 'Pile Data and Eurocode Factors'!$C$15</f>
        <v>145.41085996615615</v>
      </c>
      <c r="DB91" s="382">
        <f t="shared" si="25"/>
        <v>367.61871693081923</v>
      </c>
      <c r="DC91" s="382">
        <f>VLOOKUP(CQ91, 'Pile Data and Eurocode Factors'!$A$34:$J$39,3, FALSE)</f>
        <v>16826.141773161216</v>
      </c>
      <c r="DD91" s="403">
        <f t="shared" si="26"/>
        <v>367.61871693081923</v>
      </c>
      <c r="DE91" s="420">
        <f xml:space="preserve"> Pile!$C$23- Pile!C91</f>
        <v>6.5999999999999979</v>
      </c>
      <c r="DG91" s="382">
        <f t="shared" si="52"/>
        <v>103.77634854448937</v>
      </c>
      <c r="DH91" s="382">
        <f t="shared" si="27"/>
        <v>147.45664347387057</v>
      </c>
      <c r="DI91" s="382">
        <f t="shared" si="28"/>
        <v>195.68102777719415</v>
      </c>
      <c r="DJ91" s="382">
        <f t="shared" si="29"/>
        <v>248.44950145446018</v>
      </c>
      <c r="DK91" s="382">
        <f t="shared" si="30"/>
        <v>305.76206450566843</v>
      </c>
      <c r="DL91" s="382">
        <f t="shared" si="53"/>
        <v>367.61871693081923</v>
      </c>
    </row>
    <row r="92" spans="2:116" s="308" customFormat="1" ht="15">
      <c r="B92" s="400">
        <v>3</v>
      </c>
      <c r="C92" s="401">
        <f>+C91- Pile!D$24/20</f>
        <v>-0.89999999999999791</v>
      </c>
      <c r="D92" s="415" t="str">
        <f>B24</f>
        <v>Firm Clay</v>
      </c>
      <c r="E92" s="415" t="str">
        <f>F24</f>
        <v>Cohesive</v>
      </c>
      <c r="F92" s="401">
        <f xml:space="preserve"> Pile!$E$24*(C91-C92)+F91</f>
        <v>115.64999999999996</v>
      </c>
      <c r="G92" s="401">
        <f>IF(C92&gt; Pile!$C$28,0,( Pile!$C$28-C92)*9.81)</f>
        <v>0</v>
      </c>
      <c r="H92" s="401">
        <f t="shared" si="0"/>
        <v>115.64999999999996</v>
      </c>
      <c r="I92" s="401">
        <f t="shared" si="64"/>
        <v>107.32499999999996</v>
      </c>
      <c r="J92" s="401">
        <f>IF(E92="Cohesive",(( Pile!$H$24- Pile!$G$24)/20)+J91,0)</f>
        <v>40</v>
      </c>
      <c r="K92" s="401">
        <f>IF(E92="Cohesive",( Pile!$G$24+ Pile!$J92)/2,0)</f>
        <v>40</v>
      </c>
      <c r="L92" s="401">
        <f>IF( Pile!I$24="",0, Pile!I$24)</f>
        <v>0.5</v>
      </c>
      <c r="M92" s="401">
        <f>IF( Pile!J$24="",0, Pile!J$24)</f>
        <v>9</v>
      </c>
      <c r="N92" s="401">
        <f>IF(E92="Granular", Pile!$K$24,0)</f>
        <v>0</v>
      </c>
      <c r="O92" s="416">
        <f>IF(AND(E92="Granular",D92&lt;&gt;"Made Ground"), Pile!$L$24,0)</f>
        <v>0</v>
      </c>
      <c r="P92" s="401">
        <f>IF(OR(D92="Low Density Chalk",D92="Medium Density Chalk"), Pile!$M$24,0)</f>
        <v>0</v>
      </c>
      <c r="Q92" s="417">
        <f>IF(D92="High Density Chalk", Pile!$N$24,0)</f>
        <v>0</v>
      </c>
      <c r="R92" s="401">
        <f>IF( Pile!O$24="",0, Pile!O$24)</f>
        <v>0</v>
      </c>
      <c r="S92" s="418">
        <f t="shared" si="31"/>
        <v>20</v>
      </c>
      <c r="T92" s="382">
        <f xml:space="preserve"> Pile!$T$24</f>
        <v>100</v>
      </c>
      <c r="U92" s="382">
        <f t="shared" si="32"/>
        <v>20</v>
      </c>
      <c r="V92" s="382">
        <f t="shared" si="2"/>
        <v>360</v>
      </c>
      <c r="W92" s="382" t="str">
        <f xml:space="preserve"> Pile!$V$24</f>
        <v/>
      </c>
      <c r="X92" s="382">
        <f t="shared" si="33"/>
        <v>360</v>
      </c>
      <c r="Y92" s="419">
        <v>450</v>
      </c>
      <c r="Z92" s="382">
        <f>PI()*Y92/1000*( Pile!$C$24- Pile!$C92)</f>
        <v>1.2723450247038632</v>
      </c>
      <c r="AA92" s="382">
        <f t="shared" si="3"/>
        <v>0.15904312808798329</v>
      </c>
      <c r="AB92" s="382">
        <f t="shared" si="34"/>
        <v>25.446900494077266</v>
      </c>
      <c r="AC92" s="382">
        <f>Z92* Pile!$S$24</f>
        <v>0</v>
      </c>
      <c r="AD92" s="382">
        <f t="shared" si="35"/>
        <v>25.446900494077266</v>
      </c>
      <c r="AE92" s="382">
        <f>IF(AD92&gt;0,+AD92)/ 'Pile Data and Eurocode Factors'!$B$14/ 'Pile Data and Eurocode Factors'!$B$15+$AE$89</f>
        <v>87.114687506700648</v>
      </c>
      <c r="AF92" s="382">
        <f t="shared" si="36"/>
        <v>57.255526111673987</v>
      </c>
      <c r="AG92" s="382">
        <f>AA92* Pile!$U$24</f>
        <v>0</v>
      </c>
      <c r="AH92" s="382">
        <f t="shared" si="4"/>
        <v>57.255526111673987</v>
      </c>
      <c r="AI92" s="382">
        <f>AH92/ 'Pile Data and Eurocode Factors'!$C$14/ 'Pile Data and Eurocode Factors'!$C$15</f>
        <v>20.448402182740711</v>
      </c>
      <c r="AJ92" s="382">
        <f t="shared" si="5"/>
        <v>107.56308968944136</v>
      </c>
      <c r="AK92" s="382">
        <f>VLOOKUP(Y92, 'Pile Data and Eurocode Factors'!$A$34:$J$39,3, FALSE)</f>
        <v>2366.1761868507956</v>
      </c>
      <c r="AL92" s="403">
        <f t="shared" si="6"/>
        <v>107.56308968944136</v>
      </c>
      <c r="AM92" s="419">
        <v>600</v>
      </c>
      <c r="AN92" s="382">
        <f>PI()*AM92/1000*( Pile!$C$24- Pile!$C92)</f>
        <v>1.6964600329384842</v>
      </c>
      <c r="AO92" s="382">
        <f t="shared" si="7"/>
        <v>0.28274333882308139</v>
      </c>
      <c r="AP92" s="382">
        <f t="shared" si="54"/>
        <v>33.929200658769687</v>
      </c>
      <c r="AQ92" s="382">
        <f>AN92* Pile!$S$24</f>
        <v>0</v>
      </c>
      <c r="AR92" s="382">
        <f t="shared" si="59"/>
        <v>33.929200658769687</v>
      </c>
      <c r="AS92" s="382">
        <f>IF(AR92&gt;0,+AR92)/ 'Pile Data and Eurocode Factors'!$B$14/ 'Pile Data and Eurocode Factors'!$B$15+$AS$89</f>
        <v>116.15291667560084</v>
      </c>
      <c r="AT92" s="382">
        <f t="shared" si="65"/>
        <v>101.7876019763093</v>
      </c>
      <c r="AU92" s="382">
        <f>AO92* Pile!$U$24</f>
        <v>0</v>
      </c>
      <c r="AV92" s="382">
        <f t="shared" si="8"/>
        <v>101.7876019763093</v>
      </c>
      <c r="AW92" s="382">
        <f>AV92/ 'Pile Data and Eurocode Factors'!$C$14/ 'Pile Data and Eurocode Factors'!$C$15</f>
        <v>36.352714991539038</v>
      </c>
      <c r="AX92" s="382">
        <f t="shared" si="9"/>
        <v>152.50563166713988</v>
      </c>
      <c r="AY92" s="382">
        <f>VLOOKUP(AM92, 'Pile Data and Eurocode Factors'!$A$34:$J$39,3, FALSE)</f>
        <v>4206.5354432903041</v>
      </c>
      <c r="AZ92" s="403">
        <f t="shared" si="10"/>
        <v>152.50563166713988</v>
      </c>
      <c r="BA92" s="419">
        <v>750</v>
      </c>
      <c r="BB92" s="382">
        <f>PI()*BA92/1000*( Pile!$C$24- Pile!$C92)</f>
        <v>2.1205750411731055</v>
      </c>
      <c r="BC92" s="382">
        <f t="shared" si="11"/>
        <v>0.44178646691106466</v>
      </c>
      <c r="BD92" s="382">
        <f t="shared" si="55"/>
        <v>42.411500823462106</v>
      </c>
      <c r="BE92" s="382">
        <f>BB92* Pile!$S$24</f>
        <v>0</v>
      </c>
      <c r="BF92" s="382">
        <f t="shared" si="60"/>
        <v>42.411500823462106</v>
      </c>
      <c r="BG92" s="382">
        <f>IF(BF92&gt;0,+BF92)/ 'Pile Data and Eurocode Factors'!$B$14/ 'Pile Data and Eurocode Factors'!$B$15+$BG$89</f>
        <v>145.19114584450105</v>
      </c>
      <c r="BH92" s="382">
        <f t="shared" si="66"/>
        <v>159.04312808798326</v>
      </c>
      <c r="BI92" s="382">
        <f>BC92* Pile!$U$24</f>
        <v>0</v>
      </c>
      <c r="BJ92" s="382">
        <f t="shared" si="12"/>
        <v>159.04312808798326</v>
      </c>
      <c r="BK92" s="382">
        <f>BJ92/ 'Pile Data and Eurocode Factors'!$C$14/ 'Pile Data and Eurocode Factors'!$C$15</f>
        <v>56.801117174279739</v>
      </c>
      <c r="BL92" s="382">
        <f t="shared" si="13"/>
        <v>201.99226301878079</v>
      </c>
      <c r="BM92" s="382">
        <f>VLOOKUP(BA92, 'Pile Data and Eurocode Factors'!$A$34:$J$39,3, FALSE)</f>
        <v>6572.7116301410997</v>
      </c>
      <c r="BN92" s="403">
        <f t="shared" si="14"/>
        <v>201.99226301878079</v>
      </c>
      <c r="BO92" s="419">
        <v>900</v>
      </c>
      <c r="BP92" s="382">
        <f>PI()*BO92/1000*( Pile!$C$24- Pile!$C92)</f>
        <v>2.5446900494077265</v>
      </c>
      <c r="BQ92" s="382">
        <f t="shared" si="15"/>
        <v>0.63617251235193317</v>
      </c>
      <c r="BR92" s="382">
        <f t="shared" si="56"/>
        <v>50.893800988154531</v>
      </c>
      <c r="BS92" s="382">
        <f>BP92* Pile!$S$24</f>
        <v>0</v>
      </c>
      <c r="BT92" s="382">
        <f t="shared" si="61"/>
        <v>50.893800988154531</v>
      </c>
      <c r="BU92" s="382">
        <f>IF(BT92&gt;0,+BT92)/ 'Pile Data and Eurocode Factors'!$B$14/ 'Pile Data and Eurocode Factors'!$B$15+$BU$89</f>
        <v>174.2293750134013</v>
      </c>
      <c r="BV92" s="382">
        <f t="shared" si="67"/>
        <v>229.02210444669595</v>
      </c>
      <c r="BW92" s="382">
        <f>BQ92* Pile!$U$24</f>
        <v>0</v>
      </c>
      <c r="BX92" s="382">
        <f t="shared" si="16"/>
        <v>229.02210444669595</v>
      </c>
      <c r="BY92" s="382">
        <f>BX92/ 'Pile Data and Eurocode Factors'!$C$14/ 'Pile Data and Eurocode Factors'!$C$15</f>
        <v>81.793608730962845</v>
      </c>
      <c r="BZ92" s="382">
        <f t="shared" si="17"/>
        <v>256.02298374436413</v>
      </c>
      <c r="CA92" s="382">
        <f>VLOOKUP(BO92, 'Pile Data and Eurocode Factors'!$A$34:$J$39,3, FALSE)</f>
        <v>9464.7047474031824</v>
      </c>
      <c r="CB92" s="403">
        <f t="shared" si="18"/>
        <v>256.02298374436413</v>
      </c>
      <c r="CC92" s="419">
        <v>1050</v>
      </c>
      <c r="CD92" s="382">
        <f>PI()*CC92/1000*( Pile!$C$24- Pile!$C92)</f>
        <v>2.9688050576423475</v>
      </c>
      <c r="CE92" s="382">
        <f t="shared" si="19"/>
        <v>0.86590147514568672</v>
      </c>
      <c r="CF92" s="382">
        <f t="shared" si="57"/>
        <v>59.37610115284695</v>
      </c>
      <c r="CG92" s="382">
        <f>CD92* Pile!$S$24</f>
        <v>0</v>
      </c>
      <c r="CH92" s="382">
        <f t="shared" si="68"/>
        <v>59.37610115284695</v>
      </c>
      <c r="CI92" s="382">
        <f>IF(CH92&gt;0,+CH92)/ 'Pile Data and Eurocode Factors'!$B$14/ 'Pile Data and Eurocode Factors'!$B$15+$CI$89</f>
        <v>203.26760418230145</v>
      </c>
      <c r="CJ92" s="382">
        <f t="shared" si="69"/>
        <v>311.72453105244722</v>
      </c>
      <c r="CK92" s="382">
        <f>CE92* Pile!$U$24</f>
        <v>0</v>
      </c>
      <c r="CL92" s="382">
        <f t="shared" si="20"/>
        <v>311.72453105244722</v>
      </c>
      <c r="CM92" s="382">
        <f>CL92/ 'Pile Data and Eurocode Factors'!$C$14/ 'Pile Data and Eurocode Factors'!$C$15</f>
        <v>111.33018966158829</v>
      </c>
      <c r="CN92" s="382">
        <f t="shared" si="21"/>
        <v>314.59779384388975</v>
      </c>
      <c r="CO92" s="382">
        <f>VLOOKUP(CC92, 'Pile Data and Eurocode Factors'!$A$34:$J$39,3, FALSE)</f>
        <v>12882.514795076555</v>
      </c>
      <c r="CP92" s="403">
        <f t="shared" si="22"/>
        <v>314.59779384388975</v>
      </c>
      <c r="CQ92" s="419">
        <v>1200</v>
      </c>
      <c r="CR92" s="382">
        <f>PI()*CQ92/1000*( Pile!$C$24- Pile!$C92)</f>
        <v>3.3929200658769685</v>
      </c>
      <c r="CS92" s="382">
        <f t="shared" si="23"/>
        <v>1.1309733552923256</v>
      </c>
      <c r="CT92" s="382">
        <f t="shared" si="58"/>
        <v>67.858401317539375</v>
      </c>
      <c r="CU92" s="382">
        <f>CR92* Pile!$S$24</f>
        <v>0</v>
      </c>
      <c r="CV92" s="382">
        <f t="shared" si="70"/>
        <v>67.858401317539375</v>
      </c>
      <c r="CW92" s="382">
        <f>IF(CV92&gt;0,+CV92)/ 'Pile Data and Eurocode Factors'!$B$14/ 'Pile Data and Eurocode Factors'!$B$15+$CW$89</f>
        <v>232.30583335120167</v>
      </c>
      <c r="CX92" s="382">
        <f t="shared" si="71"/>
        <v>407.15040790523722</v>
      </c>
      <c r="CY92" s="382">
        <f>CS92* Pile!$U$24</f>
        <v>0</v>
      </c>
      <c r="CZ92" s="382">
        <f t="shared" si="24"/>
        <v>407.15040790523722</v>
      </c>
      <c r="DA92" s="382">
        <f>CZ92/ 'Pile Data and Eurocode Factors'!$C$14/ 'Pile Data and Eurocode Factors'!$C$15</f>
        <v>145.41085996615615</v>
      </c>
      <c r="DB92" s="382">
        <f t="shared" si="25"/>
        <v>377.71669331735779</v>
      </c>
      <c r="DC92" s="382">
        <f>VLOOKUP(CQ92, 'Pile Data and Eurocode Factors'!$A$34:$J$39,3, FALSE)</f>
        <v>16826.141773161216</v>
      </c>
      <c r="DD92" s="403">
        <f t="shared" si="26"/>
        <v>377.71669331735779</v>
      </c>
      <c r="DE92" s="420">
        <f xml:space="preserve"> Pile!$C$23- Pile!C92</f>
        <v>6.8999999999999977</v>
      </c>
      <c r="DG92" s="382">
        <f t="shared" si="52"/>
        <v>107.56308968944136</v>
      </c>
      <c r="DH92" s="382">
        <f t="shared" si="27"/>
        <v>152.50563166713988</v>
      </c>
      <c r="DI92" s="382">
        <f t="shared" si="28"/>
        <v>201.99226301878079</v>
      </c>
      <c r="DJ92" s="382">
        <f t="shared" si="29"/>
        <v>256.02298374436413</v>
      </c>
      <c r="DK92" s="382">
        <f t="shared" si="30"/>
        <v>314.59779384388975</v>
      </c>
      <c r="DL92" s="382">
        <f t="shared" si="53"/>
        <v>377.71669331735779</v>
      </c>
    </row>
    <row r="93" spans="2:116" s="308" customFormat="1" ht="15">
      <c r="B93" s="400">
        <v>4</v>
      </c>
      <c r="C93" s="401">
        <f>+C92- Pile!D$24/20</f>
        <v>-1.199999999999998</v>
      </c>
      <c r="D93" s="415" t="str">
        <f>B24</f>
        <v>Firm Clay</v>
      </c>
      <c r="E93" s="415" t="str">
        <f>F24</f>
        <v>Cohesive</v>
      </c>
      <c r="F93" s="401">
        <f xml:space="preserve"> Pile!$E$24*(C92-C93)+F92</f>
        <v>121.19999999999996</v>
      </c>
      <c r="G93" s="401">
        <f>IF(C93&gt; Pile!$C$28,0,( Pile!$C$28-C93)*9.81)</f>
        <v>0</v>
      </c>
      <c r="H93" s="401">
        <f t="shared" si="0"/>
        <v>121.19999999999996</v>
      </c>
      <c r="I93" s="401">
        <f t="shared" si="64"/>
        <v>110.09999999999997</v>
      </c>
      <c r="J93" s="401">
        <f>IF(E93="Cohesive",(( Pile!$H$24- Pile!$G$24)/20)+J92,0)</f>
        <v>40</v>
      </c>
      <c r="K93" s="401">
        <f>IF(E93="Cohesive",( Pile!$G$24+ Pile!$J93)/2,0)</f>
        <v>40</v>
      </c>
      <c r="L93" s="401">
        <f>IF( Pile!I$24="",0, Pile!I$24)</f>
        <v>0.5</v>
      </c>
      <c r="M93" s="401">
        <f>IF( Pile!J$24="",0, Pile!J$24)</f>
        <v>9</v>
      </c>
      <c r="N93" s="401">
        <f>IF(E93="Granular", Pile!$K$24,0)</f>
        <v>0</v>
      </c>
      <c r="O93" s="416">
        <f>IF(AND(E93="Granular",D93&lt;&gt;"Made Ground"), Pile!$L$24,0)</f>
        <v>0</v>
      </c>
      <c r="P93" s="401">
        <f>IF(OR(D93="Low Density Chalk",D93="Medium Density Chalk"), Pile!$M$24,0)</f>
        <v>0</v>
      </c>
      <c r="Q93" s="417">
        <f>IF(D93="High Density Chalk", Pile!$N$24,0)</f>
        <v>0</v>
      </c>
      <c r="R93" s="401">
        <f>IF( Pile!O$24="",0, Pile!O$24)</f>
        <v>0</v>
      </c>
      <c r="S93" s="418">
        <f t="shared" si="31"/>
        <v>20</v>
      </c>
      <c r="T93" s="382">
        <f xml:space="preserve"> Pile!$T$24</f>
        <v>100</v>
      </c>
      <c r="U93" s="382">
        <f t="shared" si="32"/>
        <v>20</v>
      </c>
      <c r="V93" s="382">
        <f t="shared" si="2"/>
        <v>360</v>
      </c>
      <c r="W93" s="382" t="str">
        <f xml:space="preserve"> Pile!$V$24</f>
        <v/>
      </c>
      <c r="X93" s="382">
        <f t="shared" si="33"/>
        <v>360</v>
      </c>
      <c r="Y93" s="419">
        <v>450</v>
      </c>
      <c r="Z93" s="382">
        <f>PI()*Y93/1000*( Pile!$C$24- Pile!$C93)</f>
        <v>1.6964600329384854</v>
      </c>
      <c r="AA93" s="382">
        <f t="shared" si="3"/>
        <v>0.15904312808798329</v>
      </c>
      <c r="AB93" s="382">
        <f t="shared" si="34"/>
        <v>33.929200658769709</v>
      </c>
      <c r="AC93" s="382">
        <f>Z93* Pile!$S$24</f>
        <v>0</v>
      </c>
      <c r="AD93" s="382">
        <f t="shared" si="35"/>
        <v>33.929200658769709</v>
      </c>
      <c r="AE93" s="382">
        <f>IF(AD93&gt;0,+AD93)/ 'Pile Data and Eurocode Factors'!$B$14/ 'Pile Data and Eurocode Factors'!$B$15+$AE$89</f>
        <v>90.901428651652623</v>
      </c>
      <c r="AF93" s="382">
        <f t="shared" si="36"/>
        <v>57.255526111673987</v>
      </c>
      <c r="AG93" s="382">
        <f>AA93* Pile!$U$24</f>
        <v>0</v>
      </c>
      <c r="AH93" s="382">
        <f t="shared" si="4"/>
        <v>57.255526111673987</v>
      </c>
      <c r="AI93" s="382">
        <f>AH93/ 'Pile Data and Eurocode Factors'!$C$14/ 'Pile Data and Eurocode Factors'!$C$15</f>
        <v>20.448402182740711</v>
      </c>
      <c r="AJ93" s="382">
        <f t="shared" si="5"/>
        <v>111.34983083439333</v>
      </c>
      <c r="AK93" s="382">
        <f>VLOOKUP(Y93, 'Pile Data and Eurocode Factors'!$A$34:$J$39,3, FALSE)</f>
        <v>2366.1761868507956</v>
      </c>
      <c r="AL93" s="403">
        <f t="shared" si="6"/>
        <v>111.34983083439333</v>
      </c>
      <c r="AM93" s="419">
        <v>600</v>
      </c>
      <c r="AN93" s="382">
        <f>PI()*AM93/1000*( Pile!$C$24- Pile!$C93)</f>
        <v>2.2619467105846471</v>
      </c>
      <c r="AO93" s="382">
        <f t="shared" si="7"/>
        <v>0.28274333882308139</v>
      </c>
      <c r="AP93" s="382">
        <f t="shared" si="54"/>
        <v>45.238934211692943</v>
      </c>
      <c r="AQ93" s="382">
        <f>AN93* Pile!$S$24</f>
        <v>0</v>
      </c>
      <c r="AR93" s="382">
        <f t="shared" si="59"/>
        <v>45.238934211692943</v>
      </c>
      <c r="AS93" s="382">
        <f>IF(AR93&gt;0,+AR93)/ 'Pile Data and Eurocode Factors'!$B$14/ 'Pile Data and Eurocode Factors'!$B$15+$AS$89</f>
        <v>121.20190486887014</v>
      </c>
      <c r="AT93" s="382">
        <f t="shared" si="65"/>
        <v>101.7876019763093</v>
      </c>
      <c r="AU93" s="382">
        <f>AO93* Pile!$U$24</f>
        <v>0</v>
      </c>
      <c r="AV93" s="382">
        <f t="shared" si="8"/>
        <v>101.7876019763093</v>
      </c>
      <c r="AW93" s="382">
        <f>AV93/ 'Pile Data and Eurocode Factors'!$C$14/ 'Pile Data and Eurocode Factors'!$C$15</f>
        <v>36.352714991539038</v>
      </c>
      <c r="AX93" s="382">
        <f t="shared" si="9"/>
        <v>157.55461986040919</v>
      </c>
      <c r="AY93" s="382">
        <f>VLOOKUP(AM93, 'Pile Data and Eurocode Factors'!$A$34:$J$39,3, FALSE)</f>
        <v>4206.5354432903041</v>
      </c>
      <c r="AZ93" s="403">
        <f t="shared" si="10"/>
        <v>157.55461986040919</v>
      </c>
      <c r="BA93" s="419">
        <v>750</v>
      </c>
      <c r="BB93" s="382">
        <f>PI()*BA93/1000*( Pile!$C$24- Pile!$C93)</f>
        <v>2.8274333882308089</v>
      </c>
      <c r="BC93" s="382">
        <f t="shared" si="11"/>
        <v>0.44178646691106466</v>
      </c>
      <c r="BD93" s="382">
        <f t="shared" si="55"/>
        <v>56.548667764616177</v>
      </c>
      <c r="BE93" s="382">
        <f>BB93* Pile!$S$24</f>
        <v>0</v>
      </c>
      <c r="BF93" s="382">
        <f t="shared" si="60"/>
        <v>56.548667764616177</v>
      </c>
      <c r="BG93" s="382">
        <f>IF(BF93&gt;0,+BF93)/ 'Pile Data and Eurocode Factors'!$B$14/ 'Pile Data and Eurocode Factors'!$B$15+$BG$89</f>
        <v>151.50238108608767</v>
      </c>
      <c r="BH93" s="382">
        <f t="shared" si="66"/>
        <v>159.04312808798326</v>
      </c>
      <c r="BI93" s="382">
        <f>BC93* Pile!$U$24</f>
        <v>0</v>
      </c>
      <c r="BJ93" s="382">
        <f t="shared" si="12"/>
        <v>159.04312808798326</v>
      </c>
      <c r="BK93" s="382">
        <f>BJ93/ 'Pile Data and Eurocode Factors'!$C$14/ 'Pile Data and Eurocode Factors'!$C$15</f>
        <v>56.801117174279739</v>
      </c>
      <c r="BL93" s="382">
        <f t="shared" si="13"/>
        <v>208.30349826036741</v>
      </c>
      <c r="BM93" s="382">
        <f>VLOOKUP(BA93, 'Pile Data and Eurocode Factors'!$A$34:$J$39,3, FALSE)</f>
        <v>6572.7116301410997</v>
      </c>
      <c r="BN93" s="403">
        <f t="shared" si="14"/>
        <v>208.30349826036741</v>
      </c>
      <c r="BO93" s="419">
        <v>900</v>
      </c>
      <c r="BP93" s="382">
        <f>PI()*BO93/1000*( Pile!$C$24- Pile!$C93)</f>
        <v>3.3929200658769707</v>
      </c>
      <c r="BQ93" s="382">
        <f t="shared" si="15"/>
        <v>0.63617251235193317</v>
      </c>
      <c r="BR93" s="382">
        <f t="shared" si="56"/>
        <v>67.858401317539418</v>
      </c>
      <c r="BS93" s="382">
        <f>BP93* Pile!$S$24</f>
        <v>0</v>
      </c>
      <c r="BT93" s="382">
        <f t="shared" si="61"/>
        <v>67.858401317539418</v>
      </c>
      <c r="BU93" s="382">
        <f>IF(BT93&gt;0,+BT93)/ 'Pile Data and Eurocode Factors'!$B$14/ 'Pile Data and Eurocode Factors'!$B$15+$BU$89</f>
        <v>181.80285730330525</v>
      </c>
      <c r="BV93" s="382">
        <f t="shared" si="67"/>
        <v>229.02210444669595</v>
      </c>
      <c r="BW93" s="382">
        <f>BQ93* Pile!$U$24</f>
        <v>0</v>
      </c>
      <c r="BX93" s="382">
        <f t="shared" si="16"/>
        <v>229.02210444669595</v>
      </c>
      <c r="BY93" s="382">
        <f>BX93/ 'Pile Data and Eurocode Factors'!$C$14/ 'Pile Data and Eurocode Factors'!$C$15</f>
        <v>81.793608730962845</v>
      </c>
      <c r="BZ93" s="382">
        <f t="shared" si="17"/>
        <v>263.59646603426808</v>
      </c>
      <c r="CA93" s="382">
        <f>VLOOKUP(BO93, 'Pile Data and Eurocode Factors'!$A$34:$J$39,3, FALSE)</f>
        <v>9464.7047474031824</v>
      </c>
      <c r="CB93" s="403">
        <f t="shared" si="18"/>
        <v>263.59646603426808</v>
      </c>
      <c r="CC93" s="419">
        <v>1050</v>
      </c>
      <c r="CD93" s="382">
        <f>PI()*CC93/1000*( Pile!$C$24- Pile!$C93)</f>
        <v>3.9584067435231325</v>
      </c>
      <c r="CE93" s="382">
        <f t="shared" si="19"/>
        <v>0.86590147514568672</v>
      </c>
      <c r="CF93" s="382">
        <f t="shared" si="57"/>
        <v>79.168134870462652</v>
      </c>
      <c r="CG93" s="382">
        <f>CD93* Pile!$S$24</f>
        <v>0</v>
      </c>
      <c r="CH93" s="382">
        <f t="shared" si="68"/>
        <v>79.168134870462652</v>
      </c>
      <c r="CI93" s="382">
        <f>IF(CH93&gt;0,+CH93)/ 'Pile Data and Eurocode Factors'!$B$14/ 'Pile Data and Eurocode Factors'!$B$15+$CI$89</f>
        <v>212.10333352052274</v>
      </c>
      <c r="CJ93" s="382">
        <f t="shared" si="69"/>
        <v>311.72453105244722</v>
      </c>
      <c r="CK93" s="382">
        <f>CE93* Pile!$U$24</f>
        <v>0</v>
      </c>
      <c r="CL93" s="382">
        <f t="shared" si="20"/>
        <v>311.72453105244722</v>
      </c>
      <c r="CM93" s="382">
        <f>CL93/ 'Pile Data and Eurocode Factors'!$C$14/ 'Pile Data and Eurocode Factors'!$C$15</f>
        <v>111.33018966158829</v>
      </c>
      <c r="CN93" s="382">
        <f t="shared" si="21"/>
        <v>323.433523182111</v>
      </c>
      <c r="CO93" s="382">
        <f>VLOOKUP(CC93, 'Pile Data and Eurocode Factors'!$A$34:$J$39,3, FALSE)</f>
        <v>12882.514795076555</v>
      </c>
      <c r="CP93" s="403">
        <f t="shared" si="22"/>
        <v>323.433523182111</v>
      </c>
      <c r="CQ93" s="419">
        <v>1200</v>
      </c>
      <c r="CR93" s="382">
        <f>PI()*CQ93/1000*( Pile!$C$24- Pile!$C93)</f>
        <v>4.5238934211692943</v>
      </c>
      <c r="CS93" s="382">
        <f t="shared" si="23"/>
        <v>1.1309733552923256</v>
      </c>
      <c r="CT93" s="382">
        <f t="shared" si="58"/>
        <v>90.477868423385885</v>
      </c>
      <c r="CU93" s="382">
        <f>CR93* Pile!$S$24</f>
        <v>0</v>
      </c>
      <c r="CV93" s="382">
        <f t="shared" si="70"/>
        <v>90.477868423385885</v>
      </c>
      <c r="CW93" s="382">
        <f>IF(CV93&gt;0,+CV93)/ 'Pile Data and Eurocode Factors'!$B$14/ 'Pile Data and Eurocode Factors'!$B$15+$CW$89</f>
        <v>242.40380973774029</v>
      </c>
      <c r="CX93" s="382">
        <f t="shared" si="71"/>
        <v>407.15040790523722</v>
      </c>
      <c r="CY93" s="382">
        <f>CS93* Pile!$U$24</f>
        <v>0</v>
      </c>
      <c r="CZ93" s="382">
        <f t="shared" si="24"/>
        <v>407.15040790523722</v>
      </c>
      <c r="DA93" s="382">
        <f>CZ93/ 'Pile Data and Eurocode Factors'!$C$14/ 'Pile Data and Eurocode Factors'!$C$15</f>
        <v>145.41085996615615</v>
      </c>
      <c r="DB93" s="382">
        <f t="shared" si="25"/>
        <v>387.81466970389647</v>
      </c>
      <c r="DC93" s="382">
        <f>VLOOKUP(CQ93, 'Pile Data and Eurocode Factors'!$A$34:$J$39,3, FALSE)</f>
        <v>16826.141773161216</v>
      </c>
      <c r="DD93" s="403">
        <f t="shared" si="26"/>
        <v>387.81466970389647</v>
      </c>
      <c r="DE93" s="420">
        <f xml:space="preserve"> Pile!$C$23- Pile!C93</f>
        <v>7.1999999999999975</v>
      </c>
      <c r="DG93" s="382">
        <f t="shared" si="52"/>
        <v>111.34983083439333</v>
      </c>
      <c r="DH93" s="382">
        <f t="shared" si="27"/>
        <v>157.55461986040919</v>
      </c>
      <c r="DI93" s="382">
        <f t="shared" si="28"/>
        <v>208.30349826036741</v>
      </c>
      <c r="DJ93" s="382">
        <f t="shared" si="29"/>
        <v>263.59646603426808</v>
      </c>
      <c r="DK93" s="382">
        <f t="shared" si="30"/>
        <v>323.433523182111</v>
      </c>
      <c r="DL93" s="382">
        <f t="shared" si="53"/>
        <v>387.81466970389647</v>
      </c>
    </row>
    <row r="94" spans="2:116" s="308" customFormat="1" ht="15">
      <c r="B94" s="400">
        <v>5</v>
      </c>
      <c r="C94" s="401">
        <f>+C93- Pile!D$24/20</f>
        <v>-1.499999999999998</v>
      </c>
      <c r="D94" s="415" t="str">
        <f>B24</f>
        <v>Firm Clay</v>
      </c>
      <c r="E94" s="415" t="str">
        <f>F24</f>
        <v>Cohesive</v>
      </c>
      <c r="F94" s="401">
        <f xml:space="preserve"> Pile!$E$24*(C93-C94)+F93</f>
        <v>126.74999999999996</v>
      </c>
      <c r="G94" s="401">
        <f>IF(C94&gt; Pile!$C$28,0,( Pile!$C$28-C94)*9.81)</f>
        <v>0</v>
      </c>
      <c r="H94" s="401">
        <f t="shared" si="0"/>
        <v>126.74999999999996</v>
      </c>
      <c r="I94" s="401">
        <f t="shared" si="64"/>
        <v>112.87499999999997</v>
      </c>
      <c r="J94" s="401">
        <f>IF(E94="Cohesive",(( Pile!$H$24- Pile!$G$24)/20)+J93,0)</f>
        <v>40</v>
      </c>
      <c r="K94" s="401">
        <f>IF(E94="Cohesive",( Pile!$G$24+ Pile!$J94)/2,0)</f>
        <v>40</v>
      </c>
      <c r="L94" s="401">
        <f>IF( Pile!I$24="",0, Pile!I$24)</f>
        <v>0.5</v>
      </c>
      <c r="M94" s="401">
        <f>IF( Pile!J$24="",0, Pile!J$24)</f>
        <v>9</v>
      </c>
      <c r="N94" s="401">
        <f>IF(E94="Granular", Pile!$K$24,0)</f>
        <v>0</v>
      </c>
      <c r="O94" s="416">
        <f>IF(AND(E94="Granular",D94&lt;&gt;"Made Ground"), Pile!$L$24,0)</f>
        <v>0</v>
      </c>
      <c r="P94" s="401">
        <f>IF(OR(D94="Low Density Chalk",D94="Medium Density Chalk"), Pile!$M$24,0)</f>
        <v>0</v>
      </c>
      <c r="Q94" s="417">
        <f>IF(D94="High Density Chalk", Pile!$N$24,0)</f>
        <v>0</v>
      </c>
      <c r="R94" s="401">
        <f>IF( Pile!O$24="",0, Pile!O$24)</f>
        <v>0</v>
      </c>
      <c r="S94" s="418">
        <f t="shared" si="31"/>
        <v>20</v>
      </c>
      <c r="T94" s="382">
        <f xml:space="preserve"> Pile!$T$24</f>
        <v>100</v>
      </c>
      <c r="U94" s="382">
        <f t="shared" si="32"/>
        <v>20</v>
      </c>
      <c r="V94" s="382">
        <f t="shared" si="2"/>
        <v>360</v>
      </c>
      <c r="W94" s="382" t="str">
        <f xml:space="preserve"> Pile!$V$24</f>
        <v/>
      </c>
      <c r="X94" s="382">
        <f t="shared" si="33"/>
        <v>360</v>
      </c>
      <c r="Y94" s="419">
        <v>450</v>
      </c>
      <c r="Z94" s="382">
        <f>PI()*Y94/1000*( Pile!$C$24- Pile!$C94)</f>
        <v>2.1205750411731077</v>
      </c>
      <c r="AA94" s="382">
        <f t="shared" si="3"/>
        <v>0.15904312808798329</v>
      </c>
      <c r="AB94" s="382">
        <f t="shared" si="34"/>
        <v>42.411500823462156</v>
      </c>
      <c r="AC94" s="382">
        <f>Z94* Pile!$S$24</f>
        <v>0</v>
      </c>
      <c r="AD94" s="382">
        <f t="shared" si="35"/>
        <v>42.411500823462156</v>
      </c>
      <c r="AE94" s="382">
        <f>IF(AD94&gt;0,+AD94)/ 'Pile Data and Eurocode Factors'!$B$14/ 'Pile Data and Eurocode Factors'!$B$15+$AE$89</f>
        <v>94.688169796604612</v>
      </c>
      <c r="AF94" s="382">
        <f t="shared" si="36"/>
        <v>57.255526111673987</v>
      </c>
      <c r="AG94" s="382">
        <f>AA94* Pile!$U$24</f>
        <v>0</v>
      </c>
      <c r="AH94" s="382">
        <f t="shared" si="4"/>
        <v>57.255526111673987</v>
      </c>
      <c r="AI94" s="382">
        <f>AH94/ 'Pile Data and Eurocode Factors'!$C$14/ 'Pile Data and Eurocode Factors'!$C$15</f>
        <v>20.448402182740711</v>
      </c>
      <c r="AJ94" s="382">
        <f t="shared" si="5"/>
        <v>115.13657197934532</v>
      </c>
      <c r="AK94" s="382">
        <f>VLOOKUP(Y94, 'Pile Data and Eurocode Factors'!$A$34:$J$39,3, FALSE)</f>
        <v>2366.1761868507956</v>
      </c>
      <c r="AL94" s="403">
        <f t="shared" si="6"/>
        <v>115.13657197934532</v>
      </c>
      <c r="AM94" s="419">
        <v>600</v>
      </c>
      <c r="AN94" s="382">
        <f>PI()*AM94/1000*( Pile!$C$24- Pile!$C94)</f>
        <v>2.8274333882308103</v>
      </c>
      <c r="AO94" s="382">
        <f t="shared" si="7"/>
        <v>0.28274333882308139</v>
      </c>
      <c r="AP94" s="382">
        <f t="shared" si="54"/>
        <v>56.548667764616205</v>
      </c>
      <c r="AQ94" s="382">
        <f>AN94* Pile!$S$24</f>
        <v>0</v>
      </c>
      <c r="AR94" s="382">
        <f t="shared" si="59"/>
        <v>56.548667764616205</v>
      </c>
      <c r="AS94" s="382">
        <f>IF(AR94&gt;0,+AR94)/ 'Pile Data and Eurocode Factors'!$B$14/ 'Pile Data and Eurocode Factors'!$B$15+$AS$89</f>
        <v>126.25089306213945</v>
      </c>
      <c r="AT94" s="382">
        <f t="shared" si="65"/>
        <v>101.7876019763093</v>
      </c>
      <c r="AU94" s="382">
        <f>AO94* Pile!$U$24</f>
        <v>0</v>
      </c>
      <c r="AV94" s="382">
        <f t="shared" si="8"/>
        <v>101.7876019763093</v>
      </c>
      <c r="AW94" s="382">
        <f>AV94/ 'Pile Data and Eurocode Factors'!$C$14/ 'Pile Data and Eurocode Factors'!$C$15</f>
        <v>36.352714991539038</v>
      </c>
      <c r="AX94" s="382">
        <f t="shared" si="9"/>
        <v>162.6036080536785</v>
      </c>
      <c r="AY94" s="382">
        <f>VLOOKUP(AM94, 'Pile Data and Eurocode Factors'!$A$34:$J$39,3, FALSE)</f>
        <v>4206.5354432903041</v>
      </c>
      <c r="AZ94" s="403">
        <f t="shared" si="10"/>
        <v>162.6036080536785</v>
      </c>
      <c r="BA94" s="419">
        <v>750</v>
      </c>
      <c r="BB94" s="382">
        <f>PI()*BA94/1000*( Pile!$C$24- Pile!$C94)</f>
        <v>3.5342917352885124</v>
      </c>
      <c r="BC94" s="382">
        <f t="shared" si="11"/>
        <v>0.44178646691106466</v>
      </c>
      <c r="BD94" s="382">
        <f t="shared" si="55"/>
        <v>70.685834705770247</v>
      </c>
      <c r="BE94" s="382">
        <f>BB94* Pile!$S$24</f>
        <v>0</v>
      </c>
      <c r="BF94" s="382">
        <f t="shared" si="60"/>
        <v>70.685834705770247</v>
      </c>
      <c r="BG94" s="382">
        <f>IF(BF94&gt;0,+BF94)/ 'Pile Data and Eurocode Factors'!$B$14/ 'Pile Data and Eurocode Factors'!$B$15+$BG$89</f>
        <v>157.81361632767431</v>
      </c>
      <c r="BH94" s="382">
        <f t="shared" si="66"/>
        <v>159.04312808798326</v>
      </c>
      <c r="BI94" s="382">
        <f>BC94* Pile!$U$24</f>
        <v>0</v>
      </c>
      <c r="BJ94" s="382">
        <f t="shared" si="12"/>
        <v>159.04312808798326</v>
      </c>
      <c r="BK94" s="382">
        <f>BJ94/ 'Pile Data and Eurocode Factors'!$C$14/ 'Pile Data and Eurocode Factors'!$C$15</f>
        <v>56.801117174279739</v>
      </c>
      <c r="BL94" s="382">
        <f t="shared" si="13"/>
        <v>214.61473350195405</v>
      </c>
      <c r="BM94" s="382">
        <f>VLOOKUP(BA94, 'Pile Data and Eurocode Factors'!$A$34:$J$39,3, FALSE)</f>
        <v>6572.7116301410997</v>
      </c>
      <c r="BN94" s="403">
        <f t="shared" si="14"/>
        <v>214.61473350195405</v>
      </c>
      <c r="BO94" s="419">
        <v>900</v>
      </c>
      <c r="BP94" s="382">
        <f>PI()*BO94/1000*( Pile!$C$24- Pile!$C94)</f>
        <v>4.2411500823462154</v>
      </c>
      <c r="BQ94" s="382">
        <f t="shared" si="15"/>
        <v>0.63617251235193317</v>
      </c>
      <c r="BR94" s="382">
        <f t="shared" si="56"/>
        <v>84.823001646924311</v>
      </c>
      <c r="BS94" s="382">
        <f>BP94* Pile!$S$24</f>
        <v>0</v>
      </c>
      <c r="BT94" s="382">
        <f t="shared" si="61"/>
        <v>84.823001646924311</v>
      </c>
      <c r="BU94" s="382">
        <f>IF(BT94&gt;0,+BT94)/ 'Pile Data and Eurocode Factors'!$B$14/ 'Pile Data and Eurocode Factors'!$B$15+$BU$89</f>
        <v>189.37633959320922</v>
      </c>
      <c r="BV94" s="382">
        <f t="shared" si="67"/>
        <v>229.02210444669595</v>
      </c>
      <c r="BW94" s="382">
        <f>BQ94* Pile!$U$24</f>
        <v>0</v>
      </c>
      <c r="BX94" s="382">
        <f t="shared" si="16"/>
        <v>229.02210444669595</v>
      </c>
      <c r="BY94" s="382">
        <f>BX94/ 'Pile Data and Eurocode Factors'!$C$14/ 'Pile Data and Eurocode Factors'!$C$15</f>
        <v>81.793608730962845</v>
      </c>
      <c r="BZ94" s="382">
        <f t="shared" si="17"/>
        <v>271.16994832417208</v>
      </c>
      <c r="CA94" s="382">
        <f>VLOOKUP(BO94, 'Pile Data and Eurocode Factors'!$A$34:$J$39,3, FALSE)</f>
        <v>9464.7047474031824</v>
      </c>
      <c r="CB94" s="403">
        <f t="shared" si="18"/>
        <v>271.16994832417208</v>
      </c>
      <c r="CC94" s="419">
        <v>1050</v>
      </c>
      <c r="CD94" s="382">
        <f>PI()*CC94/1000*( Pile!$C$24- Pile!$C94)</f>
        <v>4.9480084294039175</v>
      </c>
      <c r="CE94" s="382">
        <f t="shared" si="19"/>
        <v>0.86590147514568672</v>
      </c>
      <c r="CF94" s="382">
        <f t="shared" si="57"/>
        <v>98.960168588078346</v>
      </c>
      <c r="CG94" s="382">
        <f>CD94* Pile!$S$24</f>
        <v>0</v>
      </c>
      <c r="CH94" s="382">
        <f t="shared" si="68"/>
        <v>98.960168588078346</v>
      </c>
      <c r="CI94" s="382">
        <f>IF(CH94&gt;0,+CH94)/ 'Pile Data and Eurocode Factors'!$B$14/ 'Pile Data and Eurocode Factors'!$B$15+$CI$89</f>
        <v>220.93906285874402</v>
      </c>
      <c r="CJ94" s="382">
        <f t="shared" si="69"/>
        <v>311.72453105244722</v>
      </c>
      <c r="CK94" s="382">
        <f>CE94* Pile!$U$24</f>
        <v>0</v>
      </c>
      <c r="CL94" s="382">
        <f t="shared" si="20"/>
        <v>311.72453105244722</v>
      </c>
      <c r="CM94" s="382">
        <f>CL94/ 'Pile Data and Eurocode Factors'!$C$14/ 'Pile Data and Eurocode Factors'!$C$15</f>
        <v>111.33018966158829</v>
      </c>
      <c r="CN94" s="382">
        <f t="shared" si="21"/>
        <v>332.26925252033232</v>
      </c>
      <c r="CO94" s="382">
        <f>VLOOKUP(CC94, 'Pile Data and Eurocode Factors'!$A$34:$J$39,3, FALSE)</f>
        <v>12882.514795076555</v>
      </c>
      <c r="CP94" s="403">
        <f t="shared" si="22"/>
        <v>332.26925252033232</v>
      </c>
      <c r="CQ94" s="419">
        <v>1200</v>
      </c>
      <c r="CR94" s="382">
        <f>PI()*CQ94/1000*( Pile!$C$24- Pile!$C94)</f>
        <v>5.6548667764616205</v>
      </c>
      <c r="CS94" s="382">
        <f t="shared" si="23"/>
        <v>1.1309733552923256</v>
      </c>
      <c r="CT94" s="382">
        <f t="shared" si="58"/>
        <v>113.09733552923241</v>
      </c>
      <c r="CU94" s="382">
        <f>CR94* Pile!$S$24</f>
        <v>0</v>
      </c>
      <c r="CV94" s="382">
        <f t="shared" si="70"/>
        <v>113.09733552923241</v>
      </c>
      <c r="CW94" s="382">
        <f>IF(CV94&gt;0,+CV94)/ 'Pile Data and Eurocode Factors'!$B$14/ 'Pile Data and Eurocode Factors'!$B$15+$CW$89</f>
        <v>252.50178612427891</v>
      </c>
      <c r="CX94" s="382">
        <f t="shared" si="71"/>
        <v>407.15040790523722</v>
      </c>
      <c r="CY94" s="382">
        <f>CS94* Pile!$U$24</f>
        <v>0</v>
      </c>
      <c r="CZ94" s="382">
        <f t="shared" si="24"/>
        <v>407.15040790523722</v>
      </c>
      <c r="DA94" s="382">
        <f>CZ94/ 'Pile Data and Eurocode Factors'!$C$14/ 'Pile Data and Eurocode Factors'!$C$15</f>
        <v>145.41085996615615</v>
      </c>
      <c r="DB94" s="382">
        <f t="shared" si="25"/>
        <v>397.91264609043503</v>
      </c>
      <c r="DC94" s="382">
        <f>VLOOKUP(CQ94, 'Pile Data and Eurocode Factors'!$A$34:$J$39,3, FALSE)</f>
        <v>16826.141773161216</v>
      </c>
      <c r="DD94" s="403">
        <f t="shared" si="26"/>
        <v>397.91264609043503</v>
      </c>
      <c r="DE94" s="420">
        <f xml:space="preserve"> Pile!$C$23- Pile!C94</f>
        <v>7.4999999999999982</v>
      </c>
      <c r="DG94" s="382">
        <f t="shared" si="52"/>
        <v>115.13657197934532</v>
      </c>
      <c r="DH94" s="382">
        <f t="shared" si="27"/>
        <v>162.6036080536785</v>
      </c>
      <c r="DI94" s="382">
        <f t="shared" si="28"/>
        <v>214.61473350195405</v>
      </c>
      <c r="DJ94" s="382">
        <f t="shared" si="29"/>
        <v>271.16994832417208</v>
      </c>
      <c r="DK94" s="382">
        <f t="shared" si="30"/>
        <v>332.26925252033232</v>
      </c>
      <c r="DL94" s="382">
        <f t="shared" si="53"/>
        <v>397.91264609043503</v>
      </c>
    </row>
    <row r="95" spans="2:116" s="308" customFormat="1" ht="15">
      <c r="B95" s="400">
        <v>6</v>
      </c>
      <c r="C95" s="401">
        <f>+C94- Pile!D$24/20</f>
        <v>-1.799999999999998</v>
      </c>
      <c r="D95" s="415" t="str">
        <f>B24</f>
        <v>Firm Clay</v>
      </c>
      <c r="E95" s="415" t="str">
        <f>F24</f>
        <v>Cohesive</v>
      </c>
      <c r="F95" s="401">
        <f xml:space="preserve"> Pile!$E$24*(C94-C95)+F94</f>
        <v>132.29999999999995</v>
      </c>
      <c r="G95" s="401">
        <f>IF(C95&gt; Pile!$C$28,0,( Pile!$C$28-C95)*9.81)</f>
        <v>0</v>
      </c>
      <c r="H95" s="401">
        <f t="shared" si="0"/>
        <v>132.29999999999995</v>
      </c>
      <c r="I95" s="401">
        <f t="shared" si="64"/>
        <v>115.64999999999996</v>
      </c>
      <c r="J95" s="401">
        <f>IF(E95="Cohesive",(( Pile!$H$24- Pile!$G$24)/20)+J94,0)</f>
        <v>40</v>
      </c>
      <c r="K95" s="401">
        <f>IF(E95="Cohesive",( Pile!$G$24+ Pile!$J95)/2,0)</f>
        <v>40</v>
      </c>
      <c r="L95" s="401">
        <f>IF( Pile!I$24="",0, Pile!I$24)</f>
        <v>0.5</v>
      </c>
      <c r="M95" s="401">
        <f>IF( Pile!J$24="",0, Pile!J$24)</f>
        <v>9</v>
      </c>
      <c r="N95" s="401">
        <f>IF(E95="Granular", Pile!$K$24,0)</f>
        <v>0</v>
      </c>
      <c r="O95" s="416">
        <f>IF(AND(E95="Granular",D95&lt;&gt;"Made Ground"), Pile!$L$24,0)</f>
        <v>0</v>
      </c>
      <c r="P95" s="401">
        <f>IF(OR(D95="Low Density Chalk",D95="Medium Density Chalk"), Pile!$M$24,0)</f>
        <v>0</v>
      </c>
      <c r="Q95" s="417">
        <f>IF(D95="High Density Chalk", Pile!$N$24,0)</f>
        <v>0</v>
      </c>
      <c r="R95" s="401">
        <f>IF( Pile!O$24="",0, Pile!O$24)</f>
        <v>0</v>
      </c>
      <c r="S95" s="418">
        <f t="shared" si="31"/>
        <v>20</v>
      </c>
      <c r="T95" s="382">
        <f xml:space="preserve"> Pile!$T$24</f>
        <v>100</v>
      </c>
      <c r="U95" s="382">
        <f t="shared" si="32"/>
        <v>20</v>
      </c>
      <c r="V95" s="382">
        <f t="shared" si="2"/>
        <v>360</v>
      </c>
      <c r="W95" s="382" t="str">
        <f xml:space="preserve"> Pile!$V$24</f>
        <v/>
      </c>
      <c r="X95" s="382">
        <f t="shared" si="33"/>
        <v>360</v>
      </c>
      <c r="Y95" s="419">
        <v>450</v>
      </c>
      <c r="Z95" s="382">
        <f>PI()*Y95/1000*( Pile!$C$24- Pile!$C95)</f>
        <v>2.5446900494077296</v>
      </c>
      <c r="AA95" s="382">
        <f t="shared" si="3"/>
        <v>0.15904312808798329</v>
      </c>
      <c r="AB95" s="382">
        <f t="shared" si="34"/>
        <v>50.893800988154595</v>
      </c>
      <c r="AC95" s="382">
        <f>Z95* Pile!$S$24</f>
        <v>0</v>
      </c>
      <c r="AD95" s="382">
        <f t="shared" si="35"/>
        <v>50.893800988154595</v>
      </c>
      <c r="AE95" s="382">
        <f>IF(AD95&gt;0,+AD95)/ 'Pile Data and Eurocode Factors'!$B$14/ 'Pile Data and Eurocode Factors'!$B$15+$AE$89</f>
        <v>98.474910941556601</v>
      </c>
      <c r="AF95" s="382">
        <f t="shared" si="36"/>
        <v>57.255526111673987</v>
      </c>
      <c r="AG95" s="382">
        <f>AA95* Pile!$U$24</f>
        <v>0</v>
      </c>
      <c r="AH95" s="382">
        <f t="shared" si="4"/>
        <v>57.255526111673987</v>
      </c>
      <c r="AI95" s="382">
        <f>AH95/ 'Pile Data and Eurocode Factors'!$C$14/ 'Pile Data and Eurocode Factors'!$C$15</f>
        <v>20.448402182740711</v>
      </c>
      <c r="AJ95" s="382">
        <f t="shared" si="5"/>
        <v>118.92331312429731</v>
      </c>
      <c r="AK95" s="382">
        <f>VLOOKUP(Y95, 'Pile Data and Eurocode Factors'!$A$34:$J$39,3, FALSE)</f>
        <v>2366.1761868507956</v>
      </c>
      <c r="AL95" s="403">
        <f t="shared" si="6"/>
        <v>118.92331312429731</v>
      </c>
      <c r="AM95" s="419">
        <v>600</v>
      </c>
      <c r="AN95" s="382">
        <f>PI()*AM95/1000*( Pile!$C$24- Pile!$C95)</f>
        <v>3.3929200658769729</v>
      </c>
      <c r="AO95" s="382">
        <f t="shared" si="7"/>
        <v>0.28274333882308139</v>
      </c>
      <c r="AP95" s="382">
        <f t="shared" si="54"/>
        <v>67.85840131753946</v>
      </c>
      <c r="AQ95" s="382">
        <f>AN95* Pile!$S$24</f>
        <v>0</v>
      </c>
      <c r="AR95" s="382">
        <f t="shared" si="59"/>
        <v>67.85840131753946</v>
      </c>
      <c r="AS95" s="382">
        <f>IF(AR95&gt;0,+AR95)/ 'Pile Data and Eurocode Factors'!$B$14/ 'Pile Data and Eurocode Factors'!$B$15+$AS$89</f>
        <v>131.29988125540876</v>
      </c>
      <c r="AT95" s="382">
        <f t="shared" si="65"/>
        <v>101.7876019763093</v>
      </c>
      <c r="AU95" s="382">
        <f>AO95* Pile!$U$24</f>
        <v>0</v>
      </c>
      <c r="AV95" s="382">
        <f t="shared" si="8"/>
        <v>101.7876019763093</v>
      </c>
      <c r="AW95" s="382">
        <f>AV95/ 'Pile Data and Eurocode Factors'!$C$14/ 'Pile Data and Eurocode Factors'!$C$15</f>
        <v>36.352714991539038</v>
      </c>
      <c r="AX95" s="382">
        <f t="shared" si="9"/>
        <v>167.65259624694781</v>
      </c>
      <c r="AY95" s="382">
        <f>VLOOKUP(AM95, 'Pile Data and Eurocode Factors'!$A$34:$J$39,3, FALSE)</f>
        <v>4206.5354432903041</v>
      </c>
      <c r="AZ95" s="403">
        <f t="shared" si="10"/>
        <v>167.65259624694781</v>
      </c>
      <c r="BA95" s="419">
        <v>750</v>
      </c>
      <c r="BB95" s="382">
        <f>PI()*BA95/1000*( Pile!$C$24- Pile!$C95)</f>
        <v>4.2411500823462163</v>
      </c>
      <c r="BC95" s="382">
        <f t="shared" si="11"/>
        <v>0.44178646691106466</v>
      </c>
      <c r="BD95" s="382">
        <f t="shared" si="55"/>
        <v>84.823001646924325</v>
      </c>
      <c r="BE95" s="382">
        <f>BB95* Pile!$S$24</f>
        <v>0</v>
      </c>
      <c r="BF95" s="382">
        <f t="shared" si="60"/>
        <v>84.823001646924325</v>
      </c>
      <c r="BG95" s="382">
        <f>IF(BF95&gt;0,+BF95)/ 'Pile Data and Eurocode Factors'!$B$14/ 'Pile Data and Eurocode Factors'!$B$15+$BG$89</f>
        <v>164.12485156926095</v>
      </c>
      <c r="BH95" s="382">
        <f t="shared" si="66"/>
        <v>159.04312808798326</v>
      </c>
      <c r="BI95" s="382">
        <f>BC95* Pile!$U$24</f>
        <v>0</v>
      </c>
      <c r="BJ95" s="382">
        <f t="shared" si="12"/>
        <v>159.04312808798326</v>
      </c>
      <c r="BK95" s="382">
        <f>BJ95/ 'Pile Data and Eurocode Factors'!$C$14/ 'Pile Data and Eurocode Factors'!$C$15</f>
        <v>56.801117174279739</v>
      </c>
      <c r="BL95" s="382">
        <f t="shared" si="13"/>
        <v>220.92596874354069</v>
      </c>
      <c r="BM95" s="382">
        <f>VLOOKUP(BA95, 'Pile Data and Eurocode Factors'!$A$34:$J$39,3, FALSE)</f>
        <v>6572.7116301410997</v>
      </c>
      <c r="BN95" s="403">
        <f t="shared" si="14"/>
        <v>220.92596874354069</v>
      </c>
      <c r="BO95" s="419">
        <v>900</v>
      </c>
      <c r="BP95" s="382">
        <f>PI()*BO95/1000*( Pile!$C$24- Pile!$C95)</f>
        <v>5.0893800988154592</v>
      </c>
      <c r="BQ95" s="382">
        <f t="shared" si="15"/>
        <v>0.63617251235193317</v>
      </c>
      <c r="BR95" s="382">
        <f t="shared" si="56"/>
        <v>101.78760197630919</v>
      </c>
      <c r="BS95" s="382">
        <f>BP95* Pile!$S$24</f>
        <v>0</v>
      </c>
      <c r="BT95" s="382">
        <f t="shared" si="61"/>
        <v>101.78760197630919</v>
      </c>
      <c r="BU95" s="382">
        <f>IF(BT95&gt;0,+BT95)/ 'Pile Data and Eurocode Factors'!$B$14/ 'Pile Data and Eurocode Factors'!$B$15+$BU$89</f>
        <v>196.9498218831132</v>
      </c>
      <c r="BV95" s="382">
        <f t="shared" si="67"/>
        <v>229.02210444669595</v>
      </c>
      <c r="BW95" s="382">
        <f>BQ95* Pile!$U$24</f>
        <v>0</v>
      </c>
      <c r="BX95" s="382">
        <f t="shared" si="16"/>
        <v>229.02210444669595</v>
      </c>
      <c r="BY95" s="382">
        <f>BX95/ 'Pile Data and Eurocode Factors'!$C$14/ 'Pile Data and Eurocode Factors'!$C$15</f>
        <v>81.793608730962845</v>
      </c>
      <c r="BZ95" s="382">
        <f t="shared" si="17"/>
        <v>278.74343061407603</v>
      </c>
      <c r="CA95" s="382">
        <f>VLOOKUP(BO95, 'Pile Data and Eurocode Factors'!$A$34:$J$39,3, FALSE)</f>
        <v>9464.7047474031824</v>
      </c>
      <c r="CB95" s="403">
        <f t="shared" si="18"/>
        <v>278.74343061407603</v>
      </c>
      <c r="CC95" s="419">
        <v>1050</v>
      </c>
      <c r="CD95" s="382">
        <f>PI()*CC95/1000*( Pile!$C$24- Pile!$C95)</f>
        <v>5.9376101152847029</v>
      </c>
      <c r="CE95" s="382">
        <f t="shared" si="19"/>
        <v>0.86590147514568672</v>
      </c>
      <c r="CF95" s="382">
        <f t="shared" si="57"/>
        <v>118.75220230569406</v>
      </c>
      <c r="CG95" s="382">
        <f>CD95* Pile!$S$24</f>
        <v>0</v>
      </c>
      <c r="CH95" s="382">
        <f t="shared" si="68"/>
        <v>118.75220230569406</v>
      </c>
      <c r="CI95" s="382">
        <f>IF(CH95&gt;0,+CH95)/ 'Pile Data and Eurocode Factors'!$B$14/ 'Pile Data and Eurocode Factors'!$B$15+$CI$89</f>
        <v>229.77479219696534</v>
      </c>
      <c r="CJ95" s="382">
        <f t="shared" si="69"/>
        <v>311.72453105244722</v>
      </c>
      <c r="CK95" s="382">
        <f>CE95* Pile!$U$24</f>
        <v>0</v>
      </c>
      <c r="CL95" s="382">
        <f t="shared" si="20"/>
        <v>311.72453105244722</v>
      </c>
      <c r="CM95" s="382">
        <f>CL95/ 'Pile Data and Eurocode Factors'!$C$14/ 'Pile Data and Eurocode Factors'!$C$15</f>
        <v>111.33018966158829</v>
      </c>
      <c r="CN95" s="382">
        <f t="shared" si="21"/>
        <v>341.10498185855363</v>
      </c>
      <c r="CO95" s="382">
        <f>VLOOKUP(CC95, 'Pile Data and Eurocode Factors'!$A$34:$J$39,3, FALSE)</f>
        <v>12882.514795076555</v>
      </c>
      <c r="CP95" s="403">
        <f t="shared" si="22"/>
        <v>341.10498185855363</v>
      </c>
      <c r="CQ95" s="419">
        <v>1200</v>
      </c>
      <c r="CR95" s="382">
        <f>PI()*CQ95/1000*( Pile!$C$24- Pile!$C95)</f>
        <v>6.7858401317539458</v>
      </c>
      <c r="CS95" s="382">
        <f t="shared" si="23"/>
        <v>1.1309733552923256</v>
      </c>
      <c r="CT95" s="382">
        <f t="shared" si="58"/>
        <v>135.71680263507892</v>
      </c>
      <c r="CU95" s="382">
        <f>CR95* Pile!$S$24</f>
        <v>0</v>
      </c>
      <c r="CV95" s="382">
        <f t="shared" si="70"/>
        <v>135.71680263507892</v>
      </c>
      <c r="CW95" s="382">
        <f>IF(CV95&gt;0,+CV95)/ 'Pile Data and Eurocode Factors'!$B$14/ 'Pile Data and Eurocode Factors'!$B$15+$CW$89</f>
        <v>262.59976251081753</v>
      </c>
      <c r="CX95" s="382">
        <f t="shared" si="71"/>
        <v>407.15040790523722</v>
      </c>
      <c r="CY95" s="382">
        <f>CS95* Pile!$U$24</f>
        <v>0</v>
      </c>
      <c r="CZ95" s="382">
        <f t="shared" si="24"/>
        <v>407.15040790523722</v>
      </c>
      <c r="DA95" s="382">
        <f>CZ95/ 'Pile Data and Eurocode Factors'!$C$14/ 'Pile Data and Eurocode Factors'!$C$15</f>
        <v>145.41085996615615</v>
      </c>
      <c r="DB95" s="382">
        <f t="shared" si="25"/>
        <v>408.01062247697371</v>
      </c>
      <c r="DC95" s="382">
        <f>VLOOKUP(CQ95, 'Pile Data and Eurocode Factors'!$A$34:$J$39,3, FALSE)</f>
        <v>16826.141773161216</v>
      </c>
      <c r="DD95" s="403">
        <f t="shared" si="26"/>
        <v>408.01062247697371</v>
      </c>
      <c r="DE95" s="420">
        <f xml:space="preserve"> Pile!$C$23- Pile!C95</f>
        <v>7.799999999999998</v>
      </c>
      <c r="DG95" s="382">
        <f t="shared" si="52"/>
        <v>118.92331312429731</v>
      </c>
      <c r="DH95" s="382">
        <f t="shared" si="27"/>
        <v>167.65259624694781</v>
      </c>
      <c r="DI95" s="382">
        <f t="shared" si="28"/>
        <v>220.92596874354069</v>
      </c>
      <c r="DJ95" s="382">
        <f t="shared" si="29"/>
        <v>278.74343061407603</v>
      </c>
      <c r="DK95" s="382">
        <f t="shared" si="30"/>
        <v>341.10498185855363</v>
      </c>
      <c r="DL95" s="382">
        <f t="shared" si="53"/>
        <v>408.01062247697371</v>
      </c>
    </row>
    <row r="96" spans="2:116" s="308" customFormat="1" ht="15">
      <c r="B96" s="400">
        <v>7</v>
      </c>
      <c r="C96" s="401">
        <f>+C95- Pile!D$24/20</f>
        <v>-2.0999999999999979</v>
      </c>
      <c r="D96" s="415" t="str">
        <f>B24</f>
        <v>Firm Clay</v>
      </c>
      <c r="E96" s="415" t="str">
        <f>F24</f>
        <v>Cohesive</v>
      </c>
      <c r="F96" s="401">
        <f xml:space="preserve"> Pile!$E$24*(C95-C96)+F95</f>
        <v>137.84999999999997</v>
      </c>
      <c r="G96" s="401">
        <f>IF(C96&gt; Pile!$C$28,0,( Pile!$C$28-C96)*9.81)</f>
        <v>0</v>
      </c>
      <c r="H96" s="401">
        <f t="shared" si="0"/>
        <v>137.84999999999997</v>
      </c>
      <c r="I96" s="401">
        <f t="shared" si="64"/>
        <v>118.42499999999997</v>
      </c>
      <c r="J96" s="401">
        <f>IF(E96="Cohesive",(( Pile!$H$24- Pile!$G$24)/20)+J95,0)</f>
        <v>40</v>
      </c>
      <c r="K96" s="401">
        <f>IF(E96="Cohesive",( Pile!$G$24+ Pile!$J96)/2,0)</f>
        <v>40</v>
      </c>
      <c r="L96" s="401">
        <f>IF( Pile!I$24="",0, Pile!I$24)</f>
        <v>0.5</v>
      </c>
      <c r="M96" s="401">
        <f>IF( Pile!J$24="",0, Pile!J$24)</f>
        <v>9</v>
      </c>
      <c r="N96" s="401">
        <f>IF(E96="Granular", Pile!$K$24,0)</f>
        <v>0</v>
      </c>
      <c r="O96" s="416">
        <f>IF(AND(E96="Granular",D96&lt;&gt;"Made Ground"), Pile!$L$24,0)</f>
        <v>0</v>
      </c>
      <c r="P96" s="401">
        <f>IF(OR(D96="Low Density Chalk",D96="Medium Density Chalk"), Pile!$M$24,0)</f>
        <v>0</v>
      </c>
      <c r="Q96" s="417">
        <f>IF(D96="High Density Chalk", Pile!$N$24,0)</f>
        <v>0</v>
      </c>
      <c r="R96" s="401">
        <f>IF( Pile!O$24="",0, Pile!O$24)</f>
        <v>0</v>
      </c>
      <c r="S96" s="418">
        <f t="shared" si="31"/>
        <v>20</v>
      </c>
      <c r="T96" s="382">
        <f xml:space="preserve"> Pile!$T$24</f>
        <v>100</v>
      </c>
      <c r="U96" s="382">
        <f t="shared" si="32"/>
        <v>20</v>
      </c>
      <c r="V96" s="382">
        <f t="shared" si="2"/>
        <v>360</v>
      </c>
      <c r="W96" s="382" t="str">
        <f xml:space="preserve"> Pile!$V$24</f>
        <v/>
      </c>
      <c r="X96" s="382">
        <f t="shared" si="33"/>
        <v>360</v>
      </c>
      <c r="Y96" s="419">
        <v>450</v>
      </c>
      <c r="Z96" s="382">
        <f>PI()*Y96/1000*( Pile!$C$24- Pile!$C96)</f>
        <v>2.9688050576423515</v>
      </c>
      <c r="AA96" s="382">
        <f t="shared" si="3"/>
        <v>0.15904312808798329</v>
      </c>
      <c r="AB96" s="382">
        <f t="shared" si="34"/>
        <v>59.376101152847028</v>
      </c>
      <c r="AC96" s="382">
        <f>Z96* Pile!$S$24</f>
        <v>0</v>
      </c>
      <c r="AD96" s="382">
        <f t="shared" si="35"/>
        <v>59.376101152847028</v>
      </c>
      <c r="AE96" s="382">
        <f>IF(AD96&gt;0,+AD96)/ 'Pile Data and Eurocode Factors'!$B$14/ 'Pile Data and Eurocode Factors'!$B$15+$AE$89</f>
        <v>102.26165208650858</v>
      </c>
      <c r="AF96" s="382">
        <f t="shared" si="36"/>
        <v>57.255526111673987</v>
      </c>
      <c r="AG96" s="382">
        <f>AA96* Pile!$U$24</f>
        <v>0</v>
      </c>
      <c r="AH96" s="382">
        <f t="shared" si="4"/>
        <v>57.255526111673987</v>
      </c>
      <c r="AI96" s="382">
        <f>AH96/ 'Pile Data and Eurocode Factors'!$C$14/ 'Pile Data and Eurocode Factors'!$C$15</f>
        <v>20.448402182740711</v>
      </c>
      <c r="AJ96" s="382">
        <f t="shared" si="5"/>
        <v>122.71005426924928</v>
      </c>
      <c r="AK96" s="382">
        <f>VLOOKUP(Y96, 'Pile Data and Eurocode Factors'!$A$34:$J$39,3, FALSE)</f>
        <v>2366.1761868507956</v>
      </c>
      <c r="AL96" s="403">
        <f t="shared" si="6"/>
        <v>122.71005426924928</v>
      </c>
      <c r="AM96" s="419">
        <v>600</v>
      </c>
      <c r="AN96" s="382">
        <f>PI()*AM96/1000*( Pile!$C$24- Pile!$C96)</f>
        <v>3.9584067435231352</v>
      </c>
      <c r="AO96" s="382">
        <f t="shared" si="7"/>
        <v>0.28274333882308139</v>
      </c>
      <c r="AP96" s="382">
        <f t="shared" si="54"/>
        <v>79.168134870462708</v>
      </c>
      <c r="AQ96" s="382">
        <f>AN96* Pile!$S$24</f>
        <v>0</v>
      </c>
      <c r="AR96" s="382">
        <f t="shared" si="59"/>
        <v>79.168134870462708</v>
      </c>
      <c r="AS96" s="382">
        <f>IF(AR96&gt;0,+AR96)/ 'Pile Data and Eurocode Factors'!$B$14/ 'Pile Data and Eurocode Factors'!$B$15+$AS$89</f>
        <v>136.34886944867807</v>
      </c>
      <c r="AT96" s="382">
        <f t="shared" si="65"/>
        <v>101.7876019763093</v>
      </c>
      <c r="AU96" s="382">
        <f>AO96* Pile!$U$24</f>
        <v>0</v>
      </c>
      <c r="AV96" s="382">
        <f t="shared" si="8"/>
        <v>101.7876019763093</v>
      </c>
      <c r="AW96" s="382">
        <f>AV96/ 'Pile Data and Eurocode Factors'!$C$14/ 'Pile Data and Eurocode Factors'!$C$15</f>
        <v>36.352714991539038</v>
      </c>
      <c r="AX96" s="382">
        <f t="shared" si="9"/>
        <v>172.70158444021712</v>
      </c>
      <c r="AY96" s="382">
        <f>VLOOKUP(AM96, 'Pile Data and Eurocode Factors'!$A$34:$J$39,3, FALSE)</f>
        <v>4206.5354432903041</v>
      </c>
      <c r="AZ96" s="403">
        <f t="shared" si="10"/>
        <v>172.70158444021712</v>
      </c>
      <c r="BA96" s="419">
        <v>750</v>
      </c>
      <c r="BB96" s="382">
        <f>PI()*BA96/1000*( Pile!$C$24- Pile!$C96)</f>
        <v>4.9480084294039193</v>
      </c>
      <c r="BC96" s="382">
        <f t="shared" si="11"/>
        <v>0.44178646691106466</v>
      </c>
      <c r="BD96" s="382">
        <f t="shared" si="55"/>
        <v>98.960168588078389</v>
      </c>
      <c r="BE96" s="382">
        <f>BB96* Pile!$S$24</f>
        <v>0</v>
      </c>
      <c r="BF96" s="382">
        <f t="shared" si="60"/>
        <v>98.960168588078389</v>
      </c>
      <c r="BG96" s="382">
        <f>IF(BF96&gt;0,+BF96)/ 'Pile Data and Eurocode Factors'!$B$14/ 'Pile Data and Eurocode Factors'!$B$15+$BG$89</f>
        <v>170.4360868108476</v>
      </c>
      <c r="BH96" s="382">
        <f t="shared" si="66"/>
        <v>159.04312808798326</v>
      </c>
      <c r="BI96" s="382">
        <f>BC96* Pile!$U$24</f>
        <v>0</v>
      </c>
      <c r="BJ96" s="382">
        <f t="shared" si="12"/>
        <v>159.04312808798326</v>
      </c>
      <c r="BK96" s="382">
        <f>BJ96/ 'Pile Data and Eurocode Factors'!$C$14/ 'Pile Data and Eurocode Factors'!$C$15</f>
        <v>56.801117174279739</v>
      </c>
      <c r="BL96" s="382">
        <f t="shared" si="13"/>
        <v>227.23720398512734</v>
      </c>
      <c r="BM96" s="382">
        <f>VLOOKUP(BA96, 'Pile Data and Eurocode Factors'!$A$34:$J$39,3, FALSE)</f>
        <v>6572.7116301410997</v>
      </c>
      <c r="BN96" s="403">
        <f t="shared" si="14"/>
        <v>227.23720398512734</v>
      </c>
      <c r="BO96" s="419">
        <v>900</v>
      </c>
      <c r="BP96" s="382">
        <f>PI()*BO96/1000*( Pile!$C$24- Pile!$C96)</f>
        <v>5.9376101152847029</v>
      </c>
      <c r="BQ96" s="382">
        <f t="shared" si="15"/>
        <v>0.63617251235193317</v>
      </c>
      <c r="BR96" s="382">
        <f t="shared" si="56"/>
        <v>118.75220230569406</v>
      </c>
      <c r="BS96" s="382">
        <f>BP96* Pile!$S$24</f>
        <v>0</v>
      </c>
      <c r="BT96" s="382">
        <f t="shared" si="61"/>
        <v>118.75220230569406</v>
      </c>
      <c r="BU96" s="382">
        <f>IF(BT96&gt;0,+BT96)/ 'Pile Data and Eurocode Factors'!$B$14/ 'Pile Data and Eurocode Factors'!$B$15+$BU$89</f>
        <v>204.52330417301715</v>
      </c>
      <c r="BV96" s="382">
        <f t="shared" si="67"/>
        <v>229.02210444669595</v>
      </c>
      <c r="BW96" s="382">
        <f>BQ96* Pile!$U$24</f>
        <v>0</v>
      </c>
      <c r="BX96" s="382">
        <f t="shared" si="16"/>
        <v>229.02210444669595</v>
      </c>
      <c r="BY96" s="382">
        <f>BX96/ 'Pile Data and Eurocode Factors'!$C$14/ 'Pile Data and Eurocode Factors'!$C$15</f>
        <v>81.793608730962845</v>
      </c>
      <c r="BZ96" s="382">
        <f t="shared" si="17"/>
        <v>286.31691290397998</v>
      </c>
      <c r="CA96" s="382">
        <f>VLOOKUP(BO96, 'Pile Data and Eurocode Factors'!$A$34:$J$39,3, FALSE)</f>
        <v>9464.7047474031824</v>
      </c>
      <c r="CB96" s="403">
        <f t="shared" si="18"/>
        <v>286.31691290397998</v>
      </c>
      <c r="CC96" s="419">
        <v>1050</v>
      </c>
      <c r="CD96" s="382">
        <f>PI()*CC96/1000*( Pile!$C$24- Pile!$C96)</f>
        <v>6.9272118011654866</v>
      </c>
      <c r="CE96" s="382">
        <f t="shared" si="19"/>
        <v>0.86590147514568672</v>
      </c>
      <c r="CF96" s="382">
        <f t="shared" si="57"/>
        <v>138.54423602330974</v>
      </c>
      <c r="CG96" s="382">
        <f>CD96* Pile!$S$24</f>
        <v>0</v>
      </c>
      <c r="CH96" s="382">
        <f t="shared" si="68"/>
        <v>138.54423602330974</v>
      </c>
      <c r="CI96" s="382">
        <f>IF(CH96&gt;0,+CH96)/ 'Pile Data and Eurocode Factors'!$B$14/ 'Pile Data and Eurocode Factors'!$B$15+$CI$89</f>
        <v>238.61052153518662</v>
      </c>
      <c r="CJ96" s="382">
        <f t="shared" si="69"/>
        <v>311.72453105244722</v>
      </c>
      <c r="CK96" s="382">
        <f>CE96* Pile!$U$24</f>
        <v>0</v>
      </c>
      <c r="CL96" s="382">
        <f t="shared" si="20"/>
        <v>311.72453105244722</v>
      </c>
      <c r="CM96" s="382">
        <f>CL96/ 'Pile Data and Eurocode Factors'!$C$14/ 'Pile Data and Eurocode Factors'!$C$15</f>
        <v>111.33018966158829</v>
      </c>
      <c r="CN96" s="382">
        <f t="shared" si="21"/>
        <v>349.94071119677494</v>
      </c>
      <c r="CO96" s="382">
        <f>VLOOKUP(CC96, 'Pile Data and Eurocode Factors'!$A$34:$J$39,3, FALSE)</f>
        <v>12882.514795076555</v>
      </c>
      <c r="CP96" s="403">
        <f t="shared" si="22"/>
        <v>349.94071119677494</v>
      </c>
      <c r="CQ96" s="419">
        <v>1200</v>
      </c>
      <c r="CR96" s="382">
        <f>PI()*CQ96/1000*( Pile!$C$24- Pile!$C96)</f>
        <v>7.9168134870462703</v>
      </c>
      <c r="CS96" s="382">
        <f t="shared" si="23"/>
        <v>1.1309733552923256</v>
      </c>
      <c r="CT96" s="382">
        <f t="shared" si="58"/>
        <v>158.33626974092542</v>
      </c>
      <c r="CU96" s="382">
        <f>CR96* Pile!$S$24</f>
        <v>0</v>
      </c>
      <c r="CV96" s="382">
        <f t="shared" si="70"/>
        <v>158.33626974092542</v>
      </c>
      <c r="CW96" s="382">
        <f>IF(CV96&gt;0,+CV96)/ 'Pile Data and Eurocode Factors'!$B$14/ 'Pile Data and Eurocode Factors'!$B$15+$CW$89</f>
        <v>272.69773889735615</v>
      </c>
      <c r="CX96" s="382">
        <f t="shared" si="71"/>
        <v>407.15040790523722</v>
      </c>
      <c r="CY96" s="382">
        <f>CS96* Pile!$U$24</f>
        <v>0</v>
      </c>
      <c r="CZ96" s="382">
        <f t="shared" si="24"/>
        <v>407.15040790523722</v>
      </c>
      <c r="DA96" s="382">
        <f>CZ96/ 'Pile Data and Eurocode Factors'!$C$14/ 'Pile Data and Eurocode Factors'!$C$15</f>
        <v>145.41085996615615</v>
      </c>
      <c r="DB96" s="382">
        <f t="shared" si="25"/>
        <v>418.10859886351227</v>
      </c>
      <c r="DC96" s="382">
        <f>VLOOKUP(CQ96, 'Pile Data and Eurocode Factors'!$A$34:$J$39,3, FALSE)</f>
        <v>16826.141773161216</v>
      </c>
      <c r="DD96" s="403">
        <f t="shared" si="26"/>
        <v>418.10859886351227</v>
      </c>
      <c r="DE96" s="420">
        <f xml:space="preserve"> Pile!$C$23- Pile!C96</f>
        <v>8.0999999999999979</v>
      </c>
      <c r="DG96" s="382">
        <f t="shared" si="52"/>
        <v>122.71005426924928</v>
      </c>
      <c r="DH96" s="382">
        <f t="shared" si="27"/>
        <v>172.70158444021712</v>
      </c>
      <c r="DI96" s="382">
        <f t="shared" si="28"/>
        <v>227.23720398512734</v>
      </c>
      <c r="DJ96" s="382">
        <f t="shared" si="29"/>
        <v>286.31691290397998</v>
      </c>
      <c r="DK96" s="382">
        <f t="shared" si="30"/>
        <v>349.94071119677494</v>
      </c>
      <c r="DL96" s="382">
        <f t="shared" si="53"/>
        <v>418.10859886351227</v>
      </c>
    </row>
    <row r="97" spans="1:116" s="308" customFormat="1" ht="15">
      <c r="B97" s="400">
        <v>8</v>
      </c>
      <c r="C97" s="401">
        <f>+C96- Pile!D$24/20</f>
        <v>-2.3999999999999977</v>
      </c>
      <c r="D97" s="415" t="str">
        <f>B24</f>
        <v>Firm Clay</v>
      </c>
      <c r="E97" s="415" t="str">
        <f>F24</f>
        <v>Cohesive</v>
      </c>
      <c r="F97" s="401">
        <f xml:space="preserve"> Pile!$E$24*(C96-C97)+F96</f>
        <v>143.39999999999998</v>
      </c>
      <c r="G97" s="401">
        <f>IF(C97&gt; Pile!$C$28,0,( Pile!$C$28-C97)*9.81)</f>
        <v>0</v>
      </c>
      <c r="H97" s="401">
        <f t="shared" si="0"/>
        <v>143.39999999999998</v>
      </c>
      <c r="I97" s="401">
        <f t="shared" si="64"/>
        <v>121.19999999999997</v>
      </c>
      <c r="J97" s="401">
        <f>IF(E97="Cohesive",(( Pile!$H$24- Pile!$G$24)/20)+J96,0)</f>
        <v>40</v>
      </c>
      <c r="K97" s="401">
        <f>IF(E97="Cohesive",( Pile!$G$24+ Pile!$J97)/2,0)</f>
        <v>40</v>
      </c>
      <c r="L97" s="401">
        <f>IF( Pile!I$24="",0, Pile!I$24)</f>
        <v>0.5</v>
      </c>
      <c r="M97" s="401">
        <f>IF( Pile!J$24="",0, Pile!J$24)</f>
        <v>9</v>
      </c>
      <c r="N97" s="401">
        <f>IF(E97="Granular", Pile!$K$24,0)</f>
        <v>0</v>
      </c>
      <c r="O97" s="416">
        <f>IF(AND(E97="Granular",D97&lt;&gt;"Made Ground"), Pile!$L$24,0)</f>
        <v>0</v>
      </c>
      <c r="P97" s="401">
        <f>IF(OR(D97="Low Density Chalk",D97="Medium Density Chalk"), Pile!$M$24,0)</f>
        <v>0</v>
      </c>
      <c r="Q97" s="417">
        <f>IF(D97="High Density Chalk", Pile!$N$24,0)</f>
        <v>0</v>
      </c>
      <c r="R97" s="401">
        <f>IF( Pile!O$24="",0, Pile!O$24)</f>
        <v>0</v>
      </c>
      <c r="S97" s="418">
        <f t="shared" si="31"/>
        <v>20</v>
      </c>
      <c r="T97" s="382">
        <f xml:space="preserve"> Pile!$T$24</f>
        <v>100</v>
      </c>
      <c r="U97" s="382">
        <f t="shared" si="32"/>
        <v>20</v>
      </c>
      <c r="V97" s="382">
        <f t="shared" si="2"/>
        <v>360</v>
      </c>
      <c r="W97" s="382" t="str">
        <f xml:space="preserve"> Pile!$V$24</f>
        <v/>
      </c>
      <c r="X97" s="382">
        <f t="shared" si="33"/>
        <v>360</v>
      </c>
      <c r="Y97" s="419">
        <v>450</v>
      </c>
      <c r="Z97" s="382">
        <f>PI()*Y97/1000*( Pile!$C$24- Pile!$C97)</f>
        <v>3.3929200658769734</v>
      </c>
      <c r="AA97" s="382">
        <f t="shared" si="3"/>
        <v>0.15904312808798329</v>
      </c>
      <c r="AB97" s="382">
        <f t="shared" si="34"/>
        <v>67.85840131753946</v>
      </c>
      <c r="AC97" s="382">
        <f>Z97* Pile!$S$24</f>
        <v>0</v>
      </c>
      <c r="AD97" s="382">
        <f t="shared" si="35"/>
        <v>67.85840131753946</v>
      </c>
      <c r="AE97" s="382">
        <f>IF(AD97&gt;0,+AD97)/ 'Pile Data and Eurocode Factors'!$B$14/ 'Pile Data and Eurocode Factors'!$B$15+$AE$89</f>
        <v>106.04839323146055</v>
      </c>
      <c r="AF97" s="382">
        <f t="shared" si="36"/>
        <v>57.255526111673987</v>
      </c>
      <c r="AG97" s="382">
        <f>AA97* Pile!$U$24</f>
        <v>0</v>
      </c>
      <c r="AH97" s="382">
        <f t="shared" si="4"/>
        <v>57.255526111673987</v>
      </c>
      <c r="AI97" s="382">
        <f>AH97/ 'Pile Data and Eurocode Factors'!$C$14/ 'Pile Data and Eurocode Factors'!$C$15</f>
        <v>20.448402182740711</v>
      </c>
      <c r="AJ97" s="382">
        <f t="shared" si="5"/>
        <v>126.49679541420126</v>
      </c>
      <c r="AK97" s="382">
        <f>VLOOKUP(Y97, 'Pile Data and Eurocode Factors'!$A$34:$J$39,3, FALSE)</f>
        <v>2366.1761868507956</v>
      </c>
      <c r="AL97" s="403">
        <f t="shared" si="6"/>
        <v>126.49679541420126</v>
      </c>
      <c r="AM97" s="419">
        <v>600</v>
      </c>
      <c r="AN97" s="382">
        <f>PI()*AM97/1000*( Pile!$C$24- Pile!$C97)</f>
        <v>4.5238934211692978</v>
      </c>
      <c r="AO97" s="382">
        <f t="shared" si="7"/>
        <v>0.28274333882308139</v>
      </c>
      <c r="AP97" s="382">
        <f t="shared" si="54"/>
        <v>90.477868423385956</v>
      </c>
      <c r="AQ97" s="382">
        <f>AN97* Pile!$S$24</f>
        <v>0</v>
      </c>
      <c r="AR97" s="382">
        <f t="shared" si="59"/>
        <v>90.477868423385956</v>
      </c>
      <c r="AS97" s="382">
        <f>IF(AR97&gt;0,+AR97)/ 'Pile Data and Eurocode Factors'!$B$14/ 'Pile Data and Eurocode Factors'!$B$15+$AS$89</f>
        <v>141.39785764194738</v>
      </c>
      <c r="AT97" s="382">
        <f t="shared" si="65"/>
        <v>101.7876019763093</v>
      </c>
      <c r="AU97" s="382">
        <f>AO97* Pile!$U$24</f>
        <v>0</v>
      </c>
      <c r="AV97" s="382">
        <f t="shared" si="8"/>
        <v>101.7876019763093</v>
      </c>
      <c r="AW97" s="382">
        <f>AV97/ 'Pile Data and Eurocode Factors'!$C$14/ 'Pile Data and Eurocode Factors'!$C$15</f>
        <v>36.352714991539038</v>
      </c>
      <c r="AX97" s="382">
        <f t="shared" si="9"/>
        <v>177.75057263348643</v>
      </c>
      <c r="AY97" s="382">
        <f>VLOOKUP(AM97, 'Pile Data and Eurocode Factors'!$A$34:$J$39,3, FALSE)</f>
        <v>4206.5354432903041</v>
      </c>
      <c r="AZ97" s="403">
        <f t="shared" si="10"/>
        <v>177.75057263348643</v>
      </c>
      <c r="BA97" s="419">
        <v>750</v>
      </c>
      <c r="BB97" s="382">
        <f>PI()*BA97/1000*( Pile!$C$24- Pile!$C97)</f>
        <v>5.6548667764616223</v>
      </c>
      <c r="BC97" s="382">
        <f t="shared" si="11"/>
        <v>0.44178646691106466</v>
      </c>
      <c r="BD97" s="382">
        <f t="shared" si="55"/>
        <v>113.09733552923245</v>
      </c>
      <c r="BE97" s="382">
        <f>BB97* Pile!$S$24</f>
        <v>0</v>
      </c>
      <c r="BF97" s="382">
        <f t="shared" si="60"/>
        <v>113.09733552923245</v>
      </c>
      <c r="BG97" s="382">
        <f>IF(BF97&gt;0,+BF97)/ 'Pile Data and Eurocode Factors'!$B$14/ 'Pile Data and Eurocode Factors'!$B$15+$BG$89</f>
        <v>176.74732205243424</v>
      </c>
      <c r="BH97" s="382">
        <f t="shared" si="66"/>
        <v>159.04312808798326</v>
      </c>
      <c r="BI97" s="382">
        <f>BC97* Pile!$U$24</f>
        <v>0</v>
      </c>
      <c r="BJ97" s="382">
        <f t="shared" si="12"/>
        <v>159.04312808798326</v>
      </c>
      <c r="BK97" s="382">
        <f>BJ97/ 'Pile Data and Eurocode Factors'!$C$14/ 'Pile Data and Eurocode Factors'!$C$15</f>
        <v>56.801117174279739</v>
      </c>
      <c r="BL97" s="382">
        <f t="shared" si="13"/>
        <v>233.54843922671398</v>
      </c>
      <c r="BM97" s="382">
        <f>VLOOKUP(BA97, 'Pile Data and Eurocode Factors'!$A$34:$J$39,3, FALSE)</f>
        <v>6572.7116301410997</v>
      </c>
      <c r="BN97" s="403">
        <f t="shared" si="14"/>
        <v>233.54843922671398</v>
      </c>
      <c r="BO97" s="419">
        <v>900</v>
      </c>
      <c r="BP97" s="382">
        <f>PI()*BO97/1000*( Pile!$C$24- Pile!$C97)</f>
        <v>6.7858401317539467</v>
      </c>
      <c r="BQ97" s="382">
        <f t="shared" si="15"/>
        <v>0.63617251235193317</v>
      </c>
      <c r="BR97" s="382">
        <f t="shared" si="56"/>
        <v>135.71680263507892</v>
      </c>
      <c r="BS97" s="382">
        <f>BP97* Pile!$S$24</f>
        <v>0</v>
      </c>
      <c r="BT97" s="382">
        <f t="shared" si="61"/>
        <v>135.71680263507892</v>
      </c>
      <c r="BU97" s="382">
        <f>IF(BT97&gt;0,+BT97)/ 'Pile Data and Eurocode Factors'!$B$14/ 'Pile Data and Eurocode Factors'!$B$15+$BU$89</f>
        <v>212.0967864629211</v>
      </c>
      <c r="BV97" s="382">
        <f t="shared" si="67"/>
        <v>229.02210444669595</v>
      </c>
      <c r="BW97" s="382">
        <f>BQ97* Pile!$U$24</f>
        <v>0</v>
      </c>
      <c r="BX97" s="382">
        <f t="shared" si="16"/>
        <v>229.02210444669595</v>
      </c>
      <c r="BY97" s="382">
        <f>BX97/ 'Pile Data and Eurocode Factors'!$C$14/ 'Pile Data and Eurocode Factors'!$C$15</f>
        <v>81.793608730962845</v>
      </c>
      <c r="BZ97" s="382">
        <f t="shared" si="17"/>
        <v>293.89039519388393</v>
      </c>
      <c r="CA97" s="382">
        <f>VLOOKUP(BO97, 'Pile Data and Eurocode Factors'!$A$34:$J$39,3, FALSE)</f>
        <v>9464.7047474031824</v>
      </c>
      <c r="CB97" s="403">
        <f t="shared" si="18"/>
        <v>293.89039519388393</v>
      </c>
      <c r="CC97" s="419">
        <v>1050</v>
      </c>
      <c r="CD97" s="382">
        <f>PI()*CC97/1000*( Pile!$C$24- Pile!$C97)</f>
        <v>7.9168134870462712</v>
      </c>
      <c r="CE97" s="382">
        <f t="shared" si="19"/>
        <v>0.86590147514568672</v>
      </c>
      <c r="CF97" s="382">
        <f t="shared" si="57"/>
        <v>158.33626974092542</v>
      </c>
      <c r="CG97" s="382">
        <f>CD97* Pile!$S$24</f>
        <v>0</v>
      </c>
      <c r="CH97" s="382">
        <f t="shared" si="68"/>
        <v>158.33626974092542</v>
      </c>
      <c r="CI97" s="382">
        <f>IF(CH97&gt;0,+CH97)/ 'Pile Data and Eurocode Factors'!$B$14/ 'Pile Data and Eurocode Factors'!$B$15+$CI$89</f>
        <v>247.44625087340791</v>
      </c>
      <c r="CJ97" s="382">
        <f t="shared" si="69"/>
        <v>311.72453105244722</v>
      </c>
      <c r="CK97" s="382">
        <f>CE97* Pile!$U$24</f>
        <v>0</v>
      </c>
      <c r="CL97" s="382">
        <f t="shared" si="20"/>
        <v>311.72453105244722</v>
      </c>
      <c r="CM97" s="382">
        <f>CL97/ 'Pile Data and Eurocode Factors'!$C$14/ 'Pile Data and Eurocode Factors'!$C$15</f>
        <v>111.33018966158829</v>
      </c>
      <c r="CN97" s="382">
        <f t="shared" si="21"/>
        <v>358.7764405349962</v>
      </c>
      <c r="CO97" s="382">
        <f>VLOOKUP(CC97, 'Pile Data and Eurocode Factors'!$A$34:$J$39,3, FALSE)</f>
        <v>12882.514795076555</v>
      </c>
      <c r="CP97" s="403">
        <f t="shared" si="22"/>
        <v>358.7764405349962</v>
      </c>
      <c r="CQ97" s="419">
        <v>1200</v>
      </c>
      <c r="CR97" s="382">
        <f>PI()*CQ97/1000*( Pile!$C$24- Pile!$C97)</f>
        <v>9.0477868423385956</v>
      </c>
      <c r="CS97" s="382">
        <f t="shared" si="23"/>
        <v>1.1309733552923256</v>
      </c>
      <c r="CT97" s="382">
        <f t="shared" si="58"/>
        <v>180.95573684677191</v>
      </c>
      <c r="CU97" s="382">
        <f>CR97* Pile!$S$24</f>
        <v>0</v>
      </c>
      <c r="CV97" s="382">
        <f t="shared" si="70"/>
        <v>180.95573684677191</v>
      </c>
      <c r="CW97" s="382">
        <f>IF(CV97&gt;0,+CV97)/ 'Pile Data and Eurocode Factors'!$B$14/ 'Pile Data and Eurocode Factors'!$B$15+$CW$89</f>
        <v>282.79571528389476</v>
      </c>
      <c r="CX97" s="382">
        <f t="shared" si="71"/>
        <v>407.15040790523722</v>
      </c>
      <c r="CY97" s="382">
        <f>CS97* Pile!$U$24</f>
        <v>0</v>
      </c>
      <c r="CZ97" s="382">
        <f t="shared" si="24"/>
        <v>407.15040790523722</v>
      </c>
      <c r="DA97" s="382">
        <f>CZ97/ 'Pile Data and Eurocode Factors'!$C$14/ 'Pile Data and Eurocode Factors'!$C$15</f>
        <v>145.41085996615615</v>
      </c>
      <c r="DB97" s="382">
        <f t="shared" si="25"/>
        <v>428.20657525005095</v>
      </c>
      <c r="DC97" s="382">
        <f>VLOOKUP(CQ97, 'Pile Data and Eurocode Factors'!$A$34:$J$39,3, FALSE)</f>
        <v>16826.141773161216</v>
      </c>
      <c r="DD97" s="403">
        <f t="shared" si="26"/>
        <v>428.20657525005095</v>
      </c>
      <c r="DE97" s="420">
        <f xml:space="preserve"> Pile!$C$23- Pile!C97</f>
        <v>8.3999999999999986</v>
      </c>
      <c r="DG97" s="382">
        <f t="shared" si="52"/>
        <v>126.49679541420126</v>
      </c>
      <c r="DH97" s="382">
        <f t="shared" si="27"/>
        <v>177.75057263348643</v>
      </c>
      <c r="DI97" s="382">
        <f t="shared" si="28"/>
        <v>233.54843922671398</v>
      </c>
      <c r="DJ97" s="382">
        <f t="shared" si="29"/>
        <v>293.89039519388393</v>
      </c>
      <c r="DK97" s="382">
        <f t="shared" si="30"/>
        <v>358.7764405349962</v>
      </c>
      <c r="DL97" s="382">
        <f t="shared" si="53"/>
        <v>428.20657525005095</v>
      </c>
    </row>
    <row r="98" spans="1:116" s="308" customFormat="1" ht="15">
      <c r="B98" s="400">
        <v>9</v>
      </c>
      <c r="C98" s="401">
        <f>+C97- Pile!D$24/20</f>
        <v>-2.6999999999999975</v>
      </c>
      <c r="D98" s="415" t="str">
        <f>B24</f>
        <v>Firm Clay</v>
      </c>
      <c r="E98" s="415" t="str">
        <f>F24</f>
        <v>Cohesive</v>
      </c>
      <c r="F98" s="401">
        <f xml:space="preserve"> Pile!$E$24*(C97-C98)+F97</f>
        <v>148.94999999999999</v>
      </c>
      <c r="G98" s="401">
        <f>IF(C98&gt; Pile!$C$28,0,( Pile!$C$28-C98)*9.81)</f>
        <v>0</v>
      </c>
      <c r="H98" s="401">
        <f t="shared" si="0"/>
        <v>148.94999999999999</v>
      </c>
      <c r="I98" s="401">
        <f t="shared" si="64"/>
        <v>123.97499999999998</v>
      </c>
      <c r="J98" s="401">
        <f>IF(E98="Cohesive",(( Pile!$H$24- Pile!$G$24)/20)+J97,0)</f>
        <v>40</v>
      </c>
      <c r="K98" s="401">
        <f>IF(E98="Cohesive",( Pile!$G$24+ Pile!$J98)/2,0)</f>
        <v>40</v>
      </c>
      <c r="L98" s="401">
        <f>IF( Pile!I$24="",0, Pile!I$24)</f>
        <v>0.5</v>
      </c>
      <c r="M98" s="401">
        <f>IF( Pile!J$24="",0, Pile!J$24)</f>
        <v>9</v>
      </c>
      <c r="N98" s="401">
        <f>IF(E98="Granular", Pile!$K$24,0)</f>
        <v>0</v>
      </c>
      <c r="O98" s="416">
        <f>IF(AND(E98="Granular",D98&lt;&gt;"Made Ground"), Pile!$L$24,0)</f>
        <v>0</v>
      </c>
      <c r="P98" s="401">
        <f>IF(OR(D98="Low Density Chalk",D98="Medium Density Chalk"), Pile!$M$24,0)</f>
        <v>0</v>
      </c>
      <c r="Q98" s="417">
        <f>IF(D98="High Density Chalk", Pile!$N$24,0)</f>
        <v>0</v>
      </c>
      <c r="R98" s="401">
        <f>IF( Pile!O$24="",0, Pile!O$24)</f>
        <v>0</v>
      </c>
      <c r="S98" s="418">
        <f t="shared" si="31"/>
        <v>20</v>
      </c>
      <c r="T98" s="382">
        <f xml:space="preserve"> Pile!$T$24</f>
        <v>100</v>
      </c>
      <c r="U98" s="382">
        <f t="shared" si="32"/>
        <v>20</v>
      </c>
      <c r="V98" s="382">
        <f t="shared" si="2"/>
        <v>360</v>
      </c>
      <c r="W98" s="382" t="str">
        <f xml:space="preserve"> Pile!$V$24</f>
        <v/>
      </c>
      <c r="X98" s="382">
        <f t="shared" si="33"/>
        <v>360</v>
      </c>
      <c r="Y98" s="419">
        <v>450</v>
      </c>
      <c r="Z98" s="382">
        <f>PI()*Y98/1000*( Pile!$C$24- Pile!$C98)</f>
        <v>3.8170350741115953</v>
      </c>
      <c r="AA98" s="382">
        <f t="shared" si="3"/>
        <v>0.15904312808798329</v>
      </c>
      <c r="AB98" s="382">
        <f t="shared" si="34"/>
        <v>76.340701482231907</v>
      </c>
      <c r="AC98" s="382">
        <f>Z98* Pile!$S$24</f>
        <v>0</v>
      </c>
      <c r="AD98" s="382">
        <f t="shared" si="35"/>
        <v>76.340701482231907</v>
      </c>
      <c r="AE98" s="382">
        <f>IF(AD98&gt;0,+AD98)/ 'Pile Data and Eurocode Factors'!$B$14/ 'Pile Data and Eurocode Factors'!$B$15+$AE$89</f>
        <v>109.83513437641254</v>
      </c>
      <c r="AF98" s="382">
        <f t="shared" si="36"/>
        <v>57.255526111673987</v>
      </c>
      <c r="AG98" s="382">
        <f>AA98* Pile!$U$24</f>
        <v>0</v>
      </c>
      <c r="AH98" s="382">
        <f t="shared" si="4"/>
        <v>57.255526111673987</v>
      </c>
      <c r="AI98" s="382">
        <f>AH98/ 'Pile Data and Eurocode Factors'!$C$14/ 'Pile Data and Eurocode Factors'!$C$15</f>
        <v>20.448402182740711</v>
      </c>
      <c r="AJ98" s="382">
        <f t="shared" si="5"/>
        <v>130.28353655915325</v>
      </c>
      <c r="AK98" s="382">
        <f>VLOOKUP(Y98, 'Pile Data and Eurocode Factors'!$A$34:$J$39,3, FALSE)</f>
        <v>2366.1761868507956</v>
      </c>
      <c r="AL98" s="403">
        <f t="shared" si="6"/>
        <v>130.28353655915325</v>
      </c>
      <c r="AM98" s="419">
        <v>600</v>
      </c>
      <c r="AN98" s="382">
        <f>PI()*AM98/1000*( Pile!$C$24- Pile!$C98)</f>
        <v>5.0893800988154601</v>
      </c>
      <c r="AO98" s="382">
        <f t="shared" si="7"/>
        <v>0.28274333882308139</v>
      </c>
      <c r="AP98" s="382">
        <f t="shared" si="54"/>
        <v>101.7876019763092</v>
      </c>
      <c r="AQ98" s="382">
        <f>AN98* Pile!$S$24</f>
        <v>0</v>
      </c>
      <c r="AR98" s="382">
        <f t="shared" si="59"/>
        <v>101.7876019763092</v>
      </c>
      <c r="AS98" s="382">
        <f>IF(AR98&gt;0,+AR98)/ 'Pile Data and Eurocode Factors'!$B$14/ 'Pile Data and Eurocode Factors'!$B$15+$AS$89</f>
        <v>146.44684583521669</v>
      </c>
      <c r="AT98" s="382">
        <f t="shared" si="65"/>
        <v>101.7876019763093</v>
      </c>
      <c r="AU98" s="382">
        <f>AO98* Pile!$U$24</f>
        <v>0</v>
      </c>
      <c r="AV98" s="382">
        <f t="shared" si="8"/>
        <v>101.7876019763093</v>
      </c>
      <c r="AW98" s="382">
        <f>AV98/ 'Pile Data and Eurocode Factors'!$C$14/ 'Pile Data and Eurocode Factors'!$C$15</f>
        <v>36.352714991539038</v>
      </c>
      <c r="AX98" s="382">
        <f t="shared" si="9"/>
        <v>182.79956082675574</v>
      </c>
      <c r="AY98" s="382">
        <f>VLOOKUP(AM98, 'Pile Data and Eurocode Factors'!$A$34:$J$39,3, FALSE)</f>
        <v>4206.5354432903041</v>
      </c>
      <c r="AZ98" s="403">
        <f t="shared" si="10"/>
        <v>182.79956082675574</v>
      </c>
      <c r="BA98" s="419">
        <v>750</v>
      </c>
      <c r="BB98" s="382">
        <f>PI()*BA98/1000*( Pile!$C$24- Pile!$C98)</f>
        <v>6.3617251235193253</v>
      </c>
      <c r="BC98" s="382">
        <f t="shared" si="11"/>
        <v>0.44178646691106466</v>
      </c>
      <c r="BD98" s="382">
        <f t="shared" si="55"/>
        <v>127.2345024703865</v>
      </c>
      <c r="BE98" s="382">
        <f>BB98* Pile!$S$24</f>
        <v>0</v>
      </c>
      <c r="BF98" s="382">
        <f t="shared" si="60"/>
        <v>127.2345024703865</v>
      </c>
      <c r="BG98" s="382">
        <f>IF(BF98&gt;0,+BF98)/ 'Pile Data and Eurocode Factors'!$B$14/ 'Pile Data and Eurocode Factors'!$B$15+$BG$89</f>
        <v>183.05855729402089</v>
      </c>
      <c r="BH98" s="382">
        <f t="shared" si="66"/>
        <v>159.04312808798326</v>
      </c>
      <c r="BI98" s="382">
        <f>BC98* Pile!$U$24</f>
        <v>0</v>
      </c>
      <c r="BJ98" s="382">
        <f t="shared" si="12"/>
        <v>159.04312808798326</v>
      </c>
      <c r="BK98" s="382">
        <f>BJ98/ 'Pile Data and Eurocode Factors'!$C$14/ 'Pile Data and Eurocode Factors'!$C$15</f>
        <v>56.801117174279739</v>
      </c>
      <c r="BL98" s="382">
        <f t="shared" si="13"/>
        <v>239.85967446830062</v>
      </c>
      <c r="BM98" s="382">
        <f>VLOOKUP(BA98, 'Pile Data and Eurocode Factors'!$A$34:$J$39,3, FALSE)</f>
        <v>6572.7116301410997</v>
      </c>
      <c r="BN98" s="403">
        <f t="shared" si="14"/>
        <v>239.85967446830062</v>
      </c>
      <c r="BO98" s="419">
        <v>900</v>
      </c>
      <c r="BP98" s="382">
        <f>PI()*BO98/1000*( Pile!$C$24- Pile!$C98)</f>
        <v>7.6340701482231905</v>
      </c>
      <c r="BQ98" s="382">
        <f t="shared" si="15"/>
        <v>0.63617251235193317</v>
      </c>
      <c r="BR98" s="382">
        <f t="shared" si="56"/>
        <v>152.68140296446381</v>
      </c>
      <c r="BS98" s="382">
        <f>BP98* Pile!$S$24</f>
        <v>0</v>
      </c>
      <c r="BT98" s="382">
        <f t="shared" si="61"/>
        <v>152.68140296446381</v>
      </c>
      <c r="BU98" s="382">
        <f>IF(BT98&gt;0,+BT98)/ 'Pile Data and Eurocode Factors'!$B$14/ 'Pile Data and Eurocode Factors'!$B$15+$BU$89</f>
        <v>219.67026875282508</v>
      </c>
      <c r="BV98" s="382">
        <f t="shared" si="67"/>
        <v>229.02210444669595</v>
      </c>
      <c r="BW98" s="382">
        <f>BQ98* Pile!$U$24</f>
        <v>0</v>
      </c>
      <c r="BX98" s="382">
        <f t="shared" si="16"/>
        <v>229.02210444669595</v>
      </c>
      <c r="BY98" s="382">
        <f>BX98/ 'Pile Data and Eurocode Factors'!$C$14/ 'Pile Data and Eurocode Factors'!$C$15</f>
        <v>81.793608730962845</v>
      </c>
      <c r="BZ98" s="382">
        <f t="shared" si="17"/>
        <v>301.46387748378794</v>
      </c>
      <c r="CA98" s="382">
        <f>VLOOKUP(BO98, 'Pile Data and Eurocode Factors'!$A$34:$J$39,3, FALSE)</f>
        <v>9464.7047474031824</v>
      </c>
      <c r="CB98" s="403">
        <f t="shared" si="18"/>
        <v>301.46387748378794</v>
      </c>
      <c r="CC98" s="419">
        <v>1050</v>
      </c>
      <c r="CD98" s="382">
        <f>PI()*CC98/1000*( Pile!$C$24- Pile!$C98)</f>
        <v>8.9064151729270549</v>
      </c>
      <c r="CE98" s="382">
        <f t="shared" si="19"/>
        <v>0.86590147514568672</v>
      </c>
      <c r="CF98" s="382">
        <f t="shared" si="57"/>
        <v>178.1283034585411</v>
      </c>
      <c r="CG98" s="382">
        <f>CD98* Pile!$S$24</f>
        <v>0</v>
      </c>
      <c r="CH98" s="382">
        <f t="shared" si="68"/>
        <v>178.1283034585411</v>
      </c>
      <c r="CI98" s="382">
        <f>IF(CH98&gt;0,+CH98)/ 'Pile Data and Eurocode Factors'!$B$14/ 'Pile Data and Eurocode Factors'!$B$15+$CI$89</f>
        <v>256.28198021162916</v>
      </c>
      <c r="CJ98" s="382">
        <f t="shared" si="69"/>
        <v>311.72453105244722</v>
      </c>
      <c r="CK98" s="382">
        <f>CE98* Pile!$U$24</f>
        <v>0</v>
      </c>
      <c r="CL98" s="382">
        <f t="shared" si="20"/>
        <v>311.72453105244722</v>
      </c>
      <c r="CM98" s="382">
        <f>CL98/ 'Pile Data and Eurocode Factors'!$C$14/ 'Pile Data and Eurocode Factors'!$C$15</f>
        <v>111.33018966158829</v>
      </c>
      <c r="CN98" s="382">
        <f t="shared" si="21"/>
        <v>367.61216987321745</v>
      </c>
      <c r="CO98" s="382">
        <f>VLOOKUP(CC98, 'Pile Data and Eurocode Factors'!$A$34:$J$39,3, FALSE)</f>
        <v>12882.514795076555</v>
      </c>
      <c r="CP98" s="403">
        <f t="shared" si="22"/>
        <v>367.61216987321745</v>
      </c>
      <c r="CQ98" s="419">
        <v>1200</v>
      </c>
      <c r="CR98" s="382">
        <f>PI()*CQ98/1000*( Pile!$C$24- Pile!$C98)</f>
        <v>10.17876019763092</v>
      </c>
      <c r="CS98" s="382">
        <f t="shared" si="23"/>
        <v>1.1309733552923256</v>
      </c>
      <c r="CT98" s="382">
        <f t="shared" si="58"/>
        <v>203.57520395261841</v>
      </c>
      <c r="CU98" s="382">
        <f>CR98* Pile!$S$24</f>
        <v>0</v>
      </c>
      <c r="CV98" s="382">
        <f t="shared" si="70"/>
        <v>203.57520395261841</v>
      </c>
      <c r="CW98" s="382">
        <f>IF(CV98&gt;0,+CV98)/ 'Pile Data and Eurocode Factors'!$B$14/ 'Pile Data and Eurocode Factors'!$B$15+$CW$89</f>
        <v>292.89369167043338</v>
      </c>
      <c r="CX98" s="382">
        <f t="shared" si="71"/>
        <v>407.15040790523722</v>
      </c>
      <c r="CY98" s="382">
        <f>CS98* Pile!$U$24</f>
        <v>0</v>
      </c>
      <c r="CZ98" s="382">
        <f t="shared" si="24"/>
        <v>407.15040790523722</v>
      </c>
      <c r="DA98" s="382">
        <f>CZ98/ 'Pile Data and Eurocode Factors'!$C$14/ 'Pile Data and Eurocode Factors'!$C$15</f>
        <v>145.41085996615615</v>
      </c>
      <c r="DB98" s="382">
        <f t="shared" si="25"/>
        <v>438.30455163658951</v>
      </c>
      <c r="DC98" s="382">
        <f>VLOOKUP(CQ98, 'Pile Data and Eurocode Factors'!$A$34:$J$39,3, FALSE)</f>
        <v>16826.141773161216</v>
      </c>
      <c r="DD98" s="403">
        <f t="shared" si="26"/>
        <v>438.30455163658951</v>
      </c>
      <c r="DE98" s="420">
        <f xml:space="preserve"> Pile!$C$23- Pile!C98</f>
        <v>8.6999999999999975</v>
      </c>
      <c r="DG98" s="382">
        <f t="shared" si="52"/>
        <v>130.28353655915325</v>
      </c>
      <c r="DH98" s="382">
        <f t="shared" si="27"/>
        <v>182.79956082675574</v>
      </c>
      <c r="DI98" s="382">
        <f t="shared" si="28"/>
        <v>239.85967446830062</v>
      </c>
      <c r="DJ98" s="382">
        <f t="shared" si="29"/>
        <v>301.46387748378794</v>
      </c>
      <c r="DK98" s="382">
        <f t="shared" si="30"/>
        <v>367.61216987321745</v>
      </c>
      <c r="DL98" s="382">
        <f t="shared" si="53"/>
        <v>438.30455163658951</v>
      </c>
    </row>
    <row r="99" spans="1:116" s="308" customFormat="1" ht="15">
      <c r="B99" s="400">
        <v>10</v>
      </c>
      <c r="C99" s="401">
        <f>+C98- Pile!D$24/20</f>
        <v>-2.9999999999999973</v>
      </c>
      <c r="D99" s="415" t="str">
        <f>B24</f>
        <v>Firm Clay</v>
      </c>
      <c r="E99" s="415" t="str">
        <f>F24</f>
        <v>Cohesive</v>
      </c>
      <c r="F99" s="401">
        <f xml:space="preserve"> Pile!$E$24*(C98-C99)+F98</f>
        <v>154.5</v>
      </c>
      <c r="G99" s="401">
        <f>IF(C99&gt; Pile!$C$28,0,( Pile!$C$28-C99)*9.81)</f>
        <v>0</v>
      </c>
      <c r="H99" s="401">
        <f t="shared" si="0"/>
        <v>154.5</v>
      </c>
      <c r="I99" s="401">
        <f t="shared" si="64"/>
        <v>126.74999999999999</v>
      </c>
      <c r="J99" s="401">
        <f>IF(E99="Cohesive",(( Pile!$H$24- Pile!$G$24)/20)+J98,0)</f>
        <v>40</v>
      </c>
      <c r="K99" s="401">
        <f>IF(E99="Cohesive",( Pile!$G$24+ Pile!$J99)/2,0)</f>
        <v>40</v>
      </c>
      <c r="L99" s="401">
        <f>IF( Pile!I$24="",0, Pile!I$24)</f>
        <v>0.5</v>
      </c>
      <c r="M99" s="401">
        <f>IF( Pile!J$24="",0, Pile!J$24)</f>
        <v>9</v>
      </c>
      <c r="N99" s="401">
        <f>IF(E99="Granular", Pile!$K$24,0)</f>
        <v>0</v>
      </c>
      <c r="O99" s="416">
        <f>IF(AND(E99="Granular",D99&lt;&gt;"Made Ground"), Pile!$L$24,0)</f>
        <v>0</v>
      </c>
      <c r="P99" s="401">
        <f>IF(OR(D99="Low Density Chalk",D99="Medium Density Chalk"), Pile!$M$24,0)</f>
        <v>0</v>
      </c>
      <c r="Q99" s="417">
        <f>IF(D99="High Density Chalk", Pile!$N$24,0)</f>
        <v>0</v>
      </c>
      <c r="R99" s="401">
        <f>IF( Pile!O$24="",0, Pile!O$24)</f>
        <v>0</v>
      </c>
      <c r="S99" s="418">
        <f t="shared" si="31"/>
        <v>20</v>
      </c>
      <c r="T99" s="382">
        <f xml:space="preserve"> Pile!$T$24</f>
        <v>100</v>
      </c>
      <c r="U99" s="382">
        <f t="shared" si="32"/>
        <v>20</v>
      </c>
      <c r="V99" s="382">
        <f t="shared" si="2"/>
        <v>360</v>
      </c>
      <c r="W99" s="382" t="str">
        <f xml:space="preserve"> Pile!$V$24</f>
        <v/>
      </c>
      <c r="X99" s="382">
        <f t="shared" si="33"/>
        <v>360</v>
      </c>
      <c r="Y99" s="419">
        <v>450</v>
      </c>
      <c r="Z99" s="382">
        <f>PI()*Y99/1000*( Pile!$C$24- Pile!$C99)</f>
        <v>4.2411500823462172</v>
      </c>
      <c r="AA99" s="382">
        <f t="shared" si="3"/>
        <v>0.15904312808798329</v>
      </c>
      <c r="AB99" s="382">
        <f t="shared" si="34"/>
        <v>84.82300164692434</v>
      </c>
      <c r="AC99" s="382">
        <f>Z99* Pile!$S$24</f>
        <v>0</v>
      </c>
      <c r="AD99" s="382">
        <f t="shared" si="35"/>
        <v>84.82300164692434</v>
      </c>
      <c r="AE99" s="382">
        <f>IF(AD99&gt;0,+AD99)/ 'Pile Data and Eurocode Factors'!$B$14/ 'Pile Data and Eurocode Factors'!$B$15+$AE$89</f>
        <v>113.62187552136453</v>
      </c>
      <c r="AF99" s="382">
        <f t="shared" si="36"/>
        <v>57.255526111673987</v>
      </c>
      <c r="AG99" s="382">
        <f>AA99* Pile!$U$24</f>
        <v>0</v>
      </c>
      <c r="AH99" s="382">
        <f t="shared" si="4"/>
        <v>57.255526111673987</v>
      </c>
      <c r="AI99" s="382">
        <f>AH99/ 'Pile Data and Eurocode Factors'!$C$14/ 'Pile Data and Eurocode Factors'!$C$15</f>
        <v>20.448402182740711</v>
      </c>
      <c r="AJ99" s="382">
        <f t="shared" si="5"/>
        <v>134.07027770410525</v>
      </c>
      <c r="AK99" s="382">
        <f>VLOOKUP(Y99, 'Pile Data and Eurocode Factors'!$A$34:$J$39,3, FALSE)</f>
        <v>2366.1761868507956</v>
      </c>
      <c r="AL99" s="403">
        <f t="shared" si="6"/>
        <v>134.07027770410525</v>
      </c>
      <c r="AM99" s="419">
        <v>600</v>
      </c>
      <c r="AN99" s="382">
        <f>PI()*AM99/1000*( Pile!$C$24- Pile!$C99)</f>
        <v>5.6548667764616223</v>
      </c>
      <c r="AO99" s="382">
        <f t="shared" si="7"/>
        <v>0.28274333882308139</v>
      </c>
      <c r="AP99" s="382">
        <f t="shared" si="54"/>
        <v>113.09733552923245</v>
      </c>
      <c r="AQ99" s="382">
        <f>AN99* Pile!$S$24</f>
        <v>0</v>
      </c>
      <c r="AR99" s="382">
        <f t="shared" si="59"/>
        <v>113.09733552923245</v>
      </c>
      <c r="AS99" s="382">
        <f>IF(AR99&gt;0,+AR99)/ 'Pile Data and Eurocode Factors'!$B$14/ 'Pile Data and Eurocode Factors'!$B$15+$AS$89</f>
        <v>151.495834028486</v>
      </c>
      <c r="AT99" s="382">
        <f t="shared" si="65"/>
        <v>101.7876019763093</v>
      </c>
      <c r="AU99" s="382">
        <f>AO99* Pile!$U$24</f>
        <v>0</v>
      </c>
      <c r="AV99" s="382">
        <f t="shared" si="8"/>
        <v>101.7876019763093</v>
      </c>
      <c r="AW99" s="382">
        <f>AV99/ 'Pile Data and Eurocode Factors'!$C$14/ 'Pile Data and Eurocode Factors'!$C$15</f>
        <v>36.352714991539038</v>
      </c>
      <c r="AX99" s="382">
        <f t="shared" si="9"/>
        <v>187.84854902002505</v>
      </c>
      <c r="AY99" s="382">
        <f>VLOOKUP(AM99, 'Pile Data and Eurocode Factors'!$A$34:$J$39,3, FALSE)</f>
        <v>4206.5354432903041</v>
      </c>
      <c r="AZ99" s="403">
        <f t="shared" si="10"/>
        <v>187.84854902002505</v>
      </c>
      <c r="BA99" s="419">
        <v>750</v>
      </c>
      <c r="BB99" s="382">
        <f>PI()*BA99/1000*( Pile!$C$24- Pile!$C99)</f>
        <v>7.0685834705770283</v>
      </c>
      <c r="BC99" s="382">
        <f t="shared" si="11"/>
        <v>0.44178646691106466</v>
      </c>
      <c r="BD99" s="382">
        <f t="shared" si="55"/>
        <v>141.37166941154055</v>
      </c>
      <c r="BE99" s="382">
        <f>BB99* Pile!$S$24</f>
        <v>0</v>
      </c>
      <c r="BF99" s="382">
        <f t="shared" si="60"/>
        <v>141.37166941154055</v>
      </c>
      <c r="BG99" s="382">
        <f>IF(BF99&gt;0,+BF99)/ 'Pile Data and Eurocode Factors'!$B$14/ 'Pile Data and Eurocode Factors'!$B$15+$BG$89</f>
        <v>189.3697925356075</v>
      </c>
      <c r="BH99" s="382">
        <f t="shared" si="66"/>
        <v>159.04312808798326</v>
      </c>
      <c r="BI99" s="382">
        <f>BC99* Pile!$U$24</f>
        <v>0</v>
      </c>
      <c r="BJ99" s="382">
        <f t="shared" si="12"/>
        <v>159.04312808798326</v>
      </c>
      <c r="BK99" s="382">
        <f>BJ99/ 'Pile Data and Eurocode Factors'!$C$14/ 'Pile Data and Eurocode Factors'!$C$15</f>
        <v>56.801117174279739</v>
      </c>
      <c r="BL99" s="382">
        <f t="shared" si="13"/>
        <v>246.17090970988724</v>
      </c>
      <c r="BM99" s="382">
        <f>VLOOKUP(BA99, 'Pile Data and Eurocode Factors'!$A$34:$J$39,3, FALSE)</f>
        <v>6572.7116301410997</v>
      </c>
      <c r="BN99" s="403">
        <f t="shared" si="14"/>
        <v>246.17090970988724</v>
      </c>
      <c r="BO99" s="419">
        <v>900</v>
      </c>
      <c r="BP99" s="382">
        <f>PI()*BO99/1000*( Pile!$C$24- Pile!$C99)</f>
        <v>8.4823001646924343</v>
      </c>
      <c r="BQ99" s="382">
        <f t="shared" si="15"/>
        <v>0.63617251235193317</v>
      </c>
      <c r="BR99" s="382">
        <f t="shared" si="56"/>
        <v>169.64600329384868</v>
      </c>
      <c r="BS99" s="382">
        <f>BP99* Pile!$S$24</f>
        <v>0</v>
      </c>
      <c r="BT99" s="382">
        <f t="shared" si="61"/>
        <v>169.64600329384868</v>
      </c>
      <c r="BU99" s="382">
        <f>IF(BT99&gt;0,+BT99)/ 'Pile Data and Eurocode Factors'!$B$14/ 'Pile Data and Eurocode Factors'!$B$15+$BU$89</f>
        <v>227.24375104272906</v>
      </c>
      <c r="BV99" s="382">
        <f t="shared" si="67"/>
        <v>229.02210444669595</v>
      </c>
      <c r="BW99" s="382">
        <f>BQ99* Pile!$U$24</f>
        <v>0</v>
      </c>
      <c r="BX99" s="382">
        <f t="shared" si="16"/>
        <v>229.02210444669595</v>
      </c>
      <c r="BY99" s="382">
        <f>BX99/ 'Pile Data and Eurocode Factors'!$C$14/ 'Pile Data and Eurocode Factors'!$C$15</f>
        <v>81.793608730962845</v>
      </c>
      <c r="BZ99" s="382">
        <f t="shared" si="17"/>
        <v>309.03735977369189</v>
      </c>
      <c r="CA99" s="382">
        <f>VLOOKUP(BO99, 'Pile Data and Eurocode Factors'!$A$34:$J$39,3, FALSE)</f>
        <v>9464.7047474031824</v>
      </c>
      <c r="CB99" s="403">
        <f t="shared" si="18"/>
        <v>309.03735977369189</v>
      </c>
      <c r="CC99" s="419">
        <v>1050</v>
      </c>
      <c r="CD99" s="382">
        <f>PI()*CC99/1000*( Pile!$C$24- Pile!$C99)</f>
        <v>9.8960168588078403</v>
      </c>
      <c r="CE99" s="382">
        <f t="shared" si="19"/>
        <v>0.86590147514568672</v>
      </c>
      <c r="CF99" s="382">
        <f t="shared" si="57"/>
        <v>197.92033717615681</v>
      </c>
      <c r="CG99" s="382">
        <f>CD99* Pile!$S$24</f>
        <v>0</v>
      </c>
      <c r="CH99" s="382">
        <f t="shared" si="68"/>
        <v>197.92033717615681</v>
      </c>
      <c r="CI99" s="382">
        <f>IF(CH99&gt;0,+CH99)/ 'Pile Data and Eurocode Factors'!$B$14/ 'Pile Data and Eurocode Factors'!$B$15+$CI$89</f>
        <v>265.11770954985047</v>
      </c>
      <c r="CJ99" s="382">
        <f t="shared" si="69"/>
        <v>311.72453105244722</v>
      </c>
      <c r="CK99" s="382">
        <f>CE99* Pile!$U$24</f>
        <v>0</v>
      </c>
      <c r="CL99" s="382">
        <f t="shared" si="20"/>
        <v>311.72453105244722</v>
      </c>
      <c r="CM99" s="382">
        <f>CL99/ 'Pile Data and Eurocode Factors'!$C$14/ 'Pile Data and Eurocode Factors'!$C$15</f>
        <v>111.33018966158829</v>
      </c>
      <c r="CN99" s="382">
        <f t="shared" si="21"/>
        <v>376.44789921143877</v>
      </c>
      <c r="CO99" s="382">
        <f>VLOOKUP(CC99, 'Pile Data and Eurocode Factors'!$A$34:$J$39,3, FALSE)</f>
        <v>12882.514795076555</v>
      </c>
      <c r="CP99" s="403">
        <f t="shared" si="22"/>
        <v>376.44789921143877</v>
      </c>
      <c r="CQ99" s="419">
        <v>1200</v>
      </c>
      <c r="CR99" s="382">
        <f>PI()*CQ99/1000*( Pile!$C$24- Pile!$C99)</f>
        <v>11.309733552923245</v>
      </c>
      <c r="CS99" s="382">
        <f t="shared" si="23"/>
        <v>1.1309733552923256</v>
      </c>
      <c r="CT99" s="382">
        <f t="shared" si="58"/>
        <v>226.19467105846491</v>
      </c>
      <c r="CU99" s="382">
        <f>CR99* Pile!$S$24</f>
        <v>0</v>
      </c>
      <c r="CV99" s="382">
        <f t="shared" si="70"/>
        <v>226.19467105846491</v>
      </c>
      <c r="CW99" s="382">
        <f>IF(CV99&gt;0,+CV99)/ 'Pile Data and Eurocode Factors'!$B$14/ 'Pile Data and Eurocode Factors'!$B$15+$CW$89</f>
        <v>302.991668056972</v>
      </c>
      <c r="CX99" s="382">
        <f t="shared" si="71"/>
        <v>407.15040790523722</v>
      </c>
      <c r="CY99" s="382">
        <f>CS99* Pile!$U$24</f>
        <v>0</v>
      </c>
      <c r="CZ99" s="382">
        <f t="shared" si="24"/>
        <v>407.15040790523722</v>
      </c>
      <c r="DA99" s="382">
        <f>CZ99/ 'Pile Data and Eurocode Factors'!$C$14/ 'Pile Data and Eurocode Factors'!$C$15</f>
        <v>145.41085996615615</v>
      </c>
      <c r="DB99" s="382">
        <f t="shared" si="25"/>
        <v>448.40252802312818</v>
      </c>
      <c r="DC99" s="382">
        <f>VLOOKUP(CQ99, 'Pile Data and Eurocode Factors'!$A$34:$J$39,3, FALSE)</f>
        <v>16826.141773161216</v>
      </c>
      <c r="DD99" s="403">
        <f t="shared" si="26"/>
        <v>448.40252802312818</v>
      </c>
      <c r="DE99" s="420">
        <f xml:space="preserve"> Pile!$C$23- Pile!C99</f>
        <v>8.9999999999999964</v>
      </c>
      <c r="DG99" s="382">
        <f t="shared" si="52"/>
        <v>134.07027770410525</v>
      </c>
      <c r="DH99" s="382">
        <f t="shared" si="27"/>
        <v>187.84854902002505</v>
      </c>
      <c r="DI99" s="382">
        <f t="shared" si="28"/>
        <v>246.17090970988724</v>
      </c>
      <c r="DJ99" s="382">
        <f t="shared" si="29"/>
        <v>309.03735977369189</v>
      </c>
      <c r="DK99" s="382">
        <f t="shared" si="30"/>
        <v>376.44789921143877</v>
      </c>
      <c r="DL99" s="382">
        <f t="shared" si="53"/>
        <v>448.40252802312818</v>
      </c>
    </row>
    <row r="100" spans="1:116" s="308" customFormat="1" ht="15">
      <c r="B100" s="400">
        <v>11</v>
      </c>
      <c r="C100" s="401">
        <f>+C99- Pile!D$24/20</f>
        <v>-3.2999999999999972</v>
      </c>
      <c r="D100" s="415" t="str">
        <f>B24</f>
        <v>Firm Clay</v>
      </c>
      <c r="E100" s="415" t="str">
        <f>F24</f>
        <v>Cohesive</v>
      </c>
      <c r="F100" s="401">
        <f xml:space="preserve"> Pile!$E$24*(C99-C100)+F99</f>
        <v>160.05000000000001</v>
      </c>
      <c r="G100" s="401">
        <f>IF(C100&gt; Pile!$C$28,0,( Pile!$C$28-C100)*9.81)</f>
        <v>0</v>
      </c>
      <c r="H100" s="401">
        <f t="shared" si="0"/>
        <v>160.05000000000001</v>
      </c>
      <c r="I100" s="401">
        <f t="shared" si="64"/>
        <v>129.52499999999998</v>
      </c>
      <c r="J100" s="401">
        <f>IF(E100="Cohesive",(( Pile!$H$24- Pile!$G$24)/20)+J99,0)</f>
        <v>40</v>
      </c>
      <c r="K100" s="401">
        <f>IF(E100="Cohesive",( Pile!$G$24+ Pile!$J100)/2,0)</f>
        <v>40</v>
      </c>
      <c r="L100" s="401">
        <f>IF( Pile!I$24="",0, Pile!I$24)</f>
        <v>0.5</v>
      </c>
      <c r="M100" s="401">
        <f>IF( Pile!J$24="",0, Pile!J$24)</f>
        <v>9</v>
      </c>
      <c r="N100" s="401">
        <f>IF(E100="Granular", Pile!$K$24,0)</f>
        <v>0</v>
      </c>
      <c r="O100" s="416">
        <f>IF(AND(E100="Granular",D100&lt;&gt;"Made Ground"), Pile!$L$24,0)</f>
        <v>0</v>
      </c>
      <c r="P100" s="401">
        <f>IF(OR(D100="Low Density Chalk",D100="Medium Density Chalk"), Pile!$M$24,0)</f>
        <v>0</v>
      </c>
      <c r="Q100" s="417">
        <f>IF(D100="High Density Chalk", Pile!$N$24,0)</f>
        <v>0</v>
      </c>
      <c r="R100" s="401">
        <f>IF( Pile!O$24="",0, Pile!O$24)</f>
        <v>0</v>
      </c>
      <c r="S100" s="418">
        <f t="shared" si="31"/>
        <v>20</v>
      </c>
      <c r="T100" s="382">
        <f xml:space="preserve"> Pile!$T$24</f>
        <v>100</v>
      </c>
      <c r="U100" s="382">
        <f t="shared" si="32"/>
        <v>20</v>
      </c>
      <c r="V100" s="382">
        <f t="shared" si="2"/>
        <v>360</v>
      </c>
      <c r="W100" s="382" t="str">
        <f xml:space="preserve"> Pile!$V$24</f>
        <v/>
      </c>
      <c r="X100" s="382">
        <f t="shared" si="33"/>
        <v>360</v>
      </c>
      <c r="Y100" s="419">
        <v>450</v>
      </c>
      <c r="Z100" s="382">
        <f>PI()*Y100/1000*( Pile!$C$24- Pile!$C100)</f>
        <v>4.6652650905808386</v>
      </c>
      <c r="AA100" s="382">
        <f t="shared" si="3"/>
        <v>0.15904312808798329</v>
      </c>
      <c r="AB100" s="382">
        <f t="shared" si="34"/>
        <v>93.305301811616772</v>
      </c>
      <c r="AC100" s="382">
        <f>Z100* Pile!$S$24</f>
        <v>0</v>
      </c>
      <c r="AD100" s="382">
        <f t="shared" si="35"/>
        <v>93.305301811616772</v>
      </c>
      <c r="AE100" s="382">
        <f>IF(AD100&gt;0,+AD100)/ 'Pile Data and Eurocode Factors'!$B$14/ 'Pile Data and Eurocode Factors'!$B$15+$AE$89</f>
        <v>117.4086166663165</v>
      </c>
      <c r="AF100" s="382">
        <f t="shared" si="36"/>
        <v>57.255526111673987</v>
      </c>
      <c r="AG100" s="382">
        <f>AA100* Pile!$U$24</f>
        <v>0</v>
      </c>
      <c r="AH100" s="382">
        <f t="shared" si="4"/>
        <v>57.255526111673987</v>
      </c>
      <c r="AI100" s="382">
        <f>AH100/ 'Pile Data and Eurocode Factors'!$C$14/ 'Pile Data and Eurocode Factors'!$C$15</f>
        <v>20.448402182740711</v>
      </c>
      <c r="AJ100" s="382">
        <f t="shared" si="5"/>
        <v>137.85701884905723</v>
      </c>
      <c r="AK100" s="382">
        <f>VLOOKUP(Y100, 'Pile Data and Eurocode Factors'!$A$34:$J$39,3, FALSE)</f>
        <v>2366.1761868507956</v>
      </c>
      <c r="AL100" s="403">
        <f t="shared" si="6"/>
        <v>137.85701884905723</v>
      </c>
      <c r="AM100" s="419">
        <v>600</v>
      </c>
      <c r="AN100" s="382">
        <f>PI()*AM100/1000*( Pile!$C$24- Pile!$C100)</f>
        <v>6.2203534541077854</v>
      </c>
      <c r="AO100" s="382">
        <f t="shared" si="7"/>
        <v>0.28274333882308139</v>
      </c>
      <c r="AP100" s="382">
        <f t="shared" si="54"/>
        <v>124.40706908215572</v>
      </c>
      <c r="AQ100" s="382">
        <f>AN100* Pile!$S$24</f>
        <v>0</v>
      </c>
      <c r="AR100" s="382">
        <f t="shared" si="59"/>
        <v>124.40706908215572</v>
      </c>
      <c r="AS100" s="382">
        <f>IF(AR100&gt;0,+AR100)/ 'Pile Data and Eurocode Factors'!$B$14/ 'Pile Data and Eurocode Factors'!$B$15+$AS$89</f>
        <v>156.54482222175531</v>
      </c>
      <c r="AT100" s="382">
        <f t="shared" si="65"/>
        <v>101.7876019763093</v>
      </c>
      <c r="AU100" s="382">
        <f>AO100* Pile!$U$24</f>
        <v>0</v>
      </c>
      <c r="AV100" s="382">
        <f t="shared" si="8"/>
        <v>101.7876019763093</v>
      </c>
      <c r="AW100" s="382">
        <f>AV100/ 'Pile Data and Eurocode Factors'!$C$14/ 'Pile Data and Eurocode Factors'!$C$15</f>
        <v>36.352714991539038</v>
      </c>
      <c r="AX100" s="382">
        <f t="shared" si="9"/>
        <v>192.89753721329436</v>
      </c>
      <c r="AY100" s="382">
        <f>VLOOKUP(AM100, 'Pile Data and Eurocode Factors'!$A$34:$J$39,3, FALSE)</f>
        <v>4206.5354432903041</v>
      </c>
      <c r="AZ100" s="403">
        <f t="shared" si="10"/>
        <v>192.89753721329436</v>
      </c>
      <c r="BA100" s="419">
        <v>750</v>
      </c>
      <c r="BB100" s="382">
        <f>PI()*BA100/1000*( Pile!$C$24- Pile!$C100)</f>
        <v>7.7754418176347313</v>
      </c>
      <c r="BC100" s="382">
        <f t="shared" si="11"/>
        <v>0.44178646691106466</v>
      </c>
      <c r="BD100" s="382">
        <f t="shared" si="55"/>
        <v>155.50883635269463</v>
      </c>
      <c r="BE100" s="382">
        <f>BB100* Pile!$S$24</f>
        <v>0</v>
      </c>
      <c r="BF100" s="382">
        <f t="shared" si="60"/>
        <v>155.50883635269463</v>
      </c>
      <c r="BG100" s="382">
        <f>IF(BF100&gt;0,+BF100)/ 'Pile Data and Eurocode Factors'!$B$14/ 'Pile Data and Eurocode Factors'!$B$15+$BG$89</f>
        <v>195.68102777719412</v>
      </c>
      <c r="BH100" s="382">
        <f t="shared" si="66"/>
        <v>159.04312808798326</v>
      </c>
      <c r="BI100" s="382">
        <f>BC100* Pile!$U$24</f>
        <v>0</v>
      </c>
      <c r="BJ100" s="382">
        <f t="shared" si="12"/>
        <v>159.04312808798326</v>
      </c>
      <c r="BK100" s="382">
        <f>BJ100/ 'Pile Data and Eurocode Factors'!$C$14/ 'Pile Data and Eurocode Factors'!$C$15</f>
        <v>56.801117174279739</v>
      </c>
      <c r="BL100" s="382">
        <f t="shared" si="13"/>
        <v>252.48214495147386</v>
      </c>
      <c r="BM100" s="382">
        <f>VLOOKUP(BA100, 'Pile Data and Eurocode Factors'!$A$34:$J$39,3, FALSE)</f>
        <v>6572.7116301410997</v>
      </c>
      <c r="BN100" s="403">
        <f t="shared" si="14"/>
        <v>252.48214495147386</v>
      </c>
      <c r="BO100" s="419">
        <v>900</v>
      </c>
      <c r="BP100" s="382">
        <f>PI()*BO100/1000*( Pile!$C$24- Pile!$C100)</f>
        <v>9.3305301811616772</v>
      </c>
      <c r="BQ100" s="382">
        <f t="shared" si="15"/>
        <v>0.63617251235193317</v>
      </c>
      <c r="BR100" s="382">
        <f t="shared" si="56"/>
        <v>186.61060362323354</v>
      </c>
      <c r="BS100" s="382">
        <f>BP100* Pile!$S$24</f>
        <v>0</v>
      </c>
      <c r="BT100" s="382">
        <f t="shared" si="61"/>
        <v>186.61060362323354</v>
      </c>
      <c r="BU100" s="382">
        <f>IF(BT100&gt;0,+BT100)/ 'Pile Data and Eurocode Factors'!$B$14/ 'Pile Data and Eurocode Factors'!$B$15+$BU$89</f>
        <v>234.81723333263301</v>
      </c>
      <c r="BV100" s="382">
        <f t="shared" si="67"/>
        <v>229.02210444669595</v>
      </c>
      <c r="BW100" s="382">
        <f>BQ100* Pile!$U$24</f>
        <v>0</v>
      </c>
      <c r="BX100" s="382">
        <f t="shared" si="16"/>
        <v>229.02210444669595</v>
      </c>
      <c r="BY100" s="382">
        <f>BX100/ 'Pile Data and Eurocode Factors'!$C$14/ 'Pile Data and Eurocode Factors'!$C$15</f>
        <v>81.793608730962845</v>
      </c>
      <c r="BZ100" s="382">
        <f t="shared" si="17"/>
        <v>316.61084206359584</v>
      </c>
      <c r="CA100" s="382">
        <f>VLOOKUP(BO100, 'Pile Data and Eurocode Factors'!$A$34:$J$39,3, FALSE)</f>
        <v>9464.7047474031824</v>
      </c>
      <c r="CB100" s="403">
        <f t="shared" si="18"/>
        <v>316.61084206359584</v>
      </c>
      <c r="CC100" s="419">
        <v>1050</v>
      </c>
      <c r="CD100" s="382">
        <f>PI()*CC100/1000*( Pile!$C$24- Pile!$C100)</f>
        <v>10.885618544688624</v>
      </c>
      <c r="CE100" s="382">
        <f t="shared" si="19"/>
        <v>0.86590147514568672</v>
      </c>
      <c r="CF100" s="382">
        <f t="shared" si="57"/>
        <v>217.71237089377249</v>
      </c>
      <c r="CG100" s="382">
        <f>CD100* Pile!$S$24</f>
        <v>0</v>
      </c>
      <c r="CH100" s="382">
        <f t="shared" si="68"/>
        <v>217.71237089377249</v>
      </c>
      <c r="CI100" s="382">
        <f>IF(CH100&gt;0,+CH100)/ 'Pile Data and Eurocode Factors'!$B$14/ 'Pile Data and Eurocode Factors'!$B$15+$CI$89</f>
        <v>273.95343888807179</v>
      </c>
      <c r="CJ100" s="382">
        <f t="shared" si="69"/>
        <v>311.72453105244722</v>
      </c>
      <c r="CK100" s="382">
        <f>CE100* Pile!$U$24</f>
        <v>0</v>
      </c>
      <c r="CL100" s="382">
        <f t="shared" si="20"/>
        <v>311.72453105244722</v>
      </c>
      <c r="CM100" s="382">
        <f>CL100/ 'Pile Data and Eurocode Factors'!$C$14/ 'Pile Data and Eurocode Factors'!$C$15</f>
        <v>111.33018966158829</v>
      </c>
      <c r="CN100" s="382">
        <f t="shared" si="21"/>
        <v>385.28362854966008</v>
      </c>
      <c r="CO100" s="382">
        <f>VLOOKUP(CC100, 'Pile Data and Eurocode Factors'!$A$34:$J$39,3, FALSE)</f>
        <v>12882.514795076555</v>
      </c>
      <c r="CP100" s="403">
        <f t="shared" si="22"/>
        <v>385.28362854966008</v>
      </c>
      <c r="CQ100" s="419">
        <v>1200</v>
      </c>
      <c r="CR100" s="382">
        <f>PI()*CQ100/1000*( Pile!$C$24- Pile!$C100)</f>
        <v>12.440706908215571</v>
      </c>
      <c r="CS100" s="382">
        <f t="shared" si="23"/>
        <v>1.1309733552923256</v>
      </c>
      <c r="CT100" s="382">
        <f t="shared" si="58"/>
        <v>248.81413816431143</v>
      </c>
      <c r="CU100" s="382">
        <f>CR100* Pile!$S$24</f>
        <v>0</v>
      </c>
      <c r="CV100" s="382">
        <f t="shared" si="70"/>
        <v>248.81413816431143</v>
      </c>
      <c r="CW100" s="382">
        <f>IF(CV100&gt;0,+CV100)/ 'Pile Data and Eurocode Factors'!$B$14/ 'Pile Data and Eurocode Factors'!$B$15+$CW$89</f>
        <v>313.08964444351062</v>
      </c>
      <c r="CX100" s="382">
        <f t="shared" si="71"/>
        <v>407.15040790523722</v>
      </c>
      <c r="CY100" s="382">
        <f>CS100* Pile!$U$24</f>
        <v>0</v>
      </c>
      <c r="CZ100" s="382">
        <f t="shared" si="24"/>
        <v>407.15040790523722</v>
      </c>
      <c r="DA100" s="382">
        <f>CZ100/ 'Pile Data and Eurocode Factors'!$C$14/ 'Pile Data and Eurocode Factors'!$C$15</f>
        <v>145.41085996615615</v>
      </c>
      <c r="DB100" s="382">
        <f t="shared" si="25"/>
        <v>458.50050440966675</v>
      </c>
      <c r="DC100" s="382">
        <f>VLOOKUP(CQ100, 'Pile Data and Eurocode Factors'!$A$34:$J$39,3, FALSE)</f>
        <v>16826.141773161216</v>
      </c>
      <c r="DD100" s="403">
        <f t="shared" si="26"/>
        <v>458.50050440966675</v>
      </c>
      <c r="DE100" s="420">
        <f xml:space="preserve"> Pile!$C$23- Pile!C100</f>
        <v>9.2999999999999972</v>
      </c>
      <c r="DG100" s="382">
        <f t="shared" si="52"/>
        <v>137.85701884905723</v>
      </c>
      <c r="DH100" s="382">
        <f t="shared" si="27"/>
        <v>192.89753721329436</v>
      </c>
      <c r="DI100" s="382">
        <f t="shared" si="28"/>
        <v>252.48214495147386</v>
      </c>
      <c r="DJ100" s="382">
        <f t="shared" si="29"/>
        <v>316.61084206359584</v>
      </c>
      <c r="DK100" s="382">
        <f t="shared" si="30"/>
        <v>385.28362854966008</v>
      </c>
      <c r="DL100" s="382">
        <f t="shared" si="53"/>
        <v>458.50050440966675</v>
      </c>
    </row>
    <row r="101" spans="1:116" s="308" customFormat="1" ht="15">
      <c r="B101" s="400">
        <v>12</v>
      </c>
      <c r="C101" s="401">
        <f>+C100- Pile!D$24/20</f>
        <v>-3.599999999999997</v>
      </c>
      <c r="D101" s="415" t="str">
        <f>B24</f>
        <v>Firm Clay</v>
      </c>
      <c r="E101" s="415" t="str">
        <f>F24</f>
        <v>Cohesive</v>
      </c>
      <c r="F101" s="401">
        <f xml:space="preserve"> Pile!$E$24*(C100-C101)+F100</f>
        <v>165.60000000000002</v>
      </c>
      <c r="G101" s="401">
        <f>IF(C101&gt; Pile!$C$28,0,( Pile!$C$28-C101)*9.81)</f>
        <v>0</v>
      </c>
      <c r="H101" s="401">
        <f t="shared" si="0"/>
        <v>165.60000000000002</v>
      </c>
      <c r="I101" s="401">
        <f t="shared" si="64"/>
        <v>132.30000000000001</v>
      </c>
      <c r="J101" s="401">
        <f>IF(E101="Cohesive",(( Pile!$H$24- Pile!$G$24)/20)+J100,0)</f>
        <v>40</v>
      </c>
      <c r="K101" s="401">
        <f>IF(E101="Cohesive",( Pile!$G$24+ Pile!$J101)/2,0)</f>
        <v>40</v>
      </c>
      <c r="L101" s="401">
        <f>IF( Pile!I$24="",0, Pile!I$24)</f>
        <v>0.5</v>
      </c>
      <c r="M101" s="401">
        <f>IF( Pile!J$24="",0, Pile!J$24)</f>
        <v>9</v>
      </c>
      <c r="N101" s="401">
        <f>IF(E101="Granular", Pile!$K$24,0)</f>
        <v>0</v>
      </c>
      <c r="O101" s="416">
        <f>IF(AND(E101="Granular",D101&lt;&gt;"Made Ground"), Pile!$L$24,0)</f>
        <v>0</v>
      </c>
      <c r="P101" s="401">
        <f>IF(OR(D101="Low Density Chalk",D101="Medium Density Chalk"), Pile!$M$24,0)</f>
        <v>0</v>
      </c>
      <c r="Q101" s="417">
        <f>IF(D101="High Density Chalk", Pile!$N$24,0)</f>
        <v>0</v>
      </c>
      <c r="R101" s="401">
        <f>IF( Pile!O$24="",0, Pile!O$24)</f>
        <v>0</v>
      </c>
      <c r="S101" s="418">
        <f t="shared" si="31"/>
        <v>20</v>
      </c>
      <c r="T101" s="382">
        <f xml:space="preserve"> Pile!$T$24</f>
        <v>100</v>
      </c>
      <c r="U101" s="382">
        <f t="shared" si="32"/>
        <v>20</v>
      </c>
      <c r="V101" s="382">
        <f t="shared" si="2"/>
        <v>360</v>
      </c>
      <c r="W101" s="382" t="str">
        <f xml:space="preserve"> Pile!$V$24</f>
        <v/>
      </c>
      <c r="X101" s="382">
        <f t="shared" si="33"/>
        <v>360</v>
      </c>
      <c r="Y101" s="419">
        <v>450</v>
      </c>
      <c r="Z101" s="382">
        <f>PI()*Y101/1000*( Pile!$C$24- Pile!$C101)</f>
        <v>5.0893800988154609</v>
      </c>
      <c r="AA101" s="382">
        <f t="shared" si="3"/>
        <v>0.15904312808798329</v>
      </c>
      <c r="AB101" s="382">
        <f t="shared" si="34"/>
        <v>101.78760197630922</v>
      </c>
      <c r="AC101" s="382">
        <f>Z101* Pile!$S$24</f>
        <v>0</v>
      </c>
      <c r="AD101" s="382">
        <f t="shared" si="35"/>
        <v>101.78760197630922</v>
      </c>
      <c r="AE101" s="382">
        <f>IF(AD101&gt;0,+AD101)/ 'Pile Data and Eurocode Factors'!$B$14/ 'Pile Data and Eurocode Factors'!$B$15+$AE$89</f>
        <v>121.19535781126848</v>
      </c>
      <c r="AF101" s="382">
        <f t="shared" si="36"/>
        <v>57.255526111673987</v>
      </c>
      <c r="AG101" s="382">
        <f>AA101* Pile!$U$24</f>
        <v>0</v>
      </c>
      <c r="AH101" s="382">
        <f t="shared" si="4"/>
        <v>57.255526111673987</v>
      </c>
      <c r="AI101" s="382">
        <f>AH101/ 'Pile Data and Eurocode Factors'!$C$14/ 'Pile Data and Eurocode Factors'!$C$15</f>
        <v>20.448402182740711</v>
      </c>
      <c r="AJ101" s="382">
        <f t="shared" si="5"/>
        <v>141.6437599940092</v>
      </c>
      <c r="AK101" s="382">
        <f>VLOOKUP(Y101, 'Pile Data and Eurocode Factors'!$A$34:$J$39,3, FALSE)</f>
        <v>2366.1761868507956</v>
      </c>
      <c r="AL101" s="403">
        <f t="shared" si="6"/>
        <v>141.6437599940092</v>
      </c>
      <c r="AM101" s="419">
        <v>600</v>
      </c>
      <c r="AN101" s="382">
        <f>PI()*AM101/1000*( Pile!$C$24- Pile!$C101)</f>
        <v>6.7858401317539476</v>
      </c>
      <c r="AO101" s="382">
        <f t="shared" si="7"/>
        <v>0.28274333882308139</v>
      </c>
      <c r="AP101" s="382">
        <f t="shared" si="54"/>
        <v>135.71680263507895</v>
      </c>
      <c r="AQ101" s="382">
        <f>AN101* Pile!$S$24</f>
        <v>0</v>
      </c>
      <c r="AR101" s="382">
        <f t="shared" si="59"/>
        <v>135.71680263507895</v>
      </c>
      <c r="AS101" s="382">
        <f>IF(AR101&gt;0,+AR101)/ 'Pile Data and Eurocode Factors'!$B$14/ 'Pile Data and Eurocode Factors'!$B$15+$AS$89</f>
        <v>161.59381041502462</v>
      </c>
      <c r="AT101" s="382">
        <f t="shared" si="65"/>
        <v>101.7876019763093</v>
      </c>
      <c r="AU101" s="382">
        <f>AO101* Pile!$U$24</f>
        <v>0</v>
      </c>
      <c r="AV101" s="382">
        <f t="shared" si="8"/>
        <v>101.7876019763093</v>
      </c>
      <c r="AW101" s="382">
        <f>AV101/ 'Pile Data and Eurocode Factors'!$C$14/ 'Pile Data and Eurocode Factors'!$C$15</f>
        <v>36.352714991539038</v>
      </c>
      <c r="AX101" s="382">
        <f t="shared" si="9"/>
        <v>197.94652540656367</v>
      </c>
      <c r="AY101" s="382">
        <f>VLOOKUP(AM101, 'Pile Data and Eurocode Factors'!$A$34:$J$39,3, FALSE)</f>
        <v>4206.5354432903041</v>
      </c>
      <c r="AZ101" s="403">
        <f t="shared" si="10"/>
        <v>197.94652540656367</v>
      </c>
      <c r="BA101" s="419">
        <v>750</v>
      </c>
      <c r="BB101" s="382">
        <f>PI()*BA101/1000*( Pile!$C$24- Pile!$C101)</f>
        <v>8.4823001646924343</v>
      </c>
      <c r="BC101" s="382">
        <f t="shared" si="11"/>
        <v>0.44178646691106466</v>
      </c>
      <c r="BD101" s="382">
        <f t="shared" si="55"/>
        <v>169.64600329384868</v>
      </c>
      <c r="BE101" s="382">
        <f>BB101* Pile!$S$24</f>
        <v>0</v>
      </c>
      <c r="BF101" s="382">
        <f t="shared" si="60"/>
        <v>169.64600329384868</v>
      </c>
      <c r="BG101" s="382">
        <f>IF(BF101&gt;0,+BF101)/ 'Pile Data and Eurocode Factors'!$B$14/ 'Pile Data and Eurocode Factors'!$B$15+$BG$89</f>
        <v>201.99226301878076</v>
      </c>
      <c r="BH101" s="382">
        <f t="shared" si="66"/>
        <v>159.04312808798326</v>
      </c>
      <c r="BI101" s="382">
        <f>BC101* Pile!$U$24</f>
        <v>0</v>
      </c>
      <c r="BJ101" s="382">
        <f t="shared" si="12"/>
        <v>159.04312808798326</v>
      </c>
      <c r="BK101" s="382">
        <f>BJ101/ 'Pile Data and Eurocode Factors'!$C$14/ 'Pile Data and Eurocode Factors'!$C$15</f>
        <v>56.801117174279739</v>
      </c>
      <c r="BL101" s="382">
        <f t="shared" si="13"/>
        <v>258.7933801930605</v>
      </c>
      <c r="BM101" s="382">
        <f>VLOOKUP(BA101, 'Pile Data and Eurocode Factors'!$A$34:$J$39,3, FALSE)</f>
        <v>6572.7116301410997</v>
      </c>
      <c r="BN101" s="403">
        <f t="shared" si="14"/>
        <v>258.7933801930605</v>
      </c>
      <c r="BO101" s="419">
        <v>900</v>
      </c>
      <c r="BP101" s="382">
        <f>PI()*BO101/1000*( Pile!$C$24- Pile!$C101)</f>
        <v>10.178760197630922</v>
      </c>
      <c r="BQ101" s="382">
        <f t="shared" si="15"/>
        <v>0.63617251235193317</v>
      </c>
      <c r="BR101" s="382">
        <f t="shared" si="56"/>
        <v>203.57520395261844</v>
      </c>
      <c r="BS101" s="382">
        <f>BP101* Pile!$S$24</f>
        <v>0</v>
      </c>
      <c r="BT101" s="382">
        <f t="shared" si="61"/>
        <v>203.57520395261844</v>
      </c>
      <c r="BU101" s="382">
        <f>IF(BT101&gt;0,+BT101)/ 'Pile Data and Eurocode Factors'!$B$14/ 'Pile Data and Eurocode Factors'!$B$15+$BU$89</f>
        <v>242.39071562253696</v>
      </c>
      <c r="BV101" s="382">
        <f t="shared" si="67"/>
        <v>229.02210444669595</v>
      </c>
      <c r="BW101" s="382">
        <f>BQ101* Pile!$U$24</f>
        <v>0</v>
      </c>
      <c r="BX101" s="382">
        <f t="shared" si="16"/>
        <v>229.02210444669595</v>
      </c>
      <c r="BY101" s="382">
        <f>BX101/ 'Pile Data and Eurocode Factors'!$C$14/ 'Pile Data and Eurocode Factors'!$C$15</f>
        <v>81.793608730962845</v>
      </c>
      <c r="BZ101" s="382">
        <f t="shared" si="17"/>
        <v>324.18432435349979</v>
      </c>
      <c r="CA101" s="382">
        <f>VLOOKUP(BO101, 'Pile Data and Eurocode Factors'!$A$34:$J$39,3, FALSE)</f>
        <v>9464.7047474031824</v>
      </c>
      <c r="CB101" s="403">
        <f t="shared" si="18"/>
        <v>324.18432435349979</v>
      </c>
      <c r="CC101" s="419">
        <v>1050</v>
      </c>
      <c r="CD101" s="382">
        <f>PI()*CC101/1000*( Pile!$C$24- Pile!$C101)</f>
        <v>11.875220230569408</v>
      </c>
      <c r="CE101" s="382">
        <f t="shared" si="19"/>
        <v>0.86590147514568672</v>
      </c>
      <c r="CF101" s="382">
        <f t="shared" si="57"/>
        <v>237.50440461138817</v>
      </c>
      <c r="CG101" s="382">
        <f>CD101* Pile!$S$24</f>
        <v>0</v>
      </c>
      <c r="CH101" s="382">
        <f t="shared" si="68"/>
        <v>237.50440461138817</v>
      </c>
      <c r="CI101" s="382">
        <f>IF(CH101&gt;0,+CH101)/ 'Pile Data and Eurocode Factors'!$B$14/ 'Pile Data and Eurocode Factors'!$B$15+$CI$89</f>
        <v>282.7891682262931</v>
      </c>
      <c r="CJ101" s="382">
        <f t="shared" si="69"/>
        <v>311.72453105244722</v>
      </c>
      <c r="CK101" s="382">
        <f>CE101* Pile!$U$24</f>
        <v>0</v>
      </c>
      <c r="CL101" s="382">
        <f t="shared" si="20"/>
        <v>311.72453105244722</v>
      </c>
      <c r="CM101" s="382">
        <f>CL101/ 'Pile Data and Eurocode Factors'!$C$14/ 'Pile Data and Eurocode Factors'!$C$15</f>
        <v>111.33018966158829</v>
      </c>
      <c r="CN101" s="382">
        <f t="shared" si="21"/>
        <v>394.11935788788139</v>
      </c>
      <c r="CO101" s="382">
        <f>VLOOKUP(CC101, 'Pile Data and Eurocode Factors'!$A$34:$J$39,3, FALSE)</f>
        <v>12882.514795076555</v>
      </c>
      <c r="CP101" s="403">
        <f t="shared" si="22"/>
        <v>394.11935788788139</v>
      </c>
      <c r="CQ101" s="419">
        <v>1200</v>
      </c>
      <c r="CR101" s="382">
        <f>PI()*CQ101/1000*( Pile!$C$24- Pile!$C101)</f>
        <v>13.571680263507895</v>
      </c>
      <c r="CS101" s="382">
        <f t="shared" si="23"/>
        <v>1.1309733552923256</v>
      </c>
      <c r="CT101" s="382">
        <f t="shared" si="58"/>
        <v>271.4336052701579</v>
      </c>
      <c r="CU101" s="382">
        <f>CR101* Pile!$S$24</f>
        <v>0</v>
      </c>
      <c r="CV101" s="382">
        <f t="shared" si="70"/>
        <v>271.4336052701579</v>
      </c>
      <c r="CW101" s="382">
        <f>IF(CV101&gt;0,+CV101)/ 'Pile Data and Eurocode Factors'!$B$14/ 'Pile Data and Eurocode Factors'!$B$15+$CW$89</f>
        <v>323.18762083004924</v>
      </c>
      <c r="CX101" s="382">
        <f t="shared" si="71"/>
        <v>407.15040790523722</v>
      </c>
      <c r="CY101" s="382">
        <f>CS101* Pile!$U$24</f>
        <v>0</v>
      </c>
      <c r="CZ101" s="382">
        <f t="shared" si="24"/>
        <v>407.15040790523722</v>
      </c>
      <c r="DA101" s="382">
        <f>CZ101/ 'Pile Data and Eurocode Factors'!$C$14/ 'Pile Data and Eurocode Factors'!$C$15</f>
        <v>145.41085996615615</v>
      </c>
      <c r="DB101" s="382">
        <f t="shared" si="25"/>
        <v>468.59848079620542</v>
      </c>
      <c r="DC101" s="382">
        <f>VLOOKUP(CQ101, 'Pile Data and Eurocode Factors'!$A$34:$J$39,3, FALSE)</f>
        <v>16826.141773161216</v>
      </c>
      <c r="DD101" s="403">
        <f t="shared" si="26"/>
        <v>468.59848079620542</v>
      </c>
      <c r="DE101" s="420">
        <f xml:space="preserve"> Pile!$C$23- Pile!C101</f>
        <v>9.5999999999999979</v>
      </c>
      <c r="DG101" s="382">
        <f t="shared" si="52"/>
        <v>141.6437599940092</v>
      </c>
      <c r="DH101" s="382">
        <f t="shared" si="27"/>
        <v>197.94652540656367</v>
      </c>
      <c r="DI101" s="382">
        <f t="shared" si="28"/>
        <v>258.7933801930605</v>
      </c>
      <c r="DJ101" s="382">
        <f t="shared" si="29"/>
        <v>324.18432435349979</v>
      </c>
      <c r="DK101" s="382">
        <f t="shared" si="30"/>
        <v>394.11935788788139</v>
      </c>
      <c r="DL101" s="382">
        <f t="shared" si="53"/>
        <v>468.59848079620542</v>
      </c>
    </row>
    <row r="102" spans="1:116" s="308" customFormat="1" ht="15">
      <c r="B102" s="400">
        <v>13</v>
      </c>
      <c r="C102" s="401">
        <f>+C101- Pile!D$24/20</f>
        <v>-3.8999999999999968</v>
      </c>
      <c r="D102" s="415" t="str">
        <f>B24</f>
        <v>Firm Clay</v>
      </c>
      <c r="E102" s="415" t="str">
        <f>F24</f>
        <v>Cohesive</v>
      </c>
      <c r="F102" s="401">
        <f xml:space="preserve"> Pile!$E$24*(C101-C102)+F101</f>
        <v>171.15000000000003</v>
      </c>
      <c r="G102" s="401">
        <f>IF(C102&gt; Pile!$C$28,0,( Pile!$C$28-C102)*9.81)</f>
        <v>0</v>
      </c>
      <c r="H102" s="401">
        <f t="shared" si="0"/>
        <v>171.15000000000003</v>
      </c>
      <c r="I102" s="401">
        <f t="shared" si="64"/>
        <v>135.07499999999999</v>
      </c>
      <c r="J102" s="401">
        <f>IF(E102="Cohesive",(( Pile!$H$24- Pile!$G$24)/20)+J101,0)</f>
        <v>40</v>
      </c>
      <c r="K102" s="401">
        <f>IF(E102="Cohesive",( Pile!$G$24+ Pile!$J102)/2,0)</f>
        <v>40</v>
      </c>
      <c r="L102" s="401">
        <f>IF( Pile!I$24="",0, Pile!I$24)</f>
        <v>0.5</v>
      </c>
      <c r="M102" s="401">
        <f>IF( Pile!J$24="",0, Pile!J$24)</f>
        <v>9</v>
      </c>
      <c r="N102" s="401">
        <f>IF(E102="Granular", Pile!$K$24,0)</f>
        <v>0</v>
      </c>
      <c r="O102" s="416">
        <f>IF(AND(E102="Granular",D102&lt;&gt;"Made Ground"), Pile!$L$24,0)</f>
        <v>0</v>
      </c>
      <c r="P102" s="401">
        <f>IF(OR(D102="Low Density Chalk",D102="Medium Density Chalk"), Pile!$M$24,0)</f>
        <v>0</v>
      </c>
      <c r="Q102" s="417">
        <f>IF(D102="High Density Chalk", Pile!$N$24,0)</f>
        <v>0</v>
      </c>
      <c r="R102" s="401">
        <f>IF( Pile!O$24="",0, Pile!O$24)</f>
        <v>0</v>
      </c>
      <c r="S102" s="418">
        <f t="shared" si="31"/>
        <v>20</v>
      </c>
      <c r="T102" s="382">
        <f xml:space="preserve"> Pile!$T$24</f>
        <v>100</v>
      </c>
      <c r="U102" s="382">
        <f t="shared" si="32"/>
        <v>20</v>
      </c>
      <c r="V102" s="382">
        <f t="shared" si="2"/>
        <v>360</v>
      </c>
      <c r="W102" s="382" t="str">
        <f xml:space="preserve"> Pile!$V$24</f>
        <v/>
      </c>
      <c r="X102" s="382">
        <f t="shared" si="33"/>
        <v>360</v>
      </c>
      <c r="Y102" s="419">
        <v>450</v>
      </c>
      <c r="Z102" s="382">
        <f>PI()*Y102/1000*( Pile!$C$24- Pile!$C102)</f>
        <v>5.5134951070500824</v>
      </c>
      <c r="AA102" s="382">
        <f t="shared" si="3"/>
        <v>0.15904312808798329</v>
      </c>
      <c r="AB102" s="382">
        <f t="shared" si="34"/>
        <v>110.26990214100165</v>
      </c>
      <c r="AC102" s="382">
        <f>Z102* Pile!$S$24</f>
        <v>0</v>
      </c>
      <c r="AD102" s="382">
        <f t="shared" si="35"/>
        <v>110.26990214100165</v>
      </c>
      <c r="AE102" s="382">
        <f>IF(AD102&gt;0,+AD102)/ 'Pile Data and Eurocode Factors'!$B$14/ 'Pile Data and Eurocode Factors'!$B$15+$AE$89</f>
        <v>124.98209895622045</v>
      </c>
      <c r="AF102" s="382">
        <f t="shared" si="36"/>
        <v>57.255526111673987</v>
      </c>
      <c r="AG102" s="382">
        <f>AA102* Pile!$U$24</f>
        <v>0</v>
      </c>
      <c r="AH102" s="382">
        <f t="shared" si="4"/>
        <v>57.255526111673987</v>
      </c>
      <c r="AI102" s="382">
        <f>AH102/ 'Pile Data and Eurocode Factors'!$C$14/ 'Pile Data and Eurocode Factors'!$C$15</f>
        <v>20.448402182740711</v>
      </c>
      <c r="AJ102" s="382">
        <f t="shared" si="5"/>
        <v>145.43050113896118</v>
      </c>
      <c r="AK102" s="382">
        <f>VLOOKUP(Y102, 'Pile Data and Eurocode Factors'!$A$34:$J$39,3, FALSE)</f>
        <v>2366.1761868507956</v>
      </c>
      <c r="AL102" s="403">
        <f t="shared" si="6"/>
        <v>145.43050113896118</v>
      </c>
      <c r="AM102" s="419">
        <v>600</v>
      </c>
      <c r="AN102" s="382">
        <f>PI()*AM102/1000*( Pile!$C$24- Pile!$C102)</f>
        <v>7.3513268094001099</v>
      </c>
      <c r="AO102" s="382">
        <f t="shared" si="7"/>
        <v>0.28274333882308139</v>
      </c>
      <c r="AP102" s="382">
        <f t="shared" si="54"/>
        <v>147.02653618800218</v>
      </c>
      <c r="AQ102" s="382">
        <f>AN102* Pile!$S$24</f>
        <v>0</v>
      </c>
      <c r="AR102" s="382">
        <f t="shared" si="59"/>
        <v>147.02653618800218</v>
      </c>
      <c r="AS102" s="382">
        <f>IF(AR102&gt;0,+AR102)/ 'Pile Data and Eurocode Factors'!$B$14/ 'Pile Data and Eurocode Factors'!$B$15+$AS$89</f>
        <v>166.6427986082939</v>
      </c>
      <c r="AT102" s="382">
        <f t="shared" si="65"/>
        <v>101.7876019763093</v>
      </c>
      <c r="AU102" s="382">
        <f>AO102* Pile!$U$24</f>
        <v>0</v>
      </c>
      <c r="AV102" s="382">
        <f t="shared" si="8"/>
        <v>101.7876019763093</v>
      </c>
      <c r="AW102" s="382">
        <f>AV102/ 'Pile Data and Eurocode Factors'!$C$14/ 'Pile Data and Eurocode Factors'!$C$15</f>
        <v>36.352714991539038</v>
      </c>
      <c r="AX102" s="382">
        <f t="shared" si="9"/>
        <v>202.99551359983295</v>
      </c>
      <c r="AY102" s="382">
        <f>VLOOKUP(AM102, 'Pile Data and Eurocode Factors'!$A$34:$J$39,3, FALSE)</f>
        <v>4206.5354432903041</v>
      </c>
      <c r="AZ102" s="403">
        <f t="shared" si="10"/>
        <v>202.99551359983295</v>
      </c>
      <c r="BA102" s="419">
        <v>750</v>
      </c>
      <c r="BB102" s="382">
        <f>PI()*BA102/1000*( Pile!$C$24- Pile!$C102)</f>
        <v>9.1891585117501382</v>
      </c>
      <c r="BC102" s="382">
        <f t="shared" si="11"/>
        <v>0.44178646691106466</v>
      </c>
      <c r="BD102" s="382">
        <f t="shared" si="55"/>
        <v>183.78317023500276</v>
      </c>
      <c r="BE102" s="382">
        <f>BB102* Pile!$S$24</f>
        <v>0</v>
      </c>
      <c r="BF102" s="382">
        <f t="shared" si="60"/>
        <v>183.78317023500276</v>
      </c>
      <c r="BG102" s="382">
        <f>IF(BF102&gt;0,+BF102)/ 'Pile Data and Eurocode Factors'!$B$14/ 'Pile Data and Eurocode Factors'!$B$15+$BG$89</f>
        <v>208.30349826036741</v>
      </c>
      <c r="BH102" s="382">
        <f t="shared" si="66"/>
        <v>159.04312808798326</v>
      </c>
      <c r="BI102" s="382">
        <f>BC102* Pile!$U$24</f>
        <v>0</v>
      </c>
      <c r="BJ102" s="382">
        <f t="shared" si="12"/>
        <v>159.04312808798326</v>
      </c>
      <c r="BK102" s="382">
        <f>BJ102/ 'Pile Data and Eurocode Factors'!$C$14/ 'Pile Data and Eurocode Factors'!$C$15</f>
        <v>56.801117174279739</v>
      </c>
      <c r="BL102" s="382">
        <f t="shared" si="13"/>
        <v>265.10461543464714</v>
      </c>
      <c r="BM102" s="382">
        <f>VLOOKUP(BA102, 'Pile Data and Eurocode Factors'!$A$34:$J$39,3, FALSE)</f>
        <v>6572.7116301410997</v>
      </c>
      <c r="BN102" s="403">
        <f t="shared" si="14"/>
        <v>265.10461543464714</v>
      </c>
      <c r="BO102" s="419">
        <v>900</v>
      </c>
      <c r="BP102" s="382">
        <f>PI()*BO102/1000*( Pile!$C$24- Pile!$C102)</f>
        <v>11.026990214100165</v>
      </c>
      <c r="BQ102" s="382">
        <f t="shared" si="15"/>
        <v>0.63617251235193317</v>
      </c>
      <c r="BR102" s="382">
        <f t="shared" si="56"/>
        <v>220.5398042820033</v>
      </c>
      <c r="BS102" s="382">
        <f>BP102* Pile!$S$24</f>
        <v>0</v>
      </c>
      <c r="BT102" s="382">
        <f t="shared" si="61"/>
        <v>220.5398042820033</v>
      </c>
      <c r="BU102" s="382">
        <f>IF(BT102&gt;0,+BT102)/ 'Pile Data and Eurocode Factors'!$B$14/ 'Pile Data and Eurocode Factors'!$B$15+$BU$89</f>
        <v>249.96419791244091</v>
      </c>
      <c r="BV102" s="382">
        <f t="shared" si="67"/>
        <v>229.02210444669595</v>
      </c>
      <c r="BW102" s="382">
        <f>BQ102* Pile!$U$24</f>
        <v>0</v>
      </c>
      <c r="BX102" s="382">
        <f t="shared" si="16"/>
        <v>229.02210444669595</v>
      </c>
      <c r="BY102" s="382">
        <f>BX102/ 'Pile Data and Eurocode Factors'!$C$14/ 'Pile Data and Eurocode Factors'!$C$15</f>
        <v>81.793608730962845</v>
      </c>
      <c r="BZ102" s="382">
        <f t="shared" si="17"/>
        <v>331.75780664340374</v>
      </c>
      <c r="CA102" s="382">
        <f>VLOOKUP(BO102, 'Pile Data and Eurocode Factors'!$A$34:$J$39,3, FALSE)</f>
        <v>9464.7047474031824</v>
      </c>
      <c r="CB102" s="403">
        <f t="shared" si="18"/>
        <v>331.75780664340374</v>
      </c>
      <c r="CC102" s="419">
        <v>1050</v>
      </c>
      <c r="CD102" s="382">
        <f>PI()*CC102/1000*( Pile!$C$24- Pile!$C102)</f>
        <v>12.864821916450193</v>
      </c>
      <c r="CE102" s="382">
        <f t="shared" si="19"/>
        <v>0.86590147514568672</v>
      </c>
      <c r="CF102" s="382">
        <f t="shared" si="57"/>
        <v>257.29643832900388</v>
      </c>
      <c r="CG102" s="382">
        <f>CD102* Pile!$S$24</f>
        <v>0</v>
      </c>
      <c r="CH102" s="382">
        <f t="shared" si="68"/>
        <v>257.29643832900388</v>
      </c>
      <c r="CI102" s="382">
        <f>IF(CH102&gt;0,+CH102)/ 'Pile Data and Eurocode Factors'!$B$14/ 'Pile Data and Eurocode Factors'!$B$15+$CI$89</f>
        <v>291.62489756451436</v>
      </c>
      <c r="CJ102" s="382">
        <f t="shared" si="69"/>
        <v>311.72453105244722</v>
      </c>
      <c r="CK102" s="382">
        <f>CE102* Pile!$U$24</f>
        <v>0</v>
      </c>
      <c r="CL102" s="382">
        <f t="shared" si="20"/>
        <v>311.72453105244722</v>
      </c>
      <c r="CM102" s="382">
        <f>CL102/ 'Pile Data and Eurocode Factors'!$C$14/ 'Pile Data and Eurocode Factors'!$C$15</f>
        <v>111.33018966158829</v>
      </c>
      <c r="CN102" s="382">
        <f t="shared" si="21"/>
        <v>402.95508722610265</v>
      </c>
      <c r="CO102" s="382">
        <f>VLOOKUP(CC102, 'Pile Data and Eurocode Factors'!$A$34:$J$39,3, FALSE)</f>
        <v>12882.514795076555</v>
      </c>
      <c r="CP102" s="403">
        <f t="shared" si="22"/>
        <v>402.95508722610265</v>
      </c>
      <c r="CQ102" s="419">
        <v>1200</v>
      </c>
      <c r="CR102" s="382">
        <f>PI()*CQ102/1000*( Pile!$C$24- Pile!$C102)</f>
        <v>14.70265361880022</v>
      </c>
      <c r="CS102" s="382">
        <f t="shared" si="23"/>
        <v>1.1309733552923256</v>
      </c>
      <c r="CT102" s="382">
        <f t="shared" si="58"/>
        <v>294.05307237600437</v>
      </c>
      <c r="CU102" s="382">
        <f>CR102* Pile!$S$24</f>
        <v>0</v>
      </c>
      <c r="CV102" s="382">
        <f t="shared" si="70"/>
        <v>294.05307237600437</v>
      </c>
      <c r="CW102" s="382">
        <f>IF(CV102&gt;0,+CV102)/ 'Pile Data and Eurocode Factors'!$B$14/ 'Pile Data and Eurocode Factors'!$B$15+$CW$89</f>
        <v>333.2855972165878</v>
      </c>
      <c r="CX102" s="382">
        <f t="shared" si="71"/>
        <v>407.15040790523722</v>
      </c>
      <c r="CY102" s="382">
        <f>CS102* Pile!$U$24</f>
        <v>0</v>
      </c>
      <c r="CZ102" s="382">
        <f t="shared" si="24"/>
        <v>407.15040790523722</v>
      </c>
      <c r="DA102" s="382">
        <f>CZ102/ 'Pile Data and Eurocode Factors'!$C$14/ 'Pile Data and Eurocode Factors'!$C$15</f>
        <v>145.41085996615615</v>
      </c>
      <c r="DB102" s="382">
        <f t="shared" si="25"/>
        <v>478.69645718274398</v>
      </c>
      <c r="DC102" s="382">
        <f>VLOOKUP(CQ102, 'Pile Data and Eurocode Factors'!$A$34:$J$39,3, FALSE)</f>
        <v>16826.141773161216</v>
      </c>
      <c r="DD102" s="403">
        <f t="shared" si="26"/>
        <v>478.69645718274398</v>
      </c>
      <c r="DE102" s="420">
        <f xml:space="preserve"> Pile!$C$23- Pile!C102</f>
        <v>9.8999999999999968</v>
      </c>
      <c r="DG102" s="382">
        <f t="shared" si="52"/>
        <v>145.43050113896118</v>
      </c>
      <c r="DH102" s="382">
        <f t="shared" si="27"/>
        <v>202.99551359983295</v>
      </c>
      <c r="DI102" s="382">
        <f t="shared" si="28"/>
        <v>265.10461543464714</v>
      </c>
      <c r="DJ102" s="382">
        <f t="shared" si="29"/>
        <v>331.75780664340374</v>
      </c>
      <c r="DK102" s="382">
        <f t="shared" si="30"/>
        <v>402.95508722610265</v>
      </c>
      <c r="DL102" s="382">
        <f t="shared" si="53"/>
        <v>478.69645718274398</v>
      </c>
    </row>
    <row r="103" spans="1:116" s="308" customFormat="1" ht="15">
      <c r="B103" s="400">
        <v>14</v>
      </c>
      <c r="C103" s="401">
        <f>+C102- Pile!D$24/20</f>
        <v>-4.1999999999999966</v>
      </c>
      <c r="D103" s="415" t="str">
        <f>B24</f>
        <v>Firm Clay</v>
      </c>
      <c r="E103" s="415" t="str">
        <f>F24</f>
        <v>Cohesive</v>
      </c>
      <c r="F103" s="401">
        <f xml:space="preserve"> Pile!$E$24*(C102-C103)+F102</f>
        <v>176.70000000000005</v>
      </c>
      <c r="G103" s="401">
        <f>IF(C103&gt; Pile!$C$28,0,( Pile!$C$28-C103)*9.81)</f>
        <v>0</v>
      </c>
      <c r="H103" s="401">
        <f t="shared" si="0"/>
        <v>176.70000000000005</v>
      </c>
      <c r="I103" s="401">
        <f t="shared" si="64"/>
        <v>137.85000000000002</v>
      </c>
      <c r="J103" s="401">
        <f>IF(E103="Cohesive",(( Pile!$H$24- Pile!$G$24)/20)+J102,0)</f>
        <v>40</v>
      </c>
      <c r="K103" s="401">
        <f>IF(E103="Cohesive",( Pile!$G$24+ Pile!$J103)/2,0)</f>
        <v>40</v>
      </c>
      <c r="L103" s="401">
        <f>IF( Pile!I$24="",0, Pile!I$24)</f>
        <v>0.5</v>
      </c>
      <c r="M103" s="401">
        <f>IF( Pile!J$24="",0, Pile!J$24)</f>
        <v>9</v>
      </c>
      <c r="N103" s="401">
        <f>IF(E103="Granular", Pile!$K$24,0)</f>
        <v>0</v>
      </c>
      <c r="O103" s="416">
        <f>IF(AND(E103="Granular",D103&lt;&gt;"Made Ground"), Pile!$L$24,0)</f>
        <v>0</v>
      </c>
      <c r="P103" s="401">
        <f>IF(OR(D103="Low Density Chalk",D103="Medium Density Chalk"), Pile!$M$24,0)</f>
        <v>0</v>
      </c>
      <c r="Q103" s="417">
        <f>IF(D103="High Density Chalk", Pile!$N$24,0)</f>
        <v>0</v>
      </c>
      <c r="R103" s="401">
        <f>IF( Pile!O$24="",0, Pile!O$24)</f>
        <v>0</v>
      </c>
      <c r="S103" s="418">
        <f t="shared" si="31"/>
        <v>20</v>
      </c>
      <c r="T103" s="382">
        <f xml:space="preserve"> Pile!$T$24</f>
        <v>100</v>
      </c>
      <c r="U103" s="382">
        <f t="shared" si="32"/>
        <v>20</v>
      </c>
      <c r="V103" s="382">
        <f t="shared" si="2"/>
        <v>360</v>
      </c>
      <c r="W103" s="382" t="str">
        <f xml:space="preserve"> Pile!$V$24</f>
        <v/>
      </c>
      <c r="X103" s="382">
        <f t="shared" si="33"/>
        <v>360</v>
      </c>
      <c r="Y103" s="419">
        <v>450</v>
      </c>
      <c r="Z103" s="382">
        <f>PI()*Y103/1000*( Pile!$C$24- Pile!$C103)</f>
        <v>5.9376101152847038</v>
      </c>
      <c r="AA103" s="382">
        <f t="shared" si="3"/>
        <v>0.15904312808798329</v>
      </c>
      <c r="AB103" s="382">
        <f t="shared" si="34"/>
        <v>118.75220230569408</v>
      </c>
      <c r="AC103" s="382">
        <f>Z103* Pile!$S$24</f>
        <v>0</v>
      </c>
      <c r="AD103" s="382">
        <f t="shared" si="35"/>
        <v>118.75220230569408</v>
      </c>
      <c r="AE103" s="382">
        <f>IF(AD103&gt;0,+AD103)/ 'Pile Data and Eurocode Factors'!$B$14/ 'Pile Data and Eurocode Factors'!$B$15+$AE$89</f>
        <v>128.76884010117243</v>
      </c>
      <c r="AF103" s="382">
        <f t="shared" si="36"/>
        <v>57.255526111673987</v>
      </c>
      <c r="AG103" s="382">
        <f>AA103* Pile!$U$24</f>
        <v>0</v>
      </c>
      <c r="AH103" s="382">
        <f t="shared" si="4"/>
        <v>57.255526111673987</v>
      </c>
      <c r="AI103" s="382">
        <f>AH103/ 'Pile Data and Eurocode Factors'!$C$14/ 'Pile Data and Eurocode Factors'!$C$15</f>
        <v>20.448402182740711</v>
      </c>
      <c r="AJ103" s="382">
        <f t="shared" si="5"/>
        <v>149.21724228391315</v>
      </c>
      <c r="AK103" s="382">
        <f>VLOOKUP(Y103, 'Pile Data and Eurocode Factors'!$A$34:$J$39,3, FALSE)</f>
        <v>2366.1761868507956</v>
      </c>
      <c r="AL103" s="403">
        <f t="shared" si="6"/>
        <v>149.21724228391315</v>
      </c>
      <c r="AM103" s="419">
        <v>600</v>
      </c>
      <c r="AN103" s="382">
        <f>PI()*AM103/1000*( Pile!$C$24- Pile!$C103)</f>
        <v>7.9168134870462721</v>
      </c>
      <c r="AO103" s="382">
        <f t="shared" si="7"/>
        <v>0.28274333882308139</v>
      </c>
      <c r="AP103" s="382">
        <f t="shared" si="54"/>
        <v>158.33626974092545</v>
      </c>
      <c r="AQ103" s="382">
        <f>AN103* Pile!$S$24</f>
        <v>0</v>
      </c>
      <c r="AR103" s="382">
        <f t="shared" si="59"/>
        <v>158.33626974092545</v>
      </c>
      <c r="AS103" s="382">
        <f>IF(AR103&gt;0,+AR103)/ 'Pile Data and Eurocode Factors'!$B$14/ 'Pile Data and Eurocode Factors'!$B$15+$AS$89</f>
        <v>171.69178680156324</v>
      </c>
      <c r="AT103" s="382">
        <f t="shared" si="65"/>
        <v>101.7876019763093</v>
      </c>
      <c r="AU103" s="382">
        <f>AO103* Pile!$U$24</f>
        <v>0</v>
      </c>
      <c r="AV103" s="382">
        <f t="shared" si="8"/>
        <v>101.7876019763093</v>
      </c>
      <c r="AW103" s="382">
        <f>AV103/ 'Pile Data and Eurocode Factors'!$C$14/ 'Pile Data and Eurocode Factors'!$C$15</f>
        <v>36.352714991539038</v>
      </c>
      <c r="AX103" s="382">
        <f t="shared" si="9"/>
        <v>208.04450179310228</v>
      </c>
      <c r="AY103" s="382">
        <f>VLOOKUP(AM103, 'Pile Data and Eurocode Factors'!$A$34:$J$39,3, FALSE)</f>
        <v>4206.5354432903041</v>
      </c>
      <c r="AZ103" s="403">
        <f t="shared" si="10"/>
        <v>208.04450179310228</v>
      </c>
      <c r="BA103" s="419">
        <v>750</v>
      </c>
      <c r="BB103" s="382">
        <f>PI()*BA103/1000*( Pile!$C$24- Pile!$C103)</f>
        <v>9.8960168588078403</v>
      </c>
      <c r="BC103" s="382">
        <f t="shared" si="11"/>
        <v>0.44178646691106466</v>
      </c>
      <c r="BD103" s="382">
        <f t="shared" si="55"/>
        <v>197.92033717615681</v>
      </c>
      <c r="BE103" s="382">
        <f>BB103* Pile!$S$24</f>
        <v>0</v>
      </c>
      <c r="BF103" s="382">
        <f t="shared" si="60"/>
        <v>197.92033717615681</v>
      </c>
      <c r="BG103" s="382">
        <f>IF(BF103&gt;0,+BF103)/ 'Pile Data and Eurocode Factors'!$B$14/ 'Pile Data and Eurocode Factors'!$B$15+$BG$89</f>
        <v>214.61473350195405</v>
      </c>
      <c r="BH103" s="382">
        <f t="shared" si="66"/>
        <v>159.04312808798326</v>
      </c>
      <c r="BI103" s="382">
        <f>BC103* Pile!$U$24</f>
        <v>0</v>
      </c>
      <c r="BJ103" s="382">
        <f t="shared" si="12"/>
        <v>159.04312808798326</v>
      </c>
      <c r="BK103" s="382">
        <f>BJ103/ 'Pile Data and Eurocode Factors'!$C$14/ 'Pile Data and Eurocode Factors'!$C$15</f>
        <v>56.801117174279739</v>
      </c>
      <c r="BL103" s="382">
        <f t="shared" si="13"/>
        <v>271.41585067623379</v>
      </c>
      <c r="BM103" s="382">
        <f>VLOOKUP(BA103, 'Pile Data and Eurocode Factors'!$A$34:$J$39,3, FALSE)</f>
        <v>6572.7116301410997</v>
      </c>
      <c r="BN103" s="403">
        <f t="shared" si="14"/>
        <v>271.41585067623379</v>
      </c>
      <c r="BO103" s="419">
        <v>900</v>
      </c>
      <c r="BP103" s="382">
        <f>PI()*BO103/1000*( Pile!$C$24- Pile!$C103)</f>
        <v>11.875220230569408</v>
      </c>
      <c r="BQ103" s="382">
        <f t="shared" si="15"/>
        <v>0.63617251235193317</v>
      </c>
      <c r="BR103" s="382">
        <f t="shared" si="56"/>
        <v>237.50440461138817</v>
      </c>
      <c r="BS103" s="382">
        <f>BP103* Pile!$S$24</f>
        <v>0</v>
      </c>
      <c r="BT103" s="382">
        <f t="shared" si="61"/>
        <v>237.50440461138817</v>
      </c>
      <c r="BU103" s="382">
        <f>IF(BT103&gt;0,+BT103)/ 'Pile Data and Eurocode Factors'!$B$14/ 'Pile Data and Eurocode Factors'!$B$15+$BU$89</f>
        <v>257.53768020234486</v>
      </c>
      <c r="BV103" s="382">
        <f t="shared" si="67"/>
        <v>229.02210444669595</v>
      </c>
      <c r="BW103" s="382">
        <f>BQ103* Pile!$U$24</f>
        <v>0</v>
      </c>
      <c r="BX103" s="382">
        <f t="shared" si="16"/>
        <v>229.02210444669595</v>
      </c>
      <c r="BY103" s="382">
        <f>BX103/ 'Pile Data and Eurocode Factors'!$C$14/ 'Pile Data and Eurocode Factors'!$C$15</f>
        <v>81.793608730962845</v>
      </c>
      <c r="BZ103" s="382">
        <f t="shared" si="17"/>
        <v>339.33128893330769</v>
      </c>
      <c r="CA103" s="382">
        <f>VLOOKUP(BO103, 'Pile Data and Eurocode Factors'!$A$34:$J$39,3, FALSE)</f>
        <v>9464.7047474031824</v>
      </c>
      <c r="CB103" s="403">
        <f t="shared" si="18"/>
        <v>339.33128893330769</v>
      </c>
      <c r="CC103" s="419">
        <v>1050</v>
      </c>
      <c r="CD103" s="382">
        <f>PI()*CC103/1000*( Pile!$C$24- Pile!$C103)</f>
        <v>13.854423602330977</v>
      </c>
      <c r="CE103" s="382">
        <f t="shared" si="19"/>
        <v>0.86590147514568672</v>
      </c>
      <c r="CF103" s="382">
        <f t="shared" si="57"/>
        <v>277.08847204661953</v>
      </c>
      <c r="CG103" s="382">
        <f>CD103* Pile!$S$24</f>
        <v>0</v>
      </c>
      <c r="CH103" s="382">
        <f t="shared" si="68"/>
        <v>277.08847204661953</v>
      </c>
      <c r="CI103" s="382">
        <f>IF(CH103&gt;0,+CH103)/ 'Pile Data and Eurocode Factors'!$B$14/ 'Pile Data and Eurocode Factors'!$B$15+$CI$89</f>
        <v>300.46062690273561</v>
      </c>
      <c r="CJ103" s="382">
        <f t="shared" si="69"/>
        <v>311.72453105244722</v>
      </c>
      <c r="CK103" s="382">
        <f>CE103* Pile!$U$24</f>
        <v>0</v>
      </c>
      <c r="CL103" s="382">
        <f t="shared" si="20"/>
        <v>311.72453105244722</v>
      </c>
      <c r="CM103" s="382">
        <f>CL103/ 'Pile Data and Eurocode Factors'!$C$14/ 'Pile Data and Eurocode Factors'!$C$15</f>
        <v>111.33018966158829</v>
      </c>
      <c r="CN103" s="382">
        <f t="shared" si="21"/>
        <v>411.7908165643239</v>
      </c>
      <c r="CO103" s="382">
        <f>VLOOKUP(CC103, 'Pile Data and Eurocode Factors'!$A$34:$J$39,3, FALSE)</f>
        <v>12882.514795076555</v>
      </c>
      <c r="CP103" s="403">
        <f t="shared" si="22"/>
        <v>411.7908165643239</v>
      </c>
      <c r="CQ103" s="419">
        <v>1200</v>
      </c>
      <c r="CR103" s="382">
        <f>PI()*CQ103/1000*( Pile!$C$24- Pile!$C103)</f>
        <v>15.833626974092544</v>
      </c>
      <c r="CS103" s="382">
        <f t="shared" si="23"/>
        <v>1.1309733552923256</v>
      </c>
      <c r="CT103" s="382">
        <f t="shared" si="58"/>
        <v>316.67253948185089</v>
      </c>
      <c r="CU103" s="382">
        <f>CR103* Pile!$S$24</f>
        <v>0</v>
      </c>
      <c r="CV103" s="382">
        <f t="shared" si="70"/>
        <v>316.67253948185089</v>
      </c>
      <c r="CW103" s="382">
        <f>IF(CV103&gt;0,+CV103)/ 'Pile Data and Eurocode Factors'!$B$14/ 'Pile Data and Eurocode Factors'!$B$15+$CW$89</f>
        <v>343.38357360312648</v>
      </c>
      <c r="CX103" s="382">
        <f t="shared" si="71"/>
        <v>407.15040790523722</v>
      </c>
      <c r="CY103" s="382">
        <f>CS103* Pile!$U$24</f>
        <v>0</v>
      </c>
      <c r="CZ103" s="382">
        <f t="shared" si="24"/>
        <v>407.15040790523722</v>
      </c>
      <c r="DA103" s="382">
        <f>CZ103/ 'Pile Data and Eurocode Factors'!$C$14/ 'Pile Data and Eurocode Factors'!$C$15</f>
        <v>145.41085996615615</v>
      </c>
      <c r="DB103" s="382">
        <f t="shared" si="25"/>
        <v>488.79443356928266</v>
      </c>
      <c r="DC103" s="382">
        <f>VLOOKUP(CQ103, 'Pile Data and Eurocode Factors'!$A$34:$J$39,3, FALSE)</f>
        <v>16826.141773161216</v>
      </c>
      <c r="DD103" s="403">
        <f t="shared" si="26"/>
        <v>488.79443356928266</v>
      </c>
      <c r="DE103" s="420">
        <f xml:space="preserve"> Pile!$C$23- Pile!C103</f>
        <v>10.199999999999996</v>
      </c>
      <c r="DG103" s="382">
        <f t="shared" si="52"/>
        <v>149.21724228391315</v>
      </c>
      <c r="DH103" s="382">
        <f t="shared" si="27"/>
        <v>208.04450179310228</v>
      </c>
      <c r="DI103" s="382">
        <f t="shared" si="28"/>
        <v>271.41585067623379</v>
      </c>
      <c r="DJ103" s="382">
        <f t="shared" si="29"/>
        <v>339.33128893330769</v>
      </c>
      <c r="DK103" s="382">
        <f t="shared" si="30"/>
        <v>411.7908165643239</v>
      </c>
      <c r="DL103" s="382">
        <f t="shared" si="53"/>
        <v>488.79443356928266</v>
      </c>
    </row>
    <row r="104" spans="1:116" s="308" customFormat="1" ht="15">
      <c r="B104" s="400">
        <v>15</v>
      </c>
      <c r="C104" s="401">
        <f>+C103- Pile!D$24/20</f>
        <v>-4.4999999999999964</v>
      </c>
      <c r="D104" s="415" t="str">
        <f>B24</f>
        <v>Firm Clay</v>
      </c>
      <c r="E104" s="415" t="str">
        <f>F24</f>
        <v>Cohesive</v>
      </c>
      <c r="F104" s="401">
        <f xml:space="preserve"> Pile!$E$24*(C103-C104)+F103</f>
        <v>182.25000000000006</v>
      </c>
      <c r="G104" s="401">
        <f>IF(C104&gt; Pile!$C$28,0,( Pile!$C$28-C104)*9.81)</f>
        <v>0</v>
      </c>
      <c r="H104" s="401">
        <f t="shared" si="0"/>
        <v>182.25000000000006</v>
      </c>
      <c r="I104" s="401">
        <f t="shared" si="64"/>
        <v>140.625</v>
      </c>
      <c r="J104" s="401">
        <f>IF(E104="Cohesive",(( Pile!$H$24- Pile!$G$24)/20)+J103,0)</f>
        <v>40</v>
      </c>
      <c r="K104" s="401">
        <f>IF(E104="Cohesive",( Pile!$G$24+ Pile!$J104)/2,0)</f>
        <v>40</v>
      </c>
      <c r="L104" s="401">
        <f>IF( Pile!I$24="",0, Pile!I$24)</f>
        <v>0.5</v>
      </c>
      <c r="M104" s="401">
        <f>IF( Pile!J$24="",0, Pile!J$24)</f>
        <v>9</v>
      </c>
      <c r="N104" s="401">
        <f>IF(E104="Granular", Pile!$K$24,0)</f>
        <v>0</v>
      </c>
      <c r="O104" s="416">
        <f>IF(AND(E104="Granular",D104&lt;&gt;"Made Ground"), Pile!$L$24,0)</f>
        <v>0</v>
      </c>
      <c r="P104" s="401">
        <f>IF(OR(D104="Low Density Chalk",D104="Medium Density Chalk"), Pile!$M$24,0)</f>
        <v>0</v>
      </c>
      <c r="Q104" s="417">
        <f>IF(D104="High Density Chalk", Pile!$N$24,0)</f>
        <v>0</v>
      </c>
      <c r="R104" s="401">
        <f>IF( Pile!O$24="",0, Pile!O$24)</f>
        <v>0</v>
      </c>
      <c r="S104" s="418">
        <f t="shared" si="31"/>
        <v>20</v>
      </c>
      <c r="T104" s="382">
        <f xml:space="preserve"> Pile!$T$24</f>
        <v>100</v>
      </c>
      <c r="U104" s="382">
        <f t="shared" si="32"/>
        <v>20</v>
      </c>
      <c r="V104" s="382">
        <f t="shared" si="2"/>
        <v>360</v>
      </c>
      <c r="W104" s="382" t="str">
        <f xml:space="preserve"> Pile!$V$24</f>
        <v/>
      </c>
      <c r="X104" s="382">
        <f t="shared" si="33"/>
        <v>360</v>
      </c>
      <c r="Y104" s="419">
        <v>450</v>
      </c>
      <c r="Z104" s="382">
        <f>PI()*Y104/1000*( Pile!$C$24- Pile!$C104)</f>
        <v>6.3617251235193262</v>
      </c>
      <c r="AA104" s="382">
        <f t="shared" si="3"/>
        <v>0.15904312808798329</v>
      </c>
      <c r="AB104" s="382">
        <f t="shared" si="34"/>
        <v>127.23450247038653</v>
      </c>
      <c r="AC104" s="382">
        <f>Z104* Pile!$S$24</f>
        <v>0</v>
      </c>
      <c r="AD104" s="382">
        <f t="shared" si="35"/>
        <v>127.23450247038653</v>
      </c>
      <c r="AE104" s="382">
        <f>IF(AD104&gt;0,+AD104)/ 'Pile Data and Eurocode Factors'!$B$14/ 'Pile Data and Eurocode Factors'!$B$15+$AE$89</f>
        <v>132.55558124612443</v>
      </c>
      <c r="AF104" s="382">
        <f t="shared" si="36"/>
        <v>57.255526111673987</v>
      </c>
      <c r="AG104" s="382">
        <f>AA104* Pile!$U$24</f>
        <v>0</v>
      </c>
      <c r="AH104" s="382">
        <f t="shared" si="4"/>
        <v>57.255526111673987</v>
      </c>
      <c r="AI104" s="382">
        <f>AH104/ 'Pile Data and Eurocode Factors'!$C$14/ 'Pile Data and Eurocode Factors'!$C$15</f>
        <v>20.448402182740711</v>
      </c>
      <c r="AJ104" s="382">
        <f t="shared" si="5"/>
        <v>153.00398342886515</v>
      </c>
      <c r="AK104" s="382">
        <f>VLOOKUP(Y104, 'Pile Data and Eurocode Factors'!$A$34:$J$39,3, FALSE)</f>
        <v>2366.1761868507956</v>
      </c>
      <c r="AL104" s="403">
        <f t="shared" si="6"/>
        <v>153.00398342886515</v>
      </c>
      <c r="AM104" s="419">
        <v>600</v>
      </c>
      <c r="AN104" s="382">
        <f>PI()*AM104/1000*( Pile!$C$24- Pile!$C104)</f>
        <v>8.4823001646924343</v>
      </c>
      <c r="AO104" s="382">
        <f t="shared" si="7"/>
        <v>0.28274333882308139</v>
      </c>
      <c r="AP104" s="382">
        <f t="shared" si="54"/>
        <v>169.64600329384868</v>
      </c>
      <c r="AQ104" s="382">
        <f>AN104* Pile!$S$24</f>
        <v>0</v>
      </c>
      <c r="AR104" s="382">
        <f t="shared" si="59"/>
        <v>169.64600329384868</v>
      </c>
      <c r="AS104" s="382">
        <f>IF(AR104&gt;0,+AR104)/ 'Pile Data and Eurocode Factors'!$B$14/ 'Pile Data and Eurocode Factors'!$B$15+$AS$89</f>
        <v>176.74077499483252</v>
      </c>
      <c r="AT104" s="382">
        <f t="shared" si="65"/>
        <v>101.7876019763093</v>
      </c>
      <c r="AU104" s="382">
        <f>AO104* Pile!$U$24</f>
        <v>0</v>
      </c>
      <c r="AV104" s="382">
        <f t="shared" si="8"/>
        <v>101.7876019763093</v>
      </c>
      <c r="AW104" s="382">
        <f>AV104/ 'Pile Data and Eurocode Factors'!$C$14/ 'Pile Data and Eurocode Factors'!$C$15</f>
        <v>36.352714991539038</v>
      </c>
      <c r="AX104" s="382">
        <f t="shared" si="9"/>
        <v>213.09348998637157</v>
      </c>
      <c r="AY104" s="382">
        <f>VLOOKUP(AM104, 'Pile Data and Eurocode Factors'!$A$34:$J$39,3, FALSE)</f>
        <v>4206.5354432903041</v>
      </c>
      <c r="AZ104" s="403">
        <f t="shared" si="10"/>
        <v>213.09348998637157</v>
      </c>
      <c r="BA104" s="419">
        <v>750</v>
      </c>
      <c r="BB104" s="382">
        <f>PI()*BA104/1000*( Pile!$C$24- Pile!$C104)</f>
        <v>10.602875205865544</v>
      </c>
      <c r="BC104" s="382">
        <f t="shared" si="11"/>
        <v>0.44178646691106466</v>
      </c>
      <c r="BD104" s="382">
        <f t="shared" si="55"/>
        <v>212.05750411731088</v>
      </c>
      <c r="BE104" s="382">
        <f>BB104* Pile!$S$24</f>
        <v>0</v>
      </c>
      <c r="BF104" s="382">
        <f t="shared" si="60"/>
        <v>212.05750411731088</v>
      </c>
      <c r="BG104" s="382">
        <f>IF(BF104&gt;0,+BF104)/ 'Pile Data and Eurocode Factors'!$B$14/ 'Pile Data and Eurocode Factors'!$B$15+$BG$89</f>
        <v>220.92596874354066</v>
      </c>
      <c r="BH104" s="382">
        <f t="shared" si="66"/>
        <v>159.04312808798326</v>
      </c>
      <c r="BI104" s="382">
        <f>BC104* Pile!$U$24</f>
        <v>0</v>
      </c>
      <c r="BJ104" s="382">
        <f t="shared" si="12"/>
        <v>159.04312808798326</v>
      </c>
      <c r="BK104" s="382">
        <f>BJ104/ 'Pile Data and Eurocode Factors'!$C$14/ 'Pile Data and Eurocode Factors'!$C$15</f>
        <v>56.801117174279739</v>
      </c>
      <c r="BL104" s="382">
        <f t="shared" si="13"/>
        <v>277.72708591782043</v>
      </c>
      <c r="BM104" s="382">
        <f>VLOOKUP(BA104, 'Pile Data and Eurocode Factors'!$A$34:$J$39,3, FALSE)</f>
        <v>6572.7116301410997</v>
      </c>
      <c r="BN104" s="403">
        <f t="shared" si="14"/>
        <v>277.72708591782043</v>
      </c>
      <c r="BO104" s="419">
        <v>900</v>
      </c>
      <c r="BP104" s="382">
        <f>PI()*BO104/1000*( Pile!$C$24- Pile!$C104)</f>
        <v>12.723450247038652</v>
      </c>
      <c r="BQ104" s="382">
        <f t="shared" si="15"/>
        <v>0.63617251235193317</v>
      </c>
      <c r="BR104" s="382">
        <f t="shared" si="56"/>
        <v>254.46900494077306</v>
      </c>
      <c r="BS104" s="382">
        <f>BP104* Pile!$S$24</f>
        <v>0</v>
      </c>
      <c r="BT104" s="382">
        <f t="shared" si="61"/>
        <v>254.46900494077306</v>
      </c>
      <c r="BU104" s="382">
        <f>IF(BT104&gt;0,+BT104)/ 'Pile Data and Eurocode Factors'!$B$14/ 'Pile Data and Eurocode Factors'!$B$15+$BU$89</f>
        <v>265.11116249224887</v>
      </c>
      <c r="BV104" s="382">
        <f t="shared" si="67"/>
        <v>229.02210444669595</v>
      </c>
      <c r="BW104" s="382">
        <f>BQ104* Pile!$U$24</f>
        <v>0</v>
      </c>
      <c r="BX104" s="382">
        <f t="shared" si="16"/>
        <v>229.02210444669595</v>
      </c>
      <c r="BY104" s="382">
        <f>BX104/ 'Pile Data and Eurocode Factors'!$C$14/ 'Pile Data and Eurocode Factors'!$C$15</f>
        <v>81.793608730962845</v>
      </c>
      <c r="BZ104" s="382">
        <f t="shared" si="17"/>
        <v>346.9047712232117</v>
      </c>
      <c r="CA104" s="382">
        <f>VLOOKUP(BO104, 'Pile Data and Eurocode Factors'!$A$34:$J$39,3, FALSE)</f>
        <v>9464.7047474031824</v>
      </c>
      <c r="CB104" s="403">
        <f t="shared" si="18"/>
        <v>346.9047712232117</v>
      </c>
      <c r="CC104" s="419">
        <v>1050</v>
      </c>
      <c r="CD104" s="382">
        <f>PI()*CC104/1000*( Pile!$C$24- Pile!$C104)</f>
        <v>14.84402528821176</v>
      </c>
      <c r="CE104" s="382">
        <f t="shared" si="19"/>
        <v>0.86590147514568672</v>
      </c>
      <c r="CF104" s="382">
        <f t="shared" si="57"/>
        <v>296.88050576423518</v>
      </c>
      <c r="CG104" s="382">
        <f>CD104* Pile!$S$24</f>
        <v>0</v>
      </c>
      <c r="CH104" s="382">
        <f t="shared" si="68"/>
        <v>296.88050576423518</v>
      </c>
      <c r="CI104" s="382">
        <f>IF(CH104&gt;0,+CH104)/ 'Pile Data and Eurocode Factors'!$B$14/ 'Pile Data and Eurocode Factors'!$B$15+$CI$89</f>
        <v>309.29635624095692</v>
      </c>
      <c r="CJ104" s="382">
        <f t="shared" si="69"/>
        <v>311.72453105244722</v>
      </c>
      <c r="CK104" s="382">
        <f>CE104* Pile!$U$24</f>
        <v>0</v>
      </c>
      <c r="CL104" s="382">
        <f t="shared" si="20"/>
        <v>311.72453105244722</v>
      </c>
      <c r="CM104" s="382">
        <f>CL104/ 'Pile Data and Eurocode Factors'!$C$14/ 'Pile Data and Eurocode Factors'!$C$15</f>
        <v>111.33018966158829</v>
      </c>
      <c r="CN104" s="382">
        <f t="shared" si="21"/>
        <v>420.62654590254522</v>
      </c>
      <c r="CO104" s="382">
        <f>VLOOKUP(CC104, 'Pile Data and Eurocode Factors'!$A$34:$J$39,3, FALSE)</f>
        <v>12882.514795076555</v>
      </c>
      <c r="CP104" s="403">
        <f t="shared" si="22"/>
        <v>420.62654590254522</v>
      </c>
      <c r="CQ104" s="419">
        <v>1200</v>
      </c>
      <c r="CR104" s="382">
        <f>PI()*CQ104/1000*( Pile!$C$24- Pile!$C104)</f>
        <v>16.964600329384869</v>
      </c>
      <c r="CS104" s="382">
        <f t="shared" si="23"/>
        <v>1.1309733552923256</v>
      </c>
      <c r="CT104" s="382">
        <f t="shared" si="58"/>
        <v>339.29200658769736</v>
      </c>
      <c r="CU104" s="382">
        <f>CR104* Pile!$S$24</f>
        <v>0</v>
      </c>
      <c r="CV104" s="382">
        <f t="shared" si="70"/>
        <v>339.29200658769736</v>
      </c>
      <c r="CW104" s="382">
        <f>IF(CV104&gt;0,+CV104)/ 'Pile Data and Eurocode Factors'!$B$14/ 'Pile Data and Eurocode Factors'!$B$15+$CW$89</f>
        <v>353.48154998966504</v>
      </c>
      <c r="CX104" s="382">
        <f t="shared" si="71"/>
        <v>407.15040790523722</v>
      </c>
      <c r="CY104" s="382">
        <f>CS104* Pile!$U$24</f>
        <v>0</v>
      </c>
      <c r="CZ104" s="382">
        <f t="shared" si="24"/>
        <v>407.15040790523722</v>
      </c>
      <c r="DA104" s="382">
        <f>CZ104/ 'Pile Data and Eurocode Factors'!$C$14/ 'Pile Data and Eurocode Factors'!$C$15</f>
        <v>145.41085996615615</v>
      </c>
      <c r="DB104" s="382">
        <f t="shared" si="25"/>
        <v>498.89240995582122</v>
      </c>
      <c r="DC104" s="382">
        <f>VLOOKUP(CQ104, 'Pile Data and Eurocode Factors'!$A$34:$J$39,3, FALSE)</f>
        <v>16826.141773161216</v>
      </c>
      <c r="DD104" s="403">
        <f t="shared" si="26"/>
        <v>498.89240995582122</v>
      </c>
      <c r="DE104" s="420">
        <f xml:space="preserve"> Pile!$C$23- Pile!C104</f>
        <v>10.499999999999996</v>
      </c>
      <c r="DG104" s="382">
        <f t="shared" si="52"/>
        <v>153.00398342886515</v>
      </c>
      <c r="DH104" s="382">
        <f t="shared" si="27"/>
        <v>213.09348998637157</v>
      </c>
      <c r="DI104" s="382">
        <f t="shared" si="28"/>
        <v>277.72708591782043</v>
      </c>
      <c r="DJ104" s="382">
        <f t="shared" si="29"/>
        <v>346.9047712232117</v>
      </c>
      <c r="DK104" s="382">
        <f t="shared" si="30"/>
        <v>420.62654590254522</v>
      </c>
      <c r="DL104" s="382">
        <f t="shared" si="53"/>
        <v>498.89240995582122</v>
      </c>
    </row>
    <row r="105" spans="1:116" s="308" customFormat="1" ht="15">
      <c r="A105" s="421"/>
      <c r="B105" s="400">
        <v>16</v>
      </c>
      <c r="C105" s="401">
        <f>+C104- Pile!D$24/20</f>
        <v>-4.7999999999999963</v>
      </c>
      <c r="D105" s="415" t="str">
        <f>B24</f>
        <v>Firm Clay</v>
      </c>
      <c r="E105" s="415" t="str">
        <f>F24</f>
        <v>Cohesive</v>
      </c>
      <c r="F105" s="401">
        <f xml:space="preserve"> Pile!$E$24*(C104-C105)+F104</f>
        <v>187.80000000000007</v>
      </c>
      <c r="G105" s="401">
        <f>IF(C105&gt; Pile!$C$28,0,( Pile!$C$28-C105)*9.81)</f>
        <v>0</v>
      </c>
      <c r="H105" s="401">
        <f t="shared" si="0"/>
        <v>187.80000000000007</v>
      </c>
      <c r="I105" s="401">
        <f t="shared" si="64"/>
        <v>143.40000000000003</v>
      </c>
      <c r="J105" s="401">
        <f>IF(E105="Cohesive",(( Pile!$H$24- Pile!$G$24)/20)+J104,0)</f>
        <v>40</v>
      </c>
      <c r="K105" s="401">
        <f>IF(E105="Cohesive",( Pile!$G$24+ Pile!$J105)/2,0)</f>
        <v>40</v>
      </c>
      <c r="L105" s="401">
        <f>IF( Pile!I$24="",0, Pile!I$24)</f>
        <v>0.5</v>
      </c>
      <c r="M105" s="401">
        <f>IF( Pile!J$24="",0, Pile!J$24)</f>
        <v>9</v>
      </c>
      <c r="N105" s="401">
        <f>IF(E105="Granular", Pile!$K$24,0)</f>
        <v>0</v>
      </c>
      <c r="O105" s="416">
        <f>IF(AND(E105="Granular",D105&lt;&gt;"Made Ground"), Pile!$L$24,0)</f>
        <v>0</v>
      </c>
      <c r="P105" s="401">
        <f>IF(OR(D105="Low Density Chalk",D105="Medium Density Chalk"), Pile!$M$24,0)</f>
        <v>0</v>
      </c>
      <c r="Q105" s="417">
        <f>IF(D105="High Density Chalk", Pile!$N$24,0)</f>
        <v>0</v>
      </c>
      <c r="R105" s="401">
        <f>IF( Pile!O$24="",0, Pile!O$24)</f>
        <v>0</v>
      </c>
      <c r="S105" s="418">
        <f t="shared" si="31"/>
        <v>20</v>
      </c>
      <c r="T105" s="382">
        <f xml:space="preserve"> Pile!$T$24</f>
        <v>100</v>
      </c>
      <c r="U105" s="382">
        <f t="shared" si="32"/>
        <v>20</v>
      </c>
      <c r="V105" s="382">
        <f t="shared" si="2"/>
        <v>360</v>
      </c>
      <c r="W105" s="382" t="str">
        <f xml:space="preserve"> Pile!$V$24</f>
        <v/>
      </c>
      <c r="X105" s="382">
        <f t="shared" si="33"/>
        <v>360</v>
      </c>
      <c r="Y105" s="419">
        <v>450</v>
      </c>
      <c r="Z105" s="382">
        <f>PI()*Y105/1000*( Pile!$C$24- Pile!$C105)</f>
        <v>6.7858401317539476</v>
      </c>
      <c r="AA105" s="382">
        <f t="shared" si="3"/>
        <v>0.15904312808798329</v>
      </c>
      <c r="AB105" s="382">
        <f t="shared" si="34"/>
        <v>135.71680263507895</v>
      </c>
      <c r="AC105" s="382">
        <f>Z105* Pile!$S$24</f>
        <v>0</v>
      </c>
      <c r="AD105" s="382">
        <f t="shared" si="35"/>
        <v>135.71680263507895</v>
      </c>
      <c r="AE105" s="382">
        <f>IF(AD105&gt;0,+AD105)/ 'Pile Data and Eurocode Factors'!$B$14/ 'Pile Data and Eurocode Factors'!$B$15+$AE$89</f>
        <v>136.34232239107641</v>
      </c>
      <c r="AF105" s="382">
        <f t="shared" si="36"/>
        <v>57.255526111673987</v>
      </c>
      <c r="AG105" s="382">
        <f>AA105* Pile!$U$24</f>
        <v>0</v>
      </c>
      <c r="AH105" s="382">
        <f t="shared" si="4"/>
        <v>57.255526111673987</v>
      </c>
      <c r="AI105" s="382">
        <f>AH105/ 'Pile Data and Eurocode Factors'!$C$14/ 'Pile Data and Eurocode Factors'!$C$15</f>
        <v>20.448402182740711</v>
      </c>
      <c r="AJ105" s="382">
        <f t="shared" si="5"/>
        <v>156.79072457381713</v>
      </c>
      <c r="AK105" s="382">
        <f>VLOOKUP(Y105, 'Pile Data and Eurocode Factors'!$A$34:$J$39,3, FALSE)</f>
        <v>2366.1761868507956</v>
      </c>
      <c r="AL105" s="403">
        <f t="shared" si="6"/>
        <v>156.79072457381713</v>
      </c>
      <c r="AM105" s="419">
        <v>600</v>
      </c>
      <c r="AN105" s="382">
        <f>PI()*AM105/1000*( Pile!$C$24- Pile!$C105)</f>
        <v>9.0477868423385974</v>
      </c>
      <c r="AO105" s="382">
        <f t="shared" si="7"/>
        <v>0.28274333882308139</v>
      </c>
      <c r="AP105" s="382">
        <f t="shared" si="54"/>
        <v>180.95573684677194</v>
      </c>
      <c r="AQ105" s="382">
        <f>AN105* Pile!$S$24</f>
        <v>0</v>
      </c>
      <c r="AR105" s="382">
        <f t="shared" si="59"/>
        <v>180.95573684677194</v>
      </c>
      <c r="AS105" s="382">
        <f>IF(AR105&gt;0,+AR105)/ 'Pile Data and Eurocode Factors'!$B$14/ 'Pile Data and Eurocode Factors'!$B$15+$AS$89</f>
        <v>181.78976318810186</v>
      </c>
      <c r="AT105" s="382">
        <f t="shared" si="65"/>
        <v>101.7876019763093</v>
      </c>
      <c r="AU105" s="382">
        <f>AO105* Pile!$U$24</f>
        <v>0</v>
      </c>
      <c r="AV105" s="382">
        <f t="shared" si="8"/>
        <v>101.7876019763093</v>
      </c>
      <c r="AW105" s="382">
        <f>AV105/ 'Pile Data and Eurocode Factors'!$C$14/ 'Pile Data and Eurocode Factors'!$C$15</f>
        <v>36.352714991539038</v>
      </c>
      <c r="AX105" s="382">
        <f t="shared" si="9"/>
        <v>218.1424781796409</v>
      </c>
      <c r="AY105" s="382">
        <f>VLOOKUP(AM105, 'Pile Data and Eurocode Factors'!$A$34:$J$39,3, FALSE)</f>
        <v>4206.5354432903041</v>
      </c>
      <c r="AZ105" s="403">
        <f t="shared" si="10"/>
        <v>218.1424781796409</v>
      </c>
      <c r="BA105" s="419">
        <v>750</v>
      </c>
      <c r="BB105" s="382">
        <f>PI()*BA105/1000*( Pile!$C$24- Pile!$C105)</f>
        <v>11.309733552923246</v>
      </c>
      <c r="BC105" s="382">
        <f t="shared" si="11"/>
        <v>0.44178646691106466</v>
      </c>
      <c r="BD105" s="382">
        <f t="shared" si="55"/>
        <v>226.19467105846493</v>
      </c>
      <c r="BE105" s="382">
        <f>BB105* Pile!$S$24</f>
        <v>0</v>
      </c>
      <c r="BF105" s="382">
        <f t="shared" si="60"/>
        <v>226.19467105846493</v>
      </c>
      <c r="BG105" s="382">
        <f>IF(BF105&gt;0,+BF105)/ 'Pile Data and Eurocode Factors'!$B$14/ 'Pile Data and Eurocode Factors'!$B$15+$BG$89</f>
        <v>227.23720398512731</v>
      </c>
      <c r="BH105" s="382">
        <f t="shared" si="66"/>
        <v>159.04312808798326</v>
      </c>
      <c r="BI105" s="382">
        <f>BC105* Pile!$U$24</f>
        <v>0</v>
      </c>
      <c r="BJ105" s="382">
        <f t="shared" si="12"/>
        <v>159.04312808798326</v>
      </c>
      <c r="BK105" s="382">
        <f>BJ105/ 'Pile Data and Eurocode Factors'!$C$14/ 'Pile Data and Eurocode Factors'!$C$15</f>
        <v>56.801117174279739</v>
      </c>
      <c r="BL105" s="382">
        <f t="shared" si="13"/>
        <v>284.03832115940702</v>
      </c>
      <c r="BM105" s="382">
        <f>VLOOKUP(BA105, 'Pile Data and Eurocode Factors'!$A$34:$J$39,3, FALSE)</f>
        <v>6572.7116301410997</v>
      </c>
      <c r="BN105" s="403">
        <f t="shared" si="14"/>
        <v>284.03832115940702</v>
      </c>
      <c r="BO105" s="419">
        <v>900</v>
      </c>
      <c r="BP105" s="382">
        <f>PI()*BO105/1000*( Pile!$C$24- Pile!$C105)</f>
        <v>13.571680263507895</v>
      </c>
      <c r="BQ105" s="382">
        <f t="shared" si="15"/>
        <v>0.63617251235193317</v>
      </c>
      <c r="BR105" s="382">
        <f t="shared" si="56"/>
        <v>271.4336052701579</v>
      </c>
      <c r="BS105" s="382">
        <f>BP105* Pile!$S$24</f>
        <v>0</v>
      </c>
      <c r="BT105" s="382">
        <f t="shared" si="61"/>
        <v>271.4336052701579</v>
      </c>
      <c r="BU105" s="382">
        <f>IF(BT105&gt;0,+BT105)/ 'Pile Data and Eurocode Factors'!$B$14/ 'Pile Data and Eurocode Factors'!$B$15+$BU$89</f>
        <v>272.68464478215282</v>
      </c>
      <c r="BV105" s="382">
        <f t="shared" si="67"/>
        <v>229.02210444669595</v>
      </c>
      <c r="BW105" s="382">
        <f>BQ105* Pile!$U$24</f>
        <v>0</v>
      </c>
      <c r="BX105" s="382">
        <f t="shared" si="16"/>
        <v>229.02210444669595</v>
      </c>
      <c r="BY105" s="382">
        <f>BX105/ 'Pile Data and Eurocode Factors'!$C$14/ 'Pile Data and Eurocode Factors'!$C$15</f>
        <v>81.793608730962845</v>
      </c>
      <c r="BZ105" s="382">
        <f t="shared" si="17"/>
        <v>354.47825351311565</v>
      </c>
      <c r="CA105" s="382">
        <f>VLOOKUP(BO105, 'Pile Data and Eurocode Factors'!$A$34:$J$39,3, FALSE)</f>
        <v>9464.7047474031824</v>
      </c>
      <c r="CB105" s="403">
        <f t="shared" si="18"/>
        <v>354.47825351311565</v>
      </c>
      <c r="CC105" s="419">
        <v>1050</v>
      </c>
      <c r="CD105" s="382">
        <f>PI()*CC105/1000*( Pile!$C$24- Pile!$C105)</f>
        <v>15.833626974092544</v>
      </c>
      <c r="CE105" s="382">
        <f t="shared" si="19"/>
        <v>0.86590147514568672</v>
      </c>
      <c r="CF105" s="382">
        <f t="shared" si="57"/>
        <v>316.67253948185089</v>
      </c>
      <c r="CG105" s="382">
        <f>CD105* Pile!$S$24</f>
        <v>0</v>
      </c>
      <c r="CH105" s="382">
        <f t="shared" si="68"/>
        <v>316.67253948185089</v>
      </c>
      <c r="CI105" s="382">
        <f>IF(CH105&gt;0,+CH105)/ 'Pile Data and Eurocode Factors'!$B$14/ 'Pile Data and Eurocode Factors'!$B$15+$CI$89</f>
        <v>318.13208557917824</v>
      </c>
      <c r="CJ105" s="382">
        <f t="shared" si="69"/>
        <v>311.72453105244722</v>
      </c>
      <c r="CK105" s="382">
        <f>CE105* Pile!$U$24</f>
        <v>0</v>
      </c>
      <c r="CL105" s="382">
        <f t="shared" si="20"/>
        <v>311.72453105244722</v>
      </c>
      <c r="CM105" s="382">
        <f>CL105/ 'Pile Data and Eurocode Factors'!$C$14/ 'Pile Data and Eurocode Factors'!$C$15</f>
        <v>111.33018966158829</v>
      </c>
      <c r="CN105" s="382">
        <f t="shared" si="21"/>
        <v>429.46227524076653</v>
      </c>
      <c r="CO105" s="382">
        <f>VLOOKUP(CC105, 'Pile Data and Eurocode Factors'!$A$34:$J$39,3, FALSE)</f>
        <v>12882.514795076555</v>
      </c>
      <c r="CP105" s="403">
        <f t="shared" si="22"/>
        <v>429.46227524076653</v>
      </c>
      <c r="CQ105" s="419">
        <v>1200</v>
      </c>
      <c r="CR105" s="382">
        <f>PI()*CQ105/1000*( Pile!$C$24- Pile!$C105)</f>
        <v>18.095573684677195</v>
      </c>
      <c r="CS105" s="382">
        <f t="shared" si="23"/>
        <v>1.1309733552923256</v>
      </c>
      <c r="CT105" s="382">
        <f t="shared" si="58"/>
        <v>361.91147369354388</v>
      </c>
      <c r="CU105" s="382">
        <f>CR105* Pile!$S$24</f>
        <v>0</v>
      </c>
      <c r="CV105" s="382">
        <f t="shared" si="70"/>
        <v>361.91147369354388</v>
      </c>
      <c r="CW105" s="382">
        <f>IF(CV105&gt;0,+CV105)/ 'Pile Data and Eurocode Factors'!$B$14/ 'Pile Data and Eurocode Factors'!$B$15+$CW$89</f>
        <v>363.57952637620372</v>
      </c>
      <c r="CX105" s="382">
        <f t="shared" si="71"/>
        <v>407.15040790523722</v>
      </c>
      <c r="CY105" s="382">
        <f>CS105* Pile!$U$24</f>
        <v>0</v>
      </c>
      <c r="CZ105" s="382">
        <f t="shared" si="24"/>
        <v>407.15040790523722</v>
      </c>
      <c r="DA105" s="382">
        <f>CZ105/ 'Pile Data and Eurocode Factors'!$C$14/ 'Pile Data and Eurocode Factors'!$C$15</f>
        <v>145.41085996615615</v>
      </c>
      <c r="DB105" s="382">
        <f t="shared" si="25"/>
        <v>508.9903863423599</v>
      </c>
      <c r="DC105" s="382">
        <f>VLOOKUP(CQ105, 'Pile Data and Eurocode Factors'!$A$34:$J$39,3, FALSE)</f>
        <v>16826.141773161216</v>
      </c>
      <c r="DD105" s="403">
        <f t="shared" si="26"/>
        <v>508.9903863423599</v>
      </c>
      <c r="DE105" s="420">
        <f xml:space="preserve"> Pile!$C$23- Pile!C105</f>
        <v>10.799999999999997</v>
      </c>
      <c r="DG105" s="382">
        <f t="shared" si="52"/>
        <v>156.79072457381713</v>
      </c>
      <c r="DH105" s="382">
        <f t="shared" si="27"/>
        <v>218.1424781796409</v>
      </c>
      <c r="DI105" s="382">
        <f t="shared" si="28"/>
        <v>284.03832115940702</v>
      </c>
      <c r="DJ105" s="382">
        <f t="shared" si="29"/>
        <v>354.47825351311565</v>
      </c>
      <c r="DK105" s="382">
        <f t="shared" si="30"/>
        <v>429.46227524076653</v>
      </c>
      <c r="DL105" s="382">
        <f t="shared" si="53"/>
        <v>508.9903863423599</v>
      </c>
    </row>
    <row r="106" spans="1:116" s="308" customFormat="1" ht="15">
      <c r="B106" s="400">
        <v>17</v>
      </c>
      <c r="C106" s="401">
        <f>+C105- Pile!D$24/20</f>
        <v>-5.0999999999999961</v>
      </c>
      <c r="D106" s="415" t="str">
        <f>B24</f>
        <v>Firm Clay</v>
      </c>
      <c r="E106" s="415" t="str">
        <f>F24</f>
        <v>Cohesive</v>
      </c>
      <c r="F106" s="401">
        <f xml:space="preserve"> Pile!$E$24*(C105-C106)+F105</f>
        <v>193.35000000000008</v>
      </c>
      <c r="G106" s="401">
        <f>IF(C106&gt; Pile!$C$28,0,( Pile!$C$28-C106)*9.81)</f>
        <v>0</v>
      </c>
      <c r="H106" s="401">
        <f t="shared" si="0"/>
        <v>193.35000000000008</v>
      </c>
      <c r="I106" s="401">
        <f t="shared" si="64"/>
        <v>146.17500000000001</v>
      </c>
      <c r="J106" s="401">
        <f>IF(E106="Cohesive",(( Pile!$H$24- Pile!$G$24)/20)+J105,0)</f>
        <v>40</v>
      </c>
      <c r="K106" s="401">
        <f>IF(E106="Cohesive",( Pile!$G$24+ Pile!$J106)/2,0)</f>
        <v>40</v>
      </c>
      <c r="L106" s="401">
        <f>IF( Pile!I$24="",0, Pile!I$24)</f>
        <v>0.5</v>
      </c>
      <c r="M106" s="401">
        <f>IF( Pile!J$24="",0, Pile!J$24)</f>
        <v>9</v>
      </c>
      <c r="N106" s="401">
        <f>IF(E106="Granular", Pile!$K$24,0)</f>
        <v>0</v>
      </c>
      <c r="O106" s="416">
        <f>IF(AND(E106="Granular",D106&lt;&gt;"Made Ground"), Pile!$L$24,0)</f>
        <v>0</v>
      </c>
      <c r="P106" s="401">
        <f>IF(OR(D106="Low Density Chalk",D106="Medium Density Chalk"), Pile!$M$24,0)</f>
        <v>0</v>
      </c>
      <c r="Q106" s="417">
        <f>IF(D106="High Density Chalk", Pile!$N$24,0)</f>
        <v>0</v>
      </c>
      <c r="R106" s="401">
        <f>IF( Pile!O$24="",0, Pile!O$24)</f>
        <v>0</v>
      </c>
      <c r="S106" s="418">
        <f t="shared" si="31"/>
        <v>20</v>
      </c>
      <c r="T106" s="382">
        <f xml:space="preserve"> Pile!$T$24</f>
        <v>100</v>
      </c>
      <c r="U106" s="382">
        <f t="shared" si="32"/>
        <v>20</v>
      </c>
      <c r="V106" s="382">
        <f t="shared" si="2"/>
        <v>360</v>
      </c>
      <c r="W106" s="382" t="str">
        <f xml:space="preserve"> Pile!$V$24</f>
        <v/>
      </c>
      <c r="X106" s="382">
        <f t="shared" si="33"/>
        <v>360</v>
      </c>
      <c r="Y106" s="419">
        <v>450</v>
      </c>
      <c r="Z106" s="382">
        <f>PI()*Y106/1000*( Pile!$C$24- Pile!$C106)</f>
        <v>7.20995513998857</v>
      </c>
      <c r="AA106" s="382">
        <f t="shared" si="3"/>
        <v>0.15904312808798329</v>
      </c>
      <c r="AB106" s="382">
        <f t="shared" si="34"/>
        <v>144.1991027997714</v>
      </c>
      <c r="AC106" s="382">
        <f>Z106* Pile!$S$24</f>
        <v>0</v>
      </c>
      <c r="AD106" s="382">
        <f t="shared" si="35"/>
        <v>144.1991027997714</v>
      </c>
      <c r="AE106" s="382">
        <f>IF(AD106&gt;0,+AD106)/ 'Pile Data and Eurocode Factors'!$B$14/ 'Pile Data and Eurocode Factors'!$B$15+$AE$89</f>
        <v>140.12906353602838</v>
      </c>
      <c r="AF106" s="382">
        <f t="shared" si="36"/>
        <v>57.255526111673987</v>
      </c>
      <c r="AG106" s="382">
        <f>AA106* Pile!$U$24</f>
        <v>0</v>
      </c>
      <c r="AH106" s="382">
        <f t="shared" si="4"/>
        <v>57.255526111673987</v>
      </c>
      <c r="AI106" s="382">
        <f>AH106/ 'Pile Data and Eurocode Factors'!$C$14/ 'Pile Data and Eurocode Factors'!$C$15</f>
        <v>20.448402182740711</v>
      </c>
      <c r="AJ106" s="382">
        <f t="shared" si="5"/>
        <v>160.5774657187691</v>
      </c>
      <c r="AK106" s="382">
        <f>VLOOKUP(Y106, 'Pile Data and Eurocode Factors'!$A$34:$J$39,3, FALSE)</f>
        <v>2366.1761868507956</v>
      </c>
      <c r="AL106" s="403">
        <f t="shared" si="6"/>
        <v>160.5774657187691</v>
      </c>
      <c r="AM106" s="419">
        <v>600</v>
      </c>
      <c r="AN106" s="382">
        <f>PI()*AM106/1000*( Pile!$C$24- Pile!$C106)</f>
        <v>9.6132735199847588</v>
      </c>
      <c r="AO106" s="382">
        <f t="shared" si="7"/>
        <v>0.28274333882308139</v>
      </c>
      <c r="AP106" s="382">
        <f t="shared" si="54"/>
        <v>192.26547039969518</v>
      </c>
      <c r="AQ106" s="382">
        <f>AN106* Pile!$S$24</f>
        <v>0</v>
      </c>
      <c r="AR106" s="382">
        <f t="shared" si="59"/>
        <v>192.26547039969518</v>
      </c>
      <c r="AS106" s="382">
        <f>IF(AR106&gt;0,+AR106)/ 'Pile Data and Eurocode Factors'!$B$14/ 'Pile Data and Eurocode Factors'!$B$15+$AS$89</f>
        <v>186.83875138137114</v>
      </c>
      <c r="AT106" s="382">
        <f t="shared" si="65"/>
        <v>101.7876019763093</v>
      </c>
      <c r="AU106" s="382">
        <f>AO106* Pile!$U$24</f>
        <v>0</v>
      </c>
      <c r="AV106" s="382">
        <f t="shared" si="8"/>
        <v>101.7876019763093</v>
      </c>
      <c r="AW106" s="382">
        <f>AV106/ 'Pile Data and Eurocode Factors'!$C$14/ 'Pile Data and Eurocode Factors'!$C$15</f>
        <v>36.352714991539038</v>
      </c>
      <c r="AX106" s="382">
        <f t="shared" si="9"/>
        <v>223.19146637291018</v>
      </c>
      <c r="AY106" s="382">
        <f>VLOOKUP(AM106, 'Pile Data and Eurocode Factors'!$A$34:$J$39,3, FALSE)</f>
        <v>4206.5354432903041</v>
      </c>
      <c r="AZ106" s="403">
        <f t="shared" si="10"/>
        <v>223.19146637291018</v>
      </c>
      <c r="BA106" s="419">
        <v>750</v>
      </c>
      <c r="BB106" s="382">
        <f>PI()*BA106/1000*( Pile!$C$24- Pile!$C106)</f>
        <v>12.01659189998095</v>
      </c>
      <c r="BC106" s="382">
        <f t="shared" si="11"/>
        <v>0.44178646691106466</v>
      </c>
      <c r="BD106" s="382">
        <f t="shared" si="55"/>
        <v>240.33183799961901</v>
      </c>
      <c r="BE106" s="382">
        <f>BB106* Pile!$S$24</f>
        <v>0</v>
      </c>
      <c r="BF106" s="382">
        <f t="shared" si="60"/>
        <v>240.33183799961901</v>
      </c>
      <c r="BG106" s="382">
        <f>IF(BF106&gt;0,+BF106)/ 'Pile Data and Eurocode Factors'!$B$14/ 'Pile Data and Eurocode Factors'!$B$15+$BG$89</f>
        <v>233.54843922671392</v>
      </c>
      <c r="BH106" s="382">
        <f t="shared" si="66"/>
        <v>159.04312808798326</v>
      </c>
      <c r="BI106" s="382">
        <f>BC106* Pile!$U$24</f>
        <v>0</v>
      </c>
      <c r="BJ106" s="382">
        <f t="shared" si="12"/>
        <v>159.04312808798326</v>
      </c>
      <c r="BK106" s="382">
        <f>BJ106/ 'Pile Data and Eurocode Factors'!$C$14/ 'Pile Data and Eurocode Factors'!$C$15</f>
        <v>56.801117174279739</v>
      </c>
      <c r="BL106" s="382">
        <f t="shared" si="13"/>
        <v>290.34955640099366</v>
      </c>
      <c r="BM106" s="382">
        <f>VLOOKUP(BA106, 'Pile Data and Eurocode Factors'!$A$34:$J$39,3, FALSE)</f>
        <v>6572.7116301410997</v>
      </c>
      <c r="BN106" s="403">
        <f t="shared" si="14"/>
        <v>290.34955640099366</v>
      </c>
      <c r="BO106" s="419">
        <v>900</v>
      </c>
      <c r="BP106" s="382">
        <f>PI()*BO106/1000*( Pile!$C$24- Pile!$C106)</f>
        <v>14.41991027997714</v>
      </c>
      <c r="BQ106" s="382">
        <f t="shared" si="15"/>
        <v>0.63617251235193317</v>
      </c>
      <c r="BR106" s="382">
        <f t="shared" si="56"/>
        <v>288.39820559954279</v>
      </c>
      <c r="BS106" s="382">
        <f>BP106* Pile!$S$24</f>
        <v>0</v>
      </c>
      <c r="BT106" s="382">
        <f t="shared" si="61"/>
        <v>288.39820559954279</v>
      </c>
      <c r="BU106" s="382">
        <f>IF(BT106&gt;0,+BT106)/ 'Pile Data and Eurocode Factors'!$B$14/ 'Pile Data and Eurocode Factors'!$B$15+$BU$89</f>
        <v>280.25812707205677</v>
      </c>
      <c r="BV106" s="382">
        <f t="shared" si="67"/>
        <v>229.02210444669595</v>
      </c>
      <c r="BW106" s="382">
        <f>BQ106* Pile!$U$24</f>
        <v>0</v>
      </c>
      <c r="BX106" s="382">
        <f t="shared" si="16"/>
        <v>229.02210444669595</v>
      </c>
      <c r="BY106" s="382">
        <f>BX106/ 'Pile Data and Eurocode Factors'!$C$14/ 'Pile Data and Eurocode Factors'!$C$15</f>
        <v>81.793608730962845</v>
      </c>
      <c r="BZ106" s="382">
        <f t="shared" si="17"/>
        <v>362.0517358030196</v>
      </c>
      <c r="CA106" s="382">
        <f>VLOOKUP(BO106, 'Pile Data and Eurocode Factors'!$A$34:$J$39,3, FALSE)</f>
        <v>9464.7047474031824</v>
      </c>
      <c r="CB106" s="403">
        <f t="shared" si="18"/>
        <v>362.0517358030196</v>
      </c>
      <c r="CC106" s="419">
        <v>1050</v>
      </c>
      <c r="CD106" s="382">
        <f>PI()*CC106/1000*( Pile!$C$24- Pile!$C106)</f>
        <v>16.823228659973328</v>
      </c>
      <c r="CE106" s="382">
        <f t="shared" si="19"/>
        <v>0.86590147514568672</v>
      </c>
      <c r="CF106" s="382">
        <f t="shared" si="57"/>
        <v>336.46457319946654</v>
      </c>
      <c r="CG106" s="382">
        <f>CD106* Pile!$S$24</f>
        <v>0</v>
      </c>
      <c r="CH106" s="382">
        <f t="shared" si="68"/>
        <v>336.46457319946654</v>
      </c>
      <c r="CI106" s="382">
        <f>IF(CH106&gt;0,+CH106)/ 'Pile Data and Eurocode Factors'!$B$14/ 'Pile Data and Eurocode Factors'!$B$15+$CI$89</f>
        <v>326.96781491739949</v>
      </c>
      <c r="CJ106" s="382">
        <f t="shared" si="69"/>
        <v>311.72453105244722</v>
      </c>
      <c r="CK106" s="382">
        <f>CE106* Pile!$U$24</f>
        <v>0</v>
      </c>
      <c r="CL106" s="382">
        <f t="shared" si="20"/>
        <v>311.72453105244722</v>
      </c>
      <c r="CM106" s="382">
        <f>CL106/ 'Pile Data and Eurocode Factors'!$C$14/ 'Pile Data and Eurocode Factors'!$C$15</f>
        <v>111.33018966158829</v>
      </c>
      <c r="CN106" s="382">
        <f t="shared" si="21"/>
        <v>438.29800457898779</v>
      </c>
      <c r="CO106" s="382">
        <f>VLOOKUP(CC106, 'Pile Data and Eurocode Factors'!$A$34:$J$39,3, FALSE)</f>
        <v>12882.514795076555</v>
      </c>
      <c r="CP106" s="403">
        <f t="shared" si="22"/>
        <v>438.29800457898779</v>
      </c>
      <c r="CQ106" s="419">
        <v>1200</v>
      </c>
      <c r="CR106" s="382">
        <f>PI()*CQ106/1000*( Pile!$C$24- Pile!$C106)</f>
        <v>19.226547039969518</v>
      </c>
      <c r="CS106" s="382">
        <f t="shared" si="23"/>
        <v>1.1309733552923256</v>
      </c>
      <c r="CT106" s="382">
        <f t="shared" si="58"/>
        <v>384.53094079939035</v>
      </c>
      <c r="CU106" s="382">
        <f>CR106* Pile!$S$24</f>
        <v>0</v>
      </c>
      <c r="CV106" s="382">
        <f t="shared" si="70"/>
        <v>384.53094079939035</v>
      </c>
      <c r="CW106" s="382">
        <f>IF(CV106&gt;0,+CV106)/ 'Pile Data and Eurocode Factors'!$B$14/ 'Pile Data and Eurocode Factors'!$B$15+$CW$89</f>
        <v>373.67750276274228</v>
      </c>
      <c r="CX106" s="382">
        <f t="shared" si="71"/>
        <v>407.15040790523722</v>
      </c>
      <c r="CY106" s="382">
        <f>CS106* Pile!$U$24</f>
        <v>0</v>
      </c>
      <c r="CZ106" s="382">
        <f t="shared" si="24"/>
        <v>407.15040790523722</v>
      </c>
      <c r="DA106" s="382">
        <f>CZ106/ 'Pile Data and Eurocode Factors'!$C$14/ 'Pile Data and Eurocode Factors'!$C$15</f>
        <v>145.41085996615615</v>
      </c>
      <c r="DB106" s="382">
        <f t="shared" si="25"/>
        <v>519.08836272889846</v>
      </c>
      <c r="DC106" s="382">
        <f>VLOOKUP(CQ106, 'Pile Data and Eurocode Factors'!$A$34:$J$39,3, FALSE)</f>
        <v>16826.141773161216</v>
      </c>
      <c r="DD106" s="403">
        <f t="shared" si="26"/>
        <v>519.08836272889846</v>
      </c>
      <c r="DE106" s="420">
        <f xml:space="preserve"> Pile!$C$23- Pile!C106</f>
        <v>11.099999999999996</v>
      </c>
      <c r="DG106" s="382">
        <f t="shared" si="52"/>
        <v>160.5774657187691</v>
      </c>
      <c r="DH106" s="382">
        <f t="shared" si="27"/>
        <v>223.19146637291018</v>
      </c>
      <c r="DI106" s="382">
        <f t="shared" si="28"/>
        <v>290.34955640099366</v>
      </c>
      <c r="DJ106" s="382">
        <f t="shared" si="29"/>
        <v>362.0517358030196</v>
      </c>
      <c r="DK106" s="382">
        <f t="shared" si="30"/>
        <v>438.29800457898779</v>
      </c>
      <c r="DL106" s="382">
        <f t="shared" si="53"/>
        <v>519.08836272889846</v>
      </c>
    </row>
    <row r="107" spans="1:116" s="308" customFormat="1" ht="15">
      <c r="B107" s="400">
        <v>18</v>
      </c>
      <c r="C107" s="401">
        <f>+C106- Pile!D$24/20</f>
        <v>-5.3999999999999959</v>
      </c>
      <c r="D107" s="415" t="str">
        <f>B24</f>
        <v>Firm Clay</v>
      </c>
      <c r="E107" s="415" t="str">
        <f>F24</f>
        <v>Cohesive</v>
      </c>
      <c r="F107" s="401">
        <f xml:space="preserve"> Pile!$E$24*(C106-C107)+F106</f>
        <v>198.90000000000009</v>
      </c>
      <c r="G107" s="401">
        <f>IF(C107&gt; Pile!$C$28,0,( Pile!$C$28-C107)*9.81)</f>
        <v>0</v>
      </c>
      <c r="H107" s="401">
        <f t="shared" si="0"/>
        <v>198.90000000000009</v>
      </c>
      <c r="I107" s="401">
        <f t="shared" si="64"/>
        <v>148.95000000000005</v>
      </c>
      <c r="J107" s="401">
        <f>IF(E107="Cohesive",(( Pile!$H$24- Pile!$G$24)/20)+J106,0)</f>
        <v>40</v>
      </c>
      <c r="K107" s="401">
        <f>IF(E107="Cohesive",( Pile!$G$24+ Pile!$J107)/2,0)</f>
        <v>40</v>
      </c>
      <c r="L107" s="401">
        <f>IF( Pile!I$24="",0, Pile!I$24)</f>
        <v>0.5</v>
      </c>
      <c r="M107" s="401">
        <f>IF( Pile!J$24="",0, Pile!J$24)</f>
        <v>9</v>
      </c>
      <c r="N107" s="401">
        <f>IF(E107="Granular", Pile!$K$24,0)</f>
        <v>0</v>
      </c>
      <c r="O107" s="416">
        <f>IF(AND(E107="Granular",D107&lt;&gt;"Made Ground"), Pile!$L$24,0)</f>
        <v>0</v>
      </c>
      <c r="P107" s="401">
        <f>IF(OR(D107="Low Density Chalk",D107="Medium Density Chalk"), Pile!$M$24,0)</f>
        <v>0</v>
      </c>
      <c r="Q107" s="417">
        <f>IF(D107="High Density Chalk", Pile!$N$24,0)</f>
        <v>0</v>
      </c>
      <c r="R107" s="401">
        <f>IF( Pile!O$24="",0, Pile!O$24)</f>
        <v>0</v>
      </c>
      <c r="S107" s="418">
        <f t="shared" si="31"/>
        <v>20</v>
      </c>
      <c r="T107" s="382">
        <f xml:space="preserve"> Pile!$T$24</f>
        <v>100</v>
      </c>
      <c r="U107" s="382">
        <f t="shared" si="32"/>
        <v>20</v>
      </c>
      <c r="V107" s="382">
        <f t="shared" si="2"/>
        <v>360</v>
      </c>
      <c r="W107" s="382" t="str">
        <f xml:space="preserve"> Pile!$V$24</f>
        <v/>
      </c>
      <c r="X107" s="382">
        <f t="shared" si="33"/>
        <v>360</v>
      </c>
      <c r="Y107" s="419">
        <v>450</v>
      </c>
      <c r="Z107" s="382">
        <f>PI()*Y107/1000*( Pile!$C$24- Pile!$C107)</f>
        <v>7.6340701482231914</v>
      </c>
      <c r="AA107" s="382">
        <f t="shared" si="3"/>
        <v>0.15904312808798329</v>
      </c>
      <c r="AB107" s="382">
        <f t="shared" si="34"/>
        <v>152.68140296446381</v>
      </c>
      <c r="AC107" s="382">
        <f>Z107* Pile!$S$24</f>
        <v>0</v>
      </c>
      <c r="AD107" s="382">
        <f t="shared" si="35"/>
        <v>152.68140296446381</v>
      </c>
      <c r="AE107" s="382">
        <f>IF(AD107&gt;0,+AD107)/ 'Pile Data and Eurocode Factors'!$B$14/ 'Pile Data and Eurocode Factors'!$B$15+$AE$89</f>
        <v>143.91580468098036</v>
      </c>
      <c r="AF107" s="382">
        <f t="shared" si="36"/>
        <v>57.255526111673987</v>
      </c>
      <c r="AG107" s="382">
        <f>AA107* Pile!$U$24</f>
        <v>0</v>
      </c>
      <c r="AH107" s="382">
        <f t="shared" si="4"/>
        <v>57.255526111673987</v>
      </c>
      <c r="AI107" s="382">
        <f>AH107/ 'Pile Data and Eurocode Factors'!$C$14/ 'Pile Data and Eurocode Factors'!$C$15</f>
        <v>20.448402182740711</v>
      </c>
      <c r="AJ107" s="382">
        <f t="shared" si="5"/>
        <v>164.36420686372108</v>
      </c>
      <c r="AK107" s="382">
        <f>VLOOKUP(Y107, 'Pile Data and Eurocode Factors'!$A$34:$J$39,3, FALSE)</f>
        <v>2366.1761868507956</v>
      </c>
      <c r="AL107" s="403">
        <f t="shared" si="6"/>
        <v>164.36420686372108</v>
      </c>
      <c r="AM107" s="419">
        <v>600</v>
      </c>
      <c r="AN107" s="382">
        <f>PI()*AM107/1000*( Pile!$C$24- Pile!$C107)</f>
        <v>10.178760197630922</v>
      </c>
      <c r="AO107" s="382">
        <f t="shared" si="7"/>
        <v>0.28274333882308139</v>
      </c>
      <c r="AP107" s="382">
        <f t="shared" si="54"/>
        <v>203.57520395261844</v>
      </c>
      <c r="AQ107" s="382">
        <f>AN107* Pile!$S$24</f>
        <v>0</v>
      </c>
      <c r="AR107" s="382">
        <f t="shared" si="59"/>
        <v>203.57520395261844</v>
      </c>
      <c r="AS107" s="382">
        <f>IF(AR107&gt;0,+AR107)/ 'Pile Data and Eurocode Factors'!$B$14/ 'Pile Data and Eurocode Factors'!$B$15+$AS$89</f>
        <v>191.88773957464045</v>
      </c>
      <c r="AT107" s="382">
        <f t="shared" si="65"/>
        <v>101.7876019763093</v>
      </c>
      <c r="AU107" s="382">
        <f>AO107* Pile!$U$24</f>
        <v>0</v>
      </c>
      <c r="AV107" s="382">
        <f t="shared" si="8"/>
        <v>101.7876019763093</v>
      </c>
      <c r="AW107" s="382">
        <f>AV107/ 'Pile Data and Eurocode Factors'!$C$14/ 'Pile Data and Eurocode Factors'!$C$15</f>
        <v>36.352714991539038</v>
      </c>
      <c r="AX107" s="382">
        <f t="shared" si="9"/>
        <v>228.24045456617949</v>
      </c>
      <c r="AY107" s="382">
        <f>VLOOKUP(AM107, 'Pile Data and Eurocode Factors'!$A$34:$J$39,3, FALSE)</f>
        <v>4206.5354432903041</v>
      </c>
      <c r="AZ107" s="403">
        <f t="shared" si="10"/>
        <v>228.24045456617949</v>
      </c>
      <c r="BA107" s="419">
        <v>750</v>
      </c>
      <c r="BB107" s="382">
        <f>PI()*BA107/1000*( Pile!$C$24- Pile!$C107)</f>
        <v>12.723450247038652</v>
      </c>
      <c r="BC107" s="382">
        <f t="shared" si="11"/>
        <v>0.44178646691106466</v>
      </c>
      <c r="BD107" s="382">
        <f t="shared" si="55"/>
        <v>254.46900494077306</v>
      </c>
      <c r="BE107" s="382">
        <f>BB107* Pile!$S$24</f>
        <v>0</v>
      </c>
      <c r="BF107" s="382">
        <f t="shared" si="60"/>
        <v>254.46900494077306</v>
      </c>
      <c r="BG107" s="382">
        <f>IF(BF107&gt;0,+BF107)/ 'Pile Data and Eurocode Factors'!$B$14/ 'Pile Data and Eurocode Factors'!$B$15+$BG$89</f>
        <v>239.85967446830057</v>
      </c>
      <c r="BH107" s="382">
        <f t="shared" si="66"/>
        <v>159.04312808798326</v>
      </c>
      <c r="BI107" s="382">
        <f>BC107* Pile!$U$24</f>
        <v>0</v>
      </c>
      <c r="BJ107" s="382">
        <f t="shared" si="12"/>
        <v>159.04312808798326</v>
      </c>
      <c r="BK107" s="382">
        <f>BJ107/ 'Pile Data and Eurocode Factors'!$C$14/ 'Pile Data and Eurocode Factors'!$C$15</f>
        <v>56.801117174279739</v>
      </c>
      <c r="BL107" s="382">
        <f t="shared" si="13"/>
        <v>296.66079164258031</v>
      </c>
      <c r="BM107" s="382">
        <f>VLOOKUP(BA107, 'Pile Data and Eurocode Factors'!$A$34:$J$39,3, FALSE)</f>
        <v>6572.7116301410997</v>
      </c>
      <c r="BN107" s="403">
        <f t="shared" si="14"/>
        <v>296.66079164258031</v>
      </c>
      <c r="BO107" s="419">
        <v>900</v>
      </c>
      <c r="BP107" s="382">
        <f>PI()*BO107/1000*( Pile!$C$24- Pile!$C107)</f>
        <v>15.268140296446383</v>
      </c>
      <c r="BQ107" s="382">
        <f t="shared" si="15"/>
        <v>0.63617251235193317</v>
      </c>
      <c r="BR107" s="382">
        <f t="shared" si="56"/>
        <v>305.36280592892763</v>
      </c>
      <c r="BS107" s="382">
        <f>BP107* Pile!$S$24</f>
        <v>0</v>
      </c>
      <c r="BT107" s="382">
        <f t="shared" si="61"/>
        <v>305.36280592892763</v>
      </c>
      <c r="BU107" s="382">
        <f>IF(BT107&gt;0,+BT107)/ 'Pile Data and Eurocode Factors'!$B$14/ 'Pile Data and Eurocode Factors'!$B$15+$BU$89</f>
        <v>287.83160936196072</v>
      </c>
      <c r="BV107" s="382">
        <f t="shared" si="67"/>
        <v>229.02210444669595</v>
      </c>
      <c r="BW107" s="382">
        <f>BQ107* Pile!$U$24</f>
        <v>0</v>
      </c>
      <c r="BX107" s="382">
        <f t="shared" si="16"/>
        <v>229.02210444669595</v>
      </c>
      <c r="BY107" s="382">
        <f>BX107/ 'Pile Data and Eurocode Factors'!$C$14/ 'Pile Data and Eurocode Factors'!$C$15</f>
        <v>81.793608730962845</v>
      </c>
      <c r="BZ107" s="382">
        <f t="shared" si="17"/>
        <v>369.62521809292355</v>
      </c>
      <c r="CA107" s="382">
        <f>VLOOKUP(BO107, 'Pile Data and Eurocode Factors'!$A$34:$J$39,3, FALSE)</f>
        <v>9464.7047474031824</v>
      </c>
      <c r="CB107" s="403">
        <f t="shared" si="18"/>
        <v>369.62521809292355</v>
      </c>
      <c r="CC107" s="419">
        <v>1050</v>
      </c>
      <c r="CD107" s="382">
        <f>PI()*CC107/1000*( Pile!$C$24- Pile!$C107)</f>
        <v>17.812830345854113</v>
      </c>
      <c r="CE107" s="382">
        <f t="shared" si="19"/>
        <v>0.86590147514568672</v>
      </c>
      <c r="CF107" s="382">
        <f t="shared" si="57"/>
        <v>356.25660691708225</v>
      </c>
      <c r="CG107" s="382">
        <f>CD107* Pile!$S$24</f>
        <v>0</v>
      </c>
      <c r="CH107" s="382">
        <f t="shared" si="68"/>
        <v>356.25660691708225</v>
      </c>
      <c r="CI107" s="382">
        <f>IF(CH107&gt;0,+CH107)/ 'Pile Data and Eurocode Factors'!$B$14/ 'Pile Data and Eurocode Factors'!$B$15+$CI$89</f>
        <v>335.80354425562075</v>
      </c>
      <c r="CJ107" s="382">
        <f t="shared" si="69"/>
        <v>311.72453105244722</v>
      </c>
      <c r="CK107" s="382">
        <f>CE107* Pile!$U$24</f>
        <v>0</v>
      </c>
      <c r="CL107" s="382">
        <f t="shared" si="20"/>
        <v>311.72453105244722</v>
      </c>
      <c r="CM107" s="382">
        <f>CL107/ 'Pile Data and Eurocode Factors'!$C$14/ 'Pile Data and Eurocode Factors'!$C$15</f>
        <v>111.33018966158829</v>
      </c>
      <c r="CN107" s="382">
        <f t="shared" si="21"/>
        <v>447.13373391720904</v>
      </c>
      <c r="CO107" s="382">
        <f>VLOOKUP(CC107, 'Pile Data and Eurocode Factors'!$A$34:$J$39,3, FALSE)</f>
        <v>12882.514795076555</v>
      </c>
      <c r="CP107" s="403">
        <f t="shared" si="22"/>
        <v>447.13373391720904</v>
      </c>
      <c r="CQ107" s="419">
        <v>1200</v>
      </c>
      <c r="CR107" s="382">
        <f>PI()*CQ107/1000*( Pile!$C$24- Pile!$C107)</f>
        <v>20.357520395261844</v>
      </c>
      <c r="CS107" s="382">
        <f t="shared" si="23"/>
        <v>1.1309733552923256</v>
      </c>
      <c r="CT107" s="382">
        <f t="shared" si="58"/>
        <v>407.15040790523688</v>
      </c>
      <c r="CU107" s="382">
        <f>CR107* Pile!$S$24</f>
        <v>0</v>
      </c>
      <c r="CV107" s="382">
        <f t="shared" si="70"/>
        <v>407.15040790523688</v>
      </c>
      <c r="CW107" s="382">
        <f>IF(CV107&gt;0,+CV107)/ 'Pile Data and Eurocode Factors'!$B$14/ 'Pile Data and Eurocode Factors'!$B$15+$CW$89</f>
        <v>383.7754791492809</v>
      </c>
      <c r="CX107" s="382">
        <f t="shared" si="71"/>
        <v>407.15040790523722</v>
      </c>
      <c r="CY107" s="382">
        <f>CS107* Pile!$U$24</f>
        <v>0</v>
      </c>
      <c r="CZ107" s="382">
        <f t="shared" si="24"/>
        <v>407.15040790523722</v>
      </c>
      <c r="DA107" s="382">
        <f>CZ107/ 'Pile Data and Eurocode Factors'!$C$14/ 'Pile Data and Eurocode Factors'!$C$15</f>
        <v>145.41085996615615</v>
      </c>
      <c r="DB107" s="382">
        <f t="shared" si="25"/>
        <v>529.18633911543702</v>
      </c>
      <c r="DC107" s="382">
        <f>VLOOKUP(CQ107, 'Pile Data and Eurocode Factors'!$A$34:$J$39,3, FALSE)</f>
        <v>16826.141773161216</v>
      </c>
      <c r="DD107" s="403">
        <f t="shared" si="26"/>
        <v>529.18633911543702</v>
      </c>
      <c r="DE107" s="420">
        <f xml:space="preserve"> Pile!$C$23- Pile!C107</f>
        <v>11.399999999999995</v>
      </c>
      <c r="DG107" s="382">
        <f t="shared" si="52"/>
        <v>164.36420686372108</v>
      </c>
      <c r="DH107" s="382">
        <f t="shared" si="27"/>
        <v>228.24045456617949</v>
      </c>
      <c r="DI107" s="382">
        <f t="shared" si="28"/>
        <v>296.66079164258031</v>
      </c>
      <c r="DJ107" s="382">
        <f t="shared" si="29"/>
        <v>369.62521809292355</v>
      </c>
      <c r="DK107" s="382">
        <f t="shared" si="30"/>
        <v>447.13373391720904</v>
      </c>
      <c r="DL107" s="382">
        <f t="shared" si="53"/>
        <v>529.18633911543702</v>
      </c>
    </row>
    <row r="108" spans="1:116" s="308" customFormat="1" ht="15">
      <c r="B108" s="400">
        <v>19</v>
      </c>
      <c r="C108" s="401">
        <f>+C107- Pile!D$24/20</f>
        <v>-5.6999999999999957</v>
      </c>
      <c r="D108" s="415" t="str">
        <f>B24</f>
        <v>Firm Clay</v>
      </c>
      <c r="E108" s="415" t="str">
        <f>F24</f>
        <v>Cohesive</v>
      </c>
      <c r="F108" s="401">
        <f xml:space="preserve"> Pile!$E$24*(C107-C108)+F107</f>
        <v>204.4500000000001</v>
      </c>
      <c r="G108" s="401">
        <f>IF(C108&gt; Pile!$C$28,0,( Pile!$C$28-C108)*9.81)</f>
        <v>0</v>
      </c>
      <c r="H108" s="401">
        <f t="shared" si="0"/>
        <v>204.4500000000001</v>
      </c>
      <c r="I108" s="401">
        <f t="shared" si="64"/>
        <v>151.72500000000002</v>
      </c>
      <c r="J108" s="401">
        <f>IF(E108="Cohesive",(( Pile!$H$24- Pile!$G$24)/20)+J107,0)</f>
        <v>40</v>
      </c>
      <c r="K108" s="401">
        <f>IF(E108="Cohesive",( Pile!$G$24+ Pile!$J108)/2,0)</f>
        <v>40</v>
      </c>
      <c r="L108" s="401">
        <f>IF( Pile!I$24="",0, Pile!I$24)</f>
        <v>0.5</v>
      </c>
      <c r="M108" s="401">
        <f>IF( Pile!J$24="",0, Pile!J$24)</f>
        <v>9</v>
      </c>
      <c r="N108" s="401">
        <f>IF(E108="Granular", Pile!$K$24,0)</f>
        <v>0</v>
      </c>
      <c r="O108" s="416">
        <f>IF(AND(E108="Granular",D108&lt;&gt;"Made Ground"), Pile!$L$24,0)</f>
        <v>0</v>
      </c>
      <c r="P108" s="401">
        <f>IF(OR(D108="Low Density Chalk",D108="Medium Density Chalk"), Pile!$M$24,0)</f>
        <v>0</v>
      </c>
      <c r="Q108" s="417">
        <f>IF(D108="High Density Chalk", Pile!$N$24,0)</f>
        <v>0</v>
      </c>
      <c r="R108" s="401">
        <f>IF( Pile!O$24="",0, Pile!O$24)</f>
        <v>0</v>
      </c>
      <c r="S108" s="418">
        <f t="shared" si="31"/>
        <v>20</v>
      </c>
      <c r="T108" s="382">
        <f xml:space="preserve"> Pile!$T$24</f>
        <v>100</v>
      </c>
      <c r="U108" s="382">
        <f t="shared" si="32"/>
        <v>20</v>
      </c>
      <c r="V108" s="382">
        <f t="shared" si="2"/>
        <v>360</v>
      </c>
      <c r="W108" s="382" t="str">
        <f xml:space="preserve"> Pile!$V$24</f>
        <v/>
      </c>
      <c r="X108" s="382">
        <f t="shared" si="33"/>
        <v>360</v>
      </c>
      <c r="Y108" s="419">
        <v>450</v>
      </c>
      <c r="Z108" s="382">
        <f>PI()*Y108/1000*( Pile!$C$24- Pile!$C108)</f>
        <v>8.0581851564578137</v>
      </c>
      <c r="AA108" s="382">
        <f t="shared" si="3"/>
        <v>0.15904312808798329</v>
      </c>
      <c r="AB108" s="382">
        <f t="shared" si="34"/>
        <v>161.16370312915626</v>
      </c>
      <c r="AC108" s="382">
        <f>Z108* Pile!$S$24</f>
        <v>0</v>
      </c>
      <c r="AD108" s="382">
        <f t="shared" si="35"/>
        <v>161.16370312915626</v>
      </c>
      <c r="AE108" s="382">
        <f>IF(AD108&gt;0,+AD108)/ 'Pile Data and Eurocode Factors'!$B$14/ 'Pile Data and Eurocode Factors'!$B$15+$AE$89</f>
        <v>147.70254582593236</v>
      </c>
      <c r="AF108" s="382">
        <f t="shared" si="36"/>
        <v>57.255526111673987</v>
      </c>
      <c r="AG108" s="382">
        <f>AA108* Pile!$U$24</f>
        <v>0</v>
      </c>
      <c r="AH108" s="382">
        <f t="shared" si="4"/>
        <v>57.255526111673987</v>
      </c>
      <c r="AI108" s="382">
        <f>AH108/ 'Pile Data and Eurocode Factors'!$C$14/ 'Pile Data and Eurocode Factors'!$C$15</f>
        <v>20.448402182740711</v>
      </c>
      <c r="AJ108" s="382">
        <f t="shared" si="5"/>
        <v>168.15094800867308</v>
      </c>
      <c r="AK108" s="382">
        <f>VLOOKUP(Y108, 'Pile Data and Eurocode Factors'!$A$34:$J$39,3, FALSE)</f>
        <v>2366.1761868507956</v>
      </c>
      <c r="AL108" s="403">
        <f t="shared" si="6"/>
        <v>168.15094800867308</v>
      </c>
      <c r="AM108" s="419">
        <v>600</v>
      </c>
      <c r="AN108" s="382">
        <f>PI()*AM108/1000*( Pile!$C$24- Pile!$C108)</f>
        <v>10.744246875277085</v>
      </c>
      <c r="AO108" s="382">
        <f t="shared" si="7"/>
        <v>0.28274333882308139</v>
      </c>
      <c r="AP108" s="382">
        <f t="shared" si="54"/>
        <v>214.8849375055417</v>
      </c>
      <c r="AQ108" s="382">
        <f>AN108* Pile!$S$24</f>
        <v>0</v>
      </c>
      <c r="AR108" s="382">
        <f t="shared" si="59"/>
        <v>214.8849375055417</v>
      </c>
      <c r="AS108" s="382">
        <f>IF(AR108&gt;0,+AR108)/ 'Pile Data and Eurocode Factors'!$B$14/ 'Pile Data and Eurocode Factors'!$B$15+$AS$89</f>
        <v>196.93672776790976</v>
      </c>
      <c r="AT108" s="382">
        <f t="shared" si="65"/>
        <v>101.7876019763093</v>
      </c>
      <c r="AU108" s="382">
        <f>AO108* Pile!$U$24</f>
        <v>0</v>
      </c>
      <c r="AV108" s="382">
        <f t="shared" si="8"/>
        <v>101.7876019763093</v>
      </c>
      <c r="AW108" s="382">
        <f>AV108/ 'Pile Data and Eurocode Factors'!$C$14/ 'Pile Data and Eurocode Factors'!$C$15</f>
        <v>36.352714991539038</v>
      </c>
      <c r="AX108" s="382">
        <f t="shared" si="9"/>
        <v>233.2894427594488</v>
      </c>
      <c r="AY108" s="382">
        <f>VLOOKUP(AM108, 'Pile Data and Eurocode Factors'!$A$34:$J$39,3, FALSE)</f>
        <v>4206.5354432903041</v>
      </c>
      <c r="AZ108" s="403">
        <f t="shared" si="10"/>
        <v>233.2894427594488</v>
      </c>
      <c r="BA108" s="419">
        <v>750</v>
      </c>
      <c r="BB108" s="382">
        <f>PI()*BA108/1000*( Pile!$C$24- Pile!$C108)</f>
        <v>13.430308594096356</v>
      </c>
      <c r="BC108" s="382">
        <f t="shared" si="11"/>
        <v>0.44178646691106466</v>
      </c>
      <c r="BD108" s="382">
        <f t="shared" si="55"/>
        <v>268.60617188192714</v>
      </c>
      <c r="BE108" s="382">
        <f>BB108* Pile!$S$24</f>
        <v>0</v>
      </c>
      <c r="BF108" s="382">
        <f t="shared" si="60"/>
        <v>268.60617188192714</v>
      </c>
      <c r="BG108" s="382">
        <f>IF(BF108&gt;0,+BF108)/ 'Pile Data and Eurocode Factors'!$B$14/ 'Pile Data and Eurocode Factors'!$B$15+$BG$89</f>
        <v>246.17090970988721</v>
      </c>
      <c r="BH108" s="382">
        <f t="shared" si="66"/>
        <v>159.04312808798326</v>
      </c>
      <c r="BI108" s="382">
        <f>BC108* Pile!$U$24</f>
        <v>0</v>
      </c>
      <c r="BJ108" s="382">
        <f t="shared" si="12"/>
        <v>159.04312808798326</v>
      </c>
      <c r="BK108" s="382">
        <f>BJ108/ 'Pile Data and Eurocode Factors'!$C$14/ 'Pile Data and Eurocode Factors'!$C$15</f>
        <v>56.801117174279739</v>
      </c>
      <c r="BL108" s="382">
        <f t="shared" si="13"/>
        <v>302.97202688416695</v>
      </c>
      <c r="BM108" s="382">
        <f>VLOOKUP(BA108, 'Pile Data and Eurocode Factors'!$A$34:$J$39,3, FALSE)</f>
        <v>6572.7116301410997</v>
      </c>
      <c r="BN108" s="403">
        <f t="shared" si="14"/>
        <v>302.97202688416695</v>
      </c>
      <c r="BO108" s="419">
        <v>900</v>
      </c>
      <c r="BP108" s="382">
        <f>PI()*BO108/1000*( Pile!$C$24- Pile!$C108)</f>
        <v>16.116370312915627</v>
      </c>
      <c r="BQ108" s="382">
        <f t="shared" si="15"/>
        <v>0.63617251235193317</v>
      </c>
      <c r="BR108" s="382">
        <f t="shared" si="56"/>
        <v>322.32740625831252</v>
      </c>
      <c r="BS108" s="382">
        <f>BP108* Pile!$S$24</f>
        <v>0</v>
      </c>
      <c r="BT108" s="382">
        <f t="shared" si="61"/>
        <v>322.32740625831252</v>
      </c>
      <c r="BU108" s="382">
        <f>IF(BT108&gt;0,+BT108)/ 'Pile Data and Eurocode Factors'!$B$14/ 'Pile Data and Eurocode Factors'!$B$15+$BU$89</f>
        <v>295.40509165186472</v>
      </c>
      <c r="BV108" s="382">
        <f t="shared" si="67"/>
        <v>229.02210444669595</v>
      </c>
      <c r="BW108" s="382">
        <f>BQ108* Pile!$U$24</f>
        <v>0</v>
      </c>
      <c r="BX108" s="382">
        <f t="shared" si="16"/>
        <v>229.02210444669595</v>
      </c>
      <c r="BY108" s="382">
        <f>BX108/ 'Pile Data and Eurocode Factors'!$C$14/ 'Pile Data and Eurocode Factors'!$C$15</f>
        <v>81.793608730962845</v>
      </c>
      <c r="BZ108" s="382">
        <f t="shared" si="17"/>
        <v>377.19870038282755</v>
      </c>
      <c r="CA108" s="382">
        <f>VLOOKUP(BO108, 'Pile Data and Eurocode Factors'!$A$34:$J$39,3, FALSE)</f>
        <v>9464.7047474031824</v>
      </c>
      <c r="CB108" s="403">
        <f t="shared" si="18"/>
        <v>377.19870038282755</v>
      </c>
      <c r="CC108" s="419">
        <v>1050</v>
      </c>
      <c r="CD108" s="382">
        <f>PI()*CC108/1000*( Pile!$C$24- Pile!$C108)</f>
        <v>18.802432031734899</v>
      </c>
      <c r="CE108" s="382">
        <f t="shared" si="19"/>
        <v>0.86590147514568672</v>
      </c>
      <c r="CF108" s="382">
        <f t="shared" si="57"/>
        <v>376.04864063469796</v>
      </c>
      <c r="CG108" s="382">
        <f>CD108* Pile!$S$24</f>
        <v>0</v>
      </c>
      <c r="CH108" s="382">
        <f t="shared" si="68"/>
        <v>376.04864063469796</v>
      </c>
      <c r="CI108" s="382">
        <f>IF(CH108&gt;0,+CH108)/ 'Pile Data and Eurocode Factors'!$B$14/ 'Pile Data and Eurocode Factors'!$B$15+$CI$89</f>
        <v>344.63927359384206</v>
      </c>
      <c r="CJ108" s="382">
        <f t="shared" si="69"/>
        <v>311.72453105244722</v>
      </c>
      <c r="CK108" s="382">
        <f>CE108* Pile!$U$24</f>
        <v>0</v>
      </c>
      <c r="CL108" s="382">
        <f t="shared" si="20"/>
        <v>311.72453105244722</v>
      </c>
      <c r="CM108" s="382">
        <f>CL108/ 'Pile Data and Eurocode Factors'!$C$14/ 'Pile Data and Eurocode Factors'!$C$15</f>
        <v>111.33018966158829</v>
      </c>
      <c r="CN108" s="382">
        <f t="shared" si="21"/>
        <v>455.96946325543036</v>
      </c>
      <c r="CO108" s="382">
        <f>VLOOKUP(CC108, 'Pile Data and Eurocode Factors'!$A$34:$J$39,3, FALSE)</f>
        <v>12882.514795076555</v>
      </c>
      <c r="CP108" s="403">
        <f t="shared" si="22"/>
        <v>455.96946325543036</v>
      </c>
      <c r="CQ108" s="419">
        <v>1200</v>
      </c>
      <c r="CR108" s="382">
        <f>PI()*CQ108/1000*( Pile!$C$24- Pile!$C108)</f>
        <v>21.48849375055417</v>
      </c>
      <c r="CS108" s="382">
        <f t="shared" si="23"/>
        <v>1.1309733552923256</v>
      </c>
      <c r="CT108" s="382">
        <f t="shared" si="58"/>
        <v>429.7698750110834</v>
      </c>
      <c r="CU108" s="382">
        <f>CR108* Pile!$S$24</f>
        <v>0</v>
      </c>
      <c r="CV108" s="382">
        <f t="shared" si="70"/>
        <v>429.7698750110834</v>
      </c>
      <c r="CW108" s="382">
        <f>IF(CV108&gt;0,+CV108)/ 'Pile Data and Eurocode Factors'!$B$14/ 'Pile Data and Eurocode Factors'!$B$15+$CW$89</f>
        <v>393.87345553581952</v>
      </c>
      <c r="CX108" s="382">
        <f t="shared" si="71"/>
        <v>407.15040790523722</v>
      </c>
      <c r="CY108" s="382">
        <f>CS108* Pile!$U$24</f>
        <v>0</v>
      </c>
      <c r="CZ108" s="382">
        <f t="shared" si="24"/>
        <v>407.15040790523722</v>
      </c>
      <c r="DA108" s="382">
        <f>CZ108/ 'Pile Data and Eurocode Factors'!$C$14/ 'Pile Data and Eurocode Factors'!$C$15</f>
        <v>145.41085996615615</v>
      </c>
      <c r="DB108" s="382">
        <f t="shared" si="25"/>
        <v>539.2843155019757</v>
      </c>
      <c r="DC108" s="382">
        <f>VLOOKUP(CQ108, 'Pile Data and Eurocode Factors'!$A$34:$J$39,3, FALSE)</f>
        <v>16826.141773161216</v>
      </c>
      <c r="DD108" s="403">
        <f t="shared" si="26"/>
        <v>539.2843155019757</v>
      </c>
      <c r="DE108" s="420">
        <f xml:space="preserve"> Pile!$C$23- Pile!C108</f>
        <v>11.699999999999996</v>
      </c>
      <c r="DG108" s="382">
        <f t="shared" si="52"/>
        <v>168.15094800867308</v>
      </c>
      <c r="DH108" s="382">
        <f t="shared" si="27"/>
        <v>233.2894427594488</v>
      </c>
      <c r="DI108" s="382">
        <f t="shared" si="28"/>
        <v>302.97202688416695</v>
      </c>
      <c r="DJ108" s="382">
        <f t="shared" si="29"/>
        <v>377.19870038282755</v>
      </c>
      <c r="DK108" s="382">
        <f t="shared" si="30"/>
        <v>455.96946325543036</v>
      </c>
      <c r="DL108" s="382">
        <f t="shared" si="53"/>
        <v>539.2843155019757</v>
      </c>
    </row>
    <row r="109" spans="1:116" s="308" customFormat="1" ht="15">
      <c r="B109" s="400">
        <v>20</v>
      </c>
      <c r="C109" s="401">
        <f>+C108- Pile!D$24/20</f>
        <v>-5.9999999999999956</v>
      </c>
      <c r="D109" s="415" t="str">
        <f>B24</f>
        <v>Firm Clay</v>
      </c>
      <c r="E109" s="415" t="str">
        <f>F24</f>
        <v>Cohesive</v>
      </c>
      <c r="F109" s="401">
        <f xml:space="preserve"> Pile!$E$24*(C108-C109)+F108</f>
        <v>210.00000000000011</v>
      </c>
      <c r="G109" s="401">
        <f>IF(C109&gt; Pile!$C$28,0,( Pile!$C$28-C109)*9.81)</f>
        <v>0</v>
      </c>
      <c r="H109" s="401">
        <f t="shared" si="0"/>
        <v>210.00000000000011</v>
      </c>
      <c r="I109" s="401">
        <f t="shared" si="64"/>
        <v>154.50000000000006</v>
      </c>
      <c r="J109" s="401">
        <f>IF(E109="Cohesive",(( Pile!$H$24- Pile!$G$24)/20)+J108,0)</f>
        <v>40</v>
      </c>
      <c r="K109" s="401">
        <f>IF(E109="Cohesive",( Pile!$G$24+ Pile!$J109)/2,0)</f>
        <v>40</v>
      </c>
      <c r="L109" s="401">
        <f>IF( Pile!I$24="",0, Pile!I$24)</f>
        <v>0.5</v>
      </c>
      <c r="M109" s="401">
        <f>IF( Pile!J$24="",0, Pile!J$24)</f>
        <v>9</v>
      </c>
      <c r="N109" s="401">
        <f>IF(E109="Granular", Pile!$K$24,0)</f>
        <v>0</v>
      </c>
      <c r="O109" s="416">
        <f>IF(AND(E109="Granular",D109&lt;&gt;"Made Ground"), Pile!$L$24,0)</f>
        <v>0</v>
      </c>
      <c r="P109" s="401">
        <f>IF(OR(D109="Low Density Chalk",D109="Medium Density Chalk"), Pile!$M$24,0)</f>
        <v>0</v>
      </c>
      <c r="Q109" s="417">
        <f>IF(D109="High Density Chalk", Pile!$N$24,0)</f>
        <v>0</v>
      </c>
      <c r="R109" s="401">
        <f>IF( Pile!O$24="",0, Pile!O$24)</f>
        <v>0</v>
      </c>
      <c r="S109" s="418">
        <f t="shared" si="31"/>
        <v>20</v>
      </c>
      <c r="T109" s="382">
        <f xml:space="preserve"> Pile!$T$24</f>
        <v>100</v>
      </c>
      <c r="U109" s="382">
        <f t="shared" si="32"/>
        <v>20</v>
      </c>
      <c r="V109" s="382">
        <f t="shared" si="2"/>
        <v>360</v>
      </c>
      <c r="W109" s="382" t="str">
        <f xml:space="preserve"> Pile!$V$24</f>
        <v/>
      </c>
      <c r="X109" s="382">
        <f t="shared" si="33"/>
        <v>360</v>
      </c>
      <c r="Y109" s="419">
        <v>450</v>
      </c>
      <c r="Z109" s="382">
        <f>PI()*Y109/1000*( Pile!$C$24- Pile!$C109)</f>
        <v>8.4823001646924343</v>
      </c>
      <c r="AA109" s="382">
        <f t="shared" si="3"/>
        <v>0.15904312808798329</v>
      </c>
      <c r="AB109" s="382">
        <f t="shared" si="34"/>
        <v>169.64600329384868</v>
      </c>
      <c r="AC109" s="382">
        <f>Z109* Pile!$S$24</f>
        <v>0</v>
      </c>
      <c r="AD109" s="382">
        <f t="shared" si="35"/>
        <v>169.64600329384868</v>
      </c>
      <c r="AE109" s="382">
        <f>IF(AD109&gt;0,+AD109)/ 'Pile Data and Eurocode Factors'!$B$14/ 'Pile Data and Eurocode Factors'!$B$15+$AE$89</f>
        <v>151.48928697088434</v>
      </c>
      <c r="AF109" s="382">
        <f t="shared" si="36"/>
        <v>57.255526111673987</v>
      </c>
      <c r="AG109" s="382">
        <f>AA109* Pile!$U$24</f>
        <v>0</v>
      </c>
      <c r="AH109" s="382">
        <f t="shared" si="4"/>
        <v>57.255526111673987</v>
      </c>
      <c r="AI109" s="382">
        <f>AH109/ 'Pile Data and Eurocode Factors'!$C$14/ 'Pile Data and Eurocode Factors'!$C$15</f>
        <v>20.448402182740711</v>
      </c>
      <c r="AJ109" s="382">
        <f t="shared" si="5"/>
        <v>171.93768915362506</v>
      </c>
      <c r="AK109" s="382">
        <f>VLOOKUP(Y109, 'Pile Data and Eurocode Factors'!$A$34:$J$39,3, FALSE)</f>
        <v>2366.1761868507956</v>
      </c>
      <c r="AL109" s="403">
        <f t="shared" si="6"/>
        <v>171.93768915362506</v>
      </c>
      <c r="AM109" s="419">
        <v>600</v>
      </c>
      <c r="AN109" s="382">
        <f>PI()*AM109/1000*( Pile!$C$24- Pile!$C109)</f>
        <v>11.309733552923246</v>
      </c>
      <c r="AO109" s="382">
        <f t="shared" si="7"/>
        <v>0.28274333882308139</v>
      </c>
      <c r="AP109" s="382">
        <f t="shared" si="54"/>
        <v>226.19467105846493</v>
      </c>
      <c r="AQ109" s="382">
        <f>AN109* Pile!$S$24</f>
        <v>0</v>
      </c>
      <c r="AR109" s="382">
        <f t="shared" si="59"/>
        <v>226.19467105846493</v>
      </c>
      <c r="AS109" s="382">
        <f>IF(AR109&gt;0,+AR109)/ 'Pile Data and Eurocode Factors'!$B$14/ 'Pile Data and Eurocode Factors'!$B$15+$AS$89</f>
        <v>201.98571596117907</v>
      </c>
      <c r="AT109" s="382">
        <f t="shared" si="65"/>
        <v>101.7876019763093</v>
      </c>
      <c r="AU109" s="382">
        <f>AO109* Pile!$U$24</f>
        <v>0</v>
      </c>
      <c r="AV109" s="382">
        <f t="shared" si="8"/>
        <v>101.7876019763093</v>
      </c>
      <c r="AW109" s="382">
        <f>AV109/ 'Pile Data and Eurocode Factors'!$C$14/ 'Pile Data and Eurocode Factors'!$C$15</f>
        <v>36.352714991539038</v>
      </c>
      <c r="AX109" s="382">
        <f t="shared" si="9"/>
        <v>238.33843095271811</v>
      </c>
      <c r="AY109" s="382">
        <f>VLOOKUP(AM109, 'Pile Data and Eurocode Factors'!$A$34:$J$39,3, FALSE)</f>
        <v>4206.5354432903041</v>
      </c>
      <c r="AZ109" s="403">
        <f t="shared" si="10"/>
        <v>238.33843095271811</v>
      </c>
      <c r="BA109" s="419">
        <v>750</v>
      </c>
      <c r="BB109" s="382">
        <f>PI()*BA109/1000*( Pile!$C$24- Pile!$C109)</f>
        <v>14.137166941154058</v>
      </c>
      <c r="BC109" s="382">
        <f t="shared" si="11"/>
        <v>0.44178646691106466</v>
      </c>
      <c r="BD109" s="382">
        <f t="shared" si="55"/>
        <v>282.74333882308116</v>
      </c>
      <c r="BE109" s="382">
        <f>BB109* Pile!$S$24</f>
        <v>0</v>
      </c>
      <c r="BF109" s="382">
        <f t="shared" si="60"/>
        <v>282.74333882308116</v>
      </c>
      <c r="BG109" s="382">
        <f>IF(BF109&gt;0,+BF109)/ 'Pile Data and Eurocode Factors'!$B$14/ 'Pile Data and Eurocode Factors'!$B$15+$BG$89</f>
        <v>252.48214495147386</v>
      </c>
      <c r="BH109" s="382">
        <f t="shared" si="66"/>
        <v>159.04312808798326</v>
      </c>
      <c r="BI109" s="382">
        <f>BC109* Pile!$U$24</f>
        <v>0</v>
      </c>
      <c r="BJ109" s="382">
        <f t="shared" si="12"/>
        <v>159.04312808798326</v>
      </c>
      <c r="BK109" s="382">
        <f>BJ109/ 'Pile Data and Eurocode Factors'!$C$14/ 'Pile Data and Eurocode Factors'!$C$15</f>
        <v>56.801117174279739</v>
      </c>
      <c r="BL109" s="382">
        <f t="shared" si="13"/>
        <v>309.28326212575359</v>
      </c>
      <c r="BM109" s="382">
        <f>VLOOKUP(BA109, 'Pile Data and Eurocode Factors'!$A$34:$J$39,3, FALSE)</f>
        <v>6572.7116301410997</v>
      </c>
      <c r="BN109" s="403">
        <f t="shared" si="14"/>
        <v>309.28326212575359</v>
      </c>
      <c r="BO109" s="419">
        <v>900</v>
      </c>
      <c r="BP109" s="382">
        <f>PI()*BO109/1000*( Pile!$C$24- Pile!$C109)</f>
        <v>16.964600329384869</v>
      </c>
      <c r="BQ109" s="382">
        <f t="shared" si="15"/>
        <v>0.63617251235193317</v>
      </c>
      <c r="BR109" s="382">
        <f t="shared" si="56"/>
        <v>339.29200658769736</v>
      </c>
      <c r="BS109" s="382">
        <f>BP109* Pile!$S$24</f>
        <v>0</v>
      </c>
      <c r="BT109" s="382">
        <f t="shared" si="61"/>
        <v>339.29200658769736</v>
      </c>
      <c r="BU109" s="382">
        <f>IF(BT109&gt;0,+BT109)/ 'Pile Data and Eurocode Factors'!$B$14/ 'Pile Data and Eurocode Factors'!$B$15+$BU$89</f>
        <v>302.97857394176867</v>
      </c>
      <c r="BV109" s="382">
        <f t="shared" si="67"/>
        <v>229.02210444669595</v>
      </c>
      <c r="BW109" s="382">
        <f>BQ109* Pile!$U$24</f>
        <v>0</v>
      </c>
      <c r="BX109" s="382">
        <f t="shared" si="16"/>
        <v>229.02210444669595</v>
      </c>
      <c r="BY109" s="382">
        <f>BX109/ 'Pile Data and Eurocode Factors'!$C$14/ 'Pile Data and Eurocode Factors'!$C$15</f>
        <v>81.793608730962845</v>
      </c>
      <c r="BZ109" s="382">
        <f t="shared" si="17"/>
        <v>384.7721826727315</v>
      </c>
      <c r="CA109" s="382">
        <f>VLOOKUP(BO109, 'Pile Data and Eurocode Factors'!$A$34:$J$39,3, FALSE)</f>
        <v>9464.7047474031824</v>
      </c>
      <c r="CB109" s="403">
        <f t="shared" si="18"/>
        <v>384.7721826727315</v>
      </c>
      <c r="CC109" s="419">
        <v>1050</v>
      </c>
      <c r="CD109" s="382">
        <f>PI()*CC109/1000*( Pile!$C$24- Pile!$C109)</f>
        <v>19.792033717615681</v>
      </c>
      <c r="CE109" s="382">
        <f t="shared" si="19"/>
        <v>0.86590147514568672</v>
      </c>
      <c r="CF109" s="382">
        <f t="shared" si="57"/>
        <v>395.84067435231361</v>
      </c>
      <c r="CG109" s="382">
        <f>CD109* Pile!$S$24</f>
        <v>0</v>
      </c>
      <c r="CH109" s="382">
        <f t="shared" si="68"/>
        <v>395.84067435231361</v>
      </c>
      <c r="CI109" s="382">
        <f>IF(CH109&gt;0,+CH109)/ 'Pile Data and Eurocode Factors'!$B$14/ 'Pile Data and Eurocode Factors'!$B$15+$CI$89</f>
        <v>353.47500293206338</v>
      </c>
      <c r="CJ109" s="382">
        <f t="shared" si="69"/>
        <v>311.72453105244722</v>
      </c>
      <c r="CK109" s="382">
        <f>CE109* Pile!$U$24</f>
        <v>0</v>
      </c>
      <c r="CL109" s="382">
        <f t="shared" si="20"/>
        <v>311.72453105244722</v>
      </c>
      <c r="CM109" s="382">
        <f>CL109/ 'Pile Data and Eurocode Factors'!$C$14/ 'Pile Data and Eurocode Factors'!$C$15</f>
        <v>111.33018966158829</v>
      </c>
      <c r="CN109" s="382">
        <f t="shared" si="21"/>
        <v>464.80519259365167</v>
      </c>
      <c r="CO109" s="382">
        <f>VLOOKUP(CC109, 'Pile Data and Eurocode Factors'!$A$34:$J$39,3, FALSE)</f>
        <v>12882.514795076555</v>
      </c>
      <c r="CP109" s="403">
        <f t="shared" si="22"/>
        <v>464.80519259365167</v>
      </c>
      <c r="CQ109" s="419">
        <v>1200</v>
      </c>
      <c r="CR109" s="382">
        <f>PI()*CQ109/1000*( Pile!$C$24- Pile!$C109)</f>
        <v>22.619467105846493</v>
      </c>
      <c r="CS109" s="382">
        <f t="shared" si="23"/>
        <v>1.1309733552923256</v>
      </c>
      <c r="CT109" s="382">
        <f t="shared" si="58"/>
        <v>452.38934211692987</v>
      </c>
      <c r="CU109" s="382">
        <f>CR109* Pile!$S$24</f>
        <v>0</v>
      </c>
      <c r="CV109" s="382">
        <f t="shared" si="70"/>
        <v>452.38934211692987</v>
      </c>
      <c r="CW109" s="382">
        <f>IF(CV109&gt;0,+CV109)/ 'Pile Data and Eurocode Factors'!$B$14/ 'Pile Data and Eurocode Factors'!$B$15+$CW$89</f>
        <v>403.97143192235814</v>
      </c>
      <c r="CX109" s="382">
        <f t="shared" si="71"/>
        <v>407.15040790523722</v>
      </c>
      <c r="CY109" s="382">
        <f>CS109* Pile!$U$24</f>
        <v>0</v>
      </c>
      <c r="CZ109" s="382">
        <f t="shared" si="24"/>
        <v>407.15040790523722</v>
      </c>
      <c r="DA109" s="382">
        <f>CZ109/ 'Pile Data and Eurocode Factors'!$C$14/ 'Pile Data and Eurocode Factors'!$C$15</f>
        <v>145.41085996615615</v>
      </c>
      <c r="DB109" s="382">
        <f t="shared" si="25"/>
        <v>549.38229188851426</v>
      </c>
      <c r="DC109" s="382">
        <f>VLOOKUP(CQ109, 'Pile Data and Eurocode Factors'!$A$34:$J$39,3, FALSE)</f>
        <v>16826.141773161216</v>
      </c>
      <c r="DD109" s="403">
        <f t="shared" si="26"/>
        <v>549.38229188851426</v>
      </c>
      <c r="DE109" s="420">
        <f xml:space="preserve"> Pile!$C$23- Pile!C109</f>
        <v>11.999999999999996</v>
      </c>
      <c r="DG109" s="382">
        <f t="shared" si="52"/>
        <v>171.93768915362506</v>
      </c>
      <c r="DH109" s="382">
        <f t="shared" si="27"/>
        <v>238.33843095271811</v>
      </c>
      <c r="DI109" s="382">
        <f t="shared" si="28"/>
        <v>309.28326212575359</v>
      </c>
      <c r="DJ109" s="382">
        <f t="shared" si="29"/>
        <v>384.7721826727315</v>
      </c>
      <c r="DK109" s="382">
        <f t="shared" si="30"/>
        <v>464.80519259365167</v>
      </c>
      <c r="DL109" s="382">
        <f t="shared" si="53"/>
        <v>549.38229188851426</v>
      </c>
    </row>
    <row r="110" spans="1:116" s="414" customFormat="1" ht="15">
      <c r="B110" s="404">
        <v>1</v>
      </c>
      <c r="C110" s="405">
        <f>+C109- Pile!D$25/20</f>
        <v>-7.4999999999999956</v>
      </c>
      <c r="D110" s="406" t="str">
        <f>B25</f>
        <v>Medium Sand/Gravel</v>
      </c>
      <c r="E110" s="406" t="str">
        <f>F25</f>
        <v>Granular</v>
      </c>
      <c r="F110" s="405">
        <f xml:space="preserve"> Pile!$E$25*(C109-C110)+F109</f>
        <v>239.25000000000011</v>
      </c>
      <c r="G110" s="405">
        <f>IF(C110&gt; Pile!$C$28,0,( Pile!$C$28-C110)*9.81)</f>
        <v>0</v>
      </c>
      <c r="H110" s="405">
        <f t="shared" si="0"/>
        <v>239.25000000000011</v>
      </c>
      <c r="I110" s="405">
        <f t="shared" ref="I110:I129" si="72">($H$109+H110)/2</f>
        <v>224.62500000000011</v>
      </c>
      <c r="J110" s="405">
        <f>IF(E110="Cohesive", Pile!$G$25+(( Pile!$H$25- Pile!$G$25)/20),0)</f>
        <v>0</v>
      </c>
      <c r="K110" s="405">
        <f>IF(E110="Cohesive",( Pile!$G$25+ Pile!$J110)/2,0)</f>
        <v>0</v>
      </c>
      <c r="L110" s="405" t="str">
        <f>IF( Pile!I$25="",0, Pile!I$25)</f>
        <v>0</v>
      </c>
      <c r="M110" s="405" t="str">
        <f>IF( Pile!J$25="",0, Pile!J$25)</f>
        <v>0</v>
      </c>
      <c r="N110" s="405">
        <f>IF(E110="Granular", Pile!$K$25,0)</f>
        <v>26.092012099198989</v>
      </c>
      <c r="O110" s="407">
        <f>IF(AND(E110="Granular",D110&lt;&gt;"Made Ground"), Pile!$L$25,0)</f>
        <v>0.4545853152382574</v>
      </c>
      <c r="P110" s="405">
        <f>IF(OR(D110="Low Density Chalk",D110="Medium Density Chalk"), Pile!$M$25,0)</f>
        <v>0</v>
      </c>
      <c r="Q110" s="408">
        <f>IF(D110="High Density Chalk", Pile!$N$25,0)</f>
        <v>0</v>
      </c>
      <c r="R110" s="405">
        <f>IF( Pile!O$25="",0, Pile!O$25)</f>
        <v>0</v>
      </c>
      <c r="S110" s="409">
        <f t="shared" si="31"/>
        <v>102.11122643539362</v>
      </c>
      <c r="T110" s="410">
        <f xml:space="preserve"> Pile!$T$25</f>
        <v>1200</v>
      </c>
      <c r="U110" s="410">
        <f t="shared" si="32"/>
        <v>102.11122643539362</v>
      </c>
      <c r="V110" s="410">
        <f t="shared" si="2"/>
        <v>6242.5138947333608</v>
      </c>
      <c r="W110" s="410">
        <f xml:space="preserve"> Pile!$V$25</f>
        <v>15000</v>
      </c>
      <c r="X110" s="410">
        <f t="shared" si="33"/>
        <v>6242.5138947333608</v>
      </c>
      <c r="Y110" s="411">
        <v>450</v>
      </c>
      <c r="Z110" s="410">
        <f>PI()*Y110/1000*( Pile!$C$25- Pile!$C110)</f>
        <v>2.1205750411731041</v>
      </c>
      <c r="AA110" s="410">
        <f t="shared" si="3"/>
        <v>0.15904312808798329</v>
      </c>
      <c r="AB110" s="410">
        <f t="shared" si="34"/>
        <v>216.53451820247099</v>
      </c>
      <c r="AC110" s="410">
        <f>Z110* Pile!$S$25</f>
        <v>0</v>
      </c>
      <c r="AD110" s="410">
        <f t="shared" si="35"/>
        <v>216.53451820247099</v>
      </c>
      <c r="AE110" s="410">
        <f>IF(AD110&gt;0,+AD110)/ 'Pile Data and Eurocode Factors'!$B$14/ 'Pile Data and Eurocode Factors'!$B$15+$AE$109</f>
        <v>248.15648259698747</v>
      </c>
      <c r="AF110" s="410">
        <f t="shared" si="36"/>
        <v>992.8289369510934</v>
      </c>
      <c r="AG110" s="410">
        <f>AA110* Pile!$U$25</f>
        <v>0</v>
      </c>
      <c r="AH110" s="410">
        <f t="shared" si="4"/>
        <v>992.8289369510934</v>
      </c>
      <c r="AI110" s="410">
        <f>AH110/ 'Pile Data and Eurocode Factors'!$C$14/ 'Pile Data and Eurocode Factors'!$C$15</f>
        <v>354.58176319681911</v>
      </c>
      <c r="AJ110" s="410">
        <f t="shared" si="5"/>
        <v>602.73824579380653</v>
      </c>
      <c r="AK110" s="410">
        <f>VLOOKUP(Y110, 'Pile Data and Eurocode Factors'!$A$34:$J$39,3, FALSE)</f>
        <v>2366.1761868507956</v>
      </c>
      <c r="AL110" s="412">
        <f t="shared" si="6"/>
        <v>602.73824579380653</v>
      </c>
      <c r="AM110" s="411">
        <v>600</v>
      </c>
      <c r="AN110" s="410">
        <f>PI()*AM110/1000*( Pile!$C$25- Pile!$C110)</f>
        <v>2.8274333882308054</v>
      </c>
      <c r="AO110" s="410">
        <f t="shared" si="7"/>
        <v>0.28274333882308139</v>
      </c>
      <c r="AP110" s="410">
        <f t="shared" si="54"/>
        <v>288.71269093662795</v>
      </c>
      <c r="AQ110" s="410">
        <f>AN110* Pile!$S$25</f>
        <v>0</v>
      </c>
      <c r="AR110" s="410">
        <f t="shared" si="59"/>
        <v>288.71269093662795</v>
      </c>
      <c r="AS110" s="410">
        <f>IF(AR110&gt;0,+AR110)/ 'Pile Data and Eurocode Factors'!$B$14/ 'Pile Data and Eurocode Factors'!$B$15+$AS$109</f>
        <v>330.87531012931652</v>
      </c>
      <c r="AT110" s="410">
        <f t="shared" si="65"/>
        <v>1765.029221246388</v>
      </c>
      <c r="AU110" s="410">
        <f>AO110* Pile!$U$25</f>
        <v>0</v>
      </c>
      <c r="AV110" s="410">
        <f t="shared" si="8"/>
        <v>1765.029221246388</v>
      </c>
      <c r="AW110" s="410">
        <f>AV110/ 'Pile Data and Eurocode Factors'!$C$14/ 'Pile Data and Eurocode Factors'!$C$15</f>
        <v>630.36757901656722</v>
      </c>
      <c r="AX110" s="410">
        <f t="shared" si="9"/>
        <v>961.24288914588374</v>
      </c>
      <c r="AY110" s="410">
        <f>VLOOKUP(AM110, 'Pile Data and Eurocode Factors'!$A$34:$J$39,3, FALSE)</f>
        <v>4206.5354432903041</v>
      </c>
      <c r="AZ110" s="412">
        <f t="shared" si="10"/>
        <v>961.24288914588374</v>
      </c>
      <c r="BA110" s="411">
        <v>750</v>
      </c>
      <c r="BB110" s="410">
        <f>PI()*BA110/1000*( Pile!$C$25- Pile!$C110)</f>
        <v>3.5342917352885066</v>
      </c>
      <c r="BC110" s="410">
        <f t="shared" si="11"/>
        <v>0.44178646691106466</v>
      </c>
      <c r="BD110" s="410">
        <f t="shared" si="55"/>
        <v>360.89086367078494</v>
      </c>
      <c r="BE110" s="410">
        <f>BB110* Pile!$S$25</f>
        <v>0</v>
      </c>
      <c r="BF110" s="410">
        <f t="shared" si="60"/>
        <v>360.89086367078494</v>
      </c>
      <c r="BG110" s="410">
        <f>IF(BF110&gt;0,+BF110)/ 'Pile Data and Eurocode Factors'!$B$14/ 'Pile Data and Eurocode Factors'!$B$15+$BG$109</f>
        <v>413.59413766164573</v>
      </c>
      <c r="BH110" s="410">
        <f t="shared" si="66"/>
        <v>2757.8581581974813</v>
      </c>
      <c r="BI110" s="410">
        <f>BC110* Pile!$U$25</f>
        <v>0</v>
      </c>
      <c r="BJ110" s="410">
        <f t="shared" si="12"/>
        <v>2757.8581581974813</v>
      </c>
      <c r="BK110" s="410">
        <f>BJ110/ 'Pile Data and Eurocode Factors'!$C$14/ 'Pile Data and Eurocode Factors'!$C$15</f>
        <v>984.94934221338622</v>
      </c>
      <c r="BL110" s="410">
        <f t="shared" si="13"/>
        <v>1398.5434798750321</v>
      </c>
      <c r="BM110" s="410">
        <f>VLOOKUP(BA110, 'Pile Data and Eurocode Factors'!$A$34:$J$39,3, FALSE)</f>
        <v>6572.7116301410997</v>
      </c>
      <c r="BN110" s="412">
        <f t="shared" si="14"/>
        <v>1398.5434798750321</v>
      </c>
      <c r="BO110" s="411">
        <v>900</v>
      </c>
      <c r="BP110" s="410">
        <f>PI()*BO110/1000*( Pile!$C$25- Pile!$C110)</f>
        <v>4.2411500823462083</v>
      </c>
      <c r="BQ110" s="410">
        <f t="shared" si="15"/>
        <v>0.63617251235193317</v>
      </c>
      <c r="BR110" s="410">
        <f t="shared" si="56"/>
        <v>433.06903640494198</v>
      </c>
      <c r="BS110" s="410">
        <f>BP110* Pile!$S$25</f>
        <v>0</v>
      </c>
      <c r="BT110" s="410">
        <f t="shared" si="61"/>
        <v>433.06903640494198</v>
      </c>
      <c r="BU110" s="410">
        <f>IF(BT110&gt;0,+BT110)/ 'Pile Data and Eurocode Factors'!$B$14/ 'Pile Data and Eurocode Factors'!$B$15+$BU$109</f>
        <v>496.31296519397495</v>
      </c>
      <c r="BV110" s="410">
        <f t="shared" si="67"/>
        <v>3971.3157478043736</v>
      </c>
      <c r="BW110" s="410">
        <f>BQ110* Pile!$U$25</f>
        <v>0</v>
      </c>
      <c r="BX110" s="410">
        <f t="shared" si="16"/>
        <v>3971.3157478043736</v>
      </c>
      <c r="BY110" s="410">
        <f>BX110/ 'Pile Data and Eurocode Factors'!$C$14/ 'Pile Data and Eurocode Factors'!$C$15</f>
        <v>1418.3270527872764</v>
      </c>
      <c r="BZ110" s="410">
        <f t="shared" si="17"/>
        <v>1914.6400179812513</v>
      </c>
      <c r="CA110" s="410">
        <f>VLOOKUP(BO110, 'Pile Data and Eurocode Factors'!$A$34:$J$39,3, FALSE)</f>
        <v>9464.7047474031824</v>
      </c>
      <c r="CB110" s="412">
        <f t="shared" si="18"/>
        <v>1914.6400179812513</v>
      </c>
      <c r="CC110" s="411">
        <v>1050</v>
      </c>
      <c r="CD110" s="410">
        <f>PI()*CC110/1000*( Pile!$C$25- Pile!$C110)</f>
        <v>4.9480084294039095</v>
      </c>
      <c r="CE110" s="410">
        <f t="shared" si="19"/>
        <v>0.86590147514568672</v>
      </c>
      <c r="CF110" s="410">
        <f t="shared" si="57"/>
        <v>505.24720913909897</v>
      </c>
      <c r="CG110" s="410">
        <f>CD110* Pile!$S$25</f>
        <v>0</v>
      </c>
      <c r="CH110" s="410">
        <f t="shared" si="68"/>
        <v>505.24720913909897</v>
      </c>
      <c r="CI110" s="410">
        <f>IF(CH110&gt;0,+CH110)/ 'Pile Data and Eurocode Factors'!$B$14/ 'Pile Data and Eurocode Factors'!$B$15+$CI$109</f>
        <v>579.03179272630405</v>
      </c>
      <c r="CJ110" s="410">
        <f t="shared" si="69"/>
        <v>5405.4019900670628</v>
      </c>
      <c r="CK110" s="410">
        <f>CE110* Pile!$U$25</f>
        <v>0</v>
      </c>
      <c r="CL110" s="410">
        <f t="shared" si="20"/>
        <v>5405.4019900670628</v>
      </c>
      <c r="CM110" s="410">
        <f>CL110/ 'Pile Data and Eurocode Factors'!$C$14/ 'Pile Data and Eurocode Factors'!$C$15</f>
        <v>1930.5007107382369</v>
      </c>
      <c r="CN110" s="410">
        <f t="shared" si="21"/>
        <v>2509.5325034645412</v>
      </c>
      <c r="CO110" s="410">
        <f>VLOOKUP(CC110, 'Pile Data and Eurocode Factors'!$A$34:$J$39,3, FALSE)</f>
        <v>12882.514795076555</v>
      </c>
      <c r="CP110" s="412">
        <f t="shared" si="22"/>
        <v>2509.5325034645412</v>
      </c>
      <c r="CQ110" s="411">
        <v>1200</v>
      </c>
      <c r="CR110" s="410">
        <f>PI()*CQ110/1000*( Pile!$C$25- Pile!$C110)</f>
        <v>5.6548667764616107</v>
      </c>
      <c r="CS110" s="410">
        <f t="shared" si="23"/>
        <v>1.1309733552923256</v>
      </c>
      <c r="CT110" s="410">
        <f t="shared" si="58"/>
        <v>577.4253818732559</v>
      </c>
      <c r="CU110" s="410">
        <f>CR110* Pile!$S$25</f>
        <v>0</v>
      </c>
      <c r="CV110" s="410">
        <f t="shared" si="70"/>
        <v>577.4253818732559</v>
      </c>
      <c r="CW110" s="410">
        <f>IF(CV110&gt;0,+CV110)/ 'Pile Data and Eurocode Factors'!$B$14/ 'Pile Data and Eurocode Factors'!$B$15+$CW$109</f>
        <v>661.75062025863303</v>
      </c>
      <c r="CX110" s="410">
        <f t="shared" si="71"/>
        <v>7060.1168849855521</v>
      </c>
      <c r="CY110" s="410">
        <f>CS110* Pile!$U$25</f>
        <v>0</v>
      </c>
      <c r="CZ110" s="410">
        <f t="shared" si="24"/>
        <v>7060.1168849855521</v>
      </c>
      <c r="DA110" s="410">
        <f>CZ110/ 'Pile Data and Eurocode Factors'!$C$14/ 'Pile Data and Eurocode Factors'!$C$15</f>
        <v>2521.4703160662689</v>
      </c>
      <c r="DB110" s="410">
        <f t="shared" si="25"/>
        <v>3183.2209363249021</v>
      </c>
      <c r="DC110" s="410">
        <f>VLOOKUP(CQ110, 'Pile Data and Eurocode Factors'!$A$34:$J$39,3, FALSE)</f>
        <v>16826.141773161216</v>
      </c>
      <c r="DD110" s="412">
        <f t="shared" si="26"/>
        <v>3183.2209363249021</v>
      </c>
      <c r="DE110" s="413">
        <f xml:space="preserve"> Pile!$C$23- Pile!C110</f>
        <v>13.499999999999996</v>
      </c>
      <c r="DG110" s="410">
        <f t="shared" si="52"/>
        <v>602.73824579380653</v>
      </c>
      <c r="DH110" s="410">
        <f t="shared" si="27"/>
        <v>961.24288914588374</v>
      </c>
      <c r="DI110" s="410">
        <f t="shared" si="28"/>
        <v>1398.5434798750321</v>
      </c>
      <c r="DJ110" s="410">
        <f t="shared" si="29"/>
        <v>1914.6400179812513</v>
      </c>
      <c r="DK110" s="410">
        <f t="shared" si="30"/>
        <v>2509.5325034645412</v>
      </c>
      <c r="DL110" s="410">
        <f t="shared" si="53"/>
        <v>3183.2209363249021</v>
      </c>
    </row>
    <row r="111" spans="1:116" s="308" customFormat="1" ht="15">
      <c r="B111" s="400">
        <v>2</v>
      </c>
      <c r="C111" s="401">
        <f>+C110- Pile!D$25/20</f>
        <v>-8.9999999999999964</v>
      </c>
      <c r="D111" s="415" t="str">
        <f>B25</f>
        <v>Medium Sand/Gravel</v>
      </c>
      <c r="E111" s="415" t="str">
        <f>F25</f>
        <v>Granular</v>
      </c>
      <c r="F111" s="401">
        <f xml:space="preserve"> Pile!$E$25*(C110-C111)+F110</f>
        <v>268.50000000000011</v>
      </c>
      <c r="G111" s="401">
        <f>IF(C111&gt; Pile!$C$28,0,( Pile!$C$28-C111)*9.81)</f>
        <v>0</v>
      </c>
      <c r="H111" s="401">
        <f t="shared" si="0"/>
        <v>268.50000000000011</v>
      </c>
      <c r="I111" s="401">
        <f t="shared" si="72"/>
        <v>239.25000000000011</v>
      </c>
      <c r="J111" s="401">
        <f>IF(E111="Cohesive",(( Pile!$H$25- Pile!$G$25)/20)+J110,0)</f>
        <v>0</v>
      </c>
      <c r="K111" s="401">
        <f>IF(E111="Cohesive",( Pile!$G$25+ Pile!$J111)/2,0)</f>
        <v>0</v>
      </c>
      <c r="L111" s="401" t="str">
        <f>IF( Pile!I$25="",0, Pile!I$25)</f>
        <v>0</v>
      </c>
      <c r="M111" s="401" t="str">
        <f>IF( Pile!J$25="",0, Pile!J$25)</f>
        <v>0</v>
      </c>
      <c r="N111" s="401">
        <f>IF(E111="Granular", Pile!$K$25,0)</f>
        <v>26.092012099198989</v>
      </c>
      <c r="O111" s="416">
        <f>IF(AND(E111="Granular",D111&lt;&gt;"Made Ground"), Pile!$L$25,0)</f>
        <v>0.4545853152382574</v>
      </c>
      <c r="P111" s="401">
        <f>IF(OR(D111="Low Density Chalk",D111="Medium Density Chalk"), Pile!$M$25,0)</f>
        <v>0</v>
      </c>
      <c r="Q111" s="417">
        <f>IF(D111="High Density Chalk", Pile!$N$25,0)</f>
        <v>0</v>
      </c>
      <c r="R111" s="401">
        <f>IF( Pile!O$25="",0, Pile!O$25)</f>
        <v>0</v>
      </c>
      <c r="S111" s="418">
        <f t="shared" si="31"/>
        <v>108.75953667075314</v>
      </c>
      <c r="T111" s="382">
        <f xml:space="preserve"> Pile!$T$25</f>
        <v>1200</v>
      </c>
      <c r="U111" s="382">
        <f t="shared" si="32"/>
        <v>108.75953667075314</v>
      </c>
      <c r="V111" s="382">
        <f t="shared" si="2"/>
        <v>7005.7052486349312</v>
      </c>
      <c r="W111" s="382">
        <f xml:space="preserve"> Pile!$V$25</f>
        <v>15000</v>
      </c>
      <c r="X111" s="382">
        <f t="shared" si="33"/>
        <v>7005.7052486349312</v>
      </c>
      <c r="Y111" s="419">
        <v>450</v>
      </c>
      <c r="Z111" s="382">
        <f>PI()*Y111/1000*( Pile!$C$25- Pile!$C111)</f>
        <v>4.2411500823462154</v>
      </c>
      <c r="AA111" s="382">
        <f t="shared" si="3"/>
        <v>0.15904312808798329</v>
      </c>
      <c r="AB111" s="382">
        <f t="shared" si="34"/>
        <v>461.2655179071009</v>
      </c>
      <c r="AC111" s="382">
        <f>Z111* Pile!$S$25</f>
        <v>0</v>
      </c>
      <c r="AD111" s="382">
        <f t="shared" si="35"/>
        <v>461.2655179071009</v>
      </c>
      <c r="AE111" s="382">
        <f>IF(AD111&gt;0,+AD111)/ 'Pile Data and Eurocode Factors'!$B$14/ 'Pile Data and Eurocode Factors'!$B$15+$AE$109</f>
        <v>357.41139317941156</v>
      </c>
      <c r="AF111" s="382">
        <f t="shared" si="36"/>
        <v>1114.2092772053022</v>
      </c>
      <c r="AG111" s="382">
        <f>AA111* Pile!$U$25</f>
        <v>0</v>
      </c>
      <c r="AH111" s="382">
        <f t="shared" si="4"/>
        <v>1114.2092772053022</v>
      </c>
      <c r="AI111" s="382">
        <f>AH111/ 'Pile Data and Eurocode Factors'!$C$14/ 'Pile Data and Eurocode Factors'!$C$15</f>
        <v>397.93188471617941</v>
      </c>
      <c r="AJ111" s="382">
        <f t="shared" si="5"/>
        <v>755.34327789559097</v>
      </c>
      <c r="AK111" s="382">
        <f>VLOOKUP(Y111, 'Pile Data and Eurocode Factors'!$A$34:$J$39,3, FALSE)</f>
        <v>2366.1761868507956</v>
      </c>
      <c r="AL111" s="403">
        <f t="shared" si="6"/>
        <v>755.34327789559097</v>
      </c>
      <c r="AM111" s="419">
        <v>600</v>
      </c>
      <c r="AN111" s="382">
        <f>PI()*AM111/1000*( Pile!$C$25- Pile!$C111)</f>
        <v>5.6548667764616205</v>
      </c>
      <c r="AO111" s="382">
        <f t="shared" si="7"/>
        <v>0.28274333882308139</v>
      </c>
      <c r="AP111" s="382">
        <f t="shared" si="54"/>
        <v>615.02069054280116</v>
      </c>
      <c r="AQ111" s="382">
        <f>AN111* Pile!$S$25</f>
        <v>0</v>
      </c>
      <c r="AR111" s="382">
        <f t="shared" si="59"/>
        <v>615.02069054280116</v>
      </c>
      <c r="AS111" s="382">
        <f>IF(AR111&gt;0,+AR111)/ 'Pile Data and Eurocode Factors'!$B$14/ 'Pile Data and Eurocode Factors'!$B$15+$AS$109</f>
        <v>476.54852423921534</v>
      </c>
      <c r="AT111" s="382">
        <f t="shared" si="65"/>
        <v>1980.8164928094261</v>
      </c>
      <c r="AU111" s="382">
        <f>AO111* Pile!$U$25</f>
        <v>0</v>
      </c>
      <c r="AV111" s="382">
        <f t="shared" si="8"/>
        <v>1980.8164928094261</v>
      </c>
      <c r="AW111" s="382">
        <f>AV111/ 'Pile Data and Eurocode Factors'!$C$14/ 'Pile Data and Eurocode Factors'!$C$15</f>
        <v>707.4344617176522</v>
      </c>
      <c r="AX111" s="382">
        <f t="shared" si="9"/>
        <v>1183.9829859568677</v>
      </c>
      <c r="AY111" s="382">
        <f>VLOOKUP(AM111, 'Pile Data and Eurocode Factors'!$A$34:$J$39,3, FALSE)</f>
        <v>4206.5354432903041</v>
      </c>
      <c r="AZ111" s="403">
        <f t="shared" si="10"/>
        <v>1183.9829859568677</v>
      </c>
      <c r="BA111" s="419">
        <v>750</v>
      </c>
      <c r="BB111" s="382">
        <f>PI()*BA111/1000*( Pile!$C$25- Pile!$C111)</f>
        <v>7.0685834705770265</v>
      </c>
      <c r="BC111" s="382">
        <f t="shared" si="11"/>
        <v>0.44178646691106466</v>
      </c>
      <c r="BD111" s="382">
        <f t="shared" si="55"/>
        <v>768.7758631785016</v>
      </c>
      <c r="BE111" s="382">
        <f>BB111* Pile!$S$25</f>
        <v>0</v>
      </c>
      <c r="BF111" s="382">
        <f t="shared" si="60"/>
        <v>768.7758631785016</v>
      </c>
      <c r="BG111" s="382">
        <f>IF(BF111&gt;0,+BF111)/ 'Pile Data and Eurocode Factors'!$B$14/ 'Pile Data and Eurocode Factors'!$B$15+$BG$109</f>
        <v>595.68565529901923</v>
      </c>
      <c r="BH111" s="382">
        <f t="shared" si="66"/>
        <v>3095.0257700147281</v>
      </c>
      <c r="BI111" s="382">
        <f>BC111* Pile!$U$25</f>
        <v>0</v>
      </c>
      <c r="BJ111" s="382">
        <f t="shared" si="12"/>
        <v>3095.0257700147281</v>
      </c>
      <c r="BK111" s="382">
        <f>BJ111/ 'Pile Data and Eurocode Factors'!$C$14/ 'Pile Data and Eurocode Factors'!$C$15</f>
        <v>1105.3663464338315</v>
      </c>
      <c r="BL111" s="382">
        <f t="shared" si="13"/>
        <v>1701.0520017328508</v>
      </c>
      <c r="BM111" s="382">
        <f>VLOOKUP(BA111, 'Pile Data and Eurocode Factors'!$A$34:$J$39,3, FALSE)</f>
        <v>6572.7116301410997</v>
      </c>
      <c r="BN111" s="403">
        <f t="shared" si="14"/>
        <v>1701.0520017328508</v>
      </c>
      <c r="BO111" s="419">
        <v>900</v>
      </c>
      <c r="BP111" s="382">
        <f>PI()*BO111/1000*( Pile!$C$25- Pile!$C111)</f>
        <v>8.4823001646924308</v>
      </c>
      <c r="BQ111" s="382">
        <f t="shared" si="15"/>
        <v>0.63617251235193317</v>
      </c>
      <c r="BR111" s="382">
        <f t="shared" si="56"/>
        <v>922.5310358142018</v>
      </c>
      <c r="BS111" s="382">
        <f>BP111* Pile!$S$25</f>
        <v>0</v>
      </c>
      <c r="BT111" s="382">
        <f t="shared" si="61"/>
        <v>922.5310358142018</v>
      </c>
      <c r="BU111" s="382">
        <f>IF(BT111&gt;0,+BT111)/ 'Pile Data and Eurocode Factors'!$B$14/ 'Pile Data and Eurocode Factors'!$B$15+$BU$109</f>
        <v>714.82278635882312</v>
      </c>
      <c r="BV111" s="382">
        <f t="shared" si="67"/>
        <v>4456.8371088212089</v>
      </c>
      <c r="BW111" s="382">
        <f>BQ111* Pile!$U$25</f>
        <v>0</v>
      </c>
      <c r="BX111" s="382">
        <f t="shared" si="16"/>
        <v>4456.8371088212089</v>
      </c>
      <c r="BY111" s="382">
        <f>BX111/ 'Pile Data and Eurocode Factors'!$C$14/ 'Pile Data and Eurocode Factors'!$C$15</f>
        <v>1591.7275388647176</v>
      </c>
      <c r="BZ111" s="382">
        <f t="shared" si="17"/>
        <v>2306.5503252235408</v>
      </c>
      <c r="CA111" s="382">
        <f>VLOOKUP(BO111, 'Pile Data and Eurocode Factors'!$A$34:$J$39,3, FALSE)</f>
        <v>9464.7047474031824</v>
      </c>
      <c r="CB111" s="403">
        <f t="shared" si="18"/>
        <v>2306.5503252235408</v>
      </c>
      <c r="CC111" s="419">
        <v>1050</v>
      </c>
      <c r="CD111" s="382">
        <f>PI()*CC111/1000*( Pile!$C$25- Pile!$C111)</f>
        <v>9.8960168588078368</v>
      </c>
      <c r="CE111" s="382">
        <f t="shared" si="19"/>
        <v>0.86590147514568672</v>
      </c>
      <c r="CF111" s="382">
        <f t="shared" si="57"/>
        <v>1076.2862084499022</v>
      </c>
      <c r="CG111" s="382">
        <f>CD111* Pile!$S$25</f>
        <v>0</v>
      </c>
      <c r="CH111" s="382">
        <f t="shared" si="68"/>
        <v>1076.2862084499022</v>
      </c>
      <c r="CI111" s="382">
        <f>IF(CH111&gt;0,+CH111)/ 'Pile Data and Eurocode Factors'!$B$14/ 'Pile Data and Eurocode Factors'!$B$15+$CI$109</f>
        <v>833.9599174186269</v>
      </c>
      <c r="CJ111" s="382">
        <f t="shared" si="69"/>
        <v>6066.2505092288666</v>
      </c>
      <c r="CK111" s="382">
        <f>CE111* Pile!$U$25</f>
        <v>0</v>
      </c>
      <c r="CL111" s="382">
        <f t="shared" si="20"/>
        <v>6066.2505092288666</v>
      </c>
      <c r="CM111" s="382">
        <f>CL111/ 'Pile Data and Eurocode Factors'!$C$14/ 'Pile Data and Eurocode Factors'!$C$15</f>
        <v>2166.5180390103096</v>
      </c>
      <c r="CN111" s="382">
        <f t="shared" si="21"/>
        <v>3000.4779564289365</v>
      </c>
      <c r="CO111" s="382">
        <f>VLOOKUP(CC111, 'Pile Data and Eurocode Factors'!$A$34:$J$39,3, FALSE)</f>
        <v>12882.514795076555</v>
      </c>
      <c r="CP111" s="403">
        <f t="shared" si="22"/>
        <v>3000.4779564289365</v>
      </c>
      <c r="CQ111" s="419">
        <v>1200</v>
      </c>
      <c r="CR111" s="382">
        <f>PI()*CQ111/1000*( Pile!$C$25- Pile!$C111)</f>
        <v>11.309733552923241</v>
      </c>
      <c r="CS111" s="382">
        <f t="shared" si="23"/>
        <v>1.1309733552923256</v>
      </c>
      <c r="CT111" s="382">
        <f t="shared" si="58"/>
        <v>1230.0413810856023</v>
      </c>
      <c r="CU111" s="382">
        <f>CR111* Pile!$S$25</f>
        <v>0</v>
      </c>
      <c r="CV111" s="382">
        <f t="shared" si="70"/>
        <v>1230.0413810856023</v>
      </c>
      <c r="CW111" s="382">
        <f>IF(CV111&gt;0,+CV111)/ 'Pile Data and Eurocode Factors'!$B$14/ 'Pile Data and Eurocode Factors'!$B$15+$CW$109</f>
        <v>953.09704847843068</v>
      </c>
      <c r="CX111" s="382">
        <f t="shared" si="71"/>
        <v>7923.2659712377044</v>
      </c>
      <c r="CY111" s="382">
        <f>CS111* Pile!$U$25</f>
        <v>0</v>
      </c>
      <c r="CZ111" s="382">
        <f t="shared" si="24"/>
        <v>7923.2659712377044</v>
      </c>
      <c r="DA111" s="382">
        <f>CZ111/ 'Pile Data and Eurocode Factors'!$C$14/ 'Pile Data and Eurocode Factors'!$C$15</f>
        <v>2829.7378468706088</v>
      </c>
      <c r="DB111" s="382">
        <f t="shared" si="25"/>
        <v>3782.8348953490395</v>
      </c>
      <c r="DC111" s="382">
        <f>VLOOKUP(CQ111, 'Pile Data and Eurocode Factors'!$A$34:$J$39,3, FALSE)</f>
        <v>16826.141773161216</v>
      </c>
      <c r="DD111" s="403">
        <f t="shared" si="26"/>
        <v>3782.8348953490395</v>
      </c>
      <c r="DE111" s="420">
        <f xml:space="preserve"> Pile!$C$23- Pile!C111</f>
        <v>14.999999999999996</v>
      </c>
      <c r="DG111" s="382">
        <f t="shared" si="52"/>
        <v>755.34327789559097</v>
      </c>
      <c r="DH111" s="382">
        <f t="shared" si="27"/>
        <v>1183.9829859568677</v>
      </c>
      <c r="DI111" s="382">
        <f t="shared" si="28"/>
        <v>1701.0520017328508</v>
      </c>
      <c r="DJ111" s="382">
        <f t="shared" si="29"/>
        <v>2306.5503252235408</v>
      </c>
      <c r="DK111" s="382">
        <f t="shared" si="30"/>
        <v>3000.4779564289365</v>
      </c>
      <c r="DL111" s="382">
        <f t="shared" si="53"/>
        <v>3782.8348953490395</v>
      </c>
    </row>
    <row r="112" spans="1:116" s="308" customFormat="1" ht="15">
      <c r="B112" s="400">
        <v>3</v>
      </c>
      <c r="C112" s="401">
        <f>+C111- Pile!D$25/20</f>
        <v>-10.499999999999996</v>
      </c>
      <c r="D112" s="415" t="str">
        <f>B25</f>
        <v>Medium Sand/Gravel</v>
      </c>
      <c r="E112" s="415" t="str">
        <f>F25</f>
        <v>Granular</v>
      </c>
      <c r="F112" s="401">
        <f xml:space="preserve"> Pile!$E$25*(C111-C112)+F111</f>
        <v>297.75000000000011</v>
      </c>
      <c r="G112" s="401">
        <f>IF(C112&gt; Pile!$C$28,0,( Pile!$C$28-C112)*9.81)</f>
        <v>0</v>
      </c>
      <c r="H112" s="401">
        <f t="shared" si="0"/>
        <v>297.75000000000011</v>
      </c>
      <c r="I112" s="401">
        <f t="shared" si="72"/>
        <v>253.87500000000011</v>
      </c>
      <c r="J112" s="401">
        <f>IF(E112="Cohesive",(( Pile!$H$25- Pile!$G$25)/20)+J111,0)</f>
        <v>0</v>
      </c>
      <c r="K112" s="401">
        <f>IF(E112="Cohesive",( Pile!$G$25+ Pile!$J112)/2,0)</f>
        <v>0</v>
      </c>
      <c r="L112" s="401" t="str">
        <f>IF( Pile!I$25="",0, Pile!I$25)</f>
        <v>0</v>
      </c>
      <c r="M112" s="401" t="str">
        <f>IF( Pile!J$25="",0, Pile!J$25)</f>
        <v>0</v>
      </c>
      <c r="N112" s="401">
        <f>IF(E112="Granular", Pile!$K$25,0)</f>
        <v>26.092012099198989</v>
      </c>
      <c r="O112" s="416">
        <f>IF(AND(E112="Granular",D112&lt;&gt;"Made Ground"), Pile!$L$25,0)</f>
        <v>0.4545853152382574</v>
      </c>
      <c r="P112" s="401">
        <f>IF(OR(D112="Low Density Chalk",D112="Medium Density Chalk"), Pile!$M$25,0)</f>
        <v>0</v>
      </c>
      <c r="Q112" s="417">
        <f>IF(D112="High Density Chalk", Pile!$N$25,0)</f>
        <v>0</v>
      </c>
      <c r="R112" s="401">
        <f>IF( Pile!O$25="",0, Pile!O$25)</f>
        <v>0</v>
      </c>
      <c r="S112" s="418">
        <f t="shared" si="31"/>
        <v>115.40784690611265</v>
      </c>
      <c r="T112" s="382">
        <f xml:space="preserve"> Pile!$T$25</f>
        <v>1200</v>
      </c>
      <c r="U112" s="382">
        <f t="shared" si="32"/>
        <v>115.40784690611265</v>
      </c>
      <c r="V112" s="382">
        <f t="shared" si="2"/>
        <v>7768.8966025365016</v>
      </c>
      <c r="W112" s="382">
        <f xml:space="preserve"> Pile!$V$25</f>
        <v>15000</v>
      </c>
      <c r="X112" s="382">
        <f t="shared" si="33"/>
        <v>7768.8966025365016</v>
      </c>
      <c r="Y112" s="419">
        <v>450</v>
      </c>
      <c r="Z112" s="382">
        <f>PI()*Y112/1000*( Pile!$C$25- Pile!$C112)</f>
        <v>6.3617251235193262</v>
      </c>
      <c r="AA112" s="382">
        <f t="shared" si="3"/>
        <v>0.15904312808798329</v>
      </c>
      <c r="AB112" s="382">
        <f t="shared" si="34"/>
        <v>734.19299911388896</v>
      </c>
      <c r="AC112" s="382">
        <f>Z112* Pile!$S$25</f>
        <v>0</v>
      </c>
      <c r="AD112" s="382">
        <f t="shared" si="35"/>
        <v>734.19299911388896</v>
      </c>
      <c r="AE112" s="382">
        <f>IF(AD112&gt;0,+AD112)/ 'Pile Data and Eurocode Factors'!$B$14/ 'Pile Data and Eurocode Factors'!$B$15+$AE$109</f>
        <v>479.2540187181562</v>
      </c>
      <c r="AF112" s="382">
        <f t="shared" si="36"/>
        <v>1235.5896174595111</v>
      </c>
      <c r="AG112" s="382">
        <f>AA112* Pile!$U$25</f>
        <v>0</v>
      </c>
      <c r="AH112" s="382">
        <f t="shared" si="4"/>
        <v>1235.5896174595111</v>
      </c>
      <c r="AI112" s="382">
        <f>AH112/ 'Pile Data and Eurocode Factors'!$C$14/ 'Pile Data and Eurocode Factors'!$C$15</f>
        <v>441.28200623553971</v>
      </c>
      <c r="AJ112" s="382">
        <f t="shared" si="5"/>
        <v>920.53602495369591</v>
      </c>
      <c r="AK112" s="382">
        <f>VLOOKUP(Y112, 'Pile Data and Eurocode Factors'!$A$34:$J$39,3, FALSE)</f>
        <v>2366.1761868507956</v>
      </c>
      <c r="AL112" s="403">
        <f t="shared" si="6"/>
        <v>920.53602495369591</v>
      </c>
      <c r="AM112" s="419">
        <v>600</v>
      </c>
      <c r="AN112" s="382">
        <f>PI()*AM112/1000*( Pile!$C$25- Pile!$C112)</f>
        <v>8.4823001646924343</v>
      </c>
      <c r="AO112" s="382">
        <f t="shared" si="7"/>
        <v>0.28274333882308139</v>
      </c>
      <c r="AP112" s="382">
        <f t="shared" si="54"/>
        <v>978.92399881851861</v>
      </c>
      <c r="AQ112" s="382">
        <f>AN112* Pile!$S$25</f>
        <v>0</v>
      </c>
      <c r="AR112" s="382">
        <f t="shared" si="59"/>
        <v>978.92399881851861</v>
      </c>
      <c r="AS112" s="382">
        <f>IF(AR112&gt;0,+AR112)/ 'Pile Data and Eurocode Factors'!$B$14/ 'Pile Data and Eurocode Factors'!$B$15+$AS$109</f>
        <v>639.00535829087494</v>
      </c>
      <c r="AT112" s="382">
        <f t="shared" si="65"/>
        <v>2196.603764372464</v>
      </c>
      <c r="AU112" s="382">
        <f>AO112* Pile!$U$25</f>
        <v>0</v>
      </c>
      <c r="AV112" s="382">
        <f t="shared" si="8"/>
        <v>2196.603764372464</v>
      </c>
      <c r="AW112" s="382">
        <f>AV112/ 'Pile Data and Eurocode Factors'!$C$14/ 'Pile Data and Eurocode Factors'!$C$15</f>
        <v>784.50134441873718</v>
      </c>
      <c r="AX112" s="382">
        <f t="shared" si="9"/>
        <v>1423.506702709612</v>
      </c>
      <c r="AY112" s="382">
        <f>VLOOKUP(AM112, 'Pile Data and Eurocode Factors'!$A$34:$J$39,3, FALSE)</f>
        <v>4206.5354432903041</v>
      </c>
      <c r="AZ112" s="403">
        <f t="shared" si="10"/>
        <v>1423.506702709612</v>
      </c>
      <c r="BA112" s="419">
        <v>750</v>
      </c>
      <c r="BB112" s="382">
        <f>PI()*BA112/1000*( Pile!$C$25- Pile!$C112)</f>
        <v>10.602875205865544</v>
      </c>
      <c r="BC112" s="382">
        <f t="shared" si="11"/>
        <v>0.44178646691106466</v>
      </c>
      <c r="BD112" s="382">
        <f t="shared" si="55"/>
        <v>1223.6549985231484</v>
      </c>
      <c r="BE112" s="382">
        <f>BB112* Pile!$S$25</f>
        <v>0</v>
      </c>
      <c r="BF112" s="382">
        <f t="shared" si="60"/>
        <v>1223.6549985231484</v>
      </c>
      <c r="BG112" s="382">
        <f>IF(BF112&gt;0,+BF112)/ 'Pile Data and Eurocode Factors'!$B$14/ 'Pile Data and Eurocode Factors'!$B$15+$BG$109</f>
        <v>798.75669786359367</v>
      </c>
      <c r="BH112" s="382">
        <f t="shared" si="66"/>
        <v>3432.1933818319749</v>
      </c>
      <c r="BI112" s="382">
        <f>BC112* Pile!$U$25</f>
        <v>0</v>
      </c>
      <c r="BJ112" s="382">
        <f t="shared" si="12"/>
        <v>3432.1933818319749</v>
      </c>
      <c r="BK112" s="382">
        <f>BJ112/ 'Pile Data and Eurocode Factors'!$C$14/ 'Pile Data and Eurocode Factors'!$C$15</f>
        <v>1225.7833506542768</v>
      </c>
      <c r="BL112" s="382">
        <f t="shared" si="13"/>
        <v>2024.5400485178704</v>
      </c>
      <c r="BM112" s="382">
        <f>VLOOKUP(BA112, 'Pile Data and Eurocode Factors'!$A$34:$J$39,3, FALSE)</f>
        <v>6572.7116301410997</v>
      </c>
      <c r="BN112" s="403">
        <f t="shared" si="14"/>
        <v>2024.5400485178704</v>
      </c>
      <c r="BO112" s="419">
        <v>900</v>
      </c>
      <c r="BP112" s="382">
        <f>PI()*BO112/1000*( Pile!$C$25- Pile!$C112)</f>
        <v>12.723450247038652</v>
      </c>
      <c r="BQ112" s="382">
        <f t="shared" si="15"/>
        <v>0.63617251235193317</v>
      </c>
      <c r="BR112" s="382">
        <f t="shared" si="56"/>
        <v>1468.3859982277779</v>
      </c>
      <c r="BS112" s="382">
        <f>BP112* Pile!$S$25</f>
        <v>0</v>
      </c>
      <c r="BT112" s="382">
        <f t="shared" si="61"/>
        <v>1468.3859982277779</v>
      </c>
      <c r="BU112" s="382">
        <f>IF(BT112&gt;0,+BT112)/ 'Pile Data and Eurocode Factors'!$B$14/ 'Pile Data and Eurocode Factors'!$B$15+$BU$109</f>
        <v>958.50803743631241</v>
      </c>
      <c r="BV112" s="382">
        <f t="shared" si="67"/>
        <v>4942.3584698380446</v>
      </c>
      <c r="BW112" s="382">
        <f>BQ112* Pile!$U$25</f>
        <v>0</v>
      </c>
      <c r="BX112" s="382">
        <f t="shared" si="16"/>
        <v>4942.3584698380446</v>
      </c>
      <c r="BY112" s="382">
        <f>BX112/ 'Pile Data and Eurocode Factors'!$C$14/ 'Pile Data and Eurocode Factors'!$C$15</f>
        <v>1765.1280249421588</v>
      </c>
      <c r="BZ112" s="382">
        <f t="shared" si="17"/>
        <v>2723.6360623784713</v>
      </c>
      <c r="CA112" s="382">
        <f>VLOOKUP(BO112, 'Pile Data and Eurocode Factors'!$A$34:$J$39,3, FALSE)</f>
        <v>9464.7047474031824</v>
      </c>
      <c r="CB112" s="403">
        <f t="shared" si="18"/>
        <v>2723.6360623784713</v>
      </c>
      <c r="CC112" s="419">
        <v>1050</v>
      </c>
      <c r="CD112" s="382">
        <f>PI()*CC112/1000*( Pile!$C$25- Pile!$C112)</f>
        <v>14.84402528821176</v>
      </c>
      <c r="CE112" s="382">
        <f t="shared" si="19"/>
        <v>0.86590147514568672</v>
      </c>
      <c r="CF112" s="382">
        <f t="shared" si="57"/>
        <v>1713.1169979324077</v>
      </c>
      <c r="CG112" s="382">
        <f>CD112* Pile!$S$25</f>
        <v>0</v>
      </c>
      <c r="CH112" s="382">
        <f t="shared" si="68"/>
        <v>1713.1169979324077</v>
      </c>
      <c r="CI112" s="382">
        <f>IF(CH112&gt;0,+CH112)/ 'Pile Data and Eurocode Factors'!$B$14/ 'Pile Data and Eurocode Factors'!$B$15+$CI$109</f>
        <v>1118.2593770090311</v>
      </c>
      <c r="CJ112" s="382">
        <f t="shared" si="69"/>
        <v>6727.0990283906704</v>
      </c>
      <c r="CK112" s="382">
        <f>CE112* Pile!$U$25</f>
        <v>0</v>
      </c>
      <c r="CL112" s="382">
        <f t="shared" si="20"/>
        <v>6727.0990283906704</v>
      </c>
      <c r="CM112" s="382">
        <f>CL112/ 'Pile Data and Eurocode Factors'!$C$14/ 'Pile Data and Eurocode Factors'!$C$15</f>
        <v>2402.5353672823826</v>
      </c>
      <c r="CN112" s="382">
        <f t="shared" si="21"/>
        <v>3520.7947442914137</v>
      </c>
      <c r="CO112" s="382">
        <f>VLOOKUP(CC112, 'Pile Data and Eurocode Factors'!$A$34:$J$39,3, FALSE)</f>
        <v>12882.514795076555</v>
      </c>
      <c r="CP112" s="403">
        <f t="shared" si="22"/>
        <v>3520.7947442914137</v>
      </c>
      <c r="CQ112" s="419">
        <v>1200</v>
      </c>
      <c r="CR112" s="382">
        <f>PI()*CQ112/1000*( Pile!$C$25- Pile!$C112)</f>
        <v>16.964600329384869</v>
      </c>
      <c r="CS112" s="382">
        <f t="shared" si="23"/>
        <v>1.1309733552923256</v>
      </c>
      <c r="CT112" s="382">
        <f t="shared" si="58"/>
        <v>1957.8479976370372</v>
      </c>
      <c r="CU112" s="382">
        <f>CR112* Pile!$S$25</f>
        <v>0</v>
      </c>
      <c r="CV112" s="382">
        <f t="shared" si="70"/>
        <v>1957.8479976370372</v>
      </c>
      <c r="CW112" s="382">
        <f>IF(CV112&gt;0,+CV112)/ 'Pile Data and Eurocode Factors'!$B$14/ 'Pile Data and Eurocode Factors'!$B$15+$CW$109</f>
        <v>1278.0107165817499</v>
      </c>
      <c r="CX112" s="382">
        <f t="shared" si="71"/>
        <v>8786.4150574898558</v>
      </c>
      <c r="CY112" s="382">
        <f>CS112* Pile!$U$25</f>
        <v>0</v>
      </c>
      <c r="CZ112" s="382">
        <f t="shared" si="24"/>
        <v>8786.4150574898558</v>
      </c>
      <c r="DA112" s="382">
        <f>CZ112/ 'Pile Data and Eurocode Factors'!$C$14/ 'Pile Data and Eurocode Factors'!$C$15</f>
        <v>3138.0053776749487</v>
      </c>
      <c r="DB112" s="382">
        <f t="shared" si="25"/>
        <v>4416.0160942566981</v>
      </c>
      <c r="DC112" s="382">
        <f>VLOOKUP(CQ112, 'Pile Data and Eurocode Factors'!$A$34:$J$39,3, FALSE)</f>
        <v>16826.141773161216</v>
      </c>
      <c r="DD112" s="403">
        <f t="shared" si="26"/>
        <v>4416.0160942566981</v>
      </c>
      <c r="DE112" s="420">
        <f xml:space="preserve"> Pile!$C$23- Pile!C112</f>
        <v>16.499999999999996</v>
      </c>
      <c r="DG112" s="382">
        <f t="shared" si="52"/>
        <v>920.53602495369591</v>
      </c>
      <c r="DH112" s="382">
        <f t="shared" si="27"/>
        <v>1423.506702709612</v>
      </c>
      <c r="DI112" s="382">
        <f t="shared" si="28"/>
        <v>2024.5400485178704</v>
      </c>
      <c r="DJ112" s="382">
        <f t="shared" si="29"/>
        <v>2723.6360623784713</v>
      </c>
      <c r="DK112" s="382">
        <f t="shared" si="30"/>
        <v>3520.7947442914137</v>
      </c>
      <c r="DL112" s="382">
        <f t="shared" si="53"/>
        <v>4416.0160942566981</v>
      </c>
    </row>
    <row r="113" spans="1:116" s="308" customFormat="1" ht="15">
      <c r="B113" s="400">
        <v>4</v>
      </c>
      <c r="C113" s="401">
        <f>+C112- Pile!D$25/20</f>
        <v>-11.999999999999996</v>
      </c>
      <c r="D113" s="415" t="str">
        <f>B25</f>
        <v>Medium Sand/Gravel</v>
      </c>
      <c r="E113" s="415" t="str">
        <f>F25</f>
        <v>Granular</v>
      </c>
      <c r="F113" s="401">
        <f xml:space="preserve"> Pile!$E$25*(C112-C113)+F112</f>
        <v>327.00000000000011</v>
      </c>
      <c r="G113" s="401">
        <f>IF(C113&gt; Pile!$C$28,0,( Pile!$C$28-C113)*9.81)</f>
        <v>0</v>
      </c>
      <c r="H113" s="401">
        <f t="shared" si="0"/>
        <v>327.00000000000011</v>
      </c>
      <c r="I113" s="401">
        <f t="shared" si="72"/>
        <v>268.50000000000011</v>
      </c>
      <c r="J113" s="401">
        <f>IF(E113="Cohesive",(( Pile!$H$25- Pile!$G$25)/20)+J112,0)</f>
        <v>0</v>
      </c>
      <c r="K113" s="401">
        <f>IF(E113="Cohesive",( Pile!$G$25+ Pile!$J113)/2,0)</f>
        <v>0</v>
      </c>
      <c r="L113" s="401" t="str">
        <f>IF( Pile!I$25="",0, Pile!I$25)</f>
        <v>0</v>
      </c>
      <c r="M113" s="401" t="str">
        <f>IF( Pile!J$25="",0, Pile!J$25)</f>
        <v>0</v>
      </c>
      <c r="N113" s="401">
        <f>IF(E113="Granular", Pile!$K$25,0)</f>
        <v>26.092012099198989</v>
      </c>
      <c r="O113" s="416">
        <f>IF(AND(E113="Granular",D113&lt;&gt;"Made Ground"), Pile!$L$25,0)</f>
        <v>0.4545853152382574</v>
      </c>
      <c r="P113" s="401">
        <f>IF(OR(D113="Low Density Chalk",D113="Medium Density Chalk"), Pile!$M$25,0)</f>
        <v>0</v>
      </c>
      <c r="Q113" s="417">
        <f>IF(D113="High Density Chalk", Pile!$N$25,0)</f>
        <v>0</v>
      </c>
      <c r="R113" s="401">
        <f>IF( Pile!O$25="",0, Pile!O$25)</f>
        <v>0</v>
      </c>
      <c r="S113" s="418">
        <f t="shared" si="31"/>
        <v>122.05615714147217</v>
      </c>
      <c r="T113" s="382">
        <f xml:space="preserve"> Pile!$T$25</f>
        <v>1200</v>
      </c>
      <c r="U113" s="382">
        <f t="shared" si="32"/>
        <v>122.05615714147217</v>
      </c>
      <c r="V113" s="382">
        <f t="shared" si="2"/>
        <v>8532.0879564380721</v>
      </c>
      <c r="W113" s="382">
        <f xml:space="preserve"> Pile!$V$25</f>
        <v>15000</v>
      </c>
      <c r="X113" s="382">
        <f t="shared" si="33"/>
        <v>8532.0879564380721</v>
      </c>
      <c r="Y113" s="419">
        <v>450</v>
      </c>
      <c r="Z113" s="382">
        <f>PI()*Y113/1000*( Pile!$C$25- Pile!$C113)</f>
        <v>8.4823001646924361</v>
      </c>
      <c r="AA113" s="382">
        <f t="shared" si="3"/>
        <v>0.15904312808798329</v>
      </c>
      <c r="AB113" s="382">
        <f t="shared" si="34"/>
        <v>1035.3169618228353</v>
      </c>
      <c r="AC113" s="382">
        <f>Z113* Pile!$S$25</f>
        <v>0</v>
      </c>
      <c r="AD113" s="382">
        <f t="shared" si="35"/>
        <v>1035.3169618228353</v>
      </c>
      <c r="AE113" s="382">
        <f>IF(AD113&gt;0,+AD113)/ 'Pile Data and Eurocode Factors'!$B$14/ 'Pile Data and Eurocode Factors'!$B$15+$AE$109</f>
        <v>613.68435921322157</v>
      </c>
      <c r="AF113" s="382">
        <f t="shared" si="36"/>
        <v>1356.9699577137199</v>
      </c>
      <c r="AG113" s="382">
        <f>AA113* Pile!$U$25</f>
        <v>0</v>
      </c>
      <c r="AH113" s="382">
        <f t="shared" si="4"/>
        <v>1356.9699577137199</v>
      </c>
      <c r="AI113" s="382">
        <f>AH113/ 'Pile Data and Eurocode Factors'!$C$14/ 'Pile Data and Eurocode Factors'!$C$15</f>
        <v>484.63212775489995</v>
      </c>
      <c r="AJ113" s="382">
        <f t="shared" si="5"/>
        <v>1098.3164869681216</v>
      </c>
      <c r="AK113" s="382">
        <f>VLOOKUP(Y113, 'Pile Data and Eurocode Factors'!$A$34:$J$39,3, FALSE)</f>
        <v>2366.1761868507956</v>
      </c>
      <c r="AL113" s="403">
        <f t="shared" si="6"/>
        <v>1098.3164869681216</v>
      </c>
      <c r="AM113" s="419">
        <v>600</v>
      </c>
      <c r="AN113" s="382">
        <f>PI()*AM113/1000*( Pile!$C$25- Pile!$C113)</f>
        <v>11.309733552923248</v>
      </c>
      <c r="AO113" s="382">
        <f t="shared" si="7"/>
        <v>0.28274333882308139</v>
      </c>
      <c r="AP113" s="382">
        <f t="shared" si="54"/>
        <v>1380.4226157637804</v>
      </c>
      <c r="AQ113" s="382">
        <f>AN113* Pile!$S$25</f>
        <v>0</v>
      </c>
      <c r="AR113" s="382">
        <f t="shared" si="59"/>
        <v>1380.4226157637804</v>
      </c>
      <c r="AS113" s="382">
        <f>IF(AR113&gt;0,+AR113)/ 'Pile Data and Eurocode Factors'!$B$14/ 'Pile Data and Eurocode Factors'!$B$15+$AS$109</f>
        <v>818.24581228429531</v>
      </c>
      <c r="AT113" s="382">
        <f t="shared" si="65"/>
        <v>2412.3910359355018</v>
      </c>
      <c r="AU113" s="382">
        <f>AO113* Pile!$U$25</f>
        <v>0</v>
      </c>
      <c r="AV113" s="382">
        <f t="shared" si="8"/>
        <v>2412.3910359355018</v>
      </c>
      <c r="AW113" s="382">
        <f>AV113/ 'Pile Data and Eurocode Factors'!$C$14/ 'Pile Data and Eurocode Factors'!$C$15</f>
        <v>861.56822711982215</v>
      </c>
      <c r="AX113" s="382">
        <f t="shared" si="9"/>
        <v>1679.8140394041175</v>
      </c>
      <c r="AY113" s="382">
        <f>VLOOKUP(AM113, 'Pile Data and Eurocode Factors'!$A$34:$J$39,3, FALSE)</f>
        <v>4206.5354432903041</v>
      </c>
      <c r="AZ113" s="403">
        <f t="shared" si="10"/>
        <v>1679.8140394041175</v>
      </c>
      <c r="BA113" s="419">
        <v>750</v>
      </c>
      <c r="BB113" s="382">
        <f>PI()*BA113/1000*( Pile!$C$25- Pile!$C113)</f>
        <v>14.13716694115406</v>
      </c>
      <c r="BC113" s="382">
        <f t="shared" si="11"/>
        <v>0.44178646691106466</v>
      </c>
      <c r="BD113" s="382">
        <f t="shared" si="55"/>
        <v>1725.5282697047255</v>
      </c>
      <c r="BE113" s="382">
        <f>BB113* Pile!$S$25</f>
        <v>0</v>
      </c>
      <c r="BF113" s="382">
        <f t="shared" si="60"/>
        <v>1725.5282697047255</v>
      </c>
      <c r="BG113" s="382">
        <f>IF(BF113&gt;0,+BF113)/ 'Pile Data and Eurocode Factors'!$B$14/ 'Pile Data and Eurocode Factors'!$B$15+$BG$109</f>
        <v>1022.8072653553692</v>
      </c>
      <c r="BH113" s="382">
        <f t="shared" si="66"/>
        <v>3769.3609936492217</v>
      </c>
      <c r="BI113" s="382">
        <f>BC113* Pile!$U$25</f>
        <v>0</v>
      </c>
      <c r="BJ113" s="382">
        <f t="shared" si="12"/>
        <v>3769.3609936492217</v>
      </c>
      <c r="BK113" s="382">
        <f>BJ113/ 'Pile Data and Eurocode Factors'!$C$14/ 'Pile Data and Eurocode Factors'!$C$15</f>
        <v>1346.2003548747221</v>
      </c>
      <c r="BL113" s="382">
        <f t="shared" si="13"/>
        <v>2369.0076202300911</v>
      </c>
      <c r="BM113" s="382">
        <f>VLOOKUP(BA113, 'Pile Data and Eurocode Factors'!$A$34:$J$39,3, FALSE)</f>
        <v>6572.7116301410997</v>
      </c>
      <c r="BN113" s="403">
        <f t="shared" si="14"/>
        <v>2369.0076202300911</v>
      </c>
      <c r="BO113" s="419">
        <v>900</v>
      </c>
      <c r="BP113" s="382">
        <f>PI()*BO113/1000*( Pile!$C$25- Pile!$C113)</f>
        <v>16.964600329384872</v>
      </c>
      <c r="BQ113" s="382">
        <f t="shared" si="15"/>
        <v>0.63617251235193317</v>
      </c>
      <c r="BR113" s="382">
        <f t="shared" si="56"/>
        <v>2070.6339236456706</v>
      </c>
      <c r="BS113" s="382">
        <f>BP113* Pile!$S$25</f>
        <v>0</v>
      </c>
      <c r="BT113" s="382">
        <f t="shared" si="61"/>
        <v>2070.6339236456706</v>
      </c>
      <c r="BU113" s="382">
        <f>IF(BT113&gt;0,+BT113)/ 'Pile Data and Eurocode Factors'!$B$14/ 'Pile Data and Eurocode Factors'!$B$15+$BU$109</f>
        <v>1227.3687184264431</v>
      </c>
      <c r="BV113" s="382">
        <f t="shared" si="67"/>
        <v>5427.8798308548794</v>
      </c>
      <c r="BW113" s="382">
        <f>BQ113* Pile!$U$25</f>
        <v>0</v>
      </c>
      <c r="BX113" s="382">
        <f t="shared" si="16"/>
        <v>5427.8798308548794</v>
      </c>
      <c r="BY113" s="382">
        <f>BX113/ 'Pile Data and Eurocode Factors'!$C$14/ 'Pile Data and Eurocode Factors'!$C$15</f>
        <v>1938.5285110195998</v>
      </c>
      <c r="BZ113" s="382">
        <f t="shared" si="17"/>
        <v>3165.8972294460427</v>
      </c>
      <c r="CA113" s="382">
        <f>VLOOKUP(BO113, 'Pile Data and Eurocode Factors'!$A$34:$J$39,3, FALSE)</f>
        <v>9464.7047474031824</v>
      </c>
      <c r="CB113" s="403">
        <f t="shared" si="18"/>
        <v>3165.8972294460427</v>
      </c>
      <c r="CC113" s="419">
        <v>1050</v>
      </c>
      <c r="CD113" s="382">
        <f>PI()*CC113/1000*( Pile!$C$25- Pile!$C113)</f>
        <v>19.792033717615684</v>
      </c>
      <c r="CE113" s="382">
        <f t="shared" si="19"/>
        <v>0.86590147514568672</v>
      </c>
      <c r="CF113" s="382">
        <f t="shared" si="57"/>
        <v>2415.7395775866157</v>
      </c>
      <c r="CG113" s="382">
        <f>CD113* Pile!$S$25</f>
        <v>0</v>
      </c>
      <c r="CH113" s="382">
        <f t="shared" si="68"/>
        <v>2415.7395775866157</v>
      </c>
      <c r="CI113" s="382">
        <f>IF(CH113&gt;0,+CH113)/ 'Pile Data and Eurocode Factors'!$B$14/ 'Pile Data and Eurocode Factors'!$B$15+$CI$109</f>
        <v>1431.9301714975168</v>
      </c>
      <c r="CJ113" s="382">
        <f t="shared" si="69"/>
        <v>7387.9475475524741</v>
      </c>
      <c r="CK113" s="382">
        <f>CE113* Pile!$U$25</f>
        <v>0</v>
      </c>
      <c r="CL113" s="382">
        <f t="shared" si="20"/>
        <v>7387.9475475524741</v>
      </c>
      <c r="CM113" s="382">
        <f>CL113/ 'Pile Data and Eurocode Factors'!$C$14/ 'Pile Data and Eurocode Factors'!$C$15</f>
        <v>2638.5526955544551</v>
      </c>
      <c r="CN113" s="382">
        <f t="shared" si="21"/>
        <v>4070.4828670519719</v>
      </c>
      <c r="CO113" s="382">
        <f>VLOOKUP(CC113, 'Pile Data and Eurocode Factors'!$A$34:$J$39,3, FALSE)</f>
        <v>12882.514795076555</v>
      </c>
      <c r="CP113" s="403">
        <f t="shared" si="22"/>
        <v>4070.4828670519719</v>
      </c>
      <c r="CQ113" s="419">
        <v>1200</v>
      </c>
      <c r="CR113" s="382">
        <f>PI()*CQ113/1000*( Pile!$C$25- Pile!$C113)</f>
        <v>22.619467105846496</v>
      </c>
      <c r="CS113" s="382">
        <f t="shared" si="23"/>
        <v>1.1309733552923256</v>
      </c>
      <c r="CT113" s="382">
        <f t="shared" si="58"/>
        <v>2760.8452315275608</v>
      </c>
      <c r="CU113" s="382">
        <f>CR113* Pile!$S$25</f>
        <v>0</v>
      </c>
      <c r="CV113" s="382">
        <f t="shared" si="70"/>
        <v>2760.8452315275608</v>
      </c>
      <c r="CW113" s="382">
        <f>IF(CV113&gt;0,+CV113)/ 'Pile Data and Eurocode Factors'!$B$14/ 'Pile Data and Eurocode Factors'!$B$15+$CW$109</f>
        <v>1636.4916245685906</v>
      </c>
      <c r="CX113" s="382">
        <f t="shared" si="71"/>
        <v>9649.5641437420072</v>
      </c>
      <c r="CY113" s="382">
        <f>CS113* Pile!$U$25</f>
        <v>0</v>
      </c>
      <c r="CZ113" s="382">
        <f t="shared" si="24"/>
        <v>9649.5641437420072</v>
      </c>
      <c r="DA113" s="382">
        <f>CZ113/ 'Pile Data and Eurocode Factors'!$C$14/ 'Pile Data and Eurocode Factors'!$C$15</f>
        <v>3446.2729084792886</v>
      </c>
      <c r="DB113" s="382">
        <f t="shared" si="25"/>
        <v>5082.764533047879</v>
      </c>
      <c r="DC113" s="382">
        <f>VLOOKUP(CQ113, 'Pile Data and Eurocode Factors'!$A$34:$J$39,3, FALSE)</f>
        <v>16826.141773161216</v>
      </c>
      <c r="DD113" s="403">
        <f t="shared" si="26"/>
        <v>5082.764533047879</v>
      </c>
      <c r="DE113" s="420">
        <f xml:space="preserve"> Pile!$C$23- Pile!C113</f>
        <v>17.999999999999996</v>
      </c>
      <c r="DG113" s="382">
        <f t="shared" si="52"/>
        <v>1098.3164869681216</v>
      </c>
      <c r="DH113" s="382">
        <f t="shared" si="27"/>
        <v>1679.8140394041175</v>
      </c>
      <c r="DI113" s="382">
        <f t="shared" si="28"/>
        <v>2369.0076202300911</v>
      </c>
      <c r="DJ113" s="382">
        <f t="shared" si="29"/>
        <v>3165.8972294460427</v>
      </c>
      <c r="DK113" s="382">
        <f t="shared" si="30"/>
        <v>4070.4828670519719</v>
      </c>
      <c r="DL113" s="382">
        <f t="shared" si="53"/>
        <v>5082.764533047879</v>
      </c>
    </row>
    <row r="114" spans="1:116" s="308" customFormat="1" ht="15">
      <c r="A114" s="421"/>
      <c r="B114" s="400">
        <v>5</v>
      </c>
      <c r="C114" s="401">
        <f>+C113- Pile!D$25/20</f>
        <v>-13.499999999999996</v>
      </c>
      <c r="D114" s="415" t="str">
        <f>B25</f>
        <v>Medium Sand/Gravel</v>
      </c>
      <c r="E114" s="415" t="str">
        <f>F25</f>
        <v>Granular</v>
      </c>
      <c r="F114" s="401">
        <f xml:space="preserve"> Pile!$E$25*(C113-C114)+F113</f>
        <v>356.25000000000011</v>
      </c>
      <c r="G114" s="401">
        <f>IF(C114&gt; Pile!$C$28,0,( Pile!$C$28-C114)*9.81)</f>
        <v>0</v>
      </c>
      <c r="H114" s="401">
        <f t="shared" si="0"/>
        <v>356.25000000000011</v>
      </c>
      <c r="I114" s="401">
        <f t="shared" si="72"/>
        <v>283.12500000000011</v>
      </c>
      <c r="J114" s="401">
        <f>IF(E114="Cohesive",(( Pile!$H$25- Pile!$G$25)/20)+J113,0)</f>
        <v>0</v>
      </c>
      <c r="K114" s="401">
        <f>IF(E114="Cohesive",( Pile!$G$25+ Pile!$J114)/2,0)</f>
        <v>0</v>
      </c>
      <c r="L114" s="401" t="str">
        <f>IF( Pile!I$25="",0, Pile!I$25)</f>
        <v>0</v>
      </c>
      <c r="M114" s="401" t="str">
        <f>IF( Pile!J$25="",0, Pile!J$25)</f>
        <v>0</v>
      </c>
      <c r="N114" s="401">
        <f>IF(E114="Granular", Pile!$K$25,0)</f>
        <v>26.092012099198989</v>
      </c>
      <c r="O114" s="416">
        <f>IF(AND(E114="Granular",D114&lt;&gt;"Made Ground"), Pile!$L$25,0)</f>
        <v>0.4545853152382574</v>
      </c>
      <c r="P114" s="401">
        <f>IF(OR(D114="Low Density Chalk",D114="Medium Density Chalk"), Pile!$M$25,0)</f>
        <v>0</v>
      </c>
      <c r="Q114" s="417">
        <f>IF(D114="High Density Chalk", Pile!$N$25,0)</f>
        <v>0</v>
      </c>
      <c r="R114" s="401">
        <f>IF( Pile!O$25="",0, Pile!O$25)</f>
        <v>0</v>
      </c>
      <c r="S114" s="418">
        <f t="shared" si="31"/>
        <v>128.70446737683167</v>
      </c>
      <c r="T114" s="382">
        <f xml:space="preserve"> Pile!$T$25</f>
        <v>1200</v>
      </c>
      <c r="U114" s="382">
        <f t="shared" si="32"/>
        <v>128.70446737683167</v>
      </c>
      <c r="V114" s="382">
        <f t="shared" si="2"/>
        <v>9295.2793103396434</v>
      </c>
      <c r="W114" s="382">
        <f xml:space="preserve"> Pile!$V$25</f>
        <v>15000</v>
      </c>
      <c r="X114" s="382">
        <f t="shared" si="33"/>
        <v>9295.2793103396434</v>
      </c>
      <c r="Y114" s="419">
        <v>450</v>
      </c>
      <c r="Z114" s="382">
        <f>PI()*Y114/1000*( Pile!$C$25- Pile!$C114)</f>
        <v>10.602875205865546</v>
      </c>
      <c r="AA114" s="382">
        <f t="shared" si="3"/>
        <v>0.15904312808798329</v>
      </c>
      <c r="AB114" s="382">
        <f t="shared" si="34"/>
        <v>1364.6374060339397</v>
      </c>
      <c r="AC114" s="382">
        <f>Z114* Pile!$S$25</f>
        <v>0</v>
      </c>
      <c r="AD114" s="382">
        <f t="shared" si="35"/>
        <v>1364.6374060339397</v>
      </c>
      <c r="AE114" s="382">
        <f>IF(AD114&gt;0,+AD114)/ 'Pile Data and Eurocode Factors'!$B$14/ 'Pile Data and Eurocode Factors'!$B$15+$AE$109</f>
        <v>760.70241466460743</v>
      </c>
      <c r="AF114" s="382">
        <f t="shared" si="36"/>
        <v>1478.350297967929</v>
      </c>
      <c r="AG114" s="382">
        <f>AA114* Pile!$U$25</f>
        <v>0</v>
      </c>
      <c r="AH114" s="382">
        <f t="shared" si="4"/>
        <v>1478.350297967929</v>
      </c>
      <c r="AI114" s="382">
        <f>AH114/ 'Pile Data and Eurocode Factors'!$C$14/ 'Pile Data and Eurocode Factors'!$C$15</f>
        <v>527.98224927426043</v>
      </c>
      <c r="AJ114" s="382">
        <f t="shared" si="5"/>
        <v>1288.6846639388677</v>
      </c>
      <c r="AK114" s="382">
        <f>VLOOKUP(Y114, 'Pile Data and Eurocode Factors'!$A$34:$J$39,3, FALSE)</f>
        <v>2366.1761868507956</v>
      </c>
      <c r="AL114" s="403">
        <f t="shared" si="6"/>
        <v>1288.6846639388677</v>
      </c>
      <c r="AM114" s="419">
        <v>600</v>
      </c>
      <c r="AN114" s="382">
        <f>PI()*AM114/1000*( Pile!$C$25- Pile!$C114)</f>
        <v>14.137166941154062</v>
      </c>
      <c r="AO114" s="382">
        <f t="shared" si="7"/>
        <v>0.28274333882308139</v>
      </c>
      <c r="AP114" s="382">
        <f t="shared" si="54"/>
        <v>1819.5165413785862</v>
      </c>
      <c r="AQ114" s="382">
        <f>AN114* Pile!$S$25</f>
        <v>0</v>
      </c>
      <c r="AR114" s="382">
        <f t="shared" si="59"/>
        <v>1819.5165413785862</v>
      </c>
      <c r="AS114" s="382">
        <f>IF(AR114&gt;0,+AR114)/ 'Pile Data and Eurocode Factors'!$B$14/ 'Pile Data and Eurocode Factors'!$B$15+$AS$109</f>
        <v>1014.2698862194765</v>
      </c>
      <c r="AT114" s="382">
        <f t="shared" si="65"/>
        <v>2628.1783074985401</v>
      </c>
      <c r="AU114" s="382">
        <f>AO114* Pile!$U$25</f>
        <v>0</v>
      </c>
      <c r="AV114" s="382">
        <f t="shared" si="8"/>
        <v>2628.1783074985401</v>
      </c>
      <c r="AW114" s="382">
        <f>AV114/ 'Pile Data and Eurocode Factors'!$C$14/ 'Pile Data and Eurocode Factors'!$C$15</f>
        <v>938.63510982090725</v>
      </c>
      <c r="AX114" s="382">
        <f t="shared" si="9"/>
        <v>1952.9049960403836</v>
      </c>
      <c r="AY114" s="382">
        <f>VLOOKUP(AM114, 'Pile Data and Eurocode Factors'!$A$34:$J$39,3, FALSE)</f>
        <v>4206.5354432903041</v>
      </c>
      <c r="AZ114" s="403">
        <f t="shared" si="10"/>
        <v>1952.9049960403836</v>
      </c>
      <c r="BA114" s="419">
        <v>750</v>
      </c>
      <c r="BB114" s="382">
        <f>PI()*BA114/1000*( Pile!$C$25- Pile!$C114)</f>
        <v>17.67145867644258</v>
      </c>
      <c r="BC114" s="382">
        <f t="shared" si="11"/>
        <v>0.44178646691106466</v>
      </c>
      <c r="BD114" s="382">
        <f t="shared" si="55"/>
        <v>2274.395676723233</v>
      </c>
      <c r="BE114" s="382">
        <f>BB114* Pile!$S$25</f>
        <v>0</v>
      </c>
      <c r="BF114" s="382">
        <f t="shared" si="60"/>
        <v>2274.395676723233</v>
      </c>
      <c r="BG114" s="382">
        <f>IF(BF114&gt;0,+BF114)/ 'Pile Data and Eurocode Factors'!$B$14/ 'Pile Data and Eurocode Factors'!$B$15+$BG$109</f>
        <v>1267.8373577743457</v>
      </c>
      <c r="BH114" s="382">
        <f t="shared" si="66"/>
        <v>4106.5286054664684</v>
      </c>
      <c r="BI114" s="382">
        <f>BC114* Pile!$U$25</f>
        <v>0</v>
      </c>
      <c r="BJ114" s="382">
        <f t="shared" si="12"/>
        <v>4106.5286054664684</v>
      </c>
      <c r="BK114" s="382">
        <f>BJ114/ 'Pile Data and Eurocode Factors'!$C$14/ 'Pile Data and Eurocode Factors'!$C$15</f>
        <v>1466.6173590951673</v>
      </c>
      <c r="BL114" s="382">
        <f t="shared" si="13"/>
        <v>2734.454716869513</v>
      </c>
      <c r="BM114" s="382">
        <f>VLOOKUP(BA114, 'Pile Data and Eurocode Factors'!$A$34:$J$39,3, FALSE)</f>
        <v>6572.7116301410997</v>
      </c>
      <c r="BN114" s="403">
        <f t="shared" si="14"/>
        <v>2734.454716869513</v>
      </c>
      <c r="BO114" s="419">
        <v>900</v>
      </c>
      <c r="BP114" s="382">
        <f>PI()*BO114/1000*( Pile!$C$25- Pile!$C114)</f>
        <v>21.205750411731092</v>
      </c>
      <c r="BQ114" s="382">
        <f t="shared" si="15"/>
        <v>0.63617251235193317</v>
      </c>
      <c r="BR114" s="382">
        <f t="shared" si="56"/>
        <v>2729.2748120678793</v>
      </c>
      <c r="BS114" s="382">
        <f>BP114* Pile!$S$25</f>
        <v>0</v>
      </c>
      <c r="BT114" s="382">
        <f t="shared" si="61"/>
        <v>2729.2748120678793</v>
      </c>
      <c r="BU114" s="382">
        <f>IF(BT114&gt;0,+BT114)/ 'Pile Data and Eurocode Factors'!$B$14/ 'Pile Data and Eurocode Factors'!$B$15+$BU$109</f>
        <v>1521.4048293292149</v>
      </c>
      <c r="BV114" s="382">
        <f t="shared" si="67"/>
        <v>5913.401191871716</v>
      </c>
      <c r="BW114" s="382">
        <f>BQ114* Pile!$U$25</f>
        <v>0</v>
      </c>
      <c r="BX114" s="382">
        <f t="shared" si="16"/>
        <v>5913.401191871716</v>
      </c>
      <c r="BY114" s="382">
        <f>BX114/ 'Pile Data and Eurocode Factors'!$C$14/ 'Pile Data and Eurocode Factors'!$C$15</f>
        <v>2111.9289970970417</v>
      </c>
      <c r="BZ114" s="382">
        <f t="shared" si="17"/>
        <v>3633.3338264262566</v>
      </c>
      <c r="CA114" s="382">
        <f>VLOOKUP(BO114, 'Pile Data and Eurocode Factors'!$A$34:$J$39,3, FALSE)</f>
        <v>9464.7047474031824</v>
      </c>
      <c r="CB114" s="403">
        <f t="shared" si="18"/>
        <v>3633.3338264262566</v>
      </c>
      <c r="CC114" s="419">
        <v>1050</v>
      </c>
      <c r="CD114" s="382">
        <f>PI()*CC114/1000*( Pile!$C$25- Pile!$C114)</f>
        <v>24.740042147019608</v>
      </c>
      <c r="CE114" s="382">
        <f t="shared" si="19"/>
        <v>0.86590147514568672</v>
      </c>
      <c r="CF114" s="382">
        <f t="shared" si="57"/>
        <v>3184.1539474125257</v>
      </c>
      <c r="CG114" s="382">
        <f>CD114* Pile!$S$25</f>
        <v>0</v>
      </c>
      <c r="CH114" s="382">
        <f t="shared" si="68"/>
        <v>3184.1539474125257</v>
      </c>
      <c r="CI114" s="382">
        <f>IF(CH114&gt;0,+CH114)/ 'Pile Data and Eurocode Factors'!$B$14/ 'Pile Data and Eurocode Factors'!$B$15+$CI$109</f>
        <v>1774.9723008840838</v>
      </c>
      <c r="CJ114" s="382">
        <f t="shared" si="69"/>
        <v>8048.7960667142788</v>
      </c>
      <c r="CK114" s="382">
        <f>CE114* Pile!$U$25</f>
        <v>0</v>
      </c>
      <c r="CL114" s="382">
        <f t="shared" si="20"/>
        <v>8048.7960667142788</v>
      </c>
      <c r="CM114" s="382">
        <f>CL114/ 'Pile Data and Eurocode Factors'!$C$14/ 'Pile Data and Eurocode Factors'!$C$15</f>
        <v>2874.5700238265285</v>
      </c>
      <c r="CN114" s="382">
        <f t="shared" si="21"/>
        <v>4649.5423247106119</v>
      </c>
      <c r="CO114" s="382">
        <f>VLOOKUP(CC114, 'Pile Data and Eurocode Factors'!$A$34:$J$39,3, FALSE)</f>
        <v>12882.514795076555</v>
      </c>
      <c r="CP114" s="403">
        <f t="shared" si="22"/>
        <v>4649.5423247106119</v>
      </c>
      <c r="CQ114" s="419">
        <v>1200</v>
      </c>
      <c r="CR114" s="382">
        <f>PI()*CQ114/1000*( Pile!$C$25- Pile!$C114)</f>
        <v>28.274333882308124</v>
      </c>
      <c r="CS114" s="382">
        <f t="shared" si="23"/>
        <v>1.1309733552923256</v>
      </c>
      <c r="CT114" s="382">
        <f t="shared" si="58"/>
        <v>3639.0330827571725</v>
      </c>
      <c r="CU114" s="382">
        <f>CR114* Pile!$S$25</f>
        <v>0</v>
      </c>
      <c r="CV114" s="382">
        <f t="shared" si="70"/>
        <v>3639.0330827571725</v>
      </c>
      <c r="CW114" s="382">
        <f>IF(CV114&gt;0,+CV114)/ 'Pile Data and Eurocode Factors'!$B$14/ 'Pile Data and Eurocode Factors'!$B$15+$CW$109</f>
        <v>2028.5397724389529</v>
      </c>
      <c r="CX114" s="382">
        <f t="shared" si="71"/>
        <v>10512.71322999416</v>
      </c>
      <c r="CY114" s="382">
        <f>CS114* Pile!$U$25</f>
        <v>0</v>
      </c>
      <c r="CZ114" s="382">
        <f t="shared" si="24"/>
        <v>10512.71322999416</v>
      </c>
      <c r="DA114" s="382">
        <f>CZ114/ 'Pile Data and Eurocode Factors'!$C$14/ 'Pile Data and Eurocode Factors'!$C$15</f>
        <v>3754.540439283629</v>
      </c>
      <c r="DB114" s="382">
        <f t="shared" si="25"/>
        <v>5783.0802117225821</v>
      </c>
      <c r="DC114" s="382">
        <f>VLOOKUP(CQ114, 'Pile Data and Eurocode Factors'!$A$34:$J$39,3, FALSE)</f>
        <v>16826.141773161216</v>
      </c>
      <c r="DD114" s="403">
        <f t="shared" si="26"/>
        <v>5783.0802117225821</v>
      </c>
      <c r="DE114" s="420">
        <f xml:space="preserve"> Pile!$C$23- Pile!C114</f>
        <v>19.499999999999996</v>
      </c>
      <c r="DG114" s="382">
        <f t="shared" si="52"/>
        <v>1288.6846639388677</v>
      </c>
      <c r="DH114" s="382">
        <f t="shared" si="27"/>
        <v>1952.9049960403836</v>
      </c>
      <c r="DI114" s="382">
        <f t="shared" si="28"/>
        <v>2734.454716869513</v>
      </c>
      <c r="DJ114" s="382">
        <f t="shared" si="29"/>
        <v>3633.3338264262566</v>
      </c>
      <c r="DK114" s="382">
        <f t="shared" si="30"/>
        <v>4649.5423247106119</v>
      </c>
      <c r="DL114" s="382">
        <f t="shared" si="53"/>
        <v>5783.0802117225821</v>
      </c>
    </row>
    <row r="115" spans="1:116" s="308" customFormat="1" ht="15">
      <c r="B115" s="400">
        <v>6</v>
      </c>
      <c r="C115" s="401">
        <f>+C114- Pile!D$25/20</f>
        <v>-14.999999999999996</v>
      </c>
      <c r="D115" s="415" t="str">
        <f>B25</f>
        <v>Medium Sand/Gravel</v>
      </c>
      <c r="E115" s="415" t="str">
        <f>F25</f>
        <v>Granular</v>
      </c>
      <c r="F115" s="401">
        <f xml:space="preserve"> Pile!$E$25*(C114-C115)+F114</f>
        <v>385.50000000000011</v>
      </c>
      <c r="G115" s="401">
        <f>IF(C115&gt; Pile!$C$28,0,( Pile!$C$28-C115)*9.81)</f>
        <v>-3.4852121189032916E-14</v>
      </c>
      <c r="H115" s="401">
        <f t="shared" si="0"/>
        <v>385.50000000000017</v>
      </c>
      <c r="I115" s="401">
        <f t="shared" si="72"/>
        <v>297.75000000000011</v>
      </c>
      <c r="J115" s="401">
        <f>IF(E115="Cohesive",(( Pile!$H$25- Pile!$G$25)/20)+J114,0)</f>
        <v>0</v>
      </c>
      <c r="K115" s="401">
        <f>IF(E115="Cohesive",( Pile!$G$25+ Pile!$J115)/2,0)</f>
        <v>0</v>
      </c>
      <c r="L115" s="401" t="str">
        <f>IF( Pile!I$25="",0, Pile!I$25)</f>
        <v>0</v>
      </c>
      <c r="M115" s="401" t="str">
        <f>IF( Pile!J$25="",0, Pile!J$25)</f>
        <v>0</v>
      </c>
      <c r="N115" s="401">
        <f>IF(E115="Granular", Pile!$K$25,0)</f>
        <v>26.092012099198989</v>
      </c>
      <c r="O115" s="416">
        <f>IF(AND(E115="Granular",D115&lt;&gt;"Made Ground"), Pile!$L$25,0)</f>
        <v>0.4545853152382574</v>
      </c>
      <c r="P115" s="401">
        <f>IF(OR(D115="Low Density Chalk",D115="Medium Density Chalk"), Pile!$M$25,0)</f>
        <v>0</v>
      </c>
      <c r="Q115" s="417">
        <f>IF(D115="High Density Chalk", Pile!$N$25,0)</f>
        <v>0</v>
      </c>
      <c r="R115" s="401">
        <f>IF( Pile!O$25="",0, Pile!O$25)</f>
        <v>0</v>
      </c>
      <c r="S115" s="418">
        <f t="shared" si="31"/>
        <v>135.3527776121912</v>
      </c>
      <c r="T115" s="382">
        <f xml:space="preserve"> Pile!$T$25</f>
        <v>1200</v>
      </c>
      <c r="U115" s="382">
        <f t="shared" si="32"/>
        <v>135.3527776121912</v>
      </c>
      <c r="V115" s="382">
        <f t="shared" si="2"/>
        <v>10058.470664241215</v>
      </c>
      <c r="W115" s="382">
        <f xml:space="preserve"> Pile!$V$25</f>
        <v>15000</v>
      </c>
      <c r="X115" s="382">
        <f t="shared" si="33"/>
        <v>10058.470664241215</v>
      </c>
      <c r="Y115" s="419">
        <v>450</v>
      </c>
      <c r="Z115" s="382">
        <f>PI()*Y115/1000*( Pile!$C$25- Pile!$C115)</f>
        <v>12.723450247038658</v>
      </c>
      <c r="AA115" s="382">
        <f t="shared" si="3"/>
        <v>0.15904312808798329</v>
      </c>
      <c r="AB115" s="382">
        <f t="shared" si="34"/>
        <v>1722.1543317472026</v>
      </c>
      <c r="AC115" s="382">
        <f>Z115* Pile!$S$25</f>
        <v>0</v>
      </c>
      <c r="AD115" s="382">
        <f t="shared" si="35"/>
        <v>1722.1543317472026</v>
      </c>
      <c r="AE115" s="382">
        <f>IF(AD115&gt;0,+AD115)/ 'Pile Data and Eurocode Factors'!$B$14/ 'Pile Data and Eurocode Factors'!$B$15+$AE$109</f>
        <v>920.30818507231413</v>
      </c>
      <c r="AF115" s="382">
        <f t="shared" si="36"/>
        <v>1599.7306382221379</v>
      </c>
      <c r="AG115" s="382">
        <f>AA115* Pile!$U$25</f>
        <v>0</v>
      </c>
      <c r="AH115" s="382">
        <f t="shared" si="4"/>
        <v>1599.7306382221379</v>
      </c>
      <c r="AI115" s="382">
        <f>AH115/ 'Pile Data and Eurocode Factors'!$C$14/ 'Pile Data and Eurocode Factors'!$C$15</f>
        <v>571.33237079362073</v>
      </c>
      <c r="AJ115" s="382">
        <f t="shared" si="5"/>
        <v>1491.6405558659349</v>
      </c>
      <c r="AK115" s="382">
        <f>VLOOKUP(Y115, 'Pile Data and Eurocode Factors'!$A$34:$J$39,3, FALSE)</f>
        <v>2366.1761868507956</v>
      </c>
      <c r="AL115" s="403">
        <f t="shared" si="6"/>
        <v>1491.6405558659349</v>
      </c>
      <c r="AM115" s="419">
        <v>600</v>
      </c>
      <c r="AN115" s="382">
        <f>PI()*AM115/1000*( Pile!$C$25- Pile!$C115)</f>
        <v>16.964600329384876</v>
      </c>
      <c r="AO115" s="382">
        <f t="shared" si="7"/>
        <v>0.28274333882308139</v>
      </c>
      <c r="AP115" s="382">
        <f t="shared" si="54"/>
        <v>2296.205775662937</v>
      </c>
      <c r="AQ115" s="382">
        <f>AN115* Pile!$S$25</f>
        <v>0</v>
      </c>
      <c r="AR115" s="382">
        <f t="shared" si="59"/>
        <v>2296.205775662937</v>
      </c>
      <c r="AS115" s="382">
        <f>IF(AR115&gt;0,+AR115)/ 'Pile Data and Eurocode Factors'!$B$14/ 'Pile Data and Eurocode Factors'!$B$15+$AS$109</f>
        <v>1227.0775800964188</v>
      </c>
      <c r="AT115" s="382">
        <f t="shared" si="65"/>
        <v>2843.9655790615784</v>
      </c>
      <c r="AU115" s="382">
        <f>AO115* Pile!$U$25</f>
        <v>0</v>
      </c>
      <c r="AV115" s="382">
        <f t="shared" si="8"/>
        <v>2843.9655790615784</v>
      </c>
      <c r="AW115" s="382">
        <f>AV115/ 'Pile Data and Eurocode Factors'!$C$14/ 'Pile Data and Eurocode Factors'!$C$15</f>
        <v>1015.7019925219923</v>
      </c>
      <c r="AX115" s="382">
        <f t="shared" si="9"/>
        <v>2242.7795726184113</v>
      </c>
      <c r="AY115" s="382">
        <f>VLOOKUP(AM115, 'Pile Data and Eurocode Factors'!$A$34:$J$39,3, FALSE)</f>
        <v>4206.5354432903041</v>
      </c>
      <c r="AZ115" s="403">
        <f t="shared" si="10"/>
        <v>2242.7795726184113</v>
      </c>
      <c r="BA115" s="419">
        <v>750</v>
      </c>
      <c r="BB115" s="382">
        <f>PI()*BA115/1000*( Pile!$C$25- Pile!$C115)</f>
        <v>21.205750411731096</v>
      </c>
      <c r="BC115" s="382">
        <f t="shared" si="11"/>
        <v>0.44178646691106466</v>
      </c>
      <c r="BD115" s="382">
        <f t="shared" si="55"/>
        <v>2870.2572195786711</v>
      </c>
      <c r="BE115" s="382">
        <f>BB115* Pile!$S$25</f>
        <v>0</v>
      </c>
      <c r="BF115" s="382">
        <f t="shared" si="60"/>
        <v>2870.2572195786711</v>
      </c>
      <c r="BG115" s="382">
        <f>IF(BF115&gt;0,+BF115)/ 'Pile Data and Eurocode Factors'!$B$14/ 'Pile Data and Eurocode Factors'!$B$15+$BG$109</f>
        <v>1533.8469751205234</v>
      </c>
      <c r="BH115" s="382">
        <f t="shared" si="66"/>
        <v>4443.6962172837157</v>
      </c>
      <c r="BI115" s="382">
        <f>BC115* Pile!$U$25</f>
        <v>0</v>
      </c>
      <c r="BJ115" s="382">
        <f t="shared" si="12"/>
        <v>4443.6962172837157</v>
      </c>
      <c r="BK115" s="382">
        <f>BJ115/ 'Pile Data and Eurocode Factors'!$C$14/ 'Pile Data and Eurocode Factors'!$C$15</f>
        <v>1587.0343633156128</v>
      </c>
      <c r="BL115" s="382">
        <f t="shared" si="13"/>
        <v>3120.8813384361365</v>
      </c>
      <c r="BM115" s="382">
        <f>VLOOKUP(BA115, 'Pile Data and Eurocode Factors'!$A$34:$J$39,3, FALSE)</f>
        <v>6572.7116301410997</v>
      </c>
      <c r="BN115" s="403">
        <f t="shared" si="14"/>
        <v>3120.8813384361365</v>
      </c>
      <c r="BO115" s="419">
        <v>900</v>
      </c>
      <c r="BP115" s="382">
        <f>PI()*BO115/1000*( Pile!$C$25- Pile!$C115)</f>
        <v>25.446900494077315</v>
      </c>
      <c r="BQ115" s="382">
        <f t="shared" si="15"/>
        <v>0.63617251235193317</v>
      </c>
      <c r="BR115" s="382">
        <f t="shared" si="56"/>
        <v>3444.3086634944052</v>
      </c>
      <c r="BS115" s="382">
        <f>BP115* Pile!$S$25</f>
        <v>0</v>
      </c>
      <c r="BT115" s="382">
        <f t="shared" si="61"/>
        <v>3444.3086634944052</v>
      </c>
      <c r="BU115" s="382">
        <f>IF(BT115&gt;0,+BT115)/ 'Pile Data and Eurocode Factors'!$B$14/ 'Pile Data and Eurocode Factors'!$B$15+$BU$109</f>
        <v>1840.6163701446283</v>
      </c>
      <c r="BV115" s="382">
        <f t="shared" si="67"/>
        <v>6398.9225528885518</v>
      </c>
      <c r="BW115" s="382">
        <f>BQ115* Pile!$U$25</f>
        <v>0</v>
      </c>
      <c r="BX115" s="382">
        <f t="shared" si="16"/>
        <v>6398.9225528885518</v>
      </c>
      <c r="BY115" s="382">
        <f>BX115/ 'Pile Data and Eurocode Factors'!$C$14/ 'Pile Data and Eurocode Factors'!$C$15</f>
        <v>2285.3294831744829</v>
      </c>
      <c r="BZ115" s="382">
        <f t="shared" si="17"/>
        <v>4125.9458533191109</v>
      </c>
      <c r="CA115" s="382">
        <f>VLOOKUP(BO115, 'Pile Data and Eurocode Factors'!$A$34:$J$39,3, FALSE)</f>
        <v>9464.7047474031824</v>
      </c>
      <c r="CB115" s="403">
        <f t="shared" si="18"/>
        <v>4125.9458533191109</v>
      </c>
      <c r="CC115" s="419">
        <v>1050</v>
      </c>
      <c r="CD115" s="382">
        <f>PI()*CC115/1000*( Pile!$C$25- Pile!$C115)</f>
        <v>29.688050576423532</v>
      </c>
      <c r="CE115" s="382">
        <f t="shared" si="19"/>
        <v>0.86590147514568672</v>
      </c>
      <c r="CF115" s="382">
        <f t="shared" si="57"/>
        <v>4018.3601074101393</v>
      </c>
      <c r="CG115" s="382">
        <f>CD115* Pile!$S$25</f>
        <v>0</v>
      </c>
      <c r="CH115" s="382">
        <f t="shared" si="68"/>
        <v>4018.3601074101393</v>
      </c>
      <c r="CI115" s="382">
        <f>IF(CH115&gt;0,+CH115)/ 'Pile Data and Eurocode Factors'!$B$14/ 'Pile Data and Eurocode Factors'!$B$15+$CI$109</f>
        <v>2147.3857651687326</v>
      </c>
      <c r="CJ115" s="382">
        <f t="shared" si="69"/>
        <v>8709.6445858760835</v>
      </c>
      <c r="CK115" s="382">
        <f>CE115* Pile!$U$25</f>
        <v>0</v>
      </c>
      <c r="CL115" s="382">
        <f t="shared" si="20"/>
        <v>8709.6445858760835</v>
      </c>
      <c r="CM115" s="382">
        <f>CL115/ 'Pile Data and Eurocode Factors'!$C$14/ 'Pile Data and Eurocode Factors'!$C$15</f>
        <v>3110.5873520986015</v>
      </c>
      <c r="CN115" s="382">
        <f t="shared" si="21"/>
        <v>5257.9731172673346</v>
      </c>
      <c r="CO115" s="382">
        <f>VLOOKUP(CC115, 'Pile Data and Eurocode Factors'!$A$34:$J$39,3, FALSE)</f>
        <v>12882.514795076555</v>
      </c>
      <c r="CP115" s="403">
        <f t="shared" si="22"/>
        <v>5257.9731172673346</v>
      </c>
      <c r="CQ115" s="419">
        <v>1200</v>
      </c>
      <c r="CR115" s="382">
        <f>PI()*CQ115/1000*( Pile!$C$25- Pile!$C115)</f>
        <v>33.929200658769751</v>
      </c>
      <c r="CS115" s="382">
        <f t="shared" si="23"/>
        <v>1.1309733552923256</v>
      </c>
      <c r="CT115" s="382">
        <f t="shared" si="58"/>
        <v>4592.4115513258739</v>
      </c>
      <c r="CU115" s="382">
        <f>CR115* Pile!$S$25</f>
        <v>0</v>
      </c>
      <c r="CV115" s="382">
        <f t="shared" si="70"/>
        <v>4592.4115513258739</v>
      </c>
      <c r="CW115" s="382">
        <f>IF(CV115&gt;0,+CV115)/ 'Pile Data and Eurocode Factors'!$B$14/ 'Pile Data and Eurocode Factors'!$B$15+$CW$109</f>
        <v>2454.1551601928377</v>
      </c>
      <c r="CX115" s="382">
        <f t="shared" si="71"/>
        <v>11375.862316246314</v>
      </c>
      <c r="CY115" s="382">
        <f>CS115* Pile!$U$25</f>
        <v>0</v>
      </c>
      <c r="CZ115" s="382">
        <f t="shared" si="24"/>
        <v>11375.862316246314</v>
      </c>
      <c r="DA115" s="382">
        <f>CZ115/ 'Pile Data and Eurocode Factors'!$C$14/ 'Pile Data and Eurocode Factors'!$C$15</f>
        <v>4062.8079700879694</v>
      </c>
      <c r="DB115" s="382">
        <f t="shared" si="25"/>
        <v>6516.9631302808066</v>
      </c>
      <c r="DC115" s="382">
        <f>VLOOKUP(CQ115, 'Pile Data and Eurocode Factors'!$A$34:$J$39,3, FALSE)</f>
        <v>16826.141773161216</v>
      </c>
      <c r="DD115" s="403">
        <f t="shared" si="26"/>
        <v>6516.9631302808066</v>
      </c>
      <c r="DE115" s="420">
        <f xml:space="preserve"> Pile!$C$23- Pile!C115</f>
        <v>20.999999999999996</v>
      </c>
      <c r="DG115" s="382">
        <f t="shared" si="52"/>
        <v>1491.6405558659349</v>
      </c>
      <c r="DH115" s="382">
        <f t="shared" si="27"/>
        <v>2242.7795726184113</v>
      </c>
      <c r="DI115" s="382">
        <f t="shared" si="28"/>
        <v>3120.8813384361365</v>
      </c>
      <c r="DJ115" s="382">
        <f t="shared" si="29"/>
        <v>4125.9458533191109</v>
      </c>
      <c r="DK115" s="382">
        <f t="shared" si="30"/>
        <v>5257.9731172673346</v>
      </c>
      <c r="DL115" s="382">
        <f t="shared" si="53"/>
        <v>6516.9631302808066</v>
      </c>
    </row>
    <row r="116" spans="1:116" s="308" customFormat="1" ht="15">
      <c r="B116" s="400">
        <v>7</v>
      </c>
      <c r="C116" s="401">
        <f>+C115- Pile!D$25/20</f>
        <v>-16.499999999999996</v>
      </c>
      <c r="D116" s="415" t="str">
        <f>B25</f>
        <v>Medium Sand/Gravel</v>
      </c>
      <c r="E116" s="415" t="str">
        <f>F25</f>
        <v>Granular</v>
      </c>
      <c r="F116" s="401">
        <f xml:space="preserve"> Pile!$E$25*(C115-C116)+F115</f>
        <v>414.75000000000011</v>
      </c>
      <c r="G116" s="401">
        <f>IF(C116&gt; Pile!$C$28,0,( Pile!$C$28-C116)*9.81)</f>
        <v>14.714999999999966</v>
      </c>
      <c r="H116" s="401">
        <f t="shared" si="0"/>
        <v>400.03500000000014</v>
      </c>
      <c r="I116" s="401">
        <f t="shared" si="72"/>
        <v>305.01750000000015</v>
      </c>
      <c r="J116" s="401">
        <f>IF(E116="Cohesive",(( Pile!$H$25- Pile!$G$25)/20)+J115,0)</f>
        <v>0</v>
      </c>
      <c r="K116" s="401">
        <f>IF(E116="Cohesive",( Pile!$G$25+ Pile!$J116)/2,0)</f>
        <v>0</v>
      </c>
      <c r="L116" s="401" t="str">
        <f>IF( Pile!I$25="",0, Pile!I$25)</f>
        <v>0</v>
      </c>
      <c r="M116" s="401" t="str">
        <f>IF( Pile!J$25="",0, Pile!J$25)</f>
        <v>0</v>
      </c>
      <c r="N116" s="401">
        <f>IF(E116="Granular", Pile!$K$25,0)</f>
        <v>26.092012099198989</v>
      </c>
      <c r="O116" s="416">
        <f>IF(AND(E116="Granular",D116&lt;&gt;"Made Ground"), Pile!$L$25,0)</f>
        <v>0.4545853152382574</v>
      </c>
      <c r="P116" s="401">
        <f>IF(OR(D116="Low Density Chalk",D116="Medium Density Chalk"), Pile!$M$25,0)</f>
        <v>0</v>
      </c>
      <c r="Q116" s="417">
        <f>IF(D116="High Density Chalk", Pile!$N$25,0)</f>
        <v>0</v>
      </c>
      <c r="R116" s="401">
        <f>IF( Pile!O$25="",0, Pile!O$25)</f>
        <v>0</v>
      </c>
      <c r="S116" s="418">
        <f t="shared" si="31"/>
        <v>138.65647639068524</v>
      </c>
      <c r="T116" s="382">
        <f xml:space="preserve"> Pile!$T$25</f>
        <v>1200</v>
      </c>
      <c r="U116" s="382">
        <f t="shared" si="32"/>
        <v>138.65647639068524</v>
      </c>
      <c r="V116" s="382">
        <f t="shared" si="2"/>
        <v>10437.71806010307</v>
      </c>
      <c r="W116" s="382">
        <f xml:space="preserve"> Pile!$V$25</f>
        <v>15000</v>
      </c>
      <c r="X116" s="382">
        <f t="shared" si="33"/>
        <v>10437.71806010307</v>
      </c>
      <c r="Y116" s="419">
        <v>450</v>
      </c>
      <c r="Z116" s="382">
        <f>PI()*Y116/1000*( Pile!$C$25- Pile!$C116)</f>
        <v>14.844025288211768</v>
      </c>
      <c r="AA116" s="382">
        <f t="shared" si="3"/>
        <v>0.15904312808798329</v>
      </c>
      <c r="AB116" s="382">
        <f t="shared" si="34"/>
        <v>2058.2202419176697</v>
      </c>
      <c r="AC116" s="382">
        <f>Z116* Pile!$S$25</f>
        <v>0</v>
      </c>
      <c r="AD116" s="382">
        <f t="shared" si="35"/>
        <v>2058.2202419176697</v>
      </c>
      <c r="AE116" s="382">
        <f>IF(AD116&gt;0,+AD116)/ 'Pile Data and Eurocode Factors'!$B$14/ 'Pile Data and Eurocode Factors'!$B$15+$AE$109</f>
        <v>1070.3376092555582</v>
      </c>
      <c r="AF116" s="382">
        <f t="shared" si="36"/>
        <v>1660.0473303792292</v>
      </c>
      <c r="AG116" s="382">
        <f>AA116* Pile!$U$25</f>
        <v>0</v>
      </c>
      <c r="AH116" s="382">
        <f t="shared" si="4"/>
        <v>1660.0473303792292</v>
      </c>
      <c r="AI116" s="382">
        <f>AH116/ 'Pile Data and Eurocode Factors'!$C$14/ 'Pile Data and Eurocode Factors'!$C$15</f>
        <v>592.87404656401043</v>
      </c>
      <c r="AJ116" s="382">
        <f t="shared" si="5"/>
        <v>1663.2116558195685</v>
      </c>
      <c r="AK116" s="382">
        <f>VLOOKUP(Y116, 'Pile Data and Eurocode Factors'!$A$34:$J$39,3, FALSE)</f>
        <v>2366.1761868507956</v>
      </c>
      <c r="AL116" s="403">
        <f t="shared" si="6"/>
        <v>1663.2116558195685</v>
      </c>
      <c r="AM116" s="419">
        <v>600</v>
      </c>
      <c r="AN116" s="382">
        <f>PI()*AM116/1000*( Pile!$C$25- Pile!$C116)</f>
        <v>19.792033717615691</v>
      </c>
      <c r="AO116" s="382">
        <f t="shared" si="7"/>
        <v>0.28274333882308139</v>
      </c>
      <c r="AP116" s="382">
        <f t="shared" si="54"/>
        <v>2744.2936558902265</v>
      </c>
      <c r="AQ116" s="382">
        <f>AN116* Pile!$S$25</f>
        <v>0</v>
      </c>
      <c r="AR116" s="382">
        <f t="shared" si="59"/>
        <v>2744.2936558902265</v>
      </c>
      <c r="AS116" s="382">
        <f>IF(AR116&gt;0,+AR116)/ 'Pile Data and Eurocode Factors'!$B$14/ 'Pile Data and Eurocode Factors'!$B$15+$AS$109</f>
        <v>1427.1168123407444</v>
      </c>
      <c r="AT116" s="382">
        <f t="shared" si="65"/>
        <v>2951.1952540075181</v>
      </c>
      <c r="AU116" s="382">
        <f>AO116* Pile!$U$25</f>
        <v>0</v>
      </c>
      <c r="AV116" s="382">
        <f t="shared" si="8"/>
        <v>2951.1952540075181</v>
      </c>
      <c r="AW116" s="382">
        <f>AV116/ 'Pile Data and Eurocode Factors'!$C$14/ 'Pile Data and Eurocode Factors'!$C$15</f>
        <v>1053.9983050026851</v>
      </c>
      <c r="AX116" s="382">
        <f t="shared" si="9"/>
        <v>2481.1151173434296</v>
      </c>
      <c r="AY116" s="382">
        <f>VLOOKUP(AM116, 'Pile Data and Eurocode Factors'!$A$34:$J$39,3, FALSE)</f>
        <v>4206.5354432903041</v>
      </c>
      <c r="AZ116" s="403">
        <f t="shared" si="10"/>
        <v>2481.1151173434296</v>
      </c>
      <c r="BA116" s="419">
        <v>750</v>
      </c>
      <c r="BB116" s="382">
        <f>PI()*BA116/1000*( Pile!$C$25- Pile!$C116)</f>
        <v>24.740042147019611</v>
      </c>
      <c r="BC116" s="382">
        <f t="shared" si="11"/>
        <v>0.44178646691106466</v>
      </c>
      <c r="BD116" s="382">
        <f t="shared" si="55"/>
        <v>3430.3670698627825</v>
      </c>
      <c r="BE116" s="382">
        <f>BB116* Pile!$S$25</f>
        <v>0</v>
      </c>
      <c r="BF116" s="382">
        <f t="shared" si="60"/>
        <v>3430.3670698627825</v>
      </c>
      <c r="BG116" s="382">
        <f>IF(BF116&gt;0,+BF116)/ 'Pile Data and Eurocode Factors'!$B$14/ 'Pile Data and Eurocode Factors'!$B$15+$BG$109</f>
        <v>1783.8960154259303</v>
      </c>
      <c r="BH116" s="382">
        <f t="shared" si="66"/>
        <v>4611.2425843867468</v>
      </c>
      <c r="BI116" s="382">
        <f>BC116* Pile!$U$25</f>
        <v>0</v>
      </c>
      <c r="BJ116" s="382">
        <f t="shared" si="12"/>
        <v>4611.2425843867468</v>
      </c>
      <c r="BK116" s="382">
        <f>BJ116/ 'Pile Data and Eurocode Factors'!$C$14/ 'Pile Data and Eurocode Factors'!$C$15</f>
        <v>1646.8723515666954</v>
      </c>
      <c r="BL116" s="382">
        <f t="shared" si="13"/>
        <v>3430.7683669926255</v>
      </c>
      <c r="BM116" s="382">
        <f>VLOOKUP(BA116, 'Pile Data and Eurocode Factors'!$A$34:$J$39,3, FALSE)</f>
        <v>6572.7116301410997</v>
      </c>
      <c r="BN116" s="403">
        <f t="shared" si="14"/>
        <v>3430.7683669926255</v>
      </c>
      <c r="BO116" s="419">
        <v>900</v>
      </c>
      <c r="BP116" s="382">
        <f>PI()*BO116/1000*( Pile!$C$25- Pile!$C116)</f>
        <v>29.688050576423535</v>
      </c>
      <c r="BQ116" s="382">
        <f t="shared" si="15"/>
        <v>0.63617251235193317</v>
      </c>
      <c r="BR116" s="382">
        <f t="shared" si="56"/>
        <v>4116.4404838353394</v>
      </c>
      <c r="BS116" s="382">
        <f>BP116* Pile!$S$25</f>
        <v>0</v>
      </c>
      <c r="BT116" s="382">
        <f t="shared" si="61"/>
        <v>4116.4404838353394</v>
      </c>
      <c r="BU116" s="382">
        <f>IF(BT116&gt;0,+BT116)/ 'Pile Data and Eurocode Factors'!$B$14/ 'Pile Data and Eurocode Factors'!$B$15+$BU$109</f>
        <v>2140.6752185111163</v>
      </c>
      <c r="BV116" s="382">
        <f t="shared" si="67"/>
        <v>6640.1893215169166</v>
      </c>
      <c r="BW116" s="382">
        <f>BQ116* Pile!$U$25</f>
        <v>0</v>
      </c>
      <c r="BX116" s="382">
        <f t="shared" si="16"/>
        <v>6640.1893215169166</v>
      </c>
      <c r="BY116" s="382">
        <f>BX116/ 'Pile Data and Eurocode Factors'!$C$14/ 'Pile Data and Eurocode Factors'!$C$15</f>
        <v>2371.4961862560417</v>
      </c>
      <c r="BZ116" s="382">
        <f t="shared" si="17"/>
        <v>4512.1714047671576</v>
      </c>
      <c r="CA116" s="382">
        <f>VLOOKUP(BO116, 'Pile Data and Eurocode Factors'!$A$34:$J$39,3, FALSE)</f>
        <v>9464.7047474031824</v>
      </c>
      <c r="CB116" s="403">
        <f t="shared" si="18"/>
        <v>4512.1714047671576</v>
      </c>
      <c r="CC116" s="419">
        <v>1050</v>
      </c>
      <c r="CD116" s="382">
        <f>PI()*CC116/1000*( Pile!$C$25- Pile!$C116)</f>
        <v>34.636059005827455</v>
      </c>
      <c r="CE116" s="382">
        <f t="shared" si="19"/>
        <v>0.86590147514568672</v>
      </c>
      <c r="CF116" s="382">
        <f t="shared" si="57"/>
        <v>4802.5138978078958</v>
      </c>
      <c r="CG116" s="382">
        <f>CD116* Pile!$S$25</f>
        <v>0</v>
      </c>
      <c r="CH116" s="382">
        <f t="shared" si="68"/>
        <v>4802.5138978078958</v>
      </c>
      <c r="CI116" s="382">
        <f>IF(CH116&gt;0,+CH116)/ 'Pile Data and Eurocode Factors'!$B$14/ 'Pile Data and Eurocode Factors'!$B$15+$CI$109</f>
        <v>2497.4544215963028</v>
      </c>
      <c r="CJ116" s="382">
        <f t="shared" si="69"/>
        <v>9038.0354653980248</v>
      </c>
      <c r="CK116" s="382">
        <f>CE116* Pile!$U$25</f>
        <v>0</v>
      </c>
      <c r="CL116" s="382">
        <f t="shared" si="20"/>
        <v>9038.0354653980248</v>
      </c>
      <c r="CM116" s="382">
        <f>CL116/ 'Pile Data and Eurocode Factors'!$C$14/ 'Pile Data and Eurocode Factors'!$C$15</f>
        <v>3227.8698090707235</v>
      </c>
      <c r="CN116" s="382">
        <f t="shared" si="21"/>
        <v>5725.3242306670263</v>
      </c>
      <c r="CO116" s="382">
        <f>VLOOKUP(CC116, 'Pile Data and Eurocode Factors'!$A$34:$J$39,3, FALSE)</f>
        <v>12882.514795076555</v>
      </c>
      <c r="CP116" s="403">
        <f t="shared" si="22"/>
        <v>5725.3242306670263</v>
      </c>
      <c r="CQ116" s="419">
        <v>1200</v>
      </c>
      <c r="CR116" s="382">
        <f>PI()*CQ116/1000*( Pile!$C$25- Pile!$C116)</f>
        <v>39.584067435231383</v>
      </c>
      <c r="CS116" s="382">
        <f t="shared" si="23"/>
        <v>1.1309733552923256</v>
      </c>
      <c r="CT116" s="382">
        <f t="shared" si="58"/>
        <v>5488.5873117804531</v>
      </c>
      <c r="CU116" s="382">
        <f>CR116* Pile!$S$25</f>
        <v>0</v>
      </c>
      <c r="CV116" s="382">
        <f t="shared" si="70"/>
        <v>5488.5873117804531</v>
      </c>
      <c r="CW116" s="382">
        <f>IF(CV116&gt;0,+CV116)/ 'Pile Data and Eurocode Factors'!$B$14/ 'Pile Data and Eurocode Factors'!$B$15+$CW$109</f>
        <v>2854.2336246814889</v>
      </c>
      <c r="CX116" s="382">
        <f t="shared" si="71"/>
        <v>11804.781016030072</v>
      </c>
      <c r="CY116" s="382">
        <f>CS116* Pile!$U$25</f>
        <v>0</v>
      </c>
      <c r="CZ116" s="382">
        <f t="shared" si="24"/>
        <v>11804.781016030072</v>
      </c>
      <c r="DA116" s="382">
        <f>CZ116/ 'Pile Data and Eurocode Factors'!$C$14/ 'Pile Data and Eurocode Factors'!$C$15</f>
        <v>4215.9932200107405</v>
      </c>
      <c r="DB116" s="382">
        <f t="shared" si="25"/>
        <v>7070.2268446922299</v>
      </c>
      <c r="DC116" s="382">
        <f>VLOOKUP(CQ116, 'Pile Data and Eurocode Factors'!$A$34:$J$39,3, FALSE)</f>
        <v>16826.141773161216</v>
      </c>
      <c r="DD116" s="403">
        <f t="shared" si="26"/>
        <v>7070.2268446922299</v>
      </c>
      <c r="DE116" s="420">
        <f xml:space="preserve"> Pile!$C$23- Pile!C116</f>
        <v>22.499999999999996</v>
      </c>
      <c r="DG116" s="382">
        <f t="shared" si="52"/>
        <v>1663.2116558195685</v>
      </c>
      <c r="DH116" s="382">
        <f t="shared" si="27"/>
        <v>2481.1151173434296</v>
      </c>
      <c r="DI116" s="382">
        <f t="shared" si="28"/>
        <v>3430.7683669926255</v>
      </c>
      <c r="DJ116" s="382">
        <f t="shared" si="29"/>
        <v>4512.1714047671576</v>
      </c>
      <c r="DK116" s="382">
        <f t="shared" si="30"/>
        <v>5725.3242306670263</v>
      </c>
      <c r="DL116" s="382">
        <f t="shared" si="53"/>
        <v>7070.2268446922299</v>
      </c>
    </row>
    <row r="117" spans="1:116" s="308" customFormat="1" ht="15">
      <c r="B117" s="400">
        <v>8</v>
      </c>
      <c r="C117" s="401">
        <f>+C116- Pile!D$25/20</f>
        <v>-17.999999999999996</v>
      </c>
      <c r="D117" s="415" t="str">
        <f>B25</f>
        <v>Medium Sand/Gravel</v>
      </c>
      <c r="E117" s="415" t="str">
        <f>F25</f>
        <v>Granular</v>
      </c>
      <c r="F117" s="401">
        <f xml:space="preserve"> Pile!$E$25*(C116-C117)+F116</f>
        <v>444.00000000000011</v>
      </c>
      <c r="G117" s="401">
        <f>IF(C117&gt; Pile!$C$28,0,( Pile!$C$28-C117)*9.81)</f>
        <v>29.429999999999968</v>
      </c>
      <c r="H117" s="401">
        <f t="shared" si="0"/>
        <v>414.57000000000016</v>
      </c>
      <c r="I117" s="401">
        <f t="shared" si="72"/>
        <v>312.28500000000014</v>
      </c>
      <c r="J117" s="401">
        <f>IF(E117="Cohesive",(( Pile!$H$25- Pile!$G$25)/20)+J116,0)</f>
        <v>0</v>
      </c>
      <c r="K117" s="401">
        <f>IF(E117="Cohesive",( Pile!$G$25+ Pile!$J117)/2,0)</f>
        <v>0</v>
      </c>
      <c r="L117" s="401" t="str">
        <f>IF( Pile!I$25="",0, Pile!I$25)</f>
        <v>0</v>
      </c>
      <c r="M117" s="401" t="str">
        <f>IF( Pile!J$25="",0, Pile!J$25)</f>
        <v>0</v>
      </c>
      <c r="N117" s="401">
        <f>IF(E117="Granular", Pile!$K$25,0)</f>
        <v>26.092012099198989</v>
      </c>
      <c r="O117" s="416">
        <f>IF(AND(E117="Granular",D117&lt;&gt;"Made Ground"), Pile!$L$25,0)</f>
        <v>0.4545853152382574</v>
      </c>
      <c r="P117" s="401">
        <f>IF(OR(D117="Low Density Chalk",D117="Medium Density Chalk"), Pile!$M$25,0)</f>
        <v>0</v>
      </c>
      <c r="Q117" s="417">
        <f>IF(D117="High Density Chalk", Pile!$N$25,0)</f>
        <v>0</v>
      </c>
      <c r="R117" s="401">
        <f>IF( Pile!O$25="",0, Pile!O$25)</f>
        <v>0</v>
      </c>
      <c r="S117" s="418">
        <f t="shared" si="31"/>
        <v>141.96017516917928</v>
      </c>
      <c r="T117" s="382">
        <f xml:space="preserve"> Pile!$T$25</f>
        <v>1200</v>
      </c>
      <c r="U117" s="382">
        <f t="shared" si="32"/>
        <v>141.96017516917928</v>
      </c>
      <c r="V117" s="382">
        <f t="shared" si="2"/>
        <v>10816.96545596493</v>
      </c>
      <c r="W117" s="382">
        <f xml:space="preserve"> Pile!$V$25</f>
        <v>15000</v>
      </c>
      <c r="X117" s="382">
        <f t="shared" si="33"/>
        <v>10816.96545596493</v>
      </c>
      <c r="Y117" s="419">
        <v>450</v>
      </c>
      <c r="Z117" s="382">
        <f>PI()*Y117/1000*( Pile!$C$25- Pile!$C117)</f>
        <v>16.964600329384879</v>
      </c>
      <c r="AA117" s="382">
        <f t="shared" si="3"/>
        <v>0.15904312808798329</v>
      </c>
      <c r="AB117" s="382">
        <f t="shared" si="34"/>
        <v>2408.2976344345939</v>
      </c>
      <c r="AC117" s="382">
        <f>Z117* Pile!$S$25</f>
        <v>0</v>
      </c>
      <c r="AD117" s="382">
        <f t="shared" si="35"/>
        <v>2408.2976344345939</v>
      </c>
      <c r="AE117" s="382">
        <f>IF(AD117&gt;0,+AD117)/ 'Pile Data and Eurocode Factors'!$B$14/ 'Pile Data and Eurocode Factors'!$B$15+$AE$109</f>
        <v>1226.6221594863277</v>
      </c>
      <c r="AF117" s="382">
        <f t="shared" si="36"/>
        <v>1720.364022536321</v>
      </c>
      <c r="AG117" s="382">
        <f>AA117* Pile!$U$25</f>
        <v>0</v>
      </c>
      <c r="AH117" s="382">
        <f t="shared" si="4"/>
        <v>1720.364022536321</v>
      </c>
      <c r="AI117" s="382">
        <f>AH117/ 'Pile Data and Eurocode Factors'!$C$14/ 'Pile Data and Eurocode Factors'!$C$15</f>
        <v>614.41572233440036</v>
      </c>
      <c r="AJ117" s="382">
        <f t="shared" si="5"/>
        <v>1841.0378818207282</v>
      </c>
      <c r="AK117" s="382">
        <f>VLOOKUP(Y117, 'Pile Data and Eurocode Factors'!$A$34:$J$39,3, FALSE)</f>
        <v>2366.1761868507956</v>
      </c>
      <c r="AL117" s="403">
        <f t="shared" si="6"/>
        <v>1841.0378818207282</v>
      </c>
      <c r="AM117" s="419">
        <v>600</v>
      </c>
      <c r="AN117" s="382">
        <f>PI()*AM117/1000*( Pile!$C$25- Pile!$C117)</f>
        <v>22.619467105846503</v>
      </c>
      <c r="AO117" s="382">
        <f t="shared" si="7"/>
        <v>0.28274333882308139</v>
      </c>
      <c r="AP117" s="382">
        <f t="shared" si="54"/>
        <v>3211.0635125794583</v>
      </c>
      <c r="AQ117" s="382">
        <f>AN117* Pile!$S$25</f>
        <v>0</v>
      </c>
      <c r="AR117" s="382">
        <f t="shared" si="59"/>
        <v>3211.0635125794583</v>
      </c>
      <c r="AS117" s="382">
        <f>IF(AR117&gt;0,+AR117)/ 'Pile Data and Eurocode Factors'!$B$14/ 'Pile Data and Eurocode Factors'!$B$15+$AS$109</f>
        <v>1635.4962126484372</v>
      </c>
      <c r="AT117" s="382">
        <f t="shared" si="65"/>
        <v>3058.4249289534591</v>
      </c>
      <c r="AU117" s="382">
        <f>AO117* Pile!$U$25</f>
        <v>0</v>
      </c>
      <c r="AV117" s="382">
        <f t="shared" si="8"/>
        <v>3058.4249289534591</v>
      </c>
      <c r="AW117" s="382">
        <f>AV117/ 'Pile Data and Eurocode Factors'!$C$14/ 'Pile Data and Eurocode Factors'!$C$15</f>
        <v>1092.2946174833783</v>
      </c>
      <c r="AX117" s="382">
        <f t="shared" si="9"/>
        <v>2727.7908301318157</v>
      </c>
      <c r="AY117" s="382">
        <f>VLOOKUP(AM117, 'Pile Data and Eurocode Factors'!$A$34:$J$39,3, FALSE)</f>
        <v>4206.5354432903041</v>
      </c>
      <c r="AZ117" s="403">
        <f t="shared" si="10"/>
        <v>2727.7908301318157</v>
      </c>
      <c r="BA117" s="419">
        <v>750</v>
      </c>
      <c r="BB117" s="382">
        <f>PI()*BA117/1000*( Pile!$C$25- Pile!$C117)</f>
        <v>28.274333882308131</v>
      </c>
      <c r="BC117" s="382">
        <f t="shared" si="11"/>
        <v>0.44178646691106466</v>
      </c>
      <c r="BD117" s="382">
        <f t="shared" si="55"/>
        <v>4013.8293907243233</v>
      </c>
      <c r="BE117" s="382">
        <f>BB117* Pile!$S$25</f>
        <v>0</v>
      </c>
      <c r="BF117" s="382">
        <f t="shared" si="60"/>
        <v>4013.8293907243233</v>
      </c>
      <c r="BG117" s="382">
        <f>IF(BF117&gt;0,+BF117)/ 'Pile Data and Eurocode Factors'!$B$14/ 'Pile Data and Eurocode Factors'!$B$15+$BG$109</f>
        <v>2044.3702658105467</v>
      </c>
      <c r="BH117" s="382">
        <f t="shared" si="66"/>
        <v>4778.7889514897797</v>
      </c>
      <c r="BI117" s="382">
        <f>BC117* Pile!$U$25</f>
        <v>0</v>
      </c>
      <c r="BJ117" s="382">
        <f t="shared" si="12"/>
        <v>4778.7889514897797</v>
      </c>
      <c r="BK117" s="382">
        <f>BJ117/ 'Pile Data and Eurocode Factors'!$C$14/ 'Pile Data and Eurocode Factors'!$C$15</f>
        <v>1706.7103398177785</v>
      </c>
      <c r="BL117" s="382">
        <f t="shared" si="13"/>
        <v>3751.0806056283254</v>
      </c>
      <c r="BM117" s="382">
        <f>VLOOKUP(BA117, 'Pile Data and Eurocode Factors'!$A$34:$J$39,3, FALSE)</f>
        <v>6572.7116301410997</v>
      </c>
      <c r="BN117" s="403">
        <f t="shared" si="14"/>
        <v>3751.0806056283254</v>
      </c>
      <c r="BO117" s="419">
        <v>900</v>
      </c>
      <c r="BP117" s="382">
        <f>PI()*BO117/1000*( Pile!$C$25- Pile!$C117)</f>
        <v>33.929200658769759</v>
      </c>
      <c r="BQ117" s="382">
        <f t="shared" si="15"/>
        <v>0.63617251235193317</v>
      </c>
      <c r="BR117" s="382">
        <f t="shared" si="56"/>
        <v>4816.5952688691877</v>
      </c>
      <c r="BS117" s="382">
        <f>BP117* Pile!$S$25</f>
        <v>0</v>
      </c>
      <c r="BT117" s="382">
        <f t="shared" si="61"/>
        <v>4816.5952688691877</v>
      </c>
      <c r="BU117" s="382">
        <f>IF(BT117&gt;0,+BT117)/ 'Pile Data and Eurocode Factors'!$B$14/ 'Pile Data and Eurocode Factors'!$B$15+$BU$109</f>
        <v>2453.2443189726555</v>
      </c>
      <c r="BV117" s="382">
        <f t="shared" si="67"/>
        <v>6881.4560901452842</v>
      </c>
      <c r="BW117" s="382">
        <f>BQ117* Pile!$U$25</f>
        <v>0</v>
      </c>
      <c r="BX117" s="382">
        <f t="shared" si="16"/>
        <v>6881.4560901452842</v>
      </c>
      <c r="BY117" s="382">
        <f>BX117/ 'Pile Data and Eurocode Factors'!$C$14/ 'Pile Data and Eurocode Factors'!$C$15</f>
        <v>2457.6628893376014</v>
      </c>
      <c r="BZ117" s="382">
        <f t="shared" si="17"/>
        <v>4910.9072083102565</v>
      </c>
      <c r="CA117" s="382">
        <f>VLOOKUP(BO117, 'Pile Data and Eurocode Factors'!$A$34:$J$39,3, FALSE)</f>
        <v>9464.7047474031824</v>
      </c>
      <c r="CB117" s="403">
        <f t="shared" si="18"/>
        <v>4910.9072083102565</v>
      </c>
      <c r="CC117" s="419">
        <v>1050</v>
      </c>
      <c r="CD117" s="382">
        <f>PI()*CC117/1000*( Pile!$C$25- Pile!$C117)</f>
        <v>39.584067435231383</v>
      </c>
      <c r="CE117" s="382">
        <f t="shared" si="19"/>
        <v>0.86590147514568672</v>
      </c>
      <c r="CF117" s="382">
        <f t="shared" si="57"/>
        <v>5619.3611470140522</v>
      </c>
      <c r="CG117" s="382">
        <f>CD117* Pile!$S$25</f>
        <v>0</v>
      </c>
      <c r="CH117" s="382">
        <f t="shared" si="68"/>
        <v>5619.3611470140522</v>
      </c>
      <c r="CI117" s="382">
        <f>IF(CH117&gt;0,+CH117)/ 'Pile Data and Eurocode Factors'!$B$14/ 'Pile Data and Eurocode Factors'!$B$15+$CI$109</f>
        <v>2862.1183721347652</v>
      </c>
      <c r="CJ117" s="382">
        <f t="shared" si="69"/>
        <v>9366.426344919968</v>
      </c>
      <c r="CK117" s="382">
        <f>CE117* Pile!$U$25</f>
        <v>0</v>
      </c>
      <c r="CL117" s="382">
        <f t="shared" si="20"/>
        <v>9366.426344919968</v>
      </c>
      <c r="CM117" s="382">
        <f>CL117/ 'Pile Data and Eurocode Factors'!$C$14/ 'Pile Data and Eurocode Factors'!$C$15</f>
        <v>3345.1522660428459</v>
      </c>
      <c r="CN117" s="382">
        <f t="shared" si="21"/>
        <v>6207.2706381776115</v>
      </c>
      <c r="CO117" s="382">
        <f>VLOOKUP(CC117, 'Pile Data and Eurocode Factors'!$A$34:$J$39,3, FALSE)</f>
        <v>12882.514795076555</v>
      </c>
      <c r="CP117" s="403">
        <f t="shared" si="22"/>
        <v>6207.2706381776115</v>
      </c>
      <c r="CQ117" s="419">
        <v>1200</v>
      </c>
      <c r="CR117" s="382">
        <f>PI()*CQ117/1000*( Pile!$C$25- Pile!$C117)</f>
        <v>45.238934211693007</v>
      </c>
      <c r="CS117" s="382">
        <f t="shared" si="23"/>
        <v>1.1309733552923256</v>
      </c>
      <c r="CT117" s="382">
        <f t="shared" si="58"/>
        <v>6422.1270251589167</v>
      </c>
      <c r="CU117" s="382">
        <f>CR117* Pile!$S$25</f>
        <v>0</v>
      </c>
      <c r="CV117" s="382">
        <f t="shared" si="70"/>
        <v>6422.1270251589167</v>
      </c>
      <c r="CW117" s="382">
        <f>IF(CV117&gt;0,+CV117)/ 'Pile Data and Eurocode Factors'!$B$14/ 'Pile Data and Eurocode Factors'!$B$15+$CW$109</f>
        <v>3270.9924252968744</v>
      </c>
      <c r="CX117" s="382">
        <f t="shared" si="71"/>
        <v>12233.699715813837</v>
      </c>
      <c r="CY117" s="382">
        <f>CS117* Pile!$U$25</f>
        <v>0</v>
      </c>
      <c r="CZ117" s="382">
        <f t="shared" si="24"/>
        <v>12233.699715813837</v>
      </c>
      <c r="DA117" s="382">
        <f>CZ117/ 'Pile Data and Eurocode Factors'!$C$14/ 'Pile Data and Eurocode Factors'!$C$15</f>
        <v>4369.178469933513</v>
      </c>
      <c r="DB117" s="382">
        <f t="shared" si="25"/>
        <v>7640.170895230387</v>
      </c>
      <c r="DC117" s="382">
        <f>VLOOKUP(CQ117, 'Pile Data and Eurocode Factors'!$A$34:$J$39,3, FALSE)</f>
        <v>16826.141773161216</v>
      </c>
      <c r="DD117" s="403">
        <f t="shared" si="26"/>
        <v>7640.170895230387</v>
      </c>
      <c r="DE117" s="420">
        <f xml:space="preserve"> Pile!$C$23- Pile!C117</f>
        <v>23.999999999999996</v>
      </c>
      <c r="DG117" s="382">
        <f t="shared" si="52"/>
        <v>1841.0378818207282</v>
      </c>
      <c r="DH117" s="382">
        <f t="shared" si="27"/>
        <v>2727.7908301318157</v>
      </c>
      <c r="DI117" s="382">
        <f t="shared" si="28"/>
        <v>3751.0806056283254</v>
      </c>
      <c r="DJ117" s="382">
        <f t="shared" si="29"/>
        <v>4910.9072083102565</v>
      </c>
      <c r="DK117" s="382">
        <f t="shared" si="30"/>
        <v>6207.2706381776115</v>
      </c>
      <c r="DL117" s="382">
        <f t="shared" si="53"/>
        <v>7640.170895230387</v>
      </c>
    </row>
    <row r="118" spans="1:116" s="308" customFormat="1" ht="15">
      <c r="B118" s="400">
        <v>9</v>
      </c>
      <c r="C118" s="401">
        <f>+C117- Pile!D$25/20</f>
        <v>-19.499999999999996</v>
      </c>
      <c r="D118" s="415" t="str">
        <f>B25</f>
        <v>Medium Sand/Gravel</v>
      </c>
      <c r="E118" s="415" t="str">
        <f>F25</f>
        <v>Granular</v>
      </c>
      <c r="F118" s="401">
        <f xml:space="preserve"> Pile!$E$25*(C117-C118)+F117</f>
        <v>473.25000000000011</v>
      </c>
      <c r="G118" s="401">
        <f>IF(C118&gt; Pile!$C$28,0,( Pile!$C$28-C118)*9.81)</f>
        <v>44.144999999999968</v>
      </c>
      <c r="H118" s="401">
        <f t="shared" si="0"/>
        <v>429.10500000000013</v>
      </c>
      <c r="I118" s="401">
        <f t="shared" si="72"/>
        <v>319.55250000000012</v>
      </c>
      <c r="J118" s="401">
        <f>IF(E118="Cohesive",(( Pile!$H$25- Pile!$G$25)/20)+J117,0)</f>
        <v>0</v>
      </c>
      <c r="K118" s="401">
        <f>IF(E118="Cohesive",( Pile!$G$25+ Pile!$J118)/2,0)</f>
        <v>0</v>
      </c>
      <c r="L118" s="401" t="str">
        <f>IF( Pile!I$25="",0, Pile!I$25)</f>
        <v>0</v>
      </c>
      <c r="M118" s="401" t="str">
        <f>IF( Pile!J$25="",0, Pile!J$25)</f>
        <v>0</v>
      </c>
      <c r="N118" s="401">
        <f>IF(E118="Granular", Pile!$K$25,0)</f>
        <v>26.092012099198989</v>
      </c>
      <c r="O118" s="416">
        <f>IF(AND(E118="Granular",D118&lt;&gt;"Made Ground"), Pile!$L$25,0)</f>
        <v>0.4545853152382574</v>
      </c>
      <c r="P118" s="401">
        <f>IF(OR(D118="Low Density Chalk",D118="Medium Density Chalk"), Pile!$M$25,0)</f>
        <v>0</v>
      </c>
      <c r="Q118" s="417">
        <f>IF(D118="High Density Chalk", Pile!$N$25,0)</f>
        <v>0</v>
      </c>
      <c r="R118" s="401">
        <f>IF( Pile!O$25="",0, Pile!O$25)</f>
        <v>0</v>
      </c>
      <c r="S118" s="418">
        <f t="shared" si="31"/>
        <v>145.26387394767332</v>
      </c>
      <c r="T118" s="382">
        <f xml:space="preserve"> Pile!$T$25</f>
        <v>1200</v>
      </c>
      <c r="U118" s="382">
        <f t="shared" si="32"/>
        <v>145.26387394767332</v>
      </c>
      <c r="V118" s="382">
        <f t="shared" si="2"/>
        <v>11196.212851826785</v>
      </c>
      <c r="W118" s="382">
        <f xml:space="preserve"> Pile!$V$25</f>
        <v>15000</v>
      </c>
      <c r="X118" s="382">
        <f t="shared" si="33"/>
        <v>11196.212851826785</v>
      </c>
      <c r="Y118" s="419">
        <v>450</v>
      </c>
      <c r="Z118" s="382">
        <f>PI()*Y118/1000*( Pile!$C$25- Pile!$C118)</f>
        <v>19.085175370557987</v>
      </c>
      <c r="AA118" s="382">
        <f t="shared" si="3"/>
        <v>0.15904312808798329</v>
      </c>
      <c r="AB118" s="382">
        <f t="shared" si="34"/>
        <v>2772.386509297975</v>
      </c>
      <c r="AC118" s="382">
        <f>Z118* Pile!$S$25</f>
        <v>0</v>
      </c>
      <c r="AD118" s="382">
        <f t="shared" si="35"/>
        <v>2772.386509297975</v>
      </c>
      <c r="AE118" s="382">
        <f>IF(AD118&gt;0,+AD118)/ 'Pile Data and Eurocode Factors'!$B$14/ 'Pile Data and Eurocode Factors'!$B$15+$AE$109</f>
        <v>1389.161835764623</v>
      </c>
      <c r="AF118" s="382">
        <f t="shared" si="36"/>
        <v>1780.6807146934123</v>
      </c>
      <c r="AG118" s="382">
        <f>AA118* Pile!$U$25</f>
        <v>0</v>
      </c>
      <c r="AH118" s="382">
        <f t="shared" si="4"/>
        <v>1780.6807146934123</v>
      </c>
      <c r="AI118" s="382">
        <f>AH118/ 'Pile Data and Eurocode Factors'!$C$14/ 'Pile Data and Eurocode Factors'!$C$15</f>
        <v>635.95739810479017</v>
      </c>
      <c r="AJ118" s="382">
        <f t="shared" si="5"/>
        <v>2025.1192338694132</v>
      </c>
      <c r="AK118" s="382">
        <f>VLOOKUP(Y118, 'Pile Data and Eurocode Factors'!$A$34:$J$39,3, FALSE)</f>
        <v>2366.1761868507956</v>
      </c>
      <c r="AL118" s="403">
        <f t="shared" si="6"/>
        <v>2025.1192338694132</v>
      </c>
      <c r="AM118" s="419">
        <v>600</v>
      </c>
      <c r="AN118" s="382">
        <f>PI()*AM118/1000*( Pile!$C$25- Pile!$C118)</f>
        <v>25.446900494077319</v>
      </c>
      <c r="AO118" s="382">
        <f t="shared" si="7"/>
        <v>0.28274333882308139</v>
      </c>
      <c r="AP118" s="382">
        <f t="shared" si="54"/>
        <v>3696.5153457306337</v>
      </c>
      <c r="AQ118" s="382">
        <f>AN118* Pile!$S$25</f>
        <v>0</v>
      </c>
      <c r="AR118" s="382">
        <f t="shared" si="59"/>
        <v>3696.5153457306337</v>
      </c>
      <c r="AS118" s="382">
        <f>IF(AR118&gt;0,+AR118)/ 'Pile Data and Eurocode Factors'!$B$14/ 'Pile Data and Eurocode Factors'!$B$15+$AS$109</f>
        <v>1852.2157810194979</v>
      </c>
      <c r="AT118" s="382">
        <f t="shared" si="65"/>
        <v>3165.6546038993993</v>
      </c>
      <c r="AU118" s="382">
        <f>AO118* Pile!$U$25</f>
        <v>0</v>
      </c>
      <c r="AV118" s="382">
        <f t="shared" si="8"/>
        <v>3165.6546038993993</v>
      </c>
      <c r="AW118" s="382">
        <f>AV118/ 'Pile Data and Eurocode Factors'!$C$14/ 'Pile Data and Eurocode Factors'!$C$15</f>
        <v>1130.5909299640712</v>
      </c>
      <c r="AX118" s="382">
        <f t="shared" si="9"/>
        <v>2982.8067109835692</v>
      </c>
      <c r="AY118" s="382">
        <f>VLOOKUP(AM118, 'Pile Data and Eurocode Factors'!$A$34:$J$39,3, FALSE)</f>
        <v>4206.5354432903041</v>
      </c>
      <c r="AZ118" s="403">
        <f t="shared" si="10"/>
        <v>2982.8067109835692</v>
      </c>
      <c r="BA118" s="419">
        <v>750</v>
      </c>
      <c r="BB118" s="382">
        <f>PI()*BA118/1000*( Pile!$C$25- Pile!$C118)</f>
        <v>31.808625617596647</v>
      </c>
      <c r="BC118" s="382">
        <f t="shared" si="11"/>
        <v>0.44178646691106466</v>
      </c>
      <c r="BD118" s="382">
        <f t="shared" si="55"/>
        <v>4620.6441821632916</v>
      </c>
      <c r="BE118" s="382">
        <f>BB118* Pile!$S$25</f>
        <v>0</v>
      </c>
      <c r="BF118" s="382">
        <f t="shared" si="60"/>
        <v>4620.6441821632916</v>
      </c>
      <c r="BG118" s="382">
        <f>IF(BF118&gt;0,+BF118)/ 'Pile Data and Eurocode Factors'!$B$14/ 'Pile Data and Eurocode Factors'!$B$15+$BG$109</f>
        <v>2315.2697262743718</v>
      </c>
      <c r="BH118" s="382">
        <f t="shared" si="66"/>
        <v>4946.3353185928108</v>
      </c>
      <c r="BI118" s="382">
        <f>BC118* Pile!$U$25</f>
        <v>0</v>
      </c>
      <c r="BJ118" s="382">
        <f t="shared" si="12"/>
        <v>4946.3353185928108</v>
      </c>
      <c r="BK118" s="382">
        <f>BJ118/ 'Pile Data and Eurocode Factors'!$C$14/ 'Pile Data and Eurocode Factors'!$C$15</f>
        <v>1766.5483280688611</v>
      </c>
      <c r="BL118" s="382">
        <f t="shared" si="13"/>
        <v>4081.8180543432327</v>
      </c>
      <c r="BM118" s="382">
        <f>VLOOKUP(BA118, 'Pile Data and Eurocode Factors'!$A$34:$J$39,3, FALSE)</f>
        <v>6572.7116301410997</v>
      </c>
      <c r="BN118" s="403">
        <f t="shared" si="14"/>
        <v>4081.8180543432327</v>
      </c>
      <c r="BO118" s="419">
        <v>900</v>
      </c>
      <c r="BP118" s="382">
        <f>PI()*BO118/1000*( Pile!$C$25- Pile!$C118)</f>
        <v>38.170350741115975</v>
      </c>
      <c r="BQ118" s="382">
        <f t="shared" si="15"/>
        <v>0.63617251235193317</v>
      </c>
      <c r="BR118" s="382">
        <f t="shared" si="56"/>
        <v>5544.7730185959499</v>
      </c>
      <c r="BS118" s="382">
        <f>BP118* Pile!$S$25</f>
        <v>0</v>
      </c>
      <c r="BT118" s="382">
        <f t="shared" si="61"/>
        <v>5544.7730185959499</v>
      </c>
      <c r="BU118" s="382">
        <f>IF(BT118&gt;0,+BT118)/ 'Pile Data and Eurocode Factors'!$B$14/ 'Pile Data and Eurocode Factors'!$B$15+$BU$109</f>
        <v>2778.323671529246</v>
      </c>
      <c r="BV118" s="382">
        <f t="shared" si="67"/>
        <v>7122.722858773649</v>
      </c>
      <c r="BW118" s="382">
        <f>BQ118* Pile!$U$25</f>
        <v>0</v>
      </c>
      <c r="BX118" s="382">
        <f t="shared" si="16"/>
        <v>7122.722858773649</v>
      </c>
      <c r="BY118" s="382">
        <f>BX118/ 'Pile Data and Eurocode Factors'!$C$14/ 'Pile Data and Eurocode Factors'!$C$15</f>
        <v>2543.8295924191607</v>
      </c>
      <c r="BZ118" s="382">
        <f t="shared" si="17"/>
        <v>5322.1532639484067</v>
      </c>
      <c r="CA118" s="382">
        <f>VLOOKUP(BO118, 'Pile Data and Eurocode Factors'!$A$34:$J$39,3, FALSE)</f>
        <v>9464.7047474031824</v>
      </c>
      <c r="CB118" s="403">
        <f t="shared" si="18"/>
        <v>5322.1532639484067</v>
      </c>
      <c r="CC118" s="419">
        <v>1050</v>
      </c>
      <c r="CD118" s="382">
        <f>PI()*CC118/1000*( Pile!$C$25- Pile!$C118)</f>
        <v>44.532075864635303</v>
      </c>
      <c r="CE118" s="382">
        <f t="shared" si="19"/>
        <v>0.86590147514568672</v>
      </c>
      <c r="CF118" s="382">
        <f t="shared" si="57"/>
        <v>6468.9018550286082</v>
      </c>
      <c r="CG118" s="382">
        <f>CD118* Pile!$S$25</f>
        <v>0</v>
      </c>
      <c r="CH118" s="382">
        <f t="shared" si="68"/>
        <v>6468.9018550286082</v>
      </c>
      <c r="CI118" s="382">
        <f>IF(CH118&gt;0,+CH118)/ 'Pile Data and Eurocode Factors'!$B$14/ 'Pile Data and Eurocode Factors'!$B$15+$CI$109</f>
        <v>3241.3776167841206</v>
      </c>
      <c r="CJ118" s="382">
        <f t="shared" si="69"/>
        <v>9694.8172244419093</v>
      </c>
      <c r="CK118" s="382">
        <f>CE118* Pile!$U$25</f>
        <v>0</v>
      </c>
      <c r="CL118" s="382">
        <f t="shared" si="20"/>
        <v>9694.8172244419093</v>
      </c>
      <c r="CM118" s="382">
        <f>CL118/ 'Pile Data and Eurocode Factors'!$C$14/ 'Pile Data and Eurocode Factors'!$C$15</f>
        <v>3462.4347230149679</v>
      </c>
      <c r="CN118" s="382">
        <f t="shared" si="21"/>
        <v>6703.8123397990885</v>
      </c>
      <c r="CO118" s="382">
        <f>VLOOKUP(CC118, 'Pile Data and Eurocode Factors'!$A$34:$J$39,3, FALSE)</f>
        <v>12882.514795076555</v>
      </c>
      <c r="CP118" s="403">
        <f t="shared" si="22"/>
        <v>6703.8123397990885</v>
      </c>
      <c r="CQ118" s="419">
        <v>1200</v>
      </c>
      <c r="CR118" s="382">
        <f>PI()*CQ118/1000*( Pile!$C$25- Pile!$C118)</f>
        <v>50.893800988154638</v>
      </c>
      <c r="CS118" s="382">
        <f t="shared" si="23"/>
        <v>1.1309733552923256</v>
      </c>
      <c r="CT118" s="382">
        <f t="shared" si="58"/>
        <v>7393.0306914612675</v>
      </c>
      <c r="CU118" s="382">
        <f>CR118* Pile!$S$25</f>
        <v>0</v>
      </c>
      <c r="CV118" s="382">
        <f t="shared" si="70"/>
        <v>7393.0306914612675</v>
      </c>
      <c r="CW118" s="382">
        <f>IF(CV118&gt;0,+CV118)/ 'Pile Data and Eurocode Factors'!$B$14/ 'Pile Data and Eurocode Factors'!$B$15+$CW$109</f>
        <v>3704.4315620389957</v>
      </c>
      <c r="CX118" s="382">
        <f t="shared" si="71"/>
        <v>12662.618415597597</v>
      </c>
      <c r="CY118" s="382">
        <f>CS118* Pile!$U$25</f>
        <v>0</v>
      </c>
      <c r="CZ118" s="382">
        <f t="shared" si="24"/>
        <v>12662.618415597597</v>
      </c>
      <c r="DA118" s="382">
        <f>CZ118/ 'Pile Data and Eurocode Factors'!$C$14/ 'Pile Data and Eurocode Factors'!$C$15</f>
        <v>4522.3637198562847</v>
      </c>
      <c r="DB118" s="382">
        <f t="shared" si="25"/>
        <v>8226.7952818952799</v>
      </c>
      <c r="DC118" s="382">
        <f>VLOOKUP(CQ118, 'Pile Data and Eurocode Factors'!$A$34:$J$39,3, FALSE)</f>
        <v>16826.141773161216</v>
      </c>
      <c r="DD118" s="403">
        <f t="shared" si="26"/>
        <v>8226.7952818952799</v>
      </c>
      <c r="DE118" s="420">
        <f xml:space="preserve"> Pile!$C$23- Pile!C118</f>
        <v>25.499999999999996</v>
      </c>
      <c r="DG118" s="382">
        <f t="shared" si="52"/>
        <v>2025.1192338694132</v>
      </c>
      <c r="DH118" s="382">
        <f t="shared" si="27"/>
        <v>2982.8067109835692</v>
      </c>
      <c r="DI118" s="382">
        <f t="shared" si="28"/>
        <v>4081.8180543432327</v>
      </c>
      <c r="DJ118" s="382">
        <f t="shared" si="29"/>
        <v>5322.1532639484067</v>
      </c>
      <c r="DK118" s="382">
        <f t="shared" si="30"/>
        <v>6703.8123397990885</v>
      </c>
      <c r="DL118" s="382">
        <f t="shared" si="53"/>
        <v>8226.7952818952799</v>
      </c>
    </row>
    <row r="119" spans="1:116" s="308" customFormat="1" ht="15">
      <c r="B119" s="400">
        <v>10</v>
      </c>
      <c r="C119" s="401">
        <f>+C118- Pile!D$25/20</f>
        <v>-20.999999999999996</v>
      </c>
      <c r="D119" s="415" t="str">
        <f>B25</f>
        <v>Medium Sand/Gravel</v>
      </c>
      <c r="E119" s="415" t="str">
        <f>F25</f>
        <v>Granular</v>
      </c>
      <c r="F119" s="401">
        <f xml:space="preserve"> Pile!$E$25*(C118-C119)+F118</f>
        <v>502.50000000000011</v>
      </c>
      <c r="G119" s="401">
        <f>IF(C119&gt; Pile!$C$28,0,( Pile!$C$28-C119)*9.81)</f>
        <v>58.859999999999971</v>
      </c>
      <c r="H119" s="401">
        <f t="shared" si="0"/>
        <v>443.64000000000016</v>
      </c>
      <c r="I119" s="401">
        <f t="shared" si="72"/>
        <v>326.82000000000016</v>
      </c>
      <c r="J119" s="401">
        <f>IF(E119="Cohesive",(( Pile!$H$25- Pile!$G$25)/20)+J118,0)</f>
        <v>0</v>
      </c>
      <c r="K119" s="401">
        <f>IF(E119="Cohesive",( Pile!$G$25+ Pile!$J119)/2,0)</f>
        <v>0</v>
      </c>
      <c r="L119" s="401" t="str">
        <f>IF( Pile!I$25="",0, Pile!I$25)</f>
        <v>0</v>
      </c>
      <c r="M119" s="401" t="str">
        <f>IF( Pile!J$25="",0, Pile!J$25)</f>
        <v>0</v>
      </c>
      <c r="N119" s="401">
        <f>IF(E119="Granular", Pile!$K$25,0)</f>
        <v>26.092012099198989</v>
      </c>
      <c r="O119" s="416">
        <f>IF(AND(E119="Granular",D119&lt;&gt;"Made Ground"), Pile!$L$25,0)</f>
        <v>0.4545853152382574</v>
      </c>
      <c r="P119" s="401">
        <f>IF(OR(D119="Low Density Chalk",D119="Medium Density Chalk"), Pile!$M$25,0)</f>
        <v>0</v>
      </c>
      <c r="Q119" s="417">
        <f>IF(D119="High Density Chalk", Pile!$N$25,0)</f>
        <v>0</v>
      </c>
      <c r="R119" s="401">
        <f>IF( Pile!O$25="",0, Pile!O$25)</f>
        <v>0</v>
      </c>
      <c r="S119" s="418">
        <f t="shared" si="31"/>
        <v>148.56757272616736</v>
      </c>
      <c r="T119" s="382">
        <f xml:space="preserve"> Pile!$T$25</f>
        <v>1200</v>
      </c>
      <c r="U119" s="382">
        <f t="shared" si="32"/>
        <v>148.56757272616736</v>
      </c>
      <c r="V119" s="382">
        <f t="shared" si="2"/>
        <v>11575.460247688643</v>
      </c>
      <c r="W119" s="382">
        <f xml:space="preserve"> Pile!$V$25</f>
        <v>15000</v>
      </c>
      <c r="X119" s="382">
        <f t="shared" si="33"/>
        <v>11575.460247688643</v>
      </c>
      <c r="Y119" s="419">
        <v>450</v>
      </c>
      <c r="Z119" s="382">
        <f>PI()*Y119/1000*( Pile!$C$25- Pile!$C119)</f>
        <v>21.205750411731099</v>
      </c>
      <c r="AA119" s="382">
        <f t="shared" si="3"/>
        <v>0.15904312808798329</v>
      </c>
      <c r="AB119" s="382">
        <f t="shared" si="34"/>
        <v>3150.4868665078134</v>
      </c>
      <c r="AC119" s="382">
        <f>Z119* Pile!$S$25</f>
        <v>0</v>
      </c>
      <c r="AD119" s="382">
        <f t="shared" si="35"/>
        <v>3150.4868665078134</v>
      </c>
      <c r="AE119" s="382">
        <f>IF(AD119&gt;0,+AD119)/ 'Pile Data and Eurocode Factors'!$B$14/ 'Pile Data and Eurocode Factors'!$B$15+$AE$109</f>
        <v>1557.9566380904439</v>
      </c>
      <c r="AF119" s="382">
        <f t="shared" si="36"/>
        <v>1840.9974068505037</v>
      </c>
      <c r="AG119" s="382">
        <f>AA119* Pile!$U$25</f>
        <v>0</v>
      </c>
      <c r="AH119" s="382">
        <f t="shared" si="4"/>
        <v>1840.9974068505037</v>
      </c>
      <c r="AI119" s="382">
        <f>AH119/ 'Pile Data and Eurocode Factors'!$C$14/ 'Pile Data and Eurocode Factors'!$C$15</f>
        <v>657.49907387517999</v>
      </c>
      <c r="AJ119" s="382">
        <f t="shared" si="5"/>
        <v>2215.4557119656238</v>
      </c>
      <c r="AK119" s="382">
        <f>VLOOKUP(Y119, 'Pile Data and Eurocode Factors'!$A$34:$J$39,3, FALSE)</f>
        <v>2366.1761868507956</v>
      </c>
      <c r="AL119" s="403">
        <f t="shared" si="6"/>
        <v>2215.4557119656238</v>
      </c>
      <c r="AM119" s="419">
        <v>600</v>
      </c>
      <c r="AN119" s="382">
        <f>PI()*AM119/1000*( Pile!$C$25- Pile!$C119)</f>
        <v>28.274333882308131</v>
      </c>
      <c r="AO119" s="382">
        <f t="shared" si="7"/>
        <v>0.28274333882308139</v>
      </c>
      <c r="AP119" s="382">
        <f t="shared" si="54"/>
        <v>4200.6491553437509</v>
      </c>
      <c r="AQ119" s="382">
        <f>AN119* Pile!$S$25</f>
        <v>0</v>
      </c>
      <c r="AR119" s="382">
        <f t="shared" si="59"/>
        <v>4200.6491553437509</v>
      </c>
      <c r="AS119" s="382">
        <f>IF(AR119&gt;0,+AR119)/ 'Pile Data and Eurocode Factors'!$B$14/ 'Pile Data and Eurocode Factors'!$B$15+$AS$109</f>
        <v>2077.2755174539252</v>
      </c>
      <c r="AT119" s="382">
        <f t="shared" si="65"/>
        <v>3272.8842788453398</v>
      </c>
      <c r="AU119" s="382">
        <f>AO119* Pile!$U$25</f>
        <v>0</v>
      </c>
      <c r="AV119" s="382">
        <f t="shared" si="8"/>
        <v>3272.8842788453398</v>
      </c>
      <c r="AW119" s="382">
        <f>AV119/ 'Pile Data and Eurocode Factors'!$C$14/ 'Pile Data and Eurocode Factors'!$C$15</f>
        <v>1168.8872424447643</v>
      </c>
      <c r="AX119" s="382">
        <f t="shared" si="9"/>
        <v>3246.1627598986897</v>
      </c>
      <c r="AY119" s="382">
        <f>VLOOKUP(AM119, 'Pile Data and Eurocode Factors'!$A$34:$J$39,3, FALSE)</f>
        <v>4206.5354432903041</v>
      </c>
      <c r="AZ119" s="403">
        <f t="shared" si="10"/>
        <v>3246.1627598986897</v>
      </c>
      <c r="BA119" s="419">
        <v>750</v>
      </c>
      <c r="BB119" s="382">
        <f>PI()*BA119/1000*( Pile!$C$25- Pile!$C119)</f>
        <v>35.342917352885166</v>
      </c>
      <c r="BC119" s="382">
        <f t="shared" si="11"/>
        <v>0.44178646691106466</v>
      </c>
      <c r="BD119" s="382">
        <f t="shared" si="55"/>
        <v>5250.8114441796888</v>
      </c>
      <c r="BE119" s="382">
        <f>BB119* Pile!$S$25</f>
        <v>0</v>
      </c>
      <c r="BF119" s="382">
        <f t="shared" si="60"/>
        <v>5250.8114441796888</v>
      </c>
      <c r="BG119" s="382">
        <f>IF(BF119&gt;0,+BF119)/ 'Pile Data and Eurocode Factors'!$B$14/ 'Pile Data and Eurocode Factors'!$B$15+$BG$109</f>
        <v>2596.5943968174065</v>
      </c>
      <c r="BH119" s="382">
        <f t="shared" si="66"/>
        <v>5113.8816856958429</v>
      </c>
      <c r="BI119" s="382">
        <f>BC119* Pile!$U$25</f>
        <v>0</v>
      </c>
      <c r="BJ119" s="382">
        <f t="shared" si="12"/>
        <v>5113.8816856958429</v>
      </c>
      <c r="BK119" s="382">
        <f>BJ119/ 'Pile Data and Eurocode Factors'!$C$14/ 'Pile Data and Eurocode Factors'!$C$15</f>
        <v>1826.3863163199439</v>
      </c>
      <c r="BL119" s="382">
        <f t="shared" si="13"/>
        <v>4422.9807131373509</v>
      </c>
      <c r="BM119" s="382">
        <f>VLOOKUP(BA119, 'Pile Data and Eurocode Factors'!$A$34:$J$39,3, FALSE)</f>
        <v>6572.7116301410997</v>
      </c>
      <c r="BN119" s="403">
        <f t="shared" si="14"/>
        <v>4422.9807131373509</v>
      </c>
      <c r="BO119" s="419">
        <v>900</v>
      </c>
      <c r="BP119" s="382">
        <f>PI()*BO119/1000*( Pile!$C$25- Pile!$C119)</f>
        <v>42.411500823462198</v>
      </c>
      <c r="BQ119" s="382">
        <f t="shared" si="15"/>
        <v>0.63617251235193317</v>
      </c>
      <c r="BR119" s="382">
        <f t="shared" si="56"/>
        <v>6300.9737330156267</v>
      </c>
      <c r="BS119" s="382">
        <f>BP119* Pile!$S$25</f>
        <v>0</v>
      </c>
      <c r="BT119" s="382">
        <f t="shared" si="61"/>
        <v>6300.9737330156267</v>
      </c>
      <c r="BU119" s="382">
        <f>IF(BT119&gt;0,+BT119)/ 'Pile Data and Eurocode Factors'!$B$14/ 'Pile Data and Eurocode Factors'!$B$15+$BU$109</f>
        <v>3115.9132761808878</v>
      </c>
      <c r="BV119" s="382">
        <f t="shared" si="67"/>
        <v>7363.9896274020148</v>
      </c>
      <c r="BW119" s="382">
        <f>BQ119* Pile!$U$25</f>
        <v>0</v>
      </c>
      <c r="BX119" s="382">
        <f t="shared" si="16"/>
        <v>7363.9896274020148</v>
      </c>
      <c r="BY119" s="382">
        <f>BX119/ 'Pile Data and Eurocode Factors'!$C$14/ 'Pile Data and Eurocode Factors'!$C$15</f>
        <v>2629.99629550072</v>
      </c>
      <c r="BZ119" s="382">
        <f t="shared" si="17"/>
        <v>5745.9095716816082</v>
      </c>
      <c r="CA119" s="382">
        <f>VLOOKUP(BO119, 'Pile Data and Eurocode Factors'!$A$34:$J$39,3, FALSE)</f>
        <v>9464.7047474031824</v>
      </c>
      <c r="CB119" s="403">
        <f t="shared" si="18"/>
        <v>5745.9095716816082</v>
      </c>
      <c r="CC119" s="419">
        <v>1050</v>
      </c>
      <c r="CD119" s="382">
        <f>PI()*CC119/1000*( Pile!$C$25- Pile!$C119)</f>
        <v>49.48008429403923</v>
      </c>
      <c r="CE119" s="382">
        <f t="shared" si="19"/>
        <v>0.86590147514568672</v>
      </c>
      <c r="CF119" s="382">
        <f t="shared" si="57"/>
        <v>7351.1360218515647</v>
      </c>
      <c r="CG119" s="382">
        <f>CD119* Pile!$S$25</f>
        <v>0</v>
      </c>
      <c r="CH119" s="382">
        <f t="shared" si="68"/>
        <v>7351.1360218515647</v>
      </c>
      <c r="CI119" s="382">
        <f>IF(CH119&gt;0,+CH119)/ 'Pile Data and Eurocode Factors'!$B$14/ 'Pile Data and Eurocode Factors'!$B$15+$CI$109</f>
        <v>3635.2321555443696</v>
      </c>
      <c r="CJ119" s="382">
        <f t="shared" si="69"/>
        <v>10023.208103963852</v>
      </c>
      <c r="CK119" s="382">
        <f>CE119* Pile!$U$25</f>
        <v>0</v>
      </c>
      <c r="CL119" s="382">
        <f t="shared" si="20"/>
        <v>10023.208103963852</v>
      </c>
      <c r="CM119" s="382">
        <f>CL119/ 'Pile Data and Eurocode Factors'!$C$14/ 'Pile Data and Eurocode Factors'!$C$15</f>
        <v>3579.7171799870903</v>
      </c>
      <c r="CN119" s="382">
        <f t="shared" si="21"/>
        <v>7214.9493355314598</v>
      </c>
      <c r="CO119" s="382">
        <f>VLOOKUP(CC119, 'Pile Data and Eurocode Factors'!$A$34:$J$39,3, FALSE)</f>
        <v>12882.514795076555</v>
      </c>
      <c r="CP119" s="403">
        <f t="shared" si="22"/>
        <v>7214.9493355314598</v>
      </c>
      <c r="CQ119" s="419">
        <v>1200</v>
      </c>
      <c r="CR119" s="382">
        <f>PI()*CQ119/1000*( Pile!$C$25- Pile!$C119)</f>
        <v>56.548667764616262</v>
      </c>
      <c r="CS119" s="382">
        <f t="shared" si="23"/>
        <v>1.1309733552923256</v>
      </c>
      <c r="CT119" s="382">
        <f t="shared" si="58"/>
        <v>8401.2983106875017</v>
      </c>
      <c r="CU119" s="382">
        <f>CR119* Pile!$S$25</f>
        <v>0</v>
      </c>
      <c r="CV119" s="382">
        <f t="shared" si="70"/>
        <v>8401.2983106875017</v>
      </c>
      <c r="CW119" s="382">
        <f>IF(CV119&gt;0,+CV119)/ 'Pile Data and Eurocode Factors'!$B$14/ 'Pile Data and Eurocode Factors'!$B$15+$CW$109</f>
        <v>4154.5510349078504</v>
      </c>
      <c r="CX119" s="382">
        <f t="shared" si="71"/>
        <v>13091.537115381359</v>
      </c>
      <c r="CY119" s="382">
        <f>CS119* Pile!$U$25</f>
        <v>0</v>
      </c>
      <c r="CZ119" s="382">
        <f t="shared" si="24"/>
        <v>13091.537115381359</v>
      </c>
      <c r="DA119" s="382">
        <f>CZ119/ 'Pile Data and Eurocode Factors'!$C$14/ 'Pile Data and Eurocode Factors'!$C$15</f>
        <v>4675.5489697790572</v>
      </c>
      <c r="DB119" s="382">
        <f t="shared" si="25"/>
        <v>8830.1000046869085</v>
      </c>
      <c r="DC119" s="382">
        <f>VLOOKUP(CQ119, 'Pile Data and Eurocode Factors'!$A$34:$J$39,3, FALSE)</f>
        <v>16826.141773161216</v>
      </c>
      <c r="DD119" s="403">
        <f t="shared" si="26"/>
        <v>8830.1000046869085</v>
      </c>
      <c r="DE119" s="420">
        <f xml:space="preserve"> Pile!$C$23- Pile!C119</f>
        <v>26.999999999999996</v>
      </c>
      <c r="DG119" s="382">
        <f t="shared" si="52"/>
        <v>2215.4557119656238</v>
      </c>
      <c r="DH119" s="382">
        <f t="shared" si="27"/>
        <v>3246.1627598986897</v>
      </c>
      <c r="DI119" s="382">
        <f t="shared" si="28"/>
        <v>4422.9807131373509</v>
      </c>
      <c r="DJ119" s="382">
        <f t="shared" si="29"/>
        <v>5745.9095716816082</v>
      </c>
      <c r="DK119" s="382">
        <f t="shared" si="30"/>
        <v>7214.9493355314598</v>
      </c>
      <c r="DL119" s="382">
        <f t="shared" si="53"/>
        <v>8830.1000046869085</v>
      </c>
    </row>
    <row r="120" spans="1:116" s="308" customFormat="1" ht="15">
      <c r="B120" s="400">
        <v>11</v>
      </c>
      <c r="C120" s="401">
        <f>+C119- Pile!D$25/20</f>
        <v>-22.499999999999996</v>
      </c>
      <c r="D120" s="415" t="str">
        <f>B25</f>
        <v>Medium Sand/Gravel</v>
      </c>
      <c r="E120" s="415" t="str">
        <f>F25</f>
        <v>Granular</v>
      </c>
      <c r="F120" s="401">
        <f xml:space="preserve"> Pile!$E$25*(C119-C120)+F119</f>
        <v>531.75000000000011</v>
      </c>
      <c r="G120" s="401">
        <f>IF(C120&gt; Pile!$C$28,0,( Pile!$C$28-C120)*9.81)</f>
        <v>73.574999999999974</v>
      </c>
      <c r="H120" s="401">
        <f t="shared" si="0"/>
        <v>458.17500000000013</v>
      </c>
      <c r="I120" s="401">
        <f t="shared" si="72"/>
        <v>334.08750000000009</v>
      </c>
      <c r="J120" s="401">
        <f>IF(E120="Cohesive",(( Pile!$H$25- Pile!$G$25)/20)+J119,0)</f>
        <v>0</v>
      </c>
      <c r="K120" s="401">
        <f>IF(E120="Cohesive",( Pile!$G$25+ Pile!$J120)/2,0)</f>
        <v>0</v>
      </c>
      <c r="L120" s="401" t="str">
        <f>IF( Pile!I$25="",0, Pile!I$25)</f>
        <v>0</v>
      </c>
      <c r="M120" s="401" t="str">
        <f>IF( Pile!J$25="",0, Pile!J$25)</f>
        <v>0</v>
      </c>
      <c r="N120" s="401">
        <f>IF(E120="Granular", Pile!$K$25,0)</f>
        <v>26.092012099198989</v>
      </c>
      <c r="O120" s="416">
        <f>IF(AND(E120="Granular",D120&lt;&gt;"Made Ground"), Pile!$L$25,0)</f>
        <v>0.4545853152382574</v>
      </c>
      <c r="P120" s="401">
        <f>IF(OR(D120="Low Density Chalk",D120="Medium Density Chalk"), Pile!$M$25,0)</f>
        <v>0</v>
      </c>
      <c r="Q120" s="417">
        <f>IF(D120="High Density Chalk", Pile!$N$25,0)</f>
        <v>0</v>
      </c>
      <c r="R120" s="401">
        <f>IF( Pile!O$25="",0, Pile!O$25)</f>
        <v>0</v>
      </c>
      <c r="S120" s="418">
        <f t="shared" si="31"/>
        <v>151.87127150466137</v>
      </c>
      <c r="T120" s="382">
        <f xml:space="preserve"> Pile!$T$25</f>
        <v>1200</v>
      </c>
      <c r="U120" s="382">
        <f t="shared" si="32"/>
        <v>151.87127150466137</v>
      </c>
      <c r="V120" s="382">
        <f t="shared" si="2"/>
        <v>11954.707643550501</v>
      </c>
      <c r="W120" s="382">
        <f xml:space="preserve"> Pile!$V$25</f>
        <v>15000</v>
      </c>
      <c r="X120" s="382">
        <f t="shared" si="33"/>
        <v>11954.707643550501</v>
      </c>
      <c r="Y120" s="419">
        <v>450</v>
      </c>
      <c r="Z120" s="382">
        <f>PI()*Y120/1000*( Pile!$C$25- Pile!$C120)</f>
        <v>23.326325452904207</v>
      </c>
      <c r="AA120" s="382">
        <f t="shared" si="3"/>
        <v>0.15904312808798329</v>
      </c>
      <c r="AB120" s="382">
        <f t="shared" si="34"/>
        <v>3542.5987060641078</v>
      </c>
      <c r="AC120" s="382">
        <f>Z120* Pile!$S$25</f>
        <v>0</v>
      </c>
      <c r="AD120" s="382">
        <f t="shared" si="35"/>
        <v>3542.5987060641078</v>
      </c>
      <c r="AE120" s="382">
        <f>IF(AD120&gt;0,+AD120)/ 'Pile Data and Eurocode Factors'!$B$14/ 'Pile Data and Eurocode Factors'!$B$15+$AE$109</f>
        <v>1733.0065664637896</v>
      </c>
      <c r="AF120" s="382">
        <f t="shared" si="36"/>
        <v>1901.3140990075951</v>
      </c>
      <c r="AG120" s="382">
        <f>AA120* Pile!$U$25</f>
        <v>0</v>
      </c>
      <c r="AH120" s="382">
        <f t="shared" si="4"/>
        <v>1901.3140990075951</v>
      </c>
      <c r="AI120" s="382">
        <f>AH120/ 'Pile Data and Eurocode Factors'!$C$14/ 'Pile Data and Eurocode Factors'!$C$15</f>
        <v>679.04074964556969</v>
      </c>
      <c r="AJ120" s="382">
        <f t="shared" si="5"/>
        <v>2412.0473161093591</v>
      </c>
      <c r="AK120" s="382">
        <f>VLOOKUP(Y120, 'Pile Data and Eurocode Factors'!$A$34:$J$39,3, FALSE)</f>
        <v>2366.1761868507956</v>
      </c>
      <c r="AL120" s="403">
        <f t="shared" si="6"/>
        <v>2366.1761868507956</v>
      </c>
      <c r="AM120" s="419">
        <v>600</v>
      </c>
      <c r="AN120" s="382">
        <f>PI()*AM120/1000*( Pile!$C$25- Pile!$C120)</f>
        <v>31.101767270538947</v>
      </c>
      <c r="AO120" s="382">
        <f t="shared" si="7"/>
        <v>0.28274333882308139</v>
      </c>
      <c r="AP120" s="382">
        <f t="shared" si="54"/>
        <v>4723.4649414188107</v>
      </c>
      <c r="AQ120" s="382">
        <f>AN120* Pile!$S$25</f>
        <v>0</v>
      </c>
      <c r="AR120" s="382">
        <f t="shared" si="59"/>
        <v>4723.4649414188107</v>
      </c>
      <c r="AS120" s="382">
        <f>IF(AR120&gt;0,+AR120)/ 'Pile Data and Eurocode Factors'!$B$14/ 'Pile Data and Eurocode Factors'!$B$15+$AS$109</f>
        <v>2310.6754219517197</v>
      </c>
      <c r="AT120" s="382">
        <f t="shared" si="65"/>
        <v>3380.11395379128</v>
      </c>
      <c r="AU120" s="382">
        <f>AO120* Pile!$U$25</f>
        <v>0</v>
      </c>
      <c r="AV120" s="382">
        <f t="shared" si="8"/>
        <v>3380.11395379128</v>
      </c>
      <c r="AW120" s="382">
        <f>AV120/ 'Pile Data and Eurocode Factors'!$C$14/ 'Pile Data and Eurocode Factors'!$C$15</f>
        <v>1207.1835549254572</v>
      </c>
      <c r="AX120" s="382">
        <f t="shared" si="9"/>
        <v>3517.8589768771772</v>
      </c>
      <c r="AY120" s="382">
        <f>VLOOKUP(AM120, 'Pile Data and Eurocode Factors'!$A$34:$J$39,3, FALSE)</f>
        <v>4206.5354432903041</v>
      </c>
      <c r="AZ120" s="403">
        <f t="shared" si="10"/>
        <v>3517.8589768771772</v>
      </c>
      <c r="BA120" s="419">
        <v>750</v>
      </c>
      <c r="BB120" s="382">
        <f>PI()*BA120/1000*( Pile!$C$25- Pile!$C120)</f>
        <v>38.877209088173679</v>
      </c>
      <c r="BC120" s="382">
        <f t="shared" si="11"/>
        <v>0.44178646691106466</v>
      </c>
      <c r="BD120" s="382">
        <f t="shared" si="55"/>
        <v>5904.3311767735131</v>
      </c>
      <c r="BE120" s="382">
        <f>BB120* Pile!$S$25</f>
        <v>0</v>
      </c>
      <c r="BF120" s="382">
        <f t="shared" si="60"/>
        <v>5904.3311767735131</v>
      </c>
      <c r="BG120" s="382">
        <f>IF(BF120&gt;0,+BF120)/ 'Pile Data and Eurocode Factors'!$B$14/ 'Pile Data and Eurocode Factors'!$B$15+$BG$109</f>
        <v>2888.3442774396494</v>
      </c>
      <c r="BH120" s="382">
        <f t="shared" si="66"/>
        <v>5281.4280527988749</v>
      </c>
      <c r="BI120" s="382">
        <f>BC120* Pile!$U$25</f>
        <v>0</v>
      </c>
      <c r="BJ120" s="382">
        <f t="shared" si="12"/>
        <v>5281.4280527988749</v>
      </c>
      <c r="BK120" s="382">
        <f>BJ120/ 'Pile Data and Eurocode Factors'!$C$14/ 'Pile Data and Eurocode Factors'!$C$15</f>
        <v>1886.2243045710268</v>
      </c>
      <c r="BL120" s="382">
        <f t="shared" si="13"/>
        <v>4774.5685820106764</v>
      </c>
      <c r="BM120" s="382">
        <f>VLOOKUP(BA120, 'Pile Data and Eurocode Factors'!$A$34:$J$39,3, FALSE)</f>
        <v>6572.7116301410997</v>
      </c>
      <c r="BN120" s="403">
        <f t="shared" si="14"/>
        <v>4774.5685820106764</v>
      </c>
      <c r="BO120" s="419">
        <v>900</v>
      </c>
      <c r="BP120" s="382">
        <f>PI()*BO120/1000*( Pile!$C$25- Pile!$C120)</f>
        <v>46.652650905808414</v>
      </c>
      <c r="BQ120" s="382">
        <f t="shared" si="15"/>
        <v>0.63617251235193317</v>
      </c>
      <c r="BR120" s="382">
        <f t="shared" si="56"/>
        <v>7085.1974121282155</v>
      </c>
      <c r="BS120" s="382">
        <f>BP120* Pile!$S$25</f>
        <v>0</v>
      </c>
      <c r="BT120" s="382">
        <f t="shared" si="61"/>
        <v>7085.1974121282155</v>
      </c>
      <c r="BU120" s="382">
        <f>IF(BT120&gt;0,+BT120)/ 'Pile Data and Eurocode Factors'!$B$14/ 'Pile Data and Eurocode Factors'!$B$15+$BU$109</f>
        <v>3466.0131329275791</v>
      </c>
      <c r="BV120" s="382">
        <f t="shared" si="67"/>
        <v>7605.2563960303805</v>
      </c>
      <c r="BW120" s="382">
        <f>BQ120* Pile!$U$25</f>
        <v>0</v>
      </c>
      <c r="BX120" s="382">
        <f t="shared" si="16"/>
        <v>7605.2563960303805</v>
      </c>
      <c r="BY120" s="382">
        <f>BX120/ 'Pile Data and Eurocode Factors'!$C$14/ 'Pile Data and Eurocode Factors'!$C$15</f>
        <v>2716.1629985822788</v>
      </c>
      <c r="BZ120" s="382">
        <f t="shared" si="17"/>
        <v>6182.1761315098574</v>
      </c>
      <c r="CA120" s="382">
        <f>VLOOKUP(BO120, 'Pile Data and Eurocode Factors'!$A$34:$J$39,3, FALSE)</f>
        <v>9464.7047474031824</v>
      </c>
      <c r="CB120" s="403">
        <f t="shared" si="18"/>
        <v>6182.1761315098574</v>
      </c>
      <c r="CC120" s="419">
        <v>1050</v>
      </c>
      <c r="CD120" s="382">
        <f>PI()*CC120/1000*( Pile!$C$25- Pile!$C120)</f>
        <v>54.428092723443157</v>
      </c>
      <c r="CE120" s="382">
        <f t="shared" si="19"/>
        <v>0.86590147514568672</v>
      </c>
      <c r="CF120" s="382">
        <f t="shared" si="57"/>
        <v>8266.0636474829189</v>
      </c>
      <c r="CG120" s="382">
        <f>CD120* Pile!$S$25</f>
        <v>0</v>
      </c>
      <c r="CH120" s="382">
        <f t="shared" si="68"/>
        <v>8266.0636474829189</v>
      </c>
      <c r="CI120" s="382">
        <f>IF(CH120&gt;0,+CH120)/ 'Pile Data and Eurocode Factors'!$B$14/ 'Pile Data and Eurocode Factors'!$B$15+$CI$109</f>
        <v>4043.6819884155097</v>
      </c>
      <c r="CJ120" s="382">
        <f t="shared" si="69"/>
        <v>10351.598983485796</v>
      </c>
      <c r="CK120" s="382">
        <f>CE120* Pile!$U$25</f>
        <v>0</v>
      </c>
      <c r="CL120" s="382">
        <f t="shared" si="20"/>
        <v>10351.598983485796</v>
      </c>
      <c r="CM120" s="382">
        <f>CL120/ 'Pile Data and Eurocode Factors'!$C$14/ 'Pile Data and Eurocode Factors'!$C$15</f>
        <v>3696.9996369592131</v>
      </c>
      <c r="CN120" s="382">
        <f t="shared" si="21"/>
        <v>7740.6816253747229</v>
      </c>
      <c r="CO120" s="382">
        <f>VLOOKUP(CC120, 'Pile Data and Eurocode Factors'!$A$34:$J$39,3, FALSE)</f>
        <v>12882.514795076555</v>
      </c>
      <c r="CP120" s="403">
        <f t="shared" si="22"/>
        <v>7740.6816253747229</v>
      </c>
      <c r="CQ120" s="419">
        <v>1200</v>
      </c>
      <c r="CR120" s="382">
        <f>PI()*CQ120/1000*( Pile!$C$25- Pile!$C120)</f>
        <v>62.203534541077893</v>
      </c>
      <c r="CS120" s="382">
        <f t="shared" si="23"/>
        <v>1.1309733552923256</v>
      </c>
      <c r="CT120" s="382">
        <f t="shared" si="58"/>
        <v>9446.9298828376213</v>
      </c>
      <c r="CU120" s="382">
        <f>CR120* Pile!$S$25</f>
        <v>0</v>
      </c>
      <c r="CV120" s="382">
        <f t="shared" si="70"/>
        <v>9446.9298828376213</v>
      </c>
      <c r="CW120" s="382">
        <f>IF(CV120&gt;0,+CV120)/ 'Pile Data and Eurocode Factors'!$B$14/ 'Pile Data and Eurocode Factors'!$B$15+$CW$109</f>
        <v>4621.3508439034395</v>
      </c>
      <c r="CX120" s="382">
        <f t="shared" si="71"/>
        <v>13520.45581516512</v>
      </c>
      <c r="CY120" s="382">
        <f>CS120* Pile!$U$25</f>
        <v>0</v>
      </c>
      <c r="CZ120" s="382">
        <f t="shared" si="24"/>
        <v>13520.45581516512</v>
      </c>
      <c r="DA120" s="382">
        <f>CZ120/ 'Pile Data and Eurocode Factors'!$C$14/ 'Pile Data and Eurocode Factors'!$C$15</f>
        <v>4828.7342197018288</v>
      </c>
      <c r="DB120" s="382">
        <f t="shared" si="25"/>
        <v>9450.0850636052674</v>
      </c>
      <c r="DC120" s="382">
        <f>VLOOKUP(CQ120, 'Pile Data and Eurocode Factors'!$A$34:$J$39,3, FALSE)</f>
        <v>16826.141773161216</v>
      </c>
      <c r="DD120" s="403">
        <f t="shared" si="26"/>
        <v>9450.0850636052674</v>
      </c>
      <c r="DE120" s="420">
        <f xml:space="preserve"> Pile!$C$23- Pile!C120</f>
        <v>28.499999999999996</v>
      </c>
      <c r="DG120" s="382">
        <f t="shared" si="52"/>
        <v>2366.1761868507956</v>
      </c>
      <c r="DH120" s="382">
        <f t="shared" si="27"/>
        <v>3517.8589768771772</v>
      </c>
      <c r="DI120" s="382">
        <f t="shared" si="28"/>
        <v>4774.5685820106764</v>
      </c>
      <c r="DJ120" s="382">
        <f t="shared" si="29"/>
        <v>6182.1761315098574</v>
      </c>
      <c r="DK120" s="382">
        <f t="shared" si="30"/>
        <v>7740.6816253747229</v>
      </c>
      <c r="DL120" s="382">
        <f t="shared" si="53"/>
        <v>9450.0850636052674</v>
      </c>
    </row>
    <row r="121" spans="1:116" s="308" customFormat="1" ht="15">
      <c r="B121" s="400">
        <v>12</v>
      </c>
      <c r="C121" s="401">
        <f>+C120- Pile!D$25/20</f>
        <v>-23.999999999999996</v>
      </c>
      <c r="D121" s="415" t="str">
        <f>B25</f>
        <v>Medium Sand/Gravel</v>
      </c>
      <c r="E121" s="415" t="str">
        <f>F25</f>
        <v>Granular</v>
      </c>
      <c r="F121" s="401">
        <f xml:space="preserve"> Pile!$E$25*(C120-C121)+F120</f>
        <v>561.00000000000011</v>
      </c>
      <c r="G121" s="401">
        <f>IF(C121&gt; Pile!$C$28,0,( Pile!$C$28-C121)*9.81)</f>
        <v>88.289999999999964</v>
      </c>
      <c r="H121" s="401">
        <f t="shared" si="0"/>
        <v>472.71000000000015</v>
      </c>
      <c r="I121" s="401">
        <f t="shared" si="72"/>
        <v>341.35500000000013</v>
      </c>
      <c r="J121" s="401">
        <f>IF(E121="Cohesive",(( Pile!$H$25- Pile!$G$25)/20)+J120,0)</f>
        <v>0</v>
      </c>
      <c r="K121" s="401">
        <f>IF(E121="Cohesive",( Pile!$G$25+ Pile!$J121)/2,0)</f>
        <v>0</v>
      </c>
      <c r="L121" s="401" t="str">
        <f>IF( Pile!I$25="",0, Pile!I$25)</f>
        <v>0</v>
      </c>
      <c r="M121" s="401" t="str">
        <f>IF( Pile!J$25="",0, Pile!J$25)</f>
        <v>0</v>
      </c>
      <c r="N121" s="401">
        <f>IF(E121="Granular", Pile!$K$25,0)</f>
        <v>26.092012099198989</v>
      </c>
      <c r="O121" s="416">
        <f>IF(AND(E121="Granular",D121&lt;&gt;"Made Ground"), Pile!$L$25,0)</f>
        <v>0.4545853152382574</v>
      </c>
      <c r="P121" s="401">
        <f>IF(OR(D121="Low Density Chalk",D121="Medium Density Chalk"), Pile!$M$25,0)</f>
        <v>0</v>
      </c>
      <c r="Q121" s="417">
        <f>IF(D121="High Density Chalk", Pile!$N$25,0)</f>
        <v>0</v>
      </c>
      <c r="R121" s="401">
        <f>IF( Pile!O$25="",0, Pile!O$25)</f>
        <v>0</v>
      </c>
      <c r="S121" s="418">
        <f t="shared" si="31"/>
        <v>155.1749702831554</v>
      </c>
      <c r="T121" s="382">
        <f xml:space="preserve"> Pile!$T$25</f>
        <v>1200</v>
      </c>
      <c r="U121" s="382">
        <f t="shared" si="32"/>
        <v>155.1749702831554</v>
      </c>
      <c r="V121" s="382">
        <f t="shared" si="2"/>
        <v>12333.955039412358</v>
      </c>
      <c r="W121" s="382">
        <f xml:space="preserve"> Pile!$V$25</f>
        <v>15000</v>
      </c>
      <c r="X121" s="382">
        <f t="shared" si="33"/>
        <v>12333.955039412358</v>
      </c>
      <c r="Y121" s="419">
        <v>450</v>
      </c>
      <c r="Z121" s="382">
        <f>PI()*Y121/1000*( Pile!$C$25- Pile!$C121)</f>
        <v>25.446900494077319</v>
      </c>
      <c r="AA121" s="382">
        <f t="shared" si="3"/>
        <v>0.15904312808798329</v>
      </c>
      <c r="AB121" s="382">
        <f t="shared" si="34"/>
        <v>3948.7220279668604</v>
      </c>
      <c r="AC121" s="382">
        <f>Z121* Pile!$S$25</f>
        <v>0</v>
      </c>
      <c r="AD121" s="382">
        <f t="shared" si="35"/>
        <v>3948.7220279668604</v>
      </c>
      <c r="AE121" s="382">
        <f>IF(AD121&gt;0,+AD121)/ 'Pile Data and Eurocode Factors'!$B$14/ 'Pile Data and Eurocode Factors'!$B$15+$AE$109</f>
        <v>1914.3116208846614</v>
      </c>
      <c r="AF121" s="382">
        <f t="shared" si="36"/>
        <v>1961.6307911646866</v>
      </c>
      <c r="AG121" s="382">
        <f>AA121* Pile!$U$25</f>
        <v>0</v>
      </c>
      <c r="AH121" s="382">
        <f t="shared" si="4"/>
        <v>1961.6307911646866</v>
      </c>
      <c r="AI121" s="382">
        <f>AH121/ 'Pile Data and Eurocode Factors'!$C$14/ 'Pile Data and Eurocode Factors'!$C$15</f>
        <v>700.58242541595951</v>
      </c>
      <c r="AJ121" s="382">
        <f t="shared" si="5"/>
        <v>2614.8940463006211</v>
      </c>
      <c r="AK121" s="382">
        <f>VLOOKUP(Y121, 'Pile Data and Eurocode Factors'!$A$34:$J$39,3, FALSE)</f>
        <v>2366.1761868507956</v>
      </c>
      <c r="AL121" s="403">
        <f t="shared" si="6"/>
        <v>2366.1761868507956</v>
      </c>
      <c r="AM121" s="419">
        <v>600</v>
      </c>
      <c r="AN121" s="382">
        <f>PI()*AM121/1000*( Pile!$C$25- Pile!$C121)</f>
        <v>33.929200658769759</v>
      </c>
      <c r="AO121" s="382">
        <f t="shared" si="7"/>
        <v>0.28274333882308139</v>
      </c>
      <c r="AP121" s="382">
        <f t="shared" si="54"/>
        <v>5264.9627039558136</v>
      </c>
      <c r="AQ121" s="382">
        <f>AN121* Pile!$S$25</f>
        <v>0</v>
      </c>
      <c r="AR121" s="382">
        <f t="shared" si="59"/>
        <v>5264.9627039558136</v>
      </c>
      <c r="AS121" s="382">
        <f>IF(AR121&gt;0,+AR121)/ 'Pile Data and Eurocode Factors'!$B$14/ 'Pile Data and Eurocode Factors'!$B$15+$AS$109</f>
        <v>2552.4154945128821</v>
      </c>
      <c r="AT121" s="382">
        <f t="shared" si="65"/>
        <v>3487.3436287372206</v>
      </c>
      <c r="AU121" s="382">
        <f>AO121* Pile!$U$25</f>
        <v>0</v>
      </c>
      <c r="AV121" s="382">
        <f t="shared" si="8"/>
        <v>3487.3436287372206</v>
      </c>
      <c r="AW121" s="382">
        <f>AV121/ 'Pile Data and Eurocode Factors'!$C$14/ 'Pile Data and Eurocode Factors'!$C$15</f>
        <v>1245.4798674061503</v>
      </c>
      <c r="AX121" s="382">
        <f t="shared" si="9"/>
        <v>3797.8953619190324</v>
      </c>
      <c r="AY121" s="382">
        <f>VLOOKUP(AM121, 'Pile Data and Eurocode Factors'!$A$34:$J$39,3, FALSE)</f>
        <v>4206.5354432903041</v>
      </c>
      <c r="AZ121" s="403">
        <f t="shared" si="10"/>
        <v>3797.8953619190324</v>
      </c>
      <c r="BA121" s="419">
        <v>750</v>
      </c>
      <c r="BB121" s="382">
        <f>PI()*BA121/1000*( Pile!$C$25- Pile!$C121)</f>
        <v>42.411500823462198</v>
      </c>
      <c r="BC121" s="382">
        <f t="shared" si="11"/>
        <v>0.44178646691106466</v>
      </c>
      <c r="BD121" s="382">
        <f t="shared" si="55"/>
        <v>6581.2033799447672</v>
      </c>
      <c r="BE121" s="382">
        <f>BB121* Pile!$S$25</f>
        <v>0</v>
      </c>
      <c r="BF121" s="382">
        <f t="shared" si="60"/>
        <v>6581.2033799447672</v>
      </c>
      <c r="BG121" s="382">
        <f>IF(BF121&gt;0,+BF121)/ 'Pile Data and Eurocode Factors'!$B$14/ 'Pile Data and Eurocode Factors'!$B$15+$BG$109</f>
        <v>3190.5193681411024</v>
      </c>
      <c r="BH121" s="382">
        <f t="shared" si="66"/>
        <v>5448.9744199019069</v>
      </c>
      <c r="BI121" s="382">
        <f>BC121* Pile!$U$25</f>
        <v>0</v>
      </c>
      <c r="BJ121" s="382">
        <f t="shared" si="12"/>
        <v>5448.9744199019069</v>
      </c>
      <c r="BK121" s="382">
        <f>BJ121/ 'Pile Data and Eurocode Factors'!$C$14/ 'Pile Data and Eurocode Factors'!$C$15</f>
        <v>1946.0622928221098</v>
      </c>
      <c r="BL121" s="382">
        <f t="shared" si="13"/>
        <v>5136.581660963212</v>
      </c>
      <c r="BM121" s="382">
        <f>VLOOKUP(BA121, 'Pile Data and Eurocode Factors'!$A$34:$J$39,3, FALSE)</f>
        <v>6572.7116301410997</v>
      </c>
      <c r="BN121" s="403">
        <f t="shared" si="14"/>
        <v>5136.581660963212</v>
      </c>
      <c r="BO121" s="419">
        <v>900</v>
      </c>
      <c r="BP121" s="382">
        <f>PI()*BO121/1000*( Pile!$C$25- Pile!$C121)</f>
        <v>50.893800988154638</v>
      </c>
      <c r="BQ121" s="382">
        <f t="shared" si="15"/>
        <v>0.63617251235193317</v>
      </c>
      <c r="BR121" s="382">
        <f t="shared" si="56"/>
        <v>7897.4440559337208</v>
      </c>
      <c r="BS121" s="382">
        <f>BP121* Pile!$S$25</f>
        <v>0</v>
      </c>
      <c r="BT121" s="382">
        <f t="shared" si="61"/>
        <v>7897.4440559337208</v>
      </c>
      <c r="BU121" s="382">
        <f>IF(BT121&gt;0,+BT121)/ 'Pile Data and Eurocode Factors'!$B$14/ 'Pile Data and Eurocode Factors'!$B$15+$BU$109</f>
        <v>3828.6232417693227</v>
      </c>
      <c r="BV121" s="382">
        <f t="shared" si="67"/>
        <v>7846.5231646587463</v>
      </c>
      <c r="BW121" s="382">
        <f>BQ121* Pile!$U$25</f>
        <v>0</v>
      </c>
      <c r="BX121" s="382">
        <f t="shared" si="16"/>
        <v>7846.5231646587463</v>
      </c>
      <c r="BY121" s="382">
        <f>BX121/ 'Pile Data and Eurocode Factors'!$C$14/ 'Pile Data and Eurocode Factors'!$C$15</f>
        <v>2802.329701663838</v>
      </c>
      <c r="BZ121" s="382">
        <f t="shared" si="17"/>
        <v>6630.9529434331607</v>
      </c>
      <c r="CA121" s="382">
        <f>VLOOKUP(BO121, 'Pile Data and Eurocode Factors'!$A$34:$J$39,3, FALSE)</f>
        <v>9464.7047474031824</v>
      </c>
      <c r="CB121" s="403">
        <f t="shared" si="18"/>
        <v>6630.9529434331607</v>
      </c>
      <c r="CC121" s="419">
        <v>1050</v>
      </c>
      <c r="CD121" s="382">
        <f>PI()*CC121/1000*( Pile!$C$25- Pile!$C121)</f>
        <v>59.376101152847077</v>
      </c>
      <c r="CE121" s="382">
        <f t="shared" si="19"/>
        <v>0.86590147514568672</v>
      </c>
      <c r="CF121" s="382">
        <f t="shared" si="57"/>
        <v>9213.6847319226745</v>
      </c>
      <c r="CG121" s="382">
        <f>CD121* Pile!$S$25</f>
        <v>0</v>
      </c>
      <c r="CH121" s="382">
        <f t="shared" si="68"/>
        <v>9213.6847319226745</v>
      </c>
      <c r="CI121" s="382">
        <f>IF(CH121&gt;0,+CH121)/ 'Pile Data and Eurocode Factors'!$B$14/ 'Pile Data and Eurocode Factors'!$B$15+$CI$109</f>
        <v>4466.7271153975425</v>
      </c>
      <c r="CJ121" s="382">
        <f t="shared" si="69"/>
        <v>10679.989863007737</v>
      </c>
      <c r="CK121" s="382">
        <f>CE121* Pile!$U$25</f>
        <v>0</v>
      </c>
      <c r="CL121" s="382">
        <f t="shared" si="20"/>
        <v>10679.989863007737</v>
      </c>
      <c r="CM121" s="382">
        <f>CL121/ 'Pile Data and Eurocode Factors'!$C$14/ 'Pile Data and Eurocode Factors'!$C$15</f>
        <v>3814.2820939313347</v>
      </c>
      <c r="CN121" s="382">
        <f t="shared" si="21"/>
        <v>8281.0092093288768</v>
      </c>
      <c r="CO121" s="382">
        <f>VLOOKUP(CC121, 'Pile Data and Eurocode Factors'!$A$34:$J$39,3, FALSE)</f>
        <v>12882.514795076555</v>
      </c>
      <c r="CP121" s="403">
        <f t="shared" si="22"/>
        <v>8281.0092093288768</v>
      </c>
      <c r="CQ121" s="419">
        <v>1200</v>
      </c>
      <c r="CR121" s="382">
        <f>PI()*CQ121/1000*( Pile!$C$25- Pile!$C121)</f>
        <v>67.858401317539517</v>
      </c>
      <c r="CS121" s="382">
        <f t="shared" si="23"/>
        <v>1.1309733552923256</v>
      </c>
      <c r="CT121" s="382">
        <f t="shared" si="58"/>
        <v>10529.925407911627</v>
      </c>
      <c r="CU121" s="382">
        <f>CR121* Pile!$S$25</f>
        <v>0</v>
      </c>
      <c r="CV121" s="382">
        <f t="shared" si="70"/>
        <v>10529.925407911627</v>
      </c>
      <c r="CW121" s="382">
        <f>IF(CV121&gt;0,+CV121)/ 'Pile Data and Eurocode Factors'!$B$14/ 'Pile Data and Eurocode Factors'!$B$15+$CW$109</f>
        <v>5104.8309890257642</v>
      </c>
      <c r="CX121" s="382">
        <f t="shared" si="71"/>
        <v>13949.374514948882</v>
      </c>
      <c r="CY121" s="382">
        <f>CS121* Pile!$U$25</f>
        <v>0</v>
      </c>
      <c r="CZ121" s="382">
        <f t="shared" si="24"/>
        <v>13949.374514948882</v>
      </c>
      <c r="DA121" s="382">
        <f>CZ121/ 'Pile Data and Eurocode Factors'!$C$14/ 'Pile Data and Eurocode Factors'!$C$15</f>
        <v>4981.9194696246013</v>
      </c>
      <c r="DB121" s="382">
        <f t="shared" si="25"/>
        <v>10086.750458650366</v>
      </c>
      <c r="DC121" s="382">
        <f>VLOOKUP(CQ121, 'Pile Data and Eurocode Factors'!$A$34:$J$39,3, FALSE)</f>
        <v>16826.141773161216</v>
      </c>
      <c r="DD121" s="403">
        <f t="shared" si="26"/>
        <v>10086.750458650366</v>
      </c>
      <c r="DE121" s="420">
        <f xml:space="preserve"> Pile!$C$23- Pile!C121</f>
        <v>29.999999999999996</v>
      </c>
      <c r="DG121" s="382">
        <f t="shared" si="52"/>
        <v>2366.1761868507956</v>
      </c>
      <c r="DH121" s="382">
        <f t="shared" si="27"/>
        <v>3797.8953619190324</v>
      </c>
      <c r="DI121" s="382">
        <f t="shared" si="28"/>
        <v>5136.581660963212</v>
      </c>
      <c r="DJ121" s="382">
        <f t="shared" si="29"/>
        <v>6630.9529434331607</v>
      </c>
      <c r="DK121" s="382">
        <f t="shared" si="30"/>
        <v>8281.0092093288768</v>
      </c>
      <c r="DL121" s="382">
        <f t="shared" si="53"/>
        <v>10086.750458650366</v>
      </c>
    </row>
    <row r="122" spans="1:116" s="308" customFormat="1" ht="15">
      <c r="B122" s="400">
        <v>13</v>
      </c>
      <c r="C122" s="401">
        <f>+C121- Pile!D$25/20</f>
        <v>-25.499999999999996</v>
      </c>
      <c r="D122" s="415" t="str">
        <f>B25</f>
        <v>Medium Sand/Gravel</v>
      </c>
      <c r="E122" s="415" t="str">
        <f>F25</f>
        <v>Granular</v>
      </c>
      <c r="F122" s="401">
        <f xml:space="preserve"> Pile!$E$25*(C121-C122)+F121</f>
        <v>590.25000000000011</v>
      </c>
      <c r="G122" s="401">
        <f>IF(C122&gt; Pile!$C$28,0,( Pile!$C$28-C122)*9.81)</f>
        <v>103.00499999999997</v>
      </c>
      <c r="H122" s="401">
        <f t="shared" si="0"/>
        <v>487.24500000000012</v>
      </c>
      <c r="I122" s="401">
        <f t="shared" si="72"/>
        <v>348.62250000000012</v>
      </c>
      <c r="J122" s="401">
        <f>IF(E122="Cohesive",(( Pile!$H$25- Pile!$G$25)/20)+J121,0)</f>
        <v>0</v>
      </c>
      <c r="K122" s="401">
        <f>IF(E122="Cohesive",( Pile!$G$25+ Pile!$J122)/2,0)</f>
        <v>0</v>
      </c>
      <c r="L122" s="401" t="str">
        <f>IF( Pile!I$25="",0, Pile!I$25)</f>
        <v>0</v>
      </c>
      <c r="M122" s="401" t="str">
        <f>IF( Pile!J$25="",0, Pile!J$25)</f>
        <v>0</v>
      </c>
      <c r="N122" s="401">
        <f>IF(E122="Granular", Pile!$K$25,0)</f>
        <v>26.092012099198989</v>
      </c>
      <c r="O122" s="416">
        <f>IF(AND(E122="Granular",D122&lt;&gt;"Made Ground"), Pile!$L$25,0)</f>
        <v>0.4545853152382574</v>
      </c>
      <c r="P122" s="401">
        <f>IF(OR(D122="Low Density Chalk",D122="Medium Density Chalk"), Pile!$M$25,0)</f>
        <v>0</v>
      </c>
      <c r="Q122" s="417">
        <f>IF(D122="High Density Chalk", Pile!$N$25,0)</f>
        <v>0</v>
      </c>
      <c r="R122" s="401">
        <f>IF( Pile!O$25="",0, Pile!O$25)</f>
        <v>0</v>
      </c>
      <c r="S122" s="418">
        <f t="shared" si="31"/>
        <v>158.47866906164944</v>
      </c>
      <c r="T122" s="382">
        <f xml:space="preserve"> Pile!$T$25</f>
        <v>1200</v>
      </c>
      <c r="U122" s="382">
        <f t="shared" si="32"/>
        <v>158.47866906164944</v>
      </c>
      <c r="V122" s="382">
        <f t="shared" si="2"/>
        <v>12713.202435274214</v>
      </c>
      <c r="W122" s="382">
        <f xml:space="preserve"> Pile!$V$25</f>
        <v>15000</v>
      </c>
      <c r="X122" s="382">
        <f t="shared" si="33"/>
        <v>12713.202435274214</v>
      </c>
      <c r="Y122" s="419">
        <v>450</v>
      </c>
      <c r="Z122" s="382">
        <f>PI()*Y122/1000*( Pile!$C$25- Pile!$C122)</f>
        <v>27.567475535250431</v>
      </c>
      <c r="AA122" s="382">
        <f t="shared" si="3"/>
        <v>0.15904312808798329</v>
      </c>
      <c r="AB122" s="382">
        <f t="shared" si="34"/>
        <v>4368.85683221607</v>
      </c>
      <c r="AC122" s="382">
        <f>Z122* Pile!$S$25</f>
        <v>0</v>
      </c>
      <c r="AD122" s="382">
        <f t="shared" si="35"/>
        <v>4368.85683221607</v>
      </c>
      <c r="AE122" s="382">
        <f>IF(AD122&gt;0,+AD122)/ 'Pile Data and Eurocode Factors'!$B$14/ 'Pile Data and Eurocode Factors'!$B$15+$AE$109</f>
        <v>2101.8718013530583</v>
      </c>
      <c r="AF122" s="382">
        <f t="shared" si="36"/>
        <v>2021.947483321778</v>
      </c>
      <c r="AG122" s="382">
        <f>AA122* Pile!$U$25</f>
        <v>0</v>
      </c>
      <c r="AH122" s="382">
        <f t="shared" si="4"/>
        <v>2021.947483321778</v>
      </c>
      <c r="AI122" s="382">
        <f>AH122/ 'Pile Data and Eurocode Factors'!$C$14/ 'Pile Data and Eurocode Factors'!$C$15</f>
        <v>722.12410118634932</v>
      </c>
      <c r="AJ122" s="382">
        <f t="shared" si="5"/>
        <v>2823.9959025394078</v>
      </c>
      <c r="AK122" s="382">
        <f>VLOOKUP(Y122, 'Pile Data and Eurocode Factors'!$A$34:$J$39,3, FALSE)</f>
        <v>2366.1761868507956</v>
      </c>
      <c r="AL122" s="403">
        <f t="shared" si="6"/>
        <v>2366.1761868507956</v>
      </c>
      <c r="AM122" s="419">
        <v>600</v>
      </c>
      <c r="AN122" s="382">
        <f>PI()*AM122/1000*( Pile!$C$25- Pile!$C122)</f>
        <v>36.756634047000574</v>
      </c>
      <c r="AO122" s="382">
        <f t="shared" si="7"/>
        <v>0.28274333882308139</v>
      </c>
      <c r="AP122" s="382">
        <f t="shared" si="54"/>
        <v>5825.1424429547606</v>
      </c>
      <c r="AQ122" s="382">
        <f>AN122* Pile!$S$25</f>
        <v>0</v>
      </c>
      <c r="AR122" s="382">
        <f t="shared" si="59"/>
        <v>5825.1424429547606</v>
      </c>
      <c r="AS122" s="382">
        <f>IF(AR122&gt;0,+AR122)/ 'Pile Data and Eurocode Factors'!$B$14/ 'Pile Data and Eurocode Factors'!$B$15+$AS$109</f>
        <v>2802.4957351374114</v>
      </c>
      <c r="AT122" s="382">
        <f t="shared" si="65"/>
        <v>3594.5733036831607</v>
      </c>
      <c r="AU122" s="382">
        <f>AO122* Pile!$U$25</f>
        <v>0</v>
      </c>
      <c r="AV122" s="382">
        <f t="shared" si="8"/>
        <v>3594.5733036831607</v>
      </c>
      <c r="AW122" s="382">
        <f>AV122/ 'Pile Data and Eurocode Factors'!$C$14/ 'Pile Data and Eurocode Factors'!$C$15</f>
        <v>1283.7761798868432</v>
      </c>
      <c r="AX122" s="382">
        <f t="shared" si="9"/>
        <v>4086.2719150242547</v>
      </c>
      <c r="AY122" s="382">
        <f>VLOOKUP(AM122, 'Pile Data and Eurocode Factors'!$A$34:$J$39,3, FALSE)</f>
        <v>4206.5354432903041</v>
      </c>
      <c r="AZ122" s="403">
        <f t="shared" si="10"/>
        <v>4086.2719150242547</v>
      </c>
      <c r="BA122" s="419">
        <v>750</v>
      </c>
      <c r="BB122" s="382">
        <f>PI()*BA122/1000*( Pile!$C$25- Pile!$C122)</f>
        <v>45.945792558750718</v>
      </c>
      <c r="BC122" s="382">
        <f t="shared" si="11"/>
        <v>0.44178646691106466</v>
      </c>
      <c r="BD122" s="382">
        <f t="shared" si="55"/>
        <v>7281.4280536934502</v>
      </c>
      <c r="BE122" s="382">
        <f>BB122* Pile!$S$25</f>
        <v>0</v>
      </c>
      <c r="BF122" s="382">
        <f t="shared" si="60"/>
        <v>7281.4280536934502</v>
      </c>
      <c r="BG122" s="382">
        <f>IF(BF122&gt;0,+BF122)/ 'Pile Data and Eurocode Factors'!$B$14/ 'Pile Data and Eurocode Factors'!$B$15+$BG$109</f>
        <v>3503.1196689217645</v>
      </c>
      <c r="BH122" s="382">
        <f t="shared" si="66"/>
        <v>5616.520787004938</v>
      </c>
      <c r="BI122" s="382">
        <f>BC122* Pile!$U$25</f>
        <v>0</v>
      </c>
      <c r="BJ122" s="382">
        <f t="shared" si="12"/>
        <v>5616.520787004938</v>
      </c>
      <c r="BK122" s="382">
        <f>BJ122/ 'Pile Data and Eurocode Factors'!$C$14/ 'Pile Data and Eurocode Factors'!$C$15</f>
        <v>2005.9002810731922</v>
      </c>
      <c r="BL122" s="382">
        <f t="shared" si="13"/>
        <v>5509.0199499949567</v>
      </c>
      <c r="BM122" s="382">
        <f>VLOOKUP(BA122, 'Pile Data and Eurocode Factors'!$A$34:$J$39,3, FALSE)</f>
        <v>6572.7116301410997</v>
      </c>
      <c r="BN122" s="403">
        <f t="shared" si="14"/>
        <v>5509.0199499949567</v>
      </c>
      <c r="BO122" s="419">
        <v>900</v>
      </c>
      <c r="BP122" s="382">
        <f>PI()*BO122/1000*( Pile!$C$25- Pile!$C122)</f>
        <v>55.134951070500861</v>
      </c>
      <c r="BQ122" s="382">
        <f t="shared" si="15"/>
        <v>0.63617251235193317</v>
      </c>
      <c r="BR122" s="382">
        <f t="shared" si="56"/>
        <v>8737.7136644321399</v>
      </c>
      <c r="BS122" s="382">
        <f>BP122* Pile!$S$25</f>
        <v>0</v>
      </c>
      <c r="BT122" s="382">
        <f t="shared" si="61"/>
        <v>8737.7136644321399</v>
      </c>
      <c r="BU122" s="382">
        <f>IF(BT122&gt;0,+BT122)/ 'Pile Data and Eurocode Factors'!$B$14/ 'Pile Data and Eurocode Factors'!$B$15+$BU$109</f>
        <v>4203.7436027061167</v>
      </c>
      <c r="BV122" s="382">
        <f t="shared" si="67"/>
        <v>8087.789933287112</v>
      </c>
      <c r="BW122" s="382">
        <f>BQ122* Pile!$U$25</f>
        <v>0</v>
      </c>
      <c r="BX122" s="382">
        <f t="shared" si="16"/>
        <v>8087.789933287112</v>
      </c>
      <c r="BY122" s="382">
        <f>BX122/ 'Pile Data and Eurocode Factors'!$C$14/ 'Pile Data and Eurocode Factors'!$C$15</f>
        <v>2888.4964047453973</v>
      </c>
      <c r="BZ122" s="382">
        <f t="shared" si="17"/>
        <v>7092.2400074515135</v>
      </c>
      <c r="CA122" s="382">
        <f>VLOOKUP(BO122, 'Pile Data and Eurocode Factors'!$A$34:$J$39,3, FALSE)</f>
        <v>9464.7047474031824</v>
      </c>
      <c r="CB122" s="403">
        <f t="shared" si="18"/>
        <v>7092.2400074515135</v>
      </c>
      <c r="CC122" s="419">
        <v>1050</v>
      </c>
      <c r="CD122" s="382">
        <f>PI()*CC122/1000*( Pile!$C$25- Pile!$C122)</f>
        <v>64.324109582250998</v>
      </c>
      <c r="CE122" s="382">
        <f t="shared" si="19"/>
        <v>0.86590147514568672</v>
      </c>
      <c r="CF122" s="382">
        <f t="shared" si="57"/>
        <v>10193.999275170829</v>
      </c>
      <c r="CG122" s="382">
        <f>CD122* Pile!$S$25</f>
        <v>0</v>
      </c>
      <c r="CH122" s="382">
        <f t="shared" si="68"/>
        <v>10193.999275170829</v>
      </c>
      <c r="CI122" s="382">
        <f>IF(CH122&gt;0,+CH122)/ 'Pile Data and Eurocode Factors'!$B$14/ 'Pile Data and Eurocode Factors'!$B$15+$CI$109</f>
        <v>4904.3675364904684</v>
      </c>
      <c r="CJ122" s="382">
        <f t="shared" si="69"/>
        <v>11008.380742529678</v>
      </c>
      <c r="CK122" s="382">
        <f>CE122* Pile!$U$25</f>
        <v>0</v>
      </c>
      <c r="CL122" s="382">
        <f t="shared" si="20"/>
        <v>11008.380742529678</v>
      </c>
      <c r="CM122" s="382">
        <f>CL122/ 'Pile Data and Eurocode Factors'!$C$14/ 'Pile Data and Eurocode Factors'!$C$15</f>
        <v>3931.5645509034566</v>
      </c>
      <c r="CN122" s="382">
        <f t="shared" si="21"/>
        <v>8835.932087393925</v>
      </c>
      <c r="CO122" s="382">
        <f>VLOOKUP(CC122, 'Pile Data and Eurocode Factors'!$A$34:$J$39,3, FALSE)</f>
        <v>12882.514795076555</v>
      </c>
      <c r="CP122" s="403">
        <f t="shared" si="22"/>
        <v>8835.932087393925</v>
      </c>
      <c r="CQ122" s="419">
        <v>1200</v>
      </c>
      <c r="CR122" s="382">
        <f>PI()*CQ122/1000*( Pile!$C$25- Pile!$C122)</f>
        <v>73.513268094001148</v>
      </c>
      <c r="CS122" s="382">
        <f t="shared" si="23"/>
        <v>1.1309733552923256</v>
      </c>
      <c r="CT122" s="382">
        <f t="shared" si="58"/>
        <v>11650.284885909521</v>
      </c>
      <c r="CU122" s="382">
        <f>CR122* Pile!$S$25</f>
        <v>0</v>
      </c>
      <c r="CV122" s="382">
        <f t="shared" si="70"/>
        <v>11650.284885909521</v>
      </c>
      <c r="CW122" s="382">
        <f>IF(CV122&gt;0,+CV122)/ 'Pile Data and Eurocode Factors'!$B$14/ 'Pile Data and Eurocode Factors'!$B$15+$CW$109</f>
        <v>5604.9914702748229</v>
      </c>
      <c r="CX122" s="382">
        <f t="shared" si="71"/>
        <v>14378.293214732643</v>
      </c>
      <c r="CY122" s="382">
        <f>CS122* Pile!$U$25</f>
        <v>0</v>
      </c>
      <c r="CZ122" s="382">
        <f t="shared" si="24"/>
        <v>14378.293214732643</v>
      </c>
      <c r="DA122" s="382">
        <f>CZ122/ 'Pile Data and Eurocode Factors'!$C$14/ 'Pile Data and Eurocode Factors'!$C$15</f>
        <v>5135.104719547373</v>
      </c>
      <c r="DB122" s="382">
        <f t="shared" si="25"/>
        <v>10740.096189822196</v>
      </c>
      <c r="DC122" s="382">
        <f>VLOOKUP(CQ122, 'Pile Data and Eurocode Factors'!$A$34:$J$39,3, FALSE)</f>
        <v>16826.141773161216</v>
      </c>
      <c r="DD122" s="403">
        <f t="shared" si="26"/>
        <v>10740.096189822196</v>
      </c>
      <c r="DE122" s="420">
        <f xml:space="preserve"> Pile!$C$23- Pile!C122</f>
        <v>31.499999999999996</v>
      </c>
      <c r="DG122" s="382">
        <f t="shared" si="52"/>
        <v>2366.1761868507956</v>
      </c>
      <c r="DH122" s="382">
        <f t="shared" si="27"/>
        <v>4086.2719150242547</v>
      </c>
      <c r="DI122" s="382">
        <f t="shared" si="28"/>
        <v>5509.0199499949567</v>
      </c>
      <c r="DJ122" s="382">
        <f t="shared" si="29"/>
        <v>7092.2400074515135</v>
      </c>
      <c r="DK122" s="382">
        <f t="shared" si="30"/>
        <v>8835.932087393925</v>
      </c>
      <c r="DL122" s="382">
        <f t="shared" si="53"/>
        <v>10740.096189822196</v>
      </c>
    </row>
    <row r="123" spans="1:116" s="308" customFormat="1" ht="15">
      <c r="B123" s="400">
        <v>14</v>
      </c>
      <c r="C123" s="401">
        <f>+C122- Pile!D$25/20</f>
        <v>-26.999999999999996</v>
      </c>
      <c r="D123" s="415" t="str">
        <f>B25</f>
        <v>Medium Sand/Gravel</v>
      </c>
      <c r="E123" s="415" t="str">
        <f>F25</f>
        <v>Granular</v>
      </c>
      <c r="F123" s="401">
        <f xml:space="preserve"> Pile!$E$25*(C122-C123)+F122</f>
        <v>619.50000000000011</v>
      </c>
      <c r="G123" s="401">
        <f>IF(C123&gt; Pile!$C$28,0,( Pile!$C$28-C123)*9.81)</f>
        <v>117.71999999999997</v>
      </c>
      <c r="H123" s="401">
        <f t="shared" si="0"/>
        <v>501.78000000000014</v>
      </c>
      <c r="I123" s="401">
        <f t="shared" si="72"/>
        <v>355.8900000000001</v>
      </c>
      <c r="J123" s="401">
        <f>IF(E123="Cohesive",(( Pile!$H$25- Pile!$G$25)/20)+J122,0)</f>
        <v>0</v>
      </c>
      <c r="K123" s="401">
        <f>IF(E123="Cohesive",( Pile!$G$25+ Pile!$J123)/2,0)</f>
        <v>0</v>
      </c>
      <c r="L123" s="401" t="str">
        <f>IF( Pile!I$25="",0, Pile!I$25)</f>
        <v>0</v>
      </c>
      <c r="M123" s="401" t="str">
        <f>IF( Pile!J$25="",0, Pile!J$25)</f>
        <v>0</v>
      </c>
      <c r="N123" s="401">
        <f>IF(E123="Granular", Pile!$K$25,0)</f>
        <v>26.092012099198989</v>
      </c>
      <c r="O123" s="416">
        <f>IF(AND(E123="Granular",D123&lt;&gt;"Made Ground"), Pile!$L$25,0)</f>
        <v>0.4545853152382574</v>
      </c>
      <c r="P123" s="401">
        <f>IF(OR(D123="Low Density Chalk",D123="Medium Density Chalk"), Pile!$M$25,0)</f>
        <v>0</v>
      </c>
      <c r="Q123" s="417">
        <f>IF(D123="High Density Chalk", Pile!$N$25,0)</f>
        <v>0</v>
      </c>
      <c r="R123" s="401">
        <f>IF( Pile!O$25="",0, Pile!O$25)</f>
        <v>0</v>
      </c>
      <c r="S123" s="418">
        <f t="shared" si="31"/>
        <v>161.78236784014348</v>
      </c>
      <c r="T123" s="382">
        <f xml:space="preserve"> Pile!$T$25</f>
        <v>1200</v>
      </c>
      <c r="U123" s="382">
        <f t="shared" si="32"/>
        <v>161.78236784014348</v>
      </c>
      <c r="V123" s="382">
        <f t="shared" si="2"/>
        <v>13092.449831136073</v>
      </c>
      <c r="W123" s="382">
        <f xml:space="preserve"> Pile!$V$25</f>
        <v>15000</v>
      </c>
      <c r="X123" s="382">
        <f t="shared" si="33"/>
        <v>13092.449831136073</v>
      </c>
      <c r="Y123" s="419">
        <v>450</v>
      </c>
      <c r="Z123" s="382">
        <f>PI()*Y123/1000*( Pile!$C$25- Pile!$C123)</f>
        <v>29.688050576423539</v>
      </c>
      <c r="AA123" s="382">
        <f t="shared" si="3"/>
        <v>0.15904312808798329</v>
      </c>
      <c r="AB123" s="382">
        <f t="shared" si="34"/>
        <v>4803.0031188117364</v>
      </c>
      <c r="AC123" s="382">
        <f>Z123* Pile!$S$25</f>
        <v>0</v>
      </c>
      <c r="AD123" s="382">
        <f t="shared" si="35"/>
        <v>4803.0031188117364</v>
      </c>
      <c r="AE123" s="382">
        <f>IF(AD123&gt;0,+AD123)/ 'Pile Data and Eurocode Factors'!$B$14/ 'Pile Data and Eurocode Factors'!$B$15+$AE$109</f>
        <v>2295.687107868981</v>
      </c>
      <c r="AF123" s="382">
        <f t="shared" si="36"/>
        <v>2082.2641754788697</v>
      </c>
      <c r="AG123" s="382">
        <f>AA123* Pile!$U$25</f>
        <v>0</v>
      </c>
      <c r="AH123" s="382">
        <f t="shared" si="4"/>
        <v>2082.2641754788697</v>
      </c>
      <c r="AI123" s="382">
        <f>AH123/ 'Pile Data and Eurocode Factors'!$C$14/ 'Pile Data and Eurocode Factors'!$C$15</f>
        <v>743.66577695673925</v>
      </c>
      <c r="AJ123" s="382">
        <f t="shared" si="5"/>
        <v>3039.3528848257201</v>
      </c>
      <c r="AK123" s="382">
        <f>VLOOKUP(Y123, 'Pile Data and Eurocode Factors'!$A$34:$J$39,3, FALSE)</f>
        <v>2366.1761868507956</v>
      </c>
      <c r="AL123" s="403">
        <f t="shared" si="6"/>
        <v>2366.1761868507956</v>
      </c>
      <c r="AM123" s="419">
        <v>600</v>
      </c>
      <c r="AN123" s="382">
        <f>PI()*AM123/1000*( Pile!$C$25- Pile!$C123)</f>
        <v>39.58406743523139</v>
      </c>
      <c r="AO123" s="382">
        <f t="shared" si="7"/>
        <v>0.28274333882308139</v>
      </c>
      <c r="AP123" s="382">
        <f t="shared" si="54"/>
        <v>6404.0041584156497</v>
      </c>
      <c r="AQ123" s="382">
        <f>AN123* Pile!$S$25</f>
        <v>0</v>
      </c>
      <c r="AR123" s="382">
        <f t="shared" si="59"/>
        <v>6404.0041584156497</v>
      </c>
      <c r="AS123" s="382">
        <f>IF(AR123&gt;0,+AR123)/ 'Pile Data and Eurocode Factors'!$B$14/ 'Pile Data and Eurocode Factors'!$B$15+$AS$109</f>
        <v>3060.9161438253086</v>
      </c>
      <c r="AT123" s="382">
        <f t="shared" si="65"/>
        <v>3701.8029786291013</v>
      </c>
      <c r="AU123" s="382">
        <f>AO123* Pile!$U$25</f>
        <v>0</v>
      </c>
      <c r="AV123" s="382">
        <f t="shared" si="8"/>
        <v>3701.8029786291013</v>
      </c>
      <c r="AW123" s="382">
        <f>AV123/ 'Pile Data and Eurocode Factors'!$C$14/ 'Pile Data and Eurocode Factors'!$C$15</f>
        <v>1322.0724923675364</v>
      </c>
      <c r="AX123" s="382">
        <f t="shared" si="9"/>
        <v>4382.9886361928448</v>
      </c>
      <c r="AY123" s="382">
        <f>VLOOKUP(AM123, 'Pile Data and Eurocode Factors'!$A$34:$J$39,3, FALSE)</f>
        <v>4206.5354432903041</v>
      </c>
      <c r="AZ123" s="403">
        <f t="shared" si="10"/>
        <v>4206.5354432903041</v>
      </c>
      <c r="BA123" s="419">
        <v>750</v>
      </c>
      <c r="BB123" s="382">
        <f>PI()*BA123/1000*( Pile!$C$25- Pile!$C123)</f>
        <v>49.48008429403923</v>
      </c>
      <c r="BC123" s="382">
        <f t="shared" si="11"/>
        <v>0.44178646691106466</v>
      </c>
      <c r="BD123" s="382">
        <f t="shared" si="55"/>
        <v>8005.0051980195603</v>
      </c>
      <c r="BE123" s="382">
        <f>BB123* Pile!$S$25</f>
        <v>0</v>
      </c>
      <c r="BF123" s="382">
        <f t="shared" si="60"/>
        <v>8005.0051980195603</v>
      </c>
      <c r="BG123" s="382">
        <f>IF(BF123&gt;0,+BF123)/ 'Pile Data and Eurocode Factors'!$B$14/ 'Pile Data and Eurocode Factors'!$B$15+$BG$109</f>
        <v>3826.1451797816349</v>
      </c>
      <c r="BH123" s="382">
        <f t="shared" si="66"/>
        <v>5784.067154107971</v>
      </c>
      <c r="BI123" s="382">
        <f>BC123* Pile!$U$25</f>
        <v>0</v>
      </c>
      <c r="BJ123" s="382">
        <f t="shared" si="12"/>
        <v>5784.067154107971</v>
      </c>
      <c r="BK123" s="382">
        <f>BJ123/ 'Pile Data and Eurocode Factors'!$C$14/ 'Pile Data and Eurocode Factors'!$C$15</f>
        <v>2065.7382693242753</v>
      </c>
      <c r="BL123" s="382">
        <f t="shared" si="13"/>
        <v>5891.8834491059097</v>
      </c>
      <c r="BM123" s="382">
        <f>VLOOKUP(BA123, 'Pile Data and Eurocode Factors'!$A$34:$J$39,3, FALSE)</f>
        <v>6572.7116301410997</v>
      </c>
      <c r="BN123" s="403">
        <f t="shared" si="14"/>
        <v>5891.8834491059097</v>
      </c>
      <c r="BO123" s="419">
        <v>900</v>
      </c>
      <c r="BP123" s="382">
        <f>PI()*BO123/1000*( Pile!$C$25- Pile!$C123)</f>
        <v>59.376101152847077</v>
      </c>
      <c r="BQ123" s="382">
        <f t="shared" si="15"/>
        <v>0.63617251235193317</v>
      </c>
      <c r="BR123" s="382">
        <f t="shared" si="56"/>
        <v>9606.0062376234728</v>
      </c>
      <c r="BS123" s="382">
        <f>BP123* Pile!$S$25</f>
        <v>0</v>
      </c>
      <c r="BT123" s="382">
        <f t="shared" si="61"/>
        <v>9606.0062376234728</v>
      </c>
      <c r="BU123" s="382">
        <f>IF(BT123&gt;0,+BT123)/ 'Pile Data and Eurocode Factors'!$B$14/ 'Pile Data and Eurocode Factors'!$B$15+$BU$109</f>
        <v>4591.374215737962</v>
      </c>
      <c r="BV123" s="382">
        <f t="shared" si="67"/>
        <v>8329.0567019154787</v>
      </c>
      <c r="BW123" s="382">
        <f>BQ123* Pile!$U$25</f>
        <v>0</v>
      </c>
      <c r="BX123" s="382">
        <f t="shared" si="16"/>
        <v>8329.0567019154787</v>
      </c>
      <c r="BY123" s="382">
        <f>BX123/ 'Pile Data and Eurocode Factors'!$C$14/ 'Pile Data and Eurocode Factors'!$C$15</f>
        <v>2974.663107826957</v>
      </c>
      <c r="BZ123" s="382">
        <f t="shared" si="17"/>
        <v>7566.0373235649186</v>
      </c>
      <c r="CA123" s="382">
        <f>VLOOKUP(BO123, 'Pile Data and Eurocode Factors'!$A$34:$J$39,3, FALSE)</f>
        <v>9464.7047474031824</v>
      </c>
      <c r="CB123" s="403">
        <f t="shared" si="18"/>
        <v>7566.0373235649186</v>
      </c>
      <c r="CC123" s="419">
        <v>1050</v>
      </c>
      <c r="CD123" s="382">
        <f>PI()*CC123/1000*( Pile!$C$25- Pile!$C123)</f>
        <v>69.272118011654925</v>
      </c>
      <c r="CE123" s="382">
        <f t="shared" si="19"/>
        <v>0.86590147514568672</v>
      </c>
      <c r="CF123" s="382">
        <f t="shared" si="57"/>
        <v>11207.007277227385</v>
      </c>
      <c r="CG123" s="382">
        <f>CD123* Pile!$S$25</f>
        <v>0</v>
      </c>
      <c r="CH123" s="382">
        <f t="shared" si="68"/>
        <v>11207.007277227385</v>
      </c>
      <c r="CI123" s="382">
        <f>IF(CH123&gt;0,+CH123)/ 'Pile Data and Eurocode Factors'!$B$14/ 'Pile Data and Eurocode Factors'!$B$15+$CI$109</f>
        <v>5356.6032516942887</v>
      </c>
      <c r="CJ123" s="382">
        <f t="shared" si="69"/>
        <v>11336.771622051623</v>
      </c>
      <c r="CK123" s="382">
        <f>CE123* Pile!$U$25</f>
        <v>0</v>
      </c>
      <c r="CL123" s="382">
        <f t="shared" si="20"/>
        <v>11336.771622051623</v>
      </c>
      <c r="CM123" s="382">
        <f>CL123/ 'Pile Data and Eurocode Factors'!$C$14/ 'Pile Data and Eurocode Factors'!$C$15</f>
        <v>4048.8470078755799</v>
      </c>
      <c r="CN123" s="382">
        <f t="shared" si="21"/>
        <v>9405.4502595698686</v>
      </c>
      <c r="CO123" s="382">
        <f>VLOOKUP(CC123, 'Pile Data and Eurocode Factors'!$A$34:$J$39,3, FALSE)</f>
        <v>12882.514795076555</v>
      </c>
      <c r="CP123" s="403">
        <f t="shared" si="22"/>
        <v>9405.4502595698686</v>
      </c>
      <c r="CQ123" s="419">
        <v>1200</v>
      </c>
      <c r="CR123" s="382">
        <f>PI()*CQ123/1000*( Pile!$C$25- Pile!$C123)</f>
        <v>79.168134870462779</v>
      </c>
      <c r="CS123" s="382">
        <f t="shared" si="23"/>
        <v>1.1309733552923256</v>
      </c>
      <c r="CT123" s="382">
        <f t="shared" si="58"/>
        <v>12808.008316831299</v>
      </c>
      <c r="CU123" s="382">
        <f>CR123* Pile!$S$25</f>
        <v>0</v>
      </c>
      <c r="CV123" s="382">
        <f t="shared" si="70"/>
        <v>12808.008316831299</v>
      </c>
      <c r="CW123" s="382">
        <f>IF(CV123&gt;0,+CV123)/ 'Pile Data and Eurocode Factors'!$B$14/ 'Pile Data and Eurocode Factors'!$B$15+$CW$109</f>
        <v>6121.8322876506172</v>
      </c>
      <c r="CX123" s="382">
        <f t="shared" si="71"/>
        <v>14807.211914516405</v>
      </c>
      <c r="CY123" s="382">
        <f>CS123* Pile!$U$25</f>
        <v>0</v>
      </c>
      <c r="CZ123" s="382">
        <f t="shared" si="24"/>
        <v>14807.211914516405</v>
      </c>
      <c r="DA123" s="382">
        <f>CZ123/ 'Pile Data and Eurocode Factors'!$C$14/ 'Pile Data and Eurocode Factors'!$C$15</f>
        <v>5288.2899694701455</v>
      </c>
      <c r="DB123" s="382">
        <f t="shared" si="25"/>
        <v>11410.122257120762</v>
      </c>
      <c r="DC123" s="382">
        <f>VLOOKUP(CQ123, 'Pile Data and Eurocode Factors'!$A$34:$J$39,3, FALSE)</f>
        <v>16826.141773161216</v>
      </c>
      <c r="DD123" s="403">
        <f t="shared" si="26"/>
        <v>11410.122257120762</v>
      </c>
      <c r="DE123" s="420">
        <f xml:space="preserve"> Pile!$C$23- Pile!C123</f>
        <v>33</v>
      </c>
      <c r="DG123" s="382">
        <f t="shared" si="52"/>
        <v>2366.1761868507956</v>
      </c>
      <c r="DH123" s="382">
        <f t="shared" si="27"/>
        <v>4206.5354432903041</v>
      </c>
      <c r="DI123" s="382">
        <f t="shared" si="28"/>
        <v>5891.8834491059097</v>
      </c>
      <c r="DJ123" s="382">
        <f t="shared" si="29"/>
        <v>7566.0373235649186</v>
      </c>
      <c r="DK123" s="382">
        <f t="shared" si="30"/>
        <v>9405.4502595698686</v>
      </c>
      <c r="DL123" s="382">
        <f t="shared" si="53"/>
        <v>11410.122257120762</v>
      </c>
    </row>
    <row r="124" spans="1:116" s="308" customFormat="1" ht="15">
      <c r="B124" s="400">
        <v>15</v>
      </c>
      <c r="C124" s="401">
        <f>+C123- Pile!D$25/20</f>
        <v>-28.499999999999996</v>
      </c>
      <c r="D124" s="415" t="str">
        <f>B25</f>
        <v>Medium Sand/Gravel</v>
      </c>
      <c r="E124" s="415" t="str">
        <f>F25</f>
        <v>Granular</v>
      </c>
      <c r="F124" s="401">
        <f xml:space="preserve"> Pile!$E$25*(C123-C124)+F123</f>
        <v>648.75000000000011</v>
      </c>
      <c r="G124" s="401">
        <f>IF(C124&gt; Pile!$C$28,0,( Pile!$C$28-C124)*9.81)</f>
        <v>132.43499999999997</v>
      </c>
      <c r="H124" s="401">
        <f t="shared" si="0"/>
        <v>516.31500000000017</v>
      </c>
      <c r="I124" s="401">
        <f t="shared" si="72"/>
        <v>363.15750000000014</v>
      </c>
      <c r="J124" s="401">
        <f>IF(E124="Cohesive",(( Pile!$H$25- Pile!$G$25)/20)+J123,0)</f>
        <v>0</v>
      </c>
      <c r="K124" s="401">
        <f>IF(E124="Cohesive",( Pile!$G$25+ Pile!$J124)/2,0)</f>
        <v>0</v>
      </c>
      <c r="L124" s="401" t="str">
        <f>IF( Pile!I$25="",0, Pile!I$25)</f>
        <v>0</v>
      </c>
      <c r="M124" s="401" t="str">
        <f>IF( Pile!J$25="",0, Pile!J$25)</f>
        <v>0</v>
      </c>
      <c r="N124" s="401">
        <f>IF(E124="Granular", Pile!$K$25,0)</f>
        <v>26.092012099198989</v>
      </c>
      <c r="O124" s="416">
        <f>IF(AND(E124="Granular",D124&lt;&gt;"Made Ground"), Pile!$L$25,0)</f>
        <v>0.4545853152382574</v>
      </c>
      <c r="P124" s="401">
        <f>IF(OR(D124="Low Density Chalk",D124="Medium Density Chalk"), Pile!$M$25,0)</f>
        <v>0</v>
      </c>
      <c r="Q124" s="417">
        <f>IF(D124="High Density Chalk", Pile!$N$25,0)</f>
        <v>0</v>
      </c>
      <c r="R124" s="401">
        <f>IF( Pile!O$25="",0, Pile!O$25)</f>
        <v>0</v>
      </c>
      <c r="S124" s="418">
        <f t="shared" si="31"/>
        <v>165.08606661863752</v>
      </c>
      <c r="T124" s="382">
        <f xml:space="preserve"> Pile!$T$25</f>
        <v>1200</v>
      </c>
      <c r="U124" s="382">
        <f t="shared" si="32"/>
        <v>165.08606661863752</v>
      </c>
      <c r="V124" s="382">
        <f t="shared" si="2"/>
        <v>13471.697226997931</v>
      </c>
      <c r="W124" s="382">
        <f xml:space="preserve"> Pile!$V$25</f>
        <v>15000</v>
      </c>
      <c r="X124" s="382">
        <f t="shared" si="33"/>
        <v>13471.697226997931</v>
      </c>
      <c r="Y124" s="419">
        <v>450</v>
      </c>
      <c r="Z124" s="382">
        <f>PI()*Y124/1000*( Pile!$C$25- Pile!$C124)</f>
        <v>31.80862561759665</v>
      </c>
      <c r="AA124" s="382">
        <f t="shared" si="3"/>
        <v>0.15904312808798329</v>
      </c>
      <c r="AB124" s="382">
        <f t="shared" si="34"/>
        <v>5251.1608877538602</v>
      </c>
      <c r="AC124" s="382">
        <f>Z124* Pile!$S$25</f>
        <v>0</v>
      </c>
      <c r="AD124" s="382">
        <f t="shared" si="35"/>
        <v>5251.1608877538602</v>
      </c>
      <c r="AE124" s="382">
        <f>IF(AD124&gt;0,+AD124)/ 'Pile Data and Eurocode Factors'!$B$14/ 'Pile Data and Eurocode Factors'!$B$15+$AE$109</f>
        <v>2495.7575404324289</v>
      </c>
      <c r="AF124" s="382">
        <f t="shared" si="36"/>
        <v>2142.5808676359611</v>
      </c>
      <c r="AG124" s="382">
        <f>AA124* Pile!$U$25</f>
        <v>0</v>
      </c>
      <c r="AH124" s="382">
        <f t="shared" si="4"/>
        <v>2142.5808676359611</v>
      </c>
      <c r="AI124" s="382">
        <f>AH124/ 'Pile Data and Eurocode Factors'!$C$14/ 'Pile Data and Eurocode Factors'!$C$15</f>
        <v>765.20745272712907</v>
      </c>
      <c r="AJ124" s="382">
        <f t="shared" si="5"/>
        <v>3260.9649931595577</v>
      </c>
      <c r="AK124" s="382">
        <f>VLOOKUP(Y124, 'Pile Data and Eurocode Factors'!$A$34:$J$39,3, FALSE)</f>
        <v>2366.1761868507956</v>
      </c>
      <c r="AL124" s="403">
        <f t="shared" si="6"/>
        <v>2366.1761868507956</v>
      </c>
      <c r="AM124" s="419">
        <v>600</v>
      </c>
      <c r="AN124" s="382">
        <f>PI()*AM124/1000*( Pile!$C$25- Pile!$C124)</f>
        <v>42.411500823462198</v>
      </c>
      <c r="AO124" s="382">
        <f t="shared" si="7"/>
        <v>0.28274333882308139</v>
      </c>
      <c r="AP124" s="382">
        <f t="shared" si="54"/>
        <v>7001.5478503384802</v>
      </c>
      <c r="AQ124" s="382">
        <f>AN124* Pile!$S$25</f>
        <v>0</v>
      </c>
      <c r="AR124" s="382">
        <f t="shared" si="59"/>
        <v>7001.5478503384802</v>
      </c>
      <c r="AS124" s="382">
        <f>IF(AR124&gt;0,+AR124)/ 'Pile Data and Eurocode Factors'!$B$14/ 'Pile Data and Eurocode Factors'!$B$15+$AS$109</f>
        <v>3327.6767205765723</v>
      </c>
      <c r="AT124" s="382">
        <f t="shared" si="65"/>
        <v>3809.0326535750419</v>
      </c>
      <c r="AU124" s="382">
        <f>AO124* Pile!$U$25</f>
        <v>0</v>
      </c>
      <c r="AV124" s="382">
        <f t="shared" si="8"/>
        <v>3809.0326535750419</v>
      </c>
      <c r="AW124" s="382">
        <f>AV124/ 'Pile Data and Eurocode Factors'!$C$14/ 'Pile Data and Eurocode Factors'!$C$15</f>
        <v>1360.3688048482293</v>
      </c>
      <c r="AX124" s="382">
        <f t="shared" si="9"/>
        <v>4688.0455254248018</v>
      </c>
      <c r="AY124" s="382">
        <f>VLOOKUP(AM124, 'Pile Data and Eurocode Factors'!$A$34:$J$39,3, FALSE)</f>
        <v>4206.5354432903041</v>
      </c>
      <c r="AZ124" s="403">
        <f t="shared" si="10"/>
        <v>4206.5354432903041</v>
      </c>
      <c r="BA124" s="419">
        <v>750</v>
      </c>
      <c r="BB124" s="382">
        <f>PI()*BA124/1000*( Pile!$C$25- Pile!$C124)</f>
        <v>53.01437602932775</v>
      </c>
      <c r="BC124" s="382">
        <f t="shared" si="11"/>
        <v>0.44178646691106466</v>
      </c>
      <c r="BD124" s="382">
        <f t="shared" si="55"/>
        <v>8751.9348129231003</v>
      </c>
      <c r="BE124" s="382">
        <f>BB124* Pile!$S$25</f>
        <v>0</v>
      </c>
      <c r="BF124" s="382">
        <f t="shared" si="60"/>
        <v>8751.9348129231003</v>
      </c>
      <c r="BG124" s="382">
        <f>IF(BF124&gt;0,+BF124)/ 'Pile Data and Eurocode Factors'!$B$14/ 'Pile Data and Eurocode Factors'!$B$15+$BG$109</f>
        <v>4159.5959007207148</v>
      </c>
      <c r="BH124" s="382">
        <f t="shared" si="66"/>
        <v>5951.613521211003</v>
      </c>
      <c r="BI124" s="382">
        <f>BC124* Pile!$U$25</f>
        <v>0</v>
      </c>
      <c r="BJ124" s="382">
        <f t="shared" si="12"/>
        <v>5951.613521211003</v>
      </c>
      <c r="BK124" s="382">
        <f>BJ124/ 'Pile Data and Eurocode Factors'!$C$14/ 'Pile Data and Eurocode Factors'!$C$15</f>
        <v>2125.5762575753583</v>
      </c>
      <c r="BL124" s="382">
        <f t="shared" si="13"/>
        <v>6285.1721582960727</v>
      </c>
      <c r="BM124" s="382">
        <f>VLOOKUP(BA124, 'Pile Data and Eurocode Factors'!$A$34:$J$39,3, FALSE)</f>
        <v>6572.7116301410997</v>
      </c>
      <c r="BN124" s="403">
        <f t="shared" si="14"/>
        <v>6285.1721582960727</v>
      </c>
      <c r="BO124" s="419">
        <v>900</v>
      </c>
      <c r="BP124" s="382">
        <f>PI()*BO124/1000*( Pile!$C$25- Pile!$C124)</f>
        <v>63.617251235193301</v>
      </c>
      <c r="BQ124" s="382">
        <f t="shared" si="15"/>
        <v>0.63617251235193317</v>
      </c>
      <c r="BR124" s="382">
        <f t="shared" si="56"/>
        <v>10502.32177550772</v>
      </c>
      <c r="BS124" s="382">
        <f>BP124* Pile!$S$25</f>
        <v>0</v>
      </c>
      <c r="BT124" s="382">
        <f t="shared" si="61"/>
        <v>10502.32177550772</v>
      </c>
      <c r="BU124" s="382">
        <f>IF(BT124&gt;0,+BT124)/ 'Pile Data and Eurocode Factors'!$B$14/ 'Pile Data and Eurocode Factors'!$B$15+$BU$109</f>
        <v>4991.5150808648577</v>
      </c>
      <c r="BV124" s="382">
        <f t="shared" si="67"/>
        <v>8570.3234705438445</v>
      </c>
      <c r="BW124" s="382">
        <f>BQ124* Pile!$U$25</f>
        <v>0</v>
      </c>
      <c r="BX124" s="382">
        <f t="shared" si="16"/>
        <v>8570.3234705438445</v>
      </c>
      <c r="BY124" s="382">
        <f>BX124/ 'Pile Data and Eurocode Factors'!$C$14/ 'Pile Data and Eurocode Factors'!$C$15</f>
        <v>3060.8298109085163</v>
      </c>
      <c r="BZ124" s="382">
        <f t="shared" si="17"/>
        <v>8052.344891773374</v>
      </c>
      <c r="CA124" s="382">
        <f>VLOOKUP(BO124, 'Pile Data and Eurocode Factors'!$A$34:$J$39,3, FALSE)</f>
        <v>9464.7047474031824</v>
      </c>
      <c r="CB124" s="403">
        <f t="shared" si="18"/>
        <v>8052.344891773374</v>
      </c>
      <c r="CC124" s="419">
        <v>1050</v>
      </c>
      <c r="CD124" s="382">
        <f>PI()*CC124/1000*( Pile!$C$25- Pile!$C124)</f>
        <v>74.220126441058852</v>
      </c>
      <c r="CE124" s="382">
        <f t="shared" si="19"/>
        <v>0.86590147514568672</v>
      </c>
      <c r="CF124" s="382">
        <f t="shared" si="57"/>
        <v>12252.708738092342</v>
      </c>
      <c r="CG124" s="382">
        <f>CD124* Pile!$S$25</f>
        <v>0</v>
      </c>
      <c r="CH124" s="382">
        <f t="shared" si="68"/>
        <v>12252.708738092342</v>
      </c>
      <c r="CI124" s="382">
        <f>IF(CH124&gt;0,+CH124)/ 'Pile Data and Eurocode Factors'!$B$14/ 'Pile Data and Eurocode Factors'!$B$15+$CI$109</f>
        <v>5823.4342610090016</v>
      </c>
      <c r="CJ124" s="382">
        <f t="shared" si="69"/>
        <v>11665.162501573564</v>
      </c>
      <c r="CK124" s="382">
        <f>CE124* Pile!$U$25</f>
        <v>0</v>
      </c>
      <c r="CL124" s="382">
        <f t="shared" si="20"/>
        <v>11665.162501573564</v>
      </c>
      <c r="CM124" s="382">
        <f>CL124/ 'Pile Data and Eurocode Factors'!$C$14/ 'Pile Data and Eurocode Factors'!$C$15</f>
        <v>4166.1294648477015</v>
      </c>
      <c r="CN124" s="382">
        <f t="shared" si="21"/>
        <v>9989.563725856704</v>
      </c>
      <c r="CO124" s="382">
        <f>VLOOKUP(CC124, 'Pile Data and Eurocode Factors'!$A$34:$J$39,3, FALSE)</f>
        <v>12882.514795076555</v>
      </c>
      <c r="CP124" s="403">
        <f t="shared" si="22"/>
        <v>9989.563725856704</v>
      </c>
      <c r="CQ124" s="419">
        <v>1200</v>
      </c>
      <c r="CR124" s="382">
        <f>PI()*CQ124/1000*( Pile!$C$25- Pile!$C124)</f>
        <v>84.823001646924396</v>
      </c>
      <c r="CS124" s="382">
        <f t="shared" si="23"/>
        <v>1.1309733552923256</v>
      </c>
      <c r="CT124" s="382">
        <f t="shared" si="58"/>
        <v>14003.09570067696</v>
      </c>
      <c r="CU124" s="382">
        <f>CR124* Pile!$S$25</f>
        <v>0</v>
      </c>
      <c r="CV124" s="382">
        <f t="shared" si="70"/>
        <v>14003.09570067696</v>
      </c>
      <c r="CW124" s="382">
        <f>IF(CV124&gt;0,+CV124)/ 'Pile Data and Eurocode Factors'!$B$14/ 'Pile Data and Eurocode Factors'!$B$15+$CW$109</f>
        <v>6655.3534411531446</v>
      </c>
      <c r="CX124" s="382">
        <f t="shared" si="71"/>
        <v>15236.130614300168</v>
      </c>
      <c r="CY124" s="382">
        <f>CS124* Pile!$U$25</f>
        <v>0</v>
      </c>
      <c r="CZ124" s="382">
        <f t="shared" si="24"/>
        <v>15236.130614300168</v>
      </c>
      <c r="DA124" s="382">
        <f>CZ124/ 'Pile Data and Eurocode Factors'!$C$14/ 'Pile Data and Eurocode Factors'!$C$15</f>
        <v>5441.4752193929171</v>
      </c>
      <c r="DB124" s="382">
        <f t="shared" si="25"/>
        <v>12096.828660546062</v>
      </c>
      <c r="DC124" s="382">
        <f>VLOOKUP(CQ124, 'Pile Data and Eurocode Factors'!$A$34:$J$39,3, FALSE)</f>
        <v>16826.141773161216</v>
      </c>
      <c r="DD124" s="403">
        <f t="shared" si="26"/>
        <v>12096.828660546062</v>
      </c>
      <c r="DE124" s="420">
        <f xml:space="preserve"> Pile!$C$23- Pile!C124</f>
        <v>34.5</v>
      </c>
      <c r="DG124" s="382">
        <f t="shared" si="52"/>
        <v>2366.1761868507956</v>
      </c>
      <c r="DH124" s="382">
        <f t="shared" si="27"/>
        <v>4206.5354432903041</v>
      </c>
      <c r="DI124" s="382">
        <f t="shared" si="28"/>
        <v>6285.1721582960727</v>
      </c>
      <c r="DJ124" s="382">
        <f t="shared" si="29"/>
        <v>8052.344891773374</v>
      </c>
      <c r="DK124" s="382">
        <f t="shared" si="30"/>
        <v>9989.563725856704</v>
      </c>
      <c r="DL124" s="382">
        <f t="shared" si="53"/>
        <v>12096.828660546062</v>
      </c>
    </row>
    <row r="125" spans="1:116" s="308" customFormat="1" ht="15">
      <c r="A125" s="421"/>
      <c r="B125" s="400">
        <v>16</v>
      </c>
      <c r="C125" s="401">
        <f>+C124- Pile!D$25/20</f>
        <v>-29.999999999999996</v>
      </c>
      <c r="D125" s="415" t="str">
        <f>B25</f>
        <v>Medium Sand/Gravel</v>
      </c>
      <c r="E125" s="415" t="str">
        <f>F25</f>
        <v>Granular</v>
      </c>
      <c r="F125" s="401">
        <f xml:space="preserve"> Pile!$E$25*(C124-C125)+F124</f>
        <v>678.00000000000011</v>
      </c>
      <c r="G125" s="401">
        <f>IF(C125&gt; Pile!$C$28,0,( Pile!$C$28-C125)*9.81)</f>
        <v>147.14999999999998</v>
      </c>
      <c r="H125" s="401">
        <f t="shared" si="0"/>
        <v>530.85000000000014</v>
      </c>
      <c r="I125" s="401">
        <f t="shared" si="72"/>
        <v>370.42500000000013</v>
      </c>
      <c r="J125" s="401">
        <f>IF(E125="Cohesive",(( Pile!$H$25- Pile!$G$25)/20)+J124,0)</f>
        <v>0</v>
      </c>
      <c r="K125" s="401">
        <f>IF(E125="Cohesive",( Pile!$G$25+ Pile!$J125)/2,0)</f>
        <v>0</v>
      </c>
      <c r="L125" s="401" t="str">
        <f>IF( Pile!I$25="",0, Pile!I$25)</f>
        <v>0</v>
      </c>
      <c r="M125" s="401" t="str">
        <f>IF( Pile!J$25="",0, Pile!J$25)</f>
        <v>0</v>
      </c>
      <c r="N125" s="401">
        <f>IF(E125="Granular", Pile!$K$25,0)</f>
        <v>26.092012099198989</v>
      </c>
      <c r="O125" s="416">
        <f>IF(AND(E125="Granular",D125&lt;&gt;"Made Ground"), Pile!$L$25,0)</f>
        <v>0.4545853152382574</v>
      </c>
      <c r="P125" s="401">
        <f>IF(OR(D125="Low Density Chalk",D125="Medium Density Chalk"), Pile!$M$25,0)</f>
        <v>0</v>
      </c>
      <c r="Q125" s="417">
        <f>IF(D125="High Density Chalk", Pile!$N$25,0)</f>
        <v>0</v>
      </c>
      <c r="R125" s="401">
        <f>IF( Pile!O$25="",0, Pile!O$25)</f>
        <v>0</v>
      </c>
      <c r="S125" s="418">
        <f t="shared" si="31"/>
        <v>168.38976539713155</v>
      </c>
      <c r="T125" s="382">
        <f xml:space="preserve"> Pile!$T$25</f>
        <v>1200</v>
      </c>
      <c r="U125" s="382">
        <f t="shared" si="32"/>
        <v>168.38976539713155</v>
      </c>
      <c r="V125" s="382">
        <f t="shared" si="2"/>
        <v>13850.944622859786</v>
      </c>
      <c r="W125" s="382">
        <f xml:space="preserve"> Pile!$V$25</f>
        <v>15000</v>
      </c>
      <c r="X125" s="382">
        <f t="shared" si="33"/>
        <v>13850.944622859786</v>
      </c>
      <c r="Y125" s="419">
        <v>450</v>
      </c>
      <c r="Z125" s="382">
        <f>PI()*Y125/1000*( Pile!$C$25- Pile!$C125)</f>
        <v>33.929200658769759</v>
      </c>
      <c r="AA125" s="382">
        <f t="shared" si="3"/>
        <v>0.15904312808798329</v>
      </c>
      <c r="AB125" s="382">
        <f t="shared" si="34"/>
        <v>5713.3301390424413</v>
      </c>
      <c r="AC125" s="382">
        <f>Z125* Pile!$S$25</f>
        <v>0</v>
      </c>
      <c r="AD125" s="382">
        <f t="shared" si="35"/>
        <v>5713.3301390424413</v>
      </c>
      <c r="AE125" s="382">
        <f>IF(AD125&gt;0,+AD125)/ 'Pile Data and Eurocode Factors'!$B$14/ 'Pile Data and Eurocode Factors'!$B$15+$AE$109</f>
        <v>2702.0830990434024</v>
      </c>
      <c r="AF125" s="382">
        <f t="shared" si="36"/>
        <v>2202.8975597930526</v>
      </c>
      <c r="AG125" s="382">
        <f>AA125* Pile!$U$25</f>
        <v>0</v>
      </c>
      <c r="AH125" s="382">
        <f t="shared" si="4"/>
        <v>2202.8975597930526</v>
      </c>
      <c r="AI125" s="382">
        <f>AH125/ 'Pile Data and Eurocode Factors'!$C$14/ 'Pile Data and Eurocode Factors'!$C$15</f>
        <v>786.74912849751877</v>
      </c>
      <c r="AJ125" s="382">
        <f t="shared" si="5"/>
        <v>3488.8322275409209</v>
      </c>
      <c r="AK125" s="382">
        <f>VLOOKUP(Y125, 'Pile Data and Eurocode Factors'!$A$34:$J$39,3, FALSE)</f>
        <v>2366.1761868507956</v>
      </c>
      <c r="AL125" s="403">
        <f t="shared" si="6"/>
        <v>2366.1761868507956</v>
      </c>
      <c r="AM125" s="419">
        <v>600</v>
      </c>
      <c r="AN125" s="382">
        <f>PI()*AM125/1000*( Pile!$C$25- Pile!$C125)</f>
        <v>45.238934211693014</v>
      </c>
      <c r="AO125" s="382">
        <f t="shared" si="7"/>
        <v>0.28274333882308139</v>
      </c>
      <c r="AP125" s="382">
        <f t="shared" si="54"/>
        <v>7617.7735187232547</v>
      </c>
      <c r="AQ125" s="382">
        <f>AN125* Pile!$S$25</f>
        <v>0</v>
      </c>
      <c r="AR125" s="382">
        <f t="shared" si="59"/>
        <v>7617.7735187232547</v>
      </c>
      <c r="AS125" s="382">
        <f>IF(AR125&gt;0,+AR125)/ 'Pile Data and Eurocode Factors'!$B$14/ 'Pile Data and Eurocode Factors'!$B$15+$AS$109</f>
        <v>3602.7774653912034</v>
      </c>
      <c r="AT125" s="382">
        <f t="shared" si="65"/>
        <v>3916.262328520982</v>
      </c>
      <c r="AU125" s="382">
        <f>AO125* Pile!$U$25</f>
        <v>0</v>
      </c>
      <c r="AV125" s="382">
        <f t="shared" si="8"/>
        <v>3916.262328520982</v>
      </c>
      <c r="AW125" s="382">
        <f>AV125/ 'Pile Data and Eurocode Factors'!$C$14/ 'Pile Data and Eurocode Factors'!$C$15</f>
        <v>1398.6651173289222</v>
      </c>
      <c r="AX125" s="382">
        <f t="shared" si="9"/>
        <v>5001.4425827201258</v>
      </c>
      <c r="AY125" s="382">
        <f>VLOOKUP(AM125, 'Pile Data and Eurocode Factors'!$A$34:$J$39,3, FALSE)</f>
        <v>4206.5354432903041</v>
      </c>
      <c r="AZ125" s="403">
        <f t="shared" si="10"/>
        <v>4206.5354432903041</v>
      </c>
      <c r="BA125" s="419">
        <v>750</v>
      </c>
      <c r="BB125" s="382">
        <f>PI()*BA125/1000*( Pile!$C$25- Pile!$C125)</f>
        <v>56.548667764616269</v>
      </c>
      <c r="BC125" s="382">
        <f t="shared" si="11"/>
        <v>0.44178646691106466</v>
      </c>
      <c r="BD125" s="382">
        <f t="shared" si="55"/>
        <v>9522.2168984040691</v>
      </c>
      <c r="BE125" s="382">
        <f>BB125* Pile!$S$25</f>
        <v>0</v>
      </c>
      <c r="BF125" s="382">
        <f t="shared" si="60"/>
        <v>9522.2168984040691</v>
      </c>
      <c r="BG125" s="382">
        <f>IF(BF125&gt;0,+BF125)/ 'Pile Data and Eurocode Factors'!$B$14/ 'Pile Data and Eurocode Factors'!$B$15+$BG$109</f>
        <v>4503.4718317390052</v>
      </c>
      <c r="BH125" s="382">
        <f t="shared" si="66"/>
        <v>6119.1598883140341</v>
      </c>
      <c r="BI125" s="382">
        <f>BC125* Pile!$U$25</f>
        <v>0</v>
      </c>
      <c r="BJ125" s="382">
        <f t="shared" si="12"/>
        <v>6119.1598883140341</v>
      </c>
      <c r="BK125" s="382">
        <f>BJ125/ 'Pile Data and Eurocode Factors'!$C$14/ 'Pile Data and Eurocode Factors'!$C$15</f>
        <v>2185.4142458264409</v>
      </c>
      <c r="BL125" s="382">
        <f t="shared" si="13"/>
        <v>6688.8860775654466</v>
      </c>
      <c r="BM125" s="382">
        <f>VLOOKUP(BA125, 'Pile Data and Eurocode Factors'!$A$34:$J$39,3, FALSE)</f>
        <v>6572.7116301410997</v>
      </c>
      <c r="BN125" s="403">
        <f t="shared" si="14"/>
        <v>6572.7116301410997</v>
      </c>
      <c r="BO125" s="419">
        <v>900</v>
      </c>
      <c r="BP125" s="382">
        <f>PI()*BO125/1000*( Pile!$C$25- Pile!$C125)</f>
        <v>67.858401317539517</v>
      </c>
      <c r="BQ125" s="382">
        <f t="shared" si="15"/>
        <v>0.63617251235193317</v>
      </c>
      <c r="BR125" s="382">
        <f t="shared" si="56"/>
        <v>11426.660278084883</v>
      </c>
      <c r="BS125" s="382">
        <f>BP125* Pile!$S$25</f>
        <v>0</v>
      </c>
      <c r="BT125" s="382">
        <f t="shared" si="61"/>
        <v>11426.660278084883</v>
      </c>
      <c r="BU125" s="382">
        <f>IF(BT125&gt;0,+BT125)/ 'Pile Data and Eurocode Factors'!$B$14/ 'Pile Data and Eurocode Factors'!$B$15+$BU$109</f>
        <v>5404.1661980868048</v>
      </c>
      <c r="BV125" s="382">
        <f t="shared" si="67"/>
        <v>8811.5902391722102</v>
      </c>
      <c r="BW125" s="382">
        <f>BQ125* Pile!$U$25</f>
        <v>0</v>
      </c>
      <c r="BX125" s="382">
        <f t="shared" si="16"/>
        <v>8811.5902391722102</v>
      </c>
      <c r="BY125" s="382">
        <f>BX125/ 'Pile Data and Eurocode Factors'!$C$14/ 'Pile Data and Eurocode Factors'!$C$15</f>
        <v>3146.9965139900751</v>
      </c>
      <c r="BZ125" s="382">
        <f t="shared" si="17"/>
        <v>8551.162712076879</v>
      </c>
      <c r="CA125" s="382">
        <f>VLOOKUP(BO125, 'Pile Data and Eurocode Factors'!$A$34:$J$39,3, FALSE)</f>
        <v>9464.7047474031824</v>
      </c>
      <c r="CB125" s="403">
        <f t="shared" si="18"/>
        <v>8551.162712076879</v>
      </c>
      <c r="CC125" s="419">
        <v>1050</v>
      </c>
      <c r="CD125" s="382">
        <f>PI()*CC125/1000*( Pile!$C$25- Pile!$C125)</f>
        <v>79.168134870462779</v>
      </c>
      <c r="CE125" s="382">
        <f t="shared" si="19"/>
        <v>0.86590147514568672</v>
      </c>
      <c r="CF125" s="382">
        <f t="shared" si="57"/>
        <v>13331.103657765698</v>
      </c>
      <c r="CG125" s="382">
        <f>CD125* Pile!$S$25</f>
        <v>0</v>
      </c>
      <c r="CH125" s="382">
        <f t="shared" si="68"/>
        <v>13331.103657765698</v>
      </c>
      <c r="CI125" s="382">
        <f>IF(CH125&gt;0,+CH125)/ 'Pile Data and Eurocode Factors'!$B$14/ 'Pile Data and Eurocode Factors'!$B$15+$CI$109</f>
        <v>6304.8605644346071</v>
      </c>
      <c r="CJ125" s="382">
        <f t="shared" si="69"/>
        <v>11993.553381095506</v>
      </c>
      <c r="CK125" s="382">
        <f>CE125* Pile!$U$25</f>
        <v>0</v>
      </c>
      <c r="CL125" s="382">
        <f t="shared" si="20"/>
        <v>11993.553381095506</v>
      </c>
      <c r="CM125" s="382">
        <f>CL125/ 'Pile Data and Eurocode Factors'!$C$14/ 'Pile Data and Eurocode Factors'!$C$15</f>
        <v>4283.4119218198239</v>
      </c>
      <c r="CN125" s="382">
        <f t="shared" si="21"/>
        <v>10588.272486254431</v>
      </c>
      <c r="CO125" s="382">
        <f>VLOOKUP(CC125, 'Pile Data and Eurocode Factors'!$A$34:$J$39,3, FALSE)</f>
        <v>12882.514795076555</v>
      </c>
      <c r="CP125" s="403">
        <f t="shared" si="22"/>
        <v>10588.272486254431</v>
      </c>
      <c r="CQ125" s="419">
        <v>1200</v>
      </c>
      <c r="CR125" s="382">
        <f>PI()*CQ125/1000*( Pile!$C$25- Pile!$C125)</f>
        <v>90.477868423386028</v>
      </c>
      <c r="CS125" s="382">
        <f t="shared" si="23"/>
        <v>1.1309733552923256</v>
      </c>
      <c r="CT125" s="382">
        <f t="shared" si="58"/>
        <v>15235.547037446509</v>
      </c>
      <c r="CU125" s="382">
        <f>CR125* Pile!$S$25</f>
        <v>0</v>
      </c>
      <c r="CV125" s="382">
        <f t="shared" si="70"/>
        <v>15235.547037446509</v>
      </c>
      <c r="CW125" s="382">
        <f>IF(CV125&gt;0,+CV125)/ 'Pile Data and Eurocode Factors'!$B$14/ 'Pile Data and Eurocode Factors'!$B$15+$CW$109</f>
        <v>7205.5549307824067</v>
      </c>
      <c r="CX125" s="382">
        <f t="shared" si="71"/>
        <v>15665.049314083928</v>
      </c>
      <c r="CY125" s="382">
        <f>CS125* Pile!$U$25</f>
        <v>0</v>
      </c>
      <c r="CZ125" s="382">
        <f t="shared" si="24"/>
        <v>15665.049314083928</v>
      </c>
      <c r="DA125" s="382">
        <f>CZ125/ 'Pile Data and Eurocode Factors'!$C$14/ 'Pile Data and Eurocode Factors'!$C$15</f>
        <v>5594.6604693156887</v>
      </c>
      <c r="DB125" s="382">
        <f t="shared" si="25"/>
        <v>12800.215400098095</v>
      </c>
      <c r="DC125" s="382">
        <f>VLOOKUP(CQ125, 'Pile Data and Eurocode Factors'!$A$34:$J$39,3, FALSE)</f>
        <v>16826.141773161216</v>
      </c>
      <c r="DD125" s="403">
        <f t="shared" si="26"/>
        <v>12800.215400098095</v>
      </c>
      <c r="DE125" s="420">
        <f xml:space="preserve"> Pile!$C$23- Pile!C125</f>
        <v>36</v>
      </c>
      <c r="DG125" s="382">
        <f t="shared" si="52"/>
        <v>2366.1761868507956</v>
      </c>
      <c r="DH125" s="382">
        <f t="shared" si="27"/>
        <v>4206.5354432903041</v>
      </c>
      <c r="DI125" s="382">
        <f t="shared" si="28"/>
        <v>6572.7116301410997</v>
      </c>
      <c r="DJ125" s="382">
        <f t="shared" si="29"/>
        <v>8551.162712076879</v>
      </c>
      <c r="DK125" s="382">
        <f t="shared" si="30"/>
        <v>10588.272486254431</v>
      </c>
      <c r="DL125" s="382">
        <f t="shared" si="53"/>
        <v>12800.215400098095</v>
      </c>
    </row>
    <row r="126" spans="1:116" s="308" customFormat="1" ht="15">
      <c r="B126" s="400">
        <v>17</v>
      </c>
      <c r="C126" s="401">
        <f>+C125- Pile!D$25/20</f>
        <v>-31.499999999999996</v>
      </c>
      <c r="D126" s="415" t="str">
        <f>B25</f>
        <v>Medium Sand/Gravel</v>
      </c>
      <c r="E126" s="415" t="str">
        <f>F25</f>
        <v>Granular</v>
      </c>
      <c r="F126" s="401">
        <f xml:space="preserve"> Pile!$E$25*(C125-C126)+F125</f>
        <v>707.25000000000011</v>
      </c>
      <c r="G126" s="401">
        <f>IF(C126&gt; Pile!$C$28,0,( Pile!$C$28-C126)*9.81)</f>
        <v>161.86499999999998</v>
      </c>
      <c r="H126" s="401">
        <f t="shared" si="0"/>
        <v>545.3850000000001</v>
      </c>
      <c r="I126" s="401">
        <f t="shared" si="72"/>
        <v>377.69250000000011</v>
      </c>
      <c r="J126" s="401">
        <f>IF(E126="Cohesive",(( Pile!$H$25- Pile!$G$25)/20)+J125,0)</f>
        <v>0</v>
      </c>
      <c r="K126" s="401">
        <f>IF(E126="Cohesive",( Pile!$G$25+ Pile!$J126)/2,0)</f>
        <v>0</v>
      </c>
      <c r="L126" s="401" t="str">
        <f>IF( Pile!I$25="",0, Pile!I$25)</f>
        <v>0</v>
      </c>
      <c r="M126" s="401" t="str">
        <f>IF( Pile!J$25="",0, Pile!J$25)</f>
        <v>0</v>
      </c>
      <c r="N126" s="401">
        <f>IF(E126="Granular", Pile!$K$25,0)</f>
        <v>26.092012099198989</v>
      </c>
      <c r="O126" s="416">
        <f>IF(AND(E126="Granular",D126&lt;&gt;"Made Ground"), Pile!$L$25,0)</f>
        <v>0.4545853152382574</v>
      </c>
      <c r="P126" s="401">
        <f>IF(OR(D126="Low Density Chalk",D126="Medium Density Chalk"), Pile!$M$25,0)</f>
        <v>0</v>
      </c>
      <c r="Q126" s="417">
        <f>IF(D126="High Density Chalk", Pile!$N$25,0)</f>
        <v>0</v>
      </c>
      <c r="R126" s="401">
        <f>IF( Pile!O$25="",0, Pile!O$25)</f>
        <v>0</v>
      </c>
      <c r="S126" s="418">
        <f t="shared" si="31"/>
        <v>171.69346417562559</v>
      </c>
      <c r="T126" s="382">
        <f xml:space="preserve"> Pile!$T$25</f>
        <v>1200</v>
      </c>
      <c r="U126" s="382">
        <f t="shared" si="32"/>
        <v>171.69346417562559</v>
      </c>
      <c r="V126" s="382">
        <f t="shared" si="2"/>
        <v>14230.192018721644</v>
      </c>
      <c r="W126" s="382">
        <f xml:space="preserve"> Pile!$V$25</f>
        <v>15000</v>
      </c>
      <c r="X126" s="382">
        <f t="shared" si="33"/>
        <v>14230.192018721644</v>
      </c>
      <c r="Y126" s="419">
        <v>450</v>
      </c>
      <c r="Z126" s="382">
        <f>PI()*Y126/1000*( Pile!$C$25- Pile!$C126)</f>
        <v>36.04977569994287</v>
      </c>
      <c r="AA126" s="382">
        <f t="shared" si="3"/>
        <v>0.15904312808798329</v>
      </c>
      <c r="AB126" s="382">
        <f t="shared" si="34"/>
        <v>6189.5108726774788</v>
      </c>
      <c r="AC126" s="382">
        <f>Z126* Pile!$S$25</f>
        <v>0</v>
      </c>
      <c r="AD126" s="382">
        <f t="shared" si="35"/>
        <v>6189.5108726774788</v>
      </c>
      <c r="AE126" s="382">
        <f>IF(AD126&gt;0,+AD126)/ 'Pile Data and Eurocode Factors'!$B$14/ 'Pile Data and Eurocode Factors'!$B$15+$AE$109</f>
        <v>2914.6637837019016</v>
      </c>
      <c r="AF126" s="382">
        <f t="shared" si="36"/>
        <v>2263.214251950144</v>
      </c>
      <c r="AG126" s="382">
        <f>AA126* Pile!$U$25</f>
        <v>0</v>
      </c>
      <c r="AH126" s="382">
        <f t="shared" si="4"/>
        <v>2263.214251950144</v>
      </c>
      <c r="AI126" s="382">
        <f>AH126/ 'Pile Data and Eurocode Factors'!$C$14/ 'Pile Data and Eurocode Factors'!$C$15</f>
        <v>808.29080426790858</v>
      </c>
      <c r="AJ126" s="382">
        <f t="shared" si="5"/>
        <v>3722.9545879698103</v>
      </c>
      <c r="AK126" s="382">
        <f>VLOOKUP(Y126, 'Pile Data and Eurocode Factors'!$A$34:$J$39,3, FALSE)</f>
        <v>2366.1761868507956</v>
      </c>
      <c r="AL126" s="403">
        <f t="shared" si="6"/>
        <v>2366.1761868507956</v>
      </c>
      <c r="AM126" s="419">
        <v>600</v>
      </c>
      <c r="AN126" s="382">
        <f>PI()*AM126/1000*( Pile!$C$25- Pile!$C126)</f>
        <v>48.066367599923829</v>
      </c>
      <c r="AO126" s="382">
        <f t="shared" si="7"/>
        <v>0.28274333882308139</v>
      </c>
      <c r="AP126" s="382">
        <f t="shared" si="54"/>
        <v>8252.6811635699723</v>
      </c>
      <c r="AQ126" s="382">
        <f>AN126* Pile!$S$25</f>
        <v>0</v>
      </c>
      <c r="AR126" s="382">
        <f t="shared" si="59"/>
        <v>8252.6811635699723</v>
      </c>
      <c r="AS126" s="382">
        <f>IF(AR126&gt;0,+AR126)/ 'Pile Data and Eurocode Factors'!$B$14/ 'Pile Data and Eurocode Factors'!$B$15+$AS$109</f>
        <v>3886.2183782692027</v>
      </c>
      <c r="AT126" s="382">
        <f t="shared" si="65"/>
        <v>4023.4920034669221</v>
      </c>
      <c r="AU126" s="382">
        <f>AO126* Pile!$U$25</f>
        <v>0</v>
      </c>
      <c r="AV126" s="382">
        <f t="shared" si="8"/>
        <v>4023.4920034669221</v>
      </c>
      <c r="AW126" s="382">
        <f>AV126/ 'Pile Data and Eurocode Factors'!$C$14/ 'Pile Data and Eurocode Factors'!$C$15</f>
        <v>1436.9614298096151</v>
      </c>
      <c r="AX126" s="382">
        <f t="shared" si="9"/>
        <v>5323.1798080788176</v>
      </c>
      <c r="AY126" s="382">
        <f>VLOOKUP(AM126, 'Pile Data and Eurocode Factors'!$A$34:$J$39,3, FALSE)</f>
        <v>4206.5354432903041</v>
      </c>
      <c r="AZ126" s="403">
        <f t="shared" si="10"/>
        <v>4206.5354432903041</v>
      </c>
      <c r="BA126" s="419">
        <v>750</v>
      </c>
      <c r="BB126" s="382">
        <f>PI()*BA126/1000*( Pile!$C$25- Pile!$C126)</f>
        <v>60.082959499904788</v>
      </c>
      <c r="BC126" s="382">
        <f t="shared" si="11"/>
        <v>0.44178646691106466</v>
      </c>
      <c r="BD126" s="382">
        <f t="shared" si="55"/>
        <v>10315.851454462467</v>
      </c>
      <c r="BE126" s="382">
        <f>BB126* Pile!$S$25</f>
        <v>0</v>
      </c>
      <c r="BF126" s="382">
        <f t="shared" si="60"/>
        <v>10315.851454462467</v>
      </c>
      <c r="BG126" s="382">
        <f>IF(BF126&gt;0,+BF126)/ 'Pile Data and Eurocode Factors'!$B$14/ 'Pile Data and Eurocode Factors'!$B$15+$BG$109</f>
        <v>4857.7729728365039</v>
      </c>
      <c r="BH126" s="382">
        <f t="shared" si="66"/>
        <v>6286.7062554170661</v>
      </c>
      <c r="BI126" s="382">
        <f>BC126* Pile!$U$25</f>
        <v>0</v>
      </c>
      <c r="BJ126" s="382">
        <f t="shared" si="12"/>
        <v>6286.7062554170661</v>
      </c>
      <c r="BK126" s="382">
        <f>BJ126/ 'Pile Data and Eurocode Factors'!$C$14/ 'Pile Data and Eurocode Factors'!$C$15</f>
        <v>2245.2522340775236</v>
      </c>
      <c r="BL126" s="382">
        <f t="shared" si="13"/>
        <v>7103.0252069140279</v>
      </c>
      <c r="BM126" s="382">
        <f>VLOOKUP(BA126, 'Pile Data and Eurocode Factors'!$A$34:$J$39,3, FALSE)</f>
        <v>6572.7116301410997</v>
      </c>
      <c r="BN126" s="403">
        <f t="shared" si="14"/>
        <v>6572.7116301410997</v>
      </c>
      <c r="BO126" s="419">
        <v>900</v>
      </c>
      <c r="BP126" s="382">
        <f>PI()*BO126/1000*( Pile!$C$25- Pile!$C126)</f>
        <v>72.09955139988574</v>
      </c>
      <c r="BQ126" s="382">
        <f t="shared" si="15"/>
        <v>0.63617251235193317</v>
      </c>
      <c r="BR126" s="382">
        <f t="shared" si="56"/>
        <v>12379.021745354958</v>
      </c>
      <c r="BS126" s="382">
        <f>BP126* Pile!$S$25</f>
        <v>0</v>
      </c>
      <c r="BT126" s="382">
        <f t="shared" si="61"/>
        <v>12379.021745354958</v>
      </c>
      <c r="BU126" s="382">
        <f>IF(BT126&gt;0,+BT126)/ 'Pile Data and Eurocode Factors'!$B$14/ 'Pile Data and Eurocode Factors'!$B$15+$BU$109</f>
        <v>5829.3275674038032</v>
      </c>
      <c r="BV126" s="382">
        <f t="shared" si="67"/>
        <v>9052.857007800576</v>
      </c>
      <c r="BW126" s="382">
        <f>BQ126* Pile!$U$25</f>
        <v>0</v>
      </c>
      <c r="BX126" s="382">
        <f t="shared" si="16"/>
        <v>9052.857007800576</v>
      </c>
      <c r="BY126" s="382">
        <f>BX126/ 'Pile Data and Eurocode Factors'!$C$14/ 'Pile Data and Eurocode Factors'!$C$15</f>
        <v>3233.1632170716343</v>
      </c>
      <c r="BZ126" s="382">
        <f t="shared" si="17"/>
        <v>9062.490784475438</v>
      </c>
      <c r="CA126" s="382">
        <f>VLOOKUP(BO126, 'Pile Data and Eurocode Factors'!$A$34:$J$39,3, FALSE)</f>
        <v>9464.7047474031824</v>
      </c>
      <c r="CB126" s="403">
        <f t="shared" si="18"/>
        <v>9062.490784475438</v>
      </c>
      <c r="CC126" s="419">
        <v>1050</v>
      </c>
      <c r="CD126" s="382">
        <f>PI()*CC126/1000*( Pile!$C$25- Pile!$C126)</f>
        <v>84.116143299866692</v>
      </c>
      <c r="CE126" s="382">
        <f t="shared" si="19"/>
        <v>0.86590147514568672</v>
      </c>
      <c r="CF126" s="382">
        <f t="shared" si="57"/>
        <v>14442.19203624745</v>
      </c>
      <c r="CG126" s="382">
        <f>CD126* Pile!$S$25</f>
        <v>0</v>
      </c>
      <c r="CH126" s="382">
        <f t="shared" si="68"/>
        <v>14442.19203624745</v>
      </c>
      <c r="CI126" s="382">
        <f>IF(CH126&gt;0,+CH126)/ 'Pile Data and Eurocode Factors'!$B$14/ 'Pile Data and Eurocode Factors'!$B$15+$CI$109</f>
        <v>6800.8821619711034</v>
      </c>
      <c r="CJ126" s="382">
        <f t="shared" si="69"/>
        <v>12321.944260617449</v>
      </c>
      <c r="CK126" s="382">
        <f>CE126* Pile!$U$25</f>
        <v>0</v>
      </c>
      <c r="CL126" s="382">
        <f t="shared" si="20"/>
        <v>12321.944260617449</v>
      </c>
      <c r="CM126" s="382">
        <f>CL126/ 'Pile Data and Eurocode Factors'!$C$14/ 'Pile Data and Eurocode Factors'!$C$15</f>
        <v>4400.6943787919463</v>
      </c>
      <c r="CN126" s="382">
        <f t="shared" si="21"/>
        <v>11201.57654076305</v>
      </c>
      <c r="CO126" s="382">
        <f>VLOOKUP(CC126, 'Pile Data and Eurocode Factors'!$A$34:$J$39,3, FALSE)</f>
        <v>12882.514795076555</v>
      </c>
      <c r="CP126" s="403">
        <f t="shared" si="22"/>
        <v>11201.57654076305</v>
      </c>
      <c r="CQ126" s="419">
        <v>1200</v>
      </c>
      <c r="CR126" s="382">
        <f>PI()*CQ126/1000*( Pile!$C$25- Pile!$C126)</f>
        <v>96.132735199847659</v>
      </c>
      <c r="CS126" s="382">
        <f t="shared" si="23"/>
        <v>1.1309733552923256</v>
      </c>
      <c r="CT126" s="382">
        <f t="shared" si="58"/>
        <v>16505.362327139945</v>
      </c>
      <c r="CU126" s="382">
        <f>CR126* Pile!$S$25</f>
        <v>0</v>
      </c>
      <c r="CV126" s="382">
        <f t="shared" si="70"/>
        <v>16505.362327139945</v>
      </c>
      <c r="CW126" s="382">
        <f>IF(CV126&gt;0,+CV126)/ 'Pile Data and Eurocode Factors'!$B$14/ 'Pile Data and Eurocode Factors'!$B$15+$CW$109</f>
        <v>7772.4367565384055</v>
      </c>
      <c r="CX126" s="382">
        <f t="shared" si="71"/>
        <v>16093.968013867689</v>
      </c>
      <c r="CY126" s="382">
        <f>CS126* Pile!$U$25</f>
        <v>0</v>
      </c>
      <c r="CZ126" s="382">
        <f t="shared" si="24"/>
        <v>16093.968013867689</v>
      </c>
      <c r="DA126" s="382">
        <f>CZ126/ 'Pile Data and Eurocode Factors'!$C$14/ 'Pile Data and Eurocode Factors'!$C$15</f>
        <v>5747.8457192384603</v>
      </c>
      <c r="DB126" s="382">
        <f t="shared" si="25"/>
        <v>13520.282475776865</v>
      </c>
      <c r="DC126" s="382">
        <f>VLOOKUP(CQ126, 'Pile Data and Eurocode Factors'!$A$34:$J$39,3, FALSE)</f>
        <v>16826.141773161216</v>
      </c>
      <c r="DD126" s="403">
        <f t="shared" si="26"/>
        <v>13520.282475776865</v>
      </c>
      <c r="DE126" s="420">
        <f xml:space="preserve"> Pile!$C$23- Pile!C126</f>
        <v>37.5</v>
      </c>
      <c r="DG126" s="382">
        <f t="shared" si="52"/>
        <v>2366.1761868507956</v>
      </c>
      <c r="DH126" s="382">
        <f t="shared" si="27"/>
        <v>4206.5354432903041</v>
      </c>
      <c r="DI126" s="382">
        <f t="shared" si="28"/>
        <v>6572.7116301410997</v>
      </c>
      <c r="DJ126" s="382">
        <f t="shared" si="29"/>
        <v>9062.490784475438</v>
      </c>
      <c r="DK126" s="382">
        <f t="shared" si="30"/>
        <v>11201.57654076305</v>
      </c>
      <c r="DL126" s="382">
        <f t="shared" si="53"/>
        <v>13520.282475776865</v>
      </c>
    </row>
    <row r="127" spans="1:116" s="308" customFormat="1" ht="15">
      <c r="B127" s="400">
        <v>18</v>
      </c>
      <c r="C127" s="401">
        <f>+C126- Pile!D$25/20</f>
        <v>-33</v>
      </c>
      <c r="D127" s="415" t="str">
        <f>B25</f>
        <v>Medium Sand/Gravel</v>
      </c>
      <c r="E127" s="415" t="str">
        <f>F25</f>
        <v>Granular</v>
      </c>
      <c r="F127" s="401">
        <f xml:space="preserve"> Pile!$E$25*(C126-C127)+F126</f>
        <v>736.50000000000023</v>
      </c>
      <c r="G127" s="401">
        <f>IF(C127&gt; Pile!$C$28,0,( Pile!$C$28-C127)*9.81)</f>
        <v>176.58</v>
      </c>
      <c r="H127" s="401">
        <f t="shared" si="0"/>
        <v>559.92000000000019</v>
      </c>
      <c r="I127" s="401">
        <f t="shared" si="72"/>
        <v>384.96000000000015</v>
      </c>
      <c r="J127" s="401">
        <f>IF(E127="Cohesive",(( Pile!$H$25- Pile!$G$25)/20)+J126,0)</f>
        <v>0</v>
      </c>
      <c r="K127" s="401">
        <f>IF(E127="Cohesive",( Pile!$G$25+ Pile!$J127)/2,0)</f>
        <v>0</v>
      </c>
      <c r="L127" s="401" t="str">
        <f>IF( Pile!I$25="",0, Pile!I$25)</f>
        <v>0</v>
      </c>
      <c r="M127" s="401" t="str">
        <f>IF( Pile!J$25="",0, Pile!J$25)</f>
        <v>0</v>
      </c>
      <c r="N127" s="401">
        <f>IF(E127="Granular", Pile!$K$25,0)</f>
        <v>26.092012099198989</v>
      </c>
      <c r="O127" s="416">
        <f>IF(AND(E127="Granular",D127&lt;&gt;"Made Ground"), Pile!$L$25,0)</f>
        <v>0.4545853152382574</v>
      </c>
      <c r="P127" s="401">
        <f>IF(OR(D127="Low Density Chalk",D127="Medium Density Chalk"), Pile!$M$25,0)</f>
        <v>0</v>
      </c>
      <c r="Q127" s="417">
        <f>IF(D127="High Density Chalk", Pile!$N$25,0)</f>
        <v>0</v>
      </c>
      <c r="R127" s="401">
        <f>IF( Pile!O$25="",0, Pile!O$25)</f>
        <v>0</v>
      </c>
      <c r="S127" s="418">
        <f t="shared" si="31"/>
        <v>174.99716295411963</v>
      </c>
      <c r="T127" s="382">
        <f xml:space="preserve"> Pile!$T$25</f>
        <v>1200</v>
      </c>
      <c r="U127" s="382">
        <f t="shared" si="32"/>
        <v>174.99716295411963</v>
      </c>
      <c r="V127" s="382">
        <f t="shared" si="2"/>
        <v>14609.439414583503</v>
      </c>
      <c r="W127" s="382">
        <f xml:space="preserve"> Pile!$V$25</f>
        <v>15000</v>
      </c>
      <c r="X127" s="382">
        <f t="shared" si="33"/>
        <v>14609.439414583503</v>
      </c>
      <c r="Y127" s="419">
        <v>450</v>
      </c>
      <c r="Z127" s="382">
        <f>PI()*Y127/1000*( Pile!$C$25- Pile!$C127)</f>
        <v>38.170350741115989</v>
      </c>
      <c r="AA127" s="382">
        <f t="shared" si="3"/>
        <v>0.15904312808798329</v>
      </c>
      <c r="AB127" s="382">
        <f t="shared" si="34"/>
        <v>6679.7030886589755</v>
      </c>
      <c r="AC127" s="382">
        <f>Z127* Pile!$S$25</f>
        <v>0</v>
      </c>
      <c r="AD127" s="382">
        <f t="shared" si="35"/>
        <v>6679.7030886589755</v>
      </c>
      <c r="AE127" s="382">
        <f>IF(AD127&gt;0,+AD127)/ 'Pile Data and Eurocode Factors'!$B$14/ 'Pile Data and Eurocode Factors'!$B$15+$AE$109</f>
        <v>3133.4995944079269</v>
      </c>
      <c r="AF127" s="382">
        <f t="shared" si="36"/>
        <v>2323.5309441072359</v>
      </c>
      <c r="AG127" s="382">
        <f>AA127* Pile!$U$25</f>
        <v>0</v>
      </c>
      <c r="AH127" s="382">
        <f t="shared" si="4"/>
        <v>2323.5309441072359</v>
      </c>
      <c r="AI127" s="382">
        <f>AH127/ 'Pile Data and Eurocode Factors'!$C$14/ 'Pile Data and Eurocode Factors'!$C$15</f>
        <v>829.83248003829863</v>
      </c>
      <c r="AJ127" s="382">
        <f t="shared" si="5"/>
        <v>3963.3320744462253</v>
      </c>
      <c r="AK127" s="382">
        <f>VLOOKUP(Y127, 'Pile Data and Eurocode Factors'!$A$34:$J$39,3, FALSE)</f>
        <v>2366.1761868507956</v>
      </c>
      <c r="AL127" s="403">
        <f t="shared" si="6"/>
        <v>2366.1761868507956</v>
      </c>
      <c r="AM127" s="419">
        <v>600</v>
      </c>
      <c r="AN127" s="382">
        <f>PI()*AM127/1000*( Pile!$C$25- Pile!$C127)</f>
        <v>50.893800988154652</v>
      </c>
      <c r="AO127" s="382">
        <f t="shared" si="7"/>
        <v>0.28274333882308139</v>
      </c>
      <c r="AP127" s="382">
        <f t="shared" si="54"/>
        <v>8906.270784878634</v>
      </c>
      <c r="AQ127" s="382">
        <f>AN127* Pile!$S$25</f>
        <v>0</v>
      </c>
      <c r="AR127" s="382">
        <f t="shared" si="59"/>
        <v>8906.270784878634</v>
      </c>
      <c r="AS127" s="382">
        <f>IF(AR127&gt;0,+AR127)/ 'Pile Data and Eurocode Factors'!$B$14/ 'Pile Data and Eurocode Factors'!$B$15+$AS$109</f>
        <v>4177.9994592105695</v>
      </c>
      <c r="AT127" s="382">
        <f t="shared" si="65"/>
        <v>4130.7216784128632</v>
      </c>
      <c r="AU127" s="382">
        <f>AO127* Pile!$U$25</f>
        <v>0</v>
      </c>
      <c r="AV127" s="382">
        <f t="shared" si="8"/>
        <v>4130.7216784128632</v>
      </c>
      <c r="AW127" s="382">
        <f>AV127/ 'Pile Data and Eurocode Factors'!$C$14/ 'Pile Data and Eurocode Factors'!$C$15</f>
        <v>1475.2577422903084</v>
      </c>
      <c r="AX127" s="382">
        <f t="shared" si="9"/>
        <v>5653.2572015008782</v>
      </c>
      <c r="AY127" s="382">
        <f>VLOOKUP(AM127, 'Pile Data and Eurocode Factors'!$A$34:$J$39,3, FALSE)</f>
        <v>4206.5354432903041</v>
      </c>
      <c r="AZ127" s="403">
        <f t="shared" si="10"/>
        <v>4206.5354432903041</v>
      </c>
      <c r="BA127" s="419">
        <v>750</v>
      </c>
      <c r="BB127" s="382">
        <f>PI()*BA127/1000*( Pile!$C$25- Pile!$C127)</f>
        <v>63.617251235193308</v>
      </c>
      <c r="BC127" s="382">
        <f t="shared" si="11"/>
        <v>0.44178646691106466</v>
      </c>
      <c r="BD127" s="382">
        <f t="shared" si="55"/>
        <v>11132.838481098292</v>
      </c>
      <c r="BE127" s="382">
        <f>BB127* Pile!$S$25</f>
        <v>0</v>
      </c>
      <c r="BF127" s="382">
        <f t="shared" si="60"/>
        <v>11132.838481098292</v>
      </c>
      <c r="BG127" s="382">
        <f>IF(BF127&gt;0,+BF127)/ 'Pile Data and Eurocode Factors'!$B$14/ 'Pile Data and Eurocode Factors'!$B$15+$BG$109</f>
        <v>5222.4993240132117</v>
      </c>
      <c r="BH127" s="382">
        <f t="shared" si="66"/>
        <v>6454.2526225200982</v>
      </c>
      <c r="BI127" s="382">
        <f>BC127* Pile!$U$25</f>
        <v>0</v>
      </c>
      <c r="BJ127" s="382">
        <f t="shared" si="12"/>
        <v>6454.2526225200982</v>
      </c>
      <c r="BK127" s="382">
        <f>BJ127/ 'Pile Data and Eurocode Factors'!$C$14/ 'Pile Data and Eurocode Factors'!$C$15</f>
        <v>2305.0902223286066</v>
      </c>
      <c r="BL127" s="382">
        <f t="shared" si="13"/>
        <v>7527.5895463418183</v>
      </c>
      <c r="BM127" s="382">
        <f>VLOOKUP(BA127, 'Pile Data and Eurocode Factors'!$A$34:$J$39,3, FALSE)</f>
        <v>6572.7116301410997</v>
      </c>
      <c r="BN127" s="403">
        <f t="shared" si="14"/>
        <v>6572.7116301410997</v>
      </c>
      <c r="BO127" s="419">
        <v>900</v>
      </c>
      <c r="BP127" s="382">
        <f>PI()*BO127/1000*( Pile!$C$25- Pile!$C127)</f>
        <v>76.340701482231978</v>
      </c>
      <c r="BQ127" s="382">
        <f t="shared" si="15"/>
        <v>0.63617251235193317</v>
      </c>
      <c r="BR127" s="382">
        <f t="shared" si="56"/>
        <v>13359.406177317951</v>
      </c>
      <c r="BS127" s="382">
        <f>BP127* Pile!$S$25</f>
        <v>0</v>
      </c>
      <c r="BT127" s="382">
        <f t="shared" si="61"/>
        <v>13359.406177317951</v>
      </c>
      <c r="BU127" s="382">
        <f>IF(BT127&gt;0,+BT127)/ 'Pile Data and Eurocode Factors'!$B$14/ 'Pile Data and Eurocode Factors'!$B$15+$BU$109</f>
        <v>6266.9991888158538</v>
      </c>
      <c r="BV127" s="382">
        <f t="shared" si="67"/>
        <v>9294.1237764289435</v>
      </c>
      <c r="BW127" s="382">
        <f>BQ127* Pile!$U$25</f>
        <v>0</v>
      </c>
      <c r="BX127" s="382">
        <f t="shared" si="16"/>
        <v>9294.1237764289435</v>
      </c>
      <c r="BY127" s="382">
        <f>BX127/ 'Pile Data and Eurocode Factors'!$C$14/ 'Pile Data and Eurocode Factors'!$C$15</f>
        <v>3319.3299201531945</v>
      </c>
      <c r="BZ127" s="382">
        <f t="shared" si="17"/>
        <v>9586.3291089690483</v>
      </c>
      <c r="CA127" s="382">
        <f>VLOOKUP(BO127, 'Pile Data and Eurocode Factors'!$A$34:$J$39,3, FALSE)</f>
        <v>9464.7047474031824</v>
      </c>
      <c r="CB127" s="403">
        <f t="shared" si="18"/>
        <v>9464.7047474031824</v>
      </c>
      <c r="CC127" s="419">
        <v>1050</v>
      </c>
      <c r="CD127" s="382">
        <f>PI()*CC127/1000*( Pile!$C$25- Pile!$C127)</f>
        <v>89.064151729270634</v>
      </c>
      <c r="CE127" s="382">
        <f t="shared" si="19"/>
        <v>0.86590147514568672</v>
      </c>
      <c r="CF127" s="382">
        <f t="shared" si="57"/>
        <v>15585.973873537609</v>
      </c>
      <c r="CG127" s="382">
        <f>CD127* Pile!$S$25</f>
        <v>0</v>
      </c>
      <c r="CH127" s="382">
        <f t="shared" si="68"/>
        <v>15585.973873537609</v>
      </c>
      <c r="CI127" s="382">
        <f>IF(CH127&gt;0,+CH127)/ 'Pile Data and Eurocode Factors'!$B$14/ 'Pile Data and Eurocode Factors'!$B$15+$CI$109</f>
        <v>7311.499053618496</v>
      </c>
      <c r="CJ127" s="382">
        <f t="shared" si="69"/>
        <v>12650.335140139394</v>
      </c>
      <c r="CK127" s="382">
        <f>CE127* Pile!$U$25</f>
        <v>0</v>
      </c>
      <c r="CL127" s="382">
        <f t="shared" si="20"/>
        <v>12650.335140139394</v>
      </c>
      <c r="CM127" s="382">
        <f>CL127/ 'Pile Data and Eurocode Factors'!$C$14/ 'Pile Data and Eurocode Factors'!$C$15</f>
        <v>4517.9768357640696</v>
      </c>
      <c r="CN127" s="382">
        <f t="shared" si="21"/>
        <v>11829.475889382566</v>
      </c>
      <c r="CO127" s="382">
        <f>VLOOKUP(CC127, 'Pile Data and Eurocode Factors'!$A$34:$J$39,3, FALSE)</f>
        <v>12882.514795076555</v>
      </c>
      <c r="CP127" s="403">
        <f t="shared" si="22"/>
        <v>11829.475889382566</v>
      </c>
      <c r="CQ127" s="419">
        <v>1200</v>
      </c>
      <c r="CR127" s="382">
        <f>PI()*CQ127/1000*( Pile!$C$25- Pile!$C127)</f>
        <v>101.7876019763093</v>
      </c>
      <c r="CS127" s="382">
        <f t="shared" si="23"/>
        <v>1.1309733552923256</v>
      </c>
      <c r="CT127" s="382">
        <f t="shared" si="58"/>
        <v>17812.541569757268</v>
      </c>
      <c r="CU127" s="382">
        <f>CR127* Pile!$S$25</f>
        <v>0</v>
      </c>
      <c r="CV127" s="382">
        <f t="shared" si="70"/>
        <v>17812.541569757268</v>
      </c>
      <c r="CW127" s="382">
        <f>IF(CV127&gt;0,+CV127)/ 'Pile Data and Eurocode Factors'!$B$14/ 'Pile Data and Eurocode Factors'!$B$15+$CW$109</f>
        <v>8355.998918421139</v>
      </c>
      <c r="CX127" s="382">
        <f t="shared" si="71"/>
        <v>16522.886713651453</v>
      </c>
      <c r="CY127" s="382">
        <f>CS127* Pile!$U$25</f>
        <v>0</v>
      </c>
      <c r="CZ127" s="382">
        <f t="shared" si="24"/>
        <v>16522.886713651453</v>
      </c>
      <c r="DA127" s="382">
        <f>CZ127/ 'Pile Data and Eurocode Factors'!$C$14/ 'Pile Data and Eurocode Factors'!$C$15</f>
        <v>5901.0309691612338</v>
      </c>
      <c r="DB127" s="382">
        <f t="shared" si="25"/>
        <v>14257.029887582372</v>
      </c>
      <c r="DC127" s="382">
        <f>VLOOKUP(CQ127, 'Pile Data and Eurocode Factors'!$A$34:$J$39,3, FALSE)</f>
        <v>16826.141773161216</v>
      </c>
      <c r="DD127" s="403">
        <f t="shared" si="26"/>
        <v>14257.029887582372</v>
      </c>
      <c r="DE127" s="420">
        <f xml:space="preserve"> Pile!$C$23- Pile!C127</f>
        <v>39</v>
      </c>
      <c r="DG127" s="382">
        <f t="shared" si="52"/>
        <v>2366.1761868507956</v>
      </c>
      <c r="DH127" s="382">
        <f t="shared" si="27"/>
        <v>4206.5354432903041</v>
      </c>
      <c r="DI127" s="382">
        <f t="shared" si="28"/>
        <v>6572.7116301410997</v>
      </c>
      <c r="DJ127" s="382">
        <f t="shared" si="29"/>
        <v>9464.7047474031824</v>
      </c>
      <c r="DK127" s="382">
        <f t="shared" si="30"/>
        <v>11829.475889382566</v>
      </c>
      <c r="DL127" s="382">
        <f t="shared" si="53"/>
        <v>14257.029887582372</v>
      </c>
    </row>
    <row r="128" spans="1:116" s="308" customFormat="1" ht="15">
      <c r="B128" s="400">
        <v>19</v>
      </c>
      <c r="C128" s="401">
        <f>+C127- Pile!D$25/20</f>
        <v>-34.5</v>
      </c>
      <c r="D128" s="415" t="str">
        <f>B25</f>
        <v>Medium Sand/Gravel</v>
      </c>
      <c r="E128" s="415" t="str">
        <f>F25</f>
        <v>Granular</v>
      </c>
      <c r="F128" s="401">
        <f xml:space="preserve"> Pile!$E$25*(C127-C128)+F127</f>
        <v>765.75000000000023</v>
      </c>
      <c r="G128" s="401">
        <f>IF(C128&gt; Pile!$C$28,0,( Pile!$C$28-C128)*9.81)</f>
        <v>191.29500000000002</v>
      </c>
      <c r="H128" s="401">
        <f t="shared" si="0"/>
        <v>574.45500000000015</v>
      </c>
      <c r="I128" s="401">
        <f t="shared" si="72"/>
        <v>392.22750000000013</v>
      </c>
      <c r="J128" s="401">
        <f>IF(E128="Cohesive",(( Pile!$H$25- Pile!$G$25)/20)+J127,0)</f>
        <v>0</v>
      </c>
      <c r="K128" s="401">
        <f>IF(E128="Cohesive",( Pile!$G$25+ Pile!$J128)/2,0)</f>
        <v>0</v>
      </c>
      <c r="L128" s="401" t="str">
        <f>IF( Pile!I$25="",0, Pile!I$25)</f>
        <v>0</v>
      </c>
      <c r="M128" s="401" t="str">
        <f>IF( Pile!J$25="",0, Pile!J$25)</f>
        <v>0</v>
      </c>
      <c r="N128" s="401">
        <f>IF(E128="Granular", Pile!$K$25,0)</f>
        <v>26.092012099198989</v>
      </c>
      <c r="O128" s="416">
        <f>IF(AND(E128="Granular",D128&lt;&gt;"Made Ground"), Pile!$L$25,0)</f>
        <v>0.4545853152382574</v>
      </c>
      <c r="P128" s="401">
        <f>IF(OR(D128="Low Density Chalk",D128="Medium Density Chalk"), Pile!$M$25,0)</f>
        <v>0</v>
      </c>
      <c r="Q128" s="417">
        <f>IF(D128="High Density Chalk", Pile!$N$25,0)</f>
        <v>0</v>
      </c>
      <c r="R128" s="401">
        <f>IF( Pile!O$25="",0, Pile!O$25)</f>
        <v>0</v>
      </c>
      <c r="S128" s="418">
        <f t="shared" si="31"/>
        <v>178.30086173261367</v>
      </c>
      <c r="T128" s="382">
        <f xml:space="preserve"> Pile!$T$25</f>
        <v>1200</v>
      </c>
      <c r="U128" s="382">
        <f t="shared" si="32"/>
        <v>178.30086173261367</v>
      </c>
      <c r="V128" s="382">
        <f t="shared" si="2"/>
        <v>14988.686810445359</v>
      </c>
      <c r="W128" s="382">
        <f xml:space="preserve"> Pile!$V$25</f>
        <v>15000</v>
      </c>
      <c r="X128" s="382">
        <f t="shared" si="33"/>
        <v>14988.686810445359</v>
      </c>
      <c r="Y128" s="419">
        <v>450</v>
      </c>
      <c r="Z128" s="382">
        <f>PI()*Y128/1000*( Pile!$C$25- Pile!$C128)</f>
        <v>40.290925782289094</v>
      </c>
      <c r="AA128" s="382">
        <f t="shared" si="3"/>
        <v>0.15904312808798329</v>
      </c>
      <c r="AB128" s="382">
        <f t="shared" si="34"/>
        <v>7183.9067869869268</v>
      </c>
      <c r="AC128" s="382">
        <f>Z128* Pile!$S$25</f>
        <v>0</v>
      </c>
      <c r="AD128" s="382">
        <f t="shared" si="35"/>
        <v>7183.9067869869268</v>
      </c>
      <c r="AE128" s="382">
        <f>IF(AD128&gt;0,+AD128)/ 'Pile Data and Eurocode Factors'!$B$14/ 'Pile Data and Eurocode Factors'!$B$15+$AE$109</f>
        <v>3358.5905311614765</v>
      </c>
      <c r="AF128" s="382">
        <f t="shared" si="36"/>
        <v>2383.8476362643269</v>
      </c>
      <c r="AG128" s="382">
        <f>AA128* Pile!$U$25</f>
        <v>0</v>
      </c>
      <c r="AH128" s="382">
        <f t="shared" si="4"/>
        <v>2383.8476362643269</v>
      </c>
      <c r="AI128" s="382">
        <f>AH128/ 'Pile Data and Eurocode Factors'!$C$14/ 'Pile Data and Eurocode Factors'!$C$15</f>
        <v>851.37415580868822</v>
      </c>
      <c r="AJ128" s="382">
        <f t="shared" si="5"/>
        <v>4209.9646869701646</v>
      </c>
      <c r="AK128" s="382">
        <f>VLOOKUP(Y128, 'Pile Data and Eurocode Factors'!$A$34:$J$39,3, FALSE)</f>
        <v>2366.1761868507956</v>
      </c>
      <c r="AL128" s="403">
        <f t="shared" si="6"/>
        <v>2366.1761868507956</v>
      </c>
      <c r="AM128" s="419">
        <v>600</v>
      </c>
      <c r="AN128" s="382">
        <f>PI()*AM128/1000*( Pile!$C$25- Pile!$C128)</f>
        <v>53.721234376385461</v>
      </c>
      <c r="AO128" s="382">
        <f t="shared" si="7"/>
        <v>0.28274333882308139</v>
      </c>
      <c r="AP128" s="382">
        <f t="shared" si="54"/>
        <v>9578.542382649237</v>
      </c>
      <c r="AQ128" s="382">
        <f>AN128* Pile!$S$25</f>
        <v>0</v>
      </c>
      <c r="AR128" s="382">
        <f t="shared" si="59"/>
        <v>9578.542382649237</v>
      </c>
      <c r="AS128" s="382">
        <f>IF(AR128&gt;0,+AR128)/ 'Pile Data and Eurocode Factors'!$B$14/ 'Pile Data and Eurocode Factors'!$B$15+$AS$109</f>
        <v>4478.1207082153032</v>
      </c>
      <c r="AT128" s="382">
        <f t="shared" si="65"/>
        <v>4237.9513533588033</v>
      </c>
      <c r="AU128" s="382">
        <f>AO128* Pile!$U$25</f>
        <v>0</v>
      </c>
      <c r="AV128" s="382">
        <f t="shared" si="8"/>
        <v>4237.9513533588033</v>
      </c>
      <c r="AW128" s="382">
        <f>AV128/ 'Pile Data and Eurocode Factors'!$C$14/ 'Pile Data and Eurocode Factors'!$C$15</f>
        <v>1513.5540547710013</v>
      </c>
      <c r="AX128" s="382">
        <f t="shared" si="9"/>
        <v>5991.6747629863048</v>
      </c>
      <c r="AY128" s="382">
        <f>VLOOKUP(AM128, 'Pile Data and Eurocode Factors'!$A$34:$J$39,3, FALSE)</f>
        <v>4206.5354432903041</v>
      </c>
      <c r="AZ128" s="403">
        <f t="shared" si="10"/>
        <v>4206.5354432903041</v>
      </c>
      <c r="BA128" s="419">
        <v>750</v>
      </c>
      <c r="BB128" s="382">
        <f>PI()*BA128/1000*( Pile!$C$25- Pile!$C128)</f>
        <v>67.151542970481827</v>
      </c>
      <c r="BC128" s="382">
        <f t="shared" si="11"/>
        <v>0.44178646691106466</v>
      </c>
      <c r="BD128" s="382">
        <f t="shared" si="55"/>
        <v>11973.177978311545</v>
      </c>
      <c r="BE128" s="382">
        <f>BB128* Pile!$S$25</f>
        <v>0</v>
      </c>
      <c r="BF128" s="382">
        <f t="shared" si="60"/>
        <v>11973.177978311545</v>
      </c>
      <c r="BG128" s="382">
        <f>IF(BF128&gt;0,+BF128)/ 'Pile Data and Eurocode Factors'!$B$14/ 'Pile Data and Eurocode Factors'!$B$15+$BG$109</f>
        <v>5597.6508852691286</v>
      </c>
      <c r="BH128" s="382">
        <f t="shared" si="66"/>
        <v>6621.7989896231302</v>
      </c>
      <c r="BI128" s="382">
        <f>BC128* Pile!$U$25</f>
        <v>0</v>
      </c>
      <c r="BJ128" s="382">
        <f t="shared" si="12"/>
        <v>6621.7989896231302</v>
      </c>
      <c r="BK128" s="382">
        <f>BJ128/ 'Pile Data and Eurocode Factors'!$C$14/ 'Pile Data and Eurocode Factors'!$C$15</f>
        <v>2364.9282105796897</v>
      </c>
      <c r="BL128" s="382">
        <f t="shared" si="13"/>
        <v>7962.5790958488178</v>
      </c>
      <c r="BM128" s="382">
        <f>VLOOKUP(BA128, 'Pile Data and Eurocode Factors'!$A$34:$J$39,3, FALSE)</f>
        <v>6572.7116301410997</v>
      </c>
      <c r="BN128" s="403">
        <f t="shared" si="14"/>
        <v>6572.7116301410997</v>
      </c>
      <c r="BO128" s="419">
        <v>900</v>
      </c>
      <c r="BP128" s="382">
        <f>PI()*BO128/1000*( Pile!$C$25- Pile!$C128)</f>
        <v>80.581851564578187</v>
      </c>
      <c r="BQ128" s="382">
        <f t="shared" si="15"/>
        <v>0.63617251235193317</v>
      </c>
      <c r="BR128" s="382">
        <f t="shared" si="56"/>
        <v>14367.813573973854</v>
      </c>
      <c r="BS128" s="382">
        <f>BP128* Pile!$S$25</f>
        <v>0</v>
      </c>
      <c r="BT128" s="382">
        <f t="shared" si="61"/>
        <v>14367.813573973854</v>
      </c>
      <c r="BU128" s="382">
        <f>IF(BT128&gt;0,+BT128)/ 'Pile Data and Eurocode Factors'!$B$14/ 'Pile Data and Eurocode Factors'!$B$15+$BU$109</f>
        <v>6717.181062322953</v>
      </c>
      <c r="BV128" s="382">
        <f t="shared" si="67"/>
        <v>9535.3905450573075</v>
      </c>
      <c r="BW128" s="382">
        <f>BQ128* Pile!$U$25</f>
        <v>0</v>
      </c>
      <c r="BX128" s="382">
        <f t="shared" si="16"/>
        <v>9535.3905450573075</v>
      </c>
      <c r="BY128" s="382">
        <f>BX128/ 'Pile Data and Eurocode Factors'!$C$14/ 'Pile Data and Eurocode Factors'!$C$15</f>
        <v>3405.4966232347529</v>
      </c>
      <c r="BZ128" s="382">
        <f t="shared" si="17"/>
        <v>10122.677685557706</v>
      </c>
      <c r="CA128" s="382">
        <f>VLOOKUP(BO128, 'Pile Data and Eurocode Factors'!$A$34:$J$39,3, FALSE)</f>
        <v>9464.7047474031824</v>
      </c>
      <c r="CB128" s="403">
        <f t="shared" si="18"/>
        <v>9464.7047474031824</v>
      </c>
      <c r="CC128" s="419">
        <v>1050</v>
      </c>
      <c r="CD128" s="382">
        <f>PI()*CC128/1000*( Pile!$C$25- Pile!$C128)</f>
        <v>94.012160158674561</v>
      </c>
      <c r="CE128" s="382">
        <f t="shared" si="19"/>
        <v>0.86590147514568672</v>
      </c>
      <c r="CF128" s="382">
        <f t="shared" si="57"/>
        <v>16762.449169636166</v>
      </c>
      <c r="CG128" s="382">
        <f>CD128* Pile!$S$25</f>
        <v>0</v>
      </c>
      <c r="CH128" s="382">
        <f t="shared" si="68"/>
        <v>16762.449169636166</v>
      </c>
      <c r="CI128" s="382">
        <f>IF(CH128&gt;0,+CH128)/ 'Pile Data and Eurocode Factors'!$B$14/ 'Pile Data and Eurocode Factors'!$B$15+$CI$109</f>
        <v>7836.7112393767793</v>
      </c>
      <c r="CJ128" s="382">
        <f t="shared" si="69"/>
        <v>12978.726019661333</v>
      </c>
      <c r="CK128" s="382">
        <f>CE128* Pile!$U$25</f>
        <v>0</v>
      </c>
      <c r="CL128" s="382">
        <f t="shared" si="20"/>
        <v>12978.726019661333</v>
      </c>
      <c r="CM128" s="382">
        <f>CL128/ 'Pile Data and Eurocode Factors'!$C$14/ 'Pile Data and Eurocode Factors'!$C$15</f>
        <v>4635.2592927361911</v>
      </c>
      <c r="CN128" s="382">
        <f t="shared" si="21"/>
        <v>12471.97053211297</v>
      </c>
      <c r="CO128" s="382">
        <f>VLOOKUP(CC128, 'Pile Data and Eurocode Factors'!$A$34:$J$39,3, FALSE)</f>
        <v>12882.514795076555</v>
      </c>
      <c r="CP128" s="403">
        <f t="shared" si="22"/>
        <v>12471.97053211297</v>
      </c>
      <c r="CQ128" s="419">
        <v>1200</v>
      </c>
      <c r="CR128" s="382">
        <f>PI()*CQ128/1000*( Pile!$C$25- Pile!$C128)</f>
        <v>107.44246875277092</v>
      </c>
      <c r="CS128" s="382">
        <f t="shared" si="23"/>
        <v>1.1309733552923256</v>
      </c>
      <c r="CT128" s="382">
        <f t="shared" si="58"/>
        <v>19157.084765298474</v>
      </c>
      <c r="CU128" s="382">
        <f>CR128* Pile!$S$25</f>
        <v>0</v>
      </c>
      <c r="CV128" s="382">
        <f t="shared" si="70"/>
        <v>19157.084765298474</v>
      </c>
      <c r="CW128" s="382">
        <f>IF(CV128&gt;0,+CV128)/ 'Pile Data and Eurocode Factors'!$B$14/ 'Pile Data and Eurocode Factors'!$B$15+$CW$109</f>
        <v>8956.2414164306065</v>
      </c>
      <c r="CX128" s="382">
        <f t="shared" si="71"/>
        <v>16951.805413435213</v>
      </c>
      <c r="CY128" s="382">
        <f>CS128* Pile!$U$25</f>
        <v>0</v>
      </c>
      <c r="CZ128" s="382">
        <f t="shared" si="24"/>
        <v>16951.805413435213</v>
      </c>
      <c r="DA128" s="382">
        <f>CZ128/ 'Pile Data and Eurocode Factors'!$C$14/ 'Pile Data and Eurocode Factors'!$C$15</f>
        <v>6054.2162190840054</v>
      </c>
      <c r="DB128" s="382">
        <f t="shared" si="25"/>
        <v>15010.457635514613</v>
      </c>
      <c r="DC128" s="382">
        <f>VLOOKUP(CQ128, 'Pile Data and Eurocode Factors'!$A$34:$J$39,3, FALSE)</f>
        <v>16826.141773161216</v>
      </c>
      <c r="DD128" s="403">
        <f t="shared" si="26"/>
        <v>15010.457635514613</v>
      </c>
      <c r="DE128" s="420">
        <f xml:space="preserve"> Pile!$C$23- Pile!C128</f>
        <v>40.5</v>
      </c>
      <c r="DG128" s="382">
        <f t="shared" si="52"/>
        <v>2366.1761868507956</v>
      </c>
      <c r="DH128" s="382">
        <f t="shared" si="27"/>
        <v>4206.5354432903041</v>
      </c>
      <c r="DI128" s="382">
        <f t="shared" si="28"/>
        <v>6572.7116301410997</v>
      </c>
      <c r="DJ128" s="382">
        <f t="shared" si="29"/>
        <v>9464.7047474031824</v>
      </c>
      <c r="DK128" s="382">
        <f t="shared" si="30"/>
        <v>12471.97053211297</v>
      </c>
      <c r="DL128" s="382">
        <f t="shared" si="53"/>
        <v>15010.457635514613</v>
      </c>
    </row>
    <row r="129" spans="1:116" s="308" customFormat="1" ht="15">
      <c r="B129" s="400">
        <v>20</v>
      </c>
      <c r="C129" s="401">
        <f>+C128- Pile!D$25/20</f>
        <v>-36</v>
      </c>
      <c r="D129" s="415" t="str">
        <f>B25</f>
        <v>Medium Sand/Gravel</v>
      </c>
      <c r="E129" s="415" t="str">
        <f>F25</f>
        <v>Granular</v>
      </c>
      <c r="F129" s="401">
        <f xml:space="preserve"> Pile!$E$25*(C128-C129)+F128</f>
        <v>795.00000000000023</v>
      </c>
      <c r="G129" s="401">
        <f>IF(C129&gt; Pile!$C$28,0,( Pile!$C$28-C129)*9.81)</f>
        <v>206.01000000000002</v>
      </c>
      <c r="H129" s="401">
        <f t="shared" si="0"/>
        <v>588.99000000000024</v>
      </c>
      <c r="I129" s="401">
        <f t="shared" si="72"/>
        <v>399.49500000000018</v>
      </c>
      <c r="J129" s="401">
        <f>IF(E129="Cohesive",(( Pile!$H$25- Pile!$G$25)/20)+J128,0)</f>
        <v>0</v>
      </c>
      <c r="K129" s="401">
        <f>IF(E129="Cohesive",( Pile!$G$25+ Pile!$J129)/2,0)</f>
        <v>0</v>
      </c>
      <c r="L129" s="401" t="str">
        <f>IF( Pile!I$25="",0, Pile!I$25)</f>
        <v>0</v>
      </c>
      <c r="M129" s="401" t="str">
        <f>IF( Pile!J$25="",0, Pile!J$25)</f>
        <v>0</v>
      </c>
      <c r="N129" s="401">
        <f>IF(E129="Granular", Pile!$K$25,0)</f>
        <v>26.092012099198989</v>
      </c>
      <c r="O129" s="416">
        <f>IF(AND(E129="Granular",D129&lt;&gt;"Made Ground"), Pile!$L$25,0)</f>
        <v>0.4545853152382574</v>
      </c>
      <c r="P129" s="401">
        <f>IF(OR(D129="Low Density Chalk",D129="Medium Density Chalk"), Pile!$M$25,0)</f>
        <v>0</v>
      </c>
      <c r="Q129" s="417">
        <f>IF(D129="High Density Chalk", Pile!$N$25,0)</f>
        <v>0</v>
      </c>
      <c r="R129" s="401">
        <f>IF( Pile!O$25="",0, Pile!O$25)</f>
        <v>0</v>
      </c>
      <c r="S129" s="418">
        <f t="shared" si="31"/>
        <v>181.60456051110774</v>
      </c>
      <c r="T129" s="382">
        <f xml:space="preserve"> Pile!$T$25</f>
        <v>1200</v>
      </c>
      <c r="U129" s="382">
        <f t="shared" si="32"/>
        <v>181.60456051110774</v>
      </c>
      <c r="V129" s="382">
        <f t="shared" si="2"/>
        <v>15367.934206307218</v>
      </c>
      <c r="W129" s="382">
        <f xml:space="preserve"> Pile!$V$25</f>
        <v>15000</v>
      </c>
      <c r="X129" s="382">
        <f t="shared" si="33"/>
        <v>15000</v>
      </c>
      <c r="Y129" s="419">
        <v>450</v>
      </c>
      <c r="Z129" s="382">
        <f>PI()*Y129/1000*( Pile!$C$25- Pile!$C129)</f>
        <v>42.411500823462205</v>
      </c>
      <c r="AA129" s="382">
        <f t="shared" si="3"/>
        <v>0.15904312808798329</v>
      </c>
      <c r="AB129" s="382">
        <f t="shared" si="34"/>
        <v>7702.1219676613373</v>
      </c>
      <c r="AC129" s="382">
        <f>Z129* Pile!$S$25</f>
        <v>0</v>
      </c>
      <c r="AD129" s="382">
        <f t="shared" si="35"/>
        <v>7702.1219676613373</v>
      </c>
      <c r="AE129" s="382">
        <f>IF(AD129&gt;0,+AD129)/ 'Pile Data and Eurocode Factors'!$B$14/ 'Pile Data and Eurocode Factors'!$B$15+$AE$109</f>
        <v>3589.9365939625527</v>
      </c>
      <c r="AF129" s="382">
        <f t="shared" si="36"/>
        <v>2385.6469213197493</v>
      </c>
      <c r="AG129" s="382">
        <f>AA129* Pile!$U$25</f>
        <v>0</v>
      </c>
      <c r="AH129" s="382">
        <f t="shared" si="4"/>
        <v>2385.6469213197493</v>
      </c>
      <c r="AI129" s="382">
        <f>AH129/ 'Pile Data and Eurocode Factors'!$C$14/ 'Pile Data and Eurocode Factors'!$C$15</f>
        <v>852.01675761419619</v>
      </c>
      <c r="AJ129" s="382">
        <f t="shared" si="5"/>
        <v>4441.9533515767489</v>
      </c>
      <c r="AK129" s="382">
        <f>VLOOKUP(Y129, 'Pile Data and Eurocode Factors'!$A$34:$J$39,3, FALSE)</f>
        <v>2366.1761868507956</v>
      </c>
      <c r="AL129" s="403">
        <f t="shared" si="6"/>
        <v>2366.1761868507956</v>
      </c>
      <c r="AM129" s="419">
        <v>600</v>
      </c>
      <c r="AN129" s="382">
        <f>PI()*AM129/1000*( Pile!$C$25- Pile!$C129)</f>
        <v>56.548667764616276</v>
      </c>
      <c r="AO129" s="382">
        <f t="shared" si="7"/>
        <v>0.28274333882308139</v>
      </c>
      <c r="AP129" s="382">
        <f t="shared" si="54"/>
        <v>10269.495956881783</v>
      </c>
      <c r="AQ129" s="382">
        <f>AN129* Pile!$S$25</f>
        <v>0</v>
      </c>
      <c r="AR129" s="382">
        <f t="shared" si="59"/>
        <v>10269.495956881783</v>
      </c>
      <c r="AS129" s="382">
        <f>IF(AR129&gt;0,+AR129)/ 'Pile Data and Eurocode Factors'!$B$14/ 'Pile Data and Eurocode Factors'!$B$15+$AS$109</f>
        <v>4786.5821252834039</v>
      </c>
      <c r="AT129" s="382">
        <f t="shared" si="65"/>
        <v>4241.1500823462211</v>
      </c>
      <c r="AU129" s="382">
        <f>AO129* Pile!$U$25</f>
        <v>0</v>
      </c>
      <c r="AV129" s="382">
        <f t="shared" si="8"/>
        <v>4241.1500823462211</v>
      </c>
      <c r="AW129" s="382">
        <f>AV129/ 'Pile Data and Eurocode Factors'!$C$14/ 'Pile Data and Eurocode Factors'!$C$15</f>
        <v>1514.6964579807934</v>
      </c>
      <c r="AX129" s="382">
        <f t="shared" si="9"/>
        <v>6301.2785832641976</v>
      </c>
      <c r="AY129" s="382">
        <f>VLOOKUP(AM129, 'Pile Data and Eurocode Factors'!$A$34:$J$39,3, FALSE)</f>
        <v>4206.5354432903041</v>
      </c>
      <c r="AZ129" s="403">
        <f t="shared" si="10"/>
        <v>4206.5354432903041</v>
      </c>
      <c r="BA129" s="419">
        <v>750</v>
      </c>
      <c r="BB129" s="382">
        <f>PI()*BA129/1000*( Pile!$C$25- Pile!$C129)</f>
        <v>70.685834705770347</v>
      </c>
      <c r="BC129" s="382">
        <f t="shared" si="11"/>
        <v>0.44178646691106466</v>
      </c>
      <c r="BD129" s="382">
        <f t="shared" si="55"/>
        <v>12836.86994610223</v>
      </c>
      <c r="BE129" s="382">
        <f>BB129* Pile!$S$25</f>
        <v>0</v>
      </c>
      <c r="BF129" s="382">
        <f t="shared" si="60"/>
        <v>12836.86994610223</v>
      </c>
      <c r="BG129" s="382">
        <f>IF(BF129&gt;0,+BF129)/ 'Pile Data and Eurocode Factors'!$B$14/ 'Pile Data and Eurocode Factors'!$B$15+$BG$109</f>
        <v>5983.2276566042556</v>
      </c>
      <c r="BH129" s="382">
        <f t="shared" si="66"/>
        <v>6626.7970036659699</v>
      </c>
      <c r="BI129" s="382">
        <f>BC129* Pile!$U$25</f>
        <v>0</v>
      </c>
      <c r="BJ129" s="382">
        <f t="shared" si="12"/>
        <v>6626.7970036659699</v>
      </c>
      <c r="BK129" s="382">
        <f>BJ129/ 'Pile Data and Eurocode Factors'!$C$14/ 'Pile Data and Eurocode Factors'!$C$15</f>
        <v>2366.7132155949894</v>
      </c>
      <c r="BL129" s="382">
        <f t="shared" si="13"/>
        <v>8349.940872199244</v>
      </c>
      <c r="BM129" s="382">
        <f>VLOOKUP(BA129, 'Pile Data and Eurocode Factors'!$A$34:$J$39,3, FALSE)</f>
        <v>6572.7116301410997</v>
      </c>
      <c r="BN129" s="403">
        <f t="shared" si="14"/>
        <v>6572.7116301410997</v>
      </c>
      <c r="BO129" s="419">
        <v>900</v>
      </c>
      <c r="BP129" s="382">
        <f>PI()*BO129/1000*( Pile!$C$25- Pile!$C129)</f>
        <v>84.823001646924411</v>
      </c>
      <c r="BQ129" s="382">
        <f t="shared" si="15"/>
        <v>0.63617251235193317</v>
      </c>
      <c r="BR129" s="382">
        <f t="shared" si="56"/>
        <v>15404.243935322675</v>
      </c>
      <c r="BS129" s="382">
        <f>BP129* Pile!$S$25</f>
        <v>0</v>
      </c>
      <c r="BT129" s="382">
        <f t="shared" si="61"/>
        <v>15404.243935322675</v>
      </c>
      <c r="BU129" s="382">
        <f>IF(BT129&gt;0,+BT129)/ 'Pile Data and Eurocode Factors'!$B$14/ 'Pile Data and Eurocode Factors'!$B$15+$BU$109</f>
        <v>7179.8731879251054</v>
      </c>
      <c r="BV129" s="382">
        <f t="shared" si="67"/>
        <v>9542.587685278997</v>
      </c>
      <c r="BW129" s="382">
        <f>BQ129* Pile!$U$25</f>
        <v>0</v>
      </c>
      <c r="BX129" s="382">
        <f t="shared" si="16"/>
        <v>9542.587685278997</v>
      </c>
      <c r="BY129" s="382">
        <f>BX129/ 'Pile Data and Eurocode Factors'!$C$14/ 'Pile Data and Eurocode Factors'!$C$15</f>
        <v>3408.0670304567848</v>
      </c>
      <c r="BZ129" s="382">
        <f t="shared" si="17"/>
        <v>10587.940218381889</v>
      </c>
      <c r="CA129" s="382">
        <f>VLOOKUP(BO129, 'Pile Data and Eurocode Factors'!$A$34:$J$39,3, FALSE)</f>
        <v>9464.7047474031824</v>
      </c>
      <c r="CB129" s="403">
        <f t="shared" si="18"/>
        <v>9464.7047474031824</v>
      </c>
      <c r="CC129" s="419">
        <v>1050</v>
      </c>
      <c r="CD129" s="382">
        <f>PI()*CC129/1000*( Pile!$C$25- Pile!$C129)</f>
        <v>98.960168588078488</v>
      </c>
      <c r="CE129" s="382">
        <f t="shared" si="19"/>
        <v>0.86590147514568672</v>
      </c>
      <c r="CF129" s="382">
        <f t="shared" si="57"/>
        <v>17971.617924543123</v>
      </c>
      <c r="CG129" s="382">
        <f>CD129* Pile!$S$25</f>
        <v>0</v>
      </c>
      <c r="CH129" s="382">
        <f t="shared" si="68"/>
        <v>17971.617924543123</v>
      </c>
      <c r="CI129" s="382">
        <f>IF(CH129&gt;0,+CH129)/ 'Pile Data and Eurocode Factors'!$B$14/ 'Pile Data and Eurocode Factors'!$B$15+$CI$109</f>
        <v>8376.518719245958</v>
      </c>
      <c r="CJ129" s="382">
        <f t="shared" si="69"/>
        <v>12988.522127185301</v>
      </c>
      <c r="CK129" s="382">
        <f>CE129* Pile!$U$25</f>
        <v>0</v>
      </c>
      <c r="CL129" s="382">
        <f t="shared" si="20"/>
        <v>12988.522127185301</v>
      </c>
      <c r="CM129" s="382">
        <f>CL129/ 'Pile Data and Eurocode Factors'!$C$14/ 'Pile Data and Eurocode Factors'!$C$15</f>
        <v>4638.7579025661789</v>
      </c>
      <c r="CN129" s="382">
        <f t="shared" si="21"/>
        <v>13015.276621812136</v>
      </c>
      <c r="CO129" s="382">
        <f>VLOOKUP(CC129, 'Pile Data and Eurocode Factors'!$A$34:$J$39,3, FALSE)</f>
        <v>12882.514795076555</v>
      </c>
      <c r="CP129" s="403">
        <f t="shared" si="22"/>
        <v>12882.514795076555</v>
      </c>
      <c r="CQ129" s="419">
        <v>1200</v>
      </c>
      <c r="CR129" s="382">
        <f>PI()*CQ129/1000*( Pile!$C$25- Pile!$C129)</f>
        <v>113.09733552923255</v>
      </c>
      <c r="CS129" s="382">
        <f t="shared" si="23"/>
        <v>1.1309733552923256</v>
      </c>
      <c r="CT129" s="382">
        <f t="shared" si="58"/>
        <v>20538.991913763566</v>
      </c>
      <c r="CU129" s="382">
        <f>CR129* Pile!$S$25</f>
        <v>0</v>
      </c>
      <c r="CV129" s="382">
        <f t="shared" si="70"/>
        <v>20538.991913763566</v>
      </c>
      <c r="CW129" s="382">
        <f>IF(CV129&gt;0,+CV129)/ 'Pile Data and Eurocode Factors'!$B$14/ 'Pile Data and Eurocode Factors'!$B$15+$CW$109</f>
        <v>9573.1642505668078</v>
      </c>
      <c r="CX129" s="382">
        <f t="shared" si="71"/>
        <v>16964.600329384884</v>
      </c>
      <c r="CY129" s="382">
        <f>CS129* Pile!$U$25</f>
        <v>0</v>
      </c>
      <c r="CZ129" s="382">
        <f t="shared" si="24"/>
        <v>16964.600329384884</v>
      </c>
      <c r="DA129" s="382">
        <f>CZ129/ 'Pile Data and Eurocode Factors'!$C$14/ 'Pile Data and Eurocode Factors'!$C$15</f>
        <v>6058.7858319231736</v>
      </c>
      <c r="DB129" s="382">
        <f t="shared" si="25"/>
        <v>15631.950082489981</v>
      </c>
      <c r="DC129" s="382">
        <f>VLOOKUP(CQ129, 'Pile Data and Eurocode Factors'!$A$34:$J$39,3, FALSE)</f>
        <v>16826.141773161216</v>
      </c>
      <c r="DD129" s="403">
        <f t="shared" si="26"/>
        <v>15631.950082489981</v>
      </c>
      <c r="DE129" s="420">
        <f xml:space="preserve"> Pile!$C$23- Pile!C129</f>
        <v>42</v>
      </c>
      <c r="DG129" s="382">
        <f t="shared" si="52"/>
        <v>2366.1761868507956</v>
      </c>
      <c r="DH129" s="382">
        <f t="shared" si="27"/>
        <v>4206.5354432903041</v>
      </c>
      <c r="DI129" s="382">
        <f t="shared" si="28"/>
        <v>6572.7116301410997</v>
      </c>
      <c r="DJ129" s="382">
        <f t="shared" si="29"/>
        <v>9464.7047474031824</v>
      </c>
      <c r="DK129" s="382">
        <f t="shared" si="30"/>
        <v>12882.514795076555</v>
      </c>
      <c r="DL129" s="382">
        <f t="shared" si="53"/>
        <v>15631.950082489981</v>
      </c>
    </row>
    <row r="130" spans="1:116" s="414" customFormat="1" ht="15">
      <c r="B130" s="404">
        <v>1</v>
      </c>
      <c r="C130" s="405">
        <f>+C129- Pile!D$26/20</f>
        <v>-36.299999999999997</v>
      </c>
      <c r="D130" s="406" t="str">
        <f>B26</f>
        <v>Medium Density Chalk</v>
      </c>
      <c r="E130" s="406" t="str">
        <f>F26</f>
        <v>Chalk</v>
      </c>
      <c r="F130" s="405">
        <f xml:space="preserve"> Pile!$E$26*(C129-C130)+F129</f>
        <v>801.06993750000015</v>
      </c>
      <c r="G130" s="405">
        <f>IF(C130&gt; Pile!$C$28,0,( Pile!$C$28-C130)*9.81)</f>
        <v>208.95299999999997</v>
      </c>
      <c r="H130" s="405">
        <f t="shared" si="0"/>
        <v>592.11693750000018</v>
      </c>
      <c r="I130" s="405">
        <f t="shared" ref="I130:I149" si="73">($H$129+H130)/2</f>
        <v>590.55346875000021</v>
      </c>
      <c r="J130" s="405">
        <f>IF(E130="Cohesive", Pile!$G$26+(( Pile!$H$26- Pile!$G$26)/20),0)</f>
        <v>0</v>
      </c>
      <c r="K130" s="405">
        <f>IF(E130="Cohesive",( Pile!$G$26+ Pile!$J130)/2,0)</f>
        <v>0</v>
      </c>
      <c r="L130" s="405" t="str">
        <f>IF( Pile!I$26="",0, Pile!I$26)</f>
        <v>0</v>
      </c>
      <c r="M130" s="405" t="str">
        <f>IF( Pile!J$26="",0, Pile!J$26)</f>
        <v>0</v>
      </c>
      <c r="N130" s="405">
        <f>IF(E130="Granular", Pile!$K$26,0)</f>
        <v>0</v>
      </c>
      <c r="O130" s="407">
        <f>IF(AND(E130="Granular",D130&lt;&gt;"Made Ground"), Pile!$L$26,0)</f>
        <v>0</v>
      </c>
      <c r="P130" s="405">
        <f>IF(OR(D130="Low Density Chalk",D130="Medium Density Chalk"), Pile!$M$26,0)</f>
        <v>0.8</v>
      </c>
      <c r="Q130" s="408">
        <f>IF(D130="High Density Chalk", Pile!$N$26,0)</f>
        <v>0</v>
      </c>
      <c r="R130" s="405">
        <f>IF( Pile!O$26="",0, Pile!O$26)</f>
        <v>6000</v>
      </c>
      <c r="S130" s="409">
        <f t="shared" si="31"/>
        <v>472.44277500000021</v>
      </c>
      <c r="T130" s="410">
        <f xml:space="preserve"> Pile!$T$26</f>
        <v>320</v>
      </c>
      <c r="U130" s="410">
        <f t="shared" si="32"/>
        <v>320</v>
      </c>
      <c r="V130" s="410">
        <f t="shared" si="2"/>
        <v>6000</v>
      </c>
      <c r="W130" s="410">
        <f xml:space="preserve"> Pile!$V$26</f>
        <v>1000</v>
      </c>
      <c r="X130" s="410">
        <f t="shared" si="33"/>
        <v>1000</v>
      </c>
      <c r="Y130" s="411">
        <v>450</v>
      </c>
      <c r="Z130" s="410">
        <f>PI()*Y130/1000*( Pile!$C$26- Pile!$C130)</f>
        <v>0.42411500823461806</v>
      </c>
      <c r="AA130" s="410">
        <f t="shared" si="3"/>
        <v>0.15904312808798329</v>
      </c>
      <c r="AB130" s="410">
        <f t="shared" si="34"/>
        <v>135.71680263507778</v>
      </c>
      <c r="AC130" s="410">
        <f>Z130* Pile!$S$26</f>
        <v>135.71680263507778</v>
      </c>
      <c r="AD130" s="410">
        <f t="shared" si="35"/>
        <v>135.71680263507778</v>
      </c>
      <c r="AE130" s="410">
        <f>IF(AD130&gt;0,+AD130)/ 'Pile Data and Eurocode Factors'!$B$14/ 'Pile Data and Eurocode Factors'!$B$15+$AE$129</f>
        <v>3650.5244522817839</v>
      </c>
      <c r="AF130" s="410">
        <f t="shared" si="36"/>
        <v>159.04312808798329</v>
      </c>
      <c r="AG130" s="410">
        <f>AA130* Pile!$U$26</f>
        <v>0</v>
      </c>
      <c r="AH130" s="410">
        <f t="shared" si="4"/>
        <v>159.04312808798329</v>
      </c>
      <c r="AI130" s="410">
        <f>AH130/ 'Pile Data and Eurocode Factors'!$C$14/ 'Pile Data and Eurocode Factors'!$C$15</f>
        <v>56.801117174279753</v>
      </c>
      <c r="AJ130" s="410">
        <f t="shared" si="5"/>
        <v>3707.3255694560635</v>
      </c>
      <c r="AK130" s="410">
        <f>VLOOKUP(Y130, 'Pile Data and Eurocode Factors'!$A$34:$J$39,3, FALSE)</f>
        <v>2366.1761868507956</v>
      </c>
      <c r="AL130" s="412">
        <f t="shared" si="6"/>
        <v>2366.1761868507956</v>
      </c>
      <c r="AM130" s="411">
        <v>600</v>
      </c>
      <c r="AN130" s="410">
        <f>PI()*AM130/1000*( Pile!$C$26- Pile!$C130)</f>
        <v>0.56548667764615745</v>
      </c>
      <c r="AO130" s="410">
        <f t="shared" si="7"/>
        <v>0.28274333882308139</v>
      </c>
      <c r="AP130" s="410">
        <f t="shared" si="54"/>
        <v>180.95573684677038</v>
      </c>
      <c r="AQ130" s="410">
        <f>AN130* Pile!$S$26</f>
        <v>180.95573684677038</v>
      </c>
      <c r="AR130" s="410">
        <f>IF(AQ130&gt;0,MIN(AP130:AQ130),AP130)</f>
        <v>180.95573684677038</v>
      </c>
      <c r="AS130" s="410">
        <f>IF(AR130&gt;0,+AR130)/ 'Pile Data and Eurocode Factors'!$B$14/ 'Pile Data and Eurocode Factors'!$B$15+$AS$129</f>
        <v>4867.3659363757124</v>
      </c>
      <c r="AT130" s="410">
        <f t="shared" si="65"/>
        <v>282.74333882308139</v>
      </c>
      <c r="AU130" s="410">
        <f>AO130* Pile!$U$26</f>
        <v>0</v>
      </c>
      <c r="AV130" s="410">
        <f t="shared" si="8"/>
        <v>282.74333882308139</v>
      </c>
      <c r="AW130" s="410">
        <f>AV130/ 'Pile Data and Eurocode Factors'!$C$14/ 'Pile Data and Eurocode Factors'!$C$15</f>
        <v>100.97976386538622</v>
      </c>
      <c r="AX130" s="410">
        <f t="shared" si="9"/>
        <v>4968.3457002410987</v>
      </c>
      <c r="AY130" s="410">
        <f>VLOOKUP(AM130, 'Pile Data and Eurocode Factors'!$A$34:$J$39,3, FALSE)</f>
        <v>4206.5354432903041</v>
      </c>
      <c r="AZ130" s="412">
        <f t="shared" si="10"/>
        <v>4206.5354432903041</v>
      </c>
      <c r="BA130" s="411">
        <v>750</v>
      </c>
      <c r="BB130" s="410">
        <f>PI()*BA130/1000*( Pile!$C$26- Pile!$C130)</f>
        <v>0.70685834705769679</v>
      </c>
      <c r="BC130" s="410">
        <f t="shared" si="11"/>
        <v>0.44178646691106466</v>
      </c>
      <c r="BD130" s="410">
        <f t="shared" si="55"/>
        <v>226.19467105846297</v>
      </c>
      <c r="BE130" s="410">
        <f>BB130* Pile!$S$26</f>
        <v>226.19467105846297</v>
      </c>
      <c r="BF130" s="410">
        <f>IF(BE130&gt;0,MIN(BD130:BE130),BD130)</f>
        <v>226.19467105846297</v>
      </c>
      <c r="BG130" s="410">
        <f>IF(BF130&gt;0,+BF130)/ 'Pile Data and Eurocode Factors'!$B$14/ 'Pile Data and Eurocode Factors'!$B$15+$BG$129</f>
        <v>6084.207420469641</v>
      </c>
      <c r="BH130" s="410">
        <f t="shared" si="66"/>
        <v>441.78646691106468</v>
      </c>
      <c r="BI130" s="410">
        <f>BC130* Pile!$U$26</f>
        <v>0</v>
      </c>
      <c r="BJ130" s="410">
        <f t="shared" si="12"/>
        <v>441.78646691106468</v>
      </c>
      <c r="BK130" s="410">
        <f>BJ130/ 'Pile Data and Eurocode Factors'!$C$14/ 'Pile Data and Eurocode Factors'!$C$15</f>
        <v>157.78088103966596</v>
      </c>
      <c r="BL130" s="410">
        <f t="shared" si="13"/>
        <v>6241.9883015093073</v>
      </c>
      <c r="BM130" s="410">
        <f>VLOOKUP(BA130, 'Pile Data and Eurocode Factors'!$A$34:$J$39,3, FALSE)</f>
        <v>6572.7116301410997</v>
      </c>
      <c r="BN130" s="412">
        <f t="shared" si="14"/>
        <v>6241.9883015093073</v>
      </c>
      <c r="BO130" s="411">
        <v>900</v>
      </c>
      <c r="BP130" s="410">
        <f>PI()*BO130/1000*( Pile!$C$26- Pile!$C130)</f>
        <v>0.84823001646923613</v>
      </c>
      <c r="BQ130" s="410">
        <f t="shared" si="15"/>
        <v>0.63617251235193317</v>
      </c>
      <c r="BR130" s="410">
        <f t="shared" si="56"/>
        <v>271.43360527015557</v>
      </c>
      <c r="BS130" s="410">
        <f>BP130* Pile!$S$26</f>
        <v>271.43360527015557</v>
      </c>
      <c r="BT130" s="410">
        <f>IF(BS130&gt;0,MIN(BR130:BS130),BR130)</f>
        <v>271.43360527015557</v>
      </c>
      <c r="BU130" s="410">
        <f>IF(BT130&gt;0,+BT130)/ 'Pile Data and Eurocode Factors'!$B$14/ 'Pile Data and Eurocode Factors'!$B$15+$BU$129</f>
        <v>7301.0489045635677</v>
      </c>
      <c r="BV130" s="410">
        <f t="shared" si="67"/>
        <v>636.17251235193316</v>
      </c>
      <c r="BW130" s="410">
        <f>BQ130* Pile!$U$26</f>
        <v>0</v>
      </c>
      <c r="BX130" s="410">
        <f t="shared" si="16"/>
        <v>636.17251235193316</v>
      </c>
      <c r="BY130" s="410">
        <f>BX130/ 'Pile Data and Eurocode Factors'!$C$14/ 'Pile Data and Eurocode Factors'!$C$15</f>
        <v>227.20446869711901</v>
      </c>
      <c r="BZ130" s="410">
        <f t="shared" si="17"/>
        <v>7528.2533732606871</v>
      </c>
      <c r="CA130" s="410">
        <f>VLOOKUP(BO130, 'Pile Data and Eurocode Factors'!$A$34:$J$39,3, FALSE)</f>
        <v>9464.7047474031824</v>
      </c>
      <c r="CB130" s="412">
        <f t="shared" si="18"/>
        <v>7528.2533732606871</v>
      </c>
      <c r="CC130" s="411">
        <v>1050</v>
      </c>
      <c r="CD130" s="410">
        <f>PI()*CC130/1000*( Pile!$C$26- Pile!$C130)</f>
        <v>0.98960168588077546</v>
      </c>
      <c r="CE130" s="410">
        <f t="shared" si="19"/>
        <v>0.86590147514568672</v>
      </c>
      <c r="CF130" s="410">
        <f t="shared" si="57"/>
        <v>316.67253948184816</v>
      </c>
      <c r="CG130" s="410">
        <f>CD130* Pile!$S$26</f>
        <v>316.67253948184816</v>
      </c>
      <c r="CH130" s="410">
        <f>IF(CG130&gt;0,MIN(CF130:CG130),CF130)</f>
        <v>316.67253948184816</v>
      </c>
      <c r="CI130" s="410">
        <f>IF(CH130&gt;0,+CH130)/ 'Pile Data and Eurocode Factors'!$B$14/ 'Pile Data and Eurocode Factors'!$B$15+$CI$129</f>
        <v>8517.8903886574972</v>
      </c>
      <c r="CJ130" s="410">
        <f t="shared" si="69"/>
        <v>865.90147514568673</v>
      </c>
      <c r="CK130" s="410">
        <f>CE130* Pile!$U$26</f>
        <v>0</v>
      </c>
      <c r="CL130" s="410">
        <f t="shared" si="20"/>
        <v>865.90147514568673</v>
      </c>
      <c r="CM130" s="410">
        <f>CL130/ 'Pile Data and Eurocode Factors'!$C$14/ 'Pile Data and Eurocode Factors'!$C$15</f>
        <v>309.25052683774527</v>
      </c>
      <c r="CN130" s="410">
        <f t="shared" si="21"/>
        <v>8827.1409154952416</v>
      </c>
      <c r="CO130" s="410">
        <f>VLOOKUP(CC130, 'Pile Data and Eurocode Factors'!$A$34:$J$39,3, FALSE)</f>
        <v>12882.514795076555</v>
      </c>
      <c r="CP130" s="412">
        <f t="shared" si="22"/>
        <v>8827.1409154952416</v>
      </c>
      <c r="CQ130" s="411">
        <v>1200</v>
      </c>
      <c r="CR130" s="410">
        <f>PI()*CQ130/1000*( Pile!$C$26- Pile!$C130)</f>
        <v>1.1309733552923149</v>
      </c>
      <c r="CS130" s="410">
        <f t="shared" si="23"/>
        <v>1.1309733552923256</v>
      </c>
      <c r="CT130" s="410">
        <f t="shared" si="58"/>
        <v>361.91147369354076</v>
      </c>
      <c r="CU130" s="410">
        <f>CR130* Pile!$S$26</f>
        <v>361.91147369354076</v>
      </c>
      <c r="CV130" s="410">
        <f>IF(CU130&gt;0,MIN(CT130:CU130),CT130)</f>
        <v>361.91147369354076</v>
      </c>
      <c r="CW130" s="410">
        <f>IF(CV130&gt;0,+CV130)/ 'Pile Data and Eurocode Factors'!$B$14/ 'Pile Data and Eurocode Factors'!$B$15+$CW$129</f>
        <v>9734.7318727514248</v>
      </c>
      <c r="CX130" s="410">
        <f t="shared" si="71"/>
        <v>1130.9733552923256</v>
      </c>
      <c r="CY130" s="410">
        <f>CS130* Pile!$U$26</f>
        <v>0</v>
      </c>
      <c r="CZ130" s="410">
        <f t="shared" si="24"/>
        <v>1130.9733552923256</v>
      </c>
      <c r="DA130" s="410">
        <f>CZ130/ 'Pile Data and Eurocode Factors'!$C$14/ 'Pile Data and Eurocode Factors'!$C$15</f>
        <v>403.91905546154487</v>
      </c>
      <c r="DB130" s="410">
        <f t="shared" si="25"/>
        <v>10138.65092821297</v>
      </c>
      <c r="DC130" s="410">
        <f>VLOOKUP(CQ130, 'Pile Data and Eurocode Factors'!$A$34:$J$39,3, FALSE)</f>
        <v>16826.141773161216</v>
      </c>
      <c r="DD130" s="412">
        <f t="shared" si="26"/>
        <v>10138.65092821297</v>
      </c>
      <c r="DE130" s="413">
        <f xml:space="preserve"> Pile!$C$23- Pile!C130</f>
        <v>42.3</v>
      </c>
      <c r="DG130" s="410">
        <f t="shared" si="52"/>
        <v>2366.1761868507956</v>
      </c>
      <c r="DH130" s="410">
        <f t="shared" si="27"/>
        <v>4206.5354432903041</v>
      </c>
      <c r="DI130" s="410">
        <f t="shared" si="28"/>
        <v>6241.9883015093073</v>
      </c>
      <c r="DJ130" s="410">
        <f t="shared" si="29"/>
        <v>7528.2533732606871</v>
      </c>
      <c r="DK130" s="410">
        <f t="shared" si="30"/>
        <v>8827.1409154952416</v>
      </c>
      <c r="DL130" s="410">
        <f t="shared" si="53"/>
        <v>10138.65092821297</v>
      </c>
    </row>
    <row r="131" spans="1:116" s="308" customFormat="1" ht="15">
      <c r="B131" s="400">
        <v>2</v>
      </c>
      <c r="C131" s="401">
        <f>+C130- Pile!D$26/20</f>
        <v>-36.599999999999994</v>
      </c>
      <c r="D131" s="415" t="str">
        <f>B26</f>
        <v>Medium Density Chalk</v>
      </c>
      <c r="E131" s="415" t="str">
        <f>F26</f>
        <v>Chalk</v>
      </c>
      <c r="F131" s="401">
        <f xml:space="preserve"> Pile!$E$26*(C130-C131)+F130</f>
        <v>807.13987500000007</v>
      </c>
      <c r="G131" s="401">
        <f>IF(C131&gt; Pile!$C$28,0,( Pile!$C$28-C131)*9.81)</f>
        <v>211.89599999999996</v>
      </c>
      <c r="H131" s="401">
        <f t="shared" si="0"/>
        <v>595.24387500000012</v>
      </c>
      <c r="I131" s="401">
        <f t="shared" si="73"/>
        <v>592.11693750000018</v>
      </c>
      <c r="J131" s="401">
        <f>IF(E131="Cohesive",(( Pile!$H$26- Pile!$G$26)/20)+J130,0)</f>
        <v>0</v>
      </c>
      <c r="K131" s="401">
        <f>IF(E131="Cohesive",( Pile!$G$26+ Pile!$J131)/2,0)</f>
        <v>0</v>
      </c>
      <c r="L131" s="401" t="str">
        <f>IF( Pile!I$26="",0, Pile!I$26)</f>
        <v>0</v>
      </c>
      <c r="M131" s="401" t="str">
        <f>IF( Pile!J$26="",0, Pile!J$26)</f>
        <v>0</v>
      </c>
      <c r="N131" s="401">
        <f>IF(E131="Granular", Pile!$K$26,0)</f>
        <v>0</v>
      </c>
      <c r="O131" s="416">
        <f>IF(AND(E131="Granular",D131&lt;&gt;"Made Ground"), Pile!$L$26,0)</f>
        <v>0</v>
      </c>
      <c r="P131" s="401">
        <f>IF(OR(D131="Low Density Chalk",D131="Medium Density Chalk"), Pile!$M$26,0)</f>
        <v>0.8</v>
      </c>
      <c r="Q131" s="417">
        <f>IF(D131="High Density Chalk", Pile!$N$26,0)</f>
        <v>0</v>
      </c>
      <c r="R131" s="401">
        <f>IF( Pile!O$26="",0, Pile!O$26)</f>
        <v>6000</v>
      </c>
      <c r="S131" s="418">
        <f t="shared" si="31"/>
        <v>473.69355000000019</v>
      </c>
      <c r="T131" s="382">
        <f xml:space="preserve"> Pile!$T$26</f>
        <v>320</v>
      </c>
      <c r="U131" s="382">
        <f t="shared" si="32"/>
        <v>320</v>
      </c>
      <c r="V131" s="382">
        <f t="shared" si="2"/>
        <v>6000</v>
      </c>
      <c r="W131" s="382">
        <f xml:space="preserve"> Pile!$V$26</f>
        <v>1000</v>
      </c>
      <c r="X131" s="382">
        <f t="shared" si="33"/>
        <v>1000</v>
      </c>
      <c r="Y131" s="419">
        <v>450</v>
      </c>
      <c r="Z131" s="382">
        <f>PI()*Y131/1000*( Pile!$C$26- Pile!$C131)</f>
        <v>0.84823001646923613</v>
      </c>
      <c r="AA131" s="382">
        <f t="shared" si="3"/>
        <v>0.15904312808798329</v>
      </c>
      <c r="AB131" s="382">
        <f t="shared" si="34"/>
        <v>271.43360527015557</v>
      </c>
      <c r="AC131" s="382">
        <f>Z131* Pile!$S$26</f>
        <v>271.43360527015557</v>
      </c>
      <c r="AD131" s="382">
        <f t="shared" si="35"/>
        <v>271.43360527015557</v>
      </c>
      <c r="AE131" s="382">
        <f>IF(AD131&gt;0,+AD131)/ 'Pile Data and Eurocode Factors'!$B$14/ 'Pile Data and Eurocode Factors'!$B$15+$AE$129</f>
        <v>3711.112310601015</v>
      </c>
      <c r="AF131" s="382">
        <f t="shared" si="36"/>
        <v>159.04312808798329</v>
      </c>
      <c r="AG131" s="382">
        <f>AA131* Pile!$U$26</f>
        <v>0</v>
      </c>
      <c r="AH131" s="382">
        <f t="shared" si="4"/>
        <v>159.04312808798329</v>
      </c>
      <c r="AI131" s="382">
        <f>AH131/ 'Pile Data and Eurocode Factors'!$C$14/ 'Pile Data and Eurocode Factors'!$C$15</f>
        <v>56.801117174279753</v>
      </c>
      <c r="AJ131" s="382">
        <f t="shared" si="5"/>
        <v>3767.9134277752946</v>
      </c>
      <c r="AK131" s="382">
        <f>VLOOKUP(Y131, 'Pile Data and Eurocode Factors'!$A$34:$J$39,3, FALSE)</f>
        <v>2366.1761868507956</v>
      </c>
      <c r="AL131" s="403">
        <f t="shared" si="6"/>
        <v>2366.1761868507956</v>
      </c>
      <c r="AM131" s="419">
        <v>600</v>
      </c>
      <c r="AN131" s="382">
        <f>PI()*AM131/1000*( Pile!$C$26- Pile!$C131)</f>
        <v>1.1309733552923149</v>
      </c>
      <c r="AO131" s="382">
        <f t="shared" si="7"/>
        <v>0.28274333882308139</v>
      </c>
      <c r="AP131" s="382">
        <f t="shared" si="54"/>
        <v>361.91147369354076</v>
      </c>
      <c r="AQ131" s="382">
        <f>AN131* Pile!$S$26</f>
        <v>361.91147369354076</v>
      </c>
      <c r="AR131" s="382">
        <f t="shared" si="59"/>
        <v>361.91147369354076</v>
      </c>
      <c r="AS131" s="382">
        <f>IF(AR131&gt;0,+AR131)/ 'Pile Data and Eurocode Factors'!$B$14/ 'Pile Data and Eurocode Factors'!$B$15+$AS$129</f>
        <v>4948.14974746802</v>
      </c>
      <c r="AT131" s="382">
        <f t="shared" si="65"/>
        <v>282.74333882308139</v>
      </c>
      <c r="AU131" s="382">
        <f>AO131* Pile!$U$26</f>
        <v>0</v>
      </c>
      <c r="AV131" s="382">
        <f t="shared" si="8"/>
        <v>282.74333882308139</v>
      </c>
      <c r="AW131" s="382">
        <f>AV131/ 'Pile Data and Eurocode Factors'!$C$14/ 'Pile Data and Eurocode Factors'!$C$15</f>
        <v>100.97976386538622</v>
      </c>
      <c r="AX131" s="382">
        <f t="shared" si="9"/>
        <v>5049.1295113334063</v>
      </c>
      <c r="AY131" s="382">
        <f>VLOOKUP(AM131, 'Pile Data and Eurocode Factors'!$A$34:$J$39,3, FALSE)</f>
        <v>4206.5354432903041</v>
      </c>
      <c r="AZ131" s="403">
        <f t="shared" si="10"/>
        <v>4206.5354432903041</v>
      </c>
      <c r="BA131" s="419">
        <v>750</v>
      </c>
      <c r="BB131" s="382">
        <f>PI()*BA131/1000*( Pile!$C$26- Pile!$C131)</f>
        <v>1.4137166941153936</v>
      </c>
      <c r="BC131" s="382">
        <f t="shared" si="11"/>
        <v>0.44178646691106466</v>
      </c>
      <c r="BD131" s="382">
        <f t="shared" si="55"/>
        <v>452.38934211692595</v>
      </c>
      <c r="BE131" s="382">
        <f>BB131* Pile!$S$26</f>
        <v>452.38934211692595</v>
      </c>
      <c r="BF131" s="382">
        <f t="shared" ref="BF131:BF149" si="74">IF(BE131&gt;0,MIN(BD131:BE131),BD131)</f>
        <v>452.38934211692595</v>
      </c>
      <c r="BG131" s="382">
        <f>IF(BF131&gt;0,+BF131)/ 'Pile Data and Eurocode Factors'!$B$14/ 'Pile Data and Eurocode Factors'!$B$15+$BG$129</f>
        <v>6185.1871843350264</v>
      </c>
      <c r="BH131" s="382">
        <f t="shared" si="66"/>
        <v>441.78646691106468</v>
      </c>
      <c r="BI131" s="382">
        <f>BC131* Pile!$U$26</f>
        <v>0</v>
      </c>
      <c r="BJ131" s="382">
        <f t="shared" si="12"/>
        <v>441.78646691106468</v>
      </c>
      <c r="BK131" s="382">
        <f>BJ131/ 'Pile Data and Eurocode Factors'!$C$14/ 'Pile Data and Eurocode Factors'!$C$15</f>
        <v>157.78088103966596</v>
      </c>
      <c r="BL131" s="382">
        <f t="shared" si="13"/>
        <v>6342.9680653746927</v>
      </c>
      <c r="BM131" s="382">
        <f>VLOOKUP(BA131, 'Pile Data and Eurocode Factors'!$A$34:$J$39,3, FALSE)</f>
        <v>6572.7116301410997</v>
      </c>
      <c r="BN131" s="403">
        <f t="shared" si="14"/>
        <v>6342.9680653746927</v>
      </c>
      <c r="BO131" s="419">
        <v>900</v>
      </c>
      <c r="BP131" s="382">
        <f>PI()*BO131/1000*( Pile!$C$26- Pile!$C131)</f>
        <v>1.6964600329384723</v>
      </c>
      <c r="BQ131" s="382">
        <f t="shared" si="15"/>
        <v>0.63617251235193317</v>
      </c>
      <c r="BR131" s="382">
        <f t="shared" si="56"/>
        <v>542.86721054031113</v>
      </c>
      <c r="BS131" s="382">
        <f>BP131* Pile!$S$26</f>
        <v>542.86721054031113</v>
      </c>
      <c r="BT131" s="382">
        <f t="shared" ref="BT131:BT149" si="75">IF(BS131&gt;0,MIN(BR131:BS131),BR131)</f>
        <v>542.86721054031113</v>
      </c>
      <c r="BU131" s="382">
        <f>IF(BT131&gt;0,+BT131)/ 'Pile Data and Eurocode Factors'!$B$14/ 'Pile Data and Eurocode Factors'!$B$15+$BU$129</f>
        <v>7422.22462120203</v>
      </c>
      <c r="BV131" s="382">
        <f t="shared" si="67"/>
        <v>636.17251235193316</v>
      </c>
      <c r="BW131" s="382">
        <f>BQ131* Pile!$U$26</f>
        <v>0</v>
      </c>
      <c r="BX131" s="382">
        <f t="shared" si="16"/>
        <v>636.17251235193316</v>
      </c>
      <c r="BY131" s="382">
        <f>BX131/ 'Pile Data and Eurocode Factors'!$C$14/ 'Pile Data and Eurocode Factors'!$C$15</f>
        <v>227.20446869711901</v>
      </c>
      <c r="BZ131" s="382">
        <f t="shared" si="17"/>
        <v>7649.4290898991494</v>
      </c>
      <c r="CA131" s="382">
        <f>VLOOKUP(BO131, 'Pile Data and Eurocode Factors'!$A$34:$J$39,3, FALSE)</f>
        <v>9464.7047474031824</v>
      </c>
      <c r="CB131" s="403">
        <f t="shared" si="18"/>
        <v>7649.4290898991494</v>
      </c>
      <c r="CC131" s="419">
        <v>1050</v>
      </c>
      <c r="CD131" s="382">
        <f>PI()*CC131/1000*( Pile!$C$26- Pile!$C131)</f>
        <v>1.9792033717615509</v>
      </c>
      <c r="CE131" s="382">
        <f t="shared" si="19"/>
        <v>0.86590147514568672</v>
      </c>
      <c r="CF131" s="382">
        <f t="shared" si="57"/>
        <v>633.34507896369632</v>
      </c>
      <c r="CG131" s="382">
        <f>CD131* Pile!$S$26</f>
        <v>633.34507896369632</v>
      </c>
      <c r="CH131" s="382">
        <f t="shared" ref="CH131:CH149" si="76">IF(CG131&gt;0,MIN(CF131:CG131),CF131)</f>
        <v>633.34507896369632</v>
      </c>
      <c r="CI131" s="382">
        <f>IF(CH131&gt;0,+CH131)/ 'Pile Data and Eurocode Factors'!$B$14/ 'Pile Data and Eurocode Factors'!$B$15+$CI$129</f>
        <v>8659.2620580690364</v>
      </c>
      <c r="CJ131" s="382">
        <f t="shared" si="69"/>
        <v>865.90147514568673</v>
      </c>
      <c r="CK131" s="382">
        <f>CE131* Pile!$U$26</f>
        <v>0</v>
      </c>
      <c r="CL131" s="382">
        <f t="shared" si="20"/>
        <v>865.90147514568673</v>
      </c>
      <c r="CM131" s="382">
        <f>CL131/ 'Pile Data and Eurocode Factors'!$C$14/ 'Pile Data and Eurocode Factors'!$C$15</f>
        <v>309.25052683774527</v>
      </c>
      <c r="CN131" s="382">
        <f t="shared" si="21"/>
        <v>8968.5125849067808</v>
      </c>
      <c r="CO131" s="382">
        <f>VLOOKUP(CC131, 'Pile Data and Eurocode Factors'!$A$34:$J$39,3, FALSE)</f>
        <v>12882.514795076555</v>
      </c>
      <c r="CP131" s="403">
        <f t="shared" si="22"/>
        <v>8968.5125849067808</v>
      </c>
      <c r="CQ131" s="419">
        <v>1200</v>
      </c>
      <c r="CR131" s="382">
        <f>PI()*CQ131/1000*( Pile!$C$26- Pile!$C131)</f>
        <v>2.2619467105846298</v>
      </c>
      <c r="CS131" s="382">
        <f t="shared" si="23"/>
        <v>1.1309733552923256</v>
      </c>
      <c r="CT131" s="382">
        <f t="shared" si="58"/>
        <v>723.82294738708151</v>
      </c>
      <c r="CU131" s="382">
        <f>CR131* Pile!$S$26</f>
        <v>723.82294738708151</v>
      </c>
      <c r="CV131" s="382">
        <f t="shared" ref="CV131:CV149" si="77">IF(CU131&gt;0,MIN(CT131:CU131),CT131)</f>
        <v>723.82294738708151</v>
      </c>
      <c r="CW131" s="382">
        <f>IF(CV131&gt;0,+CV131)/ 'Pile Data and Eurocode Factors'!$B$14/ 'Pile Data and Eurocode Factors'!$B$15+$CW$129</f>
        <v>9896.29949493604</v>
      </c>
      <c r="CX131" s="382">
        <f t="shared" si="71"/>
        <v>1130.9733552923256</v>
      </c>
      <c r="CY131" s="382">
        <f>CS131* Pile!$U$26</f>
        <v>0</v>
      </c>
      <c r="CZ131" s="382">
        <f t="shared" si="24"/>
        <v>1130.9733552923256</v>
      </c>
      <c r="DA131" s="382">
        <f>CZ131/ 'Pile Data and Eurocode Factors'!$C$14/ 'Pile Data and Eurocode Factors'!$C$15</f>
        <v>403.91905546154487</v>
      </c>
      <c r="DB131" s="382">
        <f t="shared" si="25"/>
        <v>10300.218550397585</v>
      </c>
      <c r="DC131" s="382">
        <f>VLOOKUP(CQ131, 'Pile Data and Eurocode Factors'!$A$34:$J$39,3, FALSE)</f>
        <v>16826.141773161216</v>
      </c>
      <c r="DD131" s="403">
        <f t="shared" si="26"/>
        <v>10300.218550397585</v>
      </c>
      <c r="DE131" s="420">
        <f xml:space="preserve"> Pile!$C$23- Pile!C131</f>
        <v>42.599999999999994</v>
      </c>
      <c r="DG131" s="382">
        <f t="shared" si="52"/>
        <v>2366.1761868507956</v>
      </c>
      <c r="DH131" s="382">
        <f t="shared" si="27"/>
        <v>4206.5354432903041</v>
      </c>
      <c r="DI131" s="382">
        <f t="shared" si="28"/>
        <v>6342.9680653746927</v>
      </c>
      <c r="DJ131" s="382">
        <f t="shared" si="29"/>
        <v>7649.4290898991494</v>
      </c>
      <c r="DK131" s="382">
        <f t="shared" si="30"/>
        <v>8968.5125849067808</v>
      </c>
      <c r="DL131" s="382">
        <f t="shared" si="53"/>
        <v>10300.218550397585</v>
      </c>
    </row>
    <row r="132" spans="1:116" s="308" customFormat="1" ht="15">
      <c r="B132" s="400">
        <v>3</v>
      </c>
      <c r="C132" s="401">
        <f>+C131- Pile!D$26/20</f>
        <v>-36.899999999999991</v>
      </c>
      <c r="D132" s="415" t="str">
        <f>B26</f>
        <v>Medium Density Chalk</v>
      </c>
      <c r="E132" s="415" t="str">
        <f>F26</f>
        <v>Chalk</v>
      </c>
      <c r="F132" s="401">
        <f xml:space="preserve"> Pile!$E$26*(C131-C132)+F131</f>
        <v>813.2098125</v>
      </c>
      <c r="G132" s="401">
        <f>IF(C132&gt; Pile!$C$28,0,( Pile!$C$28-C132)*9.81)</f>
        <v>214.83899999999991</v>
      </c>
      <c r="H132" s="401">
        <f t="shared" si="0"/>
        <v>598.37081250000006</v>
      </c>
      <c r="I132" s="401">
        <f t="shared" si="73"/>
        <v>593.68040625000015</v>
      </c>
      <c r="J132" s="401">
        <f>IF(E132="Cohesive",(( Pile!$H$26- Pile!$G$26)/20)+J131,0)</f>
        <v>0</v>
      </c>
      <c r="K132" s="401">
        <f>IF(E132="Cohesive",( Pile!$G$26+ Pile!$J132)/2,0)</f>
        <v>0</v>
      </c>
      <c r="L132" s="401" t="str">
        <f>IF( Pile!I$26="",0, Pile!I$26)</f>
        <v>0</v>
      </c>
      <c r="M132" s="401" t="str">
        <f>IF( Pile!J$26="",0, Pile!J$26)</f>
        <v>0</v>
      </c>
      <c r="N132" s="401">
        <f>IF(E132="Granular", Pile!$K$26,0)</f>
        <v>0</v>
      </c>
      <c r="O132" s="416">
        <f>IF(AND(E132="Granular",D132&lt;&gt;"Made Ground"), Pile!$L$26,0)</f>
        <v>0</v>
      </c>
      <c r="P132" s="401">
        <f>IF(OR(D132="Low Density Chalk",D132="Medium Density Chalk"), Pile!$M$26,0)</f>
        <v>0.8</v>
      </c>
      <c r="Q132" s="417">
        <f>IF(D132="High Density Chalk", Pile!$N$26,0)</f>
        <v>0</v>
      </c>
      <c r="R132" s="401">
        <f>IF( Pile!O$26="",0, Pile!O$26)</f>
        <v>6000</v>
      </c>
      <c r="S132" s="418">
        <f t="shared" si="31"/>
        <v>474.94432500000016</v>
      </c>
      <c r="T132" s="382">
        <f xml:space="preserve"> Pile!$T$26</f>
        <v>320</v>
      </c>
      <c r="U132" s="382">
        <f t="shared" si="32"/>
        <v>320</v>
      </c>
      <c r="V132" s="382">
        <f t="shared" si="2"/>
        <v>6000</v>
      </c>
      <c r="W132" s="382">
        <f xml:space="preserve"> Pile!$V$26</f>
        <v>1000</v>
      </c>
      <c r="X132" s="382">
        <f t="shared" si="33"/>
        <v>1000</v>
      </c>
      <c r="Y132" s="419">
        <v>450</v>
      </c>
      <c r="Z132" s="382">
        <f>PI()*Y132/1000*( Pile!$C$26- Pile!$C132)</f>
        <v>1.2723450247038541</v>
      </c>
      <c r="AA132" s="382">
        <f t="shared" si="3"/>
        <v>0.15904312808798329</v>
      </c>
      <c r="AB132" s="382">
        <f t="shared" si="34"/>
        <v>407.15040790523335</v>
      </c>
      <c r="AC132" s="382">
        <f>Z132* Pile!$S$26</f>
        <v>407.15040790523335</v>
      </c>
      <c r="AD132" s="382">
        <f t="shared" si="35"/>
        <v>407.15040790523335</v>
      </c>
      <c r="AE132" s="382">
        <f>IF(AD132&gt;0,+AD132)/ 'Pile Data and Eurocode Factors'!$B$14/ 'Pile Data and Eurocode Factors'!$B$15+$AE$129</f>
        <v>3771.7001689202461</v>
      </c>
      <c r="AF132" s="382">
        <f t="shared" si="36"/>
        <v>159.04312808798329</v>
      </c>
      <c r="AG132" s="382">
        <f>AA132* Pile!$U$26</f>
        <v>0</v>
      </c>
      <c r="AH132" s="382">
        <f t="shared" si="4"/>
        <v>159.04312808798329</v>
      </c>
      <c r="AI132" s="382">
        <f>AH132/ 'Pile Data and Eurocode Factors'!$C$14/ 'Pile Data and Eurocode Factors'!$C$15</f>
        <v>56.801117174279753</v>
      </c>
      <c r="AJ132" s="382">
        <f t="shared" si="5"/>
        <v>3828.5012860945258</v>
      </c>
      <c r="AK132" s="382">
        <f>VLOOKUP(Y132, 'Pile Data and Eurocode Factors'!$A$34:$J$39,3, FALSE)</f>
        <v>2366.1761868507956</v>
      </c>
      <c r="AL132" s="403">
        <f t="shared" si="6"/>
        <v>2366.1761868507956</v>
      </c>
      <c r="AM132" s="419">
        <v>600</v>
      </c>
      <c r="AN132" s="382">
        <f>PI()*AM132/1000*( Pile!$C$26- Pile!$C132)</f>
        <v>1.6964600329384723</v>
      </c>
      <c r="AO132" s="382">
        <f t="shared" si="7"/>
        <v>0.28274333882308139</v>
      </c>
      <c r="AP132" s="382">
        <f t="shared" si="54"/>
        <v>542.86721054031113</v>
      </c>
      <c r="AQ132" s="382">
        <f>AN132* Pile!$S$26</f>
        <v>542.86721054031113</v>
      </c>
      <c r="AR132" s="382">
        <f t="shared" si="59"/>
        <v>542.86721054031113</v>
      </c>
      <c r="AS132" s="382">
        <f>IF(AR132&gt;0,+AR132)/ 'Pile Data and Eurocode Factors'!$B$14/ 'Pile Data and Eurocode Factors'!$B$15+$AS$129</f>
        <v>5028.9335585603285</v>
      </c>
      <c r="AT132" s="382">
        <f t="shared" si="65"/>
        <v>282.74333882308139</v>
      </c>
      <c r="AU132" s="382">
        <f>AO132* Pile!$U$26</f>
        <v>0</v>
      </c>
      <c r="AV132" s="382">
        <f t="shared" si="8"/>
        <v>282.74333882308139</v>
      </c>
      <c r="AW132" s="382">
        <f>AV132/ 'Pile Data and Eurocode Factors'!$C$14/ 'Pile Data and Eurocode Factors'!$C$15</f>
        <v>100.97976386538622</v>
      </c>
      <c r="AX132" s="382">
        <f t="shared" si="9"/>
        <v>5129.9133224257148</v>
      </c>
      <c r="AY132" s="382">
        <f>VLOOKUP(AM132, 'Pile Data and Eurocode Factors'!$A$34:$J$39,3, FALSE)</f>
        <v>4206.5354432903041</v>
      </c>
      <c r="AZ132" s="403">
        <f t="shared" si="10"/>
        <v>4206.5354432903041</v>
      </c>
      <c r="BA132" s="419">
        <v>750</v>
      </c>
      <c r="BB132" s="382">
        <f>PI()*BA132/1000*( Pile!$C$26- Pile!$C132)</f>
        <v>2.1205750411730904</v>
      </c>
      <c r="BC132" s="382">
        <f t="shared" si="11"/>
        <v>0.44178646691106466</v>
      </c>
      <c r="BD132" s="382">
        <f t="shared" si="55"/>
        <v>678.58401317538892</v>
      </c>
      <c r="BE132" s="382">
        <f>BB132* Pile!$S$26</f>
        <v>678.58401317538892</v>
      </c>
      <c r="BF132" s="382">
        <f t="shared" si="74"/>
        <v>678.58401317538892</v>
      </c>
      <c r="BG132" s="382">
        <f>IF(BF132&gt;0,+BF132)/ 'Pile Data and Eurocode Factors'!$B$14/ 'Pile Data and Eurocode Factors'!$B$15+$BG$129</f>
        <v>6286.1669482004118</v>
      </c>
      <c r="BH132" s="382">
        <f t="shared" si="66"/>
        <v>441.78646691106468</v>
      </c>
      <c r="BI132" s="382">
        <f>BC132* Pile!$U$26</f>
        <v>0</v>
      </c>
      <c r="BJ132" s="382">
        <f t="shared" si="12"/>
        <v>441.78646691106468</v>
      </c>
      <c r="BK132" s="382">
        <f>BJ132/ 'Pile Data and Eurocode Factors'!$C$14/ 'Pile Data and Eurocode Factors'!$C$15</f>
        <v>157.78088103966596</v>
      </c>
      <c r="BL132" s="382">
        <f t="shared" si="13"/>
        <v>6443.9478292400781</v>
      </c>
      <c r="BM132" s="382">
        <f>VLOOKUP(BA132, 'Pile Data and Eurocode Factors'!$A$34:$J$39,3, FALSE)</f>
        <v>6572.7116301410997</v>
      </c>
      <c r="BN132" s="403">
        <f t="shared" si="14"/>
        <v>6443.9478292400781</v>
      </c>
      <c r="BO132" s="419">
        <v>900</v>
      </c>
      <c r="BP132" s="382">
        <f>PI()*BO132/1000*( Pile!$C$26- Pile!$C132)</f>
        <v>2.5446900494077083</v>
      </c>
      <c r="BQ132" s="382">
        <f t="shared" si="15"/>
        <v>0.63617251235193317</v>
      </c>
      <c r="BR132" s="382">
        <f t="shared" si="56"/>
        <v>814.3008158104667</v>
      </c>
      <c r="BS132" s="382">
        <f>BP132* Pile!$S$26</f>
        <v>814.3008158104667</v>
      </c>
      <c r="BT132" s="382">
        <f t="shared" si="75"/>
        <v>814.3008158104667</v>
      </c>
      <c r="BU132" s="382">
        <f>IF(BT132&gt;0,+BT132)/ 'Pile Data and Eurocode Factors'!$B$14/ 'Pile Data and Eurocode Factors'!$B$15+$BU$129</f>
        <v>7543.4003378404923</v>
      </c>
      <c r="BV132" s="382">
        <f t="shared" si="67"/>
        <v>636.17251235193316</v>
      </c>
      <c r="BW132" s="382">
        <f>BQ132* Pile!$U$26</f>
        <v>0</v>
      </c>
      <c r="BX132" s="382">
        <f t="shared" si="16"/>
        <v>636.17251235193316</v>
      </c>
      <c r="BY132" s="382">
        <f>BX132/ 'Pile Data and Eurocode Factors'!$C$14/ 'Pile Data and Eurocode Factors'!$C$15</f>
        <v>227.20446869711901</v>
      </c>
      <c r="BZ132" s="382">
        <f t="shared" si="17"/>
        <v>7770.6048065376117</v>
      </c>
      <c r="CA132" s="382">
        <f>VLOOKUP(BO132, 'Pile Data and Eurocode Factors'!$A$34:$J$39,3, FALSE)</f>
        <v>9464.7047474031824</v>
      </c>
      <c r="CB132" s="403">
        <f t="shared" si="18"/>
        <v>7770.6048065376117</v>
      </c>
      <c r="CC132" s="419">
        <v>1050</v>
      </c>
      <c r="CD132" s="382">
        <f>PI()*CC132/1000*( Pile!$C$26- Pile!$C132)</f>
        <v>2.9688050576423262</v>
      </c>
      <c r="CE132" s="382">
        <f t="shared" si="19"/>
        <v>0.86590147514568672</v>
      </c>
      <c r="CF132" s="382">
        <f t="shared" si="57"/>
        <v>950.01761844554437</v>
      </c>
      <c r="CG132" s="382">
        <f>CD132* Pile!$S$26</f>
        <v>950.01761844554437</v>
      </c>
      <c r="CH132" s="382">
        <f t="shared" si="76"/>
        <v>950.01761844554437</v>
      </c>
      <c r="CI132" s="382">
        <f>IF(CH132&gt;0,+CH132)/ 'Pile Data and Eurocode Factors'!$B$14/ 'Pile Data and Eurocode Factors'!$B$15+$CI$129</f>
        <v>8800.6337274805755</v>
      </c>
      <c r="CJ132" s="382">
        <f t="shared" si="69"/>
        <v>865.90147514568673</v>
      </c>
      <c r="CK132" s="382">
        <f>CE132* Pile!$U$26</f>
        <v>0</v>
      </c>
      <c r="CL132" s="382">
        <f t="shared" si="20"/>
        <v>865.90147514568673</v>
      </c>
      <c r="CM132" s="382">
        <f>CL132/ 'Pile Data and Eurocode Factors'!$C$14/ 'Pile Data and Eurocode Factors'!$C$15</f>
        <v>309.25052683774527</v>
      </c>
      <c r="CN132" s="382">
        <f t="shared" si="21"/>
        <v>9109.88425431832</v>
      </c>
      <c r="CO132" s="382">
        <f>VLOOKUP(CC132, 'Pile Data and Eurocode Factors'!$A$34:$J$39,3, FALSE)</f>
        <v>12882.514795076555</v>
      </c>
      <c r="CP132" s="403">
        <f t="shared" si="22"/>
        <v>9109.88425431832</v>
      </c>
      <c r="CQ132" s="419">
        <v>1200</v>
      </c>
      <c r="CR132" s="382">
        <f>PI()*CQ132/1000*( Pile!$C$26- Pile!$C132)</f>
        <v>3.3929200658769445</v>
      </c>
      <c r="CS132" s="382">
        <f t="shared" si="23"/>
        <v>1.1309733552923256</v>
      </c>
      <c r="CT132" s="382">
        <f t="shared" si="58"/>
        <v>1085.7344210806223</v>
      </c>
      <c r="CU132" s="382">
        <f>CR132* Pile!$S$26</f>
        <v>1085.7344210806223</v>
      </c>
      <c r="CV132" s="382">
        <f t="shared" si="77"/>
        <v>1085.7344210806223</v>
      </c>
      <c r="CW132" s="382">
        <f>IF(CV132&gt;0,+CV132)/ 'Pile Data and Eurocode Factors'!$B$14/ 'Pile Data and Eurocode Factors'!$B$15+$CW$129</f>
        <v>10057.867117120657</v>
      </c>
      <c r="CX132" s="382">
        <f t="shared" si="71"/>
        <v>1130.9733552923256</v>
      </c>
      <c r="CY132" s="382">
        <f>CS132* Pile!$U$26</f>
        <v>0</v>
      </c>
      <c r="CZ132" s="382">
        <f t="shared" si="24"/>
        <v>1130.9733552923256</v>
      </c>
      <c r="DA132" s="382">
        <f>CZ132/ 'Pile Data and Eurocode Factors'!$C$14/ 'Pile Data and Eurocode Factors'!$C$15</f>
        <v>403.91905546154487</v>
      </c>
      <c r="DB132" s="382">
        <f t="shared" si="25"/>
        <v>10461.786172582202</v>
      </c>
      <c r="DC132" s="382">
        <f>VLOOKUP(CQ132, 'Pile Data and Eurocode Factors'!$A$34:$J$39,3, FALSE)</f>
        <v>16826.141773161216</v>
      </c>
      <c r="DD132" s="403">
        <f t="shared" si="26"/>
        <v>10461.786172582202</v>
      </c>
      <c r="DE132" s="420">
        <f xml:space="preserve"> Pile!$C$23- Pile!C132</f>
        <v>42.899999999999991</v>
      </c>
      <c r="DG132" s="382">
        <f t="shared" si="52"/>
        <v>2366.1761868507956</v>
      </c>
      <c r="DH132" s="382">
        <f t="shared" si="27"/>
        <v>4206.5354432903041</v>
      </c>
      <c r="DI132" s="382">
        <f t="shared" si="28"/>
        <v>6443.9478292400781</v>
      </c>
      <c r="DJ132" s="382">
        <f t="shared" si="29"/>
        <v>7770.6048065376117</v>
      </c>
      <c r="DK132" s="382">
        <f t="shared" si="30"/>
        <v>9109.88425431832</v>
      </c>
      <c r="DL132" s="382">
        <f t="shared" si="53"/>
        <v>10461.786172582202</v>
      </c>
    </row>
    <row r="133" spans="1:116" s="308" customFormat="1" ht="15">
      <c r="B133" s="400">
        <v>4</v>
      </c>
      <c r="C133" s="401">
        <f>+C132- Pile!D$26/20</f>
        <v>-37.199999999999989</v>
      </c>
      <c r="D133" s="415" t="str">
        <f>B26</f>
        <v>Medium Density Chalk</v>
      </c>
      <c r="E133" s="415" t="str">
        <f>F26</f>
        <v>Chalk</v>
      </c>
      <c r="F133" s="401">
        <f xml:space="preserve"> Pile!$E$26*(C132-C133)+F132</f>
        <v>819.27974999999992</v>
      </c>
      <c r="G133" s="401">
        <f>IF(C133&gt; Pile!$C$28,0,( Pile!$C$28-C133)*9.81)</f>
        <v>217.7819999999999</v>
      </c>
      <c r="H133" s="401">
        <f t="shared" si="0"/>
        <v>601.49775</v>
      </c>
      <c r="I133" s="401">
        <f t="shared" si="73"/>
        <v>595.24387500000012</v>
      </c>
      <c r="J133" s="401">
        <f>IF(E133="Cohesive",(( Pile!$H$26- Pile!$G$26)/20)+J132,0)</f>
        <v>0</v>
      </c>
      <c r="K133" s="401">
        <f>IF(E133="Cohesive",( Pile!$G$26+ Pile!$J133)/2,0)</f>
        <v>0</v>
      </c>
      <c r="L133" s="401" t="str">
        <f>IF( Pile!I$26="",0, Pile!I$26)</f>
        <v>0</v>
      </c>
      <c r="M133" s="401" t="str">
        <f>IF( Pile!J$26="",0, Pile!J$26)</f>
        <v>0</v>
      </c>
      <c r="N133" s="401">
        <f>IF(E133="Granular", Pile!$K$26,0)</f>
        <v>0</v>
      </c>
      <c r="O133" s="416">
        <f>IF(AND(E133="Granular",D133&lt;&gt;"Made Ground"), Pile!$L$26,0)</f>
        <v>0</v>
      </c>
      <c r="P133" s="401">
        <f>IF(OR(D133="Low Density Chalk",D133="Medium Density Chalk"), Pile!$M$26,0)</f>
        <v>0.8</v>
      </c>
      <c r="Q133" s="417">
        <f>IF(D133="High Density Chalk", Pile!$N$26,0)</f>
        <v>0</v>
      </c>
      <c r="R133" s="401">
        <f>IF( Pile!O$26="",0, Pile!O$26)</f>
        <v>6000</v>
      </c>
      <c r="S133" s="418">
        <f t="shared" si="31"/>
        <v>476.19510000000014</v>
      </c>
      <c r="T133" s="382">
        <f xml:space="preserve"> Pile!$T$26</f>
        <v>320</v>
      </c>
      <c r="U133" s="382">
        <f t="shared" si="32"/>
        <v>320</v>
      </c>
      <c r="V133" s="382">
        <f t="shared" si="2"/>
        <v>6000</v>
      </c>
      <c r="W133" s="382">
        <f xml:space="preserve"> Pile!$V$26</f>
        <v>1000</v>
      </c>
      <c r="X133" s="382">
        <f t="shared" si="33"/>
        <v>1000</v>
      </c>
      <c r="Y133" s="419">
        <v>450</v>
      </c>
      <c r="Z133" s="382">
        <f>PI()*Y133/1000*( Pile!$C$26- Pile!$C133)</f>
        <v>1.6964600329384723</v>
      </c>
      <c r="AA133" s="382">
        <f t="shared" si="3"/>
        <v>0.15904312808798329</v>
      </c>
      <c r="AB133" s="382">
        <f t="shared" si="34"/>
        <v>542.86721054031113</v>
      </c>
      <c r="AC133" s="382">
        <f>Z133* Pile!$S$26</f>
        <v>542.86721054031113</v>
      </c>
      <c r="AD133" s="382">
        <f t="shared" si="35"/>
        <v>542.86721054031113</v>
      </c>
      <c r="AE133" s="382">
        <f>IF(AD133&gt;0,+AD133)/ 'Pile Data and Eurocode Factors'!$B$14/ 'Pile Data and Eurocode Factors'!$B$15+$AE$129</f>
        <v>3832.2880272394773</v>
      </c>
      <c r="AF133" s="382">
        <f t="shared" si="36"/>
        <v>159.04312808798329</v>
      </c>
      <c r="AG133" s="382">
        <f>AA133* Pile!$U$26</f>
        <v>0</v>
      </c>
      <c r="AH133" s="382">
        <f t="shared" si="4"/>
        <v>159.04312808798329</v>
      </c>
      <c r="AI133" s="382">
        <f>AH133/ 'Pile Data and Eurocode Factors'!$C$14/ 'Pile Data and Eurocode Factors'!$C$15</f>
        <v>56.801117174279753</v>
      </c>
      <c r="AJ133" s="382">
        <f t="shared" si="5"/>
        <v>3889.0891444137569</v>
      </c>
      <c r="AK133" s="382">
        <f>VLOOKUP(Y133, 'Pile Data and Eurocode Factors'!$A$34:$J$39,3, FALSE)</f>
        <v>2366.1761868507956</v>
      </c>
      <c r="AL133" s="403">
        <f t="shared" si="6"/>
        <v>2366.1761868507956</v>
      </c>
      <c r="AM133" s="419">
        <v>600</v>
      </c>
      <c r="AN133" s="382">
        <f>PI()*AM133/1000*( Pile!$C$26- Pile!$C133)</f>
        <v>2.2619467105846298</v>
      </c>
      <c r="AO133" s="382">
        <f t="shared" si="7"/>
        <v>0.28274333882308139</v>
      </c>
      <c r="AP133" s="382">
        <f t="shared" si="54"/>
        <v>723.82294738708151</v>
      </c>
      <c r="AQ133" s="382">
        <f>AN133* Pile!$S$26</f>
        <v>723.82294738708151</v>
      </c>
      <c r="AR133" s="382">
        <f t="shared" si="59"/>
        <v>723.82294738708151</v>
      </c>
      <c r="AS133" s="382">
        <f>IF(AR133&gt;0,+AR133)/ 'Pile Data and Eurocode Factors'!$B$14/ 'Pile Data and Eurocode Factors'!$B$15+$AS$129</f>
        <v>5109.717369652637</v>
      </c>
      <c r="AT133" s="382">
        <f t="shared" si="65"/>
        <v>282.74333882308139</v>
      </c>
      <c r="AU133" s="382">
        <f>AO133* Pile!$U$26</f>
        <v>0</v>
      </c>
      <c r="AV133" s="382">
        <f t="shared" si="8"/>
        <v>282.74333882308139</v>
      </c>
      <c r="AW133" s="382">
        <f>AV133/ 'Pile Data and Eurocode Factors'!$C$14/ 'Pile Data and Eurocode Factors'!$C$15</f>
        <v>100.97976386538622</v>
      </c>
      <c r="AX133" s="382">
        <f t="shared" si="9"/>
        <v>5210.6971335180233</v>
      </c>
      <c r="AY133" s="382">
        <f>VLOOKUP(AM133, 'Pile Data and Eurocode Factors'!$A$34:$J$39,3, FALSE)</f>
        <v>4206.5354432903041</v>
      </c>
      <c r="AZ133" s="403">
        <f t="shared" si="10"/>
        <v>4206.5354432903041</v>
      </c>
      <c r="BA133" s="419">
        <v>750</v>
      </c>
      <c r="BB133" s="382">
        <f>PI()*BA133/1000*( Pile!$C$26- Pile!$C133)</f>
        <v>2.8274333882307872</v>
      </c>
      <c r="BC133" s="382">
        <f t="shared" si="11"/>
        <v>0.44178646691106466</v>
      </c>
      <c r="BD133" s="382">
        <f t="shared" si="55"/>
        <v>904.77868423385189</v>
      </c>
      <c r="BE133" s="382">
        <f>BB133* Pile!$S$26</f>
        <v>904.77868423385189</v>
      </c>
      <c r="BF133" s="382">
        <f t="shared" si="74"/>
        <v>904.77868423385189</v>
      </c>
      <c r="BG133" s="382">
        <f>IF(BF133&gt;0,+BF133)/ 'Pile Data and Eurocode Factors'!$B$14/ 'Pile Data and Eurocode Factors'!$B$15+$BG$129</f>
        <v>6387.1467120657962</v>
      </c>
      <c r="BH133" s="382">
        <f t="shared" si="66"/>
        <v>441.78646691106468</v>
      </c>
      <c r="BI133" s="382">
        <f>BC133* Pile!$U$26</f>
        <v>0</v>
      </c>
      <c r="BJ133" s="382">
        <f t="shared" si="12"/>
        <v>441.78646691106468</v>
      </c>
      <c r="BK133" s="382">
        <f>BJ133/ 'Pile Data and Eurocode Factors'!$C$14/ 'Pile Data and Eurocode Factors'!$C$15</f>
        <v>157.78088103966596</v>
      </c>
      <c r="BL133" s="382">
        <f t="shared" si="13"/>
        <v>6544.9275931054626</v>
      </c>
      <c r="BM133" s="382">
        <f>VLOOKUP(BA133, 'Pile Data and Eurocode Factors'!$A$34:$J$39,3, FALSE)</f>
        <v>6572.7116301410997</v>
      </c>
      <c r="BN133" s="403">
        <f t="shared" si="14"/>
        <v>6544.9275931054626</v>
      </c>
      <c r="BO133" s="419">
        <v>900</v>
      </c>
      <c r="BP133" s="382">
        <f>PI()*BO133/1000*( Pile!$C$26- Pile!$C133)</f>
        <v>3.3929200658769445</v>
      </c>
      <c r="BQ133" s="382">
        <f t="shared" si="15"/>
        <v>0.63617251235193317</v>
      </c>
      <c r="BR133" s="382">
        <f t="shared" si="56"/>
        <v>1085.7344210806223</v>
      </c>
      <c r="BS133" s="382">
        <f>BP133* Pile!$S$26</f>
        <v>1085.7344210806223</v>
      </c>
      <c r="BT133" s="382">
        <f t="shared" si="75"/>
        <v>1085.7344210806223</v>
      </c>
      <c r="BU133" s="382">
        <f>IF(BT133&gt;0,+BT133)/ 'Pile Data and Eurocode Factors'!$B$14/ 'Pile Data and Eurocode Factors'!$B$15+$BU$129</f>
        <v>7664.5760544789546</v>
      </c>
      <c r="BV133" s="382">
        <f t="shared" si="67"/>
        <v>636.17251235193316</v>
      </c>
      <c r="BW133" s="382">
        <f>BQ133* Pile!$U$26</f>
        <v>0</v>
      </c>
      <c r="BX133" s="382">
        <f t="shared" si="16"/>
        <v>636.17251235193316</v>
      </c>
      <c r="BY133" s="382">
        <f>BX133/ 'Pile Data and Eurocode Factors'!$C$14/ 'Pile Data and Eurocode Factors'!$C$15</f>
        <v>227.20446869711901</v>
      </c>
      <c r="BZ133" s="382">
        <f t="shared" si="17"/>
        <v>7891.780523176074</v>
      </c>
      <c r="CA133" s="382">
        <f>VLOOKUP(BO133, 'Pile Data and Eurocode Factors'!$A$34:$J$39,3, FALSE)</f>
        <v>9464.7047474031824</v>
      </c>
      <c r="CB133" s="403">
        <f t="shared" si="18"/>
        <v>7891.780523176074</v>
      </c>
      <c r="CC133" s="419">
        <v>1050</v>
      </c>
      <c r="CD133" s="382">
        <f>PI()*CC133/1000*( Pile!$C$26- Pile!$C133)</f>
        <v>3.9584067435231018</v>
      </c>
      <c r="CE133" s="382">
        <f t="shared" si="19"/>
        <v>0.86590147514568672</v>
      </c>
      <c r="CF133" s="382">
        <f t="shared" si="57"/>
        <v>1266.6901579273926</v>
      </c>
      <c r="CG133" s="382">
        <f>CD133* Pile!$S$26</f>
        <v>1266.6901579273926</v>
      </c>
      <c r="CH133" s="382">
        <f t="shared" si="76"/>
        <v>1266.6901579273926</v>
      </c>
      <c r="CI133" s="382">
        <f>IF(CH133&gt;0,+CH133)/ 'Pile Data and Eurocode Factors'!$B$14/ 'Pile Data and Eurocode Factors'!$B$15+$CI$129</f>
        <v>8942.0053968921147</v>
      </c>
      <c r="CJ133" s="382">
        <f t="shared" si="69"/>
        <v>865.90147514568673</v>
      </c>
      <c r="CK133" s="382">
        <f>CE133* Pile!$U$26</f>
        <v>0</v>
      </c>
      <c r="CL133" s="382">
        <f t="shared" si="20"/>
        <v>865.90147514568673</v>
      </c>
      <c r="CM133" s="382">
        <f>CL133/ 'Pile Data and Eurocode Factors'!$C$14/ 'Pile Data and Eurocode Factors'!$C$15</f>
        <v>309.25052683774527</v>
      </c>
      <c r="CN133" s="382">
        <f t="shared" si="21"/>
        <v>9251.2559237298592</v>
      </c>
      <c r="CO133" s="382">
        <f>VLOOKUP(CC133, 'Pile Data and Eurocode Factors'!$A$34:$J$39,3, FALSE)</f>
        <v>12882.514795076555</v>
      </c>
      <c r="CP133" s="403">
        <f t="shared" si="22"/>
        <v>9251.2559237298592</v>
      </c>
      <c r="CQ133" s="419">
        <v>1200</v>
      </c>
      <c r="CR133" s="382">
        <f>PI()*CQ133/1000*( Pile!$C$26- Pile!$C133)</f>
        <v>4.5238934211692596</v>
      </c>
      <c r="CS133" s="382">
        <f t="shared" si="23"/>
        <v>1.1309733552923256</v>
      </c>
      <c r="CT133" s="382">
        <f t="shared" si="58"/>
        <v>1447.645894774163</v>
      </c>
      <c r="CU133" s="382">
        <f>CR133* Pile!$S$26</f>
        <v>1447.645894774163</v>
      </c>
      <c r="CV133" s="382">
        <f t="shared" si="77"/>
        <v>1447.645894774163</v>
      </c>
      <c r="CW133" s="382">
        <f>IF(CV133&gt;0,+CV133)/ 'Pile Data and Eurocode Factors'!$B$14/ 'Pile Data and Eurocode Factors'!$B$15+$CW$129</f>
        <v>10219.434739305274</v>
      </c>
      <c r="CX133" s="382">
        <f t="shared" si="71"/>
        <v>1130.9733552923256</v>
      </c>
      <c r="CY133" s="382">
        <f>CS133* Pile!$U$26</f>
        <v>0</v>
      </c>
      <c r="CZ133" s="382">
        <f t="shared" si="24"/>
        <v>1130.9733552923256</v>
      </c>
      <c r="DA133" s="382">
        <f>CZ133/ 'Pile Data and Eurocode Factors'!$C$14/ 'Pile Data and Eurocode Factors'!$C$15</f>
        <v>403.91905546154487</v>
      </c>
      <c r="DB133" s="382">
        <f t="shared" si="25"/>
        <v>10623.353794766819</v>
      </c>
      <c r="DC133" s="382">
        <f>VLOOKUP(CQ133, 'Pile Data and Eurocode Factors'!$A$34:$J$39,3, FALSE)</f>
        <v>16826.141773161216</v>
      </c>
      <c r="DD133" s="403">
        <f t="shared" si="26"/>
        <v>10623.353794766819</v>
      </c>
      <c r="DE133" s="420">
        <f xml:space="preserve"> Pile!$C$23- Pile!C133</f>
        <v>43.199999999999989</v>
      </c>
      <c r="DG133" s="382">
        <f t="shared" si="52"/>
        <v>2366.1761868507956</v>
      </c>
      <c r="DH133" s="382">
        <f t="shared" si="27"/>
        <v>4206.5354432903041</v>
      </c>
      <c r="DI133" s="382">
        <f t="shared" si="28"/>
        <v>6544.9275931054626</v>
      </c>
      <c r="DJ133" s="382">
        <f t="shared" si="29"/>
        <v>7891.780523176074</v>
      </c>
      <c r="DK133" s="382">
        <f t="shared" si="30"/>
        <v>9251.2559237298592</v>
      </c>
      <c r="DL133" s="382">
        <f t="shared" si="53"/>
        <v>10623.353794766819</v>
      </c>
    </row>
    <row r="134" spans="1:116" s="308" customFormat="1" ht="15">
      <c r="A134" s="421"/>
      <c r="B134" s="400">
        <v>5</v>
      </c>
      <c r="C134" s="401">
        <f>+C133- Pile!D$26/20</f>
        <v>-37.499999999999986</v>
      </c>
      <c r="D134" s="415" t="str">
        <f>B26</f>
        <v>Medium Density Chalk</v>
      </c>
      <c r="E134" s="415" t="str">
        <f>F26</f>
        <v>Chalk</v>
      </c>
      <c r="F134" s="401">
        <f xml:space="preserve"> Pile!$E$26*(C133-C134)+F133</f>
        <v>825.34968749999985</v>
      </c>
      <c r="G134" s="401">
        <f>IF(C134&gt; Pile!$C$28,0,( Pile!$C$28-C134)*9.81)</f>
        <v>220.72499999999988</v>
      </c>
      <c r="H134" s="401">
        <f t="shared" ref="H134:H149" si="78">F134-G134</f>
        <v>604.62468749999994</v>
      </c>
      <c r="I134" s="401">
        <f t="shared" si="73"/>
        <v>596.80734375000009</v>
      </c>
      <c r="J134" s="401">
        <f>IF(E134="Cohesive",(( Pile!$H$26- Pile!$G$26)/20)+J133,0)</f>
        <v>0</v>
      </c>
      <c r="K134" s="401">
        <f>IF(E134="Cohesive",( Pile!$G$26+ Pile!$J134)/2,0)</f>
        <v>0</v>
      </c>
      <c r="L134" s="401" t="str">
        <f>IF( Pile!I$26="",0, Pile!I$26)</f>
        <v>0</v>
      </c>
      <c r="M134" s="401" t="str">
        <f>IF( Pile!J$26="",0, Pile!J$26)</f>
        <v>0</v>
      </c>
      <c r="N134" s="401">
        <f>IF(E134="Granular", Pile!$K$26,0)</f>
        <v>0</v>
      </c>
      <c r="O134" s="416">
        <f>IF(AND(E134="Granular",D134&lt;&gt;"Made Ground"), Pile!$L$26,0)</f>
        <v>0</v>
      </c>
      <c r="P134" s="401">
        <f>IF(OR(D134="Low Density Chalk",D134="Medium Density Chalk"), Pile!$M$26,0)</f>
        <v>0.8</v>
      </c>
      <c r="Q134" s="417">
        <f>IF(D134="High Density Chalk", Pile!$N$26,0)</f>
        <v>0</v>
      </c>
      <c r="R134" s="401">
        <f>IF( Pile!O$26="",0, Pile!O$26)</f>
        <v>6000</v>
      </c>
      <c r="S134" s="418">
        <f t="shared" si="31"/>
        <v>477.44587500000011</v>
      </c>
      <c r="T134" s="382">
        <f xml:space="preserve"> Pile!$T$26</f>
        <v>320</v>
      </c>
      <c r="U134" s="382">
        <f t="shared" si="32"/>
        <v>320</v>
      </c>
      <c r="V134" s="382">
        <f t="shared" ref="V134:V149" si="79">R134+M134*J134+N134*H134</f>
        <v>6000</v>
      </c>
      <c r="W134" s="382">
        <f xml:space="preserve"> Pile!$V$26</f>
        <v>1000</v>
      </c>
      <c r="X134" s="382">
        <f t="shared" si="33"/>
        <v>1000</v>
      </c>
      <c r="Y134" s="419">
        <v>450</v>
      </c>
      <c r="Z134" s="382">
        <f>PI()*Y134/1000*( Pile!$C$26- Pile!$C134)</f>
        <v>2.1205750411730904</v>
      </c>
      <c r="AA134" s="382">
        <f t="shared" ref="AA134:AA149" si="80">PI()*(Y134/2000)^2</f>
        <v>0.15904312808798329</v>
      </c>
      <c r="AB134" s="382">
        <f t="shared" si="34"/>
        <v>678.58401317538892</v>
      </c>
      <c r="AC134" s="382">
        <f>Z134* Pile!$S$26</f>
        <v>678.58401317538892</v>
      </c>
      <c r="AD134" s="382">
        <f t="shared" si="35"/>
        <v>678.58401317538892</v>
      </c>
      <c r="AE134" s="382">
        <f>IF(AD134&gt;0,+AD134)/ 'Pile Data and Eurocode Factors'!$B$14/ 'Pile Data and Eurocode Factors'!$B$15+$AE$129</f>
        <v>3892.8758855587084</v>
      </c>
      <c r="AF134" s="382">
        <f t="shared" si="36"/>
        <v>159.04312808798329</v>
      </c>
      <c r="AG134" s="382">
        <f>AA134* Pile!$U$26</f>
        <v>0</v>
      </c>
      <c r="AH134" s="382">
        <f t="shared" ref="AH134:AH149" si="81">IF(AG134&gt;0,MIN(AF134:AG134),AF134)</f>
        <v>159.04312808798329</v>
      </c>
      <c r="AI134" s="382">
        <f>AH134/ 'Pile Data and Eurocode Factors'!$C$14/ 'Pile Data and Eurocode Factors'!$C$15</f>
        <v>56.801117174279753</v>
      </c>
      <c r="AJ134" s="382">
        <f t="shared" ref="AJ134:AJ149" si="82">AI134+AE134</f>
        <v>3949.6770027329881</v>
      </c>
      <c r="AK134" s="382">
        <f>VLOOKUP(Y134, 'Pile Data and Eurocode Factors'!$A$34:$J$39,3, FALSE)</f>
        <v>2366.1761868507956</v>
      </c>
      <c r="AL134" s="403">
        <f t="shared" ref="AL134:AL149" si="83">MIN(AJ134:AK134)</f>
        <v>2366.1761868507956</v>
      </c>
      <c r="AM134" s="419">
        <v>600</v>
      </c>
      <c r="AN134" s="382">
        <f>PI()*AM134/1000*( Pile!$C$26- Pile!$C134)</f>
        <v>2.8274333882307872</v>
      </c>
      <c r="AO134" s="382">
        <f t="shared" ref="AO134:AO148" si="84">PI()*(AM134/2000)^2</f>
        <v>0.28274333882308139</v>
      </c>
      <c r="AP134" s="382">
        <f t="shared" si="54"/>
        <v>904.77868423385189</v>
      </c>
      <c r="AQ134" s="382">
        <f>AN134* Pile!$S$26</f>
        <v>904.77868423385189</v>
      </c>
      <c r="AR134" s="382">
        <f t="shared" si="59"/>
        <v>904.77868423385189</v>
      </c>
      <c r="AS134" s="382">
        <f>IF(AR134&gt;0,+AR134)/ 'Pile Data and Eurocode Factors'!$B$14/ 'Pile Data and Eurocode Factors'!$B$15+$AS$129</f>
        <v>5190.5011807449446</v>
      </c>
      <c r="AT134" s="382">
        <f t="shared" si="65"/>
        <v>282.74333882308139</v>
      </c>
      <c r="AU134" s="382">
        <f>AO134* Pile!$U$26</f>
        <v>0</v>
      </c>
      <c r="AV134" s="382">
        <f t="shared" ref="AV134:AV149" si="85">IF(AU134&gt;0,MIN(AT134:AU134),AT134)</f>
        <v>282.74333882308139</v>
      </c>
      <c r="AW134" s="382">
        <f>AV134/ 'Pile Data and Eurocode Factors'!$C$14/ 'Pile Data and Eurocode Factors'!$C$15</f>
        <v>100.97976386538622</v>
      </c>
      <c r="AX134" s="382">
        <f t="shared" ref="AX134:AX149" si="86">AW134+AS134</f>
        <v>5291.4809446103309</v>
      </c>
      <c r="AY134" s="382">
        <f>VLOOKUP(AM134, 'Pile Data and Eurocode Factors'!$A$34:$J$39,3, FALSE)</f>
        <v>4206.5354432903041</v>
      </c>
      <c r="AZ134" s="403">
        <f t="shared" ref="AZ134:AZ149" si="87">MIN(AX134:AY134)</f>
        <v>4206.5354432903041</v>
      </c>
      <c r="BA134" s="419">
        <v>750</v>
      </c>
      <c r="BB134" s="382">
        <f>PI()*BA134/1000*( Pile!$C$26- Pile!$C134)</f>
        <v>3.5342917352884839</v>
      </c>
      <c r="BC134" s="382">
        <f t="shared" ref="BC134:BC148" si="88">PI()*(BA134/2000)^2</f>
        <v>0.44178646691106466</v>
      </c>
      <c r="BD134" s="382">
        <f t="shared" si="55"/>
        <v>1130.9733552923149</v>
      </c>
      <c r="BE134" s="382">
        <f>BB134* Pile!$S$26</f>
        <v>1130.9733552923149</v>
      </c>
      <c r="BF134" s="382">
        <f t="shared" si="74"/>
        <v>1130.9733552923149</v>
      </c>
      <c r="BG134" s="382">
        <f>IF(BF134&gt;0,+BF134)/ 'Pile Data and Eurocode Factors'!$B$14/ 'Pile Data and Eurocode Factors'!$B$15+$BG$129</f>
        <v>6488.1264759311816</v>
      </c>
      <c r="BH134" s="382">
        <f t="shared" si="66"/>
        <v>441.78646691106468</v>
      </c>
      <c r="BI134" s="382">
        <f>BC134* Pile!$U$26</f>
        <v>0</v>
      </c>
      <c r="BJ134" s="382">
        <f t="shared" ref="BJ134:BJ149" si="89">IF(BI134&gt;0,MIN(BH134:BI134),BH134)</f>
        <v>441.78646691106468</v>
      </c>
      <c r="BK134" s="382">
        <f>BJ134/ 'Pile Data and Eurocode Factors'!$C$14/ 'Pile Data and Eurocode Factors'!$C$15</f>
        <v>157.78088103966596</v>
      </c>
      <c r="BL134" s="382">
        <f t="shared" ref="BL134:BL149" si="90">BK134+BG134</f>
        <v>6645.907356970848</v>
      </c>
      <c r="BM134" s="382">
        <f>VLOOKUP(BA134, 'Pile Data and Eurocode Factors'!$A$34:$J$39,3, FALSE)</f>
        <v>6572.7116301410997</v>
      </c>
      <c r="BN134" s="403">
        <f t="shared" ref="BN134:BN149" si="91">MIN(BL134:BM134)</f>
        <v>6572.7116301410997</v>
      </c>
      <c r="BO134" s="419">
        <v>900</v>
      </c>
      <c r="BP134" s="382">
        <f>PI()*BO134/1000*( Pile!$C$26- Pile!$C134)</f>
        <v>4.2411500823461807</v>
      </c>
      <c r="BQ134" s="382">
        <f t="shared" ref="BQ134:BQ148" si="92">PI()*(BO134/2000)^2</f>
        <v>0.63617251235193317</v>
      </c>
      <c r="BR134" s="382">
        <f t="shared" si="56"/>
        <v>1357.1680263507778</v>
      </c>
      <c r="BS134" s="382">
        <f>BP134* Pile!$S$26</f>
        <v>1357.1680263507778</v>
      </c>
      <c r="BT134" s="382">
        <f t="shared" si="75"/>
        <v>1357.1680263507778</v>
      </c>
      <c r="BU134" s="382">
        <f>IF(BT134&gt;0,+BT134)/ 'Pile Data and Eurocode Factors'!$B$14/ 'Pile Data and Eurocode Factors'!$B$15+$BU$129</f>
        <v>7785.7517711174169</v>
      </c>
      <c r="BV134" s="382">
        <f t="shared" si="67"/>
        <v>636.17251235193316</v>
      </c>
      <c r="BW134" s="382">
        <f>BQ134* Pile!$U$26</f>
        <v>0</v>
      </c>
      <c r="BX134" s="382">
        <f t="shared" ref="BX134:BX149" si="93">IF(BW134&gt;0,MIN(BV134:BW134),BV134)</f>
        <v>636.17251235193316</v>
      </c>
      <c r="BY134" s="382">
        <f>BX134/ 'Pile Data and Eurocode Factors'!$C$14/ 'Pile Data and Eurocode Factors'!$C$15</f>
        <v>227.20446869711901</v>
      </c>
      <c r="BZ134" s="382">
        <f t="shared" ref="BZ134:BZ149" si="94">BY134+BU134</f>
        <v>8012.9562398145363</v>
      </c>
      <c r="CA134" s="382">
        <f>VLOOKUP(BO134, 'Pile Data and Eurocode Factors'!$A$34:$J$39,3, FALSE)</f>
        <v>9464.7047474031824</v>
      </c>
      <c r="CB134" s="403">
        <f t="shared" ref="CB134:CB149" si="95">MIN(BZ134:CA134)</f>
        <v>8012.9562398145363</v>
      </c>
      <c r="CC134" s="419">
        <v>1050</v>
      </c>
      <c r="CD134" s="382">
        <f>PI()*CC134/1000*( Pile!$C$26- Pile!$C134)</f>
        <v>4.9480084294038775</v>
      </c>
      <c r="CE134" s="382">
        <f t="shared" ref="CE134:CE148" si="96">PI()*(CC134/2000)^2</f>
        <v>0.86590147514568672</v>
      </c>
      <c r="CF134" s="382">
        <f t="shared" si="57"/>
        <v>1583.3626974092408</v>
      </c>
      <c r="CG134" s="382">
        <f>CD134* Pile!$S$26</f>
        <v>1583.3626974092408</v>
      </c>
      <c r="CH134" s="382">
        <f t="shared" si="76"/>
        <v>1583.3626974092408</v>
      </c>
      <c r="CI134" s="382">
        <f>IF(CH134&gt;0,+CH134)/ 'Pile Data and Eurocode Factors'!$B$14/ 'Pile Data and Eurocode Factors'!$B$15+$CI$129</f>
        <v>9083.3770663036539</v>
      </c>
      <c r="CJ134" s="382">
        <f t="shared" si="69"/>
        <v>865.90147514568673</v>
      </c>
      <c r="CK134" s="382">
        <f>CE134* Pile!$U$26</f>
        <v>0</v>
      </c>
      <c r="CL134" s="382">
        <f t="shared" ref="CL134:CL149" si="97">IF(CK134&gt;0,MIN(CJ134:CK134),CJ134)</f>
        <v>865.90147514568673</v>
      </c>
      <c r="CM134" s="382">
        <f>CL134/ 'Pile Data and Eurocode Factors'!$C$14/ 'Pile Data and Eurocode Factors'!$C$15</f>
        <v>309.25052683774527</v>
      </c>
      <c r="CN134" s="382">
        <f t="shared" ref="CN134:CN149" si="98">CM134+CI134</f>
        <v>9392.6275931413984</v>
      </c>
      <c r="CO134" s="382">
        <f>VLOOKUP(CC134, 'Pile Data and Eurocode Factors'!$A$34:$J$39,3, FALSE)</f>
        <v>12882.514795076555</v>
      </c>
      <c r="CP134" s="403">
        <f t="shared" ref="CP134:CP149" si="99">MIN(CN134:CO134)</f>
        <v>9392.6275931413984</v>
      </c>
      <c r="CQ134" s="419">
        <v>1200</v>
      </c>
      <c r="CR134" s="382">
        <f>PI()*CQ134/1000*( Pile!$C$26- Pile!$C134)</f>
        <v>5.6548667764615743</v>
      </c>
      <c r="CS134" s="382">
        <f t="shared" ref="CS134:CS148" si="100">PI()*(CQ134/2000)^2</f>
        <v>1.1309733552923256</v>
      </c>
      <c r="CT134" s="382">
        <f t="shared" si="58"/>
        <v>1809.5573684677038</v>
      </c>
      <c r="CU134" s="382">
        <f>CR134* Pile!$S$26</f>
        <v>1809.5573684677038</v>
      </c>
      <c r="CV134" s="382">
        <f t="shared" si="77"/>
        <v>1809.5573684677038</v>
      </c>
      <c r="CW134" s="382">
        <f>IF(CV134&gt;0,+CV134)/ 'Pile Data and Eurocode Factors'!$B$14/ 'Pile Data and Eurocode Factors'!$B$15+$CW$129</f>
        <v>10381.002361489889</v>
      </c>
      <c r="CX134" s="382">
        <f t="shared" si="71"/>
        <v>1130.9733552923256</v>
      </c>
      <c r="CY134" s="382">
        <f>CS134* Pile!$U$26</f>
        <v>0</v>
      </c>
      <c r="CZ134" s="382">
        <f t="shared" ref="CZ134:CZ149" si="101">IF(CY134&gt;0,MIN(CX134:CY134),CX134)</f>
        <v>1130.9733552923256</v>
      </c>
      <c r="DA134" s="382">
        <f>CZ134/ 'Pile Data and Eurocode Factors'!$C$14/ 'Pile Data and Eurocode Factors'!$C$15</f>
        <v>403.91905546154487</v>
      </c>
      <c r="DB134" s="382">
        <f t="shared" ref="DB134:DB149" si="102">DA134+CW134</f>
        <v>10784.921416951434</v>
      </c>
      <c r="DC134" s="382">
        <f>VLOOKUP(CQ134, 'Pile Data and Eurocode Factors'!$A$34:$J$39,3, FALSE)</f>
        <v>16826.141773161216</v>
      </c>
      <c r="DD134" s="403">
        <f t="shared" ref="DD134:DD149" si="103">MIN(DB134:DC134)</f>
        <v>10784.921416951434</v>
      </c>
      <c r="DE134" s="420">
        <f xml:space="preserve"> Pile!$C$23- Pile!C134</f>
        <v>43.499999999999986</v>
      </c>
      <c r="DG134" s="382">
        <f t="shared" si="52"/>
        <v>2366.1761868507956</v>
      </c>
      <c r="DH134" s="382">
        <f t="shared" ref="DH134:DH149" si="104">$AZ134</f>
        <v>4206.5354432903041</v>
      </c>
      <c r="DI134" s="382">
        <f t="shared" ref="DI134:DI149" si="105">$BN134</f>
        <v>6572.7116301410997</v>
      </c>
      <c r="DJ134" s="382">
        <f t="shared" ref="DJ134:DJ149" si="106">$CB134</f>
        <v>8012.9562398145363</v>
      </c>
      <c r="DK134" s="382">
        <f t="shared" ref="DK134:DK149" si="107">$CP134</f>
        <v>9392.6275931413984</v>
      </c>
      <c r="DL134" s="382">
        <f t="shared" si="53"/>
        <v>10784.921416951434</v>
      </c>
    </row>
    <row r="135" spans="1:116" s="308" customFormat="1" ht="15">
      <c r="B135" s="400">
        <v>6</v>
      </c>
      <c r="C135" s="401">
        <f>+C134- Pile!D$26/20</f>
        <v>-37.799999999999983</v>
      </c>
      <c r="D135" s="415" t="str">
        <f>B26</f>
        <v>Medium Density Chalk</v>
      </c>
      <c r="E135" s="415" t="str">
        <f>F26</f>
        <v>Chalk</v>
      </c>
      <c r="F135" s="401">
        <f xml:space="preserve"> Pile!$E$26*(C134-C135)+F134</f>
        <v>831.41962499999977</v>
      </c>
      <c r="G135" s="401">
        <f>IF(C135&gt; Pile!$C$28,0,( Pile!$C$28-C135)*9.81)</f>
        <v>223.66799999999984</v>
      </c>
      <c r="H135" s="401">
        <f t="shared" si="78"/>
        <v>607.75162499999988</v>
      </c>
      <c r="I135" s="401">
        <f t="shared" si="73"/>
        <v>598.37081250000006</v>
      </c>
      <c r="J135" s="401">
        <f>IF(E135="Cohesive",(( Pile!$H$26- Pile!$G$26)/20)+J134,0)</f>
        <v>0</v>
      </c>
      <c r="K135" s="401">
        <f>IF(E135="Cohesive",( Pile!$G$26+ Pile!$J135)/2,0)</f>
        <v>0</v>
      </c>
      <c r="L135" s="401" t="str">
        <f>IF( Pile!I$26="",0, Pile!I$26)</f>
        <v>0</v>
      </c>
      <c r="M135" s="401" t="str">
        <f>IF( Pile!J$26="",0, Pile!J$26)</f>
        <v>0</v>
      </c>
      <c r="N135" s="401">
        <f>IF(E135="Granular", Pile!$K$26,0)</f>
        <v>0</v>
      </c>
      <c r="O135" s="416">
        <f>IF(AND(E135="Granular",D135&lt;&gt;"Made Ground"), Pile!$L$26,0)</f>
        <v>0</v>
      </c>
      <c r="P135" s="401">
        <f>IF(OR(D135="Low Density Chalk",D135="Medium Density Chalk"), Pile!$M$26,0)</f>
        <v>0.8</v>
      </c>
      <c r="Q135" s="417">
        <f>IF(D135="High Density Chalk", Pile!$N$26,0)</f>
        <v>0</v>
      </c>
      <c r="R135" s="401">
        <f>IF( Pile!O$26="",0, Pile!O$26)</f>
        <v>6000</v>
      </c>
      <c r="S135" s="418">
        <f t="shared" ref="S135:S149" si="108">P135*I135+L135*K135+O135*I135+Q135*I135</f>
        <v>478.69665000000009</v>
      </c>
      <c r="T135" s="382">
        <f xml:space="preserve"> Pile!$T$26</f>
        <v>320</v>
      </c>
      <c r="U135" s="382">
        <f t="shared" ref="U135:U149" si="109">IF(T135&gt;0,MIN(S135:T135),S135)</f>
        <v>320</v>
      </c>
      <c r="V135" s="382">
        <f t="shared" si="79"/>
        <v>6000</v>
      </c>
      <c r="W135" s="382">
        <f xml:space="preserve"> Pile!$V$26</f>
        <v>1000</v>
      </c>
      <c r="X135" s="382">
        <f t="shared" ref="X135:X149" si="110">IF(W135&gt;0,MIN(V135:W135),V135)</f>
        <v>1000</v>
      </c>
      <c r="Y135" s="419">
        <v>450</v>
      </c>
      <c r="Z135" s="382">
        <f>PI()*Y135/1000*( Pile!$C$26- Pile!$C135)</f>
        <v>2.5446900494077083</v>
      </c>
      <c r="AA135" s="382">
        <f t="shared" si="80"/>
        <v>0.15904312808798329</v>
      </c>
      <c r="AB135" s="382">
        <f t="shared" ref="AB135:AB149" si="111">+$U135*Z135</f>
        <v>814.3008158104667</v>
      </c>
      <c r="AC135" s="382">
        <f>Z135* Pile!$S$26</f>
        <v>814.3008158104667</v>
      </c>
      <c r="AD135" s="382">
        <f t="shared" ref="AD135:AD149" si="112">IF(AC135&gt;0,MIN(AB135:AC135),AB135)</f>
        <v>814.3008158104667</v>
      </c>
      <c r="AE135" s="382">
        <f>IF(AD135&gt;0,+AD135)/ 'Pile Data and Eurocode Factors'!$B$14/ 'Pile Data and Eurocode Factors'!$B$15+$AE$129</f>
        <v>3953.4637438779396</v>
      </c>
      <c r="AF135" s="382">
        <f t="shared" ref="AF135:AF149" si="113">AA135*$X135</f>
        <v>159.04312808798329</v>
      </c>
      <c r="AG135" s="382">
        <f>AA135* Pile!$U$26</f>
        <v>0</v>
      </c>
      <c r="AH135" s="382">
        <f t="shared" si="81"/>
        <v>159.04312808798329</v>
      </c>
      <c r="AI135" s="382">
        <f>AH135/ 'Pile Data and Eurocode Factors'!$C$14/ 'Pile Data and Eurocode Factors'!$C$15</f>
        <v>56.801117174279753</v>
      </c>
      <c r="AJ135" s="382">
        <f t="shared" si="82"/>
        <v>4010.2648610522192</v>
      </c>
      <c r="AK135" s="382">
        <f>VLOOKUP(Y135, 'Pile Data and Eurocode Factors'!$A$34:$J$39,3, FALSE)</f>
        <v>2366.1761868507956</v>
      </c>
      <c r="AL135" s="403">
        <f t="shared" si="83"/>
        <v>2366.1761868507956</v>
      </c>
      <c r="AM135" s="419">
        <v>600</v>
      </c>
      <c r="AN135" s="382">
        <f>PI()*AM135/1000*( Pile!$C$26- Pile!$C135)</f>
        <v>3.3929200658769445</v>
      </c>
      <c r="AO135" s="382">
        <f t="shared" si="84"/>
        <v>0.28274333882308139</v>
      </c>
      <c r="AP135" s="382">
        <f t="shared" si="54"/>
        <v>1085.7344210806223</v>
      </c>
      <c r="AQ135" s="382">
        <f>AN135* Pile!$S$26</f>
        <v>1085.7344210806223</v>
      </c>
      <c r="AR135" s="382">
        <f t="shared" si="59"/>
        <v>1085.7344210806223</v>
      </c>
      <c r="AS135" s="382">
        <f>IF(AR135&gt;0,+AR135)/ 'Pile Data and Eurocode Factors'!$B$14/ 'Pile Data and Eurocode Factors'!$B$15+$AS$129</f>
        <v>5271.2849918372531</v>
      </c>
      <c r="AT135" s="382">
        <f t="shared" si="65"/>
        <v>282.74333882308139</v>
      </c>
      <c r="AU135" s="382">
        <f>AO135* Pile!$U$26</f>
        <v>0</v>
      </c>
      <c r="AV135" s="382">
        <f t="shared" si="85"/>
        <v>282.74333882308139</v>
      </c>
      <c r="AW135" s="382">
        <f>AV135/ 'Pile Data and Eurocode Factors'!$C$14/ 'Pile Data and Eurocode Factors'!$C$15</f>
        <v>100.97976386538622</v>
      </c>
      <c r="AX135" s="382">
        <f t="shared" si="86"/>
        <v>5372.2647557026394</v>
      </c>
      <c r="AY135" s="382">
        <f>VLOOKUP(AM135, 'Pile Data and Eurocode Factors'!$A$34:$J$39,3, FALSE)</f>
        <v>4206.5354432903041</v>
      </c>
      <c r="AZ135" s="403">
        <f t="shared" si="87"/>
        <v>4206.5354432903041</v>
      </c>
      <c r="BA135" s="419">
        <v>750</v>
      </c>
      <c r="BB135" s="382">
        <f>PI()*BA135/1000*( Pile!$C$26- Pile!$C135)</f>
        <v>4.2411500823461807</v>
      </c>
      <c r="BC135" s="382">
        <f t="shared" si="88"/>
        <v>0.44178646691106466</v>
      </c>
      <c r="BD135" s="382">
        <f t="shared" si="55"/>
        <v>1357.1680263507778</v>
      </c>
      <c r="BE135" s="382">
        <f>BB135* Pile!$S$26</f>
        <v>1357.1680263507778</v>
      </c>
      <c r="BF135" s="382">
        <f t="shared" si="74"/>
        <v>1357.1680263507778</v>
      </c>
      <c r="BG135" s="382">
        <f>IF(BF135&gt;0,+BF135)/ 'Pile Data and Eurocode Factors'!$B$14/ 'Pile Data and Eurocode Factors'!$B$15+$BG$129</f>
        <v>6589.106239796567</v>
      </c>
      <c r="BH135" s="382">
        <f t="shared" si="66"/>
        <v>441.78646691106468</v>
      </c>
      <c r="BI135" s="382">
        <f>BC135* Pile!$U$26</f>
        <v>0</v>
      </c>
      <c r="BJ135" s="382">
        <f t="shared" si="89"/>
        <v>441.78646691106468</v>
      </c>
      <c r="BK135" s="382">
        <f>BJ135/ 'Pile Data and Eurocode Factors'!$C$14/ 'Pile Data and Eurocode Factors'!$C$15</f>
        <v>157.78088103966596</v>
      </c>
      <c r="BL135" s="382">
        <f t="shared" si="90"/>
        <v>6746.8871208362334</v>
      </c>
      <c r="BM135" s="382">
        <f>VLOOKUP(BA135, 'Pile Data and Eurocode Factors'!$A$34:$J$39,3, FALSE)</f>
        <v>6572.7116301410997</v>
      </c>
      <c r="BN135" s="403">
        <f t="shared" si="91"/>
        <v>6572.7116301410997</v>
      </c>
      <c r="BO135" s="419">
        <v>900</v>
      </c>
      <c r="BP135" s="382">
        <f>PI()*BO135/1000*( Pile!$C$26- Pile!$C135)</f>
        <v>5.0893800988154165</v>
      </c>
      <c r="BQ135" s="382">
        <f t="shared" si="92"/>
        <v>0.63617251235193317</v>
      </c>
      <c r="BR135" s="382">
        <f t="shared" si="56"/>
        <v>1628.6016316209334</v>
      </c>
      <c r="BS135" s="382">
        <f>BP135* Pile!$S$26</f>
        <v>1628.6016316209334</v>
      </c>
      <c r="BT135" s="382">
        <f t="shared" si="75"/>
        <v>1628.6016316209334</v>
      </c>
      <c r="BU135" s="382">
        <f>IF(BT135&gt;0,+BT135)/ 'Pile Data and Eurocode Factors'!$B$14/ 'Pile Data and Eurocode Factors'!$B$15+$BU$129</f>
        <v>7906.9274877558792</v>
      </c>
      <c r="BV135" s="382">
        <f t="shared" si="67"/>
        <v>636.17251235193316</v>
      </c>
      <c r="BW135" s="382">
        <f>BQ135* Pile!$U$26</f>
        <v>0</v>
      </c>
      <c r="BX135" s="382">
        <f t="shared" si="93"/>
        <v>636.17251235193316</v>
      </c>
      <c r="BY135" s="382">
        <f>BX135/ 'Pile Data and Eurocode Factors'!$C$14/ 'Pile Data and Eurocode Factors'!$C$15</f>
        <v>227.20446869711901</v>
      </c>
      <c r="BZ135" s="382">
        <f t="shared" si="94"/>
        <v>8134.1319564529986</v>
      </c>
      <c r="CA135" s="382">
        <f>VLOOKUP(BO135, 'Pile Data and Eurocode Factors'!$A$34:$J$39,3, FALSE)</f>
        <v>9464.7047474031824</v>
      </c>
      <c r="CB135" s="403">
        <f t="shared" si="95"/>
        <v>8134.1319564529986</v>
      </c>
      <c r="CC135" s="419">
        <v>1050</v>
      </c>
      <c r="CD135" s="382">
        <f>PI()*CC135/1000*( Pile!$C$26- Pile!$C135)</f>
        <v>5.9376101152846523</v>
      </c>
      <c r="CE135" s="382">
        <f t="shared" si="96"/>
        <v>0.86590147514568672</v>
      </c>
      <c r="CF135" s="382">
        <f t="shared" si="57"/>
        <v>1900.0352368910887</v>
      </c>
      <c r="CG135" s="382">
        <f>CD135* Pile!$S$26</f>
        <v>1900.0352368910887</v>
      </c>
      <c r="CH135" s="382">
        <f t="shared" si="76"/>
        <v>1900.0352368910887</v>
      </c>
      <c r="CI135" s="382">
        <f>IF(CH135&gt;0,+CH135)/ 'Pile Data and Eurocode Factors'!$B$14/ 'Pile Data and Eurocode Factors'!$B$15+$CI$129</f>
        <v>9224.7487357151949</v>
      </c>
      <c r="CJ135" s="382">
        <f t="shared" si="69"/>
        <v>865.90147514568673</v>
      </c>
      <c r="CK135" s="382">
        <f>CE135* Pile!$U$26</f>
        <v>0</v>
      </c>
      <c r="CL135" s="382">
        <f t="shared" si="97"/>
        <v>865.90147514568673</v>
      </c>
      <c r="CM135" s="382">
        <f>CL135/ 'Pile Data and Eurocode Factors'!$C$14/ 'Pile Data and Eurocode Factors'!$C$15</f>
        <v>309.25052683774527</v>
      </c>
      <c r="CN135" s="382">
        <f t="shared" si="98"/>
        <v>9533.9992625529394</v>
      </c>
      <c r="CO135" s="382">
        <f>VLOOKUP(CC135, 'Pile Data and Eurocode Factors'!$A$34:$J$39,3, FALSE)</f>
        <v>12882.514795076555</v>
      </c>
      <c r="CP135" s="403">
        <f t="shared" si="99"/>
        <v>9533.9992625529394</v>
      </c>
      <c r="CQ135" s="419">
        <v>1200</v>
      </c>
      <c r="CR135" s="382">
        <f>PI()*CQ135/1000*( Pile!$C$26- Pile!$C135)</f>
        <v>6.785840131753889</v>
      </c>
      <c r="CS135" s="382">
        <f t="shared" si="100"/>
        <v>1.1309733552923256</v>
      </c>
      <c r="CT135" s="382">
        <f t="shared" si="58"/>
        <v>2171.4688421612445</v>
      </c>
      <c r="CU135" s="382">
        <f>CR135* Pile!$S$26</f>
        <v>2171.4688421612445</v>
      </c>
      <c r="CV135" s="382">
        <f t="shared" si="77"/>
        <v>2171.4688421612445</v>
      </c>
      <c r="CW135" s="382">
        <f>IF(CV135&gt;0,+CV135)/ 'Pile Data and Eurocode Factors'!$B$14/ 'Pile Data and Eurocode Factors'!$B$15+$CW$129</f>
        <v>10542.569983674506</v>
      </c>
      <c r="CX135" s="382">
        <f t="shared" si="71"/>
        <v>1130.9733552923256</v>
      </c>
      <c r="CY135" s="382">
        <f>CS135* Pile!$U$26</f>
        <v>0</v>
      </c>
      <c r="CZ135" s="382">
        <f t="shared" si="101"/>
        <v>1130.9733552923256</v>
      </c>
      <c r="DA135" s="382">
        <f>CZ135/ 'Pile Data and Eurocode Factors'!$C$14/ 'Pile Data and Eurocode Factors'!$C$15</f>
        <v>403.91905546154487</v>
      </c>
      <c r="DB135" s="382">
        <f t="shared" si="102"/>
        <v>10946.489039136051</v>
      </c>
      <c r="DC135" s="382">
        <f>VLOOKUP(CQ135, 'Pile Data and Eurocode Factors'!$A$34:$J$39,3, FALSE)</f>
        <v>16826.141773161216</v>
      </c>
      <c r="DD135" s="403">
        <f t="shared" si="103"/>
        <v>10946.489039136051</v>
      </c>
      <c r="DE135" s="420">
        <f xml:space="preserve"> Pile!$C$23- Pile!C135</f>
        <v>43.799999999999983</v>
      </c>
      <c r="DG135" s="382">
        <f t="shared" ref="DG135:DG149" si="114">$AL135</f>
        <v>2366.1761868507956</v>
      </c>
      <c r="DH135" s="382">
        <f t="shared" si="104"/>
        <v>4206.5354432903041</v>
      </c>
      <c r="DI135" s="382">
        <f t="shared" si="105"/>
        <v>6572.7116301410997</v>
      </c>
      <c r="DJ135" s="382">
        <f t="shared" si="106"/>
        <v>8134.1319564529986</v>
      </c>
      <c r="DK135" s="382">
        <f t="shared" si="107"/>
        <v>9533.9992625529394</v>
      </c>
      <c r="DL135" s="382">
        <f t="shared" ref="DL135:DL149" si="115">DD135</f>
        <v>10946.489039136051</v>
      </c>
    </row>
    <row r="136" spans="1:116" s="308" customFormat="1" ht="15">
      <c r="B136" s="400">
        <v>7</v>
      </c>
      <c r="C136" s="401">
        <f>+C135- Pile!D$26/20</f>
        <v>-38.09999999999998</v>
      </c>
      <c r="D136" s="415" t="str">
        <f>B26</f>
        <v>Medium Density Chalk</v>
      </c>
      <c r="E136" s="415" t="str">
        <f>F26</f>
        <v>Chalk</v>
      </c>
      <c r="F136" s="401">
        <f xml:space="preserve"> Pile!$E$26*(C135-C136)+F135</f>
        <v>837.48956249999969</v>
      </c>
      <c r="G136" s="401">
        <f>IF(C136&gt; Pile!$C$28,0,( Pile!$C$28-C136)*9.81)</f>
        <v>226.61099999999982</v>
      </c>
      <c r="H136" s="401">
        <f t="shared" si="78"/>
        <v>610.87856249999982</v>
      </c>
      <c r="I136" s="401">
        <f t="shared" si="73"/>
        <v>599.93428125000003</v>
      </c>
      <c r="J136" s="401">
        <f>IF(E136="Cohesive",(( Pile!$H$26- Pile!$G$26)/20)+J135,0)</f>
        <v>0</v>
      </c>
      <c r="K136" s="401">
        <f>IF(E136="Cohesive",( Pile!$G$26+ Pile!$J136)/2,0)</f>
        <v>0</v>
      </c>
      <c r="L136" s="401" t="str">
        <f>IF( Pile!I$26="",0, Pile!I$26)</f>
        <v>0</v>
      </c>
      <c r="M136" s="401" t="str">
        <f>IF( Pile!J$26="",0, Pile!J$26)</f>
        <v>0</v>
      </c>
      <c r="N136" s="401">
        <f>IF(E136="Granular", Pile!$K$26,0)</f>
        <v>0</v>
      </c>
      <c r="O136" s="416">
        <f>IF(AND(E136="Granular",D136&lt;&gt;"Made Ground"), Pile!$L$26,0)</f>
        <v>0</v>
      </c>
      <c r="P136" s="401">
        <f>IF(OR(D136="Low Density Chalk",D136="Medium Density Chalk"), Pile!$M$26,0)</f>
        <v>0.8</v>
      </c>
      <c r="Q136" s="417">
        <f>IF(D136="High Density Chalk", Pile!$N$26,0)</f>
        <v>0</v>
      </c>
      <c r="R136" s="401">
        <f>IF( Pile!O$26="",0, Pile!O$26)</f>
        <v>6000</v>
      </c>
      <c r="S136" s="418">
        <f t="shared" si="108"/>
        <v>479.94742500000007</v>
      </c>
      <c r="T136" s="382">
        <f xml:space="preserve"> Pile!$T$26</f>
        <v>320</v>
      </c>
      <c r="U136" s="382">
        <f t="shared" si="109"/>
        <v>320</v>
      </c>
      <c r="V136" s="382">
        <f t="shared" si="79"/>
        <v>6000</v>
      </c>
      <c r="W136" s="382">
        <f xml:space="preserve"> Pile!$V$26</f>
        <v>1000</v>
      </c>
      <c r="X136" s="382">
        <f t="shared" si="110"/>
        <v>1000</v>
      </c>
      <c r="Y136" s="419">
        <v>450</v>
      </c>
      <c r="Z136" s="382">
        <f>PI()*Y136/1000*( Pile!$C$26- Pile!$C136)</f>
        <v>2.9688050576423262</v>
      </c>
      <c r="AA136" s="382">
        <f t="shared" si="80"/>
        <v>0.15904312808798329</v>
      </c>
      <c r="AB136" s="382">
        <f t="shared" si="111"/>
        <v>950.01761844554437</v>
      </c>
      <c r="AC136" s="382">
        <f>Z136* Pile!$S$26</f>
        <v>950.01761844554437</v>
      </c>
      <c r="AD136" s="382">
        <f t="shared" si="112"/>
        <v>950.01761844554437</v>
      </c>
      <c r="AE136" s="382">
        <f>IF(AD136&gt;0,+AD136)/ 'Pile Data and Eurocode Factors'!$B$14/ 'Pile Data and Eurocode Factors'!$B$15+$AE$129</f>
        <v>4014.0516021971707</v>
      </c>
      <c r="AF136" s="382">
        <f t="shared" si="113"/>
        <v>159.04312808798329</v>
      </c>
      <c r="AG136" s="382">
        <f>AA136* Pile!$U$26</f>
        <v>0</v>
      </c>
      <c r="AH136" s="382">
        <f t="shared" si="81"/>
        <v>159.04312808798329</v>
      </c>
      <c r="AI136" s="382">
        <f>AH136/ 'Pile Data and Eurocode Factors'!$C$14/ 'Pile Data and Eurocode Factors'!$C$15</f>
        <v>56.801117174279753</v>
      </c>
      <c r="AJ136" s="382">
        <f t="shared" si="82"/>
        <v>4070.8527193714503</v>
      </c>
      <c r="AK136" s="382">
        <f>VLOOKUP(Y136, 'Pile Data and Eurocode Factors'!$A$34:$J$39,3, FALSE)</f>
        <v>2366.1761868507956</v>
      </c>
      <c r="AL136" s="403">
        <f t="shared" si="83"/>
        <v>2366.1761868507956</v>
      </c>
      <c r="AM136" s="419">
        <v>600</v>
      </c>
      <c r="AN136" s="382">
        <f>PI()*AM136/1000*( Pile!$C$26- Pile!$C136)</f>
        <v>3.9584067435231018</v>
      </c>
      <c r="AO136" s="382">
        <f t="shared" si="84"/>
        <v>0.28274333882308139</v>
      </c>
      <c r="AP136" s="382">
        <f t="shared" si="54"/>
        <v>1266.6901579273926</v>
      </c>
      <c r="AQ136" s="382">
        <f>AN136* Pile!$S$26</f>
        <v>1266.6901579273926</v>
      </c>
      <c r="AR136" s="382">
        <f t="shared" si="59"/>
        <v>1266.6901579273926</v>
      </c>
      <c r="AS136" s="382">
        <f>IF(AR136&gt;0,+AR136)/ 'Pile Data and Eurocode Factors'!$B$14/ 'Pile Data and Eurocode Factors'!$B$15+$AS$129</f>
        <v>5352.0688029295616</v>
      </c>
      <c r="AT136" s="382">
        <f t="shared" si="65"/>
        <v>282.74333882308139</v>
      </c>
      <c r="AU136" s="382">
        <f>AO136* Pile!$U$26</f>
        <v>0</v>
      </c>
      <c r="AV136" s="382">
        <f t="shared" si="85"/>
        <v>282.74333882308139</v>
      </c>
      <c r="AW136" s="382">
        <f>AV136/ 'Pile Data and Eurocode Factors'!$C$14/ 'Pile Data and Eurocode Factors'!$C$15</f>
        <v>100.97976386538622</v>
      </c>
      <c r="AX136" s="382">
        <f t="shared" si="86"/>
        <v>5453.0485667949479</v>
      </c>
      <c r="AY136" s="382">
        <f>VLOOKUP(AM136, 'Pile Data and Eurocode Factors'!$A$34:$J$39,3, FALSE)</f>
        <v>4206.5354432903041</v>
      </c>
      <c r="AZ136" s="403">
        <f t="shared" si="87"/>
        <v>4206.5354432903041</v>
      </c>
      <c r="BA136" s="419">
        <v>750</v>
      </c>
      <c r="BB136" s="382">
        <f>PI()*BA136/1000*( Pile!$C$26- Pile!$C136)</f>
        <v>4.9480084294038775</v>
      </c>
      <c r="BC136" s="382">
        <f t="shared" si="88"/>
        <v>0.44178646691106466</v>
      </c>
      <c r="BD136" s="382">
        <f t="shared" si="55"/>
        <v>1583.3626974092408</v>
      </c>
      <c r="BE136" s="382">
        <f>BB136* Pile!$S$26</f>
        <v>1583.3626974092408</v>
      </c>
      <c r="BF136" s="382">
        <f t="shared" si="74"/>
        <v>1583.3626974092408</v>
      </c>
      <c r="BG136" s="382">
        <f>IF(BF136&gt;0,+BF136)/ 'Pile Data and Eurocode Factors'!$B$14/ 'Pile Data and Eurocode Factors'!$B$15+$BG$129</f>
        <v>6690.0860036619524</v>
      </c>
      <c r="BH136" s="382">
        <f t="shared" si="66"/>
        <v>441.78646691106468</v>
      </c>
      <c r="BI136" s="382">
        <f>BC136* Pile!$U$26</f>
        <v>0</v>
      </c>
      <c r="BJ136" s="382">
        <f t="shared" si="89"/>
        <v>441.78646691106468</v>
      </c>
      <c r="BK136" s="382">
        <f>BJ136/ 'Pile Data and Eurocode Factors'!$C$14/ 'Pile Data and Eurocode Factors'!$C$15</f>
        <v>157.78088103966596</v>
      </c>
      <c r="BL136" s="382">
        <f t="shared" si="90"/>
        <v>6847.8668847016188</v>
      </c>
      <c r="BM136" s="382">
        <f>VLOOKUP(BA136, 'Pile Data and Eurocode Factors'!$A$34:$J$39,3, FALSE)</f>
        <v>6572.7116301410997</v>
      </c>
      <c r="BN136" s="403">
        <f t="shared" si="91"/>
        <v>6572.7116301410997</v>
      </c>
      <c r="BO136" s="419">
        <v>900</v>
      </c>
      <c r="BP136" s="382">
        <f>PI()*BO136/1000*( Pile!$C$26- Pile!$C136)</f>
        <v>5.9376101152846523</v>
      </c>
      <c r="BQ136" s="382">
        <f t="shared" si="92"/>
        <v>0.63617251235193317</v>
      </c>
      <c r="BR136" s="382">
        <f t="shared" si="56"/>
        <v>1900.0352368910887</v>
      </c>
      <c r="BS136" s="382">
        <f>BP136* Pile!$S$26</f>
        <v>1900.0352368910887</v>
      </c>
      <c r="BT136" s="382">
        <f t="shared" si="75"/>
        <v>1900.0352368910887</v>
      </c>
      <c r="BU136" s="382">
        <f>IF(BT136&gt;0,+BT136)/ 'Pile Data and Eurocode Factors'!$B$14/ 'Pile Data and Eurocode Factors'!$B$15+$BU$129</f>
        <v>8028.1032043943414</v>
      </c>
      <c r="BV136" s="382">
        <f t="shared" si="67"/>
        <v>636.17251235193316</v>
      </c>
      <c r="BW136" s="382">
        <f>BQ136* Pile!$U$26</f>
        <v>0</v>
      </c>
      <c r="BX136" s="382">
        <f t="shared" si="93"/>
        <v>636.17251235193316</v>
      </c>
      <c r="BY136" s="382">
        <f>BX136/ 'Pile Data and Eurocode Factors'!$C$14/ 'Pile Data and Eurocode Factors'!$C$15</f>
        <v>227.20446869711901</v>
      </c>
      <c r="BZ136" s="382">
        <f t="shared" si="94"/>
        <v>8255.3076730914599</v>
      </c>
      <c r="CA136" s="382">
        <f>VLOOKUP(BO136, 'Pile Data and Eurocode Factors'!$A$34:$J$39,3, FALSE)</f>
        <v>9464.7047474031824</v>
      </c>
      <c r="CB136" s="403">
        <f t="shared" si="95"/>
        <v>8255.3076730914599</v>
      </c>
      <c r="CC136" s="419">
        <v>1050</v>
      </c>
      <c r="CD136" s="382">
        <f>PI()*CC136/1000*( Pile!$C$26- Pile!$C136)</f>
        <v>6.927211801165428</v>
      </c>
      <c r="CE136" s="382">
        <f t="shared" si="96"/>
        <v>0.86590147514568672</v>
      </c>
      <c r="CF136" s="382">
        <f t="shared" si="57"/>
        <v>2216.7077763729371</v>
      </c>
      <c r="CG136" s="382">
        <f>CD136* Pile!$S$26</f>
        <v>2216.7077763729371</v>
      </c>
      <c r="CH136" s="382">
        <f t="shared" si="76"/>
        <v>2216.7077763729371</v>
      </c>
      <c r="CI136" s="382">
        <f>IF(CH136&gt;0,+CH136)/ 'Pile Data and Eurocode Factors'!$B$14/ 'Pile Data and Eurocode Factors'!$B$15+$CI$129</f>
        <v>9366.1204051267341</v>
      </c>
      <c r="CJ136" s="382">
        <f t="shared" si="69"/>
        <v>865.90147514568673</v>
      </c>
      <c r="CK136" s="382">
        <f>CE136* Pile!$U$26</f>
        <v>0</v>
      </c>
      <c r="CL136" s="382">
        <f t="shared" si="97"/>
        <v>865.90147514568673</v>
      </c>
      <c r="CM136" s="382">
        <f>CL136/ 'Pile Data and Eurocode Factors'!$C$14/ 'Pile Data and Eurocode Factors'!$C$15</f>
        <v>309.25052683774527</v>
      </c>
      <c r="CN136" s="382">
        <f t="shared" si="98"/>
        <v>9675.3709319644786</v>
      </c>
      <c r="CO136" s="382">
        <f>VLOOKUP(CC136, 'Pile Data and Eurocode Factors'!$A$34:$J$39,3, FALSE)</f>
        <v>12882.514795076555</v>
      </c>
      <c r="CP136" s="403">
        <f t="shared" si="99"/>
        <v>9675.3709319644786</v>
      </c>
      <c r="CQ136" s="419">
        <v>1200</v>
      </c>
      <c r="CR136" s="382">
        <f>PI()*CQ136/1000*( Pile!$C$26- Pile!$C136)</f>
        <v>7.9168134870462037</v>
      </c>
      <c r="CS136" s="382">
        <f t="shared" si="100"/>
        <v>1.1309733552923256</v>
      </c>
      <c r="CT136" s="382">
        <f t="shared" si="58"/>
        <v>2533.3803158547853</v>
      </c>
      <c r="CU136" s="382">
        <f>CR136* Pile!$S$26</f>
        <v>2533.3803158547853</v>
      </c>
      <c r="CV136" s="382">
        <f t="shared" si="77"/>
        <v>2533.3803158547853</v>
      </c>
      <c r="CW136" s="382">
        <f>IF(CV136&gt;0,+CV136)/ 'Pile Data and Eurocode Factors'!$B$14/ 'Pile Data and Eurocode Factors'!$B$15+$CW$129</f>
        <v>10704.137605859123</v>
      </c>
      <c r="CX136" s="382">
        <f t="shared" si="71"/>
        <v>1130.9733552923256</v>
      </c>
      <c r="CY136" s="382">
        <f>CS136* Pile!$U$26</f>
        <v>0</v>
      </c>
      <c r="CZ136" s="382">
        <f t="shared" si="101"/>
        <v>1130.9733552923256</v>
      </c>
      <c r="DA136" s="382">
        <f>CZ136/ 'Pile Data and Eurocode Factors'!$C$14/ 'Pile Data and Eurocode Factors'!$C$15</f>
        <v>403.91905546154487</v>
      </c>
      <c r="DB136" s="382">
        <f t="shared" si="102"/>
        <v>11108.056661320668</v>
      </c>
      <c r="DC136" s="382">
        <f>VLOOKUP(CQ136, 'Pile Data and Eurocode Factors'!$A$34:$J$39,3, FALSE)</f>
        <v>16826.141773161216</v>
      </c>
      <c r="DD136" s="403">
        <f t="shared" si="103"/>
        <v>11108.056661320668</v>
      </c>
      <c r="DE136" s="420">
        <f xml:space="preserve"> Pile!$C$23- Pile!C136</f>
        <v>44.09999999999998</v>
      </c>
      <c r="DG136" s="382">
        <f t="shared" si="114"/>
        <v>2366.1761868507956</v>
      </c>
      <c r="DH136" s="382">
        <f t="shared" si="104"/>
        <v>4206.5354432903041</v>
      </c>
      <c r="DI136" s="382">
        <f t="shared" si="105"/>
        <v>6572.7116301410997</v>
      </c>
      <c r="DJ136" s="382">
        <f t="shared" si="106"/>
        <v>8255.3076730914599</v>
      </c>
      <c r="DK136" s="382">
        <f t="shared" si="107"/>
        <v>9675.3709319644786</v>
      </c>
      <c r="DL136" s="382">
        <f t="shared" si="115"/>
        <v>11108.056661320668</v>
      </c>
    </row>
    <row r="137" spans="1:116" s="308" customFormat="1" ht="15">
      <c r="B137" s="400">
        <v>8</v>
      </c>
      <c r="C137" s="401">
        <f>+C136- Pile!D$26/20</f>
        <v>-38.399999999999977</v>
      </c>
      <c r="D137" s="415" t="str">
        <f>B26</f>
        <v>Medium Density Chalk</v>
      </c>
      <c r="E137" s="415" t="str">
        <f>F26</f>
        <v>Chalk</v>
      </c>
      <c r="F137" s="401">
        <f xml:space="preserve"> Pile!$E$26*(C136-C137)+F136</f>
        <v>843.55949999999962</v>
      </c>
      <c r="G137" s="401">
        <f>IF(C137&gt; Pile!$C$28,0,( Pile!$C$28-C137)*9.81)</f>
        <v>229.55399999999977</v>
      </c>
      <c r="H137" s="401">
        <f t="shared" si="78"/>
        <v>614.00549999999987</v>
      </c>
      <c r="I137" s="401">
        <f t="shared" si="73"/>
        <v>601.49775</v>
      </c>
      <c r="J137" s="401">
        <f>IF(E137="Cohesive",(( Pile!$H$26- Pile!$G$26)/20)+J136,0)</f>
        <v>0</v>
      </c>
      <c r="K137" s="401">
        <f>IF(E137="Cohesive",( Pile!$G$26+ Pile!$J137)/2,0)</f>
        <v>0</v>
      </c>
      <c r="L137" s="401" t="str">
        <f>IF( Pile!I$26="",0, Pile!I$26)</f>
        <v>0</v>
      </c>
      <c r="M137" s="401" t="str">
        <f>IF( Pile!J$26="",0, Pile!J$26)</f>
        <v>0</v>
      </c>
      <c r="N137" s="401">
        <f>IF(E137="Granular", Pile!$K$26,0)</f>
        <v>0</v>
      </c>
      <c r="O137" s="416">
        <f>IF(AND(E137="Granular",D137&lt;&gt;"Made Ground"), Pile!$L$26,0)</f>
        <v>0</v>
      </c>
      <c r="P137" s="401">
        <f>IF(OR(D137="Low Density Chalk",D137="Medium Density Chalk"), Pile!$M$26,0)</f>
        <v>0.8</v>
      </c>
      <c r="Q137" s="417">
        <f>IF(D137="High Density Chalk", Pile!$N$26,0)</f>
        <v>0</v>
      </c>
      <c r="R137" s="401">
        <f>IF( Pile!O$26="",0, Pile!O$26)</f>
        <v>6000</v>
      </c>
      <c r="S137" s="418">
        <f t="shared" si="108"/>
        <v>481.19820000000004</v>
      </c>
      <c r="T137" s="382">
        <f xml:space="preserve"> Pile!$T$26</f>
        <v>320</v>
      </c>
      <c r="U137" s="382">
        <f t="shared" si="109"/>
        <v>320</v>
      </c>
      <c r="V137" s="382">
        <f t="shared" si="79"/>
        <v>6000</v>
      </c>
      <c r="W137" s="382">
        <f xml:space="preserve"> Pile!$V$26</f>
        <v>1000</v>
      </c>
      <c r="X137" s="382">
        <f>IF(W137&gt;0,MIN(V137:W137),V137)</f>
        <v>1000</v>
      </c>
      <c r="Y137" s="419">
        <v>450</v>
      </c>
      <c r="Z137" s="382">
        <f>PI()*Y137/1000*( Pile!$C$26- Pile!$C137)</f>
        <v>3.3929200658769445</v>
      </c>
      <c r="AA137" s="382">
        <f t="shared" si="80"/>
        <v>0.15904312808798329</v>
      </c>
      <c r="AB137" s="382">
        <f t="shared" si="111"/>
        <v>1085.7344210806223</v>
      </c>
      <c r="AC137" s="382">
        <f>Z137* Pile!$S$26</f>
        <v>1085.7344210806223</v>
      </c>
      <c r="AD137" s="382">
        <f t="shared" si="112"/>
        <v>1085.7344210806223</v>
      </c>
      <c r="AE137" s="382">
        <f>IF(AD137&gt;0,+AD137)/ 'Pile Data and Eurocode Factors'!$B$14/ 'Pile Data and Eurocode Factors'!$B$15+$AE$129</f>
        <v>4074.6394605164019</v>
      </c>
      <c r="AF137" s="382">
        <f t="shared" si="113"/>
        <v>159.04312808798329</v>
      </c>
      <c r="AG137" s="382">
        <f>AA137* Pile!$U$26</f>
        <v>0</v>
      </c>
      <c r="AH137" s="382">
        <f t="shared" si="81"/>
        <v>159.04312808798329</v>
      </c>
      <c r="AI137" s="382">
        <f>AH137/ 'Pile Data and Eurocode Factors'!$C$14/ 'Pile Data and Eurocode Factors'!$C$15</f>
        <v>56.801117174279753</v>
      </c>
      <c r="AJ137" s="382">
        <f t="shared" si="82"/>
        <v>4131.4405776906815</v>
      </c>
      <c r="AK137" s="382">
        <f>VLOOKUP(Y137, 'Pile Data and Eurocode Factors'!$A$34:$J$39,3, FALSE)</f>
        <v>2366.1761868507956</v>
      </c>
      <c r="AL137" s="403">
        <f t="shared" si="83"/>
        <v>2366.1761868507956</v>
      </c>
      <c r="AM137" s="419">
        <v>600</v>
      </c>
      <c r="AN137" s="382">
        <f>PI()*AM137/1000*( Pile!$C$26- Pile!$C137)</f>
        <v>4.5238934211692596</v>
      </c>
      <c r="AO137" s="382">
        <f t="shared" si="84"/>
        <v>0.28274333882308139</v>
      </c>
      <c r="AP137" s="382">
        <f t="shared" si="54"/>
        <v>1447.645894774163</v>
      </c>
      <c r="AQ137" s="382">
        <f>AN137* Pile!$S$26</f>
        <v>1447.645894774163</v>
      </c>
      <c r="AR137" s="382">
        <f t="shared" si="59"/>
        <v>1447.645894774163</v>
      </c>
      <c r="AS137" s="382">
        <f>IF(AR137&gt;0,+AR137)/ 'Pile Data and Eurocode Factors'!$B$14/ 'Pile Data and Eurocode Factors'!$B$15+$AS$129</f>
        <v>5432.8526140218692</v>
      </c>
      <c r="AT137" s="382">
        <f t="shared" si="65"/>
        <v>282.74333882308139</v>
      </c>
      <c r="AU137" s="382">
        <f>AO137* Pile!$U$26</f>
        <v>0</v>
      </c>
      <c r="AV137" s="382">
        <f t="shared" si="85"/>
        <v>282.74333882308139</v>
      </c>
      <c r="AW137" s="382">
        <f>AV137/ 'Pile Data and Eurocode Factors'!$C$14/ 'Pile Data and Eurocode Factors'!$C$15</f>
        <v>100.97976386538622</v>
      </c>
      <c r="AX137" s="382">
        <f t="shared" si="86"/>
        <v>5533.8323778872555</v>
      </c>
      <c r="AY137" s="382">
        <f>VLOOKUP(AM137, 'Pile Data and Eurocode Factors'!$A$34:$J$39,3, FALSE)</f>
        <v>4206.5354432903041</v>
      </c>
      <c r="AZ137" s="403">
        <f t="shared" si="87"/>
        <v>4206.5354432903041</v>
      </c>
      <c r="BA137" s="419">
        <v>750</v>
      </c>
      <c r="BB137" s="382">
        <f>PI()*BA137/1000*( Pile!$C$26- Pile!$C137)</f>
        <v>5.6548667764615743</v>
      </c>
      <c r="BC137" s="382">
        <f t="shared" si="88"/>
        <v>0.44178646691106466</v>
      </c>
      <c r="BD137" s="382">
        <f t="shared" si="55"/>
        <v>1809.5573684677038</v>
      </c>
      <c r="BE137" s="382">
        <f>BB137* Pile!$S$26</f>
        <v>1809.5573684677038</v>
      </c>
      <c r="BF137" s="382">
        <f t="shared" si="74"/>
        <v>1809.5573684677038</v>
      </c>
      <c r="BG137" s="382">
        <f>IF(BF137&gt;0,+BF137)/ 'Pile Data and Eurocode Factors'!$B$14/ 'Pile Data and Eurocode Factors'!$B$15+$BG$129</f>
        <v>6791.0657675273378</v>
      </c>
      <c r="BH137" s="382">
        <f t="shared" si="66"/>
        <v>441.78646691106468</v>
      </c>
      <c r="BI137" s="382">
        <f>BC137* Pile!$U$26</f>
        <v>0</v>
      </c>
      <c r="BJ137" s="382">
        <f t="shared" si="89"/>
        <v>441.78646691106468</v>
      </c>
      <c r="BK137" s="382">
        <f>BJ137/ 'Pile Data and Eurocode Factors'!$C$14/ 'Pile Data and Eurocode Factors'!$C$15</f>
        <v>157.78088103966596</v>
      </c>
      <c r="BL137" s="382">
        <f t="shared" si="90"/>
        <v>6948.8466485670042</v>
      </c>
      <c r="BM137" s="382">
        <f>VLOOKUP(BA137, 'Pile Data and Eurocode Factors'!$A$34:$J$39,3, FALSE)</f>
        <v>6572.7116301410997</v>
      </c>
      <c r="BN137" s="403">
        <f t="shared" si="91"/>
        <v>6572.7116301410997</v>
      </c>
      <c r="BO137" s="419">
        <v>900</v>
      </c>
      <c r="BP137" s="382">
        <f>PI()*BO137/1000*( Pile!$C$26- Pile!$C137)</f>
        <v>6.785840131753889</v>
      </c>
      <c r="BQ137" s="382">
        <f t="shared" si="92"/>
        <v>0.63617251235193317</v>
      </c>
      <c r="BR137" s="382">
        <f t="shared" si="56"/>
        <v>2171.4688421612445</v>
      </c>
      <c r="BS137" s="382">
        <f>BP137* Pile!$S$26</f>
        <v>2171.4688421612445</v>
      </c>
      <c r="BT137" s="382">
        <f t="shared" si="75"/>
        <v>2171.4688421612445</v>
      </c>
      <c r="BU137" s="382">
        <f>IF(BT137&gt;0,+BT137)/ 'Pile Data and Eurocode Factors'!$B$14/ 'Pile Data and Eurocode Factors'!$B$15+$BU$129</f>
        <v>8149.2789210328037</v>
      </c>
      <c r="BV137" s="382">
        <f t="shared" si="67"/>
        <v>636.17251235193316</v>
      </c>
      <c r="BW137" s="382">
        <f>BQ137* Pile!$U$26</f>
        <v>0</v>
      </c>
      <c r="BX137" s="382">
        <f t="shared" si="93"/>
        <v>636.17251235193316</v>
      </c>
      <c r="BY137" s="382">
        <f>BX137/ 'Pile Data and Eurocode Factors'!$C$14/ 'Pile Data and Eurocode Factors'!$C$15</f>
        <v>227.20446869711901</v>
      </c>
      <c r="BZ137" s="382">
        <f t="shared" si="94"/>
        <v>8376.4833897299231</v>
      </c>
      <c r="CA137" s="382">
        <f>VLOOKUP(BO137, 'Pile Data and Eurocode Factors'!$A$34:$J$39,3, FALSE)</f>
        <v>9464.7047474031824</v>
      </c>
      <c r="CB137" s="403">
        <f t="shared" si="95"/>
        <v>8376.4833897299231</v>
      </c>
      <c r="CC137" s="419">
        <v>1050</v>
      </c>
      <c r="CD137" s="382">
        <f>PI()*CC137/1000*( Pile!$C$26- Pile!$C137)</f>
        <v>7.9168134870462037</v>
      </c>
      <c r="CE137" s="382">
        <f t="shared" si="96"/>
        <v>0.86590147514568672</v>
      </c>
      <c r="CF137" s="382">
        <f t="shared" si="57"/>
        <v>2533.3803158547853</v>
      </c>
      <c r="CG137" s="382">
        <f>CD137* Pile!$S$26</f>
        <v>2533.3803158547853</v>
      </c>
      <c r="CH137" s="382">
        <f t="shared" si="76"/>
        <v>2533.3803158547853</v>
      </c>
      <c r="CI137" s="382">
        <f>IF(CH137&gt;0,+CH137)/ 'Pile Data and Eurocode Factors'!$B$14/ 'Pile Data and Eurocode Factors'!$B$15+$CI$129</f>
        <v>9507.4920745382733</v>
      </c>
      <c r="CJ137" s="382">
        <f t="shared" si="69"/>
        <v>865.90147514568673</v>
      </c>
      <c r="CK137" s="382">
        <f>CE137* Pile!$U$26</f>
        <v>0</v>
      </c>
      <c r="CL137" s="382">
        <f t="shared" si="97"/>
        <v>865.90147514568673</v>
      </c>
      <c r="CM137" s="382">
        <f>CL137/ 'Pile Data and Eurocode Factors'!$C$14/ 'Pile Data and Eurocode Factors'!$C$15</f>
        <v>309.25052683774527</v>
      </c>
      <c r="CN137" s="382">
        <f t="shared" si="98"/>
        <v>9816.7426013760178</v>
      </c>
      <c r="CO137" s="382">
        <f>VLOOKUP(CC137, 'Pile Data and Eurocode Factors'!$A$34:$J$39,3, FALSE)</f>
        <v>12882.514795076555</v>
      </c>
      <c r="CP137" s="403">
        <f t="shared" si="99"/>
        <v>9816.7426013760178</v>
      </c>
      <c r="CQ137" s="419">
        <v>1200</v>
      </c>
      <c r="CR137" s="382">
        <f>PI()*CQ137/1000*( Pile!$C$26- Pile!$C137)</f>
        <v>9.0477868423385193</v>
      </c>
      <c r="CS137" s="382">
        <f t="shared" si="100"/>
        <v>1.1309733552923256</v>
      </c>
      <c r="CT137" s="382">
        <f t="shared" si="58"/>
        <v>2895.2917895483261</v>
      </c>
      <c r="CU137" s="382">
        <f>CR137* Pile!$S$26</f>
        <v>2895.2917895483261</v>
      </c>
      <c r="CV137" s="382">
        <f t="shared" si="77"/>
        <v>2895.2917895483261</v>
      </c>
      <c r="CW137" s="382">
        <f>IF(CV137&gt;0,+CV137)/ 'Pile Data and Eurocode Factors'!$B$14/ 'Pile Data and Eurocode Factors'!$B$15+$CW$129</f>
        <v>10865.705228043738</v>
      </c>
      <c r="CX137" s="382">
        <f t="shared" si="71"/>
        <v>1130.9733552923256</v>
      </c>
      <c r="CY137" s="382">
        <f>CS137* Pile!$U$26</f>
        <v>0</v>
      </c>
      <c r="CZ137" s="382">
        <f t="shared" si="101"/>
        <v>1130.9733552923256</v>
      </c>
      <c r="DA137" s="382">
        <f>CZ137/ 'Pile Data and Eurocode Factors'!$C$14/ 'Pile Data and Eurocode Factors'!$C$15</f>
        <v>403.91905546154487</v>
      </c>
      <c r="DB137" s="382">
        <f t="shared" si="102"/>
        <v>11269.624283505284</v>
      </c>
      <c r="DC137" s="382">
        <f>VLOOKUP(CQ137, 'Pile Data and Eurocode Factors'!$A$34:$J$39,3, FALSE)</f>
        <v>16826.141773161216</v>
      </c>
      <c r="DD137" s="403">
        <f t="shared" si="103"/>
        <v>11269.624283505284</v>
      </c>
      <c r="DE137" s="420">
        <f xml:space="preserve"> Pile!$C$23- Pile!C137</f>
        <v>44.399999999999977</v>
      </c>
      <c r="DG137" s="382">
        <f t="shared" si="114"/>
        <v>2366.1761868507956</v>
      </c>
      <c r="DH137" s="382">
        <f t="shared" si="104"/>
        <v>4206.5354432903041</v>
      </c>
      <c r="DI137" s="382">
        <f t="shared" si="105"/>
        <v>6572.7116301410997</v>
      </c>
      <c r="DJ137" s="382">
        <f t="shared" si="106"/>
        <v>8376.4833897299231</v>
      </c>
      <c r="DK137" s="382">
        <f t="shared" si="107"/>
        <v>9816.7426013760178</v>
      </c>
      <c r="DL137" s="382">
        <f t="shared" si="115"/>
        <v>11269.624283505284</v>
      </c>
    </row>
    <row r="138" spans="1:116" s="308" customFormat="1" ht="15">
      <c r="B138" s="400">
        <v>9</v>
      </c>
      <c r="C138" s="401">
        <f>+C137- Pile!D$26/20</f>
        <v>-38.699999999999974</v>
      </c>
      <c r="D138" s="415" t="str">
        <f>B26</f>
        <v>Medium Density Chalk</v>
      </c>
      <c r="E138" s="415" t="str">
        <f>F26</f>
        <v>Chalk</v>
      </c>
      <c r="F138" s="401">
        <f xml:space="preserve"> Pile!$E$26*(C137-C138)+F137</f>
        <v>849.62943749999954</v>
      </c>
      <c r="G138" s="401">
        <f>IF(C138&gt; Pile!$C$28,0,( Pile!$C$28-C138)*9.81)</f>
        <v>232.49699999999976</v>
      </c>
      <c r="H138" s="401">
        <f t="shared" si="78"/>
        <v>617.13243749999981</v>
      </c>
      <c r="I138" s="401">
        <f t="shared" si="73"/>
        <v>603.06121875000008</v>
      </c>
      <c r="J138" s="401">
        <f>IF(E138="Cohesive",(( Pile!$H$26- Pile!$G$26)/20)+J137,0)</f>
        <v>0</v>
      </c>
      <c r="K138" s="401">
        <f>IF(E138="Cohesive",( Pile!$G$26+ Pile!$J138)/2,0)</f>
        <v>0</v>
      </c>
      <c r="L138" s="401" t="str">
        <f>IF( Pile!I$26="",0, Pile!I$26)</f>
        <v>0</v>
      </c>
      <c r="M138" s="401" t="str">
        <f>IF( Pile!J$26="",0, Pile!J$26)</f>
        <v>0</v>
      </c>
      <c r="N138" s="401">
        <f>IF(E138="Granular", Pile!$K$26,0)</f>
        <v>0</v>
      </c>
      <c r="O138" s="416">
        <f>IF(AND(E138="Granular",D138&lt;&gt;"Made Ground"), Pile!$L$26,0)</f>
        <v>0</v>
      </c>
      <c r="P138" s="401">
        <f>IF(OR(D138="Low Density Chalk",D138="Medium Density Chalk"), Pile!$M$26,0)</f>
        <v>0.8</v>
      </c>
      <c r="Q138" s="417">
        <f>IF(D138="High Density Chalk", Pile!$N$26,0)</f>
        <v>0</v>
      </c>
      <c r="R138" s="401">
        <f>IF( Pile!O$26="",0, Pile!O$26)</f>
        <v>6000</v>
      </c>
      <c r="S138" s="418">
        <f t="shared" si="108"/>
        <v>482.44897500000008</v>
      </c>
      <c r="T138" s="382">
        <f xml:space="preserve"> Pile!$T$26</f>
        <v>320</v>
      </c>
      <c r="U138" s="382">
        <f t="shared" si="109"/>
        <v>320</v>
      </c>
      <c r="V138" s="382">
        <f t="shared" si="79"/>
        <v>6000</v>
      </c>
      <c r="W138" s="382">
        <f xml:space="preserve"> Pile!$V$26</f>
        <v>1000</v>
      </c>
      <c r="X138" s="382">
        <f t="shared" si="110"/>
        <v>1000</v>
      </c>
      <c r="Y138" s="419">
        <v>450</v>
      </c>
      <c r="Z138" s="382">
        <f>PI()*Y138/1000*( Pile!$C$26- Pile!$C138)</f>
        <v>3.8170350741115624</v>
      </c>
      <c r="AA138" s="382">
        <f t="shared" si="80"/>
        <v>0.15904312808798329</v>
      </c>
      <c r="AB138" s="382">
        <f t="shared" si="111"/>
        <v>1221.4512237157001</v>
      </c>
      <c r="AC138" s="382">
        <f>Z138* Pile!$S$26</f>
        <v>1221.4512237157001</v>
      </c>
      <c r="AD138" s="382">
        <f t="shared" si="112"/>
        <v>1221.4512237157001</v>
      </c>
      <c r="AE138" s="382">
        <f>IF(AD138&gt;0,+AD138)/ 'Pile Data and Eurocode Factors'!$B$14/ 'Pile Data and Eurocode Factors'!$B$15+$AE$129</f>
        <v>4135.227318835633</v>
      </c>
      <c r="AF138" s="382">
        <f t="shared" si="113"/>
        <v>159.04312808798329</v>
      </c>
      <c r="AG138" s="382">
        <f>AA138* Pile!$U$26</f>
        <v>0</v>
      </c>
      <c r="AH138" s="382">
        <f t="shared" si="81"/>
        <v>159.04312808798329</v>
      </c>
      <c r="AI138" s="382">
        <f>AH138/ 'Pile Data and Eurocode Factors'!$C$14/ 'Pile Data and Eurocode Factors'!$C$15</f>
        <v>56.801117174279753</v>
      </c>
      <c r="AJ138" s="382">
        <f t="shared" si="82"/>
        <v>4192.0284360099131</v>
      </c>
      <c r="AK138" s="382">
        <f>VLOOKUP(Y138, 'Pile Data and Eurocode Factors'!$A$34:$J$39,3, FALSE)</f>
        <v>2366.1761868507956</v>
      </c>
      <c r="AL138" s="403">
        <f t="shared" si="83"/>
        <v>2366.1761868507956</v>
      </c>
      <c r="AM138" s="419">
        <v>600</v>
      </c>
      <c r="AN138" s="382">
        <f>PI()*AM138/1000*( Pile!$C$26- Pile!$C138)</f>
        <v>5.0893800988154165</v>
      </c>
      <c r="AO138" s="382">
        <f t="shared" si="84"/>
        <v>0.28274333882308139</v>
      </c>
      <c r="AP138" s="382">
        <f t="shared" si="54"/>
        <v>1628.6016316209334</v>
      </c>
      <c r="AQ138" s="382">
        <f>AN138* Pile!$S$26</f>
        <v>1628.6016316209334</v>
      </c>
      <c r="AR138" s="382">
        <f t="shared" si="59"/>
        <v>1628.6016316209334</v>
      </c>
      <c r="AS138" s="382">
        <f>IF(AR138&gt;0,+AR138)/ 'Pile Data and Eurocode Factors'!$B$14/ 'Pile Data and Eurocode Factors'!$B$15+$AS$129</f>
        <v>5513.6364251141777</v>
      </c>
      <c r="AT138" s="382">
        <f t="shared" si="65"/>
        <v>282.74333882308139</v>
      </c>
      <c r="AU138" s="382">
        <f>AO138* Pile!$U$26</f>
        <v>0</v>
      </c>
      <c r="AV138" s="382">
        <f t="shared" si="85"/>
        <v>282.74333882308139</v>
      </c>
      <c r="AW138" s="382">
        <f>AV138/ 'Pile Data and Eurocode Factors'!$C$14/ 'Pile Data and Eurocode Factors'!$C$15</f>
        <v>100.97976386538622</v>
      </c>
      <c r="AX138" s="382">
        <f t="shared" si="86"/>
        <v>5614.616188979564</v>
      </c>
      <c r="AY138" s="382">
        <f>VLOOKUP(AM138, 'Pile Data and Eurocode Factors'!$A$34:$J$39,3, FALSE)</f>
        <v>4206.5354432903041</v>
      </c>
      <c r="AZ138" s="403">
        <f t="shared" si="87"/>
        <v>4206.5354432903041</v>
      </c>
      <c r="BA138" s="419">
        <v>750</v>
      </c>
      <c r="BB138" s="382">
        <f>PI()*BA138/1000*( Pile!$C$26- Pile!$C138)</f>
        <v>6.3617251235192711</v>
      </c>
      <c r="BC138" s="382">
        <f t="shared" si="88"/>
        <v>0.44178646691106466</v>
      </c>
      <c r="BD138" s="382">
        <f t="shared" si="55"/>
        <v>2035.7520395261668</v>
      </c>
      <c r="BE138" s="382">
        <f>BB138* Pile!$S$26</f>
        <v>2035.7520395261668</v>
      </c>
      <c r="BF138" s="382">
        <f t="shared" si="74"/>
        <v>2035.7520395261668</v>
      </c>
      <c r="BG138" s="382">
        <f>IF(BF138&gt;0,+BF138)/ 'Pile Data and Eurocode Factors'!$B$14/ 'Pile Data and Eurocode Factors'!$B$15+$BG$129</f>
        <v>6892.0455313927232</v>
      </c>
      <c r="BH138" s="382">
        <f t="shared" si="66"/>
        <v>441.78646691106468</v>
      </c>
      <c r="BI138" s="382">
        <f>BC138* Pile!$U$26</f>
        <v>0</v>
      </c>
      <c r="BJ138" s="382">
        <f t="shared" si="89"/>
        <v>441.78646691106468</v>
      </c>
      <c r="BK138" s="382">
        <f>BJ138/ 'Pile Data and Eurocode Factors'!$C$14/ 'Pile Data and Eurocode Factors'!$C$15</f>
        <v>157.78088103966596</v>
      </c>
      <c r="BL138" s="382">
        <f t="shared" si="90"/>
        <v>7049.8264124323896</v>
      </c>
      <c r="BM138" s="382">
        <f>VLOOKUP(BA138, 'Pile Data and Eurocode Factors'!$A$34:$J$39,3, FALSE)</f>
        <v>6572.7116301410997</v>
      </c>
      <c r="BN138" s="403">
        <f t="shared" si="91"/>
        <v>6572.7116301410997</v>
      </c>
      <c r="BO138" s="419">
        <v>900</v>
      </c>
      <c r="BP138" s="382">
        <f>PI()*BO138/1000*( Pile!$C$26- Pile!$C138)</f>
        <v>7.6340701482231248</v>
      </c>
      <c r="BQ138" s="382">
        <f t="shared" si="92"/>
        <v>0.63617251235193317</v>
      </c>
      <c r="BR138" s="382">
        <f t="shared" si="56"/>
        <v>2442.9024474314001</v>
      </c>
      <c r="BS138" s="382">
        <f>BP138* Pile!$S$26</f>
        <v>2442.9024474314001</v>
      </c>
      <c r="BT138" s="382">
        <f t="shared" si="75"/>
        <v>2442.9024474314001</v>
      </c>
      <c r="BU138" s="382">
        <f>IF(BT138&gt;0,+BT138)/ 'Pile Data and Eurocode Factors'!$B$14/ 'Pile Data and Eurocode Factors'!$B$15+$BU$129</f>
        <v>8270.454637671266</v>
      </c>
      <c r="BV138" s="382">
        <f t="shared" si="67"/>
        <v>636.17251235193316</v>
      </c>
      <c r="BW138" s="382">
        <f>BQ138* Pile!$U$26</f>
        <v>0</v>
      </c>
      <c r="BX138" s="382">
        <f t="shared" si="93"/>
        <v>636.17251235193316</v>
      </c>
      <c r="BY138" s="382">
        <f>BX138/ 'Pile Data and Eurocode Factors'!$C$14/ 'Pile Data and Eurocode Factors'!$C$15</f>
        <v>227.20446869711901</v>
      </c>
      <c r="BZ138" s="382">
        <f t="shared" si="94"/>
        <v>8497.6591063683845</v>
      </c>
      <c r="CA138" s="382">
        <f>VLOOKUP(BO138, 'Pile Data and Eurocode Factors'!$A$34:$J$39,3, FALSE)</f>
        <v>9464.7047474031824</v>
      </c>
      <c r="CB138" s="403">
        <f t="shared" si="95"/>
        <v>8497.6591063683845</v>
      </c>
      <c r="CC138" s="419">
        <v>1050</v>
      </c>
      <c r="CD138" s="382">
        <f>PI()*CC138/1000*( Pile!$C$26- Pile!$C138)</f>
        <v>8.9064151729269785</v>
      </c>
      <c r="CE138" s="382">
        <f t="shared" si="96"/>
        <v>0.86590147514568672</v>
      </c>
      <c r="CF138" s="382">
        <f t="shared" si="57"/>
        <v>2850.052855336633</v>
      </c>
      <c r="CG138" s="382">
        <f>CD138* Pile!$S$26</f>
        <v>2850.052855336633</v>
      </c>
      <c r="CH138" s="382">
        <f t="shared" si="76"/>
        <v>2850.052855336633</v>
      </c>
      <c r="CI138" s="382">
        <f>IF(CH138&gt;0,+CH138)/ 'Pile Data and Eurocode Factors'!$B$14/ 'Pile Data and Eurocode Factors'!$B$15+$CI$129</f>
        <v>9648.8637439498125</v>
      </c>
      <c r="CJ138" s="382">
        <f t="shared" si="69"/>
        <v>865.90147514568673</v>
      </c>
      <c r="CK138" s="382">
        <f>CE138* Pile!$U$26</f>
        <v>0</v>
      </c>
      <c r="CL138" s="382">
        <f t="shared" si="97"/>
        <v>865.90147514568673</v>
      </c>
      <c r="CM138" s="382">
        <f>CL138/ 'Pile Data and Eurocode Factors'!$C$14/ 'Pile Data and Eurocode Factors'!$C$15</f>
        <v>309.25052683774527</v>
      </c>
      <c r="CN138" s="382">
        <f t="shared" si="98"/>
        <v>9958.114270787557</v>
      </c>
      <c r="CO138" s="382">
        <f>VLOOKUP(CC138, 'Pile Data and Eurocode Factors'!$A$34:$J$39,3, FALSE)</f>
        <v>12882.514795076555</v>
      </c>
      <c r="CP138" s="403">
        <f t="shared" si="99"/>
        <v>9958.114270787557</v>
      </c>
      <c r="CQ138" s="419">
        <v>1200</v>
      </c>
      <c r="CR138" s="382">
        <f>PI()*CQ138/1000*( Pile!$C$26- Pile!$C138)</f>
        <v>10.178760197630833</v>
      </c>
      <c r="CS138" s="382">
        <f t="shared" si="100"/>
        <v>1.1309733552923256</v>
      </c>
      <c r="CT138" s="382">
        <f t="shared" si="58"/>
        <v>3257.2032632418668</v>
      </c>
      <c r="CU138" s="382">
        <f>CR138* Pile!$S$26</f>
        <v>3257.2032632418668</v>
      </c>
      <c r="CV138" s="382">
        <f t="shared" si="77"/>
        <v>3257.2032632418668</v>
      </c>
      <c r="CW138" s="382">
        <f>IF(CV138&gt;0,+CV138)/ 'Pile Data and Eurocode Factors'!$B$14/ 'Pile Data and Eurocode Factors'!$B$15+$CW$129</f>
        <v>11027.272850228355</v>
      </c>
      <c r="CX138" s="382">
        <f t="shared" si="71"/>
        <v>1130.9733552923256</v>
      </c>
      <c r="CY138" s="382">
        <f>CS138* Pile!$U$26</f>
        <v>0</v>
      </c>
      <c r="CZ138" s="382">
        <f t="shared" si="101"/>
        <v>1130.9733552923256</v>
      </c>
      <c r="DA138" s="382">
        <f>CZ138/ 'Pile Data and Eurocode Factors'!$C$14/ 'Pile Data and Eurocode Factors'!$C$15</f>
        <v>403.91905546154487</v>
      </c>
      <c r="DB138" s="382">
        <f t="shared" si="102"/>
        <v>11431.191905689901</v>
      </c>
      <c r="DC138" s="382">
        <f>VLOOKUP(CQ138, 'Pile Data and Eurocode Factors'!$A$34:$J$39,3, FALSE)</f>
        <v>16826.141773161216</v>
      </c>
      <c r="DD138" s="403">
        <f t="shared" si="103"/>
        <v>11431.191905689901</v>
      </c>
      <c r="DE138" s="420">
        <f xml:space="preserve"> Pile!$C$23- Pile!C138</f>
        <v>44.699999999999974</v>
      </c>
      <c r="DG138" s="382">
        <f t="shared" si="114"/>
        <v>2366.1761868507956</v>
      </c>
      <c r="DH138" s="382">
        <f t="shared" si="104"/>
        <v>4206.5354432903041</v>
      </c>
      <c r="DI138" s="382">
        <f t="shared" si="105"/>
        <v>6572.7116301410997</v>
      </c>
      <c r="DJ138" s="382">
        <f t="shared" si="106"/>
        <v>8497.6591063683845</v>
      </c>
      <c r="DK138" s="382">
        <f t="shared" si="107"/>
        <v>9958.114270787557</v>
      </c>
      <c r="DL138" s="382">
        <f t="shared" si="115"/>
        <v>11431.191905689901</v>
      </c>
    </row>
    <row r="139" spans="1:116" s="308" customFormat="1" ht="15">
      <c r="B139" s="400">
        <v>10</v>
      </c>
      <c r="C139" s="401">
        <f>+C138- Pile!D$26/20</f>
        <v>-38.999999999999972</v>
      </c>
      <c r="D139" s="415" t="str">
        <f>B26</f>
        <v>Medium Density Chalk</v>
      </c>
      <c r="E139" s="415" t="str">
        <f>F26</f>
        <v>Chalk</v>
      </c>
      <c r="F139" s="401">
        <f xml:space="preserve"> Pile!$E$26*(C138-C139)+F138</f>
        <v>855.69937499999946</v>
      </c>
      <c r="G139" s="401">
        <f>IF(C139&gt; Pile!$C$28,0,( Pile!$C$28-C139)*9.81)</f>
        <v>235.43999999999974</v>
      </c>
      <c r="H139" s="401">
        <f t="shared" si="78"/>
        <v>620.25937499999975</v>
      </c>
      <c r="I139" s="401">
        <f t="shared" si="73"/>
        <v>604.62468749999994</v>
      </c>
      <c r="J139" s="401">
        <f>IF(E139="Cohesive",(( Pile!$H$26- Pile!$G$26)/20)+J138,0)</f>
        <v>0</v>
      </c>
      <c r="K139" s="401">
        <f>IF(E139="Cohesive",( Pile!$G$26+ Pile!$J139)/2,0)</f>
        <v>0</v>
      </c>
      <c r="L139" s="401" t="str">
        <f>IF( Pile!I$26="",0, Pile!I$26)</f>
        <v>0</v>
      </c>
      <c r="M139" s="401" t="str">
        <f>IF( Pile!J$26="",0, Pile!J$26)</f>
        <v>0</v>
      </c>
      <c r="N139" s="401">
        <f>IF(E139="Granular", Pile!$K$26,0)</f>
        <v>0</v>
      </c>
      <c r="O139" s="416">
        <f>IF(AND(E139="Granular",D139&lt;&gt;"Made Ground"), Pile!$L$26,0)</f>
        <v>0</v>
      </c>
      <c r="P139" s="401">
        <f>IF(OR(D139="Low Density Chalk",D139="Medium Density Chalk"), Pile!$M$26,0)</f>
        <v>0.8</v>
      </c>
      <c r="Q139" s="417">
        <f>IF(D139="High Density Chalk", Pile!$N$26,0)</f>
        <v>0</v>
      </c>
      <c r="R139" s="401">
        <f>IF( Pile!O$26="",0, Pile!O$26)</f>
        <v>6000</v>
      </c>
      <c r="S139" s="418">
        <f t="shared" si="108"/>
        <v>483.69974999999999</v>
      </c>
      <c r="T139" s="382">
        <f xml:space="preserve"> Pile!$T$26</f>
        <v>320</v>
      </c>
      <c r="U139" s="382">
        <f t="shared" si="109"/>
        <v>320</v>
      </c>
      <c r="V139" s="382">
        <f t="shared" si="79"/>
        <v>6000</v>
      </c>
      <c r="W139" s="382">
        <f xml:space="preserve"> Pile!$V$26</f>
        <v>1000</v>
      </c>
      <c r="X139" s="382">
        <f t="shared" si="110"/>
        <v>1000</v>
      </c>
      <c r="Y139" s="419">
        <v>450</v>
      </c>
      <c r="Z139" s="382">
        <f>PI()*Y139/1000*( Pile!$C$26- Pile!$C139)</f>
        <v>4.2411500823461807</v>
      </c>
      <c r="AA139" s="382">
        <f t="shared" si="80"/>
        <v>0.15904312808798329</v>
      </c>
      <c r="AB139" s="382">
        <f t="shared" si="111"/>
        <v>1357.1680263507778</v>
      </c>
      <c r="AC139" s="382">
        <f>Z139* Pile!$S$26</f>
        <v>1357.1680263507778</v>
      </c>
      <c r="AD139" s="382">
        <f t="shared" si="112"/>
        <v>1357.1680263507778</v>
      </c>
      <c r="AE139" s="382">
        <f>IF(AD139&gt;0,+AD139)/ 'Pile Data and Eurocode Factors'!$B$14/ 'Pile Data and Eurocode Factors'!$B$15+$AE$129</f>
        <v>4195.8151771548646</v>
      </c>
      <c r="AF139" s="382">
        <f t="shared" si="113"/>
        <v>159.04312808798329</v>
      </c>
      <c r="AG139" s="382">
        <f>AA139* Pile!$U$26</f>
        <v>0</v>
      </c>
      <c r="AH139" s="382">
        <f t="shared" si="81"/>
        <v>159.04312808798329</v>
      </c>
      <c r="AI139" s="382">
        <f>AH139/ 'Pile Data and Eurocode Factors'!$C$14/ 'Pile Data and Eurocode Factors'!$C$15</f>
        <v>56.801117174279753</v>
      </c>
      <c r="AJ139" s="382">
        <f t="shared" si="82"/>
        <v>4252.6162943291447</v>
      </c>
      <c r="AK139" s="382">
        <f>VLOOKUP(Y139, 'Pile Data and Eurocode Factors'!$A$34:$J$39,3, FALSE)</f>
        <v>2366.1761868507956</v>
      </c>
      <c r="AL139" s="403">
        <f t="shared" si="83"/>
        <v>2366.1761868507956</v>
      </c>
      <c r="AM139" s="419">
        <v>600</v>
      </c>
      <c r="AN139" s="382">
        <f>PI()*AM139/1000*( Pile!$C$26- Pile!$C139)</f>
        <v>5.6548667764615743</v>
      </c>
      <c r="AO139" s="382">
        <f t="shared" si="84"/>
        <v>0.28274333882308139</v>
      </c>
      <c r="AP139" s="382">
        <f t="shared" si="54"/>
        <v>1809.5573684677038</v>
      </c>
      <c r="AQ139" s="382">
        <f>AN139* Pile!$S$26</f>
        <v>1809.5573684677038</v>
      </c>
      <c r="AR139" s="382">
        <f t="shared" si="59"/>
        <v>1809.5573684677038</v>
      </c>
      <c r="AS139" s="382">
        <f>IF(AR139&gt;0,+AR139)/ 'Pile Data and Eurocode Factors'!$B$14/ 'Pile Data and Eurocode Factors'!$B$15+$AS$129</f>
        <v>5594.4202362064862</v>
      </c>
      <c r="AT139" s="382">
        <f t="shared" si="65"/>
        <v>282.74333882308139</v>
      </c>
      <c r="AU139" s="382">
        <f>AO139* Pile!$U$26</f>
        <v>0</v>
      </c>
      <c r="AV139" s="382">
        <f t="shared" si="85"/>
        <v>282.74333882308139</v>
      </c>
      <c r="AW139" s="382">
        <f>AV139/ 'Pile Data and Eurocode Factors'!$C$14/ 'Pile Data and Eurocode Factors'!$C$15</f>
        <v>100.97976386538622</v>
      </c>
      <c r="AX139" s="382">
        <f t="shared" si="86"/>
        <v>5695.4000000718725</v>
      </c>
      <c r="AY139" s="382">
        <f>VLOOKUP(AM139, 'Pile Data and Eurocode Factors'!$A$34:$J$39,3, FALSE)</f>
        <v>4206.5354432903041</v>
      </c>
      <c r="AZ139" s="403">
        <f t="shared" si="87"/>
        <v>4206.5354432903041</v>
      </c>
      <c r="BA139" s="419">
        <v>750</v>
      </c>
      <c r="BB139" s="382">
        <f>PI()*BA139/1000*( Pile!$C$26- Pile!$C139)</f>
        <v>7.0685834705769679</v>
      </c>
      <c r="BC139" s="382">
        <f t="shared" si="88"/>
        <v>0.44178646691106466</v>
      </c>
      <c r="BD139" s="382">
        <f t="shared" si="55"/>
        <v>2261.9467105846297</v>
      </c>
      <c r="BE139" s="382">
        <f>BB139* Pile!$S$26</f>
        <v>2261.9467105846297</v>
      </c>
      <c r="BF139" s="382">
        <f t="shared" si="74"/>
        <v>2261.9467105846297</v>
      </c>
      <c r="BG139" s="382">
        <f>IF(BF139&gt;0,+BF139)/ 'Pile Data and Eurocode Factors'!$B$14/ 'Pile Data and Eurocode Factors'!$B$15+$BG$129</f>
        <v>6993.0252952581086</v>
      </c>
      <c r="BH139" s="382">
        <f t="shared" si="66"/>
        <v>441.78646691106468</v>
      </c>
      <c r="BI139" s="382">
        <f>BC139* Pile!$U$26</f>
        <v>0</v>
      </c>
      <c r="BJ139" s="382">
        <f t="shared" si="89"/>
        <v>441.78646691106468</v>
      </c>
      <c r="BK139" s="382">
        <f>BJ139/ 'Pile Data and Eurocode Factors'!$C$14/ 'Pile Data and Eurocode Factors'!$C$15</f>
        <v>157.78088103966596</v>
      </c>
      <c r="BL139" s="382">
        <f t="shared" si="90"/>
        <v>7150.806176297775</v>
      </c>
      <c r="BM139" s="382">
        <f>VLOOKUP(BA139, 'Pile Data and Eurocode Factors'!$A$34:$J$39,3, FALSE)</f>
        <v>6572.7116301410997</v>
      </c>
      <c r="BN139" s="403">
        <f t="shared" si="91"/>
        <v>6572.7116301410997</v>
      </c>
      <c r="BO139" s="419">
        <v>900</v>
      </c>
      <c r="BP139" s="382">
        <f>PI()*BO139/1000*( Pile!$C$26- Pile!$C139)</f>
        <v>8.4823001646923615</v>
      </c>
      <c r="BQ139" s="382">
        <f t="shared" si="92"/>
        <v>0.63617251235193317</v>
      </c>
      <c r="BR139" s="382">
        <f t="shared" si="56"/>
        <v>2714.3360527015557</v>
      </c>
      <c r="BS139" s="382">
        <f>BP139* Pile!$S$26</f>
        <v>2714.3360527015557</v>
      </c>
      <c r="BT139" s="382">
        <f t="shared" si="75"/>
        <v>2714.3360527015557</v>
      </c>
      <c r="BU139" s="382">
        <f>IF(BT139&gt;0,+BT139)/ 'Pile Data and Eurocode Factors'!$B$14/ 'Pile Data and Eurocode Factors'!$B$15+$BU$129</f>
        <v>8391.6303543097292</v>
      </c>
      <c r="BV139" s="382">
        <f t="shared" si="67"/>
        <v>636.17251235193316</v>
      </c>
      <c r="BW139" s="382">
        <f>BQ139* Pile!$U$26</f>
        <v>0</v>
      </c>
      <c r="BX139" s="382">
        <f t="shared" si="93"/>
        <v>636.17251235193316</v>
      </c>
      <c r="BY139" s="382">
        <f>BX139/ 'Pile Data and Eurocode Factors'!$C$14/ 'Pile Data and Eurocode Factors'!$C$15</f>
        <v>227.20446869711901</v>
      </c>
      <c r="BZ139" s="382">
        <f t="shared" si="94"/>
        <v>8618.8348230068477</v>
      </c>
      <c r="CA139" s="382">
        <f>VLOOKUP(BO139, 'Pile Data and Eurocode Factors'!$A$34:$J$39,3, FALSE)</f>
        <v>9464.7047474031824</v>
      </c>
      <c r="CB139" s="403">
        <f t="shared" si="95"/>
        <v>8618.8348230068477</v>
      </c>
      <c r="CC139" s="419">
        <v>1050</v>
      </c>
      <c r="CD139" s="382">
        <f>PI()*CC139/1000*( Pile!$C$26- Pile!$C139)</f>
        <v>9.8960168588077551</v>
      </c>
      <c r="CE139" s="382">
        <f t="shared" si="96"/>
        <v>0.86590147514568672</v>
      </c>
      <c r="CF139" s="382">
        <f t="shared" si="57"/>
        <v>3166.7253948184816</v>
      </c>
      <c r="CG139" s="382">
        <f>CD139* Pile!$S$26</f>
        <v>3166.7253948184816</v>
      </c>
      <c r="CH139" s="382">
        <f t="shared" si="76"/>
        <v>3166.7253948184816</v>
      </c>
      <c r="CI139" s="382">
        <f>IF(CH139&gt;0,+CH139)/ 'Pile Data and Eurocode Factors'!$B$14/ 'Pile Data and Eurocode Factors'!$B$15+$CI$129</f>
        <v>9790.2354133613517</v>
      </c>
      <c r="CJ139" s="382">
        <f t="shared" si="69"/>
        <v>865.90147514568673</v>
      </c>
      <c r="CK139" s="382">
        <f>CE139* Pile!$U$26</f>
        <v>0</v>
      </c>
      <c r="CL139" s="382">
        <f t="shared" si="97"/>
        <v>865.90147514568673</v>
      </c>
      <c r="CM139" s="382">
        <f>CL139/ 'Pile Data and Eurocode Factors'!$C$14/ 'Pile Data and Eurocode Factors'!$C$15</f>
        <v>309.25052683774527</v>
      </c>
      <c r="CN139" s="382">
        <f t="shared" si="98"/>
        <v>10099.485940199096</v>
      </c>
      <c r="CO139" s="382">
        <f>VLOOKUP(CC139, 'Pile Data and Eurocode Factors'!$A$34:$J$39,3, FALSE)</f>
        <v>12882.514795076555</v>
      </c>
      <c r="CP139" s="403">
        <f t="shared" si="99"/>
        <v>10099.485940199096</v>
      </c>
      <c r="CQ139" s="419">
        <v>1200</v>
      </c>
      <c r="CR139" s="382">
        <f>PI()*CQ139/1000*( Pile!$C$26- Pile!$C139)</f>
        <v>11.309733552923149</v>
      </c>
      <c r="CS139" s="382">
        <f t="shared" si="100"/>
        <v>1.1309733552923256</v>
      </c>
      <c r="CT139" s="382">
        <f t="shared" si="58"/>
        <v>3619.1147369354076</v>
      </c>
      <c r="CU139" s="382">
        <f>CR139* Pile!$S$26</f>
        <v>3619.1147369354076</v>
      </c>
      <c r="CV139" s="382">
        <f t="shared" si="77"/>
        <v>3619.1147369354076</v>
      </c>
      <c r="CW139" s="382">
        <f>IF(CV139&gt;0,+CV139)/ 'Pile Data and Eurocode Factors'!$B$14/ 'Pile Data and Eurocode Factors'!$B$15+$CW$129</f>
        <v>11188.840472412972</v>
      </c>
      <c r="CX139" s="382">
        <f t="shared" si="71"/>
        <v>1130.9733552923256</v>
      </c>
      <c r="CY139" s="382">
        <f>CS139* Pile!$U$26</f>
        <v>0</v>
      </c>
      <c r="CZ139" s="382">
        <f t="shared" si="101"/>
        <v>1130.9733552923256</v>
      </c>
      <c r="DA139" s="382">
        <f>CZ139/ 'Pile Data and Eurocode Factors'!$C$14/ 'Pile Data and Eurocode Factors'!$C$15</f>
        <v>403.91905546154487</v>
      </c>
      <c r="DB139" s="382">
        <f t="shared" si="102"/>
        <v>11592.759527874518</v>
      </c>
      <c r="DC139" s="382">
        <f>VLOOKUP(CQ139, 'Pile Data and Eurocode Factors'!$A$34:$J$39,3, FALSE)</f>
        <v>16826.141773161216</v>
      </c>
      <c r="DD139" s="403">
        <f t="shared" si="103"/>
        <v>11592.759527874518</v>
      </c>
      <c r="DE139" s="420">
        <f xml:space="preserve"> Pile!$C$23- Pile!C139</f>
        <v>44.999999999999972</v>
      </c>
      <c r="DG139" s="382">
        <f t="shared" si="114"/>
        <v>2366.1761868507956</v>
      </c>
      <c r="DH139" s="382">
        <f t="shared" si="104"/>
        <v>4206.5354432903041</v>
      </c>
      <c r="DI139" s="382">
        <f t="shared" si="105"/>
        <v>6572.7116301410997</v>
      </c>
      <c r="DJ139" s="382">
        <f t="shared" si="106"/>
        <v>8618.8348230068477</v>
      </c>
      <c r="DK139" s="382">
        <f t="shared" si="107"/>
        <v>10099.485940199096</v>
      </c>
      <c r="DL139" s="382">
        <f t="shared" si="115"/>
        <v>11592.759527874518</v>
      </c>
    </row>
    <row r="140" spans="1:116" s="308" customFormat="1" ht="15">
      <c r="B140" s="400">
        <v>11</v>
      </c>
      <c r="C140" s="401">
        <f>+C139- Pile!D$26/20</f>
        <v>-39.299999999999969</v>
      </c>
      <c r="D140" s="415" t="str">
        <f>B26</f>
        <v>Medium Density Chalk</v>
      </c>
      <c r="E140" s="415" t="str">
        <f>F26</f>
        <v>Chalk</v>
      </c>
      <c r="F140" s="401">
        <f xml:space="preserve"> Pile!$E$26*(C139-C140)+F139</f>
        <v>861.76931249999939</v>
      </c>
      <c r="G140" s="401">
        <f>IF(C140&gt; Pile!$C$28,0,( Pile!$C$28-C140)*9.81)</f>
        <v>238.3829999999997</v>
      </c>
      <c r="H140" s="401">
        <f t="shared" si="78"/>
        <v>623.38631249999969</v>
      </c>
      <c r="I140" s="401">
        <f t="shared" si="73"/>
        <v>606.18815625000002</v>
      </c>
      <c r="J140" s="401">
        <f>IF(E140="Cohesive",(( Pile!$H$26- Pile!$G$26)/20)+J139,0)</f>
        <v>0</v>
      </c>
      <c r="K140" s="401">
        <f>IF(E140="Cohesive",( Pile!$G$26+ Pile!$J140)/2,0)</f>
        <v>0</v>
      </c>
      <c r="L140" s="401" t="str">
        <f>IF( Pile!I$26="",0, Pile!I$26)</f>
        <v>0</v>
      </c>
      <c r="M140" s="401" t="str">
        <f>IF( Pile!J$26="",0, Pile!J$26)</f>
        <v>0</v>
      </c>
      <c r="N140" s="401">
        <f>IF(E140="Granular", Pile!$K$26,0)</f>
        <v>0</v>
      </c>
      <c r="O140" s="416">
        <f>IF(AND(E140="Granular",D140&lt;&gt;"Made Ground"), Pile!$L$26,0)</f>
        <v>0</v>
      </c>
      <c r="P140" s="401">
        <f>IF(OR(D140="Low Density Chalk",D140="Medium Density Chalk"), Pile!$M$26,0)</f>
        <v>0.8</v>
      </c>
      <c r="Q140" s="417">
        <f>IF(D140="High Density Chalk", Pile!$N$26,0)</f>
        <v>0</v>
      </c>
      <c r="R140" s="401">
        <f>IF( Pile!O$26="",0, Pile!O$26)</f>
        <v>6000</v>
      </c>
      <c r="S140" s="418">
        <f t="shared" si="108"/>
        <v>484.95052500000003</v>
      </c>
      <c r="T140" s="382">
        <f xml:space="preserve"> Pile!$T$26</f>
        <v>320</v>
      </c>
      <c r="U140" s="382">
        <f t="shared" si="109"/>
        <v>320</v>
      </c>
      <c r="V140" s="382">
        <f t="shared" si="79"/>
        <v>6000</v>
      </c>
      <c r="W140" s="382">
        <f xml:space="preserve"> Pile!$V$26</f>
        <v>1000</v>
      </c>
      <c r="X140" s="382">
        <f t="shared" si="110"/>
        <v>1000</v>
      </c>
      <c r="Y140" s="419">
        <v>450</v>
      </c>
      <c r="Z140" s="382">
        <f>PI()*Y140/1000*( Pile!$C$26- Pile!$C140)</f>
        <v>4.6652650905807986</v>
      </c>
      <c r="AA140" s="382">
        <f t="shared" si="80"/>
        <v>0.15904312808798329</v>
      </c>
      <c r="AB140" s="382">
        <f t="shared" si="111"/>
        <v>1492.8848289858556</v>
      </c>
      <c r="AC140" s="382">
        <f>Z140* Pile!$S$26</f>
        <v>1492.8848289858556</v>
      </c>
      <c r="AD140" s="382">
        <f t="shared" si="112"/>
        <v>1492.8848289858556</v>
      </c>
      <c r="AE140" s="382">
        <f>IF(AD140&gt;0,+AD140)/ 'Pile Data and Eurocode Factors'!$B$14/ 'Pile Data and Eurocode Factors'!$B$15+$AE$129</f>
        <v>4256.4030354740953</v>
      </c>
      <c r="AF140" s="382">
        <f t="shared" si="113"/>
        <v>159.04312808798329</v>
      </c>
      <c r="AG140" s="382">
        <f>AA140* Pile!$U$26</f>
        <v>0</v>
      </c>
      <c r="AH140" s="382">
        <f t="shared" si="81"/>
        <v>159.04312808798329</v>
      </c>
      <c r="AI140" s="382">
        <f>AH140/ 'Pile Data and Eurocode Factors'!$C$14/ 'Pile Data and Eurocode Factors'!$C$15</f>
        <v>56.801117174279753</v>
      </c>
      <c r="AJ140" s="382">
        <f t="shared" si="82"/>
        <v>4313.2041526483754</v>
      </c>
      <c r="AK140" s="382">
        <f>VLOOKUP(Y140, 'Pile Data and Eurocode Factors'!$A$34:$J$39,3, FALSE)</f>
        <v>2366.1761868507956</v>
      </c>
      <c r="AL140" s="403">
        <f t="shared" si="83"/>
        <v>2366.1761868507956</v>
      </c>
      <c r="AM140" s="419">
        <v>600</v>
      </c>
      <c r="AN140" s="382">
        <f>PI()*AM140/1000*( Pile!$C$26- Pile!$C140)</f>
        <v>6.2203534541077312</v>
      </c>
      <c r="AO140" s="382">
        <f t="shared" si="84"/>
        <v>0.28274333882308139</v>
      </c>
      <c r="AP140" s="382">
        <f t="shared" ref="AP140:AP149" si="116">+$U140*AN140</f>
        <v>1990.5131053144739</v>
      </c>
      <c r="AQ140" s="382">
        <f>AN140* Pile!$S$26</f>
        <v>1990.5131053144739</v>
      </c>
      <c r="AR140" s="382">
        <f t="shared" si="59"/>
        <v>1990.5131053144739</v>
      </c>
      <c r="AS140" s="382">
        <f>IF(AR140&gt;0,+AR140)/ 'Pile Data and Eurocode Factors'!$B$14/ 'Pile Data and Eurocode Factors'!$B$15+$AS$129</f>
        <v>5675.2040472987937</v>
      </c>
      <c r="AT140" s="382">
        <f t="shared" si="65"/>
        <v>282.74333882308139</v>
      </c>
      <c r="AU140" s="382">
        <f>AO140* Pile!$U$26</f>
        <v>0</v>
      </c>
      <c r="AV140" s="382">
        <f t="shared" si="85"/>
        <v>282.74333882308139</v>
      </c>
      <c r="AW140" s="382">
        <f>AV140/ 'Pile Data and Eurocode Factors'!$C$14/ 'Pile Data and Eurocode Factors'!$C$15</f>
        <v>100.97976386538622</v>
      </c>
      <c r="AX140" s="382">
        <f t="shared" si="86"/>
        <v>5776.18381116418</v>
      </c>
      <c r="AY140" s="382">
        <f>VLOOKUP(AM140, 'Pile Data and Eurocode Factors'!$A$34:$J$39,3, FALSE)</f>
        <v>4206.5354432903041</v>
      </c>
      <c r="AZ140" s="403">
        <f t="shared" si="87"/>
        <v>4206.5354432903041</v>
      </c>
      <c r="BA140" s="419">
        <v>750</v>
      </c>
      <c r="BB140" s="382">
        <f>PI()*BA140/1000*( Pile!$C$26- Pile!$C140)</f>
        <v>7.7754418176346647</v>
      </c>
      <c r="BC140" s="382">
        <f t="shared" si="88"/>
        <v>0.44178646691106466</v>
      </c>
      <c r="BD140" s="382">
        <f t="shared" ref="BD140:BD149" si="117">+$U140*BB140</f>
        <v>2488.1413816430927</v>
      </c>
      <c r="BE140" s="382">
        <f>BB140* Pile!$S$26</f>
        <v>2488.1413816430927</v>
      </c>
      <c r="BF140" s="382">
        <f t="shared" si="74"/>
        <v>2488.1413816430927</v>
      </c>
      <c r="BG140" s="382">
        <f>IF(BF140&gt;0,+BF140)/ 'Pile Data and Eurocode Factors'!$B$14/ 'Pile Data and Eurocode Factors'!$B$15+$BG$129</f>
        <v>7094.0050591234931</v>
      </c>
      <c r="BH140" s="382">
        <f t="shared" si="66"/>
        <v>441.78646691106468</v>
      </c>
      <c r="BI140" s="382">
        <f>BC140* Pile!$U$26</f>
        <v>0</v>
      </c>
      <c r="BJ140" s="382">
        <f t="shared" si="89"/>
        <v>441.78646691106468</v>
      </c>
      <c r="BK140" s="382">
        <f>BJ140/ 'Pile Data and Eurocode Factors'!$C$14/ 'Pile Data and Eurocode Factors'!$C$15</f>
        <v>157.78088103966596</v>
      </c>
      <c r="BL140" s="382">
        <f t="shared" si="90"/>
        <v>7251.7859401631595</v>
      </c>
      <c r="BM140" s="382">
        <f>VLOOKUP(BA140, 'Pile Data and Eurocode Factors'!$A$34:$J$39,3, FALSE)</f>
        <v>6572.7116301410997</v>
      </c>
      <c r="BN140" s="403">
        <f t="shared" si="91"/>
        <v>6572.7116301410997</v>
      </c>
      <c r="BO140" s="419">
        <v>900</v>
      </c>
      <c r="BP140" s="382">
        <f>PI()*BO140/1000*( Pile!$C$26- Pile!$C140)</f>
        <v>9.3305301811615973</v>
      </c>
      <c r="BQ140" s="382">
        <f t="shared" si="92"/>
        <v>0.63617251235193317</v>
      </c>
      <c r="BR140" s="382">
        <f t="shared" ref="BR140:BR149" si="118">+$U140*BP140</f>
        <v>2985.7696579717112</v>
      </c>
      <c r="BS140" s="382">
        <f>BP140* Pile!$S$26</f>
        <v>2985.7696579717112</v>
      </c>
      <c r="BT140" s="382">
        <f t="shared" si="75"/>
        <v>2985.7696579717112</v>
      </c>
      <c r="BU140" s="382">
        <f>IF(BT140&gt;0,+BT140)/ 'Pile Data and Eurocode Factors'!$B$14/ 'Pile Data and Eurocode Factors'!$B$15+$BU$129</f>
        <v>8512.8060709481906</v>
      </c>
      <c r="BV140" s="382">
        <f t="shared" si="67"/>
        <v>636.17251235193316</v>
      </c>
      <c r="BW140" s="382">
        <f>BQ140* Pile!$U$26</f>
        <v>0</v>
      </c>
      <c r="BX140" s="382">
        <f t="shared" si="93"/>
        <v>636.17251235193316</v>
      </c>
      <c r="BY140" s="382">
        <f>BX140/ 'Pile Data and Eurocode Factors'!$C$14/ 'Pile Data and Eurocode Factors'!$C$15</f>
        <v>227.20446869711901</v>
      </c>
      <c r="BZ140" s="382">
        <f t="shared" si="94"/>
        <v>8740.0105396453091</v>
      </c>
      <c r="CA140" s="382">
        <f>VLOOKUP(BO140, 'Pile Data and Eurocode Factors'!$A$34:$J$39,3, FALSE)</f>
        <v>9464.7047474031824</v>
      </c>
      <c r="CB140" s="403">
        <f t="shared" si="95"/>
        <v>8740.0105396453091</v>
      </c>
      <c r="CC140" s="419">
        <v>1050</v>
      </c>
      <c r="CD140" s="382">
        <f>PI()*CC140/1000*( Pile!$C$26- Pile!$C140)</f>
        <v>10.88561854468853</v>
      </c>
      <c r="CE140" s="382">
        <f t="shared" si="96"/>
        <v>0.86590147514568672</v>
      </c>
      <c r="CF140" s="382">
        <f t="shared" ref="CF140:CF149" si="119">+$U140*CD140</f>
        <v>3483.3979343003293</v>
      </c>
      <c r="CG140" s="382">
        <f>CD140* Pile!$S$26</f>
        <v>3483.3979343003293</v>
      </c>
      <c r="CH140" s="382">
        <f t="shared" si="76"/>
        <v>3483.3979343003293</v>
      </c>
      <c r="CI140" s="382">
        <f>IF(CH140&gt;0,+CH140)/ 'Pile Data and Eurocode Factors'!$B$14/ 'Pile Data and Eurocode Factors'!$B$15+$CI$129</f>
        <v>9931.6070827728909</v>
      </c>
      <c r="CJ140" s="382">
        <f t="shared" si="69"/>
        <v>865.90147514568673</v>
      </c>
      <c r="CK140" s="382">
        <f>CE140* Pile!$U$26</f>
        <v>0</v>
      </c>
      <c r="CL140" s="382">
        <f t="shared" si="97"/>
        <v>865.90147514568673</v>
      </c>
      <c r="CM140" s="382">
        <f>CL140/ 'Pile Data and Eurocode Factors'!$C$14/ 'Pile Data and Eurocode Factors'!$C$15</f>
        <v>309.25052683774527</v>
      </c>
      <c r="CN140" s="382">
        <f t="shared" si="98"/>
        <v>10240.857609610635</v>
      </c>
      <c r="CO140" s="382">
        <f>VLOOKUP(CC140, 'Pile Data and Eurocode Factors'!$A$34:$J$39,3, FALSE)</f>
        <v>12882.514795076555</v>
      </c>
      <c r="CP140" s="403">
        <f t="shared" si="99"/>
        <v>10240.857609610635</v>
      </c>
      <c r="CQ140" s="419">
        <v>1200</v>
      </c>
      <c r="CR140" s="382">
        <f>PI()*CQ140/1000*( Pile!$C$26- Pile!$C140)</f>
        <v>12.440706908215462</v>
      </c>
      <c r="CS140" s="382">
        <f t="shared" si="100"/>
        <v>1.1309733552923256</v>
      </c>
      <c r="CT140" s="382">
        <f t="shared" ref="CT140:CT149" si="120">+$U140*CR140</f>
        <v>3981.0262106289479</v>
      </c>
      <c r="CU140" s="382">
        <f>CR140* Pile!$S$26</f>
        <v>3981.0262106289479</v>
      </c>
      <c r="CV140" s="382">
        <f t="shared" si="77"/>
        <v>3981.0262106289479</v>
      </c>
      <c r="CW140" s="382">
        <f>IF(CV140&gt;0,+CV140)/ 'Pile Data and Eurocode Factors'!$B$14/ 'Pile Data and Eurocode Factors'!$B$15+$CW$129</f>
        <v>11350.408094597587</v>
      </c>
      <c r="CX140" s="382">
        <f t="shared" si="71"/>
        <v>1130.9733552923256</v>
      </c>
      <c r="CY140" s="382">
        <f>CS140* Pile!$U$26</f>
        <v>0</v>
      </c>
      <c r="CZ140" s="382">
        <f t="shared" si="101"/>
        <v>1130.9733552923256</v>
      </c>
      <c r="DA140" s="382">
        <f>CZ140/ 'Pile Data and Eurocode Factors'!$C$14/ 'Pile Data and Eurocode Factors'!$C$15</f>
        <v>403.91905546154487</v>
      </c>
      <c r="DB140" s="382">
        <f t="shared" si="102"/>
        <v>11754.327150059133</v>
      </c>
      <c r="DC140" s="382">
        <f>VLOOKUP(CQ140, 'Pile Data and Eurocode Factors'!$A$34:$J$39,3, FALSE)</f>
        <v>16826.141773161216</v>
      </c>
      <c r="DD140" s="403">
        <f t="shared" si="103"/>
        <v>11754.327150059133</v>
      </c>
      <c r="DE140" s="420">
        <f xml:space="preserve"> Pile!$C$23- Pile!C140</f>
        <v>45.299999999999969</v>
      </c>
      <c r="DG140" s="382">
        <f t="shared" si="114"/>
        <v>2366.1761868507956</v>
      </c>
      <c r="DH140" s="382">
        <f t="shared" si="104"/>
        <v>4206.5354432903041</v>
      </c>
      <c r="DI140" s="382">
        <f t="shared" si="105"/>
        <v>6572.7116301410997</v>
      </c>
      <c r="DJ140" s="382">
        <f t="shared" si="106"/>
        <v>8740.0105396453091</v>
      </c>
      <c r="DK140" s="382">
        <f t="shared" si="107"/>
        <v>10240.857609610635</v>
      </c>
      <c r="DL140" s="382">
        <f t="shared" si="115"/>
        <v>11754.327150059133</v>
      </c>
    </row>
    <row r="141" spans="1:116" s="308" customFormat="1" ht="15">
      <c r="B141" s="400">
        <v>12</v>
      </c>
      <c r="C141" s="401">
        <f>+C140- Pile!D$26/20</f>
        <v>-39.599999999999966</v>
      </c>
      <c r="D141" s="415" t="str">
        <f>B26</f>
        <v>Medium Density Chalk</v>
      </c>
      <c r="E141" s="415" t="str">
        <f>F26</f>
        <v>Chalk</v>
      </c>
      <c r="F141" s="401">
        <f xml:space="preserve"> Pile!$E$26*(C140-C141)+F140</f>
        <v>867.83924999999931</v>
      </c>
      <c r="G141" s="401">
        <f>IF(C141&gt; Pile!$C$28,0,( Pile!$C$28-C141)*9.81)</f>
        <v>241.32599999999968</v>
      </c>
      <c r="H141" s="401">
        <f t="shared" si="78"/>
        <v>626.51324999999963</v>
      </c>
      <c r="I141" s="401">
        <f t="shared" si="73"/>
        <v>607.75162499999988</v>
      </c>
      <c r="J141" s="401">
        <f>IF(E141="Cohesive",(( Pile!$H$26- Pile!$G$26)/20)+J140,0)</f>
        <v>0</v>
      </c>
      <c r="K141" s="401">
        <f>IF(E141="Cohesive",( Pile!$G$26+ Pile!$J141)/2,0)</f>
        <v>0</v>
      </c>
      <c r="L141" s="401" t="str">
        <f>IF( Pile!I$26="",0, Pile!I$26)</f>
        <v>0</v>
      </c>
      <c r="M141" s="401" t="str">
        <f>IF( Pile!J$26="",0, Pile!J$26)</f>
        <v>0</v>
      </c>
      <c r="N141" s="401">
        <f>IF(E141="Granular", Pile!$K$26,0)</f>
        <v>0</v>
      </c>
      <c r="O141" s="416">
        <f>IF(AND(E141="Granular",D141&lt;&gt;"Made Ground"), Pile!$L$26,0)</f>
        <v>0</v>
      </c>
      <c r="P141" s="401">
        <f>IF(OR(D141="Low Density Chalk",D141="Medium Density Chalk"), Pile!$M$26,0)</f>
        <v>0.8</v>
      </c>
      <c r="Q141" s="417">
        <f>IF(D141="High Density Chalk", Pile!$N$26,0)</f>
        <v>0</v>
      </c>
      <c r="R141" s="401">
        <f>IF( Pile!O$26="",0, Pile!O$26)</f>
        <v>6000</v>
      </c>
      <c r="S141" s="418">
        <f t="shared" si="108"/>
        <v>486.20129999999995</v>
      </c>
      <c r="T141" s="382">
        <f xml:space="preserve"> Pile!$T$26</f>
        <v>320</v>
      </c>
      <c r="U141" s="382">
        <f t="shared" si="109"/>
        <v>320</v>
      </c>
      <c r="V141" s="382">
        <f t="shared" si="79"/>
        <v>6000</v>
      </c>
      <c r="W141" s="382">
        <f xml:space="preserve"> Pile!$V$26</f>
        <v>1000</v>
      </c>
      <c r="X141" s="382">
        <f t="shared" si="110"/>
        <v>1000</v>
      </c>
      <c r="Y141" s="419">
        <v>450</v>
      </c>
      <c r="Z141" s="382">
        <f>PI()*Y141/1000*( Pile!$C$26- Pile!$C141)</f>
        <v>5.0893800988154165</v>
      </c>
      <c r="AA141" s="382">
        <f t="shared" si="80"/>
        <v>0.15904312808798329</v>
      </c>
      <c r="AB141" s="382">
        <f t="shared" si="111"/>
        <v>1628.6016316209334</v>
      </c>
      <c r="AC141" s="382">
        <f>Z141* Pile!$S$26</f>
        <v>1628.6016316209334</v>
      </c>
      <c r="AD141" s="382">
        <f t="shared" si="112"/>
        <v>1628.6016316209334</v>
      </c>
      <c r="AE141" s="382">
        <f>IF(AD141&gt;0,+AD141)/ 'Pile Data and Eurocode Factors'!$B$14/ 'Pile Data and Eurocode Factors'!$B$15+$AE$129</f>
        <v>4316.9908937933269</v>
      </c>
      <c r="AF141" s="382">
        <f t="shared" si="113"/>
        <v>159.04312808798329</v>
      </c>
      <c r="AG141" s="382">
        <f>AA141* Pile!$U$26</f>
        <v>0</v>
      </c>
      <c r="AH141" s="382">
        <f t="shared" si="81"/>
        <v>159.04312808798329</v>
      </c>
      <c r="AI141" s="382">
        <f>AH141/ 'Pile Data and Eurocode Factors'!$C$14/ 'Pile Data and Eurocode Factors'!$C$15</f>
        <v>56.801117174279753</v>
      </c>
      <c r="AJ141" s="382">
        <f t="shared" si="82"/>
        <v>4373.792010967607</v>
      </c>
      <c r="AK141" s="382">
        <f>VLOOKUP(Y141, 'Pile Data and Eurocode Factors'!$A$34:$J$39,3, FALSE)</f>
        <v>2366.1761868507956</v>
      </c>
      <c r="AL141" s="403">
        <f t="shared" si="83"/>
        <v>2366.1761868507956</v>
      </c>
      <c r="AM141" s="419">
        <v>600</v>
      </c>
      <c r="AN141" s="382">
        <f>PI()*AM141/1000*( Pile!$C$26- Pile!$C141)</f>
        <v>6.785840131753889</v>
      </c>
      <c r="AO141" s="382">
        <f t="shared" si="84"/>
        <v>0.28274333882308139</v>
      </c>
      <c r="AP141" s="382">
        <f t="shared" si="116"/>
        <v>2171.4688421612445</v>
      </c>
      <c r="AQ141" s="382">
        <f>AN141* Pile!$S$26</f>
        <v>2171.4688421612445</v>
      </c>
      <c r="AR141" s="382">
        <f t="shared" si="59"/>
        <v>2171.4688421612445</v>
      </c>
      <c r="AS141" s="382">
        <f>IF(AR141&gt;0,+AR141)/ 'Pile Data and Eurocode Factors'!$B$14/ 'Pile Data and Eurocode Factors'!$B$15+$AS$129</f>
        <v>5755.9878583911022</v>
      </c>
      <c r="AT141" s="382">
        <f t="shared" si="65"/>
        <v>282.74333882308139</v>
      </c>
      <c r="AU141" s="382">
        <f>AO141* Pile!$U$26</f>
        <v>0</v>
      </c>
      <c r="AV141" s="382">
        <f t="shared" si="85"/>
        <v>282.74333882308139</v>
      </c>
      <c r="AW141" s="382">
        <f>AV141/ 'Pile Data and Eurocode Factors'!$C$14/ 'Pile Data and Eurocode Factors'!$C$15</f>
        <v>100.97976386538622</v>
      </c>
      <c r="AX141" s="382">
        <f t="shared" si="86"/>
        <v>5856.9676222564885</v>
      </c>
      <c r="AY141" s="382">
        <f>VLOOKUP(AM141, 'Pile Data and Eurocode Factors'!$A$34:$J$39,3, FALSE)</f>
        <v>4206.5354432903041</v>
      </c>
      <c r="AZ141" s="403">
        <f t="shared" si="87"/>
        <v>4206.5354432903041</v>
      </c>
      <c r="BA141" s="419">
        <v>750</v>
      </c>
      <c r="BB141" s="382">
        <f>PI()*BA141/1000*( Pile!$C$26- Pile!$C141)</f>
        <v>8.4823001646923615</v>
      </c>
      <c r="BC141" s="382">
        <f t="shared" si="88"/>
        <v>0.44178646691106466</v>
      </c>
      <c r="BD141" s="382">
        <f t="shared" si="117"/>
        <v>2714.3360527015557</v>
      </c>
      <c r="BE141" s="382">
        <f>BB141* Pile!$S$26</f>
        <v>2714.3360527015557</v>
      </c>
      <c r="BF141" s="382">
        <f t="shared" si="74"/>
        <v>2714.3360527015557</v>
      </c>
      <c r="BG141" s="382">
        <f>IF(BF141&gt;0,+BF141)/ 'Pile Data and Eurocode Factors'!$B$14/ 'Pile Data and Eurocode Factors'!$B$15+$BG$129</f>
        <v>7194.9848229888785</v>
      </c>
      <c r="BH141" s="382">
        <f t="shared" si="66"/>
        <v>441.78646691106468</v>
      </c>
      <c r="BI141" s="382">
        <f>BC141* Pile!$U$26</f>
        <v>0</v>
      </c>
      <c r="BJ141" s="382">
        <f t="shared" si="89"/>
        <v>441.78646691106468</v>
      </c>
      <c r="BK141" s="382">
        <f>BJ141/ 'Pile Data and Eurocode Factors'!$C$14/ 'Pile Data and Eurocode Factors'!$C$15</f>
        <v>157.78088103966596</v>
      </c>
      <c r="BL141" s="382">
        <f t="shared" si="90"/>
        <v>7352.7657040285449</v>
      </c>
      <c r="BM141" s="382">
        <f>VLOOKUP(BA141, 'Pile Data and Eurocode Factors'!$A$34:$J$39,3, FALSE)</f>
        <v>6572.7116301410997</v>
      </c>
      <c r="BN141" s="403">
        <f t="shared" si="91"/>
        <v>6572.7116301410997</v>
      </c>
      <c r="BO141" s="419">
        <v>900</v>
      </c>
      <c r="BP141" s="382">
        <f>PI()*BO141/1000*( Pile!$C$26- Pile!$C141)</f>
        <v>10.178760197630833</v>
      </c>
      <c r="BQ141" s="382">
        <f t="shared" si="92"/>
        <v>0.63617251235193317</v>
      </c>
      <c r="BR141" s="382">
        <f t="shared" si="118"/>
        <v>3257.2032632418668</v>
      </c>
      <c r="BS141" s="382">
        <f>BP141* Pile!$S$26</f>
        <v>3257.2032632418668</v>
      </c>
      <c r="BT141" s="382">
        <f t="shared" si="75"/>
        <v>3257.2032632418668</v>
      </c>
      <c r="BU141" s="382">
        <f>IF(BT141&gt;0,+BT141)/ 'Pile Data and Eurocode Factors'!$B$14/ 'Pile Data and Eurocode Factors'!$B$15+$BU$129</f>
        <v>8633.9817875866538</v>
      </c>
      <c r="BV141" s="382">
        <f t="shared" si="67"/>
        <v>636.17251235193316</v>
      </c>
      <c r="BW141" s="382">
        <f>BQ141* Pile!$U$26</f>
        <v>0</v>
      </c>
      <c r="BX141" s="382">
        <f t="shared" si="93"/>
        <v>636.17251235193316</v>
      </c>
      <c r="BY141" s="382">
        <f>BX141/ 'Pile Data and Eurocode Factors'!$C$14/ 'Pile Data and Eurocode Factors'!$C$15</f>
        <v>227.20446869711901</v>
      </c>
      <c r="BZ141" s="382">
        <f t="shared" si="94"/>
        <v>8861.1862562837723</v>
      </c>
      <c r="CA141" s="382">
        <f>VLOOKUP(BO141, 'Pile Data and Eurocode Factors'!$A$34:$J$39,3, FALSE)</f>
        <v>9464.7047474031824</v>
      </c>
      <c r="CB141" s="403">
        <f t="shared" si="95"/>
        <v>8861.1862562837723</v>
      </c>
      <c r="CC141" s="419">
        <v>1050</v>
      </c>
      <c r="CD141" s="382">
        <f>PI()*CC141/1000*( Pile!$C$26- Pile!$C141)</f>
        <v>11.875220230569305</v>
      </c>
      <c r="CE141" s="382">
        <f t="shared" si="96"/>
        <v>0.86590147514568672</v>
      </c>
      <c r="CF141" s="382">
        <f t="shared" si="119"/>
        <v>3800.0704737821775</v>
      </c>
      <c r="CG141" s="382">
        <f>CD141* Pile!$S$26</f>
        <v>3800.0704737821775</v>
      </c>
      <c r="CH141" s="382">
        <f t="shared" si="76"/>
        <v>3800.0704737821775</v>
      </c>
      <c r="CI141" s="382">
        <f>IF(CH141&gt;0,+CH141)/ 'Pile Data and Eurocode Factors'!$B$14/ 'Pile Data and Eurocode Factors'!$B$15+$CI$129</f>
        <v>10072.97875218443</v>
      </c>
      <c r="CJ141" s="382">
        <f t="shared" si="69"/>
        <v>865.90147514568673</v>
      </c>
      <c r="CK141" s="382">
        <f>CE141* Pile!$U$26</f>
        <v>0</v>
      </c>
      <c r="CL141" s="382">
        <f t="shared" si="97"/>
        <v>865.90147514568673</v>
      </c>
      <c r="CM141" s="382">
        <f>CL141/ 'Pile Data and Eurocode Factors'!$C$14/ 'Pile Data and Eurocode Factors'!$C$15</f>
        <v>309.25052683774527</v>
      </c>
      <c r="CN141" s="382">
        <f t="shared" si="98"/>
        <v>10382.229279022175</v>
      </c>
      <c r="CO141" s="382">
        <f>VLOOKUP(CC141, 'Pile Data and Eurocode Factors'!$A$34:$J$39,3, FALSE)</f>
        <v>12882.514795076555</v>
      </c>
      <c r="CP141" s="403">
        <f t="shared" si="99"/>
        <v>10382.229279022175</v>
      </c>
      <c r="CQ141" s="419">
        <v>1200</v>
      </c>
      <c r="CR141" s="382">
        <f>PI()*CQ141/1000*( Pile!$C$26- Pile!$C141)</f>
        <v>13.571680263507778</v>
      </c>
      <c r="CS141" s="382">
        <f t="shared" si="100"/>
        <v>1.1309733552923256</v>
      </c>
      <c r="CT141" s="382">
        <f t="shared" si="120"/>
        <v>4342.9376843224891</v>
      </c>
      <c r="CU141" s="382">
        <f>CR141* Pile!$S$26</f>
        <v>4342.9376843224891</v>
      </c>
      <c r="CV141" s="382">
        <f t="shared" si="77"/>
        <v>4342.9376843224891</v>
      </c>
      <c r="CW141" s="382">
        <f>IF(CV141&gt;0,+CV141)/ 'Pile Data and Eurocode Factors'!$B$14/ 'Pile Data and Eurocode Factors'!$B$15+$CW$129</f>
        <v>11511.975716782204</v>
      </c>
      <c r="CX141" s="382">
        <f t="shared" si="71"/>
        <v>1130.9733552923256</v>
      </c>
      <c r="CY141" s="382">
        <f>CS141* Pile!$U$26</f>
        <v>0</v>
      </c>
      <c r="CZ141" s="382">
        <f t="shared" si="101"/>
        <v>1130.9733552923256</v>
      </c>
      <c r="DA141" s="382">
        <f>CZ141/ 'Pile Data and Eurocode Factors'!$C$14/ 'Pile Data and Eurocode Factors'!$C$15</f>
        <v>403.91905546154487</v>
      </c>
      <c r="DB141" s="382">
        <f t="shared" si="102"/>
        <v>11915.89477224375</v>
      </c>
      <c r="DC141" s="382">
        <f>VLOOKUP(CQ141, 'Pile Data and Eurocode Factors'!$A$34:$J$39,3, FALSE)</f>
        <v>16826.141773161216</v>
      </c>
      <c r="DD141" s="403">
        <f t="shared" si="103"/>
        <v>11915.89477224375</v>
      </c>
      <c r="DE141" s="420">
        <f xml:space="preserve"> Pile!$C$23- Pile!C141</f>
        <v>45.599999999999966</v>
      </c>
      <c r="DG141" s="382">
        <f t="shared" si="114"/>
        <v>2366.1761868507956</v>
      </c>
      <c r="DH141" s="382">
        <f t="shared" si="104"/>
        <v>4206.5354432903041</v>
      </c>
      <c r="DI141" s="382">
        <f t="shared" si="105"/>
        <v>6572.7116301410997</v>
      </c>
      <c r="DJ141" s="382">
        <f t="shared" si="106"/>
        <v>8861.1862562837723</v>
      </c>
      <c r="DK141" s="382">
        <f t="shared" si="107"/>
        <v>10382.229279022175</v>
      </c>
      <c r="DL141" s="382">
        <f t="shared" si="115"/>
        <v>11915.89477224375</v>
      </c>
    </row>
    <row r="142" spans="1:116" s="308" customFormat="1" ht="15">
      <c r="B142" s="400">
        <v>13</v>
      </c>
      <c r="C142" s="401">
        <f>+C141- Pile!D$26/20</f>
        <v>-39.899999999999963</v>
      </c>
      <c r="D142" s="415" t="str">
        <f>B26</f>
        <v>Medium Density Chalk</v>
      </c>
      <c r="E142" s="415" t="str">
        <f>F26</f>
        <v>Chalk</v>
      </c>
      <c r="F142" s="401">
        <f xml:space="preserve"> Pile!$E$26*(C141-C142)+F141</f>
        <v>873.90918749999923</v>
      </c>
      <c r="G142" s="401">
        <f>IF(C142&gt; Pile!$C$28,0,( Pile!$C$28-C142)*9.81)</f>
        <v>244.26899999999964</v>
      </c>
      <c r="H142" s="401">
        <f t="shared" si="78"/>
        <v>629.64018749999957</v>
      </c>
      <c r="I142" s="401">
        <f t="shared" si="73"/>
        <v>609.31509374999996</v>
      </c>
      <c r="J142" s="401">
        <f>IF(E142="Cohesive",(( Pile!$H$26- Pile!$G$26)/20)+J141,0)</f>
        <v>0</v>
      </c>
      <c r="K142" s="401">
        <f>IF(E142="Cohesive",( Pile!$G$26+ Pile!$J142)/2,0)</f>
        <v>0</v>
      </c>
      <c r="L142" s="401" t="str">
        <f>IF( Pile!I$26="",0, Pile!I$26)</f>
        <v>0</v>
      </c>
      <c r="M142" s="401" t="str">
        <f>IF( Pile!J$26="",0, Pile!J$26)</f>
        <v>0</v>
      </c>
      <c r="N142" s="401">
        <f>IF(E142="Granular", Pile!$K$26,0)</f>
        <v>0</v>
      </c>
      <c r="O142" s="416">
        <f>IF(AND(E142="Granular",D142&lt;&gt;"Made Ground"), Pile!$L$26,0)</f>
        <v>0</v>
      </c>
      <c r="P142" s="401">
        <f>IF(OR(D142="Low Density Chalk",D142="Medium Density Chalk"), Pile!$M$26,0)</f>
        <v>0.8</v>
      </c>
      <c r="Q142" s="417">
        <f>IF(D142="High Density Chalk", Pile!$N$26,0)</f>
        <v>0</v>
      </c>
      <c r="R142" s="401">
        <f>IF( Pile!O$26="",0, Pile!O$26)</f>
        <v>6000</v>
      </c>
      <c r="S142" s="418">
        <f t="shared" si="108"/>
        <v>487.45207499999998</v>
      </c>
      <c r="T142" s="382">
        <f xml:space="preserve"> Pile!$T$26</f>
        <v>320</v>
      </c>
      <c r="U142" s="382">
        <f t="shared" si="109"/>
        <v>320</v>
      </c>
      <c r="V142" s="382">
        <f t="shared" si="79"/>
        <v>6000</v>
      </c>
      <c r="W142" s="382">
        <f xml:space="preserve"> Pile!$V$26</f>
        <v>1000</v>
      </c>
      <c r="X142" s="382">
        <f t="shared" si="110"/>
        <v>1000</v>
      </c>
      <c r="Y142" s="419">
        <v>450</v>
      </c>
      <c r="Z142" s="382">
        <f>PI()*Y142/1000*( Pile!$C$26- Pile!$C142)</f>
        <v>5.5134951070500344</v>
      </c>
      <c r="AA142" s="382">
        <f t="shared" si="80"/>
        <v>0.15904312808798329</v>
      </c>
      <c r="AB142" s="382">
        <f t="shared" si="111"/>
        <v>1764.318434256011</v>
      </c>
      <c r="AC142" s="382">
        <f>Z142* Pile!$S$26</f>
        <v>1764.318434256011</v>
      </c>
      <c r="AD142" s="382">
        <f t="shared" si="112"/>
        <v>1764.318434256011</v>
      </c>
      <c r="AE142" s="382">
        <f>IF(AD142&gt;0,+AD142)/ 'Pile Data and Eurocode Factors'!$B$14/ 'Pile Data and Eurocode Factors'!$B$15+$AE$129</f>
        <v>4377.5787521125576</v>
      </c>
      <c r="AF142" s="382">
        <f t="shared" si="113"/>
        <v>159.04312808798329</v>
      </c>
      <c r="AG142" s="382">
        <f>AA142* Pile!$U$26</f>
        <v>0</v>
      </c>
      <c r="AH142" s="382">
        <f t="shared" si="81"/>
        <v>159.04312808798329</v>
      </c>
      <c r="AI142" s="382">
        <f>AH142/ 'Pile Data and Eurocode Factors'!$C$14/ 'Pile Data and Eurocode Factors'!$C$15</f>
        <v>56.801117174279753</v>
      </c>
      <c r="AJ142" s="382">
        <f t="shared" si="82"/>
        <v>4434.3798692868377</v>
      </c>
      <c r="AK142" s="382">
        <f>VLOOKUP(Y142, 'Pile Data and Eurocode Factors'!$A$34:$J$39,3, FALSE)</f>
        <v>2366.1761868507956</v>
      </c>
      <c r="AL142" s="403">
        <f t="shared" si="83"/>
        <v>2366.1761868507956</v>
      </c>
      <c r="AM142" s="419">
        <v>600</v>
      </c>
      <c r="AN142" s="382">
        <f>PI()*AM142/1000*( Pile!$C$26- Pile!$C142)</f>
        <v>7.3513268094000459</v>
      </c>
      <c r="AO142" s="382">
        <f t="shared" si="84"/>
        <v>0.28274333882308139</v>
      </c>
      <c r="AP142" s="382">
        <f t="shared" si="116"/>
        <v>2352.4245790080149</v>
      </c>
      <c r="AQ142" s="382">
        <f>AN142* Pile!$S$26</f>
        <v>2352.4245790080149</v>
      </c>
      <c r="AR142" s="382">
        <f t="shared" ref="AR142:AR149" si="121">IF(AQ142&gt;0,MIN(AP142:AQ142),AP142)</f>
        <v>2352.4245790080149</v>
      </c>
      <c r="AS142" s="382">
        <f>IF(AR142&gt;0,+AR142)/ 'Pile Data and Eurocode Factors'!$B$14/ 'Pile Data and Eurocode Factors'!$B$15+$AS$129</f>
        <v>5836.7716694834107</v>
      </c>
      <c r="AT142" s="382">
        <f t="shared" si="65"/>
        <v>282.74333882308139</v>
      </c>
      <c r="AU142" s="382">
        <f>AO142* Pile!$U$26</f>
        <v>0</v>
      </c>
      <c r="AV142" s="382">
        <f t="shared" si="85"/>
        <v>282.74333882308139</v>
      </c>
      <c r="AW142" s="382">
        <f>AV142/ 'Pile Data and Eurocode Factors'!$C$14/ 'Pile Data and Eurocode Factors'!$C$15</f>
        <v>100.97976386538622</v>
      </c>
      <c r="AX142" s="382">
        <f t="shared" si="86"/>
        <v>5937.751433348797</v>
      </c>
      <c r="AY142" s="382">
        <f>VLOOKUP(AM142, 'Pile Data and Eurocode Factors'!$A$34:$J$39,3, FALSE)</f>
        <v>4206.5354432903041</v>
      </c>
      <c r="AZ142" s="403">
        <f t="shared" si="87"/>
        <v>4206.5354432903041</v>
      </c>
      <c r="BA142" s="419">
        <v>750</v>
      </c>
      <c r="BB142" s="382">
        <f>PI()*BA142/1000*( Pile!$C$26- Pile!$C142)</f>
        <v>9.1891585117500583</v>
      </c>
      <c r="BC142" s="382">
        <f t="shared" si="88"/>
        <v>0.44178646691106466</v>
      </c>
      <c r="BD142" s="382">
        <f t="shared" si="117"/>
        <v>2940.5307237600186</v>
      </c>
      <c r="BE142" s="382">
        <f>BB142* Pile!$S$26</f>
        <v>2940.5307237600186</v>
      </c>
      <c r="BF142" s="382">
        <f t="shared" si="74"/>
        <v>2940.5307237600186</v>
      </c>
      <c r="BG142" s="382">
        <f>IF(BF142&gt;0,+BF142)/ 'Pile Data and Eurocode Factors'!$B$14/ 'Pile Data and Eurocode Factors'!$B$15+$BG$129</f>
        <v>7295.9645868542639</v>
      </c>
      <c r="BH142" s="382">
        <f t="shared" si="66"/>
        <v>441.78646691106468</v>
      </c>
      <c r="BI142" s="382">
        <f>BC142* Pile!$U$26</f>
        <v>0</v>
      </c>
      <c r="BJ142" s="382">
        <f t="shared" si="89"/>
        <v>441.78646691106468</v>
      </c>
      <c r="BK142" s="382">
        <f>BJ142/ 'Pile Data and Eurocode Factors'!$C$14/ 'Pile Data and Eurocode Factors'!$C$15</f>
        <v>157.78088103966596</v>
      </c>
      <c r="BL142" s="382">
        <f t="shared" si="90"/>
        <v>7453.7454678939303</v>
      </c>
      <c r="BM142" s="382">
        <f>VLOOKUP(BA142, 'Pile Data and Eurocode Factors'!$A$34:$J$39,3, FALSE)</f>
        <v>6572.7116301410997</v>
      </c>
      <c r="BN142" s="403">
        <f t="shared" si="91"/>
        <v>6572.7116301410997</v>
      </c>
      <c r="BO142" s="419">
        <v>900</v>
      </c>
      <c r="BP142" s="382">
        <f>PI()*BO142/1000*( Pile!$C$26- Pile!$C142)</f>
        <v>11.026990214100069</v>
      </c>
      <c r="BQ142" s="382">
        <f t="shared" si="92"/>
        <v>0.63617251235193317</v>
      </c>
      <c r="BR142" s="382">
        <f t="shared" si="118"/>
        <v>3528.6368685120219</v>
      </c>
      <c r="BS142" s="382">
        <f>BP142* Pile!$S$26</f>
        <v>3528.6368685120219</v>
      </c>
      <c r="BT142" s="382">
        <f t="shared" si="75"/>
        <v>3528.6368685120219</v>
      </c>
      <c r="BU142" s="382">
        <f>IF(BT142&gt;0,+BT142)/ 'Pile Data and Eurocode Factors'!$B$14/ 'Pile Data and Eurocode Factors'!$B$15+$BU$129</f>
        <v>8755.1575042251152</v>
      </c>
      <c r="BV142" s="382">
        <f t="shared" si="67"/>
        <v>636.17251235193316</v>
      </c>
      <c r="BW142" s="382">
        <f>BQ142* Pile!$U$26</f>
        <v>0</v>
      </c>
      <c r="BX142" s="382">
        <f t="shared" si="93"/>
        <v>636.17251235193316</v>
      </c>
      <c r="BY142" s="382">
        <f>BX142/ 'Pile Data and Eurocode Factors'!$C$14/ 'Pile Data and Eurocode Factors'!$C$15</f>
        <v>227.20446869711901</v>
      </c>
      <c r="BZ142" s="382">
        <f t="shared" si="94"/>
        <v>8982.3619729222337</v>
      </c>
      <c r="CA142" s="382">
        <f>VLOOKUP(BO142, 'Pile Data and Eurocode Factors'!$A$34:$J$39,3, FALSE)</f>
        <v>9464.7047474031824</v>
      </c>
      <c r="CB142" s="403">
        <f t="shared" si="95"/>
        <v>8982.3619729222337</v>
      </c>
      <c r="CC142" s="419">
        <v>1050</v>
      </c>
      <c r="CD142" s="382">
        <f>PI()*CC142/1000*( Pile!$C$26- Pile!$C142)</f>
        <v>12.864821916450081</v>
      </c>
      <c r="CE142" s="382">
        <f t="shared" si="96"/>
        <v>0.86590147514568672</v>
      </c>
      <c r="CF142" s="382">
        <f t="shared" si="119"/>
        <v>4116.7430132640256</v>
      </c>
      <c r="CG142" s="382">
        <f>CD142* Pile!$S$26</f>
        <v>4116.7430132640256</v>
      </c>
      <c r="CH142" s="382">
        <f t="shared" si="76"/>
        <v>4116.7430132640256</v>
      </c>
      <c r="CI142" s="382">
        <f>IF(CH142&gt;0,+CH142)/ 'Pile Data and Eurocode Factors'!$B$14/ 'Pile Data and Eurocode Factors'!$B$15+$CI$129</f>
        <v>10214.350421595969</v>
      </c>
      <c r="CJ142" s="382">
        <f t="shared" si="69"/>
        <v>865.90147514568673</v>
      </c>
      <c r="CK142" s="382">
        <f>CE142* Pile!$U$26</f>
        <v>0</v>
      </c>
      <c r="CL142" s="382">
        <f t="shared" si="97"/>
        <v>865.90147514568673</v>
      </c>
      <c r="CM142" s="382">
        <f>CL142/ 'Pile Data and Eurocode Factors'!$C$14/ 'Pile Data and Eurocode Factors'!$C$15</f>
        <v>309.25052683774527</v>
      </c>
      <c r="CN142" s="382">
        <f t="shared" si="98"/>
        <v>10523.600948433714</v>
      </c>
      <c r="CO142" s="382">
        <f>VLOOKUP(CC142, 'Pile Data and Eurocode Factors'!$A$34:$J$39,3, FALSE)</f>
        <v>12882.514795076555</v>
      </c>
      <c r="CP142" s="403">
        <f t="shared" si="99"/>
        <v>10523.600948433714</v>
      </c>
      <c r="CQ142" s="419">
        <v>1200</v>
      </c>
      <c r="CR142" s="382">
        <f>PI()*CQ142/1000*( Pile!$C$26- Pile!$C142)</f>
        <v>14.702653618800092</v>
      </c>
      <c r="CS142" s="382">
        <f t="shared" si="100"/>
        <v>1.1309733552923256</v>
      </c>
      <c r="CT142" s="382">
        <f t="shared" si="120"/>
        <v>4704.8491580160298</v>
      </c>
      <c r="CU142" s="382">
        <f>CR142* Pile!$S$26</f>
        <v>4704.8491580160298</v>
      </c>
      <c r="CV142" s="382">
        <f t="shared" si="77"/>
        <v>4704.8491580160298</v>
      </c>
      <c r="CW142" s="382">
        <f>IF(CV142&gt;0,+CV142)/ 'Pile Data and Eurocode Factors'!$B$14/ 'Pile Data and Eurocode Factors'!$B$15+$CW$129</f>
        <v>11673.543338966821</v>
      </c>
      <c r="CX142" s="382">
        <f t="shared" si="71"/>
        <v>1130.9733552923256</v>
      </c>
      <c r="CY142" s="382">
        <f>CS142* Pile!$U$26</f>
        <v>0</v>
      </c>
      <c r="CZ142" s="382">
        <f t="shared" si="101"/>
        <v>1130.9733552923256</v>
      </c>
      <c r="DA142" s="382">
        <f>CZ142/ 'Pile Data and Eurocode Factors'!$C$14/ 'Pile Data and Eurocode Factors'!$C$15</f>
        <v>403.91905546154487</v>
      </c>
      <c r="DB142" s="382">
        <f t="shared" si="102"/>
        <v>12077.462394428367</v>
      </c>
      <c r="DC142" s="382">
        <f>VLOOKUP(CQ142, 'Pile Data and Eurocode Factors'!$A$34:$J$39,3, FALSE)</f>
        <v>16826.141773161216</v>
      </c>
      <c r="DD142" s="403">
        <f t="shared" si="103"/>
        <v>12077.462394428367</v>
      </c>
      <c r="DE142" s="420">
        <f xml:space="preserve"> Pile!$C$23- Pile!C142</f>
        <v>45.899999999999963</v>
      </c>
      <c r="DG142" s="382">
        <f t="shared" si="114"/>
        <v>2366.1761868507956</v>
      </c>
      <c r="DH142" s="382">
        <f t="shared" si="104"/>
        <v>4206.5354432903041</v>
      </c>
      <c r="DI142" s="382">
        <f t="shared" si="105"/>
        <v>6572.7116301410997</v>
      </c>
      <c r="DJ142" s="382">
        <f t="shared" si="106"/>
        <v>8982.3619729222337</v>
      </c>
      <c r="DK142" s="382">
        <f t="shared" si="107"/>
        <v>10523.600948433714</v>
      </c>
      <c r="DL142" s="382">
        <f t="shared" si="115"/>
        <v>12077.462394428367</v>
      </c>
    </row>
    <row r="143" spans="1:116" s="308" customFormat="1" ht="15">
      <c r="A143" s="421"/>
      <c r="B143" s="400">
        <v>14</v>
      </c>
      <c r="C143" s="401">
        <f>+C142- Pile!D$26/20</f>
        <v>-40.19999999999996</v>
      </c>
      <c r="D143" s="415" t="str">
        <f>B26</f>
        <v>Medium Density Chalk</v>
      </c>
      <c r="E143" s="415" t="str">
        <f>F26</f>
        <v>Chalk</v>
      </c>
      <c r="F143" s="401">
        <f xml:space="preserve"> Pile!$E$26*(C142-C143)+F142</f>
        <v>879.97912499999916</v>
      </c>
      <c r="G143" s="401">
        <f>IF(C143&gt; Pile!$C$28,0,( Pile!$C$28-C143)*9.81)</f>
        <v>247.21199999999962</v>
      </c>
      <c r="H143" s="401">
        <f t="shared" si="78"/>
        <v>632.76712499999951</v>
      </c>
      <c r="I143" s="401">
        <f t="shared" si="73"/>
        <v>610.87856249999982</v>
      </c>
      <c r="J143" s="401">
        <f>IF(E143="Cohesive",(( Pile!$H$26- Pile!$G$26)/20)+J142,0)</f>
        <v>0</v>
      </c>
      <c r="K143" s="401">
        <f>IF(E143="Cohesive",( Pile!$G$26+ Pile!$J143)/2,0)</f>
        <v>0</v>
      </c>
      <c r="L143" s="401" t="str">
        <f>IF( Pile!I$26="",0, Pile!I$26)</f>
        <v>0</v>
      </c>
      <c r="M143" s="401" t="str">
        <f>IF( Pile!J$26="",0, Pile!J$26)</f>
        <v>0</v>
      </c>
      <c r="N143" s="401">
        <f>IF(E143="Granular", Pile!$K$26,0)</f>
        <v>0</v>
      </c>
      <c r="O143" s="416">
        <f>IF(AND(E143="Granular",D143&lt;&gt;"Made Ground"), Pile!$L$26,0)</f>
        <v>0</v>
      </c>
      <c r="P143" s="401">
        <f>IF(OR(D143="Low Density Chalk",D143="Medium Density Chalk"), Pile!$M$26,0)</f>
        <v>0.8</v>
      </c>
      <c r="Q143" s="417">
        <f>IF(D143="High Density Chalk", Pile!$N$26,0)</f>
        <v>0</v>
      </c>
      <c r="R143" s="401">
        <f>IF( Pile!O$26="",0, Pile!O$26)</f>
        <v>6000</v>
      </c>
      <c r="S143" s="418">
        <f t="shared" si="108"/>
        <v>488.7028499999999</v>
      </c>
      <c r="T143" s="382">
        <f xml:space="preserve"> Pile!$T$26</f>
        <v>320</v>
      </c>
      <c r="U143" s="382">
        <f t="shared" si="109"/>
        <v>320</v>
      </c>
      <c r="V143" s="382">
        <f t="shared" si="79"/>
        <v>6000</v>
      </c>
      <c r="W143" s="382">
        <f xml:space="preserve"> Pile!$V$26</f>
        <v>1000</v>
      </c>
      <c r="X143" s="382">
        <f t="shared" si="110"/>
        <v>1000</v>
      </c>
      <c r="Y143" s="419">
        <v>450</v>
      </c>
      <c r="Z143" s="382">
        <f>PI()*Y143/1000*( Pile!$C$26- Pile!$C143)</f>
        <v>5.9376101152846523</v>
      </c>
      <c r="AA143" s="382">
        <f t="shared" si="80"/>
        <v>0.15904312808798329</v>
      </c>
      <c r="AB143" s="382">
        <f t="shared" si="111"/>
        <v>1900.0352368910887</v>
      </c>
      <c r="AC143" s="382">
        <f>Z143* Pile!$S$26</f>
        <v>1900.0352368910887</v>
      </c>
      <c r="AD143" s="382">
        <f t="shared" si="112"/>
        <v>1900.0352368910887</v>
      </c>
      <c r="AE143" s="382">
        <f>IF(AD143&gt;0,+AD143)/ 'Pile Data and Eurocode Factors'!$B$14/ 'Pile Data and Eurocode Factors'!$B$15+$AE$129</f>
        <v>4438.1666104317892</v>
      </c>
      <c r="AF143" s="382">
        <f t="shared" si="113"/>
        <v>159.04312808798329</v>
      </c>
      <c r="AG143" s="382">
        <f>AA143* Pile!$U$26</f>
        <v>0</v>
      </c>
      <c r="AH143" s="382">
        <f t="shared" si="81"/>
        <v>159.04312808798329</v>
      </c>
      <c r="AI143" s="382">
        <f>AH143/ 'Pile Data and Eurocode Factors'!$C$14/ 'Pile Data and Eurocode Factors'!$C$15</f>
        <v>56.801117174279753</v>
      </c>
      <c r="AJ143" s="382">
        <f t="shared" si="82"/>
        <v>4494.9677276060693</v>
      </c>
      <c r="AK143" s="382">
        <f>VLOOKUP(Y143, 'Pile Data and Eurocode Factors'!$A$34:$J$39,3, FALSE)</f>
        <v>2366.1761868507956</v>
      </c>
      <c r="AL143" s="403">
        <f t="shared" si="83"/>
        <v>2366.1761868507956</v>
      </c>
      <c r="AM143" s="419">
        <v>600</v>
      </c>
      <c r="AN143" s="382">
        <f>PI()*AM143/1000*( Pile!$C$26- Pile!$C143)</f>
        <v>7.9168134870462037</v>
      </c>
      <c r="AO143" s="382">
        <f t="shared" si="84"/>
        <v>0.28274333882308139</v>
      </c>
      <c r="AP143" s="382">
        <f t="shared" si="116"/>
        <v>2533.3803158547853</v>
      </c>
      <c r="AQ143" s="382">
        <f>AN143* Pile!$S$26</f>
        <v>2533.3803158547853</v>
      </c>
      <c r="AR143" s="382">
        <f t="shared" si="121"/>
        <v>2533.3803158547853</v>
      </c>
      <c r="AS143" s="382">
        <f>IF(AR143&gt;0,+AR143)/ 'Pile Data and Eurocode Factors'!$B$14/ 'Pile Data and Eurocode Factors'!$B$15+$AS$129</f>
        <v>5917.5554805757183</v>
      </c>
      <c r="AT143" s="382">
        <f t="shared" si="65"/>
        <v>282.74333882308139</v>
      </c>
      <c r="AU143" s="382">
        <f>AO143* Pile!$U$26</f>
        <v>0</v>
      </c>
      <c r="AV143" s="382">
        <f t="shared" si="85"/>
        <v>282.74333882308139</v>
      </c>
      <c r="AW143" s="382">
        <f>AV143/ 'Pile Data and Eurocode Factors'!$C$14/ 'Pile Data and Eurocode Factors'!$C$15</f>
        <v>100.97976386538622</v>
      </c>
      <c r="AX143" s="382">
        <f t="shared" si="86"/>
        <v>6018.5352444411046</v>
      </c>
      <c r="AY143" s="382">
        <f>VLOOKUP(AM143, 'Pile Data and Eurocode Factors'!$A$34:$J$39,3, FALSE)</f>
        <v>4206.5354432903041</v>
      </c>
      <c r="AZ143" s="403">
        <f t="shared" si="87"/>
        <v>4206.5354432903041</v>
      </c>
      <c r="BA143" s="419">
        <v>750</v>
      </c>
      <c r="BB143" s="382">
        <f>PI()*BA143/1000*( Pile!$C$26- Pile!$C143)</f>
        <v>9.8960168588077551</v>
      </c>
      <c r="BC143" s="382">
        <f t="shared" si="88"/>
        <v>0.44178646691106466</v>
      </c>
      <c r="BD143" s="382">
        <f t="shared" si="117"/>
        <v>3166.7253948184816</v>
      </c>
      <c r="BE143" s="382">
        <f>BB143* Pile!$S$26</f>
        <v>3166.7253948184816</v>
      </c>
      <c r="BF143" s="382">
        <f t="shared" si="74"/>
        <v>3166.7253948184816</v>
      </c>
      <c r="BG143" s="382">
        <f>IF(BF143&gt;0,+BF143)/ 'Pile Data and Eurocode Factors'!$B$14/ 'Pile Data and Eurocode Factors'!$B$15+$BG$129</f>
        <v>7396.9443507196493</v>
      </c>
      <c r="BH143" s="382">
        <f t="shared" si="66"/>
        <v>441.78646691106468</v>
      </c>
      <c r="BI143" s="382">
        <f>BC143* Pile!$U$26</f>
        <v>0</v>
      </c>
      <c r="BJ143" s="382">
        <f t="shared" si="89"/>
        <v>441.78646691106468</v>
      </c>
      <c r="BK143" s="382">
        <f>BJ143/ 'Pile Data and Eurocode Factors'!$C$14/ 'Pile Data and Eurocode Factors'!$C$15</f>
        <v>157.78088103966596</v>
      </c>
      <c r="BL143" s="382">
        <f t="shared" si="90"/>
        <v>7554.7252317593156</v>
      </c>
      <c r="BM143" s="382">
        <f>VLOOKUP(BA143, 'Pile Data and Eurocode Factors'!$A$34:$J$39,3, FALSE)</f>
        <v>6572.7116301410997</v>
      </c>
      <c r="BN143" s="403">
        <f t="shared" si="91"/>
        <v>6572.7116301410997</v>
      </c>
      <c r="BO143" s="419">
        <v>900</v>
      </c>
      <c r="BP143" s="382">
        <f>PI()*BO143/1000*( Pile!$C$26- Pile!$C143)</f>
        <v>11.875220230569305</v>
      </c>
      <c r="BQ143" s="382">
        <f t="shared" si="92"/>
        <v>0.63617251235193317</v>
      </c>
      <c r="BR143" s="382">
        <f t="shared" si="118"/>
        <v>3800.0704737821775</v>
      </c>
      <c r="BS143" s="382">
        <f>BP143* Pile!$S$26</f>
        <v>3800.0704737821775</v>
      </c>
      <c r="BT143" s="382">
        <f t="shared" si="75"/>
        <v>3800.0704737821775</v>
      </c>
      <c r="BU143" s="382">
        <f>IF(BT143&gt;0,+BT143)/ 'Pile Data and Eurocode Factors'!$B$14/ 'Pile Data and Eurocode Factors'!$B$15+$BU$129</f>
        <v>8876.3332208635784</v>
      </c>
      <c r="BV143" s="382">
        <f t="shared" si="67"/>
        <v>636.17251235193316</v>
      </c>
      <c r="BW143" s="382">
        <f>BQ143* Pile!$U$26</f>
        <v>0</v>
      </c>
      <c r="BX143" s="382">
        <f t="shared" si="93"/>
        <v>636.17251235193316</v>
      </c>
      <c r="BY143" s="382">
        <f>BX143/ 'Pile Data and Eurocode Factors'!$C$14/ 'Pile Data and Eurocode Factors'!$C$15</f>
        <v>227.20446869711901</v>
      </c>
      <c r="BZ143" s="382">
        <f t="shared" si="94"/>
        <v>9103.5376895606969</v>
      </c>
      <c r="CA143" s="382">
        <f>VLOOKUP(BO143, 'Pile Data and Eurocode Factors'!$A$34:$J$39,3, FALSE)</f>
        <v>9464.7047474031824</v>
      </c>
      <c r="CB143" s="403">
        <f t="shared" si="95"/>
        <v>9103.5376895606969</v>
      </c>
      <c r="CC143" s="419">
        <v>1050</v>
      </c>
      <c r="CD143" s="382">
        <f>PI()*CC143/1000*( Pile!$C$26- Pile!$C143)</f>
        <v>13.854423602330856</v>
      </c>
      <c r="CE143" s="382">
        <f t="shared" si="96"/>
        <v>0.86590147514568672</v>
      </c>
      <c r="CF143" s="382">
        <f t="shared" si="119"/>
        <v>4433.4155527458743</v>
      </c>
      <c r="CG143" s="382">
        <f>CD143* Pile!$S$26</f>
        <v>4433.4155527458743</v>
      </c>
      <c r="CH143" s="382">
        <f t="shared" si="76"/>
        <v>4433.4155527458743</v>
      </c>
      <c r="CI143" s="382">
        <f>IF(CH143&gt;0,+CH143)/ 'Pile Data and Eurocode Factors'!$B$14/ 'Pile Data and Eurocode Factors'!$B$15+$CI$129</f>
        <v>10355.722091007508</v>
      </c>
      <c r="CJ143" s="382">
        <f t="shared" si="69"/>
        <v>865.90147514568673</v>
      </c>
      <c r="CK143" s="382">
        <f>CE143* Pile!$U$26</f>
        <v>0</v>
      </c>
      <c r="CL143" s="382">
        <f t="shared" si="97"/>
        <v>865.90147514568673</v>
      </c>
      <c r="CM143" s="382">
        <f>CL143/ 'Pile Data and Eurocode Factors'!$C$14/ 'Pile Data and Eurocode Factors'!$C$15</f>
        <v>309.25052683774527</v>
      </c>
      <c r="CN143" s="382">
        <f t="shared" si="98"/>
        <v>10664.972617845253</v>
      </c>
      <c r="CO143" s="382">
        <f>VLOOKUP(CC143, 'Pile Data and Eurocode Factors'!$A$34:$J$39,3, FALSE)</f>
        <v>12882.514795076555</v>
      </c>
      <c r="CP143" s="403">
        <f t="shared" si="99"/>
        <v>10664.972617845253</v>
      </c>
      <c r="CQ143" s="419">
        <v>1200</v>
      </c>
      <c r="CR143" s="382">
        <f>PI()*CQ143/1000*( Pile!$C$26- Pile!$C143)</f>
        <v>15.833626974092407</v>
      </c>
      <c r="CS143" s="382">
        <f t="shared" si="100"/>
        <v>1.1309733552923256</v>
      </c>
      <c r="CT143" s="382">
        <f t="shared" si="120"/>
        <v>5066.7606317095706</v>
      </c>
      <c r="CU143" s="382">
        <f>CR143* Pile!$S$26</f>
        <v>5066.7606317095706</v>
      </c>
      <c r="CV143" s="382">
        <f t="shared" si="77"/>
        <v>5066.7606317095706</v>
      </c>
      <c r="CW143" s="382">
        <f>IF(CV143&gt;0,+CV143)/ 'Pile Data and Eurocode Factors'!$B$14/ 'Pile Data and Eurocode Factors'!$B$15+$CW$129</f>
        <v>11835.110961151437</v>
      </c>
      <c r="CX143" s="382">
        <f t="shared" si="71"/>
        <v>1130.9733552923256</v>
      </c>
      <c r="CY143" s="382">
        <f>CS143* Pile!$U$26</f>
        <v>0</v>
      </c>
      <c r="CZ143" s="382">
        <f t="shared" si="101"/>
        <v>1130.9733552923256</v>
      </c>
      <c r="DA143" s="382">
        <f>CZ143/ 'Pile Data and Eurocode Factors'!$C$14/ 'Pile Data and Eurocode Factors'!$C$15</f>
        <v>403.91905546154487</v>
      </c>
      <c r="DB143" s="382">
        <f t="shared" si="102"/>
        <v>12239.030016612982</v>
      </c>
      <c r="DC143" s="382">
        <f>VLOOKUP(CQ143, 'Pile Data and Eurocode Factors'!$A$34:$J$39,3, FALSE)</f>
        <v>16826.141773161216</v>
      </c>
      <c r="DD143" s="403">
        <f t="shared" si="103"/>
        <v>12239.030016612982</v>
      </c>
      <c r="DE143" s="420">
        <f xml:space="preserve"> Pile!$C$23- Pile!C143</f>
        <v>46.19999999999996</v>
      </c>
      <c r="DG143" s="382">
        <f t="shared" si="114"/>
        <v>2366.1761868507956</v>
      </c>
      <c r="DH143" s="382">
        <f t="shared" si="104"/>
        <v>4206.5354432903041</v>
      </c>
      <c r="DI143" s="382">
        <f t="shared" si="105"/>
        <v>6572.7116301410997</v>
      </c>
      <c r="DJ143" s="382">
        <f t="shared" si="106"/>
        <v>9103.5376895606969</v>
      </c>
      <c r="DK143" s="382">
        <f t="shared" si="107"/>
        <v>10664.972617845253</v>
      </c>
      <c r="DL143" s="382">
        <f t="shared" si="115"/>
        <v>12239.030016612982</v>
      </c>
    </row>
    <row r="144" spans="1:116" s="308" customFormat="1" ht="15">
      <c r="B144" s="400">
        <v>15</v>
      </c>
      <c r="C144" s="401">
        <f>+C143- Pile!D$26/20</f>
        <v>-40.499999999999957</v>
      </c>
      <c r="D144" s="415" t="str">
        <f>B26</f>
        <v>Medium Density Chalk</v>
      </c>
      <c r="E144" s="415" t="str">
        <f>F26</f>
        <v>Chalk</v>
      </c>
      <c r="F144" s="401">
        <f xml:space="preserve"> Pile!$E$26*(C143-C144)+F143</f>
        <v>886.04906249999908</v>
      </c>
      <c r="G144" s="401">
        <f>IF(C144&gt; Pile!$C$28,0,( Pile!$C$28-C144)*9.81)</f>
        <v>250.1549999999996</v>
      </c>
      <c r="H144" s="401">
        <f t="shared" si="78"/>
        <v>635.89406249999945</v>
      </c>
      <c r="I144" s="401">
        <f t="shared" si="73"/>
        <v>612.4420312499999</v>
      </c>
      <c r="J144" s="401">
        <f>IF(E144="Cohesive",(( Pile!$H$26- Pile!$G$26)/20)+J143,0)</f>
        <v>0</v>
      </c>
      <c r="K144" s="401">
        <f>IF(E144="Cohesive",( Pile!$G$26+ Pile!$J144)/2,0)</f>
        <v>0</v>
      </c>
      <c r="L144" s="401" t="str">
        <f>IF( Pile!I$26="",0, Pile!I$26)</f>
        <v>0</v>
      </c>
      <c r="M144" s="401" t="str">
        <f>IF( Pile!J$26="",0, Pile!J$26)</f>
        <v>0</v>
      </c>
      <c r="N144" s="401">
        <f>IF(E144="Granular", Pile!$K$26,0)</f>
        <v>0</v>
      </c>
      <c r="O144" s="416">
        <f>IF(AND(E144="Granular",D144&lt;&gt;"Made Ground"), Pile!$L$26,0)</f>
        <v>0</v>
      </c>
      <c r="P144" s="401">
        <f>IF(OR(D144="Low Density Chalk",D144="Medium Density Chalk"), Pile!$M$26,0)</f>
        <v>0.8</v>
      </c>
      <c r="Q144" s="417">
        <f>IF(D144="High Density Chalk", Pile!$N$26,0)</f>
        <v>0</v>
      </c>
      <c r="R144" s="401">
        <f>IF( Pile!O$26="",0, Pile!O$26)</f>
        <v>6000</v>
      </c>
      <c r="S144" s="418">
        <f t="shared" si="108"/>
        <v>489.95362499999993</v>
      </c>
      <c r="T144" s="382">
        <f xml:space="preserve"> Pile!$T$26</f>
        <v>320</v>
      </c>
      <c r="U144" s="382">
        <f t="shared" si="109"/>
        <v>320</v>
      </c>
      <c r="V144" s="382">
        <f t="shared" si="79"/>
        <v>6000</v>
      </c>
      <c r="W144" s="382">
        <f xml:space="preserve"> Pile!$V$26</f>
        <v>1000</v>
      </c>
      <c r="X144" s="382">
        <f t="shared" si="110"/>
        <v>1000</v>
      </c>
      <c r="Y144" s="419">
        <v>450</v>
      </c>
      <c r="Z144" s="382">
        <f>PI()*Y144/1000*( Pile!$C$26- Pile!$C144)</f>
        <v>6.3617251235192711</v>
      </c>
      <c r="AA144" s="382">
        <f t="shared" si="80"/>
        <v>0.15904312808798329</v>
      </c>
      <c r="AB144" s="382">
        <f t="shared" si="111"/>
        <v>2035.7520395261668</v>
      </c>
      <c r="AC144" s="382">
        <f>Z144* Pile!$S$26</f>
        <v>2035.7520395261668</v>
      </c>
      <c r="AD144" s="382">
        <f t="shared" si="112"/>
        <v>2035.7520395261668</v>
      </c>
      <c r="AE144" s="382">
        <f>IF(AD144&gt;0,+AD144)/ 'Pile Data and Eurocode Factors'!$B$14/ 'Pile Data and Eurocode Factors'!$B$15+$AE$129</f>
        <v>4498.7544687510199</v>
      </c>
      <c r="AF144" s="382">
        <f t="shared" si="113"/>
        <v>159.04312808798329</v>
      </c>
      <c r="AG144" s="382">
        <f>AA144* Pile!$U$26</f>
        <v>0</v>
      </c>
      <c r="AH144" s="382">
        <f t="shared" si="81"/>
        <v>159.04312808798329</v>
      </c>
      <c r="AI144" s="382">
        <f>AH144/ 'Pile Data and Eurocode Factors'!$C$14/ 'Pile Data and Eurocode Factors'!$C$15</f>
        <v>56.801117174279753</v>
      </c>
      <c r="AJ144" s="382">
        <f t="shared" si="82"/>
        <v>4555.5555859253</v>
      </c>
      <c r="AK144" s="382">
        <f>VLOOKUP(Y144, 'Pile Data and Eurocode Factors'!$A$34:$J$39,3, FALSE)</f>
        <v>2366.1761868507956</v>
      </c>
      <c r="AL144" s="403">
        <f t="shared" si="83"/>
        <v>2366.1761868507956</v>
      </c>
      <c r="AM144" s="419">
        <v>600</v>
      </c>
      <c r="AN144" s="382">
        <f>PI()*AM144/1000*( Pile!$C$26- Pile!$C144)</f>
        <v>8.4823001646923615</v>
      </c>
      <c r="AO144" s="382">
        <f t="shared" si="84"/>
        <v>0.28274333882308139</v>
      </c>
      <c r="AP144" s="382">
        <f t="shared" si="116"/>
        <v>2714.3360527015557</v>
      </c>
      <c r="AQ144" s="382">
        <f>AN144* Pile!$S$26</f>
        <v>2714.3360527015557</v>
      </c>
      <c r="AR144" s="382">
        <f t="shared" si="121"/>
        <v>2714.3360527015557</v>
      </c>
      <c r="AS144" s="382">
        <f>IF(AR144&gt;0,+AR144)/ 'Pile Data and Eurocode Factors'!$B$14/ 'Pile Data and Eurocode Factors'!$B$15+$AS$129</f>
        <v>5998.3392916680268</v>
      </c>
      <c r="AT144" s="382">
        <f t="shared" si="65"/>
        <v>282.74333882308139</v>
      </c>
      <c r="AU144" s="382">
        <f>AO144* Pile!$U$26</f>
        <v>0</v>
      </c>
      <c r="AV144" s="382">
        <f t="shared" si="85"/>
        <v>282.74333882308139</v>
      </c>
      <c r="AW144" s="382">
        <f>AV144/ 'Pile Data and Eurocode Factors'!$C$14/ 'Pile Data and Eurocode Factors'!$C$15</f>
        <v>100.97976386538622</v>
      </c>
      <c r="AX144" s="382">
        <f t="shared" si="86"/>
        <v>6099.3190555334131</v>
      </c>
      <c r="AY144" s="382">
        <f>VLOOKUP(AM144, 'Pile Data and Eurocode Factors'!$A$34:$J$39,3, FALSE)</f>
        <v>4206.5354432903041</v>
      </c>
      <c r="AZ144" s="403">
        <f t="shared" si="87"/>
        <v>4206.5354432903041</v>
      </c>
      <c r="BA144" s="419">
        <v>750</v>
      </c>
      <c r="BB144" s="382">
        <f>PI()*BA144/1000*( Pile!$C$26- Pile!$C144)</f>
        <v>10.602875205865452</v>
      </c>
      <c r="BC144" s="382">
        <f t="shared" si="88"/>
        <v>0.44178646691106466</v>
      </c>
      <c r="BD144" s="382">
        <f t="shared" si="117"/>
        <v>3392.9200658769446</v>
      </c>
      <c r="BE144" s="382">
        <f>BB144* Pile!$S$26</f>
        <v>3392.9200658769446</v>
      </c>
      <c r="BF144" s="382">
        <f t="shared" si="74"/>
        <v>3392.9200658769446</v>
      </c>
      <c r="BG144" s="382">
        <f>IF(BF144&gt;0,+BF144)/ 'Pile Data and Eurocode Factors'!$B$14/ 'Pile Data and Eurocode Factors'!$B$15+$BG$129</f>
        <v>7497.9241145850347</v>
      </c>
      <c r="BH144" s="382">
        <f t="shared" si="66"/>
        <v>441.78646691106468</v>
      </c>
      <c r="BI144" s="382">
        <f>BC144* Pile!$U$26</f>
        <v>0</v>
      </c>
      <c r="BJ144" s="382">
        <f t="shared" si="89"/>
        <v>441.78646691106468</v>
      </c>
      <c r="BK144" s="382">
        <f>BJ144/ 'Pile Data and Eurocode Factors'!$C$14/ 'Pile Data and Eurocode Factors'!$C$15</f>
        <v>157.78088103966596</v>
      </c>
      <c r="BL144" s="382">
        <f t="shared" si="90"/>
        <v>7655.704995624701</v>
      </c>
      <c r="BM144" s="382">
        <f>VLOOKUP(BA144, 'Pile Data and Eurocode Factors'!$A$34:$J$39,3, FALSE)</f>
        <v>6572.7116301410997</v>
      </c>
      <c r="BN144" s="403">
        <f t="shared" si="91"/>
        <v>6572.7116301410997</v>
      </c>
      <c r="BO144" s="419">
        <v>900</v>
      </c>
      <c r="BP144" s="382">
        <f>PI()*BO144/1000*( Pile!$C$26- Pile!$C144)</f>
        <v>12.723450247038542</v>
      </c>
      <c r="BQ144" s="382">
        <f t="shared" si="92"/>
        <v>0.63617251235193317</v>
      </c>
      <c r="BR144" s="382">
        <f t="shared" si="118"/>
        <v>4071.5040790523335</v>
      </c>
      <c r="BS144" s="382">
        <f>BP144* Pile!$S$26</f>
        <v>4071.5040790523335</v>
      </c>
      <c r="BT144" s="382">
        <f t="shared" si="75"/>
        <v>4071.5040790523335</v>
      </c>
      <c r="BU144" s="382">
        <f>IF(BT144&gt;0,+BT144)/ 'Pile Data and Eurocode Factors'!$B$14/ 'Pile Data and Eurocode Factors'!$B$15+$BU$129</f>
        <v>8997.5089375020398</v>
      </c>
      <c r="BV144" s="382">
        <f t="shared" si="67"/>
        <v>636.17251235193316</v>
      </c>
      <c r="BW144" s="382">
        <f>BQ144* Pile!$U$26</f>
        <v>0</v>
      </c>
      <c r="BX144" s="382">
        <f t="shared" si="93"/>
        <v>636.17251235193316</v>
      </c>
      <c r="BY144" s="382">
        <f>BX144/ 'Pile Data and Eurocode Factors'!$C$14/ 'Pile Data and Eurocode Factors'!$C$15</f>
        <v>227.20446869711901</v>
      </c>
      <c r="BZ144" s="382">
        <f t="shared" si="94"/>
        <v>9224.7134061991583</v>
      </c>
      <c r="CA144" s="382">
        <f>VLOOKUP(BO144, 'Pile Data and Eurocode Factors'!$A$34:$J$39,3, FALSE)</f>
        <v>9464.7047474031824</v>
      </c>
      <c r="CB144" s="403">
        <f t="shared" si="95"/>
        <v>9224.7134061991583</v>
      </c>
      <c r="CC144" s="419">
        <v>1050</v>
      </c>
      <c r="CD144" s="382">
        <f>PI()*CC144/1000*( Pile!$C$26- Pile!$C144)</f>
        <v>14.844025288211633</v>
      </c>
      <c r="CE144" s="382">
        <f t="shared" si="96"/>
        <v>0.86590147514568672</v>
      </c>
      <c r="CF144" s="382">
        <f t="shared" si="119"/>
        <v>4750.0880922277229</v>
      </c>
      <c r="CG144" s="382">
        <f>CD144* Pile!$S$26</f>
        <v>4750.0880922277229</v>
      </c>
      <c r="CH144" s="382">
        <f t="shared" si="76"/>
        <v>4750.0880922277229</v>
      </c>
      <c r="CI144" s="382">
        <f>IF(CH144&gt;0,+CH144)/ 'Pile Data and Eurocode Factors'!$B$14/ 'Pile Data and Eurocode Factors'!$B$15+$CI$129</f>
        <v>10497.093760419048</v>
      </c>
      <c r="CJ144" s="382">
        <f t="shared" si="69"/>
        <v>865.90147514568673</v>
      </c>
      <c r="CK144" s="382">
        <f>CE144* Pile!$U$26</f>
        <v>0</v>
      </c>
      <c r="CL144" s="382">
        <f t="shared" si="97"/>
        <v>865.90147514568673</v>
      </c>
      <c r="CM144" s="382">
        <f>CL144/ 'Pile Data and Eurocode Factors'!$C$14/ 'Pile Data and Eurocode Factors'!$C$15</f>
        <v>309.25052683774527</v>
      </c>
      <c r="CN144" s="382">
        <f t="shared" si="98"/>
        <v>10806.344287256792</v>
      </c>
      <c r="CO144" s="382">
        <f>VLOOKUP(CC144, 'Pile Data and Eurocode Factors'!$A$34:$J$39,3, FALSE)</f>
        <v>12882.514795076555</v>
      </c>
      <c r="CP144" s="403">
        <f t="shared" si="99"/>
        <v>10806.344287256792</v>
      </c>
      <c r="CQ144" s="419">
        <v>1200</v>
      </c>
      <c r="CR144" s="382">
        <f>PI()*CQ144/1000*( Pile!$C$26- Pile!$C144)</f>
        <v>16.964600329384723</v>
      </c>
      <c r="CS144" s="382">
        <f t="shared" si="100"/>
        <v>1.1309733552923256</v>
      </c>
      <c r="CT144" s="382">
        <f t="shared" si="120"/>
        <v>5428.6721054031113</v>
      </c>
      <c r="CU144" s="382">
        <f>CR144* Pile!$S$26</f>
        <v>5428.6721054031113</v>
      </c>
      <c r="CV144" s="382">
        <f t="shared" si="77"/>
        <v>5428.6721054031113</v>
      </c>
      <c r="CW144" s="382">
        <f>IF(CV144&gt;0,+CV144)/ 'Pile Data and Eurocode Factors'!$B$14/ 'Pile Data and Eurocode Factors'!$B$15+$CW$129</f>
        <v>11996.678583336054</v>
      </c>
      <c r="CX144" s="382">
        <f t="shared" si="71"/>
        <v>1130.9733552923256</v>
      </c>
      <c r="CY144" s="382">
        <f>CS144* Pile!$U$26</f>
        <v>0</v>
      </c>
      <c r="CZ144" s="382">
        <f t="shared" si="101"/>
        <v>1130.9733552923256</v>
      </c>
      <c r="DA144" s="382">
        <f>CZ144/ 'Pile Data and Eurocode Factors'!$C$14/ 'Pile Data and Eurocode Factors'!$C$15</f>
        <v>403.91905546154487</v>
      </c>
      <c r="DB144" s="382">
        <f t="shared" si="102"/>
        <v>12400.597638797599</v>
      </c>
      <c r="DC144" s="382">
        <f>VLOOKUP(CQ144, 'Pile Data and Eurocode Factors'!$A$34:$J$39,3, FALSE)</f>
        <v>16826.141773161216</v>
      </c>
      <c r="DD144" s="403">
        <f t="shared" si="103"/>
        <v>12400.597638797599</v>
      </c>
      <c r="DE144" s="420">
        <f xml:space="preserve"> Pile!$C$23- Pile!C144</f>
        <v>46.499999999999957</v>
      </c>
      <c r="DG144" s="382">
        <f t="shared" si="114"/>
        <v>2366.1761868507956</v>
      </c>
      <c r="DH144" s="382">
        <f t="shared" si="104"/>
        <v>4206.5354432903041</v>
      </c>
      <c r="DI144" s="382">
        <f t="shared" si="105"/>
        <v>6572.7116301410997</v>
      </c>
      <c r="DJ144" s="382">
        <f t="shared" si="106"/>
        <v>9224.7134061991583</v>
      </c>
      <c r="DK144" s="382">
        <f t="shared" si="107"/>
        <v>10806.344287256792</v>
      </c>
      <c r="DL144" s="382">
        <f t="shared" si="115"/>
        <v>12400.597638797599</v>
      </c>
    </row>
    <row r="145" spans="1:116" s="308" customFormat="1" ht="15">
      <c r="B145" s="400">
        <v>16</v>
      </c>
      <c r="C145" s="401">
        <f>+C144- Pile!D$26/20</f>
        <v>-40.799999999999955</v>
      </c>
      <c r="D145" s="415" t="str">
        <f>B26</f>
        <v>Medium Density Chalk</v>
      </c>
      <c r="E145" s="415" t="str">
        <f>F26</f>
        <v>Chalk</v>
      </c>
      <c r="F145" s="401">
        <f xml:space="preserve"> Pile!$E$26*(C144-C145)+F144</f>
        <v>892.11899999999901</v>
      </c>
      <c r="G145" s="401">
        <f>IF(C145&gt; Pile!$C$28,0,( Pile!$C$28-C145)*9.81)</f>
        <v>253.09799999999956</v>
      </c>
      <c r="H145" s="401">
        <f t="shared" si="78"/>
        <v>639.0209999999995</v>
      </c>
      <c r="I145" s="401">
        <f t="shared" si="73"/>
        <v>614.00549999999987</v>
      </c>
      <c r="J145" s="401">
        <f>IF(E145="Cohesive",(( Pile!$H$26- Pile!$G$26)/20)+J144,0)</f>
        <v>0</v>
      </c>
      <c r="K145" s="401">
        <f>IF(E145="Cohesive",( Pile!$G$26+ Pile!$J145)/2,0)</f>
        <v>0</v>
      </c>
      <c r="L145" s="401" t="str">
        <f>IF( Pile!I$26="",0, Pile!I$26)</f>
        <v>0</v>
      </c>
      <c r="M145" s="401" t="str">
        <f>IF( Pile!J$26="",0, Pile!J$26)</f>
        <v>0</v>
      </c>
      <c r="N145" s="401">
        <f>IF(E145="Granular", Pile!$K$26,0)</f>
        <v>0</v>
      </c>
      <c r="O145" s="416">
        <f>IF(AND(E145="Granular",D145&lt;&gt;"Made Ground"), Pile!$L$26,0)</f>
        <v>0</v>
      </c>
      <c r="P145" s="401">
        <f>IF(OR(D145="Low Density Chalk",D145="Medium Density Chalk"), Pile!$M$26,0)</f>
        <v>0.8</v>
      </c>
      <c r="Q145" s="417">
        <f>IF(D145="High Density Chalk", Pile!$N$26,0)</f>
        <v>0</v>
      </c>
      <c r="R145" s="401">
        <f>IF( Pile!O$26="",0, Pile!O$26)</f>
        <v>6000</v>
      </c>
      <c r="S145" s="418">
        <f t="shared" si="108"/>
        <v>491.20439999999991</v>
      </c>
      <c r="T145" s="382">
        <f xml:space="preserve"> Pile!$T$26</f>
        <v>320</v>
      </c>
      <c r="U145" s="382">
        <f t="shared" si="109"/>
        <v>320</v>
      </c>
      <c r="V145" s="382">
        <f t="shared" si="79"/>
        <v>6000</v>
      </c>
      <c r="W145" s="382">
        <f xml:space="preserve"> Pile!$V$26</f>
        <v>1000</v>
      </c>
      <c r="X145" s="382">
        <f t="shared" si="110"/>
        <v>1000</v>
      </c>
      <c r="Y145" s="419">
        <v>450</v>
      </c>
      <c r="Z145" s="382">
        <f>PI()*Y145/1000*( Pile!$C$26- Pile!$C145)</f>
        <v>6.785840131753889</v>
      </c>
      <c r="AA145" s="382">
        <f t="shared" si="80"/>
        <v>0.15904312808798329</v>
      </c>
      <c r="AB145" s="382">
        <f t="shared" si="111"/>
        <v>2171.4688421612445</v>
      </c>
      <c r="AC145" s="382">
        <f>Z145* Pile!$S$26</f>
        <v>2171.4688421612445</v>
      </c>
      <c r="AD145" s="382">
        <f t="shared" si="112"/>
        <v>2171.4688421612445</v>
      </c>
      <c r="AE145" s="382">
        <f>IF(AD145&gt;0,+AD145)/ 'Pile Data and Eurocode Factors'!$B$14/ 'Pile Data and Eurocode Factors'!$B$15+$AE$129</f>
        <v>4559.3423270702515</v>
      </c>
      <c r="AF145" s="382">
        <f t="shared" si="113"/>
        <v>159.04312808798329</v>
      </c>
      <c r="AG145" s="382">
        <f>AA145* Pile!$U$26</f>
        <v>0</v>
      </c>
      <c r="AH145" s="382">
        <f t="shared" si="81"/>
        <v>159.04312808798329</v>
      </c>
      <c r="AI145" s="382">
        <f>AH145/ 'Pile Data and Eurocode Factors'!$C$14/ 'Pile Data and Eurocode Factors'!$C$15</f>
        <v>56.801117174279753</v>
      </c>
      <c r="AJ145" s="382">
        <f t="shared" si="82"/>
        <v>4616.1434442445316</v>
      </c>
      <c r="AK145" s="382">
        <f>VLOOKUP(Y145, 'Pile Data and Eurocode Factors'!$A$34:$J$39,3, FALSE)</f>
        <v>2366.1761868507956</v>
      </c>
      <c r="AL145" s="403">
        <f t="shared" si="83"/>
        <v>2366.1761868507956</v>
      </c>
      <c r="AM145" s="419">
        <v>600</v>
      </c>
      <c r="AN145" s="382">
        <f>PI()*AM145/1000*( Pile!$C$26- Pile!$C145)</f>
        <v>9.0477868423385193</v>
      </c>
      <c r="AO145" s="382">
        <f t="shared" si="84"/>
        <v>0.28274333882308139</v>
      </c>
      <c r="AP145" s="382">
        <f t="shared" si="116"/>
        <v>2895.2917895483261</v>
      </c>
      <c r="AQ145" s="382">
        <f>AN145* Pile!$S$26</f>
        <v>2895.2917895483261</v>
      </c>
      <c r="AR145" s="382">
        <f t="shared" si="121"/>
        <v>2895.2917895483261</v>
      </c>
      <c r="AS145" s="382">
        <f>IF(AR145&gt;0,+AR145)/ 'Pile Data and Eurocode Factors'!$B$14/ 'Pile Data and Eurocode Factors'!$B$15+$AS$129</f>
        <v>6079.1231027603353</v>
      </c>
      <c r="AT145" s="382">
        <f t="shared" si="65"/>
        <v>282.74333882308139</v>
      </c>
      <c r="AU145" s="382">
        <f>AO145* Pile!$U$26</f>
        <v>0</v>
      </c>
      <c r="AV145" s="382">
        <f t="shared" si="85"/>
        <v>282.74333882308139</v>
      </c>
      <c r="AW145" s="382">
        <f>AV145/ 'Pile Data and Eurocode Factors'!$C$14/ 'Pile Data and Eurocode Factors'!$C$15</f>
        <v>100.97976386538622</v>
      </c>
      <c r="AX145" s="382">
        <f t="shared" si="86"/>
        <v>6180.1028666257216</v>
      </c>
      <c r="AY145" s="382">
        <f>VLOOKUP(AM145, 'Pile Data and Eurocode Factors'!$A$34:$J$39,3, FALSE)</f>
        <v>4206.5354432903041</v>
      </c>
      <c r="AZ145" s="403">
        <f t="shared" si="87"/>
        <v>4206.5354432903041</v>
      </c>
      <c r="BA145" s="419">
        <v>750</v>
      </c>
      <c r="BB145" s="382">
        <f>PI()*BA145/1000*( Pile!$C$26- Pile!$C145)</f>
        <v>11.309733552923149</v>
      </c>
      <c r="BC145" s="382">
        <f t="shared" si="88"/>
        <v>0.44178646691106466</v>
      </c>
      <c r="BD145" s="382">
        <f t="shared" si="117"/>
        <v>3619.1147369354076</v>
      </c>
      <c r="BE145" s="382">
        <f>BB145* Pile!$S$26</f>
        <v>3619.1147369354076</v>
      </c>
      <c r="BF145" s="382">
        <f t="shared" si="74"/>
        <v>3619.1147369354076</v>
      </c>
      <c r="BG145" s="382">
        <f>IF(BF145&gt;0,+BF145)/ 'Pile Data and Eurocode Factors'!$B$14/ 'Pile Data and Eurocode Factors'!$B$15+$BG$129</f>
        <v>7598.9038784504201</v>
      </c>
      <c r="BH145" s="382">
        <f t="shared" si="66"/>
        <v>441.78646691106468</v>
      </c>
      <c r="BI145" s="382">
        <f>BC145* Pile!$U$26</f>
        <v>0</v>
      </c>
      <c r="BJ145" s="382">
        <f t="shared" si="89"/>
        <v>441.78646691106468</v>
      </c>
      <c r="BK145" s="382">
        <f>BJ145/ 'Pile Data and Eurocode Factors'!$C$14/ 'Pile Data and Eurocode Factors'!$C$15</f>
        <v>157.78088103966596</v>
      </c>
      <c r="BL145" s="382">
        <f t="shared" si="90"/>
        <v>7756.6847594900864</v>
      </c>
      <c r="BM145" s="382">
        <f>VLOOKUP(BA145, 'Pile Data and Eurocode Factors'!$A$34:$J$39,3, FALSE)</f>
        <v>6572.7116301410997</v>
      </c>
      <c r="BN145" s="403">
        <f t="shared" si="91"/>
        <v>6572.7116301410997</v>
      </c>
      <c r="BO145" s="419">
        <v>900</v>
      </c>
      <c r="BP145" s="382">
        <f>PI()*BO145/1000*( Pile!$C$26- Pile!$C145)</f>
        <v>13.571680263507778</v>
      </c>
      <c r="BQ145" s="382">
        <f t="shared" si="92"/>
        <v>0.63617251235193317</v>
      </c>
      <c r="BR145" s="382">
        <f t="shared" si="118"/>
        <v>4342.9376843224891</v>
      </c>
      <c r="BS145" s="382">
        <f>BP145* Pile!$S$26</f>
        <v>4342.9376843224891</v>
      </c>
      <c r="BT145" s="382">
        <f t="shared" si="75"/>
        <v>4342.9376843224891</v>
      </c>
      <c r="BU145" s="382">
        <f>IF(BT145&gt;0,+BT145)/ 'Pile Data and Eurocode Factors'!$B$14/ 'Pile Data and Eurocode Factors'!$B$15+$BU$129</f>
        <v>9118.684654140503</v>
      </c>
      <c r="BV145" s="382">
        <f t="shared" si="67"/>
        <v>636.17251235193316</v>
      </c>
      <c r="BW145" s="382">
        <f>BQ145* Pile!$U$26</f>
        <v>0</v>
      </c>
      <c r="BX145" s="382">
        <f t="shared" si="93"/>
        <v>636.17251235193316</v>
      </c>
      <c r="BY145" s="382">
        <f>BX145/ 'Pile Data and Eurocode Factors'!$C$14/ 'Pile Data and Eurocode Factors'!$C$15</f>
        <v>227.20446869711901</v>
      </c>
      <c r="BZ145" s="382">
        <f t="shared" si="94"/>
        <v>9345.8891228376215</v>
      </c>
      <c r="CA145" s="382">
        <f>VLOOKUP(BO145, 'Pile Data and Eurocode Factors'!$A$34:$J$39,3, FALSE)</f>
        <v>9464.7047474031824</v>
      </c>
      <c r="CB145" s="403">
        <f t="shared" si="95"/>
        <v>9345.8891228376215</v>
      </c>
      <c r="CC145" s="419">
        <v>1050</v>
      </c>
      <c r="CD145" s="382">
        <f>PI()*CC145/1000*( Pile!$C$26- Pile!$C145)</f>
        <v>15.833626974092407</v>
      </c>
      <c r="CE145" s="382">
        <f t="shared" si="96"/>
        <v>0.86590147514568672</v>
      </c>
      <c r="CF145" s="382">
        <f t="shared" si="119"/>
        <v>5066.7606317095706</v>
      </c>
      <c r="CG145" s="382">
        <f>CD145* Pile!$S$26</f>
        <v>5066.7606317095706</v>
      </c>
      <c r="CH145" s="382">
        <f t="shared" si="76"/>
        <v>5066.7606317095706</v>
      </c>
      <c r="CI145" s="382">
        <f>IF(CH145&gt;0,+CH145)/ 'Pile Data and Eurocode Factors'!$B$14/ 'Pile Data and Eurocode Factors'!$B$15+$CI$129</f>
        <v>10638.465429830587</v>
      </c>
      <c r="CJ145" s="382">
        <f t="shared" si="69"/>
        <v>865.90147514568673</v>
      </c>
      <c r="CK145" s="382">
        <f>CE145* Pile!$U$26</f>
        <v>0</v>
      </c>
      <c r="CL145" s="382">
        <f t="shared" si="97"/>
        <v>865.90147514568673</v>
      </c>
      <c r="CM145" s="382">
        <f>CL145/ 'Pile Data and Eurocode Factors'!$C$14/ 'Pile Data and Eurocode Factors'!$C$15</f>
        <v>309.25052683774527</v>
      </c>
      <c r="CN145" s="382">
        <f t="shared" si="98"/>
        <v>10947.715956668331</v>
      </c>
      <c r="CO145" s="382">
        <f>VLOOKUP(CC145, 'Pile Data and Eurocode Factors'!$A$34:$J$39,3, FALSE)</f>
        <v>12882.514795076555</v>
      </c>
      <c r="CP145" s="403">
        <f t="shared" si="99"/>
        <v>10947.715956668331</v>
      </c>
      <c r="CQ145" s="419">
        <v>1200</v>
      </c>
      <c r="CR145" s="382">
        <f>PI()*CQ145/1000*( Pile!$C$26- Pile!$C145)</f>
        <v>18.095573684677039</v>
      </c>
      <c r="CS145" s="382">
        <f t="shared" si="100"/>
        <v>1.1309733552923256</v>
      </c>
      <c r="CT145" s="382">
        <f t="shared" si="120"/>
        <v>5790.5835790966521</v>
      </c>
      <c r="CU145" s="382">
        <f>CR145* Pile!$S$26</f>
        <v>5790.5835790966521</v>
      </c>
      <c r="CV145" s="382">
        <f t="shared" si="77"/>
        <v>5790.5835790966521</v>
      </c>
      <c r="CW145" s="382">
        <f>IF(CV145&gt;0,+CV145)/ 'Pile Data and Eurocode Factors'!$B$14/ 'Pile Data and Eurocode Factors'!$B$15+$CW$129</f>
        <v>12158.246205520671</v>
      </c>
      <c r="CX145" s="382">
        <f t="shared" si="71"/>
        <v>1130.9733552923256</v>
      </c>
      <c r="CY145" s="382">
        <f>CS145* Pile!$U$26</f>
        <v>0</v>
      </c>
      <c r="CZ145" s="382">
        <f t="shared" si="101"/>
        <v>1130.9733552923256</v>
      </c>
      <c r="DA145" s="382">
        <f>CZ145/ 'Pile Data and Eurocode Factors'!$C$14/ 'Pile Data and Eurocode Factors'!$C$15</f>
        <v>403.91905546154487</v>
      </c>
      <c r="DB145" s="382">
        <f t="shared" si="102"/>
        <v>12562.165260982216</v>
      </c>
      <c r="DC145" s="382">
        <f>VLOOKUP(CQ145, 'Pile Data and Eurocode Factors'!$A$34:$J$39,3, FALSE)</f>
        <v>16826.141773161216</v>
      </c>
      <c r="DD145" s="403">
        <f t="shared" si="103"/>
        <v>12562.165260982216</v>
      </c>
      <c r="DE145" s="420">
        <f xml:space="preserve"> Pile!$C$23- Pile!C145</f>
        <v>46.799999999999955</v>
      </c>
      <c r="DG145" s="382">
        <f t="shared" si="114"/>
        <v>2366.1761868507956</v>
      </c>
      <c r="DH145" s="382">
        <f t="shared" si="104"/>
        <v>4206.5354432903041</v>
      </c>
      <c r="DI145" s="382">
        <f t="shared" si="105"/>
        <v>6572.7116301410997</v>
      </c>
      <c r="DJ145" s="382">
        <f t="shared" si="106"/>
        <v>9345.8891228376215</v>
      </c>
      <c r="DK145" s="382">
        <f t="shared" si="107"/>
        <v>10947.715956668331</v>
      </c>
      <c r="DL145" s="382">
        <f t="shared" si="115"/>
        <v>12562.165260982216</v>
      </c>
    </row>
    <row r="146" spans="1:116" s="308" customFormat="1" ht="15">
      <c r="B146" s="400">
        <v>17</v>
      </c>
      <c r="C146" s="401">
        <f>+C145- Pile!D$26/20</f>
        <v>-41.099999999999952</v>
      </c>
      <c r="D146" s="415" t="str">
        <f>B26</f>
        <v>Medium Density Chalk</v>
      </c>
      <c r="E146" s="415" t="str">
        <f>F26</f>
        <v>Chalk</v>
      </c>
      <c r="F146" s="401">
        <f xml:space="preserve"> Pile!$E$26*(C145-C146)+F145</f>
        <v>898.18893749999893</v>
      </c>
      <c r="G146" s="401">
        <f>IF(C146&gt; Pile!$C$28,0,( Pile!$C$28-C146)*9.81)</f>
        <v>256.04099999999954</v>
      </c>
      <c r="H146" s="401">
        <f t="shared" si="78"/>
        <v>642.14793749999944</v>
      </c>
      <c r="I146" s="401">
        <f t="shared" si="73"/>
        <v>615.56896874999984</v>
      </c>
      <c r="J146" s="401">
        <f>IF(E146="Cohesive",(( Pile!$H$26- Pile!$G$26)/20)+J145,0)</f>
        <v>0</v>
      </c>
      <c r="K146" s="401">
        <f>IF(E146="Cohesive",( Pile!$G$26+ Pile!$J146)/2,0)</f>
        <v>0</v>
      </c>
      <c r="L146" s="401" t="str">
        <f>IF( Pile!I$26="",0, Pile!I$26)</f>
        <v>0</v>
      </c>
      <c r="M146" s="401" t="str">
        <f>IF( Pile!J$26="",0, Pile!J$26)</f>
        <v>0</v>
      </c>
      <c r="N146" s="401">
        <f>IF(E146="Granular", Pile!$K$26,0)</f>
        <v>0</v>
      </c>
      <c r="O146" s="416">
        <f>IF(AND(E146="Granular",D146&lt;&gt;"Made Ground"), Pile!$L$26,0)</f>
        <v>0</v>
      </c>
      <c r="P146" s="401">
        <f>IF(OR(D146="Low Density Chalk",D146="Medium Density Chalk"), Pile!$M$26,0)</f>
        <v>0.8</v>
      </c>
      <c r="Q146" s="417">
        <f>IF(D146="High Density Chalk", Pile!$N$26,0)</f>
        <v>0</v>
      </c>
      <c r="R146" s="401">
        <f>IF( Pile!O$26="",0, Pile!O$26)</f>
        <v>6000</v>
      </c>
      <c r="S146" s="418">
        <f t="shared" si="108"/>
        <v>492.45517499999988</v>
      </c>
      <c r="T146" s="382">
        <f xml:space="preserve"> Pile!$T$26</f>
        <v>320</v>
      </c>
      <c r="U146" s="382">
        <f t="shared" si="109"/>
        <v>320</v>
      </c>
      <c r="V146" s="382">
        <f t="shared" si="79"/>
        <v>6000</v>
      </c>
      <c r="W146" s="382">
        <f xml:space="preserve"> Pile!$V$26</f>
        <v>1000</v>
      </c>
      <c r="X146" s="382">
        <f t="shared" si="110"/>
        <v>1000</v>
      </c>
      <c r="Y146" s="419">
        <v>450</v>
      </c>
      <c r="Z146" s="382">
        <f>PI()*Y146/1000*( Pile!$C$26- Pile!$C146)</f>
        <v>7.2099551399885069</v>
      </c>
      <c r="AA146" s="382">
        <f t="shared" si="80"/>
        <v>0.15904312808798329</v>
      </c>
      <c r="AB146" s="382">
        <f t="shared" si="111"/>
        <v>2307.1856447963223</v>
      </c>
      <c r="AC146" s="382">
        <f>Z146* Pile!$S$26</f>
        <v>2307.1856447963223</v>
      </c>
      <c r="AD146" s="382">
        <f t="shared" si="112"/>
        <v>2307.1856447963223</v>
      </c>
      <c r="AE146" s="382">
        <f>IF(AD146&gt;0,+AD146)/ 'Pile Data and Eurocode Factors'!$B$14/ 'Pile Data and Eurocode Factors'!$B$15+$AE$129</f>
        <v>4619.9301853894822</v>
      </c>
      <c r="AF146" s="382">
        <f t="shared" si="113"/>
        <v>159.04312808798329</v>
      </c>
      <c r="AG146" s="382">
        <f>AA146* Pile!$U$26</f>
        <v>0</v>
      </c>
      <c r="AH146" s="382">
        <f t="shared" si="81"/>
        <v>159.04312808798329</v>
      </c>
      <c r="AI146" s="382">
        <f>AH146/ 'Pile Data and Eurocode Factors'!$C$14/ 'Pile Data and Eurocode Factors'!$C$15</f>
        <v>56.801117174279753</v>
      </c>
      <c r="AJ146" s="382">
        <f t="shared" si="82"/>
        <v>4676.7313025637623</v>
      </c>
      <c r="AK146" s="382">
        <f>VLOOKUP(Y146, 'Pile Data and Eurocode Factors'!$A$34:$J$39,3, FALSE)</f>
        <v>2366.1761868507956</v>
      </c>
      <c r="AL146" s="403">
        <f t="shared" si="83"/>
        <v>2366.1761868507956</v>
      </c>
      <c r="AM146" s="419">
        <v>600</v>
      </c>
      <c r="AN146" s="382">
        <f>PI()*AM146/1000*( Pile!$C$26- Pile!$C146)</f>
        <v>9.6132735199846753</v>
      </c>
      <c r="AO146" s="382">
        <f t="shared" si="84"/>
        <v>0.28274333882308139</v>
      </c>
      <c r="AP146" s="382">
        <f t="shared" si="116"/>
        <v>3076.247526395096</v>
      </c>
      <c r="AQ146" s="382">
        <f>AN146* Pile!$S$26</f>
        <v>3076.247526395096</v>
      </c>
      <c r="AR146" s="382">
        <f t="shared" si="121"/>
        <v>3076.247526395096</v>
      </c>
      <c r="AS146" s="382">
        <f>IF(AR146&gt;0,+AR146)/ 'Pile Data and Eurocode Factors'!$B$14/ 'Pile Data and Eurocode Factors'!$B$15+$AS$129</f>
        <v>6159.9069138526429</v>
      </c>
      <c r="AT146" s="382">
        <f t="shared" si="65"/>
        <v>282.74333882308139</v>
      </c>
      <c r="AU146" s="382">
        <f>AO146* Pile!$U$26</f>
        <v>0</v>
      </c>
      <c r="AV146" s="382">
        <f t="shared" si="85"/>
        <v>282.74333882308139</v>
      </c>
      <c r="AW146" s="382">
        <f>AV146/ 'Pile Data and Eurocode Factors'!$C$14/ 'Pile Data and Eurocode Factors'!$C$15</f>
        <v>100.97976386538622</v>
      </c>
      <c r="AX146" s="382">
        <f t="shared" si="86"/>
        <v>6260.8866777180292</v>
      </c>
      <c r="AY146" s="382">
        <f>VLOOKUP(AM146, 'Pile Data and Eurocode Factors'!$A$34:$J$39,3, FALSE)</f>
        <v>4206.5354432903041</v>
      </c>
      <c r="AZ146" s="403">
        <f t="shared" si="87"/>
        <v>4206.5354432903041</v>
      </c>
      <c r="BA146" s="419">
        <v>750</v>
      </c>
      <c r="BB146" s="382">
        <f>PI()*BA146/1000*( Pile!$C$26- Pile!$C146)</f>
        <v>12.016591899980845</v>
      </c>
      <c r="BC146" s="382">
        <f t="shared" si="88"/>
        <v>0.44178646691106466</v>
      </c>
      <c r="BD146" s="382">
        <f t="shared" si="117"/>
        <v>3845.3094079938705</v>
      </c>
      <c r="BE146" s="382">
        <f>BB146* Pile!$S$26</f>
        <v>3845.3094079938705</v>
      </c>
      <c r="BF146" s="382">
        <f t="shared" si="74"/>
        <v>3845.3094079938705</v>
      </c>
      <c r="BG146" s="382">
        <f>IF(BF146&gt;0,+BF146)/ 'Pile Data and Eurocode Factors'!$B$14/ 'Pile Data and Eurocode Factors'!$B$15+$BG$129</f>
        <v>7699.8836423158045</v>
      </c>
      <c r="BH146" s="382">
        <f t="shared" si="66"/>
        <v>441.78646691106468</v>
      </c>
      <c r="BI146" s="382">
        <f>BC146* Pile!$U$26</f>
        <v>0</v>
      </c>
      <c r="BJ146" s="382">
        <f t="shared" si="89"/>
        <v>441.78646691106468</v>
      </c>
      <c r="BK146" s="382">
        <f>BJ146/ 'Pile Data and Eurocode Factors'!$C$14/ 'Pile Data and Eurocode Factors'!$C$15</f>
        <v>157.78088103966596</v>
      </c>
      <c r="BL146" s="382">
        <f t="shared" si="90"/>
        <v>7857.6645233554709</v>
      </c>
      <c r="BM146" s="382">
        <f>VLOOKUP(BA146, 'Pile Data and Eurocode Factors'!$A$34:$J$39,3, FALSE)</f>
        <v>6572.7116301410997</v>
      </c>
      <c r="BN146" s="403">
        <f t="shared" si="91"/>
        <v>6572.7116301410997</v>
      </c>
      <c r="BO146" s="419">
        <v>900</v>
      </c>
      <c r="BP146" s="382">
        <f>PI()*BO146/1000*( Pile!$C$26- Pile!$C146)</f>
        <v>14.419910279977014</v>
      </c>
      <c r="BQ146" s="382">
        <f t="shared" si="92"/>
        <v>0.63617251235193317</v>
      </c>
      <c r="BR146" s="382">
        <f t="shared" si="118"/>
        <v>4614.3712895926446</v>
      </c>
      <c r="BS146" s="382">
        <f>BP146* Pile!$S$26</f>
        <v>4614.3712895926446</v>
      </c>
      <c r="BT146" s="382">
        <f t="shared" si="75"/>
        <v>4614.3712895926446</v>
      </c>
      <c r="BU146" s="382">
        <f>IF(BT146&gt;0,+BT146)/ 'Pile Data and Eurocode Factors'!$B$14/ 'Pile Data and Eurocode Factors'!$B$15+$BU$129</f>
        <v>9239.8603707789644</v>
      </c>
      <c r="BV146" s="382">
        <f t="shared" si="67"/>
        <v>636.17251235193316</v>
      </c>
      <c r="BW146" s="382">
        <f>BQ146* Pile!$U$26</f>
        <v>0</v>
      </c>
      <c r="BX146" s="382">
        <f t="shared" si="93"/>
        <v>636.17251235193316</v>
      </c>
      <c r="BY146" s="382">
        <f>BX146/ 'Pile Data and Eurocode Factors'!$C$14/ 'Pile Data and Eurocode Factors'!$C$15</f>
        <v>227.20446869711901</v>
      </c>
      <c r="BZ146" s="382">
        <f t="shared" si="94"/>
        <v>9467.0648394760829</v>
      </c>
      <c r="CA146" s="382">
        <f>VLOOKUP(BO146, 'Pile Data and Eurocode Factors'!$A$34:$J$39,3, FALSE)</f>
        <v>9464.7047474031824</v>
      </c>
      <c r="CB146" s="403">
        <f t="shared" si="95"/>
        <v>9464.7047474031824</v>
      </c>
      <c r="CC146" s="419">
        <v>1050</v>
      </c>
      <c r="CD146" s="382">
        <f>PI()*CC146/1000*( Pile!$C$26- Pile!$C146)</f>
        <v>16.823228659973182</v>
      </c>
      <c r="CE146" s="382">
        <f t="shared" si="96"/>
        <v>0.86590147514568672</v>
      </c>
      <c r="CF146" s="382">
        <f t="shared" si="119"/>
        <v>5383.4331711914183</v>
      </c>
      <c r="CG146" s="382">
        <f>CD146* Pile!$S$26</f>
        <v>5383.4331711914183</v>
      </c>
      <c r="CH146" s="382">
        <f t="shared" si="76"/>
        <v>5383.4331711914183</v>
      </c>
      <c r="CI146" s="382">
        <f>IF(CH146&gt;0,+CH146)/ 'Pile Data and Eurocode Factors'!$B$14/ 'Pile Data and Eurocode Factors'!$B$15+$CI$129</f>
        <v>10779.837099242126</v>
      </c>
      <c r="CJ146" s="382">
        <f t="shared" si="69"/>
        <v>865.90147514568673</v>
      </c>
      <c r="CK146" s="382">
        <f>CE146* Pile!$U$26</f>
        <v>0</v>
      </c>
      <c r="CL146" s="382">
        <f t="shared" si="97"/>
        <v>865.90147514568673</v>
      </c>
      <c r="CM146" s="382">
        <f>CL146/ 'Pile Data and Eurocode Factors'!$C$14/ 'Pile Data and Eurocode Factors'!$C$15</f>
        <v>309.25052683774527</v>
      </c>
      <c r="CN146" s="382">
        <f t="shared" si="98"/>
        <v>11089.08762607987</v>
      </c>
      <c r="CO146" s="382">
        <f>VLOOKUP(CC146, 'Pile Data and Eurocode Factors'!$A$34:$J$39,3, FALSE)</f>
        <v>12882.514795076555</v>
      </c>
      <c r="CP146" s="403">
        <f t="shared" si="99"/>
        <v>11089.08762607987</v>
      </c>
      <c r="CQ146" s="419">
        <v>1200</v>
      </c>
      <c r="CR146" s="382">
        <f>PI()*CQ146/1000*( Pile!$C$26- Pile!$C146)</f>
        <v>19.226547039969351</v>
      </c>
      <c r="CS146" s="382">
        <f t="shared" si="100"/>
        <v>1.1309733552923256</v>
      </c>
      <c r="CT146" s="382">
        <f t="shared" si="120"/>
        <v>6152.4950527901919</v>
      </c>
      <c r="CU146" s="382">
        <f>CR146* Pile!$S$26</f>
        <v>6152.4950527901919</v>
      </c>
      <c r="CV146" s="382">
        <f t="shared" si="77"/>
        <v>6152.4950527901919</v>
      </c>
      <c r="CW146" s="382">
        <f>IF(CV146&gt;0,+CV146)/ 'Pile Data and Eurocode Factors'!$B$14/ 'Pile Data and Eurocode Factors'!$B$15+$CW$129</f>
        <v>12319.813827705286</v>
      </c>
      <c r="CX146" s="382">
        <f t="shared" si="71"/>
        <v>1130.9733552923256</v>
      </c>
      <c r="CY146" s="382">
        <f>CS146* Pile!$U$26</f>
        <v>0</v>
      </c>
      <c r="CZ146" s="382">
        <f t="shared" si="101"/>
        <v>1130.9733552923256</v>
      </c>
      <c r="DA146" s="382">
        <f>CZ146/ 'Pile Data and Eurocode Factors'!$C$14/ 'Pile Data and Eurocode Factors'!$C$15</f>
        <v>403.91905546154487</v>
      </c>
      <c r="DB146" s="382">
        <f t="shared" si="102"/>
        <v>12723.732883166831</v>
      </c>
      <c r="DC146" s="382">
        <f>VLOOKUP(CQ146, 'Pile Data and Eurocode Factors'!$A$34:$J$39,3, FALSE)</f>
        <v>16826.141773161216</v>
      </c>
      <c r="DD146" s="403">
        <f t="shared" si="103"/>
        <v>12723.732883166831</v>
      </c>
      <c r="DE146" s="420">
        <f xml:space="preserve"> Pile!$C$23- Pile!C146</f>
        <v>47.099999999999952</v>
      </c>
      <c r="DG146" s="382">
        <f t="shared" si="114"/>
        <v>2366.1761868507956</v>
      </c>
      <c r="DH146" s="382">
        <f t="shared" si="104"/>
        <v>4206.5354432903041</v>
      </c>
      <c r="DI146" s="382">
        <f t="shared" si="105"/>
        <v>6572.7116301410997</v>
      </c>
      <c r="DJ146" s="382">
        <f t="shared" si="106"/>
        <v>9464.7047474031824</v>
      </c>
      <c r="DK146" s="382">
        <f t="shared" si="107"/>
        <v>11089.08762607987</v>
      </c>
      <c r="DL146" s="382">
        <f t="shared" si="115"/>
        <v>12723.732883166831</v>
      </c>
    </row>
    <row r="147" spans="1:116" s="308" customFormat="1" ht="15">
      <c r="B147" s="400">
        <v>18</v>
      </c>
      <c r="C147" s="401">
        <f>+C146- Pile!D$26/20</f>
        <v>-41.399999999999949</v>
      </c>
      <c r="D147" s="415" t="str">
        <f>B26</f>
        <v>Medium Density Chalk</v>
      </c>
      <c r="E147" s="415" t="str">
        <f>F26</f>
        <v>Chalk</v>
      </c>
      <c r="F147" s="401">
        <f xml:space="preserve"> Pile!$E$26*(C146-C147)+F146</f>
        <v>904.25887499999885</v>
      </c>
      <c r="G147" s="401">
        <f>IF(C147&gt; Pile!$C$28,0,( Pile!$C$28-C147)*9.81)</f>
        <v>258.98399999999953</v>
      </c>
      <c r="H147" s="401">
        <f t="shared" si="78"/>
        <v>645.27487499999938</v>
      </c>
      <c r="I147" s="401">
        <f t="shared" si="73"/>
        <v>617.13243749999981</v>
      </c>
      <c r="J147" s="401">
        <f>IF(E147="Cohesive",(( Pile!$H$26- Pile!$G$26)/20)+J146,0)</f>
        <v>0</v>
      </c>
      <c r="K147" s="401">
        <f>IF(E147="Cohesive",( Pile!$G$26+ Pile!$J147)/2,0)</f>
        <v>0</v>
      </c>
      <c r="L147" s="401" t="str">
        <f>IF( Pile!I$26="",0, Pile!I$26)</f>
        <v>0</v>
      </c>
      <c r="M147" s="401" t="str">
        <f>IF( Pile!J$26="",0, Pile!J$26)</f>
        <v>0</v>
      </c>
      <c r="N147" s="401">
        <f>IF(E147="Granular", Pile!$K$26,0)</f>
        <v>0</v>
      </c>
      <c r="O147" s="416">
        <f>IF(AND(E147="Granular",D147&lt;&gt;"Made Ground"), Pile!$L$26,0)</f>
        <v>0</v>
      </c>
      <c r="P147" s="401">
        <f>IF(OR(D147="Low Density Chalk",D147="Medium Density Chalk"), Pile!$M$26,0)</f>
        <v>0.8</v>
      </c>
      <c r="Q147" s="417">
        <f>IF(D147="High Density Chalk", Pile!$N$26,0)</f>
        <v>0</v>
      </c>
      <c r="R147" s="401">
        <f>IF( Pile!O$26="",0, Pile!O$26)</f>
        <v>6000</v>
      </c>
      <c r="S147" s="418">
        <f t="shared" si="108"/>
        <v>493.70594999999986</v>
      </c>
      <c r="T147" s="382">
        <f xml:space="preserve"> Pile!$T$26</f>
        <v>320</v>
      </c>
      <c r="U147" s="382">
        <f t="shared" si="109"/>
        <v>320</v>
      </c>
      <c r="V147" s="382">
        <f t="shared" si="79"/>
        <v>6000</v>
      </c>
      <c r="W147" s="382">
        <f xml:space="preserve"> Pile!$V$26</f>
        <v>1000</v>
      </c>
      <c r="X147" s="382">
        <f t="shared" si="110"/>
        <v>1000</v>
      </c>
      <c r="Y147" s="419">
        <v>450</v>
      </c>
      <c r="Z147" s="382">
        <f>PI()*Y147/1000*( Pile!$C$26- Pile!$C147)</f>
        <v>7.6340701482231248</v>
      </c>
      <c r="AA147" s="382">
        <f t="shared" si="80"/>
        <v>0.15904312808798329</v>
      </c>
      <c r="AB147" s="382">
        <f t="shared" si="111"/>
        <v>2442.9024474314001</v>
      </c>
      <c r="AC147" s="382">
        <f>Z147* Pile!$S$26</f>
        <v>2442.9024474314001</v>
      </c>
      <c r="AD147" s="382">
        <f t="shared" si="112"/>
        <v>2442.9024474314001</v>
      </c>
      <c r="AE147" s="382">
        <f>IF(AD147&gt;0,+AD147)/ 'Pile Data and Eurocode Factors'!$B$14/ 'Pile Data and Eurocode Factors'!$B$15+$AE$129</f>
        <v>4680.5180437087138</v>
      </c>
      <c r="AF147" s="382">
        <f t="shared" si="113"/>
        <v>159.04312808798329</v>
      </c>
      <c r="AG147" s="382">
        <f>AA147* Pile!$U$26</f>
        <v>0</v>
      </c>
      <c r="AH147" s="382">
        <f t="shared" si="81"/>
        <v>159.04312808798329</v>
      </c>
      <c r="AI147" s="382">
        <f>AH147/ 'Pile Data and Eurocode Factors'!$C$14/ 'Pile Data and Eurocode Factors'!$C$15</f>
        <v>56.801117174279753</v>
      </c>
      <c r="AJ147" s="382">
        <f t="shared" si="82"/>
        <v>4737.3191608829939</v>
      </c>
      <c r="AK147" s="382">
        <f>VLOOKUP(Y147, 'Pile Data and Eurocode Factors'!$A$34:$J$39,3, FALSE)</f>
        <v>2366.1761868507956</v>
      </c>
      <c r="AL147" s="403">
        <f t="shared" si="83"/>
        <v>2366.1761868507956</v>
      </c>
      <c r="AM147" s="419">
        <v>600</v>
      </c>
      <c r="AN147" s="382">
        <f>PI()*AM147/1000*( Pile!$C$26- Pile!$C147)</f>
        <v>10.178760197630833</v>
      </c>
      <c r="AO147" s="382">
        <f t="shared" si="84"/>
        <v>0.28274333882308139</v>
      </c>
      <c r="AP147" s="382">
        <f t="shared" si="116"/>
        <v>3257.2032632418668</v>
      </c>
      <c r="AQ147" s="382">
        <f>AN147* Pile!$S$26</f>
        <v>3257.2032632418668</v>
      </c>
      <c r="AR147" s="382">
        <f t="shared" si="121"/>
        <v>3257.2032632418668</v>
      </c>
      <c r="AS147" s="382">
        <f>IF(AR147&gt;0,+AR147)/ 'Pile Data and Eurocode Factors'!$B$14/ 'Pile Data and Eurocode Factors'!$B$15+$AS$129</f>
        <v>6240.6907249449514</v>
      </c>
      <c r="AT147" s="382">
        <f t="shared" si="65"/>
        <v>282.74333882308139</v>
      </c>
      <c r="AU147" s="382">
        <f>AO147* Pile!$U$26</f>
        <v>0</v>
      </c>
      <c r="AV147" s="382">
        <f t="shared" si="85"/>
        <v>282.74333882308139</v>
      </c>
      <c r="AW147" s="382">
        <f>AV147/ 'Pile Data and Eurocode Factors'!$C$14/ 'Pile Data and Eurocode Factors'!$C$15</f>
        <v>100.97976386538622</v>
      </c>
      <c r="AX147" s="382">
        <f t="shared" si="86"/>
        <v>6341.6704888103377</v>
      </c>
      <c r="AY147" s="382">
        <f>VLOOKUP(AM147, 'Pile Data and Eurocode Factors'!$A$34:$J$39,3, FALSE)</f>
        <v>4206.5354432903041</v>
      </c>
      <c r="AZ147" s="403">
        <f t="shared" si="87"/>
        <v>4206.5354432903041</v>
      </c>
      <c r="BA147" s="419">
        <v>750</v>
      </c>
      <c r="BB147" s="382">
        <f>PI()*BA147/1000*( Pile!$C$26- Pile!$C147)</f>
        <v>12.723450247038542</v>
      </c>
      <c r="BC147" s="382">
        <f t="shared" si="88"/>
        <v>0.44178646691106466</v>
      </c>
      <c r="BD147" s="382">
        <f t="shared" si="117"/>
        <v>4071.5040790523335</v>
      </c>
      <c r="BE147" s="382">
        <f>BB147* Pile!$S$26</f>
        <v>4071.5040790523335</v>
      </c>
      <c r="BF147" s="382">
        <f t="shared" si="74"/>
        <v>4071.5040790523335</v>
      </c>
      <c r="BG147" s="382">
        <f>IF(BF147&gt;0,+BF147)/ 'Pile Data and Eurocode Factors'!$B$14/ 'Pile Data and Eurocode Factors'!$B$15+$BG$129</f>
        <v>7800.8634061811899</v>
      </c>
      <c r="BH147" s="382">
        <f t="shared" si="66"/>
        <v>441.78646691106468</v>
      </c>
      <c r="BI147" s="382">
        <f>BC147* Pile!$U$26</f>
        <v>0</v>
      </c>
      <c r="BJ147" s="382">
        <f t="shared" si="89"/>
        <v>441.78646691106468</v>
      </c>
      <c r="BK147" s="382">
        <f>BJ147/ 'Pile Data and Eurocode Factors'!$C$14/ 'Pile Data and Eurocode Factors'!$C$15</f>
        <v>157.78088103966596</v>
      </c>
      <c r="BL147" s="382">
        <f t="shared" si="90"/>
        <v>7958.6442872208563</v>
      </c>
      <c r="BM147" s="382">
        <f>VLOOKUP(BA147, 'Pile Data and Eurocode Factors'!$A$34:$J$39,3, FALSE)</f>
        <v>6572.7116301410997</v>
      </c>
      <c r="BN147" s="403">
        <f t="shared" si="91"/>
        <v>6572.7116301410997</v>
      </c>
      <c r="BO147" s="419">
        <v>900</v>
      </c>
      <c r="BP147" s="382">
        <f>PI()*BO147/1000*( Pile!$C$26- Pile!$C147)</f>
        <v>15.26814029644625</v>
      </c>
      <c r="BQ147" s="382">
        <f t="shared" si="92"/>
        <v>0.63617251235193317</v>
      </c>
      <c r="BR147" s="382">
        <f t="shared" si="118"/>
        <v>4885.8048948628002</v>
      </c>
      <c r="BS147" s="382">
        <f>BP147* Pile!$S$26</f>
        <v>4885.8048948628002</v>
      </c>
      <c r="BT147" s="382">
        <f t="shared" si="75"/>
        <v>4885.8048948628002</v>
      </c>
      <c r="BU147" s="382">
        <f>IF(BT147&gt;0,+BT147)/ 'Pile Data and Eurocode Factors'!$B$14/ 'Pile Data and Eurocode Factors'!$B$15+$BU$129</f>
        <v>9361.0360874174276</v>
      </c>
      <c r="BV147" s="382">
        <f t="shared" si="67"/>
        <v>636.17251235193316</v>
      </c>
      <c r="BW147" s="382">
        <f>BQ147* Pile!$U$26</f>
        <v>0</v>
      </c>
      <c r="BX147" s="382">
        <f t="shared" si="93"/>
        <v>636.17251235193316</v>
      </c>
      <c r="BY147" s="382">
        <f>BX147/ 'Pile Data and Eurocode Factors'!$C$14/ 'Pile Data and Eurocode Factors'!$C$15</f>
        <v>227.20446869711901</v>
      </c>
      <c r="BZ147" s="382">
        <f t="shared" si="94"/>
        <v>9588.2405561145461</v>
      </c>
      <c r="CA147" s="382">
        <f>VLOOKUP(BO147, 'Pile Data and Eurocode Factors'!$A$34:$J$39,3, FALSE)</f>
        <v>9464.7047474031824</v>
      </c>
      <c r="CB147" s="403">
        <f t="shared" si="95"/>
        <v>9464.7047474031824</v>
      </c>
      <c r="CC147" s="419">
        <v>1050</v>
      </c>
      <c r="CD147" s="382">
        <f>PI()*CC147/1000*( Pile!$C$26- Pile!$C147)</f>
        <v>17.812830345853957</v>
      </c>
      <c r="CE147" s="382">
        <f t="shared" si="96"/>
        <v>0.86590147514568672</v>
      </c>
      <c r="CF147" s="382">
        <f t="shared" si="119"/>
        <v>5700.105710673266</v>
      </c>
      <c r="CG147" s="382">
        <f>CD147* Pile!$S$26</f>
        <v>5700.105710673266</v>
      </c>
      <c r="CH147" s="382">
        <f t="shared" si="76"/>
        <v>5700.105710673266</v>
      </c>
      <c r="CI147" s="382">
        <f>IF(CH147&gt;0,+CH147)/ 'Pile Data and Eurocode Factors'!$B$14/ 'Pile Data and Eurocode Factors'!$B$15+$CI$129</f>
        <v>10921.208768653665</v>
      </c>
      <c r="CJ147" s="382">
        <f t="shared" si="69"/>
        <v>865.90147514568673</v>
      </c>
      <c r="CK147" s="382">
        <f>CE147* Pile!$U$26</f>
        <v>0</v>
      </c>
      <c r="CL147" s="382">
        <f t="shared" si="97"/>
        <v>865.90147514568673</v>
      </c>
      <c r="CM147" s="382">
        <f>CL147/ 'Pile Data and Eurocode Factors'!$C$14/ 'Pile Data and Eurocode Factors'!$C$15</f>
        <v>309.25052683774527</v>
      </c>
      <c r="CN147" s="382">
        <f t="shared" si="98"/>
        <v>11230.45929549141</v>
      </c>
      <c r="CO147" s="382">
        <f>VLOOKUP(CC147, 'Pile Data and Eurocode Factors'!$A$34:$J$39,3, FALSE)</f>
        <v>12882.514795076555</v>
      </c>
      <c r="CP147" s="403">
        <f t="shared" si="99"/>
        <v>11230.45929549141</v>
      </c>
      <c r="CQ147" s="419">
        <v>1200</v>
      </c>
      <c r="CR147" s="382">
        <f>PI()*CQ147/1000*( Pile!$C$26- Pile!$C147)</f>
        <v>20.357520395261666</v>
      </c>
      <c r="CS147" s="382">
        <f t="shared" si="100"/>
        <v>1.1309733552923256</v>
      </c>
      <c r="CT147" s="382">
        <f t="shared" si="120"/>
        <v>6514.4065264837336</v>
      </c>
      <c r="CU147" s="382">
        <f>CR147* Pile!$S$26</f>
        <v>6514.4065264837336</v>
      </c>
      <c r="CV147" s="382">
        <f t="shared" si="77"/>
        <v>6514.4065264837336</v>
      </c>
      <c r="CW147" s="382">
        <f>IF(CV147&gt;0,+CV147)/ 'Pile Data and Eurocode Factors'!$B$14/ 'Pile Data and Eurocode Factors'!$B$15+$CW$129</f>
        <v>12481.381449889903</v>
      </c>
      <c r="CX147" s="382">
        <f t="shared" si="71"/>
        <v>1130.9733552923256</v>
      </c>
      <c r="CY147" s="382">
        <f>CS147* Pile!$U$26</f>
        <v>0</v>
      </c>
      <c r="CZ147" s="382">
        <f t="shared" si="101"/>
        <v>1130.9733552923256</v>
      </c>
      <c r="DA147" s="382">
        <f>CZ147/ 'Pile Data and Eurocode Factors'!$C$14/ 'Pile Data and Eurocode Factors'!$C$15</f>
        <v>403.91905546154487</v>
      </c>
      <c r="DB147" s="382">
        <f t="shared" si="102"/>
        <v>12885.300505351448</v>
      </c>
      <c r="DC147" s="382">
        <f>VLOOKUP(CQ147, 'Pile Data and Eurocode Factors'!$A$34:$J$39,3, FALSE)</f>
        <v>16826.141773161216</v>
      </c>
      <c r="DD147" s="403">
        <f t="shared" si="103"/>
        <v>12885.300505351448</v>
      </c>
      <c r="DE147" s="420">
        <f xml:space="preserve"> Pile!$C$23- Pile!C147</f>
        <v>47.399999999999949</v>
      </c>
      <c r="DG147" s="382">
        <f t="shared" si="114"/>
        <v>2366.1761868507956</v>
      </c>
      <c r="DH147" s="382">
        <f t="shared" si="104"/>
        <v>4206.5354432903041</v>
      </c>
      <c r="DI147" s="382">
        <f t="shared" si="105"/>
        <v>6572.7116301410997</v>
      </c>
      <c r="DJ147" s="382">
        <f t="shared" si="106"/>
        <v>9464.7047474031824</v>
      </c>
      <c r="DK147" s="382">
        <f t="shared" si="107"/>
        <v>11230.45929549141</v>
      </c>
      <c r="DL147" s="382">
        <f t="shared" si="115"/>
        <v>12885.300505351448</v>
      </c>
    </row>
    <row r="148" spans="1:116" s="308" customFormat="1" ht="15">
      <c r="B148" s="400">
        <v>19</v>
      </c>
      <c r="C148" s="401">
        <f>+C147- Pile!D$26/20</f>
        <v>-41.699999999999946</v>
      </c>
      <c r="D148" s="415" t="str">
        <f>B26</f>
        <v>Medium Density Chalk</v>
      </c>
      <c r="E148" s="415" t="str">
        <f>F26</f>
        <v>Chalk</v>
      </c>
      <c r="F148" s="401">
        <f xml:space="preserve"> Pile!$E$26*(C147-C148)+F147</f>
        <v>910.32881249999878</v>
      </c>
      <c r="G148" s="401">
        <f>IF(C148&gt; Pile!$C$28,0,( Pile!$C$28-C148)*9.81)</f>
        <v>261.92699999999951</v>
      </c>
      <c r="H148" s="401">
        <f t="shared" si="78"/>
        <v>648.40181249999932</v>
      </c>
      <c r="I148" s="401">
        <f t="shared" si="73"/>
        <v>618.69590624999978</v>
      </c>
      <c r="J148" s="401">
        <f>IF(E148="Cohesive",(( Pile!$H$26- Pile!$G$26)/20)+J147,0)</f>
        <v>0</v>
      </c>
      <c r="K148" s="401">
        <f>IF(E148="Cohesive",( Pile!$G$26+ Pile!$J148)/2,0)</f>
        <v>0</v>
      </c>
      <c r="L148" s="401" t="str">
        <f>IF( Pile!I$26="",0, Pile!I$26)</f>
        <v>0</v>
      </c>
      <c r="M148" s="401" t="str">
        <f>IF( Pile!J$26="",0, Pile!J$26)</f>
        <v>0</v>
      </c>
      <c r="N148" s="401">
        <f>IF(E148="Granular", Pile!$K$26,0)</f>
        <v>0</v>
      </c>
      <c r="O148" s="416">
        <f>IF(AND(E148="Granular",D148&lt;&gt;"Made Ground"), Pile!$L$26,0)</f>
        <v>0</v>
      </c>
      <c r="P148" s="401">
        <f>IF(OR(D148="Low Density Chalk",D148="Medium Density Chalk"), Pile!$M$26,0)</f>
        <v>0.8</v>
      </c>
      <c r="Q148" s="417">
        <f>IF(D148="High Density Chalk", Pile!$N$26,0)</f>
        <v>0</v>
      </c>
      <c r="R148" s="401">
        <f>IF( Pile!O$26="",0, Pile!O$26)</f>
        <v>6000</v>
      </c>
      <c r="S148" s="418">
        <f t="shared" si="108"/>
        <v>494.95672499999984</v>
      </c>
      <c r="T148" s="382">
        <f xml:space="preserve"> Pile!$T$26</f>
        <v>320</v>
      </c>
      <c r="U148" s="382">
        <f t="shared" si="109"/>
        <v>320</v>
      </c>
      <c r="V148" s="382">
        <f t="shared" si="79"/>
        <v>6000</v>
      </c>
      <c r="W148" s="382">
        <f xml:space="preserve"> Pile!$V$26</f>
        <v>1000</v>
      </c>
      <c r="X148" s="382">
        <f t="shared" si="110"/>
        <v>1000</v>
      </c>
      <c r="Y148" s="419">
        <v>450</v>
      </c>
      <c r="Z148" s="382">
        <f>PI()*Y148/1000*( Pile!$C$26- Pile!$C148)</f>
        <v>8.0581851564577427</v>
      </c>
      <c r="AA148" s="382">
        <f t="shared" si="80"/>
        <v>0.15904312808798329</v>
      </c>
      <c r="AB148" s="382">
        <f t="shared" si="111"/>
        <v>2578.6192500664774</v>
      </c>
      <c r="AC148" s="382">
        <f>Z148* Pile!$S$26</f>
        <v>2578.6192500664774</v>
      </c>
      <c r="AD148" s="382">
        <f t="shared" si="112"/>
        <v>2578.6192500664774</v>
      </c>
      <c r="AE148" s="382">
        <f>IF(AD148&gt;0,+AD148)/ 'Pile Data and Eurocode Factors'!$B$14/ 'Pile Data and Eurocode Factors'!$B$15+$AE$129</f>
        <v>4741.1059020279445</v>
      </c>
      <c r="AF148" s="382">
        <f t="shared" si="113"/>
        <v>159.04312808798329</v>
      </c>
      <c r="AG148" s="382">
        <f>AA148* Pile!$U$26</f>
        <v>0</v>
      </c>
      <c r="AH148" s="382">
        <f t="shared" si="81"/>
        <v>159.04312808798329</v>
      </c>
      <c r="AI148" s="382">
        <f>AH148/ 'Pile Data and Eurocode Factors'!$C$14/ 'Pile Data and Eurocode Factors'!$C$15</f>
        <v>56.801117174279753</v>
      </c>
      <c r="AJ148" s="382">
        <f t="shared" si="82"/>
        <v>4797.9070192022245</v>
      </c>
      <c r="AK148" s="382">
        <f>VLOOKUP(Y148, 'Pile Data and Eurocode Factors'!$A$34:$J$39,3, FALSE)</f>
        <v>2366.1761868507956</v>
      </c>
      <c r="AL148" s="403">
        <f t="shared" si="83"/>
        <v>2366.1761868507956</v>
      </c>
      <c r="AM148" s="419">
        <v>600</v>
      </c>
      <c r="AN148" s="382">
        <f>PI()*AM148/1000*( Pile!$C$26- Pile!$C148)</f>
        <v>10.744246875276991</v>
      </c>
      <c r="AO148" s="382">
        <f t="shared" si="84"/>
        <v>0.28274333882308139</v>
      </c>
      <c r="AP148" s="382">
        <f t="shared" si="116"/>
        <v>3438.1590000886372</v>
      </c>
      <c r="AQ148" s="382">
        <f>AN148* Pile!$S$26</f>
        <v>3438.1590000886372</v>
      </c>
      <c r="AR148" s="382">
        <f t="shared" si="121"/>
        <v>3438.1590000886372</v>
      </c>
      <c r="AS148" s="382">
        <f>IF(AR148&gt;0,+AR148)/ 'Pile Data and Eurocode Factors'!$B$14/ 'Pile Data and Eurocode Factors'!$B$15+$AS$129</f>
        <v>6321.4745360372599</v>
      </c>
      <c r="AT148" s="382">
        <f t="shared" si="65"/>
        <v>282.74333882308139</v>
      </c>
      <c r="AU148" s="382">
        <f>AO148* Pile!$U$26</f>
        <v>0</v>
      </c>
      <c r="AV148" s="382">
        <f t="shared" si="85"/>
        <v>282.74333882308139</v>
      </c>
      <c r="AW148" s="382">
        <f>AV148/ 'Pile Data and Eurocode Factors'!$C$14/ 'Pile Data and Eurocode Factors'!$C$15</f>
        <v>100.97976386538622</v>
      </c>
      <c r="AX148" s="382">
        <f t="shared" si="86"/>
        <v>6422.4542999026462</v>
      </c>
      <c r="AY148" s="382">
        <f>VLOOKUP(AM148, 'Pile Data and Eurocode Factors'!$A$34:$J$39,3, FALSE)</f>
        <v>4206.5354432903041</v>
      </c>
      <c r="AZ148" s="403">
        <f t="shared" si="87"/>
        <v>4206.5354432903041</v>
      </c>
      <c r="BA148" s="419">
        <v>750</v>
      </c>
      <c r="BB148" s="382">
        <f>PI()*BA148/1000*( Pile!$C$26- Pile!$C148)</f>
        <v>13.430308594096239</v>
      </c>
      <c r="BC148" s="382">
        <f t="shared" si="88"/>
        <v>0.44178646691106466</v>
      </c>
      <c r="BD148" s="382">
        <f t="shared" si="117"/>
        <v>4297.698750110796</v>
      </c>
      <c r="BE148" s="382">
        <f>BB148* Pile!$S$26</f>
        <v>4297.698750110796</v>
      </c>
      <c r="BF148" s="382">
        <f t="shared" si="74"/>
        <v>4297.698750110796</v>
      </c>
      <c r="BG148" s="382">
        <f>IF(BF148&gt;0,+BF148)/ 'Pile Data and Eurocode Factors'!$B$14/ 'Pile Data and Eurocode Factors'!$B$15+$BG$129</f>
        <v>7901.8431700465753</v>
      </c>
      <c r="BH148" s="382">
        <f t="shared" si="66"/>
        <v>441.78646691106468</v>
      </c>
      <c r="BI148" s="382">
        <f>BC148* Pile!$U$26</f>
        <v>0</v>
      </c>
      <c r="BJ148" s="382">
        <f t="shared" si="89"/>
        <v>441.78646691106468</v>
      </c>
      <c r="BK148" s="382">
        <f>BJ148/ 'Pile Data and Eurocode Factors'!$C$14/ 'Pile Data and Eurocode Factors'!$C$15</f>
        <v>157.78088103966596</v>
      </c>
      <c r="BL148" s="382">
        <f t="shared" si="90"/>
        <v>8059.6240510862417</v>
      </c>
      <c r="BM148" s="382">
        <f>VLOOKUP(BA148, 'Pile Data and Eurocode Factors'!$A$34:$J$39,3, FALSE)</f>
        <v>6572.7116301410997</v>
      </c>
      <c r="BN148" s="403">
        <f t="shared" si="91"/>
        <v>6572.7116301410997</v>
      </c>
      <c r="BO148" s="419">
        <v>900</v>
      </c>
      <c r="BP148" s="382">
        <f>PI()*BO148/1000*( Pile!$C$26- Pile!$C148)</f>
        <v>16.116370312915485</v>
      </c>
      <c r="BQ148" s="382">
        <f t="shared" si="92"/>
        <v>0.63617251235193317</v>
      </c>
      <c r="BR148" s="382">
        <f t="shared" si="118"/>
        <v>5157.2385001329549</v>
      </c>
      <c r="BS148" s="382">
        <f>BP148* Pile!$S$26</f>
        <v>5157.2385001329549</v>
      </c>
      <c r="BT148" s="382">
        <f t="shared" si="75"/>
        <v>5157.2385001329549</v>
      </c>
      <c r="BU148" s="382">
        <f>IF(BT148&gt;0,+BT148)/ 'Pile Data and Eurocode Factors'!$B$14/ 'Pile Data and Eurocode Factors'!$B$15+$BU$129</f>
        <v>9482.2118040558889</v>
      </c>
      <c r="BV148" s="382">
        <f t="shared" si="67"/>
        <v>636.17251235193316</v>
      </c>
      <c r="BW148" s="382">
        <f>BQ148* Pile!$U$26</f>
        <v>0</v>
      </c>
      <c r="BX148" s="382">
        <f t="shared" si="93"/>
        <v>636.17251235193316</v>
      </c>
      <c r="BY148" s="382">
        <f>BX148/ 'Pile Data and Eurocode Factors'!$C$14/ 'Pile Data and Eurocode Factors'!$C$15</f>
        <v>227.20446869711901</v>
      </c>
      <c r="BZ148" s="382">
        <f t="shared" si="94"/>
        <v>9709.4162727530074</v>
      </c>
      <c r="CA148" s="382">
        <f>VLOOKUP(BO148, 'Pile Data and Eurocode Factors'!$A$34:$J$39,3, FALSE)</f>
        <v>9464.7047474031824</v>
      </c>
      <c r="CB148" s="403">
        <f t="shared" si="95"/>
        <v>9464.7047474031824</v>
      </c>
      <c r="CC148" s="419">
        <v>1050</v>
      </c>
      <c r="CD148" s="382">
        <f>PI()*CC148/1000*( Pile!$C$26- Pile!$C148)</f>
        <v>18.802432031734735</v>
      </c>
      <c r="CE148" s="382">
        <f t="shared" si="96"/>
        <v>0.86590147514568672</v>
      </c>
      <c r="CF148" s="382">
        <f t="shared" si="119"/>
        <v>6016.7782501551155</v>
      </c>
      <c r="CG148" s="382">
        <f>CD148* Pile!$S$26</f>
        <v>6016.7782501551155</v>
      </c>
      <c r="CH148" s="382">
        <f t="shared" si="76"/>
        <v>6016.7782501551155</v>
      </c>
      <c r="CI148" s="382">
        <f>IF(CH148&gt;0,+CH148)/ 'Pile Data and Eurocode Factors'!$B$14/ 'Pile Data and Eurocode Factors'!$B$15+$CI$129</f>
        <v>11062.580438065206</v>
      </c>
      <c r="CJ148" s="382">
        <f t="shared" si="69"/>
        <v>865.90147514568673</v>
      </c>
      <c r="CK148" s="382">
        <f>CE148* Pile!$U$26</f>
        <v>0</v>
      </c>
      <c r="CL148" s="382">
        <f t="shared" si="97"/>
        <v>865.90147514568673</v>
      </c>
      <c r="CM148" s="382">
        <f>CL148/ 'Pile Data and Eurocode Factors'!$C$14/ 'Pile Data and Eurocode Factors'!$C$15</f>
        <v>309.25052683774527</v>
      </c>
      <c r="CN148" s="382">
        <f t="shared" si="98"/>
        <v>11371.830964902951</v>
      </c>
      <c r="CO148" s="382">
        <f>VLOOKUP(CC148, 'Pile Data and Eurocode Factors'!$A$34:$J$39,3, FALSE)</f>
        <v>12882.514795076555</v>
      </c>
      <c r="CP148" s="403">
        <f t="shared" si="99"/>
        <v>11371.830964902951</v>
      </c>
      <c r="CQ148" s="419">
        <v>1200</v>
      </c>
      <c r="CR148" s="382">
        <f>PI()*CQ148/1000*( Pile!$C$26- Pile!$C148)</f>
        <v>21.488493750553982</v>
      </c>
      <c r="CS148" s="382">
        <f t="shared" si="100"/>
        <v>1.1309733552923256</v>
      </c>
      <c r="CT148" s="382">
        <f t="shared" si="120"/>
        <v>6876.3180001772744</v>
      </c>
      <c r="CU148" s="382">
        <f>CR148* Pile!$S$26</f>
        <v>6876.3180001772744</v>
      </c>
      <c r="CV148" s="382">
        <f t="shared" si="77"/>
        <v>6876.3180001772744</v>
      </c>
      <c r="CW148" s="382">
        <f>IF(CV148&gt;0,+CV148)/ 'Pile Data and Eurocode Factors'!$B$14/ 'Pile Data and Eurocode Factors'!$B$15+$CW$129</f>
        <v>12642.94907207452</v>
      </c>
      <c r="CX148" s="382">
        <f t="shared" si="71"/>
        <v>1130.9733552923256</v>
      </c>
      <c r="CY148" s="382">
        <f>CS148* Pile!$U$26</f>
        <v>0</v>
      </c>
      <c r="CZ148" s="382">
        <f t="shared" si="101"/>
        <v>1130.9733552923256</v>
      </c>
      <c r="DA148" s="382">
        <f>CZ148/ 'Pile Data and Eurocode Factors'!$C$14/ 'Pile Data and Eurocode Factors'!$C$15</f>
        <v>403.91905546154487</v>
      </c>
      <c r="DB148" s="382">
        <f t="shared" si="102"/>
        <v>13046.868127536065</v>
      </c>
      <c r="DC148" s="382">
        <f>VLOOKUP(CQ148, 'Pile Data and Eurocode Factors'!$A$34:$J$39,3, FALSE)</f>
        <v>16826.141773161216</v>
      </c>
      <c r="DD148" s="403">
        <f t="shared" si="103"/>
        <v>13046.868127536065</v>
      </c>
      <c r="DE148" s="420">
        <f xml:space="preserve"> Pile!$C$23- Pile!C148</f>
        <v>47.699999999999946</v>
      </c>
      <c r="DG148" s="382">
        <f t="shared" si="114"/>
        <v>2366.1761868507956</v>
      </c>
      <c r="DH148" s="382">
        <f t="shared" si="104"/>
        <v>4206.5354432903041</v>
      </c>
      <c r="DI148" s="382">
        <f t="shared" si="105"/>
        <v>6572.7116301410997</v>
      </c>
      <c r="DJ148" s="382">
        <f t="shared" si="106"/>
        <v>9464.7047474031824</v>
      </c>
      <c r="DK148" s="382">
        <f t="shared" si="107"/>
        <v>11371.830964902951</v>
      </c>
      <c r="DL148" s="382">
        <f t="shared" si="115"/>
        <v>13046.868127536065</v>
      </c>
    </row>
    <row r="149" spans="1:116" s="308" customFormat="1" ht="15.75" thickBot="1">
      <c r="B149" s="400">
        <v>20</v>
      </c>
      <c r="C149" s="401">
        <f>+C148- Pile!D$26/20</f>
        <v>-41.999999999999943</v>
      </c>
      <c r="D149" s="415" t="str">
        <f>B26</f>
        <v>Medium Density Chalk</v>
      </c>
      <c r="E149" s="415" t="str">
        <f>F26</f>
        <v>Chalk</v>
      </c>
      <c r="F149" s="401">
        <f xml:space="preserve"> Pile!$E$26*(C148-C149)+F148</f>
        <v>916.3987499999987</v>
      </c>
      <c r="G149" s="401">
        <f>IF(C149&gt; Pile!$C$28,0,( Pile!$C$28-C149)*9.81)</f>
        <v>264.86999999999944</v>
      </c>
      <c r="H149" s="401">
        <f t="shared" si="78"/>
        <v>651.52874999999926</v>
      </c>
      <c r="I149" s="401">
        <f t="shared" si="73"/>
        <v>620.25937499999975</v>
      </c>
      <c r="J149" s="401">
        <f>IF(E149="Cohesive",(( Pile!$H$26- Pile!$G$26)/20)+J148,0)</f>
        <v>0</v>
      </c>
      <c r="K149" s="401">
        <f>IF(E149="Cohesive",( Pile!$G$26+ Pile!$J149)/2,0)</f>
        <v>0</v>
      </c>
      <c r="L149" s="401" t="str">
        <f>IF( Pile!I$26="",0, Pile!I$26)</f>
        <v>0</v>
      </c>
      <c r="M149" s="401" t="str">
        <f>IF( Pile!J$26="",0, Pile!J$26)</f>
        <v>0</v>
      </c>
      <c r="N149" s="401">
        <f>IF(E149="Granular", Pile!$K$26,0)</f>
        <v>0</v>
      </c>
      <c r="O149" s="416">
        <f>IF(AND(E149="Granular",D149&lt;&gt;"Made Ground"), Pile!$L$26,0)</f>
        <v>0</v>
      </c>
      <c r="P149" s="401">
        <f>IF(OR(D149="Low Density Chalk",D149="Medium Density Chalk"), Pile!$M$26,0)</f>
        <v>0.8</v>
      </c>
      <c r="Q149" s="417">
        <f>IF(D149="High Density Chalk", Pile!$N$26,0)</f>
        <v>0</v>
      </c>
      <c r="R149" s="401">
        <f>IF( Pile!O$26="",0, Pile!O$26)</f>
        <v>6000</v>
      </c>
      <c r="S149" s="418">
        <f t="shared" si="108"/>
        <v>496.20749999999981</v>
      </c>
      <c r="T149" s="382">
        <f xml:space="preserve"> Pile!$T$26</f>
        <v>320</v>
      </c>
      <c r="U149" s="382">
        <f t="shared" si="109"/>
        <v>320</v>
      </c>
      <c r="V149" s="382">
        <f t="shared" si="79"/>
        <v>6000</v>
      </c>
      <c r="W149" s="382">
        <f xml:space="preserve"> Pile!$V$26</f>
        <v>1000</v>
      </c>
      <c r="X149" s="382">
        <f t="shared" si="110"/>
        <v>1000</v>
      </c>
      <c r="Y149" s="422">
        <v>450</v>
      </c>
      <c r="Z149" s="423">
        <f>PI()*Y149/1000*( Pile!$C$26- Pile!$C149)</f>
        <v>8.4823001646923615</v>
      </c>
      <c r="AA149" s="423">
        <f t="shared" si="80"/>
        <v>0.15904312808798329</v>
      </c>
      <c r="AB149" s="423">
        <f t="shared" si="111"/>
        <v>2714.3360527015557</v>
      </c>
      <c r="AC149" s="423">
        <f>Z149* Pile!$S$26</f>
        <v>2714.3360527015557</v>
      </c>
      <c r="AD149" s="423">
        <f t="shared" si="112"/>
        <v>2714.3360527015557</v>
      </c>
      <c r="AE149" s="423">
        <f>IF(AD149&gt;0,+AD149)/ 'Pile Data and Eurocode Factors'!$B$14/ 'Pile Data and Eurocode Factors'!$B$15+$AE$129</f>
        <v>4801.6937603471761</v>
      </c>
      <c r="AF149" s="423">
        <f t="shared" si="113"/>
        <v>159.04312808798329</v>
      </c>
      <c r="AG149" s="423">
        <f>AA149* Pile!$U$26</f>
        <v>0</v>
      </c>
      <c r="AH149" s="423">
        <f t="shared" si="81"/>
        <v>159.04312808798329</v>
      </c>
      <c r="AI149" s="423">
        <f>AH149/ 'Pile Data and Eurocode Factors'!$C$14/ 'Pile Data and Eurocode Factors'!$C$15</f>
        <v>56.801117174279753</v>
      </c>
      <c r="AJ149" s="423">
        <f t="shared" si="82"/>
        <v>4858.4948775214561</v>
      </c>
      <c r="AK149" s="423">
        <f>VLOOKUP(Y149, 'Pile Data and Eurocode Factors'!$A$34:$J$39,3, FALSE)</f>
        <v>2366.1761868507956</v>
      </c>
      <c r="AL149" s="424">
        <f t="shared" si="83"/>
        <v>2366.1761868507956</v>
      </c>
      <c r="AM149" s="422">
        <v>600</v>
      </c>
      <c r="AN149" s="423">
        <f>PI()*AM149/1000*( Pile!$C$26- Pile!$C149)</f>
        <v>11.309733552923149</v>
      </c>
      <c r="AO149" s="423">
        <f>PI()*(AM149/2000)^2</f>
        <v>0.28274333882308139</v>
      </c>
      <c r="AP149" s="423">
        <f t="shared" si="116"/>
        <v>3619.1147369354076</v>
      </c>
      <c r="AQ149" s="423">
        <f>AN149* Pile!$S$26</f>
        <v>3619.1147369354076</v>
      </c>
      <c r="AR149" s="423">
        <f t="shared" si="121"/>
        <v>3619.1147369354076</v>
      </c>
      <c r="AS149" s="423">
        <f>IF(AR149&gt;0,+AR149)/ 'Pile Data and Eurocode Factors'!$B$14/ 'Pile Data and Eurocode Factors'!$B$15+$AS$129</f>
        <v>6402.2583471295684</v>
      </c>
      <c r="AT149" s="423">
        <f t="shared" si="65"/>
        <v>282.74333882308139</v>
      </c>
      <c r="AU149" s="423">
        <f>AO149* Pile!$U$26</f>
        <v>0</v>
      </c>
      <c r="AV149" s="423">
        <f t="shared" si="85"/>
        <v>282.74333882308139</v>
      </c>
      <c r="AW149" s="423">
        <f>AV149/ 'Pile Data and Eurocode Factors'!$C$14/ 'Pile Data and Eurocode Factors'!$C$15</f>
        <v>100.97976386538622</v>
      </c>
      <c r="AX149" s="423">
        <f t="shared" si="86"/>
        <v>6503.2381109949547</v>
      </c>
      <c r="AY149" s="423">
        <f>VLOOKUP(AM149, 'Pile Data and Eurocode Factors'!$A$34:$J$39,3, FALSE)</f>
        <v>4206.5354432903041</v>
      </c>
      <c r="AZ149" s="424">
        <f t="shared" si="87"/>
        <v>4206.5354432903041</v>
      </c>
      <c r="BA149" s="422">
        <v>750</v>
      </c>
      <c r="BB149" s="423">
        <f>PI()*BA149/1000*( Pile!$C$26- Pile!$C149)</f>
        <v>14.137166941153936</v>
      </c>
      <c r="BC149" s="423">
        <f>PI()*(BA149/2000)^2</f>
        <v>0.44178646691106466</v>
      </c>
      <c r="BD149" s="423">
        <f t="shared" si="117"/>
        <v>4523.8934211692595</v>
      </c>
      <c r="BE149" s="423">
        <f>BB149* Pile!$S$26</f>
        <v>4523.8934211692595</v>
      </c>
      <c r="BF149" s="423">
        <f t="shared" si="74"/>
        <v>4523.8934211692595</v>
      </c>
      <c r="BG149" s="423">
        <f>IF(BF149&gt;0,+BF149)/ 'Pile Data and Eurocode Factors'!$B$14/ 'Pile Data and Eurocode Factors'!$B$15+$BG$129</f>
        <v>8002.8229339119607</v>
      </c>
      <c r="BH149" s="423">
        <f t="shared" si="66"/>
        <v>441.78646691106468</v>
      </c>
      <c r="BI149" s="423">
        <f>BC149* Pile!$U$26</f>
        <v>0</v>
      </c>
      <c r="BJ149" s="423">
        <f t="shared" si="89"/>
        <v>441.78646691106468</v>
      </c>
      <c r="BK149" s="423">
        <f>BJ149/ 'Pile Data and Eurocode Factors'!$C$14/ 'Pile Data and Eurocode Factors'!$C$15</f>
        <v>157.78088103966596</v>
      </c>
      <c r="BL149" s="423">
        <f t="shared" si="90"/>
        <v>8160.6038149516271</v>
      </c>
      <c r="BM149" s="423">
        <f>VLOOKUP(BA149, 'Pile Data and Eurocode Factors'!$A$34:$J$39,3, FALSE)</f>
        <v>6572.7116301410997</v>
      </c>
      <c r="BN149" s="424">
        <f t="shared" si="91"/>
        <v>6572.7116301410997</v>
      </c>
      <c r="BO149" s="422">
        <v>900</v>
      </c>
      <c r="BP149" s="423">
        <f>PI()*BO149/1000*( Pile!$C$26- Pile!$C149)</f>
        <v>16.964600329384723</v>
      </c>
      <c r="BQ149" s="423">
        <f>PI()*(BO149/2000)^2</f>
        <v>0.63617251235193317</v>
      </c>
      <c r="BR149" s="423">
        <f t="shared" si="118"/>
        <v>5428.6721054031113</v>
      </c>
      <c r="BS149" s="423">
        <f>BP149* Pile!$S$26</f>
        <v>5428.6721054031113</v>
      </c>
      <c r="BT149" s="423">
        <f t="shared" si="75"/>
        <v>5428.6721054031113</v>
      </c>
      <c r="BU149" s="423">
        <f>IF(BT149&gt;0,+BT149)/ 'Pile Data and Eurocode Factors'!$B$14/ 'Pile Data and Eurocode Factors'!$B$15+$BU$129</f>
        <v>9603.3875206943521</v>
      </c>
      <c r="BV149" s="423">
        <f t="shared" si="67"/>
        <v>636.17251235193316</v>
      </c>
      <c r="BW149" s="423">
        <f>BQ149* Pile!$U$26</f>
        <v>0</v>
      </c>
      <c r="BX149" s="423">
        <f t="shared" si="93"/>
        <v>636.17251235193316</v>
      </c>
      <c r="BY149" s="423">
        <f>BX149/ 'Pile Data and Eurocode Factors'!$C$14/ 'Pile Data and Eurocode Factors'!$C$15</f>
        <v>227.20446869711901</v>
      </c>
      <c r="BZ149" s="423">
        <f t="shared" si="94"/>
        <v>9830.5919893914706</v>
      </c>
      <c r="CA149" s="423">
        <f>VLOOKUP(BO149, 'Pile Data and Eurocode Factors'!$A$34:$J$39,3, FALSE)</f>
        <v>9464.7047474031824</v>
      </c>
      <c r="CB149" s="424">
        <f t="shared" si="95"/>
        <v>9464.7047474031824</v>
      </c>
      <c r="CC149" s="422">
        <v>1050</v>
      </c>
      <c r="CD149" s="423">
        <f>PI()*CC149/1000*( Pile!$C$26- Pile!$C149)</f>
        <v>19.79203371761551</v>
      </c>
      <c r="CE149" s="423">
        <f>PI()*(CC149/2000)^2</f>
        <v>0.86590147514568672</v>
      </c>
      <c r="CF149" s="423">
        <f t="shared" si="119"/>
        <v>6333.4507896369632</v>
      </c>
      <c r="CG149" s="423">
        <f>CD149* Pile!$S$26</f>
        <v>6333.4507896369632</v>
      </c>
      <c r="CH149" s="423">
        <f t="shared" si="76"/>
        <v>6333.4507896369632</v>
      </c>
      <c r="CI149" s="423">
        <f>IF(CH149&gt;0,+CH149)/ 'Pile Data and Eurocode Factors'!$B$14/ 'Pile Data and Eurocode Factors'!$B$15+$CI$129</f>
        <v>11203.952107476745</v>
      </c>
      <c r="CJ149" s="423">
        <f t="shared" si="69"/>
        <v>865.90147514568673</v>
      </c>
      <c r="CK149" s="423">
        <f>CE149* Pile!$U$26</f>
        <v>0</v>
      </c>
      <c r="CL149" s="423">
        <f t="shared" si="97"/>
        <v>865.90147514568673</v>
      </c>
      <c r="CM149" s="423">
        <f>CL149/ 'Pile Data and Eurocode Factors'!$C$14/ 'Pile Data and Eurocode Factors'!$C$15</f>
        <v>309.25052683774527</v>
      </c>
      <c r="CN149" s="423">
        <f t="shared" si="98"/>
        <v>11513.20263431449</v>
      </c>
      <c r="CO149" s="423">
        <f>VLOOKUP(CC149, 'Pile Data and Eurocode Factors'!$A$34:$J$39,3, FALSE)</f>
        <v>12882.514795076555</v>
      </c>
      <c r="CP149" s="424">
        <f t="shared" si="99"/>
        <v>11513.20263431449</v>
      </c>
      <c r="CQ149" s="422">
        <v>1200</v>
      </c>
      <c r="CR149" s="423">
        <f>PI()*CQ149/1000*( Pile!$C$26- Pile!$C149)</f>
        <v>22.619467105846297</v>
      </c>
      <c r="CS149" s="423">
        <f>PI()*(CQ149/2000)^2</f>
        <v>1.1309733552923256</v>
      </c>
      <c r="CT149" s="423">
        <f t="shared" si="120"/>
        <v>7238.2294738708151</v>
      </c>
      <c r="CU149" s="423">
        <f>CR149* Pile!$S$26</f>
        <v>7238.2294738708151</v>
      </c>
      <c r="CV149" s="423">
        <f t="shared" si="77"/>
        <v>7238.2294738708151</v>
      </c>
      <c r="CW149" s="423">
        <f>IF(CV149&gt;0,+CV149)/ 'Pile Data and Eurocode Factors'!$B$14/ 'Pile Data and Eurocode Factors'!$B$15+$CW$129</f>
        <v>12804.516694259137</v>
      </c>
      <c r="CX149" s="423">
        <f t="shared" si="71"/>
        <v>1130.9733552923256</v>
      </c>
      <c r="CY149" s="423">
        <f>CS149* Pile!$U$26</f>
        <v>0</v>
      </c>
      <c r="CZ149" s="423">
        <f t="shared" si="101"/>
        <v>1130.9733552923256</v>
      </c>
      <c r="DA149" s="423">
        <f>CZ149/ 'Pile Data and Eurocode Factors'!$C$14/ 'Pile Data and Eurocode Factors'!$C$15</f>
        <v>403.91905546154487</v>
      </c>
      <c r="DB149" s="423">
        <f t="shared" si="102"/>
        <v>13208.435749720682</v>
      </c>
      <c r="DC149" s="423">
        <f>VLOOKUP(CQ149, 'Pile Data and Eurocode Factors'!$A$34:$J$39,3, FALSE)</f>
        <v>16826.141773161216</v>
      </c>
      <c r="DD149" s="424">
        <f t="shared" si="103"/>
        <v>13208.435749720682</v>
      </c>
      <c r="DE149" s="420">
        <f xml:space="preserve"> Pile!$C$23- Pile!C149</f>
        <v>47.999999999999943</v>
      </c>
      <c r="DG149" s="382">
        <f t="shared" si="114"/>
        <v>2366.1761868507956</v>
      </c>
      <c r="DH149" s="382">
        <f t="shared" si="104"/>
        <v>4206.5354432903041</v>
      </c>
      <c r="DI149" s="382">
        <f t="shared" si="105"/>
        <v>6572.7116301410997</v>
      </c>
      <c r="DJ149" s="382">
        <f t="shared" si="106"/>
        <v>9464.7047474031824</v>
      </c>
      <c r="DK149" s="382">
        <f t="shared" si="107"/>
        <v>11513.20263431449</v>
      </c>
      <c r="DL149" s="382">
        <f t="shared" si="115"/>
        <v>13208.435749720682</v>
      </c>
    </row>
    <row r="150" spans="1:116" s="308" customFormat="1" ht="15">
      <c r="C150" s="400"/>
      <c r="D150" s="401"/>
      <c r="E150" s="401"/>
      <c r="F150" s="401"/>
      <c r="G150" s="401"/>
      <c r="H150" s="401"/>
      <c r="I150" s="401"/>
      <c r="J150" s="401"/>
      <c r="K150" s="401"/>
      <c r="L150" s="401"/>
      <c r="M150" s="401"/>
      <c r="N150" s="401"/>
      <c r="O150" s="401"/>
      <c r="P150" s="401"/>
      <c r="Q150" s="401"/>
      <c r="R150" s="401"/>
      <c r="S150" s="401"/>
      <c r="T150" s="401"/>
      <c r="U150" s="401"/>
      <c r="V150" s="401"/>
      <c r="W150" s="401"/>
      <c r="X150" s="401"/>
      <c r="Y150" s="416"/>
      <c r="Z150" s="416"/>
      <c r="AA150" s="416"/>
      <c r="AB150" s="416"/>
      <c r="AC150" s="416"/>
      <c r="AD150" s="416"/>
      <c r="AE150" s="416"/>
      <c r="AF150" s="416"/>
      <c r="AG150" s="416"/>
      <c r="AH150" s="416"/>
      <c r="AI150" s="416"/>
      <c r="AJ150" s="416"/>
      <c r="AK150" s="416"/>
      <c r="AL150" s="416"/>
      <c r="AM150" s="425"/>
      <c r="AN150" s="399"/>
      <c r="AO150" s="399"/>
      <c r="AP150" s="399"/>
      <c r="AQ150" s="399"/>
      <c r="AR150" s="399"/>
      <c r="AS150" s="399"/>
      <c r="AT150" s="399"/>
      <c r="AU150" s="399"/>
      <c r="AV150" s="399"/>
      <c r="AW150" s="399"/>
      <c r="AX150" s="399"/>
      <c r="AY150" s="399"/>
      <c r="AZ150" s="399"/>
      <c r="BO150" s="401"/>
      <c r="BP150" s="401"/>
      <c r="BQ150" s="401"/>
      <c r="BR150" s="401"/>
      <c r="BS150" s="401"/>
      <c r="BT150" s="401"/>
      <c r="BU150" s="401"/>
      <c r="BV150" s="401"/>
      <c r="BW150" s="401"/>
      <c r="BX150" s="401"/>
      <c r="BY150" s="401"/>
      <c r="BZ150" s="401"/>
      <c r="CA150" s="401"/>
      <c r="CB150" s="401"/>
      <c r="CC150" s="401"/>
      <c r="CD150" s="401"/>
      <c r="CE150" s="401"/>
      <c r="CF150" s="401"/>
      <c r="CG150" s="401"/>
      <c r="CH150" s="401"/>
      <c r="CI150" s="401"/>
      <c r="CJ150" s="401"/>
      <c r="CK150" s="401"/>
      <c r="CL150" s="401"/>
      <c r="CM150" s="401"/>
      <c r="CN150" s="401"/>
      <c r="CO150" s="401"/>
      <c r="CP150" s="401"/>
      <c r="CQ150" s="401"/>
      <c r="CR150" s="401"/>
      <c r="CS150" s="401"/>
      <c r="CT150" s="401"/>
      <c r="CU150" s="401"/>
      <c r="CV150" s="401"/>
      <c r="CW150" s="401"/>
      <c r="CX150" s="417"/>
      <c r="CY150" s="417"/>
    </row>
    <row r="151" spans="1:116" s="308" customFormat="1" ht="15">
      <c r="C151" s="400"/>
      <c r="D151" s="401"/>
      <c r="E151" s="401"/>
      <c r="F151" s="401"/>
      <c r="G151" s="401"/>
      <c r="H151" s="401"/>
      <c r="I151" s="401"/>
      <c r="K151" s="401"/>
      <c r="L151" s="401"/>
      <c r="M151" s="401"/>
      <c r="N151" s="401"/>
      <c r="O151" s="401"/>
      <c r="P151" s="401"/>
      <c r="Q151" s="401"/>
      <c r="R151" s="401"/>
      <c r="S151" s="401"/>
      <c r="T151" s="401"/>
      <c r="U151" s="401"/>
      <c r="V151" s="401"/>
      <c r="W151" s="401"/>
      <c r="X151" s="401"/>
      <c r="Y151" s="416"/>
      <c r="Z151" s="416"/>
      <c r="AA151" s="416"/>
      <c r="AB151" s="416"/>
      <c r="AC151" s="416"/>
      <c r="AD151" s="416"/>
      <c r="AE151" s="416"/>
      <c r="AF151" s="416"/>
      <c r="AG151" s="416"/>
      <c r="AH151" s="416"/>
      <c r="AI151" s="416"/>
      <c r="AJ151" s="416"/>
      <c r="AK151" s="416"/>
      <c r="AL151" s="416"/>
      <c r="AM151" s="401"/>
      <c r="AN151" s="401"/>
      <c r="AO151" s="401"/>
      <c r="AP151" s="401"/>
      <c r="AQ151" s="401"/>
      <c r="AR151" s="401"/>
      <c r="AS151" s="401"/>
      <c r="AT151" s="401"/>
      <c r="AU151" s="401"/>
      <c r="AV151" s="401"/>
      <c r="AW151" s="401"/>
      <c r="AX151" s="401"/>
      <c r="AY151" s="401"/>
      <c r="AZ151" s="401"/>
      <c r="BA151" s="401"/>
      <c r="BB151" s="401"/>
      <c r="BC151" s="401"/>
      <c r="BD151" s="401"/>
      <c r="BE151" s="401"/>
      <c r="BF151" s="401"/>
      <c r="BG151" s="401"/>
      <c r="BH151" s="401"/>
      <c r="BI151" s="401"/>
      <c r="BJ151" s="401"/>
      <c r="BK151" s="401"/>
      <c r="BL151" s="401"/>
      <c r="BM151" s="401"/>
      <c r="BN151" s="401"/>
      <c r="BO151" s="401"/>
      <c r="BP151" s="401"/>
      <c r="BQ151" s="401"/>
      <c r="BR151" s="401"/>
      <c r="BS151" s="401"/>
      <c r="BT151" s="401"/>
      <c r="BU151" s="401"/>
      <c r="BV151" s="401"/>
      <c r="BW151" s="401"/>
      <c r="BX151" s="401"/>
      <c r="BY151" s="401"/>
      <c r="BZ151" s="401"/>
      <c r="CA151" s="401"/>
      <c r="CB151" s="401"/>
      <c r="CC151" s="401"/>
      <c r="CD151" s="401"/>
      <c r="CE151" s="401"/>
      <c r="CF151" s="401"/>
      <c r="CG151" s="401"/>
      <c r="CH151" s="401"/>
      <c r="CI151" s="401"/>
      <c r="CJ151" s="401"/>
      <c r="CK151" s="401"/>
      <c r="CL151" s="401"/>
      <c r="CM151" s="401"/>
      <c r="CN151" s="401"/>
      <c r="CO151" s="401"/>
      <c r="CP151" s="401"/>
      <c r="CQ151" s="401"/>
      <c r="CR151" s="401"/>
      <c r="CS151" s="401"/>
      <c r="CT151" s="401"/>
      <c r="CU151" s="401"/>
      <c r="CV151" s="401"/>
      <c r="CW151" s="401"/>
      <c r="CX151" s="417"/>
      <c r="CY151" s="417"/>
    </row>
    <row r="152" spans="1:116" s="308" customFormat="1" ht="42" customHeight="1" thickBot="1">
      <c r="B152" s="426" t="s">
        <v>844</v>
      </c>
      <c r="C152" s="380"/>
      <c r="D152" s="380"/>
      <c r="N152" s="400"/>
      <c r="Y152" s="382"/>
      <c r="Z152" s="382"/>
      <c r="AA152" s="382"/>
      <c r="AB152" s="382"/>
      <c r="AC152" s="382"/>
      <c r="AD152" s="382"/>
      <c r="AE152" s="382"/>
      <c r="AF152" s="382"/>
      <c r="AG152" s="382"/>
      <c r="AH152" s="382"/>
      <c r="AI152" s="382"/>
      <c r="AJ152" s="382"/>
      <c r="AK152" s="382"/>
      <c r="AL152" s="382"/>
    </row>
    <row r="153" spans="1:116" s="308" customFormat="1" ht="33" customHeight="1" thickBot="1">
      <c r="B153" s="383" t="s">
        <v>792</v>
      </c>
      <c r="C153" s="384"/>
      <c r="D153" s="385"/>
      <c r="E153" s="386"/>
      <c r="F153" s="383" t="s">
        <v>793</v>
      </c>
      <c r="G153" s="384"/>
      <c r="H153" s="385"/>
      <c r="I153" s="386"/>
      <c r="J153" s="383" t="s">
        <v>794</v>
      </c>
      <c r="K153" s="384"/>
      <c r="L153" s="385"/>
      <c r="M153" s="386"/>
      <c r="N153" s="385" t="s">
        <v>795</v>
      </c>
      <c r="O153" s="384"/>
      <c r="P153" s="383" t="s">
        <v>796</v>
      </c>
      <c r="Q153" s="384"/>
      <c r="R153" s="386"/>
      <c r="S153" s="383" t="s">
        <v>797</v>
      </c>
      <c r="T153" s="387"/>
      <c r="U153" s="387"/>
      <c r="V153" s="387"/>
      <c r="W153" s="387"/>
      <c r="X153" s="388"/>
      <c r="Y153" s="389" t="s">
        <v>798</v>
      </c>
      <c r="Z153" s="390"/>
      <c r="AA153" s="390"/>
      <c r="AB153" s="390"/>
      <c r="AC153" s="390"/>
      <c r="AD153" s="390"/>
      <c r="AE153" s="390"/>
      <c r="AF153" s="390"/>
      <c r="AG153" s="390"/>
      <c r="AH153" s="390"/>
      <c r="AI153" s="390"/>
      <c r="AJ153" s="390"/>
      <c r="AK153" s="390"/>
      <c r="AL153" s="391"/>
      <c r="AM153" s="389" t="s">
        <v>799</v>
      </c>
      <c r="AN153" s="390"/>
      <c r="AO153" s="390"/>
      <c r="AP153" s="390"/>
      <c r="AQ153" s="390"/>
      <c r="AR153" s="390"/>
      <c r="AS153" s="390"/>
      <c r="AT153" s="390"/>
      <c r="AU153" s="390"/>
      <c r="AV153" s="390"/>
      <c r="AW153" s="390"/>
      <c r="AX153" s="390"/>
      <c r="AY153" s="390"/>
      <c r="AZ153" s="391"/>
      <c r="BA153" s="389" t="s">
        <v>800</v>
      </c>
      <c r="BB153" s="390"/>
      <c r="BC153" s="390"/>
      <c r="BD153" s="390"/>
      <c r="BE153" s="390"/>
      <c r="BF153" s="390"/>
      <c r="BG153" s="390"/>
      <c r="BH153" s="390"/>
      <c r="BI153" s="390"/>
      <c r="BJ153" s="390"/>
      <c r="BK153" s="390"/>
      <c r="BL153" s="390"/>
      <c r="BM153" s="390"/>
      <c r="BN153" s="391"/>
      <c r="BO153" s="389" t="s">
        <v>801</v>
      </c>
      <c r="BP153" s="392"/>
      <c r="BQ153" s="392"/>
      <c r="BR153" s="392"/>
      <c r="BS153" s="392"/>
      <c r="BT153" s="392"/>
      <c r="BU153" s="392"/>
      <c r="BV153" s="392"/>
      <c r="BW153" s="392"/>
      <c r="BX153" s="392"/>
      <c r="BY153" s="392"/>
      <c r="BZ153" s="392"/>
      <c r="CA153" s="392"/>
      <c r="CB153" s="393"/>
      <c r="CC153" s="389" t="s">
        <v>802</v>
      </c>
      <c r="CD153" s="392"/>
      <c r="CE153" s="392"/>
      <c r="CF153" s="392"/>
      <c r="CG153" s="392"/>
      <c r="CH153" s="392"/>
      <c r="CI153" s="392"/>
      <c r="CJ153" s="392"/>
      <c r="CK153" s="392"/>
      <c r="CL153" s="392"/>
      <c r="CM153" s="392"/>
      <c r="CN153" s="392"/>
      <c r="CO153" s="392"/>
      <c r="CP153" s="393"/>
      <c r="CQ153" s="389" t="s">
        <v>803</v>
      </c>
      <c r="CR153" s="392"/>
      <c r="CS153" s="392"/>
      <c r="CT153" s="392"/>
      <c r="CU153" s="392"/>
      <c r="CV153" s="392"/>
      <c r="CW153" s="392"/>
      <c r="CX153" s="392"/>
      <c r="CY153" s="392"/>
      <c r="CZ153" s="392"/>
      <c r="DA153" s="392"/>
      <c r="DB153" s="392"/>
      <c r="DC153" s="392"/>
      <c r="DD153" s="393"/>
    </row>
    <row r="154" spans="1:116" s="308" customFormat="1" ht="138">
      <c r="A154" s="421"/>
      <c r="B154" s="394"/>
      <c r="C154" s="395" t="s">
        <v>804</v>
      </c>
      <c r="D154" s="395" t="s">
        <v>761</v>
      </c>
      <c r="E154" s="395" t="s">
        <v>103</v>
      </c>
      <c r="F154" s="395" t="s">
        <v>805</v>
      </c>
      <c r="G154" s="395" t="s">
        <v>806</v>
      </c>
      <c r="H154" s="395" t="s">
        <v>807</v>
      </c>
      <c r="I154" s="395" t="s">
        <v>808</v>
      </c>
      <c r="J154" s="395" t="s">
        <v>809</v>
      </c>
      <c r="K154" s="395" t="s">
        <v>810</v>
      </c>
      <c r="L154" s="395" t="s">
        <v>811</v>
      </c>
      <c r="M154" s="395" t="s">
        <v>775</v>
      </c>
      <c r="N154" s="395" t="s">
        <v>776</v>
      </c>
      <c r="O154" s="395" t="s">
        <v>812</v>
      </c>
      <c r="P154" s="395" t="s">
        <v>787</v>
      </c>
      <c r="Q154" s="395" t="s">
        <v>813</v>
      </c>
      <c r="R154" s="395" t="s">
        <v>845</v>
      </c>
      <c r="S154" s="395" t="s">
        <v>815</v>
      </c>
      <c r="T154" s="395" t="s">
        <v>816</v>
      </c>
      <c r="U154" s="395" t="s">
        <v>817</v>
      </c>
      <c r="V154" s="395" t="s">
        <v>818</v>
      </c>
      <c r="W154" s="395" t="s">
        <v>819</v>
      </c>
      <c r="X154" s="395" t="s">
        <v>820</v>
      </c>
      <c r="Y154" s="427" t="s">
        <v>821</v>
      </c>
      <c r="Z154" s="399" t="s">
        <v>822</v>
      </c>
      <c r="AA154" s="399" t="s">
        <v>823</v>
      </c>
      <c r="AB154" s="399" t="s">
        <v>846</v>
      </c>
      <c r="AC154" s="399" t="s">
        <v>825</v>
      </c>
      <c r="AD154" s="399" t="s">
        <v>826</v>
      </c>
      <c r="AE154" s="399" t="s">
        <v>827</v>
      </c>
      <c r="AF154" s="399" t="s">
        <v>828</v>
      </c>
      <c r="AG154" s="399" t="s">
        <v>829</v>
      </c>
      <c r="AH154" s="399" t="s">
        <v>830</v>
      </c>
      <c r="AI154" s="399" t="s">
        <v>831</v>
      </c>
      <c r="AJ154" s="399" t="s">
        <v>832</v>
      </c>
      <c r="AK154" s="399" t="s">
        <v>833</v>
      </c>
      <c r="AL154" s="428" t="s">
        <v>834</v>
      </c>
      <c r="AM154" s="427" t="s">
        <v>821</v>
      </c>
      <c r="AN154" s="399" t="s">
        <v>822</v>
      </c>
      <c r="AO154" s="399" t="s">
        <v>823</v>
      </c>
      <c r="AP154" s="399" t="s">
        <v>824</v>
      </c>
      <c r="AQ154" s="399" t="s">
        <v>825</v>
      </c>
      <c r="AR154" s="399" t="s">
        <v>826</v>
      </c>
      <c r="AS154" s="399" t="s">
        <v>827</v>
      </c>
      <c r="AT154" s="399" t="s">
        <v>828</v>
      </c>
      <c r="AU154" s="399" t="s">
        <v>829</v>
      </c>
      <c r="AV154" s="399" t="s">
        <v>830</v>
      </c>
      <c r="AW154" s="399" t="s">
        <v>831</v>
      </c>
      <c r="AX154" s="399" t="s">
        <v>832</v>
      </c>
      <c r="AY154" s="399" t="s">
        <v>833</v>
      </c>
      <c r="AZ154" s="428" t="s">
        <v>834</v>
      </c>
      <c r="BA154" s="427" t="s">
        <v>821</v>
      </c>
      <c r="BB154" s="399" t="s">
        <v>822</v>
      </c>
      <c r="BC154" s="399" t="s">
        <v>823</v>
      </c>
      <c r="BD154" s="399" t="s">
        <v>824</v>
      </c>
      <c r="BE154" s="399" t="s">
        <v>825</v>
      </c>
      <c r="BF154" s="399" t="s">
        <v>826</v>
      </c>
      <c r="BG154" s="399" t="s">
        <v>827</v>
      </c>
      <c r="BH154" s="399" t="s">
        <v>828</v>
      </c>
      <c r="BI154" s="399" t="s">
        <v>829</v>
      </c>
      <c r="BJ154" s="399" t="s">
        <v>830</v>
      </c>
      <c r="BK154" s="399" t="s">
        <v>831</v>
      </c>
      <c r="BL154" s="399" t="s">
        <v>832</v>
      </c>
      <c r="BM154" s="399" t="s">
        <v>833</v>
      </c>
      <c r="BN154" s="428" t="s">
        <v>834</v>
      </c>
      <c r="BO154" s="427" t="s">
        <v>821</v>
      </c>
      <c r="BP154" s="399" t="s">
        <v>822</v>
      </c>
      <c r="BQ154" s="399" t="s">
        <v>823</v>
      </c>
      <c r="BR154" s="399" t="s">
        <v>824</v>
      </c>
      <c r="BS154" s="399" t="s">
        <v>825</v>
      </c>
      <c r="BT154" s="399" t="s">
        <v>826</v>
      </c>
      <c r="BU154" s="399" t="s">
        <v>827</v>
      </c>
      <c r="BV154" s="399" t="s">
        <v>828</v>
      </c>
      <c r="BW154" s="399" t="s">
        <v>829</v>
      </c>
      <c r="BX154" s="399" t="s">
        <v>830</v>
      </c>
      <c r="BY154" s="399" t="s">
        <v>831</v>
      </c>
      <c r="BZ154" s="399" t="s">
        <v>832</v>
      </c>
      <c r="CA154" s="399" t="s">
        <v>833</v>
      </c>
      <c r="CB154" s="428" t="s">
        <v>834</v>
      </c>
      <c r="CC154" s="427" t="s">
        <v>821</v>
      </c>
      <c r="CD154" s="399" t="s">
        <v>822</v>
      </c>
      <c r="CE154" s="399" t="s">
        <v>823</v>
      </c>
      <c r="CF154" s="399" t="s">
        <v>824</v>
      </c>
      <c r="CG154" s="399" t="s">
        <v>825</v>
      </c>
      <c r="CH154" s="399" t="s">
        <v>826</v>
      </c>
      <c r="CI154" s="399" t="s">
        <v>827</v>
      </c>
      <c r="CJ154" s="399" t="s">
        <v>828</v>
      </c>
      <c r="CK154" s="399" t="s">
        <v>829</v>
      </c>
      <c r="CL154" s="399" t="s">
        <v>830</v>
      </c>
      <c r="CM154" s="399" t="s">
        <v>831</v>
      </c>
      <c r="CN154" s="399" t="s">
        <v>832</v>
      </c>
      <c r="CO154" s="399" t="s">
        <v>833</v>
      </c>
      <c r="CP154" s="428" t="s">
        <v>834</v>
      </c>
      <c r="CQ154" s="427" t="s">
        <v>821</v>
      </c>
      <c r="CR154" s="399" t="s">
        <v>822</v>
      </c>
      <c r="CS154" s="399" t="s">
        <v>823</v>
      </c>
      <c r="CT154" s="399" t="s">
        <v>824</v>
      </c>
      <c r="CU154" s="399" t="s">
        <v>825</v>
      </c>
      <c r="CV154" s="399" t="s">
        <v>826</v>
      </c>
      <c r="CW154" s="399" t="s">
        <v>827</v>
      </c>
      <c r="CX154" s="399" t="s">
        <v>828</v>
      </c>
      <c r="CY154" s="399" t="s">
        <v>829</v>
      </c>
      <c r="CZ154" s="399" t="s">
        <v>830</v>
      </c>
      <c r="DA154" s="399" t="s">
        <v>831</v>
      </c>
      <c r="DB154" s="399" t="s">
        <v>832</v>
      </c>
      <c r="DC154" s="399" t="s">
        <v>833</v>
      </c>
      <c r="DD154" s="428" t="s">
        <v>834</v>
      </c>
      <c r="DE154" s="399" t="s">
        <v>847</v>
      </c>
      <c r="DG154" s="399" t="s">
        <v>836</v>
      </c>
      <c r="DH154" s="399" t="s">
        <v>837</v>
      </c>
      <c r="DI154" s="399" t="s">
        <v>838</v>
      </c>
      <c r="DJ154" s="399" t="s">
        <v>839</v>
      </c>
      <c r="DK154" s="399" t="s">
        <v>840</v>
      </c>
      <c r="DL154" s="399" t="s">
        <v>841</v>
      </c>
    </row>
    <row r="155" spans="1:116" s="308" customFormat="1" ht="15.75">
      <c r="B155" s="400"/>
      <c r="C155" s="401" t="s">
        <v>67</v>
      </c>
      <c r="D155" s="401"/>
      <c r="E155" s="401"/>
      <c r="F155" s="401" t="s">
        <v>842</v>
      </c>
      <c r="G155" s="401" t="s">
        <v>842</v>
      </c>
      <c r="H155" s="401" t="s">
        <v>842</v>
      </c>
      <c r="I155" s="401" t="s">
        <v>842</v>
      </c>
      <c r="J155" s="401" t="s">
        <v>842</v>
      </c>
      <c r="K155" s="401" t="s">
        <v>842</v>
      </c>
      <c r="M155" s="401"/>
      <c r="N155" s="400"/>
      <c r="S155" s="401" t="s">
        <v>842</v>
      </c>
      <c r="T155" s="401" t="s">
        <v>842</v>
      </c>
      <c r="U155" s="401" t="s">
        <v>842</v>
      </c>
      <c r="V155" s="401" t="s">
        <v>842</v>
      </c>
      <c r="W155" s="401" t="s">
        <v>842</v>
      </c>
      <c r="X155" s="401" t="s">
        <v>842</v>
      </c>
      <c r="Y155" s="402" t="s">
        <v>843</v>
      </c>
      <c r="Z155" s="382"/>
      <c r="AA155" s="382"/>
      <c r="AB155" s="382"/>
      <c r="AC155" s="382"/>
      <c r="AD155" s="382"/>
      <c r="AE155" s="382"/>
      <c r="AF155" s="382"/>
      <c r="AG155" s="382"/>
      <c r="AH155" s="382"/>
      <c r="AI155" s="382"/>
      <c r="AJ155" s="382"/>
      <c r="AK155" s="382"/>
      <c r="AL155" s="403"/>
      <c r="AM155" s="402" t="s">
        <v>843</v>
      </c>
      <c r="AN155" s="382"/>
      <c r="AO155" s="382"/>
      <c r="AP155" s="382"/>
      <c r="AQ155" s="382"/>
      <c r="AR155" s="382"/>
      <c r="AS155" s="382"/>
      <c r="AT155" s="382"/>
      <c r="AU155" s="382"/>
      <c r="AV155" s="382"/>
      <c r="AW155" s="382"/>
      <c r="AX155" s="382"/>
      <c r="AY155" s="382"/>
      <c r="AZ155" s="403"/>
      <c r="BA155" s="402" t="s">
        <v>843</v>
      </c>
      <c r="BB155" s="382"/>
      <c r="BC155" s="382"/>
      <c r="BD155" s="382"/>
      <c r="BE155" s="382"/>
      <c r="BF155" s="382"/>
      <c r="BG155" s="382"/>
      <c r="BH155" s="382"/>
      <c r="BI155" s="382"/>
      <c r="BJ155" s="382"/>
      <c r="BK155" s="382"/>
      <c r="BL155" s="382"/>
      <c r="BM155" s="382"/>
      <c r="BN155" s="403"/>
      <c r="BO155" s="402" t="s">
        <v>843</v>
      </c>
      <c r="BP155" s="382"/>
      <c r="BQ155" s="382"/>
      <c r="BR155" s="382"/>
      <c r="BS155" s="382"/>
      <c r="BT155" s="382"/>
      <c r="BU155" s="382"/>
      <c r="BV155" s="382"/>
      <c r="BW155" s="382"/>
      <c r="BX155" s="382"/>
      <c r="BY155" s="382"/>
      <c r="BZ155" s="382"/>
      <c r="CA155" s="382"/>
      <c r="CB155" s="403"/>
      <c r="CC155" s="402" t="s">
        <v>843</v>
      </c>
      <c r="CD155" s="382"/>
      <c r="CE155" s="382"/>
      <c r="CF155" s="382"/>
      <c r="CG155" s="382"/>
      <c r="CH155" s="382"/>
      <c r="CI155" s="382"/>
      <c r="CJ155" s="382"/>
      <c r="CK155" s="382"/>
      <c r="CL155" s="382"/>
      <c r="CM155" s="382"/>
      <c r="CN155" s="382"/>
      <c r="CO155" s="382"/>
      <c r="CP155" s="403"/>
      <c r="CQ155" s="402" t="s">
        <v>843</v>
      </c>
      <c r="CR155" s="382"/>
      <c r="CS155" s="382"/>
      <c r="CT155" s="382"/>
      <c r="CU155" s="382"/>
      <c r="CV155" s="382"/>
      <c r="CW155" s="382"/>
      <c r="CX155" s="382"/>
      <c r="CY155" s="382"/>
      <c r="CZ155" s="382"/>
      <c r="DA155" s="382"/>
      <c r="DB155" s="382"/>
      <c r="DC155" s="382"/>
      <c r="DD155" s="403"/>
      <c r="DJ155" s="308" t="s">
        <v>848</v>
      </c>
      <c r="DK155" s="308" t="s">
        <v>849</v>
      </c>
      <c r="DL155" s="308" t="s">
        <v>849</v>
      </c>
    </row>
    <row r="156" spans="1:116" s="414" customFormat="1" ht="15">
      <c r="B156" s="404">
        <v>1</v>
      </c>
      <c r="C156" s="405">
        <f xml:space="preserve"> Pile!C36- Pile!D36/20</f>
        <v>5.7</v>
      </c>
      <c r="D156" s="406" t="str">
        <f>B23</f>
        <v>Loose Sand/Gravel</v>
      </c>
      <c r="E156" s="406" t="str">
        <f>F23</f>
        <v>Granular</v>
      </c>
      <c r="F156" s="405">
        <f xml:space="preserve"> Pile!$E$36*( Pile!$C$36- Pile!C156)</f>
        <v>4.9499999999999975</v>
      </c>
      <c r="G156" s="405">
        <f>IF(C156&gt; Pile!$C$41,0,( Pile!$C$41-C156)*9.81)</f>
        <v>0</v>
      </c>
      <c r="H156" s="405">
        <f t="shared" ref="H156:H219" si="122">F156-G156</f>
        <v>4.9499999999999975</v>
      </c>
      <c r="I156" s="405">
        <f t="shared" ref="I156:I175" si="123">H156/2</f>
        <v>2.4749999999999988</v>
      </c>
      <c r="J156" s="405">
        <f>IF(E156="Cohesive", Pile!$G$36+(( Pile!$H$36- Pile!$G$36)/20),0)</f>
        <v>0</v>
      </c>
      <c r="K156" s="405">
        <f>IF(E156="Cohesive",( Pile!$G$36+ Pile!$J156)/2,0)</f>
        <v>0</v>
      </c>
      <c r="L156" s="405" t="str">
        <f>IF( Pile!I$36="",0, Pile!I$36)</f>
        <v>0</v>
      </c>
      <c r="M156" s="405" t="str">
        <f>IF( Pile!J$36="",0, Pile!J$36)</f>
        <v>0</v>
      </c>
      <c r="N156" s="405">
        <f>IF(E156="Granular", Pile!$K$36,0)</f>
        <v>18.401122218708668</v>
      </c>
      <c r="O156" s="407">
        <f>IF(AND(E156="Granular",D156&lt;&gt;"Made Ground"), Pile!$L$36,0)</f>
        <v>0.4025428365693513</v>
      </c>
      <c r="P156" s="405">
        <f>IF(OR(D156="Low Density Chalk",D156="Medium Density Chalk"), Pile!$M$36,0)</f>
        <v>0</v>
      </c>
      <c r="Q156" s="408">
        <f>IF(D156="High Density Chalk", Pile!$N$36,0)</f>
        <v>0</v>
      </c>
      <c r="R156" s="405">
        <f>IF( Pile!O$36="",0, Pile!O$36)</f>
        <v>0</v>
      </c>
      <c r="S156" s="409">
        <f t="shared" ref="S156:S219" si="124">P156*I156+L156*K156+O156*I156+Q156*I156</f>
        <v>0.99629352050914399</v>
      </c>
      <c r="T156" s="410">
        <f xml:space="preserve"> Pile!$T$36</f>
        <v>1200</v>
      </c>
      <c r="U156" s="410">
        <f t="shared" ref="U156:U219" si="125">IF(T156&gt;0,MIN(S156:T156),S156)</f>
        <v>0.99629352050914399</v>
      </c>
      <c r="V156" s="410">
        <f t="shared" ref="V156:V219" si="126">R156+M156*J156+N156*H156</f>
        <v>91.08555498260786</v>
      </c>
      <c r="W156" s="410">
        <f xml:space="preserve"> Pile!$V$36</f>
        <v>15000</v>
      </c>
      <c r="X156" s="410">
        <f t="shared" ref="X156:X219" si="127">IF(W156&gt;0,MIN(V156:W156),V156)</f>
        <v>91.08555498260786</v>
      </c>
      <c r="Y156" s="411">
        <v>450</v>
      </c>
      <c r="Z156" s="410">
        <f>PI()*Y156/1000*( Pile!$C$36- Pile!$C156)</f>
        <v>0.42411500823462184</v>
      </c>
      <c r="AA156" s="410">
        <f t="shared" ref="AA156:AA219" si="128">PI()*(Y156/2000)^2</f>
        <v>0.15904312808798329</v>
      </c>
      <c r="AB156" s="410">
        <f>+$U156*Z156</f>
        <v>0.422543034654836</v>
      </c>
      <c r="AC156" s="429">
        <f>Z156* Pile!$S$36</f>
        <v>0</v>
      </c>
      <c r="AD156" s="410">
        <f>IF(AC156&gt;0,MIN(AB156:AC156),AB156)</f>
        <v>0.422543034654836</v>
      </c>
      <c r="AE156" s="410">
        <f>IF(AD156&gt;0,+AD156)/ 'Pile Data and Eurocode Factors'!$B$19/ 'Pile Data and Eurocode Factors'!$B$20</f>
        <v>0.20121096888325526</v>
      </c>
      <c r="AF156" s="410">
        <f>AA156*$X156</f>
        <v>14.486531588063947</v>
      </c>
      <c r="AG156" s="410">
        <f>AA156* Pile!$U$36</f>
        <v>0</v>
      </c>
      <c r="AH156" s="410">
        <f t="shared" ref="AH156:AH219" si="129">IF(AG156&gt;0,MIN(AF156:AG156),AF156)</f>
        <v>14.486531588063947</v>
      </c>
      <c r="AI156" s="410">
        <f>AH156/ 'Pile Data and Eurocode Factors'!$C$19/ 'Pile Data and Eurocode Factors'!$C$20</f>
        <v>6.0867779781781302</v>
      </c>
      <c r="AJ156" s="410">
        <f t="shared" ref="AJ156:AJ219" si="130">AI156+AE156</f>
        <v>6.2879889470613852</v>
      </c>
      <c r="AK156" s="410">
        <f>VLOOKUP(Y156, 'Pile Data and Eurocode Factors'!$A$34:$J$39,3, FALSE)</f>
        <v>2366.1761868507956</v>
      </c>
      <c r="AL156" s="412">
        <f t="shared" ref="AL156:AL219" si="131">MIN(AJ156:AK156)</f>
        <v>6.2879889470613852</v>
      </c>
      <c r="AM156" s="411">
        <v>600</v>
      </c>
      <c r="AN156" s="410">
        <f>PI()*AM156/1000*( Pile!$C$36- Pile!$C156)</f>
        <v>0.56548667764616245</v>
      </c>
      <c r="AO156" s="410">
        <f t="shared" ref="AO156:AO219" si="132">PI()*(AM156/2000)^2</f>
        <v>0.28274333882308139</v>
      </c>
      <c r="AP156" s="410">
        <f>+$U156*AN156</f>
        <v>0.5633907128731146</v>
      </c>
      <c r="AQ156" s="429">
        <f>AN156* Pile!$S$36</f>
        <v>0</v>
      </c>
      <c r="AR156" s="410">
        <f>IF(AQ156&gt;0,MIN(AP156:AQ156),AP156)</f>
        <v>0.5633907128731146</v>
      </c>
      <c r="AS156" s="410">
        <f>IF(AR156&gt;0,+AR156)/ 'Pile Data and Eurocode Factors'!$B$19/ 'Pile Data and Eurocode Factors'!$B$20</f>
        <v>0.2682812918443403</v>
      </c>
      <c r="AT156" s="410">
        <f>AO156*$X156</f>
        <v>25.753833934335905</v>
      </c>
      <c r="AU156" s="410">
        <f>AO156* Pile!$U$36</f>
        <v>0</v>
      </c>
      <c r="AV156" s="410">
        <f t="shared" ref="AV156:AV219" si="133">IF(AU156&gt;0,MIN(AT156:AU156),AT156)</f>
        <v>25.753833934335905</v>
      </c>
      <c r="AW156" s="410">
        <f>AV156/ 'Pile Data and Eurocode Factors'!$C$19/ 'Pile Data and Eurocode Factors'!$C$20</f>
        <v>10.820938627872229</v>
      </c>
      <c r="AX156" s="410">
        <f t="shared" ref="AX156:AX219" si="134">AW156+AS156</f>
        <v>11.08921991971657</v>
      </c>
      <c r="AY156" s="410">
        <f>VLOOKUP(AM156, 'Pile Data and Eurocode Factors'!$A$34:$J$39,3, FALSE)</f>
        <v>4206.5354432903041</v>
      </c>
      <c r="AZ156" s="412">
        <f t="shared" ref="AZ156:AZ219" si="135">MIN(AX156:AY156)</f>
        <v>11.08921991971657</v>
      </c>
      <c r="BA156" s="411">
        <v>750</v>
      </c>
      <c r="BB156" s="410">
        <f>PI()*BA156/1000*( Pile!$C$36- Pile!$C156)</f>
        <v>0.70685834705770301</v>
      </c>
      <c r="BC156" s="410">
        <f t="shared" ref="BC156:BC219" si="136">PI()*(BA156/2000)^2</f>
        <v>0.44178646691106466</v>
      </c>
      <c r="BD156" s="410">
        <f>+$U156*BB156</f>
        <v>0.7042383910913933</v>
      </c>
      <c r="BE156" s="429">
        <f>BB156* Pile!$S$36</f>
        <v>0</v>
      </c>
      <c r="BF156" s="410">
        <f>IF(BE156&gt;0,MIN(BD156:BE156),BD156)</f>
        <v>0.7042383910913933</v>
      </c>
      <c r="BG156" s="410">
        <f>IF(BF156&gt;0,+BF156)/ 'Pile Data and Eurocode Factors'!$B$19/ 'Pile Data and Eurocode Factors'!$B$20</f>
        <v>0.33535161480542541</v>
      </c>
      <c r="BH156" s="410">
        <f>BC156*$X156</f>
        <v>40.240365522399848</v>
      </c>
      <c r="BI156" s="410">
        <f>BC156* Pile!$U$36</f>
        <v>0</v>
      </c>
      <c r="BJ156" s="410">
        <f t="shared" ref="BJ156:BJ219" si="137">IF(BI156&gt;0,MIN(BH156:BI156),BH156)</f>
        <v>40.240365522399848</v>
      </c>
      <c r="BK156" s="410">
        <f>BJ156/ 'Pile Data and Eurocode Factors'!$C$19/ 'Pile Data and Eurocode Factors'!$C$20</f>
        <v>16.907716606050357</v>
      </c>
      <c r="BL156" s="410">
        <f t="shared" ref="BL156:BL219" si="138">BK156+BG156</f>
        <v>17.243068220855783</v>
      </c>
      <c r="BM156" s="410">
        <f>VLOOKUP(BA156, 'Pile Data and Eurocode Factors'!$A$34:$J$39,3, FALSE)</f>
        <v>6572.7116301410997</v>
      </c>
      <c r="BN156" s="412">
        <f t="shared" ref="BN156:BN219" si="139">MIN(BL156:BM156)</f>
        <v>17.243068220855783</v>
      </c>
      <c r="BO156" s="411">
        <v>900</v>
      </c>
      <c r="BP156" s="410">
        <f>PI()*BO156/1000*( Pile!$C$36- Pile!$C156)</f>
        <v>0.84823001646924368</v>
      </c>
      <c r="BQ156" s="410">
        <f t="shared" ref="BQ156:BQ219" si="140">PI()*(BO156/2000)^2</f>
        <v>0.63617251235193317</v>
      </c>
      <c r="BR156" s="410">
        <f>+$U156*BP156</f>
        <v>0.84508606930967201</v>
      </c>
      <c r="BS156" s="429">
        <f>BP156* Pile!$S$36</f>
        <v>0</v>
      </c>
      <c r="BT156" s="410">
        <f>IF(BS156&gt;0,MIN(BR156:BS156),BR156)</f>
        <v>0.84508606930967201</v>
      </c>
      <c r="BU156" s="410">
        <f>IF(BT156&gt;0,+BT156)/ 'Pile Data and Eurocode Factors'!$B$19/ 'Pile Data and Eurocode Factors'!$B$20</f>
        <v>0.40242193776651053</v>
      </c>
      <c r="BV156" s="410">
        <f>BQ156*$X156</f>
        <v>57.946126352255789</v>
      </c>
      <c r="BW156" s="410">
        <f>BQ156* Pile!$U$36</f>
        <v>0</v>
      </c>
      <c r="BX156" s="410">
        <f t="shared" ref="BX156:BX219" si="141">IF(BW156&gt;0,MIN(BV156:BW156),BV156)</f>
        <v>57.946126352255789</v>
      </c>
      <c r="BY156" s="410">
        <f>BX156/ 'Pile Data and Eurocode Factors'!$C$19/ 'Pile Data and Eurocode Factors'!$C$20</f>
        <v>24.347111912712521</v>
      </c>
      <c r="BZ156" s="410">
        <f t="shared" ref="BZ156:BZ219" si="142">BY156+BU156</f>
        <v>24.749533850479033</v>
      </c>
      <c r="CA156" s="410">
        <f>VLOOKUP(BO156, 'Pile Data and Eurocode Factors'!$A$34:$J$39,3, FALSE)</f>
        <v>9464.7047474031824</v>
      </c>
      <c r="CB156" s="412">
        <f t="shared" ref="CB156:CB219" si="143">MIN(BZ156:CA156)</f>
        <v>24.749533850479033</v>
      </c>
      <c r="CC156" s="411">
        <v>1050</v>
      </c>
      <c r="CD156" s="410">
        <f>PI()*CC156/1000*( Pile!$C$36- Pile!$C156)</f>
        <v>0.98960168588078423</v>
      </c>
      <c r="CE156" s="410">
        <f t="shared" ref="CE156:CE219" si="144">PI()*(CC156/2000)^2</f>
        <v>0.86590147514568672</v>
      </c>
      <c r="CF156" s="410">
        <f>+$U156*CD156</f>
        <v>0.9859337475279506</v>
      </c>
      <c r="CG156" s="429">
        <f>CD156* Pile!$S$36</f>
        <v>0</v>
      </c>
      <c r="CH156" s="410">
        <f>IF(CG156&gt;0,MIN(CF156:CG156),CF156)</f>
        <v>0.9859337475279506</v>
      </c>
      <c r="CI156" s="410">
        <f>IF(CH156&gt;0,+CH156)/ 'Pile Data and Eurocode Factors'!$B$19/ 'Pile Data and Eurocode Factors'!$B$20</f>
        <v>0.46949226072759553</v>
      </c>
      <c r="CJ156" s="410">
        <f>CE156*$X156</f>
        <v>78.8711164239037</v>
      </c>
      <c r="CK156" s="410">
        <f>CE156* Pile!$U$36</f>
        <v>0</v>
      </c>
      <c r="CL156" s="410">
        <f t="shared" ref="CL156:CL219" si="145">IF(CK156&gt;0,MIN(CJ156:CK156),CJ156)</f>
        <v>78.8711164239037</v>
      </c>
      <c r="CM156" s="410">
        <f>CL156/ 'Pile Data and Eurocode Factors'!$C$19/ 'Pile Data and Eurocode Factors'!$C$20</f>
        <v>33.1391245478587</v>
      </c>
      <c r="CN156" s="410">
        <f t="shared" ref="CN156:CN219" si="146">CM156+CI156</f>
        <v>33.608616808586298</v>
      </c>
      <c r="CO156" s="410">
        <f>VLOOKUP(CC156, 'Pile Data and Eurocode Factors'!$A$34:$J$39,3, FALSE)</f>
        <v>12882.514795076555</v>
      </c>
      <c r="CP156" s="412">
        <f t="shared" ref="CP156:CP219" si="147">MIN(CN156:CO156)</f>
        <v>33.608616808586298</v>
      </c>
      <c r="CQ156" s="411">
        <v>1200</v>
      </c>
      <c r="CR156" s="410">
        <f>PI()*CQ156/1000*( Pile!$C$36- Pile!$C156)</f>
        <v>1.1309733552923249</v>
      </c>
      <c r="CS156" s="410">
        <f t="shared" ref="CS156:CS219" si="148">PI()*(CQ156/2000)^2</f>
        <v>1.1309733552923256</v>
      </c>
      <c r="CT156" s="410">
        <f>+$U156*CR156</f>
        <v>1.1267814257462292</v>
      </c>
      <c r="CU156" s="429">
        <f>CR156* Pile!$S$36</f>
        <v>0</v>
      </c>
      <c r="CV156" s="410">
        <f>IF(CU156&gt;0,MIN(CT156:CU156),CT156)</f>
        <v>1.1267814257462292</v>
      </c>
      <c r="CW156" s="410">
        <f>IF(CV156&gt;0,+CV156)/ 'Pile Data and Eurocode Factors'!$B$19/ 'Pile Data and Eurocode Factors'!$B$20</f>
        <v>0.53656258368868059</v>
      </c>
      <c r="CX156" s="410">
        <f>CS156*$X156</f>
        <v>103.01533573734362</v>
      </c>
      <c r="CY156" s="410">
        <f>CS156* Pile!$U$36</f>
        <v>0</v>
      </c>
      <c r="CZ156" s="410">
        <f t="shared" ref="CZ156:CZ219" si="149">IF(CY156&gt;0,MIN(CX156:CY156),CX156)</f>
        <v>103.01533573734362</v>
      </c>
      <c r="DA156" s="410">
        <f>CZ156/ 'Pile Data and Eurocode Factors'!$C$19/ 'Pile Data and Eurocode Factors'!$C$20</f>
        <v>43.283754511488915</v>
      </c>
      <c r="DB156" s="410">
        <f t="shared" ref="DB156:DB219" si="150">DA156+CW156</f>
        <v>43.820317095177593</v>
      </c>
      <c r="DC156" s="410">
        <f>VLOOKUP(CQ156, 'Pile Data and Eurocode Factors'!$A$34:$J$39,3, FALSE)</f>
        <v>16826.141773161216</v>
      </c>
      <c r="DD156" s="412">
        <f t="shared" ref="DD156:DD219" si="151">MIN(DB156:DC156)</f>
        <v>43.820317095177593</v>
      </c>
      <c r="DE156" s="413">
        <f xml:space="preserve"> Pile!$C$23- Pile!C156</f>
        <v>0.29999999999999982</v>
      </c>
      <c r="DG156" s="410">
        <f t="shared" ref="DG156:DG219" si="152">$AL156</f>
        <v>6.2879889470613852</v>
      </c>
      <c r="DH156" s="410">
        <f t="shared" ref="DH156:DH219" si="153">$AZ156</f>
        <v>11.08921991971657</v>
      </c>
      <c r="DI156" s="410">
        <f t="shared" ref="DI156:DI219" si="154">$BN156</f>
        <v>17.243068220855783</v>
      </c>
      <c r="DJ156" s="410"/>
      <c r="DK156" s="410"/>
      <c r="DL156" s="410"/>
    </row>
    <row r="157" spans="1:116" s="308" customFormat="1" ht="15">
      <c r="B157" s="400">
        <v>2</v>
      </c>
      <c r="C157" s="401">
        <f>+C156- Pile!D$36/20</f>
        <v>5.4</v>
      </c>
      <c r="D157" s="415" t="str">
        <f>B23</f>
        <v>Loose Sand/Gravel</v>
      </c>
      <c r="E157" s="415" t="str">
        <f>F23</f>
        <v>Granular</v>
      </c>
      <c r="F157" s="401">
        <f xml:space="preserve"> Pile!$E$36*(+C156-C157)+F156</f>
        <v>9.899999999999995</v>
      </c>
      <c r="G157" s="401">
        <f>IF(C157&gt; Pile!$C$41,0,( Pile!$C$41-C157)*9.81)</f>
        <v>0</v>
      </c>
      <c r="H157" s="401">
        <f t="shared" si="122"/>
        <v>9.899999999999995</v>
      </c>
      <c r="I157" s="401">
        <f t="shared" si="123"/>
        <v>4.9499999999999975</v>
      </c>
      <c r="J157" s="401">
        <f>IF(E157="Cohesive",(( Pile!$H$36- Pile!$G$36)/20)+J156,0)</f>
        <v>0</v>
      </c>
      <c r="K157" s="401">
        <f>IF(E157="Cohesive",( Pile!$G$36+ Pile!$J157)/2,0)</f>
        <v>0</v>
      </c>
      <c r="L157" s="401" t="str">
        <f>IF( Pile!I$36="",0, Pile!I$36)</f>
        <v>0</v>
      </c>
      <c r="M157" s="401" t="str">
        <f>IF( Pile!J$36="",0, Pile!J$36)</f>
        <v>0</v>
      </c>
      <c r="N157" s="401">
        <f>IF(E157="Granular", Pile!$K$36,0)</f>
        <v>18.401122218708668</v>
      </c>
      <c r="O157" s="416">
        <f>IF(AND(E157="Granular",D157&lt;&gt;"Made Ground"), Pile!$L$36,0)</f>
        <v>0.4025428365693513</v>
      </c>
      <c r="P157" s="401">
        <f>IF(OR(D157="Low Density Chalk",D157="Medium Density Chalk"), Pile!$M$36,0)</f>
        <v>0</v>
      </c>
      <c r="Q157" s="417">
        <f>IF(D157="High Density Chalk", Pile!$N$36,0)</f>
        <v>0</v>
      </c>
      <c r="R157" s="401">
        <f>IF( Pile!O$36="",0, Pile!O$36)</f>
        <v>0</v>
      </c>
      <c r="S157" s="418">
        <f t="shared" si="124"/>
        <v>1.992587041018288</v>
      </c>
      <c r="T157" s="382">
        <f xml:space="preserve"> Pile!$T$36</f>
        <v>1200</v>
      </c>
      <c r="U157" s="382">
        <f t="shared" si="125"/>
        <v>1.992587041018288</v>
      </c>
      <c r="V157" s="382">
        <f t="shared" si="126"/>
        <v>182.17110996521572</v>
      </c>
      <c r="W157" s="382">
        <f xml:space="preserve"> Pile!$V$36</f>
        <v>15000</v>
      </c>
      <c r="X157" s="382">
        <f t="shared" si="127"/>
        <v>182.17110996521572</v>
      </c>
      <c r="Y157" s="419">
        <v>450</v>
      </c>
      <c r="Z157" s="382">
        <f>PI()*Y157/1000*( Pile!$C$36- Pile!$C157)</f>
        <v>0.84823001646924368</v>
      </c>
      <c r="AA157" s="382">
        <f t="shared" si="128"/>
        <v>0.15904312808798329</v>
      </c>
      <c r="AB157" s="382">
        <f t="shared" ref="AB157:AB160" si="155">+$U157*Z157</f>
        <v>1.690172138619344</v>
      </c>
      <c r="AC157" s="430">
        <f>Z157* Pile!$S$36</f>
        <v>0</v>
      </c>
      <c r="AD157" s="382">
        <f t="shared" ref="AD157:AD162" si="156">IF(AC157&gt;0,MIN(AB157:AC157),AB157)</f>
        <v>1.690172138619344</v>
      </c>
      <c r="AE157" s="382">
        <f>IF(AD157&gt;0,+AD157)/ 'Pile Data and Eurocode Factors'!$B$19/ 'Pile Data and Eurocode Factors'!$B$20</f>
        <v>0.80484387553302106</v>
      </c>
      <c r="AF157" s="382">
        <f t="shared" ref="AF157:AF175" si="157">AA157*$X157</f>
        <v>28.973063176127894</v>
      </c>
      <c r="AG157" s="382">
        <f>AA157* Pile!$U$36</f>
        <v>0</v>
      </c>
      <c r="AH157" s="382">
        <f t="shared" si="129"/>
        <v>28.973063176127894</v>
      </c>
      <c r="AI157" s="382">
        <f>AH157/ 'Pile Data and Eurocode Factors'!$C$19/ 'Pile Data and Eurocode Factors'!$C$20</f>
        <v>12.17355595635626</v>
      </c>
      <c r="AJ157" s="382">
        <f t="shared" si="130"/>
        <v>12.978399831889281</v>
      </c>
      <c r="AK157" s="382">
        <f>VLOOKUP(Y157, 'Pile Data and Eurocode Factors'!$A$34:$J$39,3, FALSE)</f>
        <v>2366.1761868507956</v>
      </c>
      <c r="AL157" s="403">
        <f t="shared" si="131"/>
        <v>12.978399831889281</v>
      </c>
      <c r="AM157" s="419">
        <v>600</v>
      </c>
      <c r="AN157" s="382">
        <f>PI()*AM157/1000*( Pile!$C$36- Pile!$C157)</f>
        <v>1.1309733552923249</v>
      </c>
      <c r="AO157" s="382">
        <f t="shared" si="132"/>
        <v>0.28274333882308139</v>
      </c>
      <c r="AP157" s="382">
        <f t="shared" ref="AP157:AP160" si="158">+$U157*AN157</f>
        <v>2.2535628514924584</v>
      </c>
      <c r="AQ157" s="430">
        <f>AN157* Pile!$S$36</f>
        <v>0</v>
      </c>
      <c r="AR157" s="382">
        <f t="shared" ref="AR157:AR162" si="159">IF(AQ157&gt;0,MIN(AP157:AQ157),AP157)</f>
        <v>2.2535628514924584</v>
      </c>
      <c r="AS157" s="382">
        <f>IF(AR157&gt;0,+AR157)/ 'Pile Data and Eurocode Factors'!$B$19/ 'Pile Data and Eurocode Factors'!$B$20</f>
        <v>1.0731251673773612</v>
      </c>
      <c r="AT157" s="382">
        <f t="shared" ref="AT157:AT175" si="160">AO157*$X157</f>
        <v>51.50766786867181</v>
      </c>
      <c r="AU157" s="382">
        <f>AO157* Pile!$U$36</f>
        <v>0</v>
      </c>
      <c r="AV157" s="382">
        <f t="shared" si="133"/>
        <v>51.50766786867181</v>
      </c>
      <c r="AW157" s="382">
        <f>AV157/ 'Pile Data and Eurocode Factors'!$C$19/ 'Pile Data and Eurocode Factors'!$C$20</f>
        <v>21.641877255744458</v>
      </c>
      <c r="AX157" s="382">
        <f t="shared" si="134"/>
        <v>22.71500242312182</v>
      </c>
      <c r="AY157" s="382">
        <f>VLOOKUP(AM157, 'Pile Data and Eurocode Factors'!$A$34:$J$39,3, FALSE)</f>
        <v>4206.5354432903041</v>
      </c>
      <c r="AZ157" s="403">
        <f t="shared" si="135"/>
        <v>22.71500242312182</v>
      </c>
      <c r="BA157" s="419">
        <v>750</v>
      </c>
      <c r="BB157" s="382">
        <f>PI()*BA157/1000*( Pile!$C$36- Pile!$C157)</f>
        <v>1.413716694115406</v>
      </c>
      <c r="BC157" s="382">
        <f t="shared" si="136"/>
        <v>0.44178646691106466</v>
      </c>
      <c r="BD157" s="382">
        <f t="shared" ref="BD157:BD160" si="161">+$U157*BB157</f>
        <v>2.8169535643655732</v>
      </c>
      <c r="BE157" s="430">
        <f>BB157* Pile!$S$36</f>
        <v>0</v>
      </c>
      <c r="BF157" s="382">
        <f t="shared" ref="BF157:BF162" si="162">IF(BE157&gt;0,MIN(BD157:BE157),BD157)</f>
        <v>2.8169535643655732</v>
      </c>
      <c r="BG157" s="382">
        <f>IF(BF157&gt;0,+BF157)/ 'Pile Data and Eurocode Factors'!$B$19/ 'Pile Data and Eurocode Factors'!$B$20</f>
        <v>1.3414064592217017</v>
      </c>
      <c r="BH157" s="382">
        <f t="shared" ref="BH157:BH175" si="163">BC157*$X157</f>
        <v>80.480731044799697</v>
      </c>
      <c r="BI157" s="382">
        <f>BC157* Pile!$U$36</f>
        <v>0</v>
      </c>
      <c r="BJ157" s="382">
        <f t="shared" si="137"/>
        <v>80.480731044799697</v>
      </c>
      <c r="BK157" s="382">
        <f>BJ157/ 'Pile Data and Eurocode Factors'!$C$19/ 'Pile Data and Eurocode Factors'!$C$20</f>
        <v>33.815433212100714</v>
      </c>
      <c r="BL157" s="382">
        <f t="shared" si="138"/>
        <v>35.156839671322416</v>
      </c>
      <c r="BM157" s="382">
        <f>VLOOKUP(BA157, 'Pile Data and Eurocode Factors'!$A$34:$J$39,3, FALSE)</f>
        <v>6572.7116301410997</v>
      </c>
      <c r="BN157" s="403">
        <f t="shared" si="139"/>
        <v>35.156839671322416</v>
      </c>
      <c r="BO157" s="419">
        <v>900</v>
      </c>
      <c r="BP157" s="382">
        <f>PI()*BO157/1000*( Pile!$C$36- Pile!$C157)</f>
        <v>1.6964600329384874</v>
      </c>
      <c r="BQ157" s="382">
        <f t="shared" si="140"/>
        <v>0.63617251235193317</v>
      </c>
      <c r="BR157" s="382">
        <f t="shared" ref="BR157:BR160" si="164">+$U157*BP157</f>
        <v>3.380344277238688</v>
      </c>
      <c r="BS157" s="430">
        <f>BP157* Pile!$S$36</f>
        <v>0</v>
      </c>
      <c r="BT157" s="382">
        <f t="shared" ref="BT157:BT162" si="165">IF(BS157&gt;0,MIN(BR157:BS157),BR157)</f>
        <v>3.380344277238688</v>
      </c>
      <c r="BU157" s="382">
        <f>IF(BT157&gt;0,+BT157)/ 'Pile Data and Eurocode Factors'!$B$19/ 'Pile Data and Eurocode Factors'!$B$20</f>
        <v>1.6096877510660421</v>
      </c>
      <c r="BV157" s="382">
        <f t="shared" ref="BV157:BV175" si="166">BQ157*$X157</f>
        <v>115.89225270451158</v>
      </c>
      <c r="BW157" s="382">
        <f>BQ157* Pile!$U$36</f>
        <v>0</v>
      </c>
      <c r="BX157" s="382">
        <f t="shared" si="141"/>
        <v>115.89225270451158</v>
      </c>
      <c r="BY157" s="382">
        <f>BX157/ 'Pile Data and Eurocode Factors'!$C$19/ 'Pile Data and Eurocode Factors'!$C$20</f>
        <v>48.694223825425041</v>
      </c>
      <c r="BZ157" s="382">
        <f t="shared" si="142"/>
        <v>50.303911576491082</v>
      </c>
      <c r="CA157" s="382">
        <f>VLOOKUP(BO157, 'Pile Data and Eurocode Factors'!$A$34:$J$39,3, FALSE)</f>
        <v>9464.7047474031824</v>
      </c>
      <c r="CB157" s="403">
        <f t="shared" si="143"/>
        <v>50.303911576491082</v>
      </c>
      <c r="CC157" s="419">
        <v>1050</v>
      </c>
      <c r="CD157" s="382">
        <f>PI()*CC157/1000*( Pile!$C$36- Pile!$C157)</f>
        <v>1.9792033717615685</v>
      </c>
      <c r="CE157" s="382">
        <f t="shared" si="144"/>
        <v>0.86590147514568672</v>
      </c>
      <c r="CF157" s="382">
        <f t="shared" ref="CF157:CF160" si="167">+$U157*CD157</f>
        <v>3.9437349901118024</v>
      </c>
      <c r="CG157" s="430">
        <f>CD157* Pile!$S$36</f>
        <v>0</v>
      </c>
      <c r="CH157" s="382">
        <f t="shared" ref="CH157:CH162" si="168">IF(CG157&gt;0,MIN(CF157:CG157),CF157)</f>
        <v>3.9437349901118024</v>
      </c>
      <c r="CI157" s="382">
        <f>IF(CH157&gt;0,+CH157)/ 'Pile Data and Eurocode Factors'!$B$19/ 'Pile Data and Eurocode Factors'!$B$20</f>
        <v>1.8779690429103821</v>
      </c>
      <c r="CJ157" s="382">
        <f t="shared" ref="CJ157:CJ175" si="169">CE157*$X157</f>
        <v>157.7422328478074</v>
      </c>
      <c r="CK157" s="382">
        <f>CE157* Pile!$U$36</f>
        <v>0</v>
      </c>
      <c r="CL157" s="382">
        <f t="shared" si="145"/>
        <v>157.7422328478074</v>
      </c>
      <c r="CM157" s="382">
        <f>CL157/ 'Pile Data and Eurocode Factors'!$C$19/ 'Pile Data and Eurocode Factors'!$C$20</f>
        <v>66.278249095717399</v>
      </c>
      <c r="CN157" s="382">
        <f t="shared" si="146"/>
        <v>68.156218138627779</v>
      </c>
      <c r="CO157" s="382">
        <f>VLOOKUP(CC157, 'Pile Data and Eurocode Factors'!$A$34:$J$39,3, FALSE)</f>
        <v>12882.514795076555</v>
      </c>
      <c r="CP157" s="403">
        <f t="shared" si="147"/>
        <v>68.156218138627779</v>
      </c>
      <c r="CQ157" s="419">
        <v>1200</v>
      </c>
      <c r="CR157" s="382">
        <f>PI()*CQ157/1000*( Pile!$C$36- Pile!$C157)</f>
        <v>2.2619467105846498</v>
      </c>
      <c r="CS157" s="382">
        <f t="shared" si="148"/>
        <v>1.1309733552923256</v>
      </c>
      <c r="CT157" s="382">
        <f t="shared" ref="CT157:CT160" si="170">+$U157*CR157</f>
        <v>4.5071257029849168</v>
      </c>
      <c r="CU157" s="430">
        <f>CR157* Pile!$S$36</f>
        <v>0</v>
      </c>
      <c r="CV157" s="382">
        <f t="shared" ref="CV157:CV162" si="171">IF(CU157&gt;0,MIN(CT157:CU157),CT157)</f>
        <v>4.5071257029849168</v>
      </c>
      <c r="CW157" s="382">
        <f>IF(CV157&gt;0,+CV157)/ 'Pile Data and Eurocode Factors'!$B$19/ 'Pile Data and Eurocode Factors'!$B$20</f>
        <v>2.1462503347547224</v>
      </c>
      <c r="CX157" s="382">
        <f t="shared" ref="CX157:CX175" si="172">CS157*$X157</f>
        <v>206.03067147468724</v>
      </c>
      <c r="CY157" s="382">
        <f>CS157* Pile!$U$36</f>
        <v>0</v>
      </c>
      <c r="CZ157" s="382">
        <f t="shared" si="149"/>
        <v>206.03067147468724</v>
      </c>
      <c r="DA157" s="382">
        <f>CZ157/ 'Pile Data and Eurocode Factors'!$C$19/ 'Pile Data and Eurocode Factors'!$C$20</f>
        <v>86.567509022977831</v>
      </c>
      <c r="DB157" s="382">
        <f t="shared" si="150"/>
        <v>88.713759357732556</v>
      </c>
      <c r="DC157" s="382">
        <f>VLOOKUP(CQ157, 'Pile Data and Eurocode Factors'!$A$34:$J$39,3, FALSE)</f>
        <v>16826.141773161216</v>
      </c>
      <c r="DD157" s="403">
        <f t="shared" si="151"/>
        <v>88.713759357732556</v>
      </c>
      <c r="DE157" s="420">
        <f xml:space="preserve"> Pile!$C$23- Pile!C157</f>
        <v>0.59999999999999964</v>
      </c>
      <c r="DG157" s="382">
        <f t="shared" si="152"/>
        <v>12.978399831889281</v>
      </c>
      <c r="DH157" s="382">
        <f t="shared" si="153"/>
        <v>22.71500242312182</v>
      </c>
      <c r="DI157" s="382">
        <f t="shared" si="154"/>
        <v>35.156839671322416</v>
      </c>
      <c r="DJ157" s="382"/>
      <c r="DK157" s="382"/>
      <c r="DL157" s="382"/>
    </row>
    <row r="158" spans="1:116" s="308" customFormat="1" ht="15">
      <c r="B158" s="400">
        <v>3</v>
      </c>
      <c r="C158" s="401">
        <f>+C157- Pile!D$36/20</f>
        <v>5.1000000000000005</v>
      </c>
      <c r="D158" s="415" t="str">
        <f>B23</f>
        <v>Loose Sand/Gravel</v>
      </c>
      <c r="E158" s="415" t="str">
        <f>F23</f>
        <v>Granular</v>
      </c>
      <c r="F158" s="401">
        <f xml:space="preserve"> Pile!$E$36*(+C157-C158)+F157</f>
        <v>14.849999999999993</v>
      </c>
      <c r="G158" s="401">
        <f>IF(C158&gt; Pile!$C$41,0,( Pile!$C$41-C158)*9.81)</f>
        <v>0</v>
      </c>
      <c r="H158" s="401">
        <f t="shared" si="122"/>
        <v>14.849999999999993</v>
      </c>
      <c r="I158" s="401">
        <f t="shared" si="123"/>
        <v>7.4249999999999963</v>
      </c>
      <c r="J158" s="401">
        <f>IF(E158="Cohesive",(( Pile!$H$36- Pile!$G$36)/20)+J157,0)</f>
        <v>0</v>
      </c>
      <c r="K158" s="401">
        <f>IF(E158="Cohesive",( Pile!$G$36+ Pile!$J158)/2,0)</f>
        <v>0</v>
      </c>
      <c r="L158" s="401" t="str">
        <f>IF( Pile!I$36="",0, Pile!I$36)</f>
        <v>0</v>
      </c>
      <c r="M158" s="401" t="str">
        <f>IF( Pile!J$36="",0, Pile!J$36)</f>
        <v>0</v>
      </c>
      <c r="N158" s="401">
        <f>IF(E158="Granular", Pile!$K$36,0)</f>
        <v>18.401122218708668</v>
      </c>
      <c r="O158" s="416">
        <f>IF(AND(E158="Granular",D158&lt;&gt;"Made Ground"), Pile!$L$36,0)</f>
        <v>0.4025428365693513</v>
      </c>
      <c r="P158" s="401">
        <f>IF(OR(D158="Low Density Chalk",D158="Medium Density Chalk"), Pile!$M$36,0)</f>
        <v>0</v>
      </c>
      <c r="Q158" s="417">
        <f>IF(D158="High Density Chalk", Pile!$N$36,0)</f>
        <v>0</v>
      </c>
      <c r="R158" s="401">
        <f>IF( Pile!O$36="",0, Pile!O$36)</f>
        <v>0</v>
      </c>
      <c r="S158" s="418">
        <f t="shared" si="124"/>
        <v>2.9888805615274321</v>
      </c>
      <c r="T158" s="382">
        <f xml:space="preserve"> Pile!$T$36</f>
        <v>1200</v>
      </c>
      <c r="U158" s="382">
        <f t="shared" si="125"/>
        <v>2.9888805615274321</v>
      </c>
      <c r="V158" s="382">
        <f t="shared" si="126"/>
        <v>273.25666494782359</v>
      </c>
      <c r="W158" s="382">
        <f xml:space="preserve"> Pile!$V$36</f>
        <v>15000</v>
      </c>
      <c r="X158" s="382">
        <f t="shared" si="127"/>
        <v>273.25666494782359</v>
      </c>
      <c r="Y158" s="419">
        <v>450</v>
      </c>
      <c r="Z158" s="382">
        <f>PI()*Y158/1000*( Pile!$C$36- Pile!$C158)</f>
        <v>1.2723450247038655</v>
      </c>
      <c r="AA158" s="382">
        <f t="shared" si="128"/>
        <v>0.15904312808798329</v>
      </c>
      <c r="AB158" s="382">
        <f t="shared" si="155"/>
        <v>3.802887311893524</v>
      </c>
      <c r="AC158" s="430">
        <f>Z158* Pile!$S$36</f>
        <v>0</v>
      </c>
      <c r="AD158" s="382">
        <f t="shared" si="156"/>
        <v>3.802887311893524</v>
      </c>
      <c r="AE158" s="382">
        <f>IF(AD158&gt;0,+AD158)/ 'Pile Data and Eurocode Factors'!$B$19/ 'Pile Data and Eurocode Factors'!$B$20</f>
        <v>1.8108987199492974</v>
      </c>
      <c r="AF158" s="382">
        <f t="shared" si="157"/>
        <v>43.459594764191841</v>
      </c>
      <c r="AG158" s="382">
        <f>AA158* Pile!$U$36</f>
        <v>0</v>
      </c>
      <c r="AH158" s="382">
        <f t="shared" si="129"/>
        <v>43.459594764191841</v>
      </c>
      <c r="AI158" s="382">
        <f>AH158/ 'Pile Data and Eurocode Factors'!$C$19/ 'Pile Data and Eurocode Factors'!$C$20</f>
        <v>18.260333934534387</v>
      </c>
      <c r="AJ158" s="382">
        <f t="shared" si="130"/>
        <v>20.071232654483683</v>
      </c>
      <c r="AK158" s="382">
        <f>VLOOKUP(Y158, 'Pile Data and Eurocode Factors'!$A$34:$J$39,3, FALSE)</f>
        <v>2366.1761868507956</v>
      </c>
      <c r="AL158" s="403">
        <f t="shared" si="131"/>
        <v>20.071232654483683</v>
      </c>
      <c r="AM158" s="419">
        <v>600</v>
      </c>
      <c r="AN158" s="382">
        <f>PI()*AM158/1000*( Pile!$C$36- Pile!$C158)</f>
        <v>1.6964600329384874</v>
      </c>
      <c r="AO158" s="382">
        <f t="shared" si="132"/>
        <v>0.28274333882308139</v>
      </c>
      <c r="AP158" s="382">
        <f t="shared" si="158"/>
        <v>5.070516415858032</v>
      </c>
      <c r="AQ158" s="430">
        <f>AN158* Pile!$S$36</f>
        <v>0</v>
      </c>
      <c r="AR158" s="382">
        <f t="shared" si="159"/>
        <v>5.070516415858032</v>
      </c>
      <c r="AS158" s="382">
        <f>IF(AR158&gt;0,+AR158)/ 'Pile Data and Eurocode Factors'!$B$19/ 'Pile Data and Eurocode Factors'!$B$20</f>
        <v>2.4145316265990631</v>
      </c>
      <c r="AT158" s="382">
        <f t="shared" si="160"/>
        <v>77.261501803007718</v>
      </c>
      <c r="AU158" s="382">
        <f>AO158* Pile!$U$36</f>
        <v>0</v>
      </c>
      <c r="AV158" s="382">
        <f t="shared" si="133"/>
        <v>77.261501803007718</v>
      </c>
      <c r="AW158" s="382">
        <f>AV158/ 'Pile Data and Eurocode Factors'!$C$19/ 'Pile Data and Eurocode Factors'!$C$20</f>
        <v>32.462815883616692</v>
      </c>
      <c r="AX158" s="382">
        <f t="shared" si="134"/>
        <v>34.877347510215756</v>
      </c>
      <c r="AY158" s="382">
        <f>VLOOKUP(AM158, 'Pile Data and Eurocode Factors'!$A$34:$J$39,3, FALSE)</f>
        <v>4206.5354432903041</v>
      </c>
      <c r="AZ158" s="403">
        <f t="shared" si="135"/>
        <v>34.877347510215756</v>
      </c>
      <c r="BA158" s="419">
        <v>750</v>
      </c>
      <c r="BB158" s="382">
        <f>PI()*BA158/1000*( Pile!$C$36- Pile!$C158)</f>
        <v>2.120575041173109</v>
      </c>
      <c r="BC158" s="382">
        <f t="shared" si="136"/>
        <v>0.44178646691106466</v>
      </c>
      <c r="BD158" s="382">
        <f t="shared" si="161"/>
        <v>6.3381455198225396</v>
      </c>
      <c r="BE158" s="430">
        <f>BB158* Pile!$S$36</f>
        <v>0</v>
      </c>
      <c r="BF158" s="382">
        <f t="shared" si="162"/>
        <v>6.3381455198225396</v>
      </c>
      <c r="BG158" s="382">
        <f>IF(BF158&gt;0,+BF158)/ 'Pile Data and Eurocode Factors'!$B$19/ 'Pile Data and Eurocode Factors'!$B$20</f>
        <v>3.0181645332488287</v>
      </c>
      <c r="BH158" s="382">
        <f t="shared" si="163"/>
        <v>120.72109656719955</v>
      </c>
      <c r="BI158" s="382">
        <f>BC158* Pile!$U$36</f>
        <v>0</v>
      </c>
      <c r="BJ158" s="382">
        <f t="shared" si="137"/>
        <v>120.72109656719955</v>
      </c>
      <c r="BK158" s="382">
        <f>BJ158/ 'Pile Data and Eurocode Factors'!$C$19/ 'Pile Data and Eurocode Factors'!$C$20</f>
        <v>50.723149818151072</v>
      </c>
      <c r="BL158" s="382">
        <f t="shared" si="138"/>
        <v>53.7413143513999</v>
      </c>
      <c r="BM158" s="382">
        <f>VLOOKUP(BA158, 'Pile Data and Eurocode Factors'!$A$34:$J$39,3, FALSE)</f>
        <v>6572.7116301410997</v>
      </c>
      <c r="BN158" s="403">
        <f t="shared" si="139"/>
        <v>53.7413143513999</v>
      </c>
      <c r="BO158" s="419">
        <v>900</v>
      </c>
      <c r="BP158" s="382">
        <f>PI()*BO158/1000*( Pile!$C$36- Pile!$C158)</f>
        <v>2.5446900494077309</v>
      </c>
      <c r="BQ158" s="382">
        <f t="shared" si="140"/>
        <v>0.63617251235193317</v>
      </c>
      <c r="BR158" s="382">
        <f t="shared" si="164"/>
        <v>7.605774623787048</v>
      </c>
      <c r="BS158" s="430">
        <f>BP158* Pile!$S$36</f>
        <v>0</v>
      </c>
      <c r="BT158" s="382">
        <f t="shared" si="165"/>
        <v>7.605774623787048</v>
      </c>
      <c r="BU158" s="382">
        <f>IF(BT158&gt;0,+BT158)/ 'Pile Data and Eurocode Factors'!$B$19/ 'Pile Data and Eurocode Factors'!$B$20</f>
        <v>3.6217974398985948</v>
      </c>
      <c r="BV158" s="382">
        <f t="shared" si="166"/>
        <v>173.83837905676737</v>
      </c>
      <c r="BW158" s="382">
        <f>BQ158* Pile!$U$36</f>
        <v>0</v>
      </c>
      <c r="BX158" s="382">
        <f t="shared" si="141"/>
        <v>173.83837905676737</v>
      </c>
      <c r="BY158" s="382">
        <f>BX158/ 'Pile Data and Eurocode Factors'!$C$19/ 'Pile Data and Eurocode Factors'!$C$20</f>
        <v>73.041335738137548</v>
      </c>
      <c r="BZ158" s="382">
        <f t="shared" si="142"/>
        <v>76.663133178036148</v>
      </c>
      <c r="CA158" s="382">
        <f>VLOOKUP(BO158, 'Pile Data and Eurocode Factors'!$A$34:$J$39,3, FALSE)</f>
        <v>9464.7047474031824</v>
      </c>
      <c r="CB158" s="403">
        <f t="shared" si="143"/>
        <v>76.663133178036148</v>
      </c>
      <c r="CC158" s="419">
        <v>1050</v>
      </c>
      <c r="CD158" s="382">
        <f>PI()*CC158/1000*( Pile!$C$36- Pile!$C158)</f>
        <v>2.9688050576423528</v>
      </c>
      <c r="CE158" s="382">
        <f t="shared" si="144"/>
        <v>0.86590147514568672</v>
      </c>
      <c r="CF158" s="382">
        <f t="shared" si="167"/>
        <v>8.8734037277515565</v>
      </c>
      <c r="CG158" s="430">
        <f>CD158* Pile!$S$36</f>
        <v>0</v>
      </c>
      <c r="CH158" s="382">
        <f t="shared" si="168"/>
        <v>8.8734037277515565</v>
      </c>
      <c r="CI158" s="382">
        <f>IF(CH158&gt;0,+CH158)/ 'Pile Data and Eurocode Factors'!$B$19/ 'Pile Data and Eurocode Factors'!$B$20</f>
        <v>4.22543034654836</v>
      </c>
      <c r="CJ158" s="382">
        <f t="shared" si="169"/>
        <v>236.61334927171112</v>
      </c>
      <c r="CK158" s="382">
        <f>CE158* Pile!$U$36</f>
        <v>0</v>
      </c>
      <c r="CL158" s="382">
        <f t="shared" si="145"/>
        <v>236.61334927171112</v>
      </c>
      <c r="CM158" s="382">
        <f>CL158/ 'Pile Data and Eurocode Factors'!$C$19/ 'Pile Data and Eurocode Factors'!$C$20</f>
        <v>99.417373643576113</v>
      </c>
      <c r="CN158" s="382">
        <f t="shared" si="146"/>
        <v>103.64280399012448</v>
      </c>
      <c r="CO158" s="382">
        <f>VLOOKUP(CC158, 'Pile Data and Eurocode Factors'!$A$34:$J$39,3, FALSE)</f>
        <v>12882.514795076555</v>
      </c>
      <c r="CP158" s="403">
        <f t="shared" si="147"/>
        <v>103.64280399012448</v>
      </c>
      <c r="CQ158" s="419">
        <v>1200</v>
      </c>
      <c r="CR158" s="382">
        <f>PI()*CQ158/1000*( Pile!$C$36- Pile!$C158)</f>
        <v>3.3929200658769747</v>
      </c>
      <c r="CS158" s="382">
        <f t="shared" si="148"/>
        <v>1.1309733552923256</v>
      </c>
      <c r="CT158" s="382">
        <f t="shared" si="170"/>
        <v>10.141032831716064</v>
      </c>
      <c r="CU158" s="430">
        <f>CR158* Pile!$S$36</f>
        <v>0</v>
      </c>
      <c r="CV158" s="382">
        <f t="shared" si="171"/>
        <v>10.141032831716064</v>
      </c>
      <c r="CW158" s="382">
        <f>IF(CV158&gt;0,+CV158)/ 'Pile Data and Eurocode Factors'!$B$19/ 'Pile Data and Eurocode Factors'!$B$20</f>
        <v>4.8290632531981261</v>
      </c>
      <c r="CX158" s="382">
        <f t="shared" si="172"/>
        <v>309.04600721203087</v>
      </c>
      <c r="CY158" s="382">
        <f>CS158* Pile!$U$36</f>
        <v>0</v>
      </c>
      <c r="CZ158" s="382">
        <f t="shared" si="149"/>
        <v>309.04600721203087</v>
      </c>
      <c r="DA158" s="382">
        <f>CZ158/ 'Pile Data and Eurocode Factors'!$C$19/ 'Pile Data and Eurocode Factors'!$C$20</f>
        <v>129.85126353446677</v>
      </c>
      <c r="DB158" s="382">
        <f t="shared" si="150"/>
        <v>134.68032678766488</v>
      </c>
      <c r="DC158" s="382">
        <f>VLOOKUP(CQ158, 'Pile Data and Eurocode Factors'!$A$34:$J$39,3, FALSE)</f>
        <v>16826.141773161216</v>
      </c>
      <c r="DD158" s="403">
        <f t="shared" si="151"/>
        <v>134.68032678766488</v>
      </c>
      <c r="DE158" s="420">
        <f xml:space="preserve"> Pile!$C$23- Pile!C158</f>
        <v>0.89999999999999947</v>
      </c>
      <c r="DG158" s="382">
        <f t="shared" si="152"/>
        <v>20.071232654483683</v>
      </c>
      <c r="DH158" s="382">
        <f t="shared" si="153"/>
        <v>34.877347510215756</v>
      </c>
      <c r="DI158" s="382">
        <f t="shared" si="154"/>
        <v>53.7413143513999</v>
      </c>
      <c r="DJ158" s="382"/>
      <c r="DK158" s="382"/>
      <c r="DL158" s="382"/>
    </row>
    <row r="159" spans="1:116" s="308" customFormat="1" ht="15">
      <c r="B159" s="400">
        <v>4</v>
      </c>
      <c r="C159" s="401">
        <f>+C158- Pile!D$36/20</f>
        <v>4.8000000000000007</v>
      </c>
      <c r="D159" s="415" t="str">
        <f>B23</f>
        <v>Loose Sand/Gravel</v>
      </c>
      <c r="E159" s="415" t="str">
        <f>F23</f>
        <v>Granular</v>
      </c>
      <c r="F159" s="401">
        <f xml:space="preserve"> Pile!$E$36*(+C158-C159)+F158</f>
        <v>19.79999999999999</v>
      </c>
      <c r="G159" s="401">
        <f>IF(C159&gt; Pile!$C$41,0,( Pile!$C$41-C159)*9.81)</f>
        <v>0</v>
      </c>
      <c r="H159" s="401">
        <f t="shared" si="122"/>
        <v>19.79999999999999</v>
      </c>
      <c r="I159" s="401">
        <f t="shared" si="123"/>
        <v>9.899999999999995</v>
      </c>
      <c r="J159" s="401">
        <f>IF(E159="Cohesive",(( Pile!$H$36- Pile!$G$36)/20)+J158,0)</f>
        <v>0</v>
      </c>
      <c r="K159" s="401">
        <f>IF(E159="Cohesive",( Pile!$G$36+ Pile!$J159)/2,0)</f>
        <v>0</v>
      </c>
      <c r="L159" s="401" t="str">
        <f>IF( Pile!I$36="",0, Pile!I$36)</f>
        <v>0</v>
      </c>
      <c r="M159" s="401" t="str">
        <f>IF( Pile!J$36="",0, Pile!J$36)</f>
        <v>0</v>
      </c>
      <c r="N159" s="401">
        <f>IF(E159="Granular", Pile!$K$36,0)</f>
        <v>18.401122218708668</v>
      </c>
      <c r="O159" s="416">
        <f>IF(AND(E159="Granular",D159&lt;&gt;"Made Ground"), Pile!$L$36,0)</f>
        <v>0.4025428365693513</v>
      </c>
      <c r="P159" s="401">
        <f>IF(OR(D159="Low Density Chalk",D159="Medium Density Chalk"), Pile!$M$36,0)</f>
        <v>0</v>
      </c>
      <c r="Q159" s="417">
        <f>IF(D159="High Density Chalk", Pile!$N$36,0)</f>
        <v>0</v>
      </c>
      <c r="R159" s="401">
        <f>IF( Pile!O$36="",0, Pile!O$36)</f>
        <v>0</v>
      </c>
      <c r="S159" s="418">
        <f t="shared" si="124"/>
        <v>3.985174082036576</v>
      </c>
      <c r="T159" s="382">
        <f xml:space="preserve"> Pile!$T$36</f>
        <v>1200</v>
      </c>
      <c r="U159" s="382">
        <f t="shared" si="125"/>
        <v>3.985174082036576</v>
      </c>
      <c r="V159" s="382">
        <f t="shared" si="126"/>
        <v>364.34221993043144</v>
      </c>
      <c r="W159" s="382">
        <f xml:space="preserve"> Pile!$V$36</f>
        <v>15000</v>
      </c>
      <c r="X159" s="382">
        <f t="shared" si="127"/>
        <v>364.34221993043144</v>
      </c>
      <c r="Y159" s="419">
        <v>450</v>
      </c>
      <c r="Z159" s="382">
        <f>PI()*Y159/1000*( Pile!$C$36- Pile!$C159)</f>
        <v>1.6964600329384874</v>
      </c>
      <c r="AA159" s="382">
        <f t="shared" si="128"/>
        <v>0.15904312808798329</v>
      </c>
      <c r="AB159" s="382">
        <f t="shared" si="155"/>
        <v>6.760688554477376</v>
      </c>
      <c r="AC159" s="430">
        <f>Z159* Pile!$S$36</f>
        <v>0</v>
      </c>
      <c r="AD159" s="382">
        <f t="shared" si="156"/>
        <v>6.760688554477376</v>
      </c>
      <c r="AE159" s="382">
        <f>IF(AD159&gt;0,+AD159)/ 'Pile Data and Eurocode Factors'!$B$19/ 'Pile Data and Eurocode Factors'!$B$20</f>
        <v>3.2193755021320842</v>
      </c>
      <c r="AF159" s="382">
        <f t="shared" si="157"/>
        <v>57.946126352255789</v>
      </c>
      <c r="AG159" s="382">
        <f>AA159* Pile!$U$36</f>
        <v>0</v>
      </c>
      <c r="AH159" s="382">
        <f t="shared" si="129"/>
        <v>57.946126352255789</v>
      </c>
      <c r="AI159" s="382">
        <f>AH159/ 'Pile Data and Eurocode Factors'!$C$19/ 'Pile Data and Eurocode Factors'!$C$20</f>
        <v>24.347111912712521</v>
      </c>
      <c r="AJ159" s="382">
        <f t="shared" si="130"/>
        <v>27.566487414844605</v>
      </c>
      <c r="AK159" s="382">
        <f>VLOOKUP(Y159, 'Pile Data and Eurocode Factors'!$A$34:$J$39,3, FALSE)</f>
        <v>2366.1761868507956</v>
      </c>
      <c r="AL159" s="403">
        <f t="shared" si="131"/>
        <v>27.566487414844605</v>
      </c>
      <c r="AM159" s="419">
        <v>600</v>
      </c>
      <c r="AN159" s="382">
        <f>PI()*AM159/1000*( Pile!$C$36- Pile!$C159)</f>
        <v>2.2619467105846498</v>
      </c>
      <c r="AO159" s="382">
        <f t="shared" si="132"/>
        <v>0.28274333882308139</v>
      </c>
      <c r="AP159" s="382">
        <f t="shared" si="158"/>
        <v>9.0142514059698335</v>
      </c>
      <c r="AQ159" s="430">
        <f>AN159* Pile!$S$36</f>
        <v>0</v>
      </c>
      <c r="AR159" s="382">
        <f t="shared" si="159"/>
        <v>9.0142514059698335</v>
      </c>
      <c r="AS159" s="382">
        <f>IF(AR159&gt;0,+AR159)/ 'Pile Data and Eurocode Factors'!$B$19/ 'Pile Data and Eurocode Factors'!$B$20</f>
        <v>4.2925006695094448</v>
      </c>
      <c r="AT159" s="382">
        <f t="shared" si="160"/>
        <v>103.01533573734362</v>
      </c>
      <c r="AU159" s="382">
        <f>AO159* Pile!$U$36</f>
        <v>0</v>
      </c>
      <c r="AV159" s="382">
        <f t="shared" si="133"/>
        <v>103.01533573734362</v>
      </c>
      <c r="AW159" s="382">
        <f>AV159/ 'Pile Data and Eurocode Factors'!$C$19/ 'Pile Data and Eurocode Factors'!$C$20</f>
        <v>43.283754511488915</v>
      </c>
      <c r="AX159" s="382">
        <f t="shared" si="134"/>
        <v>47.576255180998359</v>
      </c>
      <c r="AY159" s="382">
        <f>VLOOKUP(AM159, 'Pile Data and Eurocode Factors'!$A$34:$J$39,3, FALSE)</f>
        <v>4206.5354432903041</v>
      </c>
      <c r="AZ159" s="403">
        <f t="shared" si="135"/>
        <v>47.576255180998359</v>
      </c>
      <c r="BA159" s="419">
        <v>750</v>
      </c>
      <c r="BB159" s="382">
        <f>PI()*BA159/1000*( Pile!$C$36- Pile!$C159)</f>
        <v>2.827433388230812</v>
      </c>
      <c r="BC159" s="382">
        <f t="shared" si="136"/>
        <v>0.44178646691106466</v>
      </c>
      <c r="BD159" s="382">
        <f t="shared" si="161"/>
        <v>11.267814257462293</v>
      </c>
      <c r="BE159" s="430">
        <f>BB159* Pile!$S$36</f>
        <v>0</v>
      </c>
      <c r="BF159" s="382">
        <f t="shared" si="162"/>
        <v>11.267814257462293</v>
      </c>
      <c r="BG159" s="382">
        <f>IF(BF159&gt;0,+BF159)/ 'Pile Data and Eurocode Factors'!$B$19/ 'Pile Data and Eurocode Factors'!$B$20</f>
        <v>5.3656258368868066</v>
      </c>
      <c r="BH159" s="382">
        <f t="shared" si="163"/>
        <v>160.96146208959939</v>
      </c>
      <c r="BI159" s="382">
        <f>BC159* Pile!$U$36</f>
        <v>0</v>
      </c>
      <c r="BJ159" s="382">
        <f t="shared" si="137"/>
        <v>160.96146208959939</v>
      </c>
      <c r="BK159" s="382">
        <f>BJ159/ 'Pile Data and Eurocode Factors'!$C$19/ 'Pile Data and Eurocode Factors'!$C$20</f>
        <v>67.630866424201429</v>
      </c>
      <c r="BL159" s="382">
        <f t="shared" si="138"/>
        <v>72.996492261088235</v>
      </c>
      <c r="BM159" s="382">
        <f>VLOOKUP(BA159, 'Pile Data and Eurocode Factors'!$A$34:$J$39,3, FALSE)</f>
        <v>6572.7116301410997</v>
      </c>
      <c r="BN159" s="403">
        <f t="shared" si="139"/>
        <v>72.996492261088235</v>
      </c>
      <c r="BO159" s="419">
        <v>900</v>
      </c>
      <c r="BP159" s="382">
        <f>PI()*BO159/1000*( Pile!$C$36- Pile!$C159)</f>
        <v>3.3929200658769747</v>
      </c>
      <c r="BQ159" s="382">
        <f t="shared" si="140"/>
        <v>0.63617251235193317</v>
      </c>
      <c r="BR159" s="382">
        <f t="shared" si="164"/>
        <v>13.521377108954752</v>
      </c>
      <c r="BS159" s="430">
        <f>BP159* Pile!$S$36</f>
        <v>0</v>
      </c>
      <c r="BT159" s="382">
        <f t="shared" si="165"/>
        <v>13.521377108954752</v>
      </c>
      <c r="BU159" s="382">
        <f>IF(BT159&gt;0,+BT159)/ 'Pile Data and Eurocode Factors'!$B$19/ 'Pile Data and Eurocode Factors'!$B$20</f>
        <v>6.4387510042641685</v>
      </c>
      <c r="BV159" s="382">
        <f t="shared" si="166"/>
        <v>231.78450540902315</v>
      </c>
      <c r="BW159" s="382">
        <f>BQ159* Pile!$U$36</f>
        <v>0</v>
      </c>
      <c r="BX159" s="382">
        <f t="shared" si="141"/>
        <v>231.78450540902315</v>
      </c>
      <c r="BY159" s="382">
        <f>BX159/ 'Pile Data and Eurocode Factors'!$C$19/ 'Pile Data and Eurocode Factors'!$C$20</f>
        <v>97.388447650850082</v>
      </c>
      <c r="BZ159" s="382">
        <f t="shared" si="142"/>
        <v>103.82719865511424</v>
      </c>
      <c r="CA159" s="382">
        <f>VLOOKUP(BO159, 'Pile Data and Eurocode Factors'!$A$34:$J$39,3, FALSE)</f>
        <v>9464.7047474031824</v>
      </c>
      <c r="CB159" s="403">
        <f t="shared" si="143"/>
        <v>103.82719865511424</v>
      </c>
      <c r="CC159" s="419">
        <v>1050</v>
      </c>
      <c r="CD159" s="382">
        <f>PI()*CC159/1000*( Pile!$C$36- Pile!$C159)</f>
        <v>3.9584067435231369</v>
      </c>
      <c r="CE159" s="382">
        <f t="shared" si="144"/>
        <v>0.86590147514568672</v>
      </c>
      <c r="CF159" s="382">
        <f t="shared" si="167"/>
        <v>15.77493996044721</v>
      </c>
      <c r="CG159" s="430">
        <f>CD159* Pile!$S$36</f>
        <v>0</v>
      </c>
      <c r="CH159" s="382">
        <f t="shared" si="168"/>
        <v>15.77493996044721</v>
      </c>
      <c r="CI159" s="382">
        <f>IF(CH159&gt;0,+CH159)/ 'Pile Data and Eurocode Factors'!$B$19/ 'Pile Data and Eurocode Factors'!$B$20</f>
        <v>7.5118761716415285</v>
      </c>
      <c r="CJ159" s="382">
        <f t="shared" si="169"/>
        <v>315.4844656956148</v>
      </c>
      <c r="CK159" s="382">
        <f>CE159* Pile!$U$36</f>
        <v>0</v>
      </c>
      <c r="CL159" s="382">
        <f t="shared" si="145"/>
        <v>315.4844656956148</v>
      </c>
      <c r="CM159" s="382">
        <f>CL159/ 'Pile Data and Eurocode Factors'!$C$19/ 'Pile Data and Eurocode Factors'!$C$20</f>
        <v>132.5564981914348</v>
      </c>
      <c r="CN159" s="382">
        <f t="shared" si="146"/>
        <v>140.06837436307632</v>
      </c>
      <c r="CO159" s="382">
        <f>VLOOKUP(CC159, 'Pile Data and Eurocode Factors'!$A$34:$J$39,3, FALSE)</f>
        <v>12882.514795076555</v>
      </c>
      <c r="CP159" s="403">
        <f t="shared" si="147"/>
        <v>140.06837436307632</v>
      </c>
      <c r="CQ159" s="419">
        <v>1200</v>
      </c>
      <c r="CR159" s="382">
        <f>PI()*CQ159/1000*( Pile!$C$36- Pile!$C159)</f>
        <v>4.5238934211692996</v>
      </c>
      <c r="CS159" s="382">
        <f t="shared" si="148"/>
        <v>1.1309733552923256</v>
      </c>
      <c r="CT159" s="382">
        <f t="shared" si="170"/>
        <v>18.028502811939667</v>
      </c>
      <c r="CU159" s="430">
        <f>CR159* Pile!$S$36</f>
        <v>0</v>
      </c>
      <c r="CV159" s="382">
        <f t="shared" si="171"/>
        <v>18.028502811939667</v>
      </c>
      <c r="CW159" s="382">
        <f>IF(CV159&gt;0,+CV159)/ 'Pile Data and Eurocode Factors'!$B$19/ 'Pile Data and Eurocode Factors'!$B$20</f>
        <v>8.5850013390188895</v>
      </c>
      <c r="CX159" s="382">
        <f t="shared" si="172"/>
        <v>412.06134294937448</v>
      </c>
      <c r="CY159" s="382">
        <f>CS159* Pile!$U$36</f>
        <v>0</v>
      </c>
      <c r="CZ159" s="382">
        <f t="shared" si="149"/>
        <v>412.06134294937448</v>
      </c>
      <c r="DA159" s="382">
        <f>CZ159/ 'Pile Data and Eurocode Factors'!$C$19/ 'Pile Data and Eurocode Factors'!$C$20</f>
        <v>173.13501804595566</v>
      </c>
      <c r="DB159" s="382">
        <f t="shared" si="150"/>
        <v>181.72001938497456</v>
      </c>
      <c r="DC159" s="382">
        <f>VLOOKUP(CQ159, 'Pile Data and Eurocode Factors'!$A$34:$J$39,3, FALSE)</f>
        <v>16826.141773161216</v>
      </c>
      <c r="DD159" s="403">
        <f t="shared" si="151"/>
        <v>181.72001938497456</v>
      </c>
      <c r="DE159" s="420">
        <f xml:space="preserve"> Pile!$C$23- Pile!C159</f>
        <v>1.1999999999999993</v>
      </c>
      <c r="DG159" s="382">
        <f t="shared" si="152"/>
        <v>27.566487414844605</v>
      </c>
      <c r="DH159" s="382">
        <f t="shared" si="153"/>
        <v>47.576255180998359</v>
      </c>
      <c r="DI159" s="382">
        <f t="shared" si="154"/>
        <v>72.996492261088235</v>
      </c>
      <c r="DJ159" s="382"/>
      <c r="DK159" s="382"/>
      <c r="DL159" s="382"/>
    </row>
    <row r="160" spans="1:116" s="308" customFormat="1" ht="15">
      <c r="B160" s="400">
        <v>5</v>
      </c>
      <c r="C160" s="401">
        <f>+C159- Pile!D$36/20</f>
        <v>4.5000000000000009</v>
      </c>
      <c r="D160" s="415" t="str">
        <f>B23</f>
        <v>Loose Sand/Gravel</v>
      </c>
      <c r="E160" s="415" t="str">
        <f>F23</f>
        <v>Granular</v>
      </c>
      <c r="F160" s="401">
        <f xml:space="preserve"> Pile!$E$36*(+C159-C160)+F159</f>
        <v>24.749999999999986</v>
      </c>
      <c r="G160" s="401">
        <f>IF(C160&gt; Pile!$C$41,0,( Pile!$C$41-C160)*9.81)</f>
        <v>0</v>
      </c>
      <c r="H160" s="401">
        <f t="shared" si="122"/>
        <v>24.749999999999986</v>
      </c>
      <c r="I160" s="401">
        <f t="shared" si="123"/>
        <v>12.374999999999993</v>
      </c>
      <c r="J160" s="401">
        <f>IF(E160="Cohesive",(( Pile!$H$36- Pile!$G$36)/20)+J159,0)</f>
        <v>0</v>
      </c>
      <c r="K160" s="401">
        <f>IF(E160="Cohesive",( Pile!$G$36+ Pile!$J160)/2,0)</f>
        <v>0</v>
      </c>
      <c r="L160" s="401" t="str">
        <f>IF( Pile!I$36="",0, Pile!I$36)</f>
        <v>0</v>
      </c>
      <c r="M160" s="401" t="str">
        <f>IF( Pile!J$36="",0, Pile!J$36)</f>
        <v>0</v>
      </c>
      <c r="N160" s="401">
        <f>IF(E160="Granular", Pile!$K$36,0)</f>
        <v>18.401122218708668</v>
      </c>
      <c r="O160" s="416">
        <f>IF(AND(E160="Granular",D160&lt;&gt;"Made Ground"), Pile!$L$36,0)</f>
        <v>0.4025428365693513</v>
      </c>
      <c r="P160" s="401">
        <f>IF(OR(D160="Low Density Chalk",D160="Medium Density Chalk"), Pile!$M$36,0)</f>
        <v>0</v>
      </c>
      <c r="Q160" s="417">
        <f>IF(D160="High Density Chalk", Pile!$N$36,0)</f>
        <v>0</v>
      </c>
      <c r="R160" s="401">
        <f>IF( Pile!O$36="",0, Pile!O$36)</f>
        <v>0</v>
      </c>
      <c r="S160" s="418">
        <f t="shared" si="124"/>
        <v>4.9814676025457194</v>
      </c>
      <c r="T160" s="382">
        <f xml:space="preserve"> Pile!$T$36</f>
        <v>1200</v>
      </c>
      <c r="U160" s="382">
        <f t="shared" si="125"/>
        <v>4.9814676025457194</v>
      </c>
      <c r="V160" s="382">
        <f t="shared" si="126"/>
        <v>455.42777491303929</v>
      </c>
      <c r="W160" s="382">
        <f xml:space="preserve"> Pile!$V$36</f>
        <v>15000</v>
      </c>
      <c r="X160" s="382">
        <f t="shared" si="127"/>
        <v>455.42777491303929</v>
      </c>
      <c r="Y160" s="419">
        <v>450</v>
      </c>
      <c r="Z160" s="382">
        <f>PI()*Y160/1000*( Pile!$C$36- Pile!$C160)</f>
        <v>2.120575041173109</v>
      </c>
      <c r="AA160" s="382">
        <f t="shared" si="128"/>
        <v>0.15904312808798329</v>
      </c>
      <c r="AB160" s="382">
        <f t="shared" si="155"/>
        <v>10.563575866370897</v>
      </c>
      <c r="AC160" s="430">
        <f>Z160* Pile!$S$36</f>
        <v>0</v>
      </c>
      <c r="AD160" s="382">
        <f t="shared" si="156"/>
        <v>10.563575866370897</v>
      </c>
      <c r="AE160" s="382">
        <f>IF(AD160&gt;0,+AD160)/ 'Pile Data and Eurocode Factors'!$B$19/ 'Pile Data and Eurocode Factors'!$B$20</f>
        <v>5.0302742220813803</v>
      </c>
      <c r="AF160" s="382">
        <f t="shared" si="157"/>
        <v>72.432657940319729</v>
      </c>
      <c r="AG160" s="382">
        <f>AA160* Pile!$U$36</f>
        <v>0</v>
      </c>
      <c r="AH160" s="382">
        <f t="shared" si="129"/>
        <v>72.432657940319729</v>
      </c>
      <c r="AI160" s="382">
        <f>AH160/ 'Pile Data and Eurocode Factors'!$C$19/ 'Pile Data and Eurocode Factors'!$C$20</f>
        <v>30.433889890890644</v>
      </c>
      <c r="AJ160" s="382">
        <f t="shared" si="130"/>
        <v>35.464164112972021</v>
      </c>
      <c r="AK160" s="382">
        <f>VLOOKUP(Y160, 'Pile Data and Eurocode Factors'!$A$34:$J$39,3, FALSE)</f>
        <v>2366.1761868507956</v>
      </c>
      <c r="AL160" s="403">
        <f t="shared" si="131"/>
        <v>35.464164112972021</v>
      </c>
      <c r="AM160" s="419">
        <v>600</v>
      </c>
      <c r="AN160" s="382">
        <f>PI()*AM160/1000*( Pile!$C$36- Pile!$C160)</f>
        <v>2.827433388230812</v>
      </c>
      <c r="AO160" s="382">
        <f t="shared" si="132"/>
        <v>0.28274333882308139</v>
      </c>
      <c r="AP160" s="382">
        <f t="shared" si="158"/>
        <v>14.084767821827864</v>
      </c>
      <c r="AQ160" s="430">
        <f>AN160* Pile!$S$36</f>
        <v>0</v>
      </c>
      <c r="AR160" s="382">
        <f t="shared" si="159"/>
        <v>14.084767821827864</v>
      </c>
      <c r="AS160" s="382">
        <f>IF(AR160&gt;0,+AR160)/ 'Pile Data and Eurocode Factors'!$B$19/ 'Pile Data and Eurocode Factors'!$B$20</f>
        <v>6.7070322961085074</v>
      </c>
      <c r="AT160" s="382">
        <f t="shared" si="160"/>
        <v>128.76916967167952</v>
      </c>
      <c r="AU160" s="382">
        <f>AO160* Pile!$U$36</f>
        <v>0</v>
      </c>
      <c r="AV160" s="382">
        <f t="shared" si="133"/>
        <v>128.76916967167952</v>
      </c>
      <c r="AW160" s="382">
        <f>AV160/ 'Pile Data and Eurocode Factors'!$C$19/ 'Pile Data and Eurocode Factors'!$C$20</f>
        <v>54.104693139361146</v>
      </c>
      <c r="AX160" s="382">
        <f t="shared" si="134"/>
        <v>60.811725435469654</v>
      </c>
      <c r="AY160" s="382">
        <f>VLOOKUP(AM160, 'Pile Data and Eurocode Factors'!$A$34:$J$39,3, FALSE)</f>
        <v>4206.5354432903041</v>
      </c>
      <c r="AZ160" s="403">
        <f t="shared" si="135"/>
        <v>60.811725435469654</v>
      </c>
      <c r="BA160" s="419">
        <v>750</v>
      </c>
      <c r="BB160" s="382">
        <f>PI()*BA160/1000*( Pile!$C$36- Pile!$C160)</f>
        <v>3.534291735288515</v>
      </c>
      <c r="BC160" s="382">
        <f t="shared" si="136"/>
        <v>0.44178646691106466</v>
      </c>
      <c r="BD160" s="382">
        <f t="shared" si="161"/>
        <v>17.605959777284831</v>
      </c>
      <c r="BE160" s="430">
        <f>BB160* Pile!$S$36</f>
        <v>0</v>
      </c>
      <c r="BF160" s="382">
        <f t="shared" si="162"/>
        <v>17.605959777284831</v>
      </c>
      <c r="BG160" s="382">
        <f>IF(BF160&gt;0,+BF160)/ 'Pile Data and Eurocode Factors'!$B$19/ 'Pile Data and Eurocode Factors'!$B$20</f>
        <v>8.3837903701356336</v>
      </c>
      <c r="BH160" s="382">
        <f t="shared" si="163"/>
        <v>201.20182761199922</v>
      </c>
      <c r="BI160" s="382">
        <f>BC160* Pile!$U$36</f>
        <v>0</v>
      </c>
      <c r="BJ160" s="382">
        <f t="shared" si="137"/>
        <v>201.20182761199922</v>
      </c>
      <c r="BK160" s="382">
        <f>BJ160/ 'Pile Data and Eurocode Factors'!$C$19/ 'Pile Data and Eurocode Factors'!$C$20</f>
        <v>84.538583030251772</v>
      </c>
      <c r="BL160" s="382">
        <f t="shared" si="138"/>
        <v>92.9223734003874</v>
      </c>
      <c r="BM160" s="382">
        <f>VLOOKUP(BA160, 'Pile Data and Eurocode Factors'!$A$34:$J$39,3, FALSE)</f>
        <v>6572.7116301410997</v>
      </c>
      <c r="BN160" s="403">
        <f t="shared" si="139"/>
        <v>92.9223734003874</v>
      </c>
      <c r="BO160" s="419">
        <v>900</v>
      </c>
      <c r="BP160" s="382">
        <f>PI()*BO160/1000*( Pile!$C$36- Pile!$C160)</f>
        <v>4.241150082346218</v>
      </c>
      <c r="BQ160" s="382">
        <f t="shared" si="140"/>
        <v>0.63617251235193317</v>
      </c>
      <c r="BR160" s="382">
        <f t="shared" si="164"/>
        <v>21.127151732741794</v>
      </c>
      <c r="BS160" s="430">
        <f>BP160* Pile!$S$36</f>
        <v>0</v>
      </c>
      <c r="BT160" s="382">
        <f t="shared" si="165"/>
        <v>21.127151732741794</v>
      </c>
      <c r="BU160" s="382">
        <f>IF(BT160&gt;0,+BT160)/ 'Pile Data and Eurocode Factors'!$B$19/ 'Pile Data and Eurocode Factors'!$B$20</f>
        <v>10.060548444162761</v>
      </c>
      <c r="BV160" s="382">
        <f t="shared" si="166"/>
        <v>289.73063176127891</v>
      </c>
      <c r="BW160" s="382">
        <f>BQ160* Pile!$U$36</f>
        <v>0</v>
      </c>
      <c r="BX160" s="382">
        <f t="shared" si="141"/>
        <v>289.73063176127891</v>
      </c>
      <c r="BY160" s="382">
        <f>BX160/ 'Pile Data and Eurocode Factors'!$C$19/ 'Pile Data and Eurocode Factors'!$C$20</f>
        <v>121.73555956356257</v>
      </c>
      <c r="BZ160" s="382">
        <f t="shared" si="142"/>
        <v>131.79610800772534</v>
      </c>
      <c r="CA160" s="382">
        <f>VLOOKUP(BO160, 'Pile Data and Eurocode Factors'!$A$34:$J$39,3, FALSE)</f>
        <v>9464.7047474031824</v>
      </c>
      <c r="CB160" s="403">
        <f t="shared" si="143"/>
        <v>131.79610800772534</v>
      </c>
      <c r="CC160" s="419">
        <v>1050</v>
      </c>
      <c r="CD160" s="382">
        <f>PI()*CC160/1000*( Pile!$C$36- Pile!$C160)</f>
        <v>4.948008429403921</v>
      </c>
      <c r="CE160" s="382">
        <f t="shared" si="144"/>
        <v>0.86590147514568672</v>
      </c>
      <c r="CF160" s="382">
        <f t="shared" si="167"/>
        <v>24.648343688198761</v>
      </c>
      <c r="CG160" s="430">
        <f>CD160* Pile!$S$36</f>
        <v>0</v>
      </c>
      <c r="CH160" s="382">
        <f t="shared" si="168"/>
        <v>24.648343688198761</v>
      </c>
      <c r="CI160" s="382">
        <f>IF(CH160&gt;0,+CH160)/ 'Pile Data and Eurocode Factors'!$B$19/ 'Pile Data and Eurocode Factors'!$B$20</f>
        <v>11.737306518189888</v>
      </c>
      <c r="CJ160" s="382">
        <f t="shared" si="169"/>
        <v>394.35558211951849</v>
      </c>
      <c r="CK160" s="382">
        <f>CE160* Pile!$U$36</f>
        <v>0</v>
      </c>
      <c r="CL160" s="382">
        <f t="shared" si="145"/>
        <v>394.35558211951849</v>
      </c>
      <c r="CM160" s="382">
        <f>CL160/ 'Pile Data and Eurocode Factors'!$C$19/ 'Pile Data and Eurocode Factors'!$C$20</f>
        <v>165.6956227392935</v>
      </c>
      <c r="CN160" s="382">
        <f t="shared" si="146"/>
        <v>177.43292925748338</v>
      </c>
      <c r="CO160" s="382">
        <f>VLOOKUP(CC160, 'Pile Data and Eurocode Factors'!$A$34:$J$39,3, FALSE)</f>
        <v>12882.514795076555</v>
      </c>
      <c r="CP160" s="403">
        <f t="shared" si="147"/>
        <v>177.43292925748338</v>
      </c>
      <c r="CQ160" s="419">
        <v>1200</v>
      </c>
      <c r="CR160" s="382">
        <f>PI()*CQ160/1000*( Pile!$C$36- Pile!$C160)</f>
        <v>5.6548667764616241</v>
      </c>
      <c r="CS160" s="382">
        <f t="shared" si="148"/>
        <v>1.1309733552923256</v>
      </c>
      <c r="CT160" s="382">
        <f t="shared" si="170"/>
        <v>28.169535643655728</v>
      </c>
      <c r="CU160" s="430">
        <f>CR160* Pile!$S$36</f>
        <v>0</v>
      </c>
      <c r="CV160" s="382">
        <f t="shared" si="171"/>
        <v>28.169535643655728</v>
      </c>
      <c r="CW160" s="382">
        <f>IF(CV160&gt;0,+CV160)/ 'Pile Data and Eurocode Factors'!$B$19/ 'Pile Data and Eurocode Factors'!$B$20</f>
        <v>13.414064592217015</v>
      </c>
      <c r="CX160" s="382">
        <f t="shared" si="172"/>
        <v>515.07667868671808</v>
      </c>
      <c r="CY160" s="382">
        <f>CS160* Pile!$U$36</f>
        <v>0</v>
      </c>
      <c r="CZ160" s="382">
        <f t="shared" si="149"/>
        <v>515.07667868671808</v>
      </c>
      <c r="DA160" s="382">
        <f>CZ160/ 'Pile Data and Eurocode Factors'!$C$19/ 'Pile Data and Eurocode Factors'!$C$20</f>
        <v>216.41877255744458</v>
      </c>
      <c r="DB160" s="382">
        <f t="shared" si="150"/>
        <v>229.8328371496616</v>
      </c>
      <c r="DC160" s="382">
        <f>VLOOKUP(CQ160, 'Pile Data and Eurocode Factors'!$A$34:$J$39,3, FALSE)</f>
        <v>16826.141773161216</v>
      </c>
      <c r="DD160" s="403">
        <f t="shared" si="151"/>
        <v>229.8328371496616</v>
      </c>
      <c r="DE160" s="420">
        <f xml:space="preserve"> Pile!$C$23- Pile!C160</f>
        <v>1.4999999999999991</v>
      </c>
      <c r="DG160" s="382">
        <f t="shared" si="152"/>
        <v>35.464164112972021</v>
      </c>
      <c r="DH160" s="382">
        <f t="shared" si="153"/>
        <v>60.811725435469654</v>
      </c>
      <c r="DI160" s="382">
        <f t="shared" si="154"/>
        <v>92.9223734003874</v>
      </c>
      <c r="DJ160" s="382"/>
      <c r="DK160" s="382"/>
      <c r="DL160" s="382"/>
    </row>
    <row r="161" spans="1:116" s="308" customFormat="1" ht="15">
      <c r="B161" s="400">
        <v>6</v>
      </c>
      <c r="C161" s="401">
        <f>+C160- Pile!D$36/20</f>
        <v>4.2000000000000011</v>
      </c>
      <c r="D161" s="415" t="str">
        <f>B23</f>
        <v>Loose Sand/Gravel</v>
      </c>
      <c r="E161" s="415" t="str">
        <f>F23</f>
        <v>Granular</v>
      </c>
      <c r="F161" s="401">
        <f xml:space="preserve"> Pile!$E$36*(+C160-C161)+F160</f>
        <v>29.699999999999982</v>
      </c>
      <c r="G161" s="401">
        <f>IF(C161&gt; Pile!$C$41,0,( Pile!$C$41-C161)*9.81)</f>
        <v>0</v>
      </c>
      <c r="H161" s="401">
        <f t="shared" si="122"/>
        <v>29.699999999999982</v>
      </c>
      <c r="I161" s="401">
        <f t="shared" si="123"/>
        <v>14.849999999999991</v>
      </c>
      <c r="J161" s="401">
        <f>IF(E161="Cohesive",(( Pile!$H$36- Pile!$G$36)/20)+J160,0)</f>
        <v>0</v>
      </c>
      <c r="K161" s="401">
        <f>IF(E161="Cohesive",( Pile!$G$36+ Pile!$J161)/2,0)</f>
        <v>0</v>
      </c>
      <c r="L161" s="401" t="str">
        <f>IF( Pile!I$36="",0, Pile!I$36)</f>
        <v>0</v>
      </c>
      <c r="M161" s="401" t="str">
        <f>IF( Pile!J$36="",0, Pile!J$36)</f>
        <v>0</v>
      </c>
      <c r="N161" s="401">
        <f>IF(E161="Granular", Pile!$K$36,0)</f>
        <v>18.401122218708668</v>
      </c>
      <c r="O161" s="416">
        <f>IF(AND(E161="Granular",D161&lt;&gt;"Made Ground"), Pile!$L$36,0)</f>
        <v>0.4025428365693513</v>
      </c>
      <c r="P161" s="401">
        <f>IF(OR(D161="Low Density Chalk",D161="Medium Density Chalk"), Pile!$M$36,0)</f>
        <v>0</v>
      </c>
      <c r="Q161" s="417">
        <f>IF(D161="High Density Chalk", Pile!$N$36,0)</f>
        <v>0</v>
      </c>
      <c r="R161" s="401">
        <f>IF( Pile!O$36="",0, Pile!O$36)</f>
        <v>0</v>
      </c>
      <c r="S161" s="418">
        <f t="shared" si="124"/>
        <v>5.9777611230548633</v>
      </c>
      <c r="T161" s="382">
        <f xml:space="preserve"> Pile!$T$36</f>
        <v>1200</v>
      </c>
      <c r="U161" s="382">
        <f t="shared" si="125"/>
        <v>5.9777611230548633</v>
      </c>
      <c r="V161" s="382">
        <f t="shared" si="126"/>
        <v>546.51332989564708</v>
      </c>
      <c r="W161" s="382">
        <f xml:space="preserve"> Pile!$V$36</f>
        <v>15000</v>
      </c>
      <c r="X161" s="382">
        <f t="shared" si="127"/>
        <v>546.51332989564708</v>
      </c>
      <c r="Y161" s="419">
        <v>450</v>
      </c>
      <c r="Z161" s="382">
        <f>PI()*Y161/1000*( Pile!$C$36- Pile!$C161)</f>
        <v>2.5446900494077309</v>
      </c>
      <c r="AA161" s="382">
        <f t="shared" si="128"/>
        <v>0.15904312808798329</v>
      </c>
      <c r="AB161" s="382">
        <f>+$U161*Z161</f>
        <v>15.211549247574093</v>
      </c>
      <c r="AC161" s="430">
        <f>Z161* Pile!$S$36</f>
        <v>0</v>
      </c>
      <c r="AD161" s="382">
        <f t="shared" si="156"/>
        <v>15.211549247574093</v>
      </c>
      <c r="AE161" s="382">
        <f>IF(AD161&gt;0,+AD161)/ 'Pile Data and Eurocode Factors'!$B$19/ 'Pile Data and Eurocode Factors'!$B$20</f>
        <v>7.243594879797187</v>
      </c>
      <c r="AF161" s="382">
        <f t="shared" si="157"/>
        <v>86.919189528383669</v>
      </c>
      <c r="AG161" s="382">
        <f>AA161* Pile!$U$36</f>
        <v>0</v>
      </c>
      <c r="AH161" s="382">
        <f t="shared" si="129"/>
        <v>86.919189528383669</v>
      </c>
      <c r="AI161" s="382">
        <f>AH161/ 'Pile Data and Eurocode Factors'!$C$19/ 'Pile Data and Eurocode Factors'!$C$20</f>
        <v>36.520667869068774</v>
      </c>
      <c r="AJ161" s="382">
        <f t="shared" si="130"/>
        <v>43.76426274886596</v>
      </c>
      <c r="AK161" s="382">
        <f>VLOOKUP(Y161, 'Pile Data and Eurocode Factors'!$A$34:$J$39,3, FALSE)</f>
        <v>2366.1761868507956</v>
      </c>
      <c r="AL161" s="403">
        <f t="shared" si="131"/>
        <v>43.76426274886596</v>
      </c>
      <c r="AM161" s="419">
        <v>600</v>
      </c>
      <c r="AN161" s="382">
        <f>PI()*AM161/1000*( Pile!$C$36- Pile!$C161)</f>
        <v>3.3929200658769747</v>
      </c>
      <c r="AO161" s="382">
        <f t="shared" si="132"/>
        <v>0.28274333882308139</v>
      </c>
      <c r="AP161" s="382">
        <f>+$U161*AN161</f>
        <v>20.282065663432125</v>
      </c>
      <c r="AQ161" s="430">
        <f>AN161* Pile!$S$36</f>
        <v>0</v>
      </c>
      <c r="AR161" s="382">
        <f t="shared" si="159"/>
        <v>20.282065663432125</v>
      </c>
      <c r="AS161" s="382">
        <f>IF(AR161&gt;0,+AR161)/ 'Pile Data and Eurocode Factors'!$B$19/ 'Pile Data and Eurocode Factors'!$B$20</f>
        <v>9.6581265063962505</v>
      </c>
      <c r="AT161" s="382">
        <f t="shared" si="160"/>
        <v>154.52300360601541</v>
      </c>
      <c r="AU161" s="382">
        <f>AO161* Pile!$U$36</f>
        <v>0</v>
      </c>
      <c r="AV161" s="382">
        <f t="shared" si="133"/>
        <v>154.52300360601541</v>
      </c>
      <c r="AW161" s="382">
        <f>AV161/ 'Pile Data and Eurocode Factors'!$C$19/ 'Pile Data and Eurocode Factors'!$C$20</f>
        <v>64.925631767233369</v>
      </c>
      <c r="AX161" s="382">
        <f t="shared" si="134"/>
        <v>74.583758273629627</v>
      </c>
      <c r="AY161" s="382">
        <f>VLOOKUP(AM161, 'Pile Data and Eurocode Factors'!$A$34:$J$39,3, FALSE)</f>
        <v>4206.5354432903041</v>
      </c>
      <c r="AZ161" s="403">
        <f t="shared" si="135"/>
        <v>74.583758273629627</v>
      </c>
      <c r="BA161" s="419">
        <v>750</v>
      </c>
      <c r="BB161" s="382">
        <f>PI()*BA161/1000*( Pile!$C$36- Pile!$C161)</f>
        <v>4.241150082346218</v>
      </c>
      <c r="BC161" s="382">
        <f t="shared" si="136"/>
        <v>0.44178646691106466</v>
      </c>
      <c r="BD161" s="382">
        <f>+$U161*BB161</f>
        <v>25.352582079290155</v>
      </c>
      <c r="BE161" s="430">
        <f>BB161* Pile!$S$36</f>
        <v>0</v>
      </c>
      <c r="BF161" s="382">
        <f t="shared" si="162"/>
        <v>25.352582079290155</v>
      </c>
      <c r="BG161" s="382">
        <f>IF(BF161&gt;0,+BF161)/ 'Pile Data and Eurocode Factors'!$B$19/ 'Pile Data and Eurocode Factors'!$B$20</f>
        <v>12.072658132995313</v>
      </c>
      <c r="BH161" s="382">
        <f t="shared" si="163"/>
        <v>241.44219313439905</v>
      </c>
      <c r="BI161" s="382">
        <f>BC161* Pile!$U$36</f>
        <v>0</v>
      </c>
      <c r="BJ161" s="382">
        <f t="shared" si="137"/>
        <v>241.44219313439905</v>
      </c>
      <c r="BK161" s="382">
        <f>BJ161/ 'Pile Data and Eurocode Factors'!$C$19/ 'Pile Data and Eurocode Factors'!$C$20</f>
        <v>101.44629963630213</v>
      </c>
      <c r="BL161" s="382">
        <f t="shared" si="138"/>
        <v>113.51895776929744</v>
      </c>
      <c r="BM161" s="382">
        <f>VLOOKUP(BA161, 'Pile Data and Eurocode Factors'!$A$34:$J$39,3, FALSE)</f>
        <v>6572.7116301410997</v>
      </c>
      <c r="BN161" s="403">
        <f t="shared" si="139"/>
        <v>113.51895776929744</v>
      </c>
      <c r="BO161" s="419">
        <v>900</v>
      </c>
      <c r="BP161" s="382">
        <f>PI()*BO161/1000*( Pile!$C$36- Pile!$C161)</f>
        <v>5.0893800988154618</v>
      </c>
      <c r="BQ161" s="382">
        <f t="shared" si="140"/>
        <v>0.63617251235193317</v>
      </c>
      <c r="BR161" s="382">
        <f>+$U161*BP161</f>
        <v>30.423098495148185</v>
      </c>
      <c r="BS161" s="430">
        <f>BP161* Pile!$S$36</f>
        <v>0</v>
      </c>
      <c r="BT161" s="382">
        <f t="shared" si="165"/>
        <v>30.423098495148185</v>
      </c>
      <c r="BU161" s="382">
        <f>IF(BT161&gt;0,+BT161)/ 'Pile Data and Eurocode Factors'!$B$19/ 'Pile Data and Eurocode Factors'!$B$20</f>
        <v>14.487189759594374</v>
      </c>
      <c r="BV161" s="382">
        <f t="shared" si="166"/>
        <v>347.67675811353467</v>
      </c>
      <c r="BW161" s="382">
        <f>BQ161* Pile!$U$36</f>
        <v>0</v>
      </c>
      <c r="BX161" s="382">
        <f t="shared" si="141"/>
        <v>347.67675811353467</v>
      </c>
      <c r="BY161" s="382">
        <f>BX161/ 'Pile Data and Eurocode Factors'!$C$19/ 'Pile Data and Eurocode Factors'!$C$20</f>
        <v>146.0826714762751</v>
      </c>
      <c r="BZ161" s="382">
        <f t="shared" si="142"/>
        <v>160.56986123586947</v>
      </c>
      <c r="CA161" s="382">
        <f>VLOOKUP(BO161, 'Pile Data and Eurocode Factors'!$A$34:$J$39,3, FALSE)</f>
        <v>9464.7047474031824</v>
      </c>
      <c r="CB161" s="403">
        <f t="shared" si="143"/>
        <v>160.56986123586947</v>
      </c>
      <c r="CC161" s="419">
        <v>1050</v>
      </c>
      <c r="CD161" s="382">
        <f>PI()*CC161/1000*( Pile!$C$36- Pile!$C161)</f>
        <v>5.9376101152847056</v>
      </c>
      <c r="CE161" s="382">
        <f t="shared" si="144"/>
        <v>0.86590147514568672</v>
      </c>
      <c r="CF161" s="382">
        <f>+$U161*CD161</f>
        <v>35.493614911006219</v>
      </c>
      <c r="CG161" s="430">
        <f>CD161* Pile!$S$36</f>
        <v>0</v>
      </c>
      <c r="CH161" s="382">
        <f t="shared" si="168"/>
        <v>35.493614911006219</v>
      </c>
      <c r="CI161" s="382">
        <f>IF(CH161&gt;0,+CH161)/ 'Pile Data and Eurocode Factors'!$B$19/ 'Pile Data and Eurocode Factors'!$B$20</f>
        <v>16.90172138619344</v>
      </c>
      <c r="CJ161" s="382">
        <f t="shared" si="169"/>
        <v>473.22669854342212</v>
      </c>
      <c r="CK161" s="382">
        <f>CE161* Pile!$U$36</f>
        <v>0</v>
      </c>
      <c r="CL161" s="382">
        <f t="shared" si="145"/>
        <v>473.22669854342212</v>
      </c>
      <c r="CM161" s="382">
        <f>CL161/ 'Pile Data and Eurocode Factors'!$C$19/ 'Pile Data and Eurocode Factors'!$C$20</f>
        <v>198.83474728715217</v>
      </c>
      <c r="CN161" s="382">
        <f t="shared" si="146"/>
        <v>215.7364686733456</v>
      </c>
      <c r="CO161" s="382">
        <f>VLOOKUP(CC161, 'Pile Data and Eurocode Factors'!$A$34:$J$39,3, FALSE)</f>
        <v>12882.514795076555</v>
      </c>
      <c r="CP161" s="403">
        <f t="shared" si="147"/>
        <v>215.7364686733456</v>
      </c>
      <c r="CQ161" s="419">
        <v>1200</v>
      </c>
      <c r="CR161" s="382">
        <f>PI()*CQ161/1000*( Pile!$C$36- Pile!$C161)</f>
        <v>6.7858401317539494</v>
      </c>
      <c r="CS161" s="382">
        <f t="shared" si="148"/>
        <v>1.1309733552923256</v>
      </c>
      <c r="CT161" s="382">
        <f>+$U161*CR161</f>
        <v>40.564131326864249</v>
      </c>
      <c r="CU161" s="430">
        <f>CR161* Pile!$S$36</f>
        <v>0</v>
      </c>
      <c r="CV161" s="382">
        <f t="shared" si="171"/>
        <v>40.564131326864249</v>
      </c>
      <c r="CW161" s="382">
        <f>IF(CV161&gt;0,+CV161)/ 'Pile Data and Eurocode Factors'!$B$19/ 'Pile Data and Eurocode Factors'!$B$20</f>
        <v>19.316253012792501</v>
      </c>
      <c r="CX161" s="382">
        <f t="shared" si="172"/>
        <v>618.09201442406163</v>
      </c>
      <c r="CY161" s="382">
        <f>CS161* Pile!$U$36</f>
        <v>0</v>
      </c>
      <c r="CZ161" s="382">
        <f t="shared" si="149"/>
        <v>618.09201442406163</v>
      </c>
      <c r="DA161" s="382">
        <f>CZ161/ 'Pile Data and Eurocode Factors'!$C$19/ 'Pile Data and Eurocode Factors'!$C$20</f>
        <v>259.70252706893348</v>
      </c>
      <c r="DB161" s="382">
        <f t="shared" si="150"/>
        <v>279.01878008172599</v>
      </c>
      <c r="DC161" s="382">
        <f>VLOOKUP(CQ161, 'Pile Data and Eurocode Factors'!$A$34:$J$39,3, FALSE)</f>
        <v>16826.141773161216</v>
      </c>
      <c r="DD161" s="403">
        <f t="shared" si="151"/>
        <v>279.01878008172599</v>
      </c>
      <c r="DE161" s="420">
        <f xml:space="preserve"> Pile!$C$23- Pile!C161</f>
        <v>1.7999999999999989</v>
      </c>
      <c r="DG161" s="382">
        <f t="shared" si="152"/>
        <v>43.76426274886596</v>
      </c>
      <c r="DH161" s="382">
        <f t="shared" si="153"/>
        <v>74.583758273629627</v>
      </c>
      <c r="DI161" s="382">
        <f t="shared" si="154"/>
        <v>113.51895776929744</v>
      </c>
      <c r="DJ161" s="382"/>
      <c r="DK161" s="382"/>
      <c r="DL161" s="382"/>
    </row>
    <row r="162" spans="1:116" s="308" customFormat="1" ht="15">
      <c r="B162" s="400">
        <v>7</v>
      </c>
      <c r="C162" s="401">
        <f>+C161- Pile!D$36/20</f>
        <v>3.9000000000000012</v>
      </c>
      <c r="D162" s="415" t="str">
        <f>B23</f>
        <v>Loose Sand/Gravel</v>
      </c>
      <c r="E162" s="415" t="str">
        <f>F23</f>
        <v>Granular</v>
      </c>
      <c r="F162" s="401">
        <f xml:space="preserve"> Pile!$E$36*(+C161-C162)+F161</f>
        <v>34.649999999999977</v>
      </c>
      <c r="G162" s="401">
        <f>IF(C162&gt; Pile!$C$41,0,( Pile!$C$41-C162)*9.81)</f>
        <v>0</v>
      </c>
      <c r="H162" s="401">
        <f t="shared" si="122"/>
        <v>34.649999999999977</v>
      </c>
      <c r="I162" s="401">
        <f t="shared" si="123"/>
        <v>17.324999999999989</v>
      </c>
      <c r="J162" s="401">
        <f>IF(E162="Cohesive",(( Pile!$H$36- Pile!$G$36)/20)+J161,0)</f>
        <v>0</v>
      </c>
      <c r="K162" s="401">
        <f>IF(E162="Cohesive",( Pile!$G$36+ Pile!$J162)/2,0)</f>
        <v>0</v>
      </c>
      <c r="L162" s="401" t="str">
        <f>IF( Pile!I$36="",0, Pile!I$36)</f>
        <v>0</v>
      </c>
      <c r="M162" s="401" t="str">
        <f>IF( Pile!J$36="",0, Pile!J$36)</f>
        <v>0</v>
      </c>
      <c r="N162" s="401">
        <f>IF(E162="Granular", Pile!$K$36,0)</f>
        <v>18.401122218708668</v>
      </c>
      <c r="O162" s="416">
        <f>IF(AND(E162="Granular",D162&lt;&gt;"Made Ground"), Pile!$L$36,0)</f>
        <v>0.4025428365693513</v>
      </c>
      <c r="P162" s="401">
        <f>IF(OR(D162="Low Density Chalk",D162="Medium Density Chalk"), Pile!$M$36,0)</f>
        <v>0</v>
      </c>
      <c r="Q162" s="417">
        <f>IF(D162="High Density Chalk", Pile!$N$36,0)</f>
        <v>0</v>
      </c>
      <c r="R162" s="401">
        <f>IF( Pile!O$36="",0, Pile!O$36)</f>
        <v>0</v>
      </c>
      <c r="S162" s="418">
        <f t="shared" si="124"/>
        <v>6.9740546435640072</v>
      </c>
      <c r="T162" s="382">
        <f xml:space="preserve"> Pile!$T$36</f>
        <v>1200</v>
      </c>
      <c r="U162" s="382">
        <f t="shared" si="125"/>
        <v>6.9740546435640072</v>
      </c>
      <c r="V162" s="382">
        <f t="shared" si="126"/>
        <v>637.59888487825492</v>
      </c>
      <c r="W162" s="382">
        <f xml:space="preserve"> Pile!$V$36</f>
        <v>15000</v>
      </c>
      <c r="X162" s="382">
        <f t="shared" si="127"/>
        <v>637.59888487825492</v>
      </c>
      <c r="Y162" s="419">
        <v>450</v>
      </c>
      <c r="Z162" s="382">
        <f>PI()*Y162/1000*( Pile!$C$36- Pile!$C162)</f>
        <v>2.9688050576423528</v>
      </c>
      <c r="AA162" s="382">
        <f t="shared" si="128"/>
        <v>0.15904312808798329</v>
      </c>
      <c r="AB162" s="382">
        <f t="shared" ref="AB162:AB225" si="173">+$U162*Z162</f>
        <v>20.704608698086961</v>
      </c>
      <c r="AC162" s="430">
        <f>Z162* Pile!$S$36</f>
        <v>0</v>
      </c>
      <c r="AD162" s="382">
        <f t="shared" si="156"/>
        <v>20.704608698086961</v>
      </c>
      <c r="AE162" s="382">
        <f>IF(AD162&gt;0,+AD162)/ 'Pile Data and Eurocode Factors'!$B$19/ 'Pile Data and Eurocode Factors'!$B$20</f>
        <v>9.8593374752795064</v>
      </c>
      <c r="AF162" s="382">
        <f t="shared" si="157"/>
        <v>101.40572111644761</v>
      </c>
      <c r="AG162" s="382">
        <f>AA162* Pile!$U$36</f>
        <v>0</v>
      </c>
      <c r="AH162" s="382">
        <f t="shared" si="129"/>
        <v>101.40572111644761</v>
      </c>
      <c r="AI162" s="382">
        <f>AH162/ 'Pile Data and Eurocode Factors'!$C$19/ 'Pile Data and Eurocode Factors'!$C$20</f>
        <v>42.6074458472469</v>
      </c>
      <c r="AJ162" s="382">
        <f t="shared" si="130"/>
        <v>52.46678332252641</v>
      </c>
      <c r="AK162" s="382">
        <f>VLOOKUP(Y162, 'Pile Data and Eurocode Factors'!$A$34:$J$39,3, FALSE)</f>
        <v>2366.1761868507956</v>
      </c>
      <c r="AL162" s="403">
        <f t="shared" si="131"/>
        <v>52.46678332252641</v>
      </c>
      <c r="AM162" s="419">
        <v>600</v>
      </c>
      <c r="AN162" s="382">
        <f>PI()*AM162/1000*( Pile!$C$36- Pile!$C162)</f>
        <v>3.9584067435231369</v>
      </c>
      <c r="AO162" s="382">
        <f t="shared" si="132"/>
        <v>0.28274333882308139</v>
      </c>
      <c r="AP162" s="382">
        <f t="shared" ref="AP162:AP225" si="174">+$U162*AN162</f>
        <v>27.606144930782612</v>
      </c>
      <c r="AQ162" s="430">
        <f>AN162* Pile!$S$36</f>
        <v>0</v>
      </c>
      <c r="AR162" s="382">
        <f t="shared" si="159"/>
        <v>27.606144930782612</v>
      </c>
      <c r="AS162" s="382">
        <f>IF(AR162&gt;0,+AR162)/ 'Pile Data and Eurocode Factors'!$B$19/ 'Pile Data and Eurocode Factors'!$B$20</f>
        <v>13.145783300372672</v>
      </c>
      <c r="AT162" s="382">
        <f t="shared" si="160"/>
        <v>180.27683754035129</v>
      </c>
      <c r="AU162" s="382">
        <f>AO162* Pile!$U$36</f>
        <v>0</v>
      </c>
      <c r="AV162" s="382">
        <f t="shared" si="133"/>
        <v>180.27683754035129</v>
      </c>
      <c r="AW162" s="382">
        <f>AV162/ 'Pile Data and Eurocode Factors'!$C$19/ 'Pile Data and Eurocode Factors'!$C$20</f>
        <v>75.746570395105579</v>
      </c>
      <c r="AX162" s="382">
        <f t="shared" si="134"/>
        <v>88.892353695478249</v>
      </c>
      <c r="AY162" s="382">
        <f>VLOOKUP(AM162, 'Pile Data and Eurocode Factors'!$A$34:$J$39,3, FALSE)</f>
        <v>4206.5354432903041</v>
      </c>
      <c r="AZ162" s="403">
        <f t="shared" si="135"/>
        <v>88.892353695478249</v>
      </c>
      <c r="BA162" s="419">
        <v>750</v>
      </c>
      <c r="BB162" s="382">
        <f>PI()*BA162/1000*( Pile!$C$36- Pile!$C162)</f>
        <v>4.948008429403921</v>
      </c>
      <c r="BC162" s="382">
        <f t="shared" si="136"/>
        <v>0.44178646691106466</v>
      </c>
      <c r="BD162" s="382">
        <f t="shared" ref="BD162:BD225" si="175">+$U162*BB162</f>
        <v>34.507681163478267</v>
      </c>
      <c r="BE162" s="430">
        <f>BB162* Pile!$S$36</f>
        <v>0</v>
      </c>
      <c r="BF162" s="382">
        <f t="shared" si="162"/>
        <v>34.507681163478267</v>
      </c>
      <c r="BG162" s="382">
        <f>IF(BF162&gt;0,+BF162)/ 'Pile Data and Eurocode Factors'!$B$19/ 'Pile Data and Eurocode Factors'!$B$20</f>
        <v>16.432229125465842</v>
      </c>
      <c r="BH162" s="382">
        <f t="shared" si="163"/>
        <v>281.6825586567989</v>
      </c>
      <c r="BI162" s="382">
        <f>BC162* Pile!$U$36</f>
        <v>0</v>
      </c>
      <c r="BJ162" s="382">
        <f t="shared" si="137"/>
        <v>281.6825586567989</v>
      </c>
      <c r="BK162" s="382">
        <f>BJ162/ 'Pile Data and Eurocode Factors'!$C$19/ 'Pile Data and Eurocode Factors'!$C$20</f>
        <v>118.35401624235249</v>
      </c>
      <c r="BL162" s="382">
        <f t="shared" si="138"/>
        <v>134.78624536781834</v>
      </c>
      <c r="BM162" s="382">
        <f>VLOOKUP(BA162, 'Pile Data and Eurocode Factors'!$A$34:$J$39,3, FALSE)</f>
        <v>6572.7116301410997</v>
      </c>
      <c r="BN162" s="403">
        <f t="shared" si="139"/>
        <v>134.78624536781834</v>
      </c>
      <c r="BO162" s="419">
        <v>900</v>
      </c>
      <c r="BP162" s="382">
        <f>PI()*BO162/1000*( Pile!$C$36- Pile!$C162)</f>
        <v>5.9376101152847056</v>
      </c>
      <c r="BQ162" s="382">
        <f t="shared" si="140"/>
        <v>0.63617251235193317</v>
      </c>
      <c r="BR162" s="382">
        <f t="shared" ref="BR162:BR225" si="176">+$U162*BP162</f>
        <v>41.409217396173922</v>
      </c>
      <c r="BS162" s="430">
        <f>BP162* Pile!$S$36</f>
        <v>0</v>
      </c>
      <c r="BT162" s="382">
        <f t="shared" si="165"/>
        <v>41.409217396173922</v>
      </c>
      <c r="BU162" s="382">
        <f>IF(BT162&gt;0,+BT162)/ 'Pile Data and Eurocode Factors'!$B$19/ 'Pile Data and Eurocode Factors'!$B$20</f>
        <v>19.718674950559013</v>
      </c>
      <c r="BV162" s="382">
        <f t="shared" si="166"/>
        <v>405.62288446579043</v>
      </c>
      <c r="BW162" s="382">
        <f>BQ162* Pile!$U$36</f>
        <v>0</v>
      </c>
      <c r="BX162" s="382">
        <f t="shared" si="141"/>
        <v>405.62288446579043</v>
      </c>
      <c r="BY162" s="382">
        <f>BX162/ 'Pile Data and Eurocode Factors'!$C$19/ 'Pile Data and Eurocode Factors'!$C$20</f>
        <v>170.4297833889876</v>
      </c>
      <c r="BZ162" s="382">
        <f t="shared" si="142"/>
        <v>190.14845833954661</v>
      </c>
      <c r="CA162" s="382">
        <f>VLOOKUP(BO162, 'Pile Data and Eurocode Factors'!$A$34:$J$39,3, FALSE)</f>
        <v>9464.7047474031824</v>
      </c>
      <c r="CB162" s="403">
        <f t="shared" si="143"/>
        <v>190.14845833954661</v>
      </c>
      <c r="CC162" s="419">
        <v>1050</v>
      </c>
      <c r="CD162" s="382">
        <f>PI()*CC162/1000*( Pile!$C$36- Pile!$C162)</f>
        <v>6.9272118011654893</v>
      </c>
      <c r="CE162" s="382">
        <f t="shared" si="144"/>
        <v>0.86590147514568672</v>
      </c>
      <c r="CF162" s="382">
        <f t="shared" ref="CF162:CF225" si="177">+$U162*CD162</f>
        <v>48.31075362886957</v>
      </c>
      <c r="CG162" s="430">
        <f>CD162* Pile!$S$36</f>
        <v>0</v>
      </c>
      <c r="CH162" s="382">
        <f t="shared" si="168"/>
        <v>48.31075362886957</v>
      </c>
      <c r="CI162" s="382">
        <f>IF(CH162&gt;0,+CH162)/ 'Pile Data and Eurocode Factors'!$B$19/ 'Pile Data and Eurocode Factors'!$B$20</f>
        <v>23.005120775652177</v>
      </c>
      <c r="CJ162" s="382">
        <f t="shared" si="169"/>
        <v>552.0978149673258</v>
      </c>
      <c r="CK162" s="382">
        <f>CE162* Pile!$U$36</f>
        <v>0</v>
      </c>
      <c r="CL162" s="382">
        <f t="shared" si="145"/>
        <v>552.0978149673258</v>
      </c>
      <c r="CM162" s="382">
        <f>CL162/ 'Pile Data and Eurocode Factors'!$C$19/ 'Pile Data and Eurocode Factors'!$C$20</f>
        <v>231.97387183501084</v>
      </c>
      <c r="CN162" s="382">
        <f t="shared" si="146"/>
        <v>254.97899261066303</v>
      </c>
      <c r="CO162" s="382">
        <f>VLOOKUP(CC162, 'Pile Data and Eurocode Factors'!$A$34:$J$39,3, FALSE)</f>
        <v>12882.514795076555</v>
      </c>
      <c r="CP162" s="403">
        <f t="shared" si="147"/>
        <v>254.97899261066303</v>
      </c>
      <c r="CQ162" s="419">
        <v>1200</v>
      </c>
      <c r="CR162" s="382">
        <f>PI()*CQ162/1000*( Pile!$C$36- Pile!$C162)</f>
        <v>7.9168134870462739</v>
      </c>
      <c r="CS162" s="382">
        <f t="shared" si="148"/>
        <v>1.1309733552923256</v>
      </c>
      <c r="CT162" s="382">
        <f t="shared" ref="CT162:CT225" si="178">+$U162*CR162</f>
        <v>55.212289861565225</v>
      </c>
      <c r="CU162" s="430">
        <f>CR162* Pile!$S$36</f>
        <v>0</v>
      </c>
      <c r="CV162" s="382">
        <f t="shared" si="171"/>
        <v>55.212289861565225</v>
      </c>
      <c r="CW162" s="382">
        <f>IF(CV162&gt;0,+CV162)/ 'Pile Data and Eurocode Factors'!$B$19/ 'Pile Data and Eurocode Factors'!$B$20</f>
        <v>26.291566600745345</v>
      </c>
      <c r="CX162" s="382">
        <f t="shared" si="172"/>
        <v>721.10735016140518</v>
      </c>
      <c r="CY162" s="382">
        <f>CS162* Pile!$U$36</f>
        <v>0</v>
      </c>
      <c r="CZ162" s="382">
        <f t="shared" si="149"/>
        <v>721.10735016140518</v>
      </c>
      <c r="DA162" s="382">
        <f>CZ162/ 'Pile Data and Eurocode Factors'!$C$19/ 'Pile Data and Eurocode Factors'!$C$20</f>
        <v>302.98628158042231</v>
      </c>
      <c r="DB162" s="382">
        <f t="shared" si="150"/>
        <v>329.27784818116766</v>
      </c>
      <c r="DC162" s="382">
        <f>VLOOKUP(CQ162, 'Pile Data and Eurocode Factors'!$A$34:$J$39,3, FALSE)</f>
        <v>16826.141773161216</v>
      </c>
      <c r="DD162" s="403">
        <f t="shared" si="151"/>
        <v>329.27784818116766</v>
      </c>
      <c r="DE162" s="420">
        <f xml:space="preserve"> Pile!$C$23- Pile!C162</f>
        <v>2.0999999999999988</v>
      </c>
      <c r="DG162" s="382">
        <f t="shared" si="152"/>
        <v>52.46678332252641</v>
      </c>
      <c r="DH162" s="382">
        <f t="shared" si="153"/>
        <v>88.892353695478249</v>
      </c>
      <c r="DI162" s="382">
        <f t="shared" si="154"/>
        <v>134.78624536781834</v>
      </c>
      <c r="DJ162" s="382"/>
      <c r="DK162" s="382"/>
      <c r="DL162" s="382"/>
    </row>
    <row r="163" spans="1:116" s="308" customFormat="1" ht="15">
      <c r="A163" s="421"/>
      <c r="B163" s="400">
        <v>8</v>
      </c>
      <c r="C163" s="401">
        <f>+C162- Pile!D$36/20</f>
        <v>3.6000000000000014</v>
      </c>
      <c r="D163" s="415" t="str">
        <f>B23</f>
        <v>Loose Sand/Gravel</v>
      </c>
      <c r="E163" s="415" t="str">
        <f>F23</f>
        <v>Granular</v>
      </c>
      <c r="F163" s="401">
        <f xml:space="preserve"> Pile!$E$36*(+C162-C163)+F162</f>
        <v>39.599999999999973</v>
      </c>
      <c r="G163" s="401">
        <f>IF(C163&gt; Pile!$C$41,0,( Pile!$C$41-C163)*9.81)</f>
        <v>0</v>
      </c>
      <c r="H163" s="401">
        <f t="shared" si="122"/>
        <v>39.599999999999973</v>
      </c>
      <c r="I163" s="401">
        <f t="shared" si="123"/>
        <v>19.799999999999986</v>
      </c>
      <c r="J163" s="401">
        <f>IF(E163="Cohesive",(( Pile!$H$36- Pile!$G$36)/20)+J162,0)</f>
        <v>0</v>
      </c>
      <c r="K163" s="401">
        <f>IF(E163="Cohesive",( Pile!$G$36+ Pile!$J163)/2,0)</f>
        <v>0</v>
      </c>
      <c r="L163" s="401" t="str">
        <f>IF( Pile!I$36="",0, Pile!I$36)</f>
        <v>0</v>
      </c>
      <c r="M163" s="401" t="str">
        <f>IF( Pile!J$36="",0, Pile!J$36)</f>
        <v>0</v>
      </c>
      <c r="N163" s="401">
        <f>IF(E163="Granular", Pile!$K$36,0)</f>
        <v>18.401122218708668</v>
      </c>
      <c r="O163" s="416">
        <f>IF(AND(E163="Granular",D163&lt;&gt;"Made Ground"), Pile!$L$36,0)</f>
        <v>0.4025428365693513</v>
      </c>
      <c r="P163" s="401">
        <f>IF(OR(D163="Low Density Chalk",D163="Medium Density Chalk"), Pile!$M$36,0)</f>
        <v>0</v>
      </c>
      <c r="Q163" s="417">
        <f>IF(D163="High Density Chalk", Pile!$N$36,0)</f>
        <v>0</v>
      </c>
      <c r="R163" s="401">
        <f>IF( Pile!O$36="",0, Pile!O$36)</f>
        <v>0</v>
      </c>
      <c r="S163" s="418">
        <f t="shared" si="124"/>
        <v>7.9703481640731502</v>
      </c>
      <c r="T163" s="382">
        <f xml:space="preserve"> Pile!$T$36</f>
        <v>1200</v>
      </c>
      <c r="U163" s="382">
        <f t="shared" si="125"/>
        <v>7.9703481640731502</v>
      </c>
      <c r="V163" s="382">
        <f t="shared" si="126"/>
        <v>728.68443986086277</v>
      </c>
      <c r="W163" s="382">
        <f xml:space="preserve"> Pile!$V$36</f>
        <v>15000</v>
      </c>
      <c r="X163" s="382">
        <f t="shared" si="127"/>
        <v>728.68443986086277</v>
      </c>
      <c r="Y163" s="419">
        <v>450</v>
      </c>
      <c r="Z163" s="382">
        <f>PI()*Y163/1000*( Pile!$C$36- Pile!$C163)</f>
        <v>3.3929200658769747</v>
      </c>
      <c r="AA163" s="382">
        <f t="shared" si="128"/>
        <v>0.15904312808798329</v>
      </c>
      <c r="AB163" s="382">
        <f t="shared" si="173"/>
        <v>27.042754217909497</v>
      </c>
      <c r="AC163" s="430">
        <f>Z163* Pile!$S$36</f>
        <v>0</v>
      </c>
      <c r="AD163" s="382">
        <f>IF(AC163&gt;0,MIN(AB163:AC163),AB163)</f>
        <v>27.042754217909497</v>
      </c>
      <c r="AE163" s="382">
        <f>IF(AD163&gt;0,+AD163)/ 'Pile Data and Eurocode Factors'!$B$19/ 'Pile Data and Eurocode Factors'!$B$20</f>
        <v>12.877502008528332</v>
      </c>
      <c r="AF163" s="382">
        <f t="shared" si="157"/>
        <v>115.89225270451156</v>
      </c>
      <c r="AG163" s="382">
        <f>AA163* Pile!$U$36</f>
        <v>0</v>
      </c>
      <c r="AH163" s="382">
        <f t="shared" si="129"/>
        <v>115.89225270451156</v>
      </c>
      <c r="AI163" s="382">
        <f>AH163/ 'Pile Data and Eurocode Factors'!$C$19/ 'Pile Data and Eurocode Factors'!$C$20</f>
        <v>48.694223825425034</v>
      </c>
      <c r="AJ163" s="382">
        <f t="shared" si="130"/>
        <v>61.571725833953366</v>
      </c>
      <c r="AK163" s="382">
        <f>VLOOKUP(Y163, 'Pile Data and Eurocode Factors'!$A$34:$J$39,3, FALSE)</f>
        <v>2366.1761868507956</v>
      </c>
      <c r="AL163" s="403">
        <f t="shared" si="131"/>
        <v>61.571725833953366</v>
      </c>
      <c r="AM163" s="419">
        <v>600</v>
      </c>
      <c r="AN163" s="382">
        <f>PI()*AM163/1000*( Pile!$C$36- Pile!$C163)</f>
        <v>4.5238934211692996</v>
      </c>
      <c r="AO163" s="382">
        <f t="shared" si="132"/>
        <v>0.28274333882308139</v>
      </c>
      <c r="AP163" s="382">
        <f t="shared" si="174"/>
        <v>36.057005623879327</v>
      </c>
      <c r="AQ163" s="430">
        <f>AN163* Pile!$S$36</f>
        <v>0</v>
      </c>
      <c r="AR163" s="382">
        <f>IF(AQ163&gt;0,MIN(AP163:AQ163),AP163)</f>
        <v>36.057005623879327</v>
      </c>
      <c r="AS163" s="382">
        <f>IF(AR163&gt;0,+AR163)/ 'Pile Data and Eurocode Factors'!$B$19/ 'Pile Data and Eurocode Factors'!$B$20</f>
        <v>17.170002678037775</v>
      </c>
      <c r="AT163" s="382">
        <f t="shared" si="160"/>
        <v>206.03067147468721</v>
      </c>
      <c r="AU163" s="382">
        <f>AO163* Pile!$U$36</f>
        <v>0</v>
      </c>
      <c r="AV163" s="382">
        <f t="shared" si="133"/>
        <v>206.03067147468721</v>
      </c>
      <c r="AW163" s="382">
        <f>AV163/ 'Pile Data and Eurocode Factors'!$C$19/ 'Pile Data and Eurocode Factors'!$C$20</f>
        <v>86.567509022977831</v>
      </c>
      <c r="AX163" s="382">
        <f t="shared" si="134"/>
        <v>103.73751170101561</v>
      </c>
      <c r="AY163" s="382">
        <f>VLOOKUP(AM163, 'Pile Data and Eurocode Factors'!$A$34:$J$39,3, FALSE)</f>
        <v>4206.5354432903041</v>
      </c>
      <c r="AZ163" s="403">
        <f t="shared" si="135"/>
        <v>103.73751170101561</v>
      </c>
      <c r="BA163" s="419">
        <v>750</v>
      </c>
      <c r="BB163" s="382">
        <f>PI()*BA163/1000*( Pile!$C$36- Pile!$C163)</f>
        <v>5.6548667764616241</v>
      </c>
      <c r="BC163" s="382">
        <f t="shared" si="136"/>
        <v>0.44178646691106466</v>
      </c>
      <c r="BD163" s="382">
        <f t="shared" si="175"/>
        <v>45.071257029849157</v>
      </c>
      <c r="BE163" s="430">
        <f>BB163* Pile!$S$36</f>
        <v>0</v>
      </c>
      <c r="BF163" s="382">
        <f>IF(BE163&gt;0,MIN(BD163:BE163),BD163)</f>
        <v>45.071257029849157</v>
      </c>
      <c r="BG163" s="382">
        <f>IF(BF163&gt;0,+BF163)/ 'Pile Data and Eurocode Factors'!$B$19/ 'Pile Data and Eurocode Factors'!$B$20</f>
        <v>21.462503347547216</v>
      </c>
      <c r="BH163" s="382">
        <f t="shared" si="163"/>
        <v>321.92292417919873</v>
      </c>
      <c r="BI163" s="382">
        <f>BC163* Pile!$U$36</f>
        <v>0</v>
      </c>
      <c r="BJ163" s="382">
        <f t="shared" si="137"/>
        <v>321.92292417919873</v>
      </c>
      <c r="BK163" s="382">
        <f>BJ163/ 'Pile Data and Eurocode Factors'!$C$19/ 'Pile Data and Eurocode Factors'!$C$20</f>
        <v>135.26173284840283</v>
      </c>
      <c r="BL163" s="382">
        <f t="shared" si="138"/>
        <v>156.72423619595006</v>
      </c>
      <c r="BM163" s="382">
        <f>VLOOKUP(BA163, 'Pile Data and Eurocode Factors'!$A$34:$J$39,3, FALSE)</f>
        <v>6572.7116301410997</v>
      </c>
      <c r="BN163" s="403">
        <f t="shared" si="139"/>
        <v>156.72423619595006</v>
      </c>
      <c r="BO163" s="419">
        <v>900</v>
      </c>
      <c r="BP163" s="382">
        <f>PI()*BO163/1000*( Pile!$C$36- Pile!$C163)</f>
        <v>6.7858401317539494</v>
      </c>
      <c r="BQ163" s="382">
        <f t="shared" si="140"/>
        <v>0.63617251235193317</v>
      </c>
      <c r="BR163" s="382">
        <f t="shared" si="176"/>
        <v>54.085508435818994</v>
      </c>
      <c r="BS163" s="430">
        <f>BP163* Pile!$S$36</f>
        <v>0</v>
      </c>
      <c r="BT163" s="382">
        <f>IF(BS163&gt;0,MIN(BR163:BS163),BR163)</f>
        <v>54.085508435818994</v>
      </c>
      <c r="BU163" s="382">
        <f>IF(BT163&gt;0,+BT163)/ 'Pile Data and Eurocode Factors'!$B$19/ 'Pile Data and Eurocode Factors'!$B$20</f>
        <v>25.755004017056663</v>
      </c>
      <c r="BV163" s="382">
        <f t="shared" si="166"/>
        <v>463.56901081804625</v>
      </c>
      <c r="BW163" s="382">
        <f>BQ163* Pile!$U$36</f>
        <v>0</v>
      </c>
      <c r="BX163" s="382">
        <f t="shared" si="141"/>
        <v>463.56901081804625</v>
      </c>
      <c r="BY163" s="382">
        <f>BX163/ 'Pile Data and Eurocode Factors'!$C$19/ 'Pile Data and Eurocode Factors'!$C$20</f>
        <v>194.77689530170014</v>
      </c>
      <c r="BZ163" s="382">
        <f t="shared" si="142"/>
        <v>220.53189931875681</v>
      </c>
      <c r="CA163" s="382">
        <f>VLOOKUP(BO163, 'Pile Data and Eurocode Factors'!$A$34:$J$39,3, FALSE)</f>
        <v>9464.7047474031824</v>
      </c>
      <c r="CB163" s="403">
        <f t="shared" si="143"/>
        <v>220.53189931875681</v>
      </c>
      <c r="CC163" s="419">
        <v>1050</v>
      </c>
      <c r="CD163" s="382">
        <f>PI()*CC163/1000*( Pile!$C$36- Pile!$C163)</f>
        <v>7.9168134870462739</v>
      </c>
      <c r="CE163" s="382">
        <f t="shared" si="144"/>
        <v>0.86590147514568672</v>
      </c>
      <c r="CF163" s="382">
        <f t="shared" si="177"/>
        <v>63.099759841788824</v>
      </c>
      <c r="CG163" s="430">
        <f>CD163* Pile!$S$36</f>
        <v>0</v>
      </c>
      <c r="CH163" s="382">
        <f>IF(CG163&gt;0,MIN(CF163:CG163),CF163)</f>
        <v>63.099759841788824</v>
      </c>
      <c r="CI163" s="382">
        <f>IF(CH163&gt;0,+CH163)/ 'Pile Data and Eurocode Factors'!$B$19/ 'Pile Data and Eurocode Factors'!$B$20</f>
        <v>30.047504686566111</v>
      </c>
      <c r="CJ163" s="382">
        <f t="shared" si="169"/>
        <v>630.96893139122949</v>
      </c>
      <c r="CK163" s="382">
        <f>CE163* Pile!$U$36</f>
        <v>0</v>
      </c>
      <c r="CL163" s="382">
        <f t="shared" si="145"/>
        <v>630.96893139122949</v>
      </c>
      <c r="CM163" s="382">
        <f>CL163/ 'Pile Data and Eurocode Factors'!$C$19/ 'Pile Data and Eurocode Factors'!$C$20</f>
        <v>265.11299638286954</v>
      </c>
      <c r="CN163" s="382">
        <f t="shared" si="146"/>
        <v>295.16050106943567</v>
      </c>
      <c r="CO163" s="382">
        <f>VLOOKUP(CC163, 'Pile Data and Eurocode Factors'!$A$34:$J$39,3, FALSE)</f>
        <v>12882.514795076555</v>
      </c>
      <c r="CP163" s="403">
        <f t="shared" si="147"/>
        <v>295.16050106943567</v>
      </c>
      <c r="CQ163" s="419">
        <v>1200</v>
      </c>
      <c r="CR163" s="382">
        <f>PI()*CQ163/1000*( Pile!$C$36- Pile!$C163)</f>
        <v>9.0477868423385992</v>
      </c>
      <c r="CS163" s="382">
        <f t="shared" si="148"/>
        <v>1.1309733552923256</v>
      </c>
      <c r="CT163" s="382">
        <f t="shared" si="178"/>
        <v>72.114011247758654</v>
      </c>
      <c r="CU163" s="430">
        <f>CR163* Pile!$S$36</f>
        <v>0</v>
      </c>
      <c r="CV163" s="382">
        <f>IF(CU163&gt;0,MIN(CT163:CU163),CT163)</f>
        <v>72.114011247758654</v>
      </c>
      <c r="CW163" s="382">
        <f>IF(CV163&gt;0,+CV163)/ 'Pile Data and Eurocode Factors'!$B$19/ 'Pile Data and Eurocode Factors'!$B$20</f>
        <v>34.340005356075551</v>
      </c>
      <c r="CX163" s="382">
        <f t="shared" si="172"/>
        <v>824.12268589874884</v>
      </c>
      <c r="CY163" s="382">
        <f>CS163* Pile!$U$36</f>
        <v>0</v>
      </c>
      <c r="CZ163" s="382">
        <f t="shared" si="149"/>
        <v>824.12268589874884</v>
      </c>
      <c r="DA163" s="382">
        <f>CZ163/ 'Pile Data and Eurocode Factors'!$C$19/ 'Pile Data and Eurocode Factors'!$C$20</f>
        <v>346.27003609191132</v>
      </c>
      <c r="DB163" s="382">
        <f t="shared" si="150"/>
        <v>380.61004144798687</v>
      </c>
      <c r="DC163" s="382">
        <f>VLOOKUP(CQ163, 'Pile Data and Eurocode Factors'!$A$34:$J$39,3, FALSE)</f>
        <v>16826.141773161216</v>
      </c>
      <c r="DD163" s="403">
        <f t="shared" si="151"/>
        <v>380.61004144798687</v>
      </c>
      <c r="DE163" s="420">
        <f xml:space="preserve"> Pile!$C$23- Pile!C163</f>
        <v>2.3999999999999986</v>
      </c>
      <c r="DG163" s="382">
        <f t="shared" si="152"/>
        <v>61.571725833953366</v>
      </c>
      <c r="DH163" s="382">
        <f t="shared" si="153"/>
        <v>103.73751170101561</v>
      </c>
      <c r="DI163" s="382">
        <f t="shared" si="154"/>
        <v>156.72423619595006</v>
      </c>
      <c r="DJ163" s="382"/>
      <c r="DK163" s="382"/>
      <c r="DL163" s="382"/>
    </row>
    <row r="164" spans="1:116" s="308" customFormat="1" ht="15">
      <c r="B164" s="400">
        <v>9</v>
      </c>
      <c r="C164" s="401">
        <f>+C163- Pile!D$36/20</f>
        <v>3.3000000000000016</v>
      </c>
      <c r="D164" s="415" t="str">
        <f>B23</f>
        <v>Loose Sand/Gravel</v>
      </c>
      <c r="E164" s="415" t="str">
        <f>F23</f>
        <v>Granular</v>
      </c>
      <c r="F164" s="401">
        <f xml:space="preserve"> Pile!$E$36*(+C163-C164)+F163</f>
        <v>44.549999999999969</v>
      </c>
      <c r="G164" s="401">
        <f>IF(C164&gt; Pile!$C$41,0,( Pile!$C$41-C164)*9.81)</f>
        <v>0</v>
      </c>
      <c r="H164" s="401">
        <f t="shared" si="122"/>
        <v>44.549999999999969</v>
      </c>
      <c r="I164" s="401">
        <f t="shared" si="123"/>
        <v>22.274999999999984</v>
      </c>
      <c r="J164" s="401">
        <f>IF(E164="Cohesive",(( Pile!$H$36- Pile!$G$36)/20)+J163,0)</f>
        <v>0</v>
      </c>
      <c r="K164" s="401">
        <f>IF(E164="Cohesive",( Pile!$G$36+ Pile!$J164)/2,0)</f>
        <v>0</v>
      </c>
      <c r="L164" s="401" t="str">
        <f>IF( Pile!I$36="",0, Pile!I$36)</f>
        <v>0</v>
      </c>
      <c r="M164" s="401" t="str">
        <f>IF( Pile!J$36="",0, Pile!J$36)</f>
        <v>0</v>
      </c>
      <c r="N164" s="401">
        <f>IF(E164="Granular", Pile!$K$36,0)</f>
        <v>18.401122218708668</v>
      </c>
      <c r="O164" s="416">
        <f>IF(AND(E164="Granular",D164&lt;&gt;"Made Ground"), Pile!$L$36,0)</f>
        <v>0.4025428365693513</v>
      </c>
      <c r="P164" s="401">
        <f>IF(OR(D164="Low Density Chalk",D164="Medium Density Chalk"), Pile!$M$36,0)</f>
        <v>0</v>
      </c>
      <c r="Q164" s="417">
        <f>IF(D164="High Density Chalk", Pile!$N$36,0)</f>
        <v>0</v>
      </c>
      <c r="R164" s="401">
        <f>IF( Pile!O$36="",0, Pile!O$36)</f>
        <v>0</v>
      </c>
      <c r="S164" s="418">
        <f t="shared" si="124"/>
        <v>8.966641684582294</v>
      </c>
      <c r="T164" s="382">
        <f xml:space="preserve"> Pile!$T$36</f>
        <v>1200</v>
      </c>
      <c r="U164" s="382">
        <f t="shared" si="125"/>
        <v>8.966641684582294</v>
      </c>
      <c r="V164" s="382">
        <f t="shared" si="126"/>
        <v>819.76999484347061</v>
      </c>
      <c r="W164" s="382">
        <f xml:space="preserve"> Pile!$V$36</f>
        <v>15000</v>
      </c>
      <c r="X164" s="382">
        <f t="shared" si="127"/>
        <v>819.76999484347061</v>
      </c>
      <c r="Y164" s="419">
        <v>450</v>
      </c>
      <c r="Z164" s="382">
        <f>PI()*Y164/1000*( Pile!$C$36- Pile!$C164)</f>
        <v>3.8170350741115966</v>
      </c>
      <c r="AA164" s="382">
        <f t="shared" si="128"/>
        <v>0.15904312808798329</v>
      </c>
      <c r="AB164" s="382">
        <f t="shared" si="173"/>
        <v>34.22598580704171</v>
      </c>
      <c r="AC164" s="430">
        <f>Z164* Pile!$S$36</f>
        <v>0</v>
      </c>
      <c r="AD164" s="382">
        <f t="shared" ref="AD164:AD227" si="179">IF(AC164&gt;0,MIN(AB164:AC164),AB164)</f>
        <v>34.22598580704171</v>
      </c>
      <c r="AE164" s="382">
        <f>IF(AD164&gt;0,+AD164)/ 'Pile Data and Eurocode Factors'!$B$19/ 'Pile Data and Eurocode Factors'!$B$20</f>
        <v>16.298088479543672</v>
      </c>
      <c r="AF164" s="382">
        <f t="shared" si="157"/>
        <v>130.37878429257549</v>
      </c>
      <c r="AG164" s="382">
        <f>AA164* Pile!$U$36</f>
        <v>0</v>
      </c>
      <c r="AH164" s="382">
        <f t="shared" si="129"/>
        <v>130.37878429257549</v>
      </c>
      <c r="AI164" s="382">
        <f>AH164/ 'Pile Data and Eurocode Factors'!$C$19/ 'Pile Data and Eurocode Factors'!$C$20</f>
        <v>54.781001803603147</v>
      </c>
      <c r="AJ164" s="382">
        <f t="shared" si="130"/>
        <v>71.079090283146826</v>
      </c>
      <c r="AK164" s="382">
        <f>VLOOKUP(Y164, 'Pile Data and Eurocode Factors'!$A$34:$J$39,3, FALSE)</f>
        <v>2366.1761868507956</v>
      </c>
      <c r="AL164" s="403">
        <f t="shared" si="131"/>
        <v>71.079090283146826</v>
      </c>
      <c r="AM164" s="419">
        <v>600</v>
      </c>
      <c r="AN164" s="382">
        <f>PI()*AM164/1000*( Pile!$C$36- Pile!$C164)</f>
        <v>5.0893800988154618</v>
      </c>
      <c r="AO164" s="382">
        <f t="shared" si="132"/>
        <v>0.28274333882308139</v>
      </c>
      <c r="AP164" s="382">
        <f t="shared" si="174"/>
        <v>45.634647742722272</v>
      </c>
      <c r="AQ164" s="430">
        <f>AN164* Pile!$S$36</f>
        <v>0</v>
      </c>
      <c r="AR164" s="382">
        <f t="shared" ref="AR164:AR227" si="180">IF(AQ164&gt;0,MIN(AP164:AQ164),AP164)</f>
        <v>45.634647742722272</v>
      </c>
      <c r="AS164" s="382">
        <f>IF(AR164&gt;0,+AR164)/ 'Pile Data and Eurocode Factors'!$B$19/ 'Pile Data and Eurocode Factors'!$B$20</f>
        <v>21.730784639391558</v>
      </c>
      <c r="AT164" s="382">
        <f t="shared" si="160"/>
        <v>231.7845054090231</v>
      </c>
      <c r="AU164" s="382">
        <f>AO164* Pile!$U$36</f>
        <v>0</v>
      </c>
      <c r="AV164" s="382">
        <f t="shared" si="133"/>
        <v>231.7845054090231</v>
      </c>
      <c r="AW164" s="382">
        <f>AV164/ 'Pile Data and Eurocode Factors'!$C$19/ 'Pile Data and Eurocode Factors'!$C$20</f>
        <v>97.388447650850054</v>
      </c>
      <c r="AX164" s="382">
        <f t="shared" si="134"/>
        <v>119.11923229024161</v>
      </c>
      <c r="AY164" s="382">
        <f>VLOOKUP(AM164, 'Pile Data and Eurocode Factors'!$A$34:$J$39,3, FALSE)</f>
        <v>4206.5354432903041</v>
      </c>
      <c r="AZ164" s="403">
        <f t="shared" si="135"/>
        <v>119.11923229024161</v>
      </c>
      <c r="BA164" s="419">
        <v>750</v>
      </c>
      <c r="BB164" s="382">
        <f>PI()*BA164/1000*( Pile!$C$36- Pile!$C164)</f>
        <v>6.3617251235193271</v>
      </c>
      <c r="BC164" s="382">
        <f t="shared" si="136"/>
        <v>0.44178646691106466</v>
      </c>
      <c r="BD164" s="382">
        <f t="shared" si="175"/>
        <v>57.043309678402842</v>
      </c>
      <c r="BE164" s="430">
        <f>BB164* Pile!$S$36</f>
        <v>0</v>
      </c>
      <c r="BF164" s="382">
        <f t="shared" ref="BF164:BF227" si="181">IF(BE164&gt;0,MIN(BD164:BE164),BD164)</f>
        <v>57.043309678402842</v>
      </c>
      <c r="BG164" s="382">
        <f>IF(BF164&gt;0,+BF164)/ 'Pile Data and Eurocode Factors'!$B$19/ 'Pile Data and Eurocode Factors'!$B$20</f>
        <v>27.163480799239451</v>
      </c>
      <c r="BH164" s="382">
        <f t="shared" si="163"/>
        <v>362.16328970159856</v>
      </c>
      <c r="BI164" s="382">
        <f>BC164* Pile!$U$36</f>
        <v>0</v>
      </c>
      <c r="BJ164" s="382">
        <f t="shared" si="137"/>
        <v>362.16328970159856</v>
      </c>
      <c r="BK164" s="382">
        <f>BJ164/ 'Pile Data and Eurocode Factors'!$C$19/ 'Pile Data and Eurocode Factors'!$C$20</f>
        <v>152.16944945445317</v>
      </c>
      <c r="BL164" s="382">
        <f t="shared" si="138"/>
        <v>179.33293025369261</v>
      </c>
      <c r="BM164" s="382">
        <f>VLOOKUP(BA164, 'Pile Data and Eurocode Factors'!$A$34:$J$39,3, FALSE)</f>
        <v>6572.7116301410997</v>
      </c>
      <c r="BN164" s="403">
        <f t="shared" si="139"/>
        <v>179.33293025369261</v>
      </c>
      <c r="BO164" s="419">
        <v>900</v>
      </c>
      <c r="BP164" s="382">
        <f>PI()*BO164/1000*( Pile!$C$36- Pile!$C164)</f>
        <v>7.6340701482231932</v>
      </c>
      <c r="BQ164" s="382">
        <f t="shared" si="140"/>
        <v>0.63617251235193317</v>
      </c>
      <c r="BR164" s="382">
        <f t="shared" si="176"/>
        <v>68.451971614083419</v>
      </c>
      <c r="BS164" s="430">
        <f>BP164* Pile!$S$36</f>
        <v>0</v>
      </c>
      <c r="BT164" s="382">
        <f t="shared" ref="BT164:BT227" si="182">IF(BS164&gt;0,MIN(BR164:BS164),BR164)</f>
        <v>68.451971614083419</v>
      </c>
      <c r="BU164" s="382">
        <f>IF(BT164&gt;0,+BT164)/ 'Pile Data and Eurocode Factors'!$B$19/ 'Pile Data and Eurocode Factors'!$B$20</f>
        <v>32.596176959087344</v>
      </c>
      <c r="BV164" s="382">
        <f t="shared" si="166"/>
        <v>521.51513717030195</v>
      </c>
      <c r="BW164" s="382">
        <f>BQ164* Pile!$U$36</f>
        <v>0</v>
      </c>
      <c r="BX164" s="382">
        <f t="shared" si="141"/>
        <v>521.51513717030195</v>
      </c>
      <c r="BY164" s="382">
        <f>BX164/ 'Pile Data and Eurocode Factors'!$C$19/ 'Pile Data and Eurocode Factors'!$C$20</f>
        <v>219.12400721441259</v>
      </c>
      <c r="BZ164" s="382">
        <f t="shared" si="142"/>
        <v>251.72018417349994</v>
      </c>
      <c r="CA164" s="382">
        <f>VLOOKUP(BO164, 'Pile Data and Eurocode Factors'!$A$34:$J$39,3, FALSE)</f>
        <v>9464.7047474031824</v>
      </c>
      <c r="CB164" s="403">
        <f t="shared" si="143"/>
        <v>251.72018417349994</v>
      </c>
      <c r="CC164" s="419">
        <v>1050</v>
      </c>
      <c r="CD164" s="382">
        <f>PI()*CC164/1000*( Pile!$C$36- Pile!$C164)</f>
        <v>8.9064151729270584</v>
      </c>
      <c r="CE164" s="382">
        <f t="shared" si="144"/>
        <v>0.86590147514568672</v>
      </c>
      <c r="CF164" s="382">
        <f t="shared" si="177"/>
        <v>79.860633549763989</v>
      </c>
      <c r="CG164" s="430">
        <f>CD164* Pile!$S$36</f>
        <v>0</v>
      </c>
      <c r="CH164" s="382">
        <f t="shared" ref="CH164:CH227" si="183">IF(CG164&gt;0,MIN(CF164:CG164),CF164)</f>
        <v>79.860633549763989</v>
      </c>
      <c r="CI164" s="382">
        <f>IF(CH164&gt;0,+CH164)/ 'Pile Data and Eurocode Factors'!$B$19/ 'Pile Data and Eurocode Factors'!$B$20</f>
        <v>38.028873118935238</v>
      </c>
      <c r="CJ164" s="382">
        <f t="shared" si="169"/>
        <v>709.84004781513318</v>
      </c>
      <c r="CK164" s="382">
        <f>CE164* Pile!$U$36</f>
        <v>0</v>
      </c>
      <c r="CL164" s="382">
        <f t="shared" si="145"/>
        <v>709.84004781513318</v>
      </c>
      <c r="CM164" s="382">
        <f>CL164/ 'Pile Data and Eurocode Factors'!$C$19/ 'Pile Data and Eurocode Factors'!$C$20</f>
        <v>298.25212093072827</v>
      </c>
      <c r="CN164" s="382">
        <f t="shared" si="146"/>
        <v>336.28099404966349</v>
      </c>
      <c r="CO164" s="382">
        <f>VLOOKUP(CC164, 'Pile Data and Eurocode Factors'!$A$34:$J$39,3, FALSE)</f>
        <v>12882.514795076555</v>
      </c>
      <c r="CP164" s="403">
        <f t="shared" si="147"/>
        <v>336.28099404966349</v>
      </c>
      <c r="CQ164" s="419">
        <v>1200</v>
      </c>
      <c r="CR164" s="382">
        <f>PI()*CQ164/1000*( Pile!$C$36- Pile!$C164)</f>
        <v>10.178760197630924</v>
      </c>
      <c r="CS164" s="382">
        <f t="shared" si="148"/>
        <v>1.1309733552923256</v>
      </c>
      <c r="CT164" s="382">
        <f t="shared" si="178"/>
        <v>91.269295485444545</v>
      </c>
      <c r="CU164" s="430">
        <f>CR164* Pile!$S$36</f>
        <v>0</v>
      </c>
      <c r="CV164" s="382">
        <f t="shared" ref="CV164:CV227" si="184">IF(CU164&gt;0,MIN(CT164:CU164),CT164)</f>
        <v>91.269295485444545</v>
      </c>
      <c r="CW164" s="382">
        <f>IF(CV164&gt;0,+CV164)/ 'Pile Data and Eurocode Factors'!$B$19/ 'Pile Data and Eurocode Factors'!$B$20</f>
        <v>43.461569278783116</v>
      </c>
      <c r="CX164" s="382">
        <f t="shared" si="172"/>
        <v>927.13802163609239</v>
      </c>
      <c r="CY164" s="382">
        <f>CS164* Pile!$U$36</f>
        <v>0</v>
      </c>
      <c r="CZ164" s="382">
        <f t="shared" si="149"/>
        <v>927.13802163609239</v>
      </c>
      <c r="DA164" s="382">
        <f>CZ164/ 'Pile Data and Eurocode Factors'!$C$19/ 'Pile Data and Eurocode Factors'!$C$20</f>
        <v>389.55379060340022</v>
      </c>
      <c r="DB164" s="382">
        <f t="shared" si="150"/>
        <v>433.01535988218336</v>
      </c>
      <c r="DC164" s="382">
        <f>VLOOKUP(CQ164, 'Pile Data and Eurocode Factors'!$A$34:$J$39,3, FALSE)</f>
        <v>16826.141773161216</v>
      </c>
      <c r="DD164" s="403">
        <f t="shared" si="151"/>
        <v>433.01535988218336</v>
      </c>
      <c r="DE164" s="420">
        <f xml:space="preserve"> Pile!$C$23- Pile!C164</f>
        <v>2.6999999999999984</v>
      </c>
      <c r="DG164" s="382">
        <f t="shared" si="152"/>
        <v>71.079090283146826</v>
      </c>
      <c r="DH164" s="382">
        <f t="shared" si="153"/>
        <v>119.11923229024161</v>
      </c>
      <c r="DI164" s="382">
        <f t="shared" si="154"/>
        <v>179.33293025369261</v>
      </c>
      <c r="DJ164" s="382"/>
      <c r="DK164" s="382"/>
      <c r="DL164" s="382"/>
    </row>
    <row r="165" spans="1:116" s="308" customFormat="1" ht="15">
      <c r="B165" s="400">
        <v>10</v>
      </c>
      <c r="C165" s="401">
        <f>+C164- Pile!D$36/20</f>
        <v>3.0000000000000018</v>
      </c>
      <c r="D165" s="415" t="str">
        <f>B23</f>
        <v>Loose Sand/Gravel</v>
      </c>
      <c r="E165" s="415" t="str">
        <f>F23</f>
        <v>Granular</v>
      </c>
      <c r="F165" s="401">
        <f xml:space="preserve"> Pile!$E$36*(+C164-C165)+F164</f>
        <v>49.499999999999964</v>
      </c>
      <c r="G165" s="401">
        <f>IF(C165&gt; Pile!$C$41,0,( Pile!$C$41-C165)*9.81)</f>
        <v>0</v>
      </c>
      <c r="H165" s="401">
        <f t="shared" si="122"/>
        <v>49.499999999999964</v>
      </c>
      <c r="I165" s="401">
        <f t="shared" si="123"/>
        <v>24.749999999999982</v>
      </c>
      <c r="J165" s="401">
        <f>IF(E165="Cohesive",(( Pile!$H$36- Pile!$G$36)/20)+J164,0)</f>
        <v>0</v>
      </c>
      <c r="K165" s="401">
        <f>IF(E165="Cohesive",( Pile!$G$36+ Pile!$J165)/2,0)</f>
        <v>0</v>
      </c>
      <c r="L165" s="401" t="str">
        <f>IF( Pile!I$36="",0, Pile!I$36)</f>
        <v>0</v>
      </c>
      <c r="M165" s="401" t="str">
        <f>IF( Pile!J$36="",0, Pile!J$36)</f>
        <v>0</v>
      </c>
      <c r="N165" s="401">
        <f>IF(E165="Granular", Pile!$K$36,0)</f>
        <v>18.401122218708668</v>
      </c>
      <c r="O165" s="416">
        <f>IF(AND(E165="Granular",D165&lt;&gt;"Made Ground"), Pile!$L$36,0)</f>
        <v>0.4025428365693513</v>
      </c>
      <c r="P165" s="401">
        <f>IF(OR(D165="Low Density Chalk",D165="Medium Density Chalk"), Pile!$M$36,0)</f>
        <v>0</v>
      </c>
      <c r="Q165" s="417">
        <f>IF(D165="High Density Chalk", Pile!$N$36,0)</f>
        <v>0</v>
      </c>
      <c r="R165" s="401">
        <f>IF( Pile!O$36="",0, Pile!O$36)</f>
        <v>0</v>
      </c>
      <c r="S165" s="418">
        <f t="shared" si="124"/>
        <v>9.962935205091437</v>
      </c>
      <c r="T165" s="382">
        <f xml:space="preserve"> Pile!$T$36</f>
        <v>1200</v>
      </c>
      <c r="U165" s="382">
        <f t="shared" si="125"/>
        <v>9.962935205091437</v>
      </c>
      <c r="V165" s="382">
        <f t="shared" si="126"/>
        <v>910.85554982607846</v>
      </c>
      <c r="W165" s="382">
        <f xml:space="preserve"> Pile!$V$36</f>
        <v>15000</v>
      </c>
      <c r="X165" s="382">
        <f t="shared" si="127"/>
        <v>910.85554982607846</v>
      </c>
      <c r="Y165" s="419">
        <v>450</v>
      </c>
      <c r="Z165" s="382">
        <f>PI()*Y165/1000*( Pile!$C$36- Pile!$C165)</f>
        <v>4.241150082346218</v>
      </c>
      <c r="AA165" s="382">
        <f t="shared" si="128"/>
        <v>0.15904312808798329</v>
      </c>
      <c r="AB165" s="382">
        <f t="shared" si="173"/>
        <v>42.254303465483581</v>
      </c>
      <c r="AC165" s="430">
        <f>Z165* Pile!$S$36</f>
        <v>0</v>
      </c>
      <c r="AD165" s="382">
        <f t="shared" si="179"/>
        <v>42.254303465483581</v>
      </c>
      <c r="AE165" s="382">
        <f>IF(AD165&gt;0,+AD165)/ 'Pile Data and Eurocode Factors'!$B$19/ 'Pile Data and Eurocode Factors'!$B$20</f>
        <v>20.121096888325514</v>
      </c>
      <c r="AF165" s="382">
        <f t="shared" si="157"/>
        <v>144.86531588063946</v>
      </c>
      <c r="AG165" s="382">
        <f>AA165* Pile!$U$36</f>
        <v>0</v>
      </c>
      <c r="AH165" s="382">
        <f t="shared" si="129"/>
        <v>144.86531588063946</v>
      </c>
      <c r="AI165" s="382">
        <f>AH165/ 'Pile Data and Eurocode Factors'!$C$19/ 'Pile Data and Eurocode Factors'!$C$20</f>
        <v>60.867779781781287</v>
      </c>
      <c r="AJ165" s="382">
        <f t="shared" si="130"/>
        <v>80.988876670106805</v>
      </c>
      <c r="AK165" s="382">
        <f>VLOOKUP(Y165, 'Pile Data and Eurocode Factors'!$A$34:$J$39,3, FALSE)</f>
        <v>2366.1761868507956</v>
      </c>
      <c r="AL165" s="403">
        <f t="shared" si="131"/>
        <v>80.988876670106805</v>
      </c>
      <c r="AM165" s="419">
        <v>600</v>
      </c>
      <c r="AN165" s="382">
        <f>PI()*AM165/1000*( Pile!$C$36- Pile!$C165)</f>
        <v>5.6548667764616241</v>
      </c>
      <c r="AO165" s="382">
        <f t="shared" si="132"/>
        <v>0.28274333882308139</v>
      </c>
      <c r="AP165" s="382">
        <f t="shared" si="174"/>
        <v>56.339071287311441</v>
      </c>
      <c r="AQ165" s="430">
        <f>AN165* Pile!$S$36</f>
        <v>0</v>
      </c>
      <c r="AR165" s="382">
        <f t="shared" si="180"/>
        <v>56.339071287311441</v>
      </c>
      <c r="AS165" s="382">
        <f>IF(AR165&gt;0,+AR165)/ 'Pile Data and Eurocode Factors'!$B$19/ 'Pile Data and Eurocode Factors'!$B$20</f>
        <v>26.828129184434022</v>
      </c>
      <c r="AT165" s="382">
        <f t="shared" si="160"/>
        <v>257.53833934335898</v>
      </c>
      <c r="AU165" s="382">
        <f>AO165* Pile!$U$36</f>
        <v>0</v>
      </c>
      <c r="AV165" s="382">
        <f t="shared" si="133"/>
        <v>257.53833934335898</v>
      </c>
      <c r="AW165" s="382">
        <f>AV165/ 'Pile Data and Eurocode Factors'!$C$19/ 'Pile Data and Eurocode Factors'!$C$20</f>
        <v>108.20938627872228</v>
      </c>
      <c r="AX165" s="382">
        <f t="shared" si="134"/>
        <v>135.0375154631563</v>
      </c>
      <c r="AY165" s="382">
        <f>VLOOKUP(AM165, 'Pile Data and Eurocode Factors'!$A$34:$J$39,3, FALSE)</f>
        <v>4206.5354432903041</v>
      </c>
      <c r="AZ165" s="403">
        <f t="shared" si="135"/>
        <v>135.0375154631563</v>
      </c>
      <c r="BA165" s="419">
        <v>750</v>
      </c>
      <c r="BB165" s="382">
        <f>PI()*BA165/1000*( Pile!$C$36- Pile!$C165)</f>
        <v>7.0685834705770301</v>
      </c>
      <c r="BC165" s="382">
        <f t="shared" si="136"/>
        <v>0.44178646691106466</v>
      </c>
      <c r="BD165" s="382">
        <f t="shared" si="175"/>
        <v>70.423839109139308</v>
      </c>
      <c r="BE165" s="430">
        <f>BB165* Pile!$S$36</f>
        <v>0</v>
      </c>
      <c r="BF165" s="382">
        <f t="shared" si="181"/>
        <v>70.423839109139308</v>
      </c>
      <c r="BG165" s="382">
        <f>IF(BF165&gt;0,+BF165)/ 'Pile Data and Eurocode Factors'!$B$19/ 'Pile Data and Eurocode Factors'!$B$20</f>
        <v>33.535161480542534</v>
      </c>
      <c r="BH165" s="382">
        <f t="shared" si="163"/>
        <v>402.40365522399844</v>
      </c>
      <c r="BI165" s="382">
        <f>BC165* Pile!$U$36</f>
        <v>0</v>
      </c>
      <c r="BJ165" s="382">
        <f t="shared" si="137"/>
        <v>402.40365522399844</v>
      </c>
      <c r="BK165" s="382">
        <f>BJ165/ 'Pile Data and Eurocode Factors'!$C$19/ 'Pile Data and Eurocode Factors'!$C$20</f>
        <v>169.07716606050354</v>
      </c>
      <c r="BL165" s="382">
        <f t="shared" si="138"/>
        <v>202.61232754104608</v>
      </c>
      <c r="BM165" s="382">
        <f>VLOOKUP(BA165, 'Pile Data and Eurocode Factors'!$A$34:$J$39,3, FALSE)</f>
        <v>6572.7116301410997</v>
      </c>
      <c r="BN165" s="403">
        <f t="shared" si="139"/>
        <v>202.61232754104608</v>
      </c>
      <c r="BO165" s="419">
        <v>900</v>
      </c>
      <c r="BP165" s="382">
        <f>PI()*BO165/1000*( Pile!$C$36- Pile!$C165)</f>
        <v>8.4823001646924361</v>
      </c>
      <c r="BQ165" s="382">
        <f t="shared" si="140"/>
        <v>0.63617251235193317</v>
      </c>
      <c r="BR165" s="382">
        <f t="shared" si="176"/>
        <v>84.508606930967161</v>
      </c>
      <c r="BS165" s="430">
        <f>BP165* Pile!$S$36</f>
        <v>0</v>
      </c>
      <c r="BT165" s="382">
        <f t="shared" si="182"/>
        <v>84.508606930967161</v>
      </c>
      <c r="BU165" s="382">
        <f>IF(BT165&gt;0,+BT165)/ 'Pile Data and Eurocode Factors'!$B$19/ 'Pile Data and Eurocode Factors'!$B$20</f>
        <v>40.242193776651028</v>
      </c>
      <c r="BV165" s="382">
        <f t="shared" si="166"/>
        <v>579.46126352255783</v>
      </c>
      <c r="BW165" s="382">
        <f>BQ165* Pile!$U$36</f>
        <v>0</v>
      </c>
      <c r="BX165" s="382">
        <f t="shared" si="141"/>
        <v>579.46126352255783</v>
      </c>
      <c r="BY165" s="382">
        <f>BX165/ 'Pile Data and Eurocode Factors'!$C$19/ 'Pile Data and Eurocode Factors'!$C$20</f>
        <v>243.47111912712515</v>
      </c>
      <c r="BZ165" s="382">
        <f t="shared" si="142"/>
        <v>283.71331290377617</v>
      </c>
      <c r="CA165" s="382">
        <f>VLOOKUP(BO165, 'Pile Data and Eurocode Factors'!$A$34:$J$39,3, FALSE)</f>
        <v>9464.7047474031824</v>
      </c>
      <c r="CB165" s="403">
        <f t="shared" si="143"/>
        <v>283.71331290377617</v>
      </c>
      <c r="CC165" s="419">
        <v>1050</v>
      </c>
      <c r="CD165" s="382">
        <f>PI()*CC165/1000*( Pile!$C$36- Pile!$C165)</f>
        <v>9.8960168588078421</v>
      </c>
      <c r="CE165" s="382">
        <f t="shared" si="144"/>
        <v>0.86590147514568672</v>
      </c>
      <c r="CF165" s="382">
        <f t="shared" si="177"/>
        <v>98.593374752795029</v>
      </c>
      <c r="CG165" s="430">
        <f>CD165* Pile!$S$36</f>
        <v>0</v>
      </c>
      <c r="CH165" s="382">
        <f t="shared" si="183"/>
        <v>98.593374752795029</v>
      </c>
      <c r="CI165" s="382">
        <f>IF(CH165&gt;0,+CH165)/ 'Pile Data and Eurocode Factors'!$B$19/ 'Pile Data and Eurocode Factors'!$B$20</f>
        <v>46.949226072759537</v>
      </c>
      <c r="CJ165" s="382">
        <f t="shared" si="169"/>
        <v>788.71116423903686</v>
      </c>
      <c r="CK165" s="382">
        <f>CE165* Pile!$U$36</f>
        <v>0</v>
      </c>
      <c r="CL165" s="382">
        <f t="shared" si="145"/>
        <v>788.71116423903686</v>
      </c>
      <c r="CM165" s="382">
        <f>CL165/ 'Pile Data and Eurocode Factors'!$C$19/ 'Pile Data and Eurocode Factors'!$C$20</f>
        <v>331.39124547858694</v>
      </c>
      <c r="CN165" s="382">
        <f t="shared" si="146"/>
        <v>378.34047155134647</v>
      </c>
      <c r="CO165" s="382">
        <f>VLOOKUP(CC165, 'Pile Data and Eurocode Factors'!$A$34:$J$39,3, FALSE)</f>
        <v>12882.514795076555</v>
      </c>
      <c r="CP165" s="403">
        <f t="shared" si="147"/>
        <v>378.34047155134647</v>
      </c>
      <c r="CQ165" s="419">
        <v>1200</v>
      </c>
      <c r="CR165" s="382">
        <f>PI()*CQ165/1000*( Pile!$C$36- Pile!$C165)</f>
        <v>11.309733552923248</v>
      </c>
      <c r="CS165" s="382">
        <f t="shared" si="148"/>
        <v>1.1309733552923256</v>
      </c>
      <c r="CT165" s="382">
        <f t="shared" si="178"/>
        <v>112.67814257462288</v>
      </c>
      <c r="CU165" s="430">
        <f>CR165* Pile!$S$36</f>
        <v>0</v>
      </c>
      <c r="CV165" s="382">
        <f t="shared" si="184"/>
        <v>112.67814257462288</v>
      </c>
      <c r="CW165" s="382">
        <f>IF(CV165&gt;0,+CV165)/ 'Pile Data and Eurocode Factors'!$B$19/ 'Pile Data and Eurocode Factors'!$B$20</f>
        <v>53.656258368868045</v>
      </c>
      <c r="CX165" s="382">
        <f t="shared" si="172"/>
        <v>1030.1533573734359</v>
      </c>
      <c r="CY165" s="382">
        <f>CS165* Pile!$U$36</f>
        <v>0</v>
      </c>
      <c r="CZ165" s="382">
        <f t="shared" si="149"/>
        <v>1030.1533573734359</v>
      </c>
      <c r="DA165" s="382">
        <f>CZ165/ 'Pile Data and Eurocode Factors'!$C$19/ 'Pile Data and Eurocode Factors'!$C$20</f>
        <v>432.83754511488911</v>
      </c>
      <c r="DB165" s="382">
        <f t="shared" si="150"/>
        <v>486.49380348375718</v>
      </c>
      <c r="DC165" s="382">
        <f>VLOOKUP(CQ165, 'Pile Data and Eurocode Factors'!$A$34:$J$39,3, FALSE)</f>
        <v>16826.141773161216</v>
      </c>
      <c r="DD165" s="403">
        <f t="shared" si="151"/>
        <v>486.49380348375718</v>
      </c>
      <c r="DE165" s="420">
        <f xml:space="preserve"> Pile!$C$23- Pile!C165</f>
        <v>2.9999999999999982</v>
      </c>
      <c r="DG165" s="382">
        <f t="shared" si="152"/>
        <v>80.988876670106805</v>
      </c>
      <c r="DH165" s="382">
        <f t="shared" si="153"/>
        <v>135.0375154631563</v>
      </c>
      <c r="DI165" s="382">
        <f t="shared" si="154"/>
        <v>202.61232754104608</v>
      </c>
      <c r="DJ165" s="382"/>
      <c r="DK165" s="382"/>
      <c r="DL165" s="382"/>
    </row>
    <row r="166" spans="1:116" s="308" customFormat="1" ht="15">
      <c r="B166" s="400">
        <v>11</v>
      </c>
      <c r="C166" s="401">
        <f>+C165- Pile!D$36/20</f>
        <v>2.700000000000002</v>
      </c>
      <c r="D166" s="415" t="str">
        <f>B23</f>
        <v>Loose Sand/Gravel</v>
      </c>
      <c r="E166" s="415" t="str">
        <f>F23</f>
        <v>Granular</v>
      </c>
      <c r="F166" s="401">
        <f xml:space="preserve"> Pile!$E$36*(+C165-C166)+F165</f>
        <v>54.44999999999996</v>
      </c>
      <c r="G166" s="401">
        <f>IF(C166&gt; Pile!$C$41,0,( Pile!$C$41-C166)*9.81)</f>
        <v>0</v>
      </c>
      <c r="H166" s="401">
        <f t="shared" si="122"/>
        <v>54.44999999999996</v>
      </c>
      <c r="I166" s="401">
        <f t="shared" si="123"/>
        <v>27.22499999999998</v>
      </c>
      <c r="J166" s="401">
        <f>IF(E166="Cohesive",(( Pile!$H$36- Pile!$G$36)/20)+J165,0)</f>
        <v>0</v>
      </c>
      <c r="K166" s="401">
        <f>IF(E166="Cohesive",( Pile!$G$36+ Pile!$J166)/2,0)</f>
        <v>0</v>
      </c>
      <c r="L166" s="401" t="str">
        <f>IF( Pile!I$36="",0, Pile!I$36)</f>
        <v>0</v>
      </c>
      <c r="M166" s="401" t="str">
        <f>IF( Pile!J$36="",0, Pile!J$36)</f>
        <v>0</v>
      </c>
      <c r="N166" s="401">
        <f>IF(E166="Granular", Pile!$K$36,0)</f>
        <v>18.401122218708668</v>
      </c>
      <c r="O166" s="416">
        <f>IF(AND(E166="Granular",D166&lt;&gt;"Made Ground"), Pile!$L$36,0)</f>
        <v>0.4025428365693513</v>
      </c>
      <c r="P166" s="401">
        <f>IF(OR(D166="Low Density Chalk",D166="Medium Density Chalk"), Pile!$M$36,0)</f>
        <v>0</v>
      </c>
      <c r="Q166" s="417">
        <f>IF(D166="High Density Chalk", Pile!$N$36,0)</f>
        <v>0</v>
      </c>
      <c r="R166" s="401">
        <f>IF( Pile!O$36="",0, Pile!O$36)</f>
        <v>0</v>
      </c>
      <c r="S166" s="418">
        <f t="shared" si="124"/>
        <v>10.959228725600582</v>
      </c>
      <c r="T166" s="382">
        <f xml:space="preserve"> Pile!$T$36</f>
        <v>1200</v>
      </c>
      <c r="U166" s="382">
        <f t="shared" si="125"/>
        <v>10.959228725600582</v>
      </c>
      <c r="V166" s="382">
        <f t="shared" si="126"/>
        <v>1001.9411048086862</v>
      </c>
      <c r="W166" s="382">
        <f xml:space="preserve"> Pile!$V$36</f>
        <v>15000</v>
      </c>
      <c r="X166" s="382">
        <f t="shared" si="127"/>
        <v>1001.9411048086862</v>
      </c>
      <c r="Y166" s="419">
        <v>450</v>
      </c>
      <c r="Z166" s="382">
        <f>PI()*Y166/1000*( Pile!$C$36- Pile!$C166)</f>
        <v>4.6652650905808404</v>
      </c>
      <c r="AA166" s="382">
        <f t="shared" si="128"/>
        <v>0.15904312808798329</v>
      </c>
      <c r="AB166" s="382">
        <f t="shared" si="173"/>
        <v>51.127707193235146</v>
      </c>
      <c r="AC166" s="430">
        <f>Z166* Pile!$S$36</f>
        <v>0</v>
      </c>
      <c r="AD166" s="382">
        <f t="shared" si="179"/>
        <v>51.127707193235146</v>
      </c>
      <c r="AE166" s="382">
        <f>IF(AD166&gt;0,+AD166)/ 'Pile Data and Eurocode Factors'!$B$19/ 'Pile Data and Eurocode Factors'!$B$20</f>
        <v>24.346527234873879</v>
      </c>
      <c r="AF166" s="382">
        <f t="shared" si="157"/>
        <v>159.35184746870337</v>
      </c>
      <c r="AG166" s="382">
        <f>AA166* Pile!$U$36</f>
        <v>0</v>
      </c>
      <c r="AH166" s="382">
        <f t="shared" si="129"/>
        <v>159.35184746870337</v>
      </c>
      <c r="AI166" s="382">
        <f>AH166/ 'Pile Data and Eurocode Factors'!$C$19/ 'Pile Data and Eurocode Factors'!$C$20</f>
        <v>66.9545577599594</v>
      </c>
      <c r="AJ166" s="382">
        <f t="shared" si="130"/>
        <v>91.301084994833275</v>
      </c>
      <c r="AK166" s="382">
        <f>VLOOKUP(Y166, 'Pile Data and Eurocode Factors'!$A$34:$J$39,3, FALSE)</f>
        <v>2366.1761868507956</v>
      </c>
      <c r="AL166" s="403">
        <f t="shared" si="131"/>
        <v>91.301084994833275</v>
      </c>
      <c r="AM166" s="419">
        <v>600</v>
      </c>
      <c r="AN166" s="382">
        <f>PI()*AM166/1000*( Pile!$C$36- Pile!$C166)</f>
        <v>6.2203534541077863</v>
      </c>
      <c r="AO166" s="382">
        <f t="shared" si="132"/>
        <v>0.28274333882308139</v>
      </c>
      <c r="AP166" s="382">
        <f t="shared" si="174"/>
        <v>68.170276257646847</v>
      </c>
      <c r="AQ166" s="430">
        <f>AN166* Pile!$S$36</f>
        <v>0</v>
      </c>
      <c r="AR166" s="382">
        <f t="shared" si="180"/>
        <v>68.170276257646847</v>
      </c>
      <c r="AS166" s="382">
        <f>IF(AR166&gt;0,+AR166)/ 'Pile Data and Eurocode Factors'!$B$19/ 'Pile Data and Eurocode Factors'!$B$20</f>
        <v>32.462036313165164</v>
      </c>
      <c r="AT166" s="382">
        <f t="shared" si="160"/>
        <v>283.29217327769487</v>
      </c>
      <c r="AU166" s="382">
        <f>AO166* Pile!$U$36</f>
        <v>0</v>
      </c>
      <c r="AV166" s="382">
        <f t="shared" si="133"/>
        <v>283.29217327769487</v>
      </c>
      <c r="AW166" s="382">
        <f>AV166/ 'Pile Data and Eurocode Factors'!$C$19/ 'Pile Data and Eurocode Factors'!$C$20</f>
        <v>119.0303249065945</v>
      </c>
      <c r="AX166" s="382">
        <f t="shared" si="134"/>
        <v>151.49236121975966</v>
      </c>
      <c r="AY166" s="382">
        <f>VLOOKUP(AM166, 'Pile Data and Eurocode Factors'!$A$34:$J$39,3, FALSE)</f>
        <v>4206.5354432903041</v>
      </c>
      <c r="AZ166" s="403">
        <f t="shared" si="135"/>
        <v>151.49236121975966</v>
      </c>
      <c r="BA166" s="419">
        <v>750</v>
      </c>
      <c r="BB166" s="382">
        <f>PI()*BA166/1000*( Pile!$C$36- Pile!$C166)</f>
        <v>7.7754418176347331</v>
      </c>
      <c r="BC166" s="382">
        <f t="shared" si="136"/>
        <v>0.44178646691106466</v>
      </c>
      <c r="BD166" s="382">
        <f t="shared" si="175"/>
        <v>85.21284532205857</v>
      </c>
      <c r="BE166" s="430">
        <f>BB166* Pile!$S$36</f>
        <v>0</v>
      </c>
      <c r="BF166" s="382">
        <f t="shared" si="181"/>
        <v>85.21284532205857</v>
      </c>
      <c r="BG166" s="382">
        <f>IF(BF166&gt;0,+BF166)/ 'Pile Data and Eurocode Factors'!$B$19/ 'Pile Data and Eurocode Factors'!$B$20</f>
        <v>40.577545391456461</v>
      </c>
      <c r="BH166" s="382">
        <f t="shared" si="163"/>
        <v>442.64402074639821</v>
      </c>
      <c r="BI166" s="382">
        <f>BC166* Pile!$U$36</f>
        <v>0</v>
      </c>
      <c r="BJ166" s="382">
        <f t="shared" si="137"/>
        <v>442.64402074639821</v>
      </c>
      <c r="BK166" s="382">
        <f>BJ166/ 'Pile Data and Eurocode Factors'!$C$19/ 'Pile Data and Eurocode Factors'!$C$20</f>
        <v>185.98488266655389</v>
      </c>
      <c r="BL166" s="382">
        <f t="shared" si="138"/>
        <v>226.56242805801034</v>
      </c>
      <c r="BM166" s="382">
        <f>VLOOKUP(BA166, 'Pile Data and Eurocode Factors'!$A$34:$J$39,3, FALSE)</f>
        <v>6572.7116301410997</v>
      </c>
      <c r="BN166" s="403">
        <f t="shared" si="139"/>
        <v>226.56242805801034</v>
      </c>
      <c r="BO166" s="419">
        <v>900</v>
      </c>
      <c r="BP166" s="382">
        <f>PI()*BO166/1000*( Pile!$C$36- Pile!$C166)</f>
        <v>9.3305301811616808</v>
      </c>
      <c r="BQ166" s="382">
        <f t="shared" si="140"/>
        <v>0.63617251235193317</v>
      </c>
      <c r="BR166" s="382">
        <f t="shared" si="176"/>
        <v>102.25541438647029</v>
      </c>
      <c r="BS166" s="430">
        <f>BP166* Pile!$S$36</f>
        <v>0</v>
      </c>
      <c r="BT166" s="382">
        <f t="shared" si="182"/>
        <v>102.25541438647029</v>
      </c>
      <c r="BU166" s="382">
        <f>IF(BT166&gt;0,+BT166)/ 'Pile Data and Eurocode Factors'!$B$19/ 'Pile Data and Eurocode Factors'!$B$20</f>
        <v>48.693054469747757</v>
      </c>
      <c r="BV166" s="382">
        <f t="shared" si="166"/>
        <v>637.40738987481348</v>
      </c>
      <c r="BW166" s="382">
        <f>BQ166* Pile!$U$36</f>
        <v>0</v>
      </c>
      <c r="BX166" s="382">
        <f t="shared" si="141"/>
        <v>637.40738987481348</v>
      </c>
      <c r="BY166" s="382">
        <f>BX166/ 'Pile Data and Eurocode Factors'!$C$19/ 'Pile Data and Eurocode Factors'!$C$20</f>
        <v>267.8182310398376</v>
      </c>
      <c r="BZ166" s="382">
        <f t="shared" si="142"/>
        <v>316.51128550958538</v>
      </c>
      <c r="CA166" s="382">
        <f>VLOOKUP(BO166, 'Pile Data and Eurocode Factors'!$A$34:$J$39,3, FALSE)</f>
        <v>9464.7047474031824</v>
      </c>
      <c r="CB166" s="403">
        <f t="shared" si="143"/>
        <v>316.51128550958538</v>
      </c>
      <c r="CC166" s="419">
        <v>1050</v>
      </c>
      <c r="CD166" s="382">
        <f>PI()*CC166/1000*( Pile!$C$36- Pile!$C166)</f>
        <v>10.885618544688628</v>
      </c>
      <c r="CE166" s="382">
        <f t="shared" si="144"/>
        <v>0.86590147514568672</v>
      </c>
      <c r="CF166" s="382">
        <f t="shared" si="177"/>
        <v>119.29798345088201</v>
      </c>
      <c r="CG166" s="430">
        <f>CD166* Pile!$S$36</f>
        <v>0</v>
      </c>
      <c r="CH166" s="382">
        <f t="shared" si="183"/>
        <v>119.29798345088201</v>
      </c>
      <c r="CI166" s="382">
        <f>IF(CH166&gt;0,+CH166)/ 'Pile Data and Eurocode Factors'!$B$19/ 'Pile Data and Eurocode Factors'!$B$20</f>
        <v>56.808563548039054</v>
      </c>
      <c r="CJ166" s="382">
        <f t="shared" si="169"/>
        <v>867.58228066294043</v>
      </c>
      <c r="CK166" s="382">
        <f>CE166* Pile!$U$36</f>
        <v>0</v>
      </c>
      <c r="CL166" s="382">
        <f t="shared" si="145"/>
        <v>867.58228066294043</v>
      </c>
      <c r="CM166" s="382">
        <f>CL166/ 'Pile Data and Eurocode Factors'!$C$19/ 'Pile Data and Eurocode Factors'!$C$20</f>
        <v>364.53037002644561</v>
      </c>
      <c r="CN166" s="382">
        <f t="shared" si="146"/>
        <v>421.33893357448466</v>
      </c>
      <c r="CO166" s="382">
        <f>VLOOKUP(CC166, 'Pile Data and Eurocode Factors'!$A$34:$J$39,3, FALSE)</f>
        <v>12882.514795076555</v>
      </c>
      <c r="CP166" s="403">
        <f t="shared" si="147"/>
        <v>421.33893357448466</v>
      </c>
      <c r="CQ166" s="419">
        <v>1200</v>
      </c>
      <c r="CR166" s="382">
        <f>PI()*CQ166/1000*( Pile!$C$36- Pile!$C166)</f>
        <v>12.440706908215573</v>
      </c>
      <c r="CS166" s="382">
        <f t="shared" si="148"/>
        <v>1.1309733552923256</v>
      </c>
      <c r="CT166" s="382">
        <f t="shared" si="178"/>
        <v>136.34055251529369</v>
      </c>
      <c r="CU166" s="430">
        <f>CR166* Pile!$S$36</f>
        <v>0</v>
      </c>
      <c r="CV166" s="382">
        <f t="shared" si="184"/>
        <v>136.34055251529369</v>
      </c>
      <c r="CW166" s="382">
        <f>IF(CV166&gt;0,+CV166)/ 'Pile Data and Eurocode Factors'!$B$19/ 'Pile Data and Eurocode Factors'!$B$20</f>
        <v>64.924072626330329</v>
      </c>
      <c r="CX166" s="382">
        <f t="shared" si="172"/>
        <v>1133.1686931107795</v>
      </c>
      <c r="CY166" s="382">
        <f>CS166* Pile!$U$36</f>
        <v>0</v>
      </c>
      <c r="CZ166" s="382">
        <f t="shared" si="149"/>
        <v>1133.1686931107795</v>
      </c>
      <c r="DA166" s="382">
        <f>CZ166/ 'Pile Data and Eurocode Factors'!$C$19/ 'Pile Data and Eurocode Factors'!$C$20</f>
        <v>476.121299626378</v>
      </c>
      <c r="DB166" s="382">
        <f t="shared" si="150"/>
        <v>541.04537225270838</v>
      </c>
      <c r="DC166" s="382">
        <f>VLOOKUP(CQ166, 'Pile Data and Eurocode Factors'!$A$34:$J$39,3, FALSE)</f>
        <v>16826.141773161216</v>
      </c>
      <c r="DD166" s="403">
        <f t="shared" si="151"/>
        <v>541.04537225270838</v>
      </c>
      <c r="DE166" s="420">
        <f xml:space="preserve"> Pile!$C$23- Pile!C166</f>
        <v>3.299999999999998</v>
      </c>
      <c r="DG166" s="382">
        <f t="shared" si="152"/>
        <v>91.301084994833275</v>
      </c>
      <c r="DH166" s="382">
        <f t="shared" si="153"/>
        <v>151.49236121975966</v>
      </c>
      <c r="DI166" s="382">
        <f t="shared" si="154"/>
        <v>226.56242805801034</v>
      </c>
      <c r="DJ166" s="382"/>
      <c r="DK166" s="382"/>
      <c r="DL166" s="382"/>
    </row>
    <row r="167" spans="1:116" s="308" customFormat="1" ht="15">
      <c r="B167" s="400">
        <v>12</v>
      </c>
      <c r="C167" s="401">
        <f>+C166- Pile!D$36/20</f>
        <v>2.4000000000000021</v>
      </c>
      <c r="D167" s="415" t="str">
        <f>B23</f>
        <v>Loose Sand/Gravel</v>
      </c>
      <c r="E167" s="415" t="str">
        <f>F23</f>
        <v>Granular</v>
      </c>
      <c r="F167" s="401">
        <f xml:space="preserve"> Pile!$E$36*(+C166-C167)+F166</f>
        <v>59.399999999999956</v>
      </c>
      <c r="G167" s="401">
        <f>IF(C167&gt; Pile!$C$41,0,( Pile!$C$41-C167)*9.81)</f>
        <v>0</v>
      </c>
      <c r="H167" s="401">
        <f t="shared" si="122"/>
        <v>59.399999999999956</v>
      </c>
      <c r="I167" s="401">
        <f t="shared" si="123"/>
        <v>29.699999999999978</v>
      </c>
      <c r="J167" s="401">
        <f>IF(E167="Cohesive",(( Pile!$H$36- Pile!$G$36)/20)+J166,0)</f>
        <v>0</v>
      </c>
      <c r="K167" s="401">
        <f>IF(E167="Cohesive",( Pile!$G$36+ Pile!$J167)/2,0)</f>
        <v>0</v>
      </c>
      <c r="L167" s="401" t="str">
        <f>IF( Pile!I$36="",0, Pile!I$36)</f>
        <v>0</v>
      </c>
      <c r="M167" s="401" t="str">
        <f>IF( Pile!J$36="",0, Pile!J$36)</f>
        <v>0</v>
      </c>
      <c r="N167" s="401">
        <f>IF(E167="Granular", Pile!$K$36,0)</f>
        <v>18.401122218708668</v>
      </c>
      <c r="O167" s="416">
        <f>IF(AND(E167="Granular",D167&lt;&gt;"Made Ground"), Pile!$L$36,0)</f>
        <v>0.4025428365693513</v>
      </c>
      <c r="P167" s="401">
        <f>IF(OR(D167="Low Density Chalk",D167="Medium Density Chalk"), Pile!$M$36,0)</f>
        <v>0</v>
      </c>
      <c r="Q167" s="417">
        <f>IF(D167="High Density Chalk", Pile!$N$36,0)</f>
        <v>0</v>
      </c>
      <c r="R167" s="401">
        <f>IF( Pile!O$36="",0, Pile!O$36)</f>
        <v>0</v>
      </c>
      <c r="S167" s="418">
        <f t="shared" si="124"/>
        <v>11.955522246109725</v>
      </c>
      <c r="T167" s="382">
        <f xml:space="preserve"> Pile!$T$36</f>
        <v>1200</v>
      </c>
      <c r="U167" s="382">
        <f t="shared" si="125"/>
        <v>11.955522246109725</v>
      </c>
      <c r="V167" s="382">
        <f t="shared" si="126"/>
        <v>1093.0266597912942</v>
      </c>
      <c r="W167" s="382">
        <f xml:space="preserve"> Pile!$V$36</f>
        <v>15000</v>
      </c>
      <c r="X167" s="382">
        <f t="shared" si="127"/>
        <v>1093.0266597912942</v>
      </c>
      <c r="Y167" s="419">
        <v>450</v>
      </c>
      <c r="Z167" s="382">
        <f>PI()*Y167/1000*( Pile!$C$36- Pile!$C167)</f>
        <v>5.0893800988154618</v>
      </c>
      <c r="AA167" s="382">
        <f t="shared" si="128"/>
        <v>0.15904312808798329</v>
      </c>
      <c r="AB167" s="382">
        <f t="shared" si="173"/>
        <v>60.846196990296363</v>
      </c>
      <c r="AC167" s="430">
        <f>Z167* Pile!$S$36</f>
        <v>0</v>
      </c>
      <c r="AD167" s="382">
        <f t="shared" si="179"/>
        <v>60.846196990296363</v>
      </c>
      <c r="AE167" s="382">
        <f>IF(AD167&gt;0,+AD167)/ 'Pile Data and Eurocode Factors'!$B$19/ 'Pile Data and Eurocode Factors'!$B$20</f>
        <v>28.974379519188744</v>
      </c>
      <c r="AF167" s="382">
        <f t="shared" si="157"/>
        <v>173.83837905676734</v>
      </c>
      <c r="AG167" s="382">
        <f>AA167* Pile!$U$36</f>
        <v>0</v>
      </c>
      <c r="AH167" s="382">
        <f t="shared" si="129"/>
        <v>173.83837905676734</v>
      </c>
      <c r="AI167" s="382">
        <f>AH167/ 'Pile Data and Eurocode Factors'!$C$19/ 'Pile Data and Eurocode Factors'!$C$20</f>
        <v>73.041335738137548</v>
      </c>
      <c r="AJ167" s="382">
        <f t="shared" si="130"/>
        <v>102.01571525732629</v>
      </c>
      <c r="AK167" s="382">
        <f>VLOOKUP(Y167, 'Pile Data and Eurocode Factors'!$A$34:$J$39,3, FALSE)</f>
        <v>2366.1761868507956</v>
      </c>
      <c r="AL167" s="403">
        <f t="shared" si="131"/>
        <v>102.01571525732629</v>
      </c>
      <c r="AM167" s="419">
        <v>600</v>
      </c>
      <c r="AN167" s="382">
        <f>PI()*AM167/1000*( Pile!$C$36- Pile!$C167)</f>
        <v>6.7858401317539494</v>
      </c>
      <c r="AO167" s="382">
        <f t="shared" si="132"/>
        <v>0.28274333882308139</v>
      </c>
      <c r="AP167" s="382">
        <f t="shared" si="174"/>
        <v>81.128262653728484</v>
      </c>
      <c r="AQ167" s="430">
        <f>AN167* Pile!$S$36</f>
        <v>0</v>
      </c>
      <c r="AR167" s="382">
        <f t="shared" si="180"/>
        <v>81.128262653728484</v>
      </c>
      <c r="AS167" s="382">
        <f>IF(AR167&gt;0,+AR167)/ 'Pile Data and Eurocode Factors'!$B$19/ 'Pile Data and Eurocode Factors'!$B$20</f>
        <v>38.632506025584995</v>
      </c>
      <c r="AT167" s="382">
        <f t="shared" si="160"/>
        <v>309.04600721203082</v>
      </c>
      <c r="AU167" s="382">
        <f>AO167* Pile!$U$36</f>
        <v>0</v>
      </c>
      <c r="AV167" s="382">
        <f t="shared" si="133"/>
        <v>309.04600721203082</v>
      </c>
      <c r="AW167" s="382">
        <f>AV167/ 'Pile Data and Eurocode Factors'!$C$19/ 'Pile Data and Eurocode Factors'!$C$20</f>
        <v>129.85126353446674</v>
      </c>
      <c r="AX167" s="382">
        <f t="shared" si="134"/>
        <v>168.48376956005174</v>
      </c>
      <c r="AY167" s="382">
        <f>VLOOKUP(AM167, 'Pile Data and Eurocode Factors'!$A$34:$J$39,3, FALSE)</f>
        <v>4206.5354432903041</v>
      </c>
      <c r="AZ167" s="403">
        <f t="shared" si="135"/>
        <v>168.48376956005174</v>
      </c>
      <c r="BA167" s="419">
        <v>750</v>
      </c>
      <c r="BB167" s="382">
        <f>PI()*BA167/1000*( Pile!$C$36- Pile!$C167)</f>
        <v>8.4823001646924361</v>
      </c>
      <c r="BC167" s="382">
        <f t="shared" si="136"/>
        <v>0.44178646691106466</v>
      </c>
      <c r="BD167" s="382">
        <f t="shared" si="175"/>
        <v>101.41032831716061</v>
      </c>
      <c r="BE167" s="430">
        <f>BB167* Pile!$S$36</f>
        <v>0</v>
      </c>
      <c r="BF167" s="382">
        <f t="shared" si="181"/>
        <v>101.41032831716061</v>
      </c>
      <c r="BG167" s="382">
        <f>IF(BF167&gt;0,+BF167)/ 'Pile Data and Eurocode Factors'!$B$19/ 'Pile Data and Eurocode Factors'!$B$20</f>
        <v>48.290632531981238</v>
      </c>
      <c r="BH167" s="382">
        <f t="shared" si="163"/>
        <v>482.8843862687981</v>
      </c>
      <c r="BI167" s="382">
        <f>BC167* Pile!$U$36</f>
        <v>0</v>
      </c>
      <c r="BJ167" s="382">
        <f t="shared" si="137"/>
        <v>482.8843862687981</v>
      </c>
      <c r="BK167" s="382">
        <f>BJ167/ 'Pile Data and Eurocode Factors'!$C$19/ 'Pile Data and Eurocode Factors'!$C$20</f>
        <v>202.89259927260426</v>
      </c>
      <c r="BL167" s="382">
        <f t="shared" si="138"/>
        <v>251.18323180458549</v>
      </c>
      <c r="BM167" s="382">
        <f>VLOOKUP(BA167, 'Pile Data and Eurocode Factors'!$A$34:$J$39,3, FALSE)</f>
        <v>6572.7116301410997</v>
      </c>
      <c r="BN167" s="403">
        <f t="shared" si="139"/>
        <v>251.18323180458549</v>
      </c>
      <c r="BO167" s="419">
        <v>900</v>
      </c>
      <c r="BP167" s="382">
        <f>PI()*BO167/1000*( Pile!$C$36- Pile!$C167)</f>
        <v>10.178760197630924</v>
      </c>
      <c r="BQ167" s="382">
        <f t="shared" si="140"/>
        <v>0.63617251235193317</v>
      </c>
      <c r="BR167" s="382">
        <f t="shared" si="176"/>
        <v>121.69239398059273</v>
      </c>
      <c r="BS167" s="430">
        <f>BP167* Pile!$S$36</f>
        <v>0</v>
      </c>
      <c r="BT167" s="382">
        <f t="shared" si="182"/>
        <v>121.69239398059273</v>
      </c>
      <c r="BU167" s="382">
        <f>IF(BT167&gt;0,+BT167)/ 'Pile Data and Eurocode Factors'!$B$19/ 'Pile Data and Eurocode Factors'!$B$20</f>
        <v>57.948759038377489</v>
      </c>
      <c r="BV167" s="382">
        <f t="shared" si="166"/>
        <v>695.35351622706935</v>
      </c>
      <c r="BW167" s="382">
        <f>BQ167* Pile!$U$36</f>
        <v>0</v>
      </c>
      <c r="BX167" s="382">
        <f t="shared" si="141"/>
        <v>695.35351622706935</v>
      </c>
      <c r="BY167" s="382">
        <f>BX167/ 'Pile Data and Eurocode Factors'!$C$19/ 'Pile Data and Eurocode Factors'!$C$20</f>
        <v>292.16534295255019</v>
      </c>
      <c r="BZ167" s="382">
        <f t="shared" si="142"/>
        <v>350.11410199092768</v>
      </c>
      <c r="CA167" s="382">
        <f>VLOOKUP(BO167, 'Pile Data and Eurocode Factors'!$A$34:$J$39,3, FALSE)</f>
        <v>9464.7047474031824</v>
      </c>
      <c r="CB167" s="403">
        <f t="shared" si="143"/>
        <v>350.11410199092768</v>
      </c>
      <c r="CC167" s="419">
        <v>1050</v>
      </c>
      <c r="CD167" s="382">
        <f>PI()*CC167/1000*( Pile!$C$36- Pile!$C167)</f>
        <v>11.875220230569411</v>
      </c>
      <c r="CE167" s="382">
        <f t="shared" si="144"/>
        <v>0.86590147514568672</v>
      </c>
      <c r="CF167" s="382">
        <f t="shared" si="177"/>
        <v>141.97445964402485</v>
      </c>
      <c r="CG167" s="430">
        <f>CD167* Pile!$S$36</f>
        <v>0</v>
      </c>
      <c r="CH167" s="382">
        <f t="shared" si="183"/>
        <v>141.97445964402485</v>
      </c>
      <c r="CI167" s="382">
        <f>IF(CH167&gt;0,+CH167)/ 'Pile Data and Eurocode Factors'!$B$19/ 'Pile Data and Eurocode Factors'!$B$20</f>
        <v>67.606885544773732</v>
      </c>
      <c r="CJ167" s="382">
        <f t="shared" si="169"/>
        <v>946.45339708684423</v>
      </c>
      <c r="CK167" s="382">
        <f>CE167* Pile!$U$36</f>
        <v>0</v>
      </c>
      <c r="CL167" s="382">
        <f t="shared" si="145"/>
        <v>946.45339708684423</v>
      </c>
      <c r="CM167" s="382">
        <f>CL167/ 'Pile Data and Eurocode Factors'!$C$19/ 'Pile Data and Eurocode Factors'!$C$20</f>
        <v>397.66949457430434</v>
      </c>
      <c r="CN167" s="382">
        <f t="shared" si="146"/>
        <v>465.27638011907806</v>
      </c>
      <c r="CO167" s="382">
        <f>VLOOKUP(CC167, 'Pile Data and Eurocode Factors'!$A$34:$J$39,3, FALSE)</f>
        <v>12882.514795076555</v>
      </c>
      <c r="CP167" s="403">
        <f t="shared" si="147"/>
        <v>465.27638011907806</v>
      </c>
      <c r="CQ167" s="419">
        <v>1200</v>
      </c>
      <c r="CR167" s="382">
        <f>PI()*CQ167/1000*( Pile!$C$36- Pile!$C167)</f>
        <v>13.571680263507899</v>
      </c>
      <c r="CS167" s="382">
        <f t="shared" si="148"/>
        <v>1.1309733552923256</v>
      </c>
      <c r="CT167" s="382">
        <f t="shared" si="178"/>
        <v>162.25652530745697</v>
      </c>
      <c r="CU167" s="430">
        <f>CR167* Pile!$S$36</f>
        <v>0</v>
      </c>
      <c r="CV167" s="382">
        <f t="shared" si="184"/>
        <v>162.25652530745697</v>
      </c>
      <c r="CW167" s="382">
        <f>IF(CV167&gt;0,+CV167)/ 'Pile Data and Eurocode Factors'!$B$19/ 'Pile Data and Eurocode Factors'!$B$20</f>
        <v>77.26501205116999</v>
      </c>
      <c r="CX167" s="382">
        <f t="shared" si="172"/>
        <v>1236.1840288481233</v>
      </c>
      <c r="CY167" s="382">
        <f>CS167* Pile!$U$36</f>
        <v>0</v>
      </c>
      <c r="CZ167" s="382">
        <f t="shared" si="149"/>
        <v>1236.1840288481233</v>
      </c>
      <c r="DA167" s="382">
        <f>CZ167/ 'Pile Data and Eurocode Factors'!$C$19/ 'Pile Data and Eurocode Factors'!$C$20</f>
        <v>519.40505413786695</v>
      </c>
      <c r="DB167" s="382">
        <f t="shared" si="150"/>
        <v>596.6700661890369</v>
      </c>
      <c r="DC167" s="382">
        <f>VLOOKUP(CQ167, 'Pile Data and Eurocode Factors'!$A$34:$J$39,3, FALSE)</f>
        <v>16826.141773161216</v>
      </c>
      <c r="DD167" s="403">
        <f t="shared" si="151"/>
        <v>596.6700661890369</v>
      </c>
      <c r="DE167" s="420">
        <f xml:space="preserve"> Pile!$C$23- Pile!C167</f>
        <v>3.5999999999999979</v>
      </c>
      <c r="DG167" s="382">
        <f t="shared" si="152"/>
        <v>102.01571525732629</v>
      </c>
      <c r="DH167" s="382">
        <f t="shared" si="153"/>
        <v>168.48376956005174</v>
      </c>
      <c r="DI167" s="382">
        <f t="shared" si="154"/>
        <v>251.18323180458549</v>
      </c>
      <c r="DJ167" s="382"/>
      <c r="DK167" s="382"/>
      <c r="DL167" s="382"/>
    </row>
    <row r="168" spans="1:116" s="308" customFormat="1" ht="15">
      <c r="B168" s="400">
        <v>13</v>
      </c>
      <c r="C168" s="401">
        <f>+C167- Pile!D$36/20</f>
        <v>2.1000000000000023</v>
      </c>
      <c r="D168" s="415" t="str">
        <f>B23</f>
        <v>Loose Sand/Gravel</v>
      </c>
      <c r="E168" s="415" t="str">
        <f>F23</f>
        <v>Granular</v>
      </c>
      <c r="F168" s="401">
        <f xml:space="preserve"> Pile!$E$36*(+C167-C168)+F167</f>
        <v>64.349999999999952</v>
      </c>
      <c r="G168" s="401">
        <f>IF(C168&gt; Pile!$C$41,0,( Pile!$C$41-C168)*9.81)</f>
        <v>0</v>
      </c>
      <c r="H168" s="401">
        <f t="shared" si="122"/>
        <v>64.349999999999952</v>
      </c>
      <c r="I168" s="401">
        <f t="shared" si="123"/>
        <v>32.174999999999976</v>
      </c>
      <c r="J168" s="401">
        <f>IF(E168="Cohesive",(( Pile!$H$36- Pile!$G$36)/20)+J167,0)</f>
        <v>0</v>
      </c>
      <c r="K168" s="401">
        <f>IF(E168="Cohesive",( Pile!$G$36+ Pile!$J168)/2,0)</f>
        <v>0</v>
      </c>
      <c r="L168" s="401" t="str">
        <f>IF( Pile!I$36="",0, Pile!I$36)</f>
        <v>0</v>
      </c>
      <c r="M168" s="401" t="str">
        <f>IF( Pile!J$36="",0, Pile!J$36)</f>
        <v>0</v>
      </c>
      <c r="N168" s="401">
        <f>IF(E168="Granular", Pile!$K$36,0)</f>
        <v>18.401122218708668</v>
      </c>
      <c r="O168" s="416">
        <f>IF(AND(E168="Granular",D168&lt;&gt;"Made Ground"), Pile!$L$36,0)</f>
        <v>0.4025428365693513</v>
      </c>
      <c r="P168" s="401">
        <f>IF(OR(D168="Low Density Chalk",D168="Medium Density Chalk"), Pile!$M$36,0)</f>
        <v>0</v>
      </c>
      <c r="Q168" s="417">
        <f>IF(D168="High Density Chalk", Pile!$N$36,0)</f>
        <v>0</v>
      </c>
      <c r="R168" s="401">
        <f>IF( Pile!O$36="",0, Pile!O$36)</f>
        <v>0</v>
      </c>
      <c r="S168" s="418">
        <f t="shared" si="124"/>
        <v>12.951815766618868</v>
      </c>
      <c r="T168" s="382">
        <f xml:space="preserve"> Pile!$T$36</f>
        <v>1200</v>
      </c>
      <c r="U168" s="382">
        <f t="shared" si="125"/>
        <v>12.951815766618868</v>
      </c>
      <c r="V168" s="382">
        <f t="shared" si="126"/>
        <v>1184.112214773902</v>
      </c>
      <c r="W168" s="382">
        <f xml:space="preserve"> Pile!$V$36</f>
        <v>15000</v>
      </c>
      <c r="X168" s="382">
        <f t="shared" si="127"/>
        <v>1184.112214773902</v>
      </c>
      <c r="Y168" s="419">
        <v>450</v>
      </c>
      <c r="Z168" s="382">
        <f>PI()*Y168/1000*( Pile!$C$36- Pile!$C168)</f>
        <v>5.5134951070500833</v>
      </c>
      <c r="AA168" s="382">
        <f t="shared" si="128"/>
        <v>0.15904312808798329</v>
      </c>
      <c r="AB168" s="382">
        <f t="shared" si="173"/>
        <v>71.409772856667246</v>
      </c>
      <c r="AC168" s="430">
        <f>Z168* Pile!$S$36</f>
        <v>0</v>
      </c>
      <c r="AD168" s="382">
        <f t="shared" si="179"/>
        <v>71.409772856667246</v>
      </c>
      <c r="AE168" s="382">
        <f>IF(AD168&gt;0,+AD168)/ 'Pile Data and Eurocode Factors'!$B$19/ 'Pile Data and Eurocode Factors'!$B$20</f>
        <v>34.004653741270118</v>
      </c>
      <c r="AF168" s="382">
        <f t="shared" si="157"/>
        <v>188.32491064483128</v>
      </c>
      <c r="AG168" s="382">
        <f>AA168* Pile!$U$36</f>
        <v>0</v>
      </c>
      <c r="AH168" s="382">
        <f t="shared" si="129"/>
        <v>188.32491064483128</v>
      </c>
      <c r="AI168" s="382">
        <f>AH168/ 'Pile Data and Eurocode Factors'!$C$19/ 'Pile Data and Eurocode Factors'!$C$20</f>
        <v>79.128113716315681</v>
      </c>
      <c r="AJ168" s="382">
        <f t="shared" si="130"/>
        <v>113.1327674575858</v>
      </c>
      <c r="AK168" s="382">
        <f>VLOOKUP(Y168, 'Pile Data and Eurocode Factors'!$A$34:$J$39,3, FALSE)</f>
        <v>2366.1761868507956</v>
      </c>
      <c r="AL168" s="403">
        <f t="shared" si="131"/>
        <v>113.1327674575858</v>
      </c>
      <c r="AM168" s="419">
        <v>600</v>
      </c>
      <c r="AN168" s="382">
        <f>PI()*AM168/1000*( Pile!$C$36- Pile!$C168)</f>
        <v>7.3513268094001116</v>
      </c>
      <c r="AO168" s="382">
        <f t="shared" si="132"/>
        <v>0.28274333882308139</v>
      </c>
      <c r="AP168" s="382">
        <f t="shared" si="174"/>
        <v>95.213030475556337</v>
      </c>
      <c r="AQ168" s="430">
        <f>AN168* Pile!$S$36</f>
        <v>0</v>
      </c>
      <c r="AR168" s="382">
        <f t="shared" si="180"/>
        <v>95.213030475556337</v>
      </c>
      <c r="AS168" s="382">
        <f>IF(AR168&gt;0,+AR168)/ 'Pile Data and Eurocode Factors'!$B$19/ 'Pile Data and Eurocode Factors'!$B$20</f>
        <v>45.339538321693503</v>
      </c>
      <c r="AT168" s="382">
        <f t="shared" si="160"/>
        <v>334.7998411463667</v>
      </c>
      <c r="AU168" s="382">
        <f>AO168* Pile!$U$36</f>
        <v>0</v>
      </c>
      <c r="AV168" s="382">
        <f t="shared" si="133"/>
        <v>334.7998411463667</v>
      </c>
      <c r="AW168" s="382">
        <f>AV168/ 'Pile Data and Eurocode Factors'!$C$19/ 'Pile Data and Eurocode Factors'!$C$20</f>
        <v>140.67220216233895</v>
      </c>
      <c r="AX168" s="382">
        <f t="shared" si="134"/>
        <v>186.01174048403246</v>
      </c>
      <c r="AY168" s="382">
        <f>VLOOKUP(AM168, 'Pile Data and Eurocode Factors'!$A$34:$J$39,3, FALSE)</f>
        <v>4206.5354432903041</v>
      </c>
      <c r="AZ168" s="403">
        <f t="shared" si="135"/>
        <v>186.01174048403246</v>
      </c>
      <c r="BA168" s="419">
        <v>750</v>
      </c>
      <c r="BB168" s="382">
        <f>PI()*BA168/1000*( Pile!$C$36- Pile!$C168)</f>
        <v>9.18915851175014</v>
      </c>
      <c r="BC168" s="382">
        <f t="shared" si="136"/>
        <v>0.44178646691106466</v>
      </c>
      <c r="BD168" s="382">
        <f t="shared" si="175"/>
        <v>119.01628809444543</v>
      </c>
      <c r="BE168" s="430">
        <f>BB168* Pile!$S$36</f>
        <v>0</v>
      </c>
      <c r="BF168" s="382">
        <f t="shared" si="181"/>
        <v>119.01628809444543</v>
      </c>
      <c r="BG168" s="382">
        <f>IF(BF168&gt;0,+BF168)/ 'Pile Data and Eurocode Factors'!$B$19/ 'Pile Data and Eurocode Factors'!$B$20</f>
        <v>56.674422902116874</v>
      </c>
      <c r="BH168" s="382">
        <f t="shared" si="163"/>
        <v>523.12475179119792</v>
      </c>
      <c r="BI168" s="382">
        <f>BC168* Pile!$U$36</f>
        <v>0</v>
      </c>
      <c r="BJ168" s="382">
        <f t="shared" si="137"/>
        <v>523.12475179119792</v>
      </c>
      <c r="BK168" s="382">
        <f>BJ168/ 'Pile Data and Eurocode Factors'!$C$19/ 'Pile Data and Eurocode Factors'!$C$20</f>
        <v>219.8003158786546</v>
      </c>
      <c r="BL168" s="382">
        <f t="shared" si="138"/>
        <v>276.47473878077147</v>
      </c>
      <c r="BM168" s="382">
        <f>VLOOKUP(BA168, 'Pile Data and Eurocode Factors'!$A$34:$J$39,3, FALSE)</f>
        <v>6572.7116301410997</v>
      </c>
      <c r="BN168" s="403">
        <f t="shared" si="139"/>
        <v>276.47473878077147</v>
      </c>
      <c r="BO168" s="419">
        <v>900</v>
      </c>
      <c r="BP168" s="382">
        <f>PI()*BO168/1000*( Pile!$C$36- Pile!$C168)</f>
        <v>11.026990214100167</v>
      </c>
      <c r="BQ168" s="382">
        <f t="shared" si="140"/>
        <v>0.63617251235193317</v>
      </c>
      <c r="BR168" s="382">
        <f t="shared" si="176"/>
        <v>142.81954571333449</v>
      </c>
      <c r="BS168" s="430">
        <f>BP168* Pile!$S$36</f>
        <v>0</v>
      </c>
      <c r="BT168" s="382">
        <f t="shared" si="182"/>
        <v>142.81954571333449</v>
      </c>
      <c r="BU168" s="382">
        <f>IF(BT168&gt;0,+BT168)/ 'Pile Data and Eurocode Factors'!$B$19/ 'Pile Data and Eurocode Factors'!$B$20</f>
        <v>68.009307482540237</v>
      </c>
      <c r="BV168" s="382">
        <f t="shared" si="166"/>
        <v>753.29964257932511</v>
      </c>
      <c r="BW168" s="382">
        <f>BQ168* Pile!$U$36</f>
        <v>0</v>
      </c>
      <c r="BX168" s="382">
        <f t="shared" si="141"/>
        <v>753.29964257932511</v>
      </c>
      <c r="BY168" s="382">
        <f>BX168/ 'Pile Data and Eurocode Factors'!$C$19/ 'Pile Data and Eurocode Factors'!$C$20</f>
        <v>316.51245486526273</v>
      </c>
      <c r="BZ168" s="382">
        <f t="shared" si="142"/>
        <v>384.52176234780296</v>
      </c>
      <c r="CA168" s="382">
        <f>VLOOKUP(BO168, 'Pile Data and Eurocode Factors'!$A$34:$J$39,3, FALSE)</f>
        <v>9464.7047474031824</v>
      </c>
      <c r="CB168" s="403">
        <f t="shared" si="143"/>
        <v>384.52176234780296</v>
      </c>
      <c r="CC168" s="419">
        <v>1050</v>
      </c>
      <c r="CD168" s="382">
        <f>PI()*CC168/1000*( Pile!$C$36- Pile!$C168)</f>
        <v>12.864821916450195</v>
      </c>
      <c r="CE168" s="382">
        <f t="shared" si="144"/>
        <v>0.86590147514568672</v>
      </c>
      <c r="CF168" s="382">
        <f t="shared" si="177"/>
        <v>166.62280333222358</v>
      </c>
      <c r="CG168" s="430">
        <f>CD168* Pile!$S$36</f>
        <v>0</v>
      </c>
      <c r="CH168" s="382">
        <f t="shared" si="183"/>
        <v>166.62280333222358</v>
      </c>
      <c r="CI168" s="382">
        <f>IF(CH168&gt;0,+CH168)/ 'Pile Data and Eurocode Factors'!$B$19/ 'Pile Data and Eurocode Factors'!$B$20</f>
        <v>79.344192062963614</v>
      </c>
      <c r="CJ168" s="382">
        <f t="shared" si="169"/>
        <v>1025.3245135107479</v>
      </c>
      <c r="CK168" s="382">
        <f>CE168* Pile!$U$36</f>
        <v>0</v>
      </c>
      <c r="CL168" s="382">
        <f t="shared" si="145"/>
        <v>1025.3245135107479</v>
      </c>
      <c r="CM168" s="382">
        <f>CL168/ 'Pile Data and Eurocode Factors'!$C$19/ 'Pile Data and Eurocode Factors'!$C$20</f>
        <v>430.80861912216307</v>
      </c>
      <c r="CN168" s="382">
        <f t="shared" si="146"/>
        <v>510.15281118512667</v>
      </c>
      <c r="CO168" s="382">
        <f>VLOOKUP(CC168, 'Pile Data and Eurocode Factors'!$A$34:$J$39,3, FALSE)</f>
        <v>12882.514795076555</v>
      </c>
      <c r="CP168" s="403">
        <f t="shared" si="147"/>
        <v>510.15281118512667</v>
      </c>
      <c r="CQ168" s="419">
        <v>1200</v>
      </c>
      <c r="CR168" s="382">
        <f>PI()*CQ168/1000*( Pile!$C$36- Pile!$C168)</f>
        <v>14.702653618800223</v>
      </c>
      <c r="CS168" s="382">
        <f t="shared" si="148"/>
        <v>1.1309733552923256</v>
      </c>
      <c r="CT168" s="382">
        <f t="shared" si="178"/>
        <v>190.42606095111267</v>
      </c>
      <c r="CU168" s="430">
        <f>CR168* Pile!$S$36</f>
        <v>0</v>
      </c>
      <c r="CV168" s="382">
        <f t="shared" si="184"/>
        <v>190.42606095111267</v>
      </c>
      <c r="CW168" s="382">
        <f>IF(CV168&gt;0,+CV168)/ 'Pile Data and Eurocode Factors'!$B$19/ 'Pile Data and Eurocode Factors'!$B$20</f>
        <v>90.679076643387006</v>
      </c>
      <c r="CX168" s="382">
        <f t="shared" si="172"/>
        <v>1339.1993645854668</v>
      </c>
      <c r="CY168" s="382">
        <f>CS168* Pile!$U$36</f>
        <v>0</v>
      </c>
      <c r="CZ168" s="382">
        <f t="shared" si="149"/>
        <v>1339.1993645854668</v>
      </c>
      <c r="DA168" s="382">
        <f>CZ168/ 'Pile Data and Eurocode Factors'!$C$19/ 'Pile Data and Eurocode Factors'!$C$20</f>
        <v>562.68880864935579</v>
      </c>
      <c r="DB168" s="382">
        <f t="shared" si="150"/>
        <v>653.36788529274281</v>
      </c>
      <c r="DC168" s="382">
        <f>VLOOKUP(CQ168, 'Pile Data and Eurocode Factors'!$A$34:$J$39,3, FALSE)</f>
        <v>16826.141773161216</v>
      </c>
      <c r="DD168" s="403">
        <f t="shared" si="151"/>
        <v>653.36788529274281</v>
      </c>
      <c r="DE168" s="420">
        <f xml:space="preserve"> Pile!$C$23- Pile!C168</f>
        <v>3.8999999999999977</v>
      </c>
      <c r="DG168" s="382">
        <f t="shared" si="152"/>
        <v>113.1327674575858</v>
      </c>
      <c r="DH168" s="382">
        <f t="shared" si="153"/>
        <v>186.01174048403246</v>
      </c>
      <c r="DI168" s="382">
        <f t="shared" si="154"/>
        <v>276.47473878077147</v>
      </c>
      <c r="DJ168" s="382"/>
      <c r="DK168" s="382"/>
      <c r="DL168" s="382"/>
    </row>
    <row r="169" spans="1:116" s="308" customFormat="1" ht="15">
      <c r="B169" s="400">
        <v>14</v>
      </c>
      <c r="C169" s="401">
        <f>+C168- Pile!D$36/20</f>
        <v>1.8000000000000023</v>
      </c>
      <c r="D169" s="415" t="str">
        <f>B23</f>
        <v>Loose Sand/Gravel</v>
      </c>
      <c r="E169" s="415" t="str">
        <f>F23</f>
        <v>Granular</v>
      </c>
      <c r="F169" s="401">
        <f xml:space="preserve"> Pile!$E$36*(+C168-C169)+F168</f>
        <v>69.299999999999955</v>
      </c>
      <c r="G169" s="401">
        <f>IF(C169&gt; Pile!$C$41,0,( Pile!$C$41-C169)*9.81)</f>
        <v>0</v>
      </c>
      <c r="H169" s="401">
        <f t="shared" si="122"/>
        <v>69.299999999999955</v>
      </c>
      <c r="I169" s="401">
        <f t="shared" si="123"/>
        <v>34.649999999999977</v>
      </c>
      <c r="J169" s="401">
        <f>IF(E169="Cohesive",(( Pile!$H$36- Pile!$G$36)/20)+J168,0)</f>
        <v>0</v>
      </c>
      <c r="K169" s="401">
        <f>IF(E169="Cohesive",( Pile!$G$36+ Pile!$J169)/2,0)</f>
        <v>0</v>
      </c>
      <c r="L169" s="401" t="str">
        <f>IF( Pile!I$36="",0, Pile!I$36)</f>
        <v>0</v>
      </c>
      <c r="M169" s="401" t="str">
        <f>IF( Pile!J$36="",0, Pile!J$36)</f>
        <v>0</v>
      </c>
      <c r="N169" s="401">
        <f>IF(E169="Granular", Pile!$K$36,0)</f>
        <v>18.401122218708668</v>
      </c>
      <c r="O169" s="416">
        <f>IF(AND(E169="Granular",D169&lt;&gt;"Made Ground"), Pile!$L$36,0)</f>
        <v>0.4025428365693513</v>
      </c>
      <c r="P169" s="401">
        <f>IF(OR(D169="Low Density Chalk",D169="Medium Density Chalk"), Pile!$M$36,0)</f>
        <v>0</v>
      </c>
      <c r="Q169" s="417">
        <f>IF(D169="High Density Chalk", Pile!$N$36,0)</f>
        <v>0</v>
      </c>
      <c r="R169" s="401">
        <f>IF( Pile!O$36="",0, Pile!O$36)</f>
        <v>0</v>
      </c>
      <c r="S169" s="418">
        <f t="shared" si="124"/>
        <v>13.948109287128014</v>
      </c>
      <c r="T169" s="382">
        <f xml:space="preserve"> Pile!$T$36</f>
        <v>1200</v>
      </c>
      <c r="U169" s="382">
        <f t="shared" si="125"/>
        <v>13.948109287128014</v>
      </c>
      <c r="V169" s="382">
        <f t="shared" si="126"/>
        <v>1275.1977697565098</v>
      </c>
      <c r="W169" s="382">
        <f xml:space="preserve"> Pile!$V$36</f>
        <v>15000</v>
      </c>
      <c r="X169" s="382">
        <f t="shared" si="127"/>
        <v>1275.1977697565098</v>
      </c>
      <c r="Y169" s="419">
        <v>450</v>
      </c>
      <c r="Z169" s="382">
        <f>PI()*Y169/1000*( Pile!$C$36- Pile!$C169)</f>
        <v>5.9376101152847056</v>
      </c>
      <c r="AA169" s="382">
        <f t="shared" si="128"/>
        <v>0.15904312808798329</v>
      </c>
      <c r="AB169" s="382">
        <f t="shared" si="173"/>
        <v>82.818434792347844</v>
      </c>
      <c r="AC169" s="430">
        <f>Z169* Pile!$S$36</f>
        <v>0</v>
      </c>
      <c r="AD169" s="382">
        <f t="shared" si="179"/>
        <v>82.818434792347844</v>
      </c>
      <c r="AE169" s="382">
        <f>IF(AD169&gt;0,+AD169)/ 'Pile Data and Eurocode Factors'!$B$19/ 'Pile Data and Eurocode Factors'!$B$20</f>
        <v>39.437349901118026</v>
      </c>
      <c r="AF169" s="382">
        <f t="shared" si="157"/>
        <v>202.81144223289522</v>
      </c>
      <c r="AG169" s="382">
        <f>AA169* Pile!$U$36</f>
        <v>0</v>
      </c>
      <c r="AH169" s="382">
        <f t="shared" si="129"/>
        <v>202.81144223289522</v>
      </c>
      <c r="AI169" s="382">
        <f>AH169/ 'Pile Data and Eurocode Factors'!$C$19/ 'Pile Data and Eurocode Factors'!$C$20</f>
        <v>85.214891694493801</v>
      </c>
      <c r="AJ169" s="382">
        <f t="shared" si="130"/>
        <v>124.65224159561183</v>
      </c>
      <c r="AK169" s="382">
        <f>VLOOKUP(Y169, 'Pile Data and Eurocode Factors'!$A$34:$J$39,3, FALSE)</f>
        <v>2366.1761868507956</v>
      </c>
      <c r="AL169" s="403">
        <f t="shared" si="131"/>
        <v>124.65224159561183</v>
      </c>
      <c r="AM169" s="419">
        <v>600</v>
      </c>
      <c r="AN169" s="382">
        <f>PI()*AM169/1000*( Pile!$C$36- Pile!$C169)</f>
        <v>7.9168134870462739</v>
      </c>
      <c r="AO169" s="382">
        <f t="shared" si="132"/>
        <v>0.28274333882308139</v>
      </c>
      <c r="AP169" s="382">
        <f t="shared" si="174"/>
        <v>110.42457972313045</v>
      </c>
      <c r="AQ169" s="430">
        <f>AN169* Pile!$S$36</f>
        <v>0</v>
      </c>
      <c r="AR169" s="382">
        <f t="shared" si="180"/>
        <v>110.42457972313045</v>
      </c>
      <c r="AS169" s="382">
        <f>IF(AR169&gt;0,+AR169)/ 'Pile Data and Eurocode Factors'!$B$19/ 'Pile Data and Eurocode Factors'!$B$20</f>
        <v>52.583133201490689</v>
      </c>
      <c r="AT169" s="382">
        <f t="shared" si="160"/>
        <v>360.55367508070259</v>
      </c>
      <c r="AU169" s="382">
        <f>AO169* Pile!$U$36</f>
        <v>0</v>
      </c>
      <c r="AV169" s="382">
        <f t="shared" si="133"/>
        <v>360.55367508070259</v>
      </c>
      <c r="AW169" s="382">
        <f>AV169/ 'Pile Data and Eurocode Factors'!$C$19/ 'Pile Data and Eurocode Factors'!$C$20</f>
        <v>151.49314079021116</v>
      </c>
      <c r="AX169" s="382">
        <f t="shared" si="134"/>
        <v>204.07627399170184</v>
      </c>
      <c r="AY169" s="382">
        <f>VLOOKUP(AM169, 'Pile Data and Eurocode Factors'!$A$34:$J$39,3, FALSE)</f>
        <v>4206.5354432903041</v>
      </c>
      <c r="AZ169" s="403">
        <f t="shared" si="135"/>
        <v>204.07627399170184</v>
      </c>
      <c r="BA169" s="419">
        <v>750</v>
      </c>
      <c r="BB169" s="382">
        <f>PI()*BA169/1000*( Pile!$C$36- Pile!$C169)</f>
        <v>9.8960168588078421</v>
      </c>
      <c r="BC169" s="382">
        <f t="shared" si="136"/>
        <v>0.44178646691106466</v>
      </c>
      <c r="BD169" s="382">
        <f t="shared" si="175"/>
        <v>138.03072465391307</v>
      </c>
      <c r="BE169" s="430">
        <f>BB169* Pile!$S$36</f>
        <v>0</v>
      </c>
      <c r="BF169" s="382">
        <f t="shared" si="181"/>
        <v>138.03072465391307</v>
      </c>
      <c r="BG169" s="382">
        <f>IF(BF169&gt;0,+BF169)/ 'Pile Data and Eurocode Factors'!$B$19/ 'Pile Data and Eurocode Factors'!$B$20</f>
        <v>65.728916501863367</v>
      </c>
      <c r="BH169" s="382">
        <f t="shared" si="163"/>
        <v>563.36511731359781</v>
      </c>
      <c r="BI169" s="382">
        <f>BC169* Pile!$U$36</f>
        <v>0</v>
      </c>
      <c r="BJ169" s="382">
        <f t="shared" si="137"/>
        <v>563.36511731359781</v>
      </c>
      <c r="BK169" s="382">
        <f>BJ169/ 'Pile Data and Eurocode Factors'!$C$19/ 'Pile Data and Eurocode Factors'!$C$20</f>
        <v>236.70803248470497</v>
      </c>
      <c r="BL169" s="382">
        <f t="shared" si="138"/>
        <v>302.43694898656832</v>
      </c>
      <c r="BM169" s="382">
        <f>VLOOKUP(BA169, 'Pile Data and Eurocode Factors'!$A$34:$J$39,3, FALSE)</f>
        <v>6572.7116301410997</v>
      </c>
      <c r="BN169" s="403">
        <f t="shared" si="139"/>
        <v>302.43694898656832</v>
      </c>
      <c r="BO169" s="419">
        <v>900</v>
      </c>
      <c r="BP169" s="382">
        <f>PI()*BO169/1000*( Pile!$C$36- Pile!$C169)</f>
        <v>11.875220230569411</v>
      </c>
      <c r="BQ169" s="382">
        <f t="shared" si="140"/>
        <v>0.63617251235193317</v>
      </c>
      <c r="BR169" s="382">
        <f t="shared" si="176"/>
        <v>165.63686958469569</v>
      </c>
      <c r="BS169" s="430">
        <f>BP169* Pile!$S$36</f>
        <v>0</v>
      </c>
      <c r="BT169" s="382">
        <f t="shared" si="182"/>
        <v>165.63686958469569</v>
      </c>
      <c r="BU169" s="382">
        <f>IF(BT169&gt;0,+BT169)/ 'Pile Data and Eurocode Factors'!$B$19/ 'Pile Data and Eurocode Factors'!$B$20</f>
        <v>78.874699802236051</v>
      </c>
      <c r="BV169" s="382">
        <f t="shared" si="166"/>
        <v>811.24576893158087</v>
      </c>
      <c r="BW169" s="382">
        <f>BQ169* Pile!$U$36</f>
        <v>0</v>
      </c>
      <c r="BX169" s="382">
        <f t="shared" si="141"/>
        <v>811.24576893158087</v>
      </c>
      <c r="BY169" s="382">
        <f>BX169/ 'Pile Data and Eurocode Factors'!$C$19/ 'Pile Data and Eurocode Factors'!$C$20</f>
        <v>340.8595667779752</v>
      </c>
      <c r="BZ169" s="382">
        <f t="shared" si="142"/>
        <v>419.73426658021128</v>
      </c>
      <c r="CA169" s="382">
        <f>VLOOKUP(BO169, 'Pile Data and Eurocode Factors'!$A$34:$J$39,3, FALSE)</f>
        <v>9464.7047474031824</v>
      </c>
      <c r="CB169" s="403">
        <f t="shared" si="143"/>
        <v>419.73426658021128</v>
      </c>
      <c r="CC169" s="419">
        <v>1050</v>
      </c>
      <c r="CD169" s="382">
        <f>PI()*CC169/1000*( Pile!$C$36- Pile!$C169)</f>
        <v>13.854423602330979</v>
      </c>
      <c r="CE169" s="382">
        <f t="shared" si="144"/>
        <v>0.86590147514568672</v>
      </c>
      <c r="CF169" s="382">
        <f t="shared" si="177"/>
        <v>193.24301451547828</v>
      </c>
      <c r="CG169" s="430">
        <f>CD169* Pile!$S$36</f>
        <v>0</v>
      </c>
      <c r="CH169" s="382">
        <f t="shared" si="183"/>
        <v>193.24301451547828</v>
      </c>
      <c r="CI169" s="382">
        <f>IF(CH169&gt;0,+CH169)/ 'Pile Data and Eurocode Factors'!$B$19/ 'Pile Data and Eurocode Factors'!$B$20</f>
        <v>92.020483102608708</v>
      </c>
      <c r="CJ169" s="382">
        <f t="shared" si="169"/>
        <v>1104.1956299346516</v>
      </c>
      <c r="CK169" s="382">
        <f>CE169* Pile!$U$36</f>
        <v>0</v>
      </c>
      <c r="CL169" s="382">
        <f t="shared" si="145"/>
        <v>1104.1956299346516</v>
      </c>
      <c r="CM169" s="382">
        <f>CL169/ 'Pile Data and Eurocode Factors'!$C$19/ 'Pile Data and Eurocode Factors'!$C$20</f>
        <v>463.94774367002168</v>
      </c>
      <c r="CN169" s="382">
        <f t="shared" si="146"/>
        <v>555.96822677263037</v>
      </c>
      <c r="CO169" s="382">
        <f>VLOOKUP(CC169, 'Pile Data and Eurocode Factors'!$A$34:$J$39,3, FALSE)</f>
        <v>12882.514795076555</v>
      </c>
      <c r="CP169" s="403">
        <f t="shared" si="147"/>
        <v>555.96822677263037</v>
      </c>
      <c r="CQ169" s="419">
        <v>1200</v>
      </c>
      <c r="CR169" s="382">
        <f>PI()*CQ169/1000*( Pile!$C$36- Pile!$C169)</f>
        <v>15.833626974092548</v>
      </c>
      <c r="CS169" s="382">
        <f t="shared" si="148"/>
        <v>1.1309733552923256</v>
      </c>
      <c r="CT169" s="382">
        <f t="shared" si="178"/>
        <v>220.8491594462609</v>
      </c>
      <c r="CU169" s="430">
        <f>CR169* Pile!$S$36</f>
        <v>0</v>
      </c>
      <c r="CV169" s="382">
        <f t="shared" si="184"/>
        <v>220.8491594462609</v>
      </c>
      <c r="CW169" s="382">
        <f>IF(CV169&gt;0,+CV169)/ 'Pile Data and Eurocode Factors'!$B$19/ 'Pile Data and Eurocode Factors'!$B$20</f>
        <v>105.16626640298138</v>
      </c>
      <c r="CX169" s="382">
        <f t="shared" si="172"/>
        <v>1442.2147003228104</v>
      </c>
      <c r="CY169" s="382">
        <f>CS169* Pile!$U$36</f>
        <v>0</v>
      </c>
      <c r="CZ169" s="382">
        <f t="shared" si="149"/>
        <v>1442.2147003228104</v>
      </c>
      <c r="DA169" s="382">
        <f>CZ169/ 'Pile Data and Eurocode Factors'!$C$19/ 'Pile Data and Eurocode Factors'!$C$20</f>
        <v>605.97256316084463</v>
      </c>
      <c r="DB169" s="382">
        <f t="shared" si="150"/>
        <v>711.13882956382599</v>
      </c>
      <c r="DC169" s="382">
        <f>VLOOKUP(CQ169, 'Pile Data and Eurocode Factors'!$A$34:$J$39,3, FALSE)</f>
        <v>16826.141773161216</v>
      </c>
      <c r="DD169" s="403">
        <f t="shared" si="151"/>
        <v>711.13882956382599</v>
      </c>
      <c r="DE169" s="420">
        <f xml:space="preserve"> Pile!$C$23- Pile!C169</f>
        <v>4.1999999999999975</v>
      </c>
      <c r="DG169" s="382">
        <f t="shared" si="152"/>
        <v>124.65224159561183</v>
      </c>
      <c r="DH169" s="382">
        <f t="shared" si="153"/>
        <v>204.07627399170184</v>
      </c>
      <c r="DI169" s="382">
        <f t="shared" si="154"/>
        <v>302.43694898656832</v>
      </c>
      <c r="DJ169" s="382"/>
      <c r="DK169" s="382"/>
      <c r="DL169" s="382"/>
    </row>
    <row r="170" spans="1:116" s="308" customFormat="1" ht="15">
      <c r="B170" s="400">
        <v>15</v>
      </c>
      <c r="C170" s="401">
        <f>+C169- Pile!D$36/20</f>
        <v>1.5000000000000022</v>
      </c>
      <c r="D170" s="415" t="str">
        <f>B23</f>
        <v>Loose Sand/Gravel</v>
      </c>
      <c r="E170" s="415" t="str">
        <f>F23</f>
        <v>Granular</v>
      </c>
      <c r="F170" s="401">
        <f xml:space="preserve"> Pile!$E$36*(+C169-C170)+F169</f>
        <v>74.249999999999957</v>
      </c>
      <c r="G170" s="401">
        <f>IF(C170&gt; Pile!$C$41,0,( Pile!$C$41-C170)*9.81)</f>
        <v>0</v>
      </c>
      <c r="H170" s="401">
        <f t="shared" si="122"/>
        <v>74.249999999999957</v>
      </c>
      <c r="I170" s="401">
        <f t="shared" si="123"/>
        <v>37.124999999999979</v>
      </c>
      <c r="J170" s="401">
        <f>IF(E170="Cohesive",(( Pile!$H$36- Pile!$G$36)/20)+J169,0)</f>
        <v>0</v>
      </c>
      <c r="K170" s="401">
        <f>IF(E170="Cohesive",( Pile!$G$36+ Pile!$J170)/2,0)</f>
        <v>0</v>
      </c>
      <c r="L170" s="401" t="str">
        <f>IF( Pile!I$36="",0, Pile!I$36)</f>
        <v>0</v>
      </c>
      <c r="M170" s="401" t="str">
        <f>IF( Pile!J$36="",0, Pile!J$36)</f>
        <v>0</v>
      </c>
      <c r="N170" s="401">
        <f>IF(E170="Granular", Pile!$K$36,0)</f>
        <v>18.401122218708668</v>
      </c>
      <c r="O170" s="416">
        <f>IF(AND(E170="Granular",D170&lt;&gt;"Made Ground"), Pile!$L$36,0)</f>
        <v>0.4025428365693513</v>
      </c>
      <c r="P170" s="401">
        <f>IF(OR(D170="Low Density Chalk",D170="Medium Density Chalk"), Pile!$M$36,0)</f>
        <v>0</v>
      </c>
      <c r="Q170" s="417">
        <f>IF(D170="High Density Chalk", Pile!$N$36,0)</f>
        <v>0</v>
      </c>
      <c r="R170" s="401">
        <f>IF( Pile!O$36="",0, Pile!O$36)</f>
        <v>0</v>
      </c>
      <c r="S170" s="418">
        <f t="shared" si="124"/>
        <v>14.944402807637159</v>
      </c>
      <c r="T170" s="382">
        <f xml:space="preserve"> Pile!$T$36</f>
        <v>1200</v>
      </c>
      <c r="U170" s="382">
        <f t="shared" si="125"/>
        <v>14.944402807637159</v>
      </c>
      <c r="V170" s="382">
        <f t="shared" si="126"/>
        <v>1366.2833247391179</v>
      </c>
      <c r="W170" s="382">
        <f xml:space="preserve"> Pile!$V$36</f>
        <v>15000</v>
      </c>
      <c r="X170" s="382">
        <f t="shared" si="127"/>
        <v>1366.2833247391179</v>
      </c>
      <c r="Y170" s="419">
        <v>450</v>
      </c>
      <c r="Z170" s="382">
        <f>PI()*Y170/1000*( Pile!$C$36- Pile!$C170)</f>
        <v>6.3617251235193288</v>
      </c>
      <c r="AA170" s="382">
        <f t="shared" si="128"/>
        <v>0.15904312808798329</v>
      </c>
      <c r="AB170" s="382">
        <f t="shared" si="173"/>
        <v>95.072182797338115</v>
      </c>
      <c r="AC170" s="430">
        <f>Z170* Pile!$S$36</f>
        <v>0</v>
      </c>
      <c r="AD170" s="382">
        <f t="shared" si="179"/>
        <v>95.072182797338115</v>
      </c>
      <c r="AE170" s="382">
        <f>IF(AD170&gt;0,+AD170)/ 'Pile Data and Eurocode Factors'!$B$19/ 'Pile Data and Eurocode Factors'!$B$20</f>
        <v>45.272467998732445</v>
      </c>
      <c r="AF170" s="382">
        <f t="shared" si="157"/>
        <v>217.29797382095921</v>
      </c>
      <c r="AG170" s="382">
        <f>AA170* Pile!$U$36</f>
        <v>0</v>
      </c>
      <c r="AH170" s="382">
        <f t="shared" si="129"/>
        <v>217.29797382095921</v>
      </c>
      <c r="AI170" s="382">
        <f>AH170/ 'Pile Data and Eurocode Factors'!$C$19/ 'Pile Data and Eurocode Factors'!$C$20</f>
        <v>91.301669672671935</v>
      </c>
      <c r="AJ170" s="382">
        <f t="shared" si="130"/>
        <v>136.57413767140437</v>
      </c>
      <c r="AK170" s="382">
        <f>VLOOKUP(Y170, 'Pile Data and Eurocode Factors'!$A$34:$J$39,3, FALSE)</f>
        <v>2366.1761868507956</v>
      </c>
      <c r="AL170" s="403">
        <f t="shared" si="131"/>
        <v>136.57413767140437</v>
      </c>
      <c r="AM170" s="419">
        <v>600</v>
      </c>
      <c r="AN170" s="382">
        <f>PI()*AM170/1000*( Pile!$C$36- Pile!$C170)</f>
        <v>8.4823001646924379</v>
      </c>
      <c r="AO170" s="382">
        <f t="shared" si="132"/>
        <v>0.28274333882308139</v>
      </c>
      <c r="AP170" s="382">
        <f t="shared" si="174"/>
        <v>126.76291039645081</v>
      </c>
      <c r="AQ170" s="430">
        <f>AN170* Pile!$S$36</f>
        <v>0</v>
      </c>
      <c r="AR170" s="382">
        <f t="shared" si="180"/>
        <v>126.76291039645081</v>
      </c>
      <c r="AS170" s="382">
        <f>IF(AR170&gt;0,+AR170)/ 'Pile Data and Eurocode Factors'!$B$19/ 'Pile Data and Eurocode Factors'!$B$20</f>
        <v>60.363290664976574</v>
      </c>
      <c r="AT170" s="382">
        <f t="shared" si="160"/>
        <v>386.30750901503853</v>
      </c>
      <c r="AU170" s="382">
        <f>AO170* Pile!$U$36</f>
        <v>0</v>
      </c>
      <c r="AV170" s="382">
        <f t="shared" si="133"/>
        <v>386.30750901503853</v>
      </c>
      <c r="AW170" s="382">
        <f>AV170/ 'Pile Data and Eurocode Factors'!$C$19/ 'Pile Data and Eurocode Factors'!$C$20</f>
        <v>162.31407941808342</v>
      </c>
      <c r="AX170" s="382">
        <f t="shared" si="134"/>
        <v>222.67737008306</v>
      </c>
      <c r="AY170" s="382">
        <f>VLOOKUP(AM170, 'Pile Data and Eurocode Factors'!$A$34:$J$39,3, FALSE)</f>
        <v>4206.5354432903041</v>
      </c>
      <c r="AZ170" s="403">
        <f t="shared" si="135"/>
        <v>222.67737008306</v>
      </c>
      <c r="BA170" s="419">
        <v>750</v>
      </c>
      <c r="BB170" s="382">
        <f>PI()*BA170/1000*( Pile!$C$36- Pile!$C170)</f>
        <v>10.602875205865548</v>
      </c>
      <c r="BC170" s="382">
        <f t="shared" si="136"/>
        <v>0.44178646691106466</v>
      </c>
      <c r="BD170" s="382">
        <f t="shared" si="175"/>
        <v>158.45363799556353</v>
      </c>
      <c r="BE170" s="430">
        <f>BB170* Pile!$S$36</f>
        <v>0</v>
      </c>
      <c r="BF170" s="382">
        <f t="shared" si="181"/>
        <v>158.45363799556353</v>
      </c>
      <c r="BG170" s="382">
        <f>IF(BF170&gt;0,+BF170)/ 'Pile Data and Eurocode Factors'!$B$19/ 'Pile Data and Eurocode Factors'!$B$20</f>
        <v>75.454113331220739</v>
      </c>
      <c r="BH170" s="382">
        <f t="shared" si="163"/>
        <v>603.60548283599769</v>
      </c>
      <c r="BI170" s="382">
        <f>BC170* Pile!$U$36</f>
        <v>0</v>
      </c>
      <c r="BJ170" s="382">
        <f t="shared" si="137"/>
        <v>603.60548283599769</v>
      </c>
      <c r="BK170" s="382">
        <f>BJ170/ 'Pile Data and Eurocode Factors'!$C$19/ 'Pile Data and Eurocode Factors'!$C$20</f>
        <v>253.61574909075534</v>
      </c>
      <c r="BL170" s="382">
        <f t="shared" si="138"/>
        <v>329.0698624219761</v>
      </c>
      <c r="BM170" s="382">
        <f>VLOOKUP(BA170, 'Pile Data and Eurocode Factors'!$A$34:$J$39,3, FALSE)</f>
        <v>6572.7116301410997</v>
      </c>
      <c r="BN170" s="403">
        <f t="shared" si="139"/>
        <v>329.0698624219761</v>
      </c>
      <c r="BO170" s="419">
        <v>900</v>
      </c>
      <c r="BP170" s="382">
        <f>PI()*BO170/1000*( Pile!$C$36- Pile!$C170)</f>
        <v>12.723450247038658</v>
      </c>
      <c r="BQ170" s="382">
        <f t="shared" si="140"/>
        <v>0.63617251235193317</v>
      </c>
      <c r="BR170" s="382">
        <f t="shared" si="176"/>
        <v>190.14436559467623</v>
      </c>
      <c r="BS170" s="430">
        <f>BP170* Pile!$S$36</f>
        <v>0</v>
      </c>
      <c r="BT170" s="382">
        <f t="shared" si="182"/>
        <v>190.14436559467623</v>
      </c>
      <c r="BU170" s="382">
        <f>IF(BT170&gt;0,+BT170)/ 'Pile Data and Eurocode Factors'!$B$19/ 'Pile Data and Eurocode Factors'!$B$20</f>
        <v>90.54493599746489</v>
      </c>
      <c r="BV170" s="382">
        <f t="shared" si="166"/>
        <v>869.19189528383686</v>
      </c>
      <c r="BW170" s="382">
        <f>BQ170* Pile!$U$36</f>
        <v>0</v>
      </c>
      <c r="BX170" s="382">
        <f t="shared" si="141"/>
        <v>869.19189528383686</v>
      </c>
      <c r="BY170" s="382">
        <f>BX170/ 'Pile Data and Eurocode Factors'!$C$19/ 'Pile Data and Eurocode Factors'!$C$20</f>
        <v>365.20667869068774</v>
      </c>
      <c r="BZ170" s="382">
        <f t="shared" si="142"/>
        <v>455.75161468815264</v>
      </c>
      <c r="CA170" s="382">
        <f>VLOOKUP(BO170, 'Pile Data and Eurocode Factors'!$A$34:$J$39,3, FALSE)</f>
        <v>9464.7047474031824</v>
      </c>
      <c r="CB170" s="403">
        <f t="shared" si="143"/>
        <v>455.75161468815264</v>
      </c>
      <c r="CC170" s="419">
        <v>1050</v>
      </c>
      <c r="CD170" s="382">
        <f>PI()*CC170/1000*( Pile!$C$36- Pile!$C170)</f>
        <v>14.844025288211766</v>
      </c>
      <c r="CE170" s="382">
        <f t="shared" si="144"/>
        <v>0.86590147514568672</v>
      </c>
      <c r="CF170" s="382">
        <f t="shared" si="177"/>
        <v>221.83509319378891</v>
      </c>
      <c r="CG170" s="430">
        <f>CD170* Pile!$S$36</f>
        <v>0</v>
      </c>
      <c r="CH170" s="382">
        <f t="shared" si="183"/>
        <v>221.83509319378891</v>
      </c>
      <c r="CI170" s="382">
        <f>IF(CH170&gt;0,+CH170)/ 'Pile Data and Eurocode Factors'!$B$19/ 'Pile Data and Eurocode Factors'!$B$20</f>
        <v>105.63575866370901</v>
      </c>
      <c r="CJ170" s="382">
        <f t="shared" si="169"/>
        <v>1183.0667463585555</v>
      </c>
      <c r="CK170" s="382">
        <f>CE170* Pile!$U$36</f>
        <v>0</v>
      </c>
      <c r="CL170" s="382">
        <f t="shared" si="145"/>
        <v>1183.0667463585555</v>
      </c>
      <c r="CM170" s="382">
        <f>CL170/ 'Pile Data and Eurocode Factors'!$C$19/ 'Pile Data and Eurocode Factors'!$C$20</f>
        <v>497.08686821788052</v>
      </c>
      <c r="CN170" s="382">
        <f t="shared" si="146"/>
        <v>602.72262688158958</v>
      </c>
      <c r="CO170" s="382">
        <f>VLOOKUP(CC170, 'Pile Data and Eurocode Factors'!$A$34:$J$39,3, FALSE)</f>
        <v>12882.514795076555</v>
      </c>
      <c r="CP170" s="403">
        <f t="shared" si="147"/>
        <v>602.72262688158958</v>
      </c>
      <c r="CQ170" s="419">
        <v>1200</v>
      </c>
      <c r="CR170" s="382">
        <f>PI()*CQ170/1000*( Pile!$C$36- Pile!$C170)</f>
        <v>16.964600329384876</v>
      </c>
      <c r="CS170" s="382">
        <f t="shared" si="148"/>
        <v>1.1309733552923256</v>
      </c>
      <c r="CT170" s="382">
        <f t="shared" si="178"/>
        <v>253.52582079290161</v>
      </c>
      <c r="CU170" s="430">
        <f>CR170* Pile!$S$36</f>
        <v>0</v>
      </c>
      <c r="CV170" s="382">
        <f t="shared" si="184"/>
        <v>253.52582079290161</v>
      </c>
      <c r="CW170" s="382">
        <f>IF(CV170&gt;0,+CV170)/ 'Pile Data and Eurocode Factors'!$B$19/ 'Pile Data and Eurocode Factors'!$B$20</f>
        <v>120.72658132995315</v>
      </c>
      <c r="CX170" s="382">
        <f t="shared" si="172"/>
        <v>1545.2300360601541</v>
      </c>
      <c r="CY170" s="382">
        <f>CS170* Pile!$U$36</f>
        <v>0</v>
      </c>
      <c r="CZ170" s="382">
        <f t="shared" si="149"/>
        <v>1545.2300360601541</v>
      </c>
      <c r="DA170" s="382">
        <f>CZ170/ 'Pile Data and Eurocode Factors'!$C$19/ 'Pile Data and Eurocode Factors'!$C$20</f>
        <v>649.25631767233369</v>
      </c>
      <c r="DB170" s="382">
        <f t="shared" si="150"/>
        <v>769.98289900228679</v>
      </c>
      <c r="DC170" s="382">
        <f>VLOOKUP(CQ170, 'Pile Data and Eurocode Factors'!$A$34:$J$39,3, FALSE)</f>
        <v>16826.141773161216</v>
      </c>
      <c r="DD170" s="403">
        <f t="shared" si="151"/>
        <v>769.98289900228679</v>
      </c>
      <c r="DE170" s="420">
        <f xml:space="preserve"> Pile!$C$23- Pile!C170</f>
        <v>4.4999999999999982</v>
      </c>
      <c r="DG170" s="382">
        <f t="shared" si="152"/>
        <v>136.57413767140437</v>
      </c>
      <c r="DH170" s="382">
        <f t="shared" si="153"/>
        <v>222.67737008306</v>
      </c>
      <c r="DI170" s="382">
        <f t="shared" si="154"/>
        <v>329.0698624219761</v>
      </c>
      <c r="DJ170" s="382"/>
      <c r="DK170" s="382"/>
      <c r="DL170" s="382"/>
    </row>
    <row r="171" spans="1:116" s="308" customFormat="1" ht="15">
      <c r="B171" s="400">
        <v>16</v>
      </c>
      <c r="C171" s="401">
        <f>+C170- Pile!D$36/20</f>
        <v>1.2000000000000022</v>
      </c>
      <c r="D171" s="415" t="str">
        <f>B23</f>
        <v>Loose Sand/Gravel</v>
      </c>
      <c r="E171" s="415" t="str">
        <f>F23</f>
        <v>Granular</v>
      </c>
      <c r="F171" s="401">
        <f xml:space="preserve"> Pile!$E$36*(+C170-C171)+F170</f>
        <v>79.19999999999996</v>
      </c>
      <c r="G171" s="401">
        <f>IF(C171&gt; Pile!$C$41,0,( Pile!$C$41-C171)*9.81)</f>
        <v>0</v>
      </c>
      <c r="H171" s="401">
        <f t="shared" si="122"/>
        <v>79.19999999999996</v>
      </c>
      <c r="I171" s="401">
        <f t="shared" si="123"/>
        <v>39.59999999999998</v>
      </c>
      <c r="J171" s="401">
        <f>IF(E171="Cohesive",(( Pile!$H$36- Pile!$G$36)/20)+J170,0)</f>
        <v>0</v>
      </c>
      <c r="K171" s="401">
        <f>IF(E171="Cohesive",( Pile!$G$36+ Pile!$J171)/2,0)</f>
        <v>0</v>
      </c>
      <c r="L171" s="401" t="str">
        <f>IF( Pile!I$36="",0, Pile!I$36)</f>
        <v>0</v>
      </c>
      <c r="M171" s="401" t="str">
        <f>IF( Pile!J$36="",0, Pile!J$36)</f>
        <v>0</v>
      </c>
      <c r="N171" s="401">
        <f>IF(E171="Granular", Pile!$K$36,0)</f>
        <v>18.401122218708668</v>
      </c>
      <c r="O171" s="416">
        <f>IF(AND(E171="Granular",D171&lt;&gt;"Made Ground"), Pile!$L$36,0)</f>
        <v>0.4025428365693513</v>
      </c>
      <c r="P171" s="401">
        <f>IF(OR(D171="Low Density Chalk",D171="Medium Density Chalk"), Pile!$M$36,0)</f>
        <v>0</v>
      </c>
      <c r="Q171" s="417">
        <f>IF(D171="High Density Chalk", Pile!$N$36,0)</f>
        <v>0</v>
      </c>
      <c r="R171" s="401">
        <f>IF( Pile!O$36="",0, Pile!O$36)</f>
        <v>0</v>
      </c>
      <c r="S171" s="418">
        <f t="shared" si="124"/>
        <v>15.940696328146304</v>
      </c>
      <c r="T171" s="382">
        <f xml:space="preserve"> Pile!$T$36</f>
        <v>1200</v>
      </c>
      <c r="U171" s="382">
        <f t="shared" si="125"/>
        <v>15.940696328146304</v>
      </c>
      <c r="V171" s="382">
        <f t="shared" si="126"/>
        <v>1457.3688797217258</v>
      </c>
      <c r="W171" s="382">
        <f xml:space="preserve"> Pile!$V$36</f>
        <v>15000</v>
      </c>
      <c r="X171" s="382">
        <f t="shared" si="127"/>
        <v>1457.3688797217258</v>
      </c>
      <c r="Y171" s="419">
        <v>450</v>
      </c>
      <c r="Z171" s="382">
        <f>PI()*Y171/1000*( Pile!$C$36- Pile!$C171)</f>
        <v>6.7858401317539503</v>
      </c>
      <c r="AA171" s="382">
        <f t="shared" si="128"/>
        <v>0.15904312808798329</v>
      </c>
      <c r="AB171" s="382">
        <f t="shared" si="173"/>
        <v>108.17101687163803</v>
      </c>
      <c r="AC171" s="430">
        <f>Z171* Pile!$S$36</f>
        <v>0</v>
      </c>
      <c r="AD171" s="382">
        <f t="shared" si="179"/>
        <v>108.17101687163803</v>
      </c>
      <c r="AE171" s="382">
        <f>IF(AD171&gt;0,+AD171)/ 'Pile Data and Eurocode Factors'!$B$19/ 'Pile Data and Eurocode Factors'!$B$20</f>
        <v>51.510008034113355</v>
      </c>
      <c r="AF171" s="382">
        <f t="shared" si="157"/>
        <v>231.78450540902315</v>
      </c>
      <c r="AG171" s="382">
        <f>AA171* Pile!$U$36</f>
        <v>0</v>
      </c>
      <c r="AH171" s="382">
        <f t="shared" si="129"/>
        <v>231.78450540902315</v>
      </c>
      <c r="AI171" s="382">
        <f>AH171/ 'Pile Data and Eurocode Factors'!$C$19/ 'Pile Data and Eurocode Factors'!$C$20</f>
        <v>97.388447650850082</v>
      </c>
      <c r="AJ171" s="382">
        <f t="shared" si="130"/>
        <v>148.89845568496344</v>
      </c>
      <c r="AK171" s="382">
        <f>VLOOKUP(Y171, 'Pile Data and Eurocode Factors'!$A$34:$J$39,3, FALSE)</f>
        <v>2366.1761868507956</v>
      </c>
      <c r="AL171" s="403">
        <f t="shared" si="131"/>
        <v>148.89845568496344</v>
      </c>
      <c r="AM171" s="419">
        <v>600</v>
      </c>
      <c r="AN171" s="382">
        <f>PI()*AM171/1000*( Pile!$C$36- Pile!$C171)</f>
        <v>9.047786842338601</v>
      </c>
      <c r="AO171" s="382">
        <f t="shared" si="132"/>
        <v>0.28274333882308139</v>
      </c>
      <c r="AP171" s="382">
        <f t="shared" si="174"/>
        <v>144.22802249551737</v>
      </c>
      <c r="AQ171" s="430">
        <f>AN171* Pile!$S$36</f>
        <v>0</v>
      </c>
      <c r="AR171" s="382">
        <f t="shared" si="180"/>
        <v>144.22802249551737</v>
      </c>
      <c r="AS171" s="382">
        <f>IF(AR171&gt;0,+AR171)/ 'Pile Data and Eurocode Factors'!$B$19/ 'Pile Data and Eurocode Factors'!$B$20</f>
        <v>68.68001071215113</v>
      </c>
      <c r="AT171" s="382">
        <f t="shared" si="160"/>
        <v>412.06134294937448</v>
      </c>
      <c r="AU171" s="382">
        <f>AO171* Pile!$U$36</f>
        <v>0</v>
      </c>
      <c r="AV171" s="382">
        <f t="shared" si="133"/>
        <v>412.06134294937448</v>
      </c>
      <c r="AW171" s="382">
        <f>AV171/ 'Pile Data and Eurocode Factors'!$C$19/ 'Pile Data and Eurocode Factors'!$C$20</f>
        <v>173.13501804595566</v>
      </c>
      <c r="AX171" s="382">
        <f t="shared" si="134"/>
        <v>241.81502875810679</v>
      </c>
      <c r="AY171" s="382">
        <f>VLOOKUP(AM171, 'Pile Data and Eurocode Factors'!$A$34:$J$39,3, FALSE)</f>
        <v>4206.5354432903041</v>
      </c>
      <c r="AZ171" s="403">
        <f t="shared" si="135"/>
        <v>241.81502875810679</v>
      </c>
      <c r="BA171" s="419">
        <v>750</v>
      </c>
      <c r="BB171" s="382">
        <f>PI()*BA171/1000*( Pile!$C$36- Pile!$C171)</f>
        <v>11.30973355292325</v>
      </c>
      <c r="BC171" s="382">
        <f t="shared" si="136"/>
        <v>0.44178646691106466</v>
      </c>
      <c r="BD171" s="382">
        <f t="shared" si="175"/>
        <v>180.28502811939671</v>
      </c>
      <c r="BE171" s="430">
        <f>BB171* Pile!$S$36</f>
        <v>0</v>
      </c>
      <c r="BF171" s="382">
        <f t="shared" si="181"/>
        <v>180.28502811939671</v>
      </c>
      <c r="BG171" s="382">
        <f>IF(BF171&gt;0,+BF171)/ 'Pile Data and Eurocode Factors'!$B$19/ 'Pile Data and Eurocode Factors'!$B$20</f>
        <v>85.85001339018892</v>
      </c>
      <c r="BH171" s="382">
        <f t="shared" si="163"/>
        <v>643.84584835839757</v>
      </c>
      <c r="BI171" s="382">
        <f>BC171* Pile!$U$36</f>
        <v>0</v>
      </c>
      <c r="BJ171" s="382">
        <f t="shared" si="137"/>
        <v>643.84584835839757</v>
      </c>
      <c r="BK171" s="382">
        <f>BJ171/ 'Pile Data and Eurocode Factors'!$C$19/ 'Pile Data and Eurocode Factors'!$C$20</f>
        <v>270.52346569680572</v>
      </c>
      <c r="BL171" s="382">
        <f t="shared" si="138"/>
        <v>356.37347908699462</v>
      </c>
      <c r="BM171" s="382">
        <f>VLOOKUP(BA171, 'Pile Data and Eurocode Factors'!$A$34:$J$39,3, FALSE)</f>
        <v>6572.7116301410997</v>
      </c>
      <c r="BN171" s="403">
        <f t="shared" si="139"/>
        <v>356.37347908699462</v>
      </c>
      <c r="BO171" s="419">
        <v>900</v>
      </c>
      <c r="BP171" s="382">
        <f>PI()*BO171/1000*( Pile!$C$36- Pile!$C171)</f>
        <v>13.571680263507901</v>
      </c>
      <c r="BQ171" s="382">
        <f t="shared" si="140"/>
        <v>0.63617251235193317</v>
      </c>
      <c r="BR171" s="382">
        <f t="shared" si="176"/>
        <v>216.34203374327606</v>
      </c>
      <c r="BS171" s="430">
        <f>BP171* Pile!$S$36</f>
        <v>0</v>
      </c>
      <c r="BT171" s="382">
        <f t="shared" si="182"/>
        <v>216.34203374327606</v>
      </c>
      <c r="BU171" s="382">
        <f>IF(BT171&gt;0,+BT171)/ 'Pile Data and Eurocode Factors'!$B$19/ 'Pile Data and Eurocode Factors'!$B$20</f>
        <v>103.02001606822671</v>
      </c>
      <c r="BV171" s="382">
        <f t="shared" si="166"/>
        <v>927.13802163609262</v>
      </c>
      <c r="BW171" s="382">
        <f>BQ171* Pile!$U$36</f>
        <v>0</v>
      </c>
      <c r="BX171" s="382">
        <f t="shared" si="141"/>
        <v>927.13802163609262</v>
      </c>
      <c r="BY171" s="382">
        <f>BX171/ 'Pile Data and Eurocode Factors'!$C$19/ 'Pile Data and Eurocode Factors'!$C$20</f>
        <v>389.55379060340033</v>
      </c>
      <c r="BZ171" s="382">
        <f t="shared" si="142"/>
        <v>492.57380667162704</v>
      </c>
      <c r="CA171" s="382">
        <f>VLOOKUP(BO171, 'Pile Data and Eurocode Factors'!$A$34:$J$39,3, FALSE)</f>
        <v>9464.7047474031824</v>
      </c>
      <c r="CB171" s="403">
        <f t="shared" si="143"/>
        <v>492.57380667162704</v>
      </c>
      <c r="CC171" s="419">
        <v>1050</v>
      </c>
      <c r="CD171" s="382">
        <f>PI()*CC171/1000*( Pile!$C$36- Pile!$C171)</f>
        <v>15.833626974092551</v>
      </c>
      <c r="CE171" s="382">
        <f t="shared" si="144"/>
        <v>0.86590147514568672</v>
      </c>
      <c r="CF171" s="382">
        <f t="shared" si="177"/>
        <v>252.39903936715541</v>
      </c>
      <c r="CG171" s="430">
        <f>CD171* Pile!$S$36</f>
        <v>0</v>
      </c>
      <c r="CH171" s="382">
        <f t="shared" si="183"/>
        <v>252.39903936715541</v>
      </c>
      <c r="CI171" s="382">
        <f>IF(CH171&gt;0,+CH171)/ 'Pile Data and Eurocode Factors'!$B$19/ 'Pile Data and Eurocode Factors'!$B$20</f>
        <v>120.1900187462645</v>
      </c>
      <c r="CJ171" s="382">
        <f t="shared" si="169"/>
        <v>1261.9378627824592</v>
      </c>
      <c r="CK171" s="382">
        <f>CE171* Pile!$U$36</f>
        <v>0</v>
      </c>
      <c r="CL171" s="382">
        <f t="shared" si="145"/>
        <v>1261.9378627824592</v>
      </c>
      <c r="CM171" s="382">
        <f>CL171/ 'Pile Data and Eurocode Factors'!$C$19/ 'Pile Data and Eurocode Factors'!$C$20</f>
        <v>530.22599276573919</v>
      </c>
      <c r="CN171" s="382">
        <f t="shared" si="146"/>
        <v>650.41601151200371</v>
      </c>
      <c r="CO171" s="382">
        <f>VLOOKUP(CC171, 'Pile Data and Eurocode Factors'!$A$34:$J$39,3, FALSE)</f>
        <v>12882.514795076555</v>
      </c>
      <c r="CP171" s="403">
        <f t="shared" si="147"/>
        <v>650.41601151200371</v>
      </c>
      <c r="CQ171" s="419">
        <v>1200</v>
      </c>
      <c r="CR171" s="382">
        <f>PI()*CQ171/1000*( Pile!$C$36- Pile!$C171)</f>
        <v>18.095573684677202</v>
      </c>
      <c r="CS171" s="382">
        <f t="shared" si="148"/>
        <v>1.1309733552923256</v>
      </c>
      <c r="CT171" s="382">
        <f t="shared" si="178"/>
        <v>288.45604499103473</v>
      </c>
      <c r="CU171" s="430">
        <f>CR171* Pile!$S$36</f>
        <v>0</v>
      </c>
      <c r="CV171" s="382">
        <f t="shared" si="184"/>
        <v>288.45604499103473</v>
      </c>
      <c r="CW171" s="382">
        <f>IF(CV171&gt;0,+CV171)/ 'Pile Data and Eurocode Factors'!$B$19/ 'Pile Data and Eurocode Factors'!$B$20</f>
        <v>137.36002142430226</v>
      </c>
      <c r="CX171" s="382">
        <f t="shared" si="172"/>
        <v>1648.2453717974979</v>
      </c>
      <c r="CY171" s="382">
        <f>CS171* Pile!$U$36</f>
        <v>0</v>
      </c>
      <c r="CZ171" s="382">
        <f t="shared" si="149"/>
        <v>1648.2453717974979</v>
      </c>
      <c r="DA171" s="382">
        <f>CZ171/ 'Pile Data and Eurocode Factors'!$C$19/ 'Pile Data and Eurocode Factors'!$C$20</f>
        <v>692.54007218382264</v>
      </c>
      <c r="DB171" s="382">
        <f t="shared" si="150"/>
        <v>829.90009360812496</v>
      </c>
      <c r="DC171" s="382">
        <f>VLOOKUP(CQ171, 'Pile Data and Eurocode Factors'!$A$34:$J$39,3, FALSE)</f>
        <v>16826.141773161216</v>
      </c>
      <c r="DD171" s="403">
        <f t="shared" si="151"/>
        <v>829.90009360812496</v>
      </c>
      <c r="DE171" s="420">
        <f xml:space="preserve"> Pile!$C$23- Pile!C171</f>
        <v>4.799999999999998</v>
      </c>
      <c r="DG171" s="382">
        <f t="shared" si="152"/>
        <v>148.89845568496344</v>
      </c>
      <c r="DH171" s="382">
        <f t="shared" si="153"/>
        <v>241.81502875810679</v>
      </c>
      <c r="DI171" s="382">
        <f t="shared" si="154"/>
        <v>356.37347908699462</v>
      </c>
      <c r="DJ171" s="382"/>
      <c r="DK171" s="382"/>
      <c r="DL171" s="382"/>
    </row>
    <row r="172" spans="1:116" s="308" customFormat="1" ht="15">
      <c r="A172" s="421"/>
      <c r="B172" s="400">
        <v>17</v>
      </c>
      <c r="C172" s="401">
        <f>+C171- Pile!D$36/20</f>
        <v>0.90000000000000213</v>
      </c>
      <c r="D172" s="415" t="str">
        <f>B23</f>
        <v>Loose Sand/Gravel</v>
      </c>
      <c r="E172" s="415" t="str">
        <f>F23</f>
        <v>Granular</v>
      </c>
      <c r="F172" s="401">
        <f xml:space="preserve"> Pile!$E$36*(+C171-C172)+F171</f>
        <v>84.149999999999963</v>
      </c>
      <c r="G172" s="401">
        <f>IF(C172&gt; Pile!$C$41,0,( Pile!$C$41-C172)*9.81)</f>
        <v>0</v>
      </c>
      <c r="H172" s="401">
        <f t="shared" si="122"/>
        <v>84.149999999999963</v>
      </c>
      <c r="I172" s="401">
        <f t="shared" si="123"/>
        <v>42.074999999999982</v>
      </c>
      <c r="J172" s="401">
        <f>IF(E172="Cohesive",(( Pile!$H$36- Pile!$G$36)/20)+J171,0)</f>
        <v>0</v>
      </c>
      <c r="K172" s="401">
        <f>IF(E172="Cohesive",( Pile!$G$36+ Pile!$J172)/2,0)</f>
        <v>0</v>
      </c>
      <c r="L172" s="401" t="str">
        <f>IF( Pile!I$36="",0, Pile!I$36)</f>
        <v>0</v>
      </c>
      <c r="M172" s="401" t="str">
        <f>IF( Pile!J$36="",0, Pile!J$36)</f>
        <v>0</v>
      </c>
      <c r="N172" s="401">
        <f>IF(E172="Granular", Pile!$K$36,0)</f>
        <v>18.401122218708668</v>
      </c>
      <c r="O172" s="416">
        <f>IF(AND(E172="Granular",D172&lt;&gt;"Made Ground"), Pile!$L$36,0)</f>
        <v>0.4025428365693513</v>
      </c>
      <c r="P172" s="401">
        <f>IF(OR(D172="Low Density Chalk",D172="Medium Density Chalk"), Pile!$M$36,0)</f>
        <v>0</v>
      </c>
      <c r="Q172" s="417">
        <f>IF(D172="High Density Chalk", Pile!$N$36,0)</f>
        <v>0</v>
      </c>
      <c r="R172" s="401">
        <f>IF( Pile!O$36="",0, Pile!O$36)</f>
        <v>0</v>
      </c>
      <c r="S172" s="418">
        <f t="shared" si="124"/>
        <v>16.936989848655447</v>
      </c>
      <c r="T172" s="382">
        <f xml:space="preserve"> Pile!$T$36</f>
        <v>1200</v>
      </c>
      <c r="U172" s="382">
        <f t="shared" si="125"/>
        <v>16.936989848655447</v>
      </c>
      <c r="V172" s="382">
        <f t="shared" si="126"/>
        <v>1548.4544347043338</v>
      </c>
      <c r="W172" s="382">
        <f xml:space="preserve"> Pile!$V$36</f>
        <v>15000</v>
      </c>
      <c r="X172" s="382">
        <f t="shared" si="127"/>
        <v>1548.4544347043338</v>
      </c>
      <c r="Y172" s="419">
        <v>450</v>
      </c>
      <c r="Z172" s="382">
        <f>PI()*Y172/1000*( Pile!$C$36- Pile!$C172)</f>
        <v>7.2099551399885726</v>
      </c>
      <c r="AA172" s="382">
        <f t="shared" si="128"/>
        <v>0.15904312808798329</v>
      </c>
      <c r="AB172" s="382">
        <f t="shared" si="173"/>
        <v>122.11493701524762</v>
      </c>
      <c r="AC172" s="430">
        <f>Z172* Pile!$S$36</f>
        <v>0</v>
      </c>
      <c r="AD172" s="382">
        <f t="shared" si="179"/>
        <v>122.11493701524762</v>
      </c>
      <c r="AE172" s="382">
        <f>IF(AD172&gt;0,+AD172)/ 'Pile Data and Eurocode Factors'!$B$19/ 'Pile Data and Eurocode Factors'!$B$20</f>
        <v>58.149970007260777</v>
      </c>
      <c r="AF172" s="382">
        <f t="shared" si="157"/>
        <v>246.27103699708712</v>
      </c>
      <c r="AG172" s="382">
        <f>AA172* Pile!$U$36</f>
        <v>0</v>
      </c>
      <c r="AH172" s="382">
        <f t="shared" si="129"/>
        <v>246.27103699708712</v>
      </c>
      <c r="AI172" s="382">
        <f>AH172/ 'Pile Data and Eurocode Factors'!$C$19/ 'Pile Data and Eurocode Factors'!$C$20</f>
        <v>103.4752256290282</v>
      </c>
      <c r="AJ172" s="382">
        <f t="shared" si="130"/>
        <v>161.62519563628899</v>
      </c>
      <c r="AK172" s="382">
        <f>VLOOKUP(Y172, 'Pile Data and Eurocode Factors'!$A$34:$J$39,3, FALSE)</f>
        <v>2366.1761868507956</v>
      </c>
      <c r="AL172" s="403">
        <f t="shared" si="131"/>
        <v>161.62519563628899</v>
      </c>
      <c r="AM172" s="419">
        <v>600</v>
      </c>
      <c r="AN172" s="382">
        <f>PI()*AM172/1000*( Pile!$C$36- Pile!$C172)</f>
        <v>9.6132735199847623</v>
      </c>
      <c r="AO172" s="382">
        <f t="shared" si="132"/>
        <v>0.28274333882308139</v>
      </c>
      <c r="AP172" s="382">
        <f t="shared" si="174"/>
        <v>162.81991602033014</v>
      </c>
      <c r="AQ172" s="430">
        <f>AN172* Pile!$S$36</f>
        <v>0</v>
      </c>
      <c r="AR172" s="382">
        <f t="shared" si="180"/>
        <v>162.81991602033014</v>
      </c>
      <c r="AS172" s="382">
        <f>IF(AR172&gt;0,+AR172)/ 'Pile Data and Eurocode Factors'!$B$19/ 'Pile Data and Eurocode Factors'!$B$20</f>
        <v>77.533293343014364</v>
      </c>
      <c r="AT172" s="382">
        <f t="shared" si="160"/>
        <v>437.81517688371042</v>
      </c>
      <c r="AU172" s="382">
        <f>AO172* Pile!$U$36</f>
        <v>0</v>
      </c>
      <c r="AV172" s="382">
        <f t="shared" si="133"/>
        <v>437.81517688371042</v>
      </c>
      <c r="AW172" s="382">
        <f>AV172/ 'Pile Data and Eurocode Factors'!$C$19/ 'Pile Data and Eurocode Factors'!$C$20</f>
        <v>183.95595667382793</v>
      </c>
      <c r="AX172" s="382">
        <f t="shared" si="134"/>
        <v>261.48925001684228</v>
      </c>
      <c r="AY172" s="382">
        <f>VLOOKUP(AM172, 'Pile Data and Eurocode Factors'!$A$34:$J$39,3, FALSE)</f>
        <v>4206.5354432903041</v>
      </c>
      <c r="AZ172" s="403">
        <f t="shared" si="135"/>
        <v>261.48925001684228</v>
      </c>
      <c r="BA172" s="419">
        <v>750</v>
      </c>
      <c r="BB172" s="382">
        <f>PI()*BA172/1000*( Pile!$C$36- Pile!$C172)</f>
        <v>12.016591899980954</v>
      </c>
      <c r="BC172" s="382">
        <f t="shared" si="136"/>
        <v>0.44178646691106466</v>
      </c>
      <c r="BD172" s="382">
        <f t="shared" si="175"/>
        <v>203.52489502541269</v>
      </c>
      <c r="BE172" s="430">
        <f>BB172* Pile!$S$36</f>
        <v>0</v>
      </c>
      <c r="BF172" s="382">
        <f t="shared" si="181"/>
        <v>203.52489502541269</v>
      </c>
      <c r="BG172" s="382">
        <f>IF(BF172&gt;0,+BF172)/ 'Pile Data and Eurocode Factors'!$B$19/ 'Pile Data and Eurocode Factors'!$B$20</f>
        <v>96.916616678767966</v>
      </c>
      <c r="BH172" s="382">
        <f t="shared" si="163"/>
        <v>684.08621388079746</v>
      </c>
      <c r="BI172" s="382">
        <f>BC172* Pile!$U$36</f>
        <v>0</v>
      </c>
      <c r="BJ172" s="382">
        <f t="shared" si="137"/>
        <v>684.08621388079746</v>
      </c>
      <c r="BK172" s="382">
        <f>BJ172/ 'Pile Data and Eurocode Factors'!$C$19/ 'Pile Data and Eurocode Factors'!$C$20</f>
        <v>287.43118230285609</v>
      </c>
      <c r="BL172" s="382">
        <f t="shared" si="138"/>
        <v>384.34779898162407</v>
      </c>
      <c r="BM172" s="382">
        <f>VLOOKUP(BA172, 'Pile Data and Eurocode Factors'!$A$34:$J$39,3, FALSE)</f>
        <v>6572.7116301410997</v>
      </c>
      <c r="BN172" s="403">
        <f t="shared" si="139"/>
        <v>384.34779898162407</v>
      </c>
      <c r="BO172" s="419">
        <v>900</v>
      </c>
      <c r="BP172" s="382">
        <f>PI()*BO172/1000*( Pile!$C$36- Pile!$C172)</f>
        <v>14.419910279977145</v>
      </c>
      <c r="BQ172" s="382">
        <f t="shared" si="140"/>
        <v>0.63617251235193317</v>
      </c>
      <c r="BR172" s="382">
        <f t="shared" si="176"/>
        <v>244.22987403049524</v>
      </c>
      <c r="BS172" s="430">
        <f>BP172* Pile!$S$36</f>
        <v>0</v>
      </c>
      <c r="BT172" s="382">
        <f t="shared" si="182"/>
        <v>244.22987403049524</v>
      </c>
      <c r="BU172" s="382">
        <f>IF(BT172&gt;0,+BT172)/ 'Pile Data and Eurocode Factors'!$B$19/ 'Pile Data and Eurocode Factors'!$B$20</f>
        <v>116.29994001452155</v>
      </c>
      <c r="BV172" s="382">
        <f t="shared" si="166"/>
        <v>985.08414798834849</v>
      </c>
      <c r="BW172" s="382">
        <f>BQ172* Pile!$U$36</f>
        <v>0</v>
      </c>
      <c r="BX172" s="382">
        <f t="shared" si="141"/>
        <v>985.08414798834849</v>
      </c>
      <c r="BY172" s="382">
        <f>BX172/ 'Pile Data and Eurocode Factors'!$C$19/ 'Pile Data and Eurocode Factors'!$C$20</f>
        <v>413.90090251611281</v>
      </c>
      <c r="BZ172" s="382">
        <f t="shared" si="142"/>
        <v>530.20084253063442</v>
      </c>
      <c r="CA172" s="382">
        <f>VLOOKUP(BO172, 'Pile Data and Eurocode Factors'!$A$34:$J$39,3, FALSE)</f>
        <v>9464.7047474031824</v>
      </c>
      <c r="CB172" s="403">
        <f t="shared" si="143"/>
        <v>530.20084253063442</v>
      </c>
      <c r="CC172" s="419">
        <v>1050</v>
      </c>
      <c r="CD172" s="382">
        <f>PI()*CC172/1000*( Pile!$C$36- Pile!$C172)</f>
        <v>16.823228659973335</v>
      </c>
      <c r="CE172" s="382">
        <f t="shared" si="144"/>
        <v>0.86590147514568672</v>
      </c>
      <c r="CF172" s="382">
        <f t="shared" si="177"/>
        <v>284.93485303557776</v>
      </c>
      <c r="CG172" s="430">
        <f>CD172* Pile!$S$36</f>
        <v>0</v>
      </c>
      <c r="CH172" s="382">
        <f t="shared" si="183"/>
        <v>284.93485303557776</v>
      </c>
      <c r="CI172" s="382">
        <f>IF(CH172&gt;0,+CH172)/ 'Pile Data and Eurocode Factors'!$B$19/ 'Pile Data and Eurocode Factors'!$B$20</f>
        <v>135.68326335027513</v>
      </c>
      <c r="CJ172" s="382">
        <f t="shared" si="169"/>
        <v>1340.8089792063631</v>
      </c>
      <c r="CK172" s="382">
        <f>CE172* Pile!$U$36</f>
        <v>0</v>
      </c>
      <c r="CL172" s="382">
        <f t="shared" si="145"/>
        <v>1340.8089792063631</v>
      </c>
      <c r="CM172" s="382">
        <f>CL172/ 'Pile Data and Eurocode Factors'!$C$19/ 'Pile Data and Eurocode Factors'!$C$20</f>
        <v>563.36511731359803</v>
      </c>
      <c r="CN172" s="382">
        <f t="shared" si="146"/>
        <v>699.0483806638731</v>
      </c>
      <c r="CO172" s="382">
        <f>VLOOKUP(CC172, 'Pile Data and Eurocode Factors'!$A$34:$J$39,3, FALSE)</f>
        <v>12882.514795076555</v>
      </c>
      <c r="CP172" s="403">
        <f t="shared" si="147"/>
        <v>699.0483806638731</v>
      </c>
      <c r="CQ172" s="419">
        <v>1200</v>
      </c>
      <c r="CR172" s="382">
        <f>PI()*CQ172/1000*( Pile!$C$36- Pile!$C172)</f>
        <v>19.226547039969525</v>
      </c>
      <c r="CS172" s="382">
        <f t="shared" si="148"/>
        <v>1.1309733552923256</v>
      </c>
      <c r="CT172" s="382">
        <f t="shared" si="178"/>
        <v>325.63983204066028</v>
      </c>
      <c r="CU172" s="430">
        <f>CR172* Pile!$S$36</f>
        <v>0</v>
      </c>
      <c r="CV172" s="382">
        <f t="shared" si="184"/>
        <v>325.63983204066028</v>
      </c>
      <c r="CW172" s="382">
        <f>IF(CV172&gt;0,+CV172)/ 'Pile Data and Eurocode Factors'!$B$19/ 'Pile Data and Eurocode Factors'!$B$20</f>
        <v>155.06658668602873</v>
      </c>
      <c r="CX172" s="382">
        <f t="shared" si="172"/>
        <v>1751.2607075348417</v>
      </c>
      <c r="CY172" s="382">
        <f>CS172* Pile!$U$36</f>
        <v>0</v>
      </c>
      <c r="CZ172" s="382">
        <f t="shared" si="149"/>
        <v>1751.2607075348417</v>
      </c>
      <c r="DA172" s="382">
        <f>CZ172/ 'Pile Data and Eurocode Factors'!$C$19/ 'Pile Data and Eurocode Factors'!$C$20</f>
        <v>735.82382669531171</v>
      </c>
      <c r="DB172" s="382">
        <f t="shared" si="150"/>
        <v>890.89041338134041</v>
      </c>
      <c r="DC172" s="382">
        <f>VLOOKUP(CQ172, 'Pile Data and Eurocode Factors'!$A$34:$J$39,3, FALSE)</f>
        <v>16826.141773161216</v>
      </c>
      <c r="DD172" s="403">
        <f t="shared" si="151"/>
        <v>890.89041338134041</v>
      </c>
      <c r="DE172" s="420">
        <f xml:space="preserve"> Pile!$C$23- Pile!C172</f>
        <v>5.0999999999999979</v>
      </c>
      <c r="DG172" s="382">
        <f t="shared" si="152"/>
        <v>161.62519563628899</v>
      </c>
      <c r="DH172" s="382">
        <f t="shared" si="153"/>
        <v>261.48925001684228</v>
      </c>
      <c r="DI172" s="382">
        <f t="shared" si="154"/>
        <v>384.34779898162407</v>
      </c>
      <c r="DJ172" s="382"/>
      <c r="DK172" s="382"/>
      <c r="DL172" s="382"/>
    </row>
    <row r="173" spans="1:116" s="308" customFormat="1" ht="15">
      <c r="B173" s="400">
        <v>18</v>
      </c>
      <c r="C173" s="401">
        <f>+C172- Pile!D$36/20</f>
        <v>0.60000000000000209</v>
      </c>
      <c r="D173" s="415" t="str">
        <f>B23</f>
        <v>Loose Sand/Gravel</v>
      </c>
      <c r="E173" s="415" t="str">
        <f>F23</f>
        <v>Granular</v>
      </c>
      <c r="F173" s="401">
        <f xml:space="preserve"> Pile!$E$36*(+C172-C173)+F172</f>
        <v>89.099999999999966</v>
      </c>
      <c r="G173" s="401">
        <f>IF(C173&gt; Pile!$C$41,0,( Pile!$C$41-C173)*9.81)</f>
        <v>0</v>
      </c>
      <c r="H173" s="401">
        <f t="shared" si="122"/>
        <v>89.099999999999966</v>
      </c>
      <c r="I173" s="401">
        <f t="shared" si="123"/>
        <v>44.549999999999983</v>
      </c>
      <c r="J173" s="401">
        <f>IF(E173="Cohesive",(( Pile!$H$36- Pile!$G$36)/20)+J172,0)</f>
        <v>0</v>
      </c>
      <c r="K173" s="401">
        <f>IF(E173="Cohesive",( Pile!$G$36+ Pile!$J173)/2,0)</f>
        <v>0</v>
      </c>
      <c r="L173" s="401" t="str">
        <f>IF( Pile!I$36="",0, Pile!I$36)</f>
        <v>0</v>
      </c>
      <c r="M173" s="401" t="str">
        <f>IF( Pile!J$36="",0, Pile!J$36)</f>
        <v>0</v>
      </c>
      <c r="N173" s="401">
        <f>IF(E173="Granular", Pile!$K$36,0)</f>
        <v>18.401122218708668</v>
      </c>
      <c r="O173" s="416">
        <f>IF(AND(E173="Granular",D173&lt;&gt;"Made Ground"), Pile!$L$36,0)</f>
        <v>0.4025428365693513</v>
      </c>
      <c r="P173" s="401">
        <f>IF(OR(D173="Low Density Chalk",D173="Medium Density Chalk"), Pile!$M$36,0)</f>
        <v>0</v>
      </c>
      <c r="Q173" s="417">
        <f>IF(D173="High Density Chalk", Pile!$N$36,0)</f>
        <v>0</v>
      </c>
      <c r="R173" s="401">
        <f>IF( Pile!O$36="",0, Pile!O$36)</f>
        <v>0</v>
      </c>
      <c r="S173" s="418">
        <f t="shared" si="124"/>
        <v>17.933283369164595</v>
      </c>
      <c r="T173" s="382">
        <f xml:space="preserve"> Pile!$T$36</f>
        <v>1200</v>
      </c>
      <c r="U173" s="382">
        <f t="shared" si="125"/>
        <v>17.933283369164595</v>
      </c>
      <c r="V173" s="382">
        <f t="shared" si="126"/>
        <v>1639.5399896869417</v>
      </c>
      <c r="W173" s="382">
        <f xml:space="preserve"> Pile!$V$36</f>
        <v>15000</v>
      </c>
      <c r="X173" s="382">
        <f t="shared" si="127"/>
        <v>1639.5399896869417</v>
      </c>
      <c r="Y173" s="419">
        <v>450</v>
      </c>
      <c r="Z173" s="382">
        <f>PI()*Y173/1000*( Pile!$C$36- Pile!$C173)</f>
        <v>7.6340701482231941</v>
      </c>
      <c r="AA173" s="382">
        <f t="shared" si="128"/>
        <v>0.15904312808798329</v>
      </c>
      <c r="AB173" s="382">
        <f t="shared" si="173"/>
        <v>136.9039432281669</v>
      </c>
      <c r="AC173" s="430">
        <f>Z173* Pile!$S$36</f>
        <v>0</v>
      </c>
      <c r="AD173" s="382">
        <f t="shared" si="179"/>
        <v>136.9039432281669</v>
      </c>
      <c r="AE173" s="382">
        <f>IF(AD173&gt;0,+AD173)/ 'Pile Data and Eurocode Factors'!$B$19/ 'Pile Data and Eurocode Factors'!$B$20</f>
        <v>65.192353918174717</v>
      </c>
      <c r="AF173" s="382">
        <f t="shared" si="157"/>
        <v>260.75756858515109</v>
      </c>
      <c r="AG173" s="382">
        <f>AA173* Pile!$U$36</f>
        <v>0</v>
      </c>
      <c r="AH173" s="382">
        <f t="shared" si="129"/>
        <v>260.75756858515109</v>
      </c>
      <c r="AI173" s="382">
        <f>AH173/ 'Pile Data and Eurocode Factors'!$C$19/ 'Pile Data and Eurocode Factors'!$C$20</f>
        <v>109.56200360720635</v>
      </c>
      <c r="AJ173" s="382">
        <f t="shared" si="130"/>
        <v>174.75435752538107</v>
      </c>
      <c r="AK173" s="382">
        <f>VLOOKUP(Y173, 'Pile Data and Eurocode Factors'!$A$34:$J$39,3, FALSE)</f>
        <v>2366.1761868507956</v>
      </c>
      <c r="AL173" s="403">
        <f t="shared" si="131"/>
        <v>174.75435752538107</v>
      </c>
      <c r="AM173" s="419">
        <v>600</v>
      </c>
      <c r="AN173" s="382">
        <f>PI()*AM173/1000*( Pile!$C$36- Pile!$C173)</f>
        <v>10.178760197630925</v>
      </c>
      <c r="AO173" s="382">
        <f t="shared" si="132"/>
        <v>0.28274333882308139</v>
      </c>
      <c r="AP173" s="382">
        <f t="shared" si="174"/>
        <v>182.5385909708892</v>
      </c>
      <c r="AQ173" s="430">
        <f>AN173* Pile!$S$36</f>
        <v>0</v>
      </c>
      <c r="AR173" s="382">
        <f t="shared" si="180"/>
        <v>182.5385909708892</v>
      </c>
      <c r="AS173" s="382">
        <f>IF(AR173&gt;0,+AR173)/ 'Pile Data and Eurocode Factors'!$B$19/ 'Pile Data and Eurocode Factors'!$B$20</f>
        <v>86.92313855756629</v>
      </c>
      <c r="AT173" s="382">
        <f t="shared" si="160"/>
        <v>463.56901081804631</v>
      </c>
      <c r="AU173" s="382">
        <f>AO173* Pile!$U$36</f>
        <v>0</v>
      </c>
      <c r="AV173" s="382">
        <f t="shared" si="133"/>
        <v>463.56901081804631</v>
      </c>
      <c r="AW173" s="382">
        <f>AV173/ 'Pile Data and Eurocode Factors'!$C$19/ 'Pile Data and Eurocode Factors'!$C$20</f>
        <v>194.77689530170016</v>
      </c>
      <c r="AX173" s="382">
        <f t="shared" si="134"/>
        <v>281.70003385926645</v>
      </c>
      <c r="AY173" s="382">
        <f>VLOOKUP(AM173, 'Pile Data and Eurocode Factors'!$A$34:$J$39,3, FALSE)</f>
        <v>4206.5354432903041</v>
      </c>
      <c r="AZ173" s="403">
        <f t="shared" si="135"/>
        <v>281.70003385926645</v>
      </c>
      <c r="BA173" s="419">
        <v>750</v>
      </c>
      <c r="BB173" s="382">
        <f>PI()*BA173/1000*( Pile!$C$36- Pile!$C173)</f>
        <v>12.723450247038656</v>
      </c>
      <c r="BC173" s="382">
        <f t="shared" si="136"/>
        <v>0.44178646691106466</v>
      </c>
      <c r="BD173" s="382">
        <f t="shared" si="175"/>
        <v>228.17323871361148</v>
      </c>
      <c r="BE173" s="430">
        <f>BB173* Pile!$S$36</f>
        <v>0</v>
      </c>
      <c r="BF173" s="382">
        <f t="shared" si="181"/>
        <v>228.17323871361148</v>
      </c>
      <c r="BG173" s="382">
        <f>IF(BF173&gt;0,+BF173)/ 'Pile Data and Eurocode Factors'!$B$19/ 'Pile Data and Eurocode Factors'!$B$20</f>
        <v>108.65392319695786</v>
      </c>
      <c r="BH173" s="382">
        <f t="shared" si="163"/>
        <v>724.32657940319734</v>
      </c>
      <c r="BI173" s="382">
        <f>BC173* Pile!$U$36</f>
        <v>0</v>
      </c>
      <c r="BJ173" s="382">
        <f t="shared" si="137"/>
        <v>724.32657940319734</v>
      </c>
      <c r="BK173" s="382">
        <f>BJ173/ 'Pile Data and Eurocode Factors'!$C$19/ 'Pile Data and Eurocode Factors'!$C$20</f>
        <v>304.33889890890651</v>
      </c>
      <c r="BL173" s="382">
        <f t="shared" si="138"/>
        <v>412.99282210586438</v>
      </c>
      <c r="BM173" s="382">
        <f>VLOOKUP(BA173, 'Pile Data and Eurocode Factors'!$A$34:$J$39,3, FALSE)</f>
        <v>6572.7116301410997</v>
      </c>
      <c r="BN173" s="403">
        <f t="shared" si="139"/>
        <v>412.99282210586438</v>
      </c>
      <c r="BO173" s="419">
        <v>900</v>
      </c>
      <c r="BP173" s="382">
        <f>PI()*BO173/1000*( Pile!$C$36- Pile!$C173)</f>
        <v>15.268140296446388</v>
      </c>
      <c r="BQ173" s="382">
        <f t="shared" si="140"/>
        <v>0.63617251235193317</v>
      </c>
      <c r="BR173" s="382">
        <f t="shared" si="176"/>
        <v>273.80788645633379</v>
      </c>
      <c r="BS173" s="430">
        <f>BP173* Pile!$S$36</f>
        <v>0</v>
      </c>
      <c r="BT173" s="382">
        <f t="shared" si="182"/>
        <v>273.80788645633379</v>
      </c>
      <c r="BU173" s="382">
        <f>IF(BT173&gt;0,+BT173)/ 'Pile Data and Eurocode Factors'!$B$19/ 'Pile Data and Eurocode Factors'!$B$20</f>
        <v>130.38470783634943</v>
      </c>
      <c r="BV173" s="382">
        <f t="shared" si="166"/>
        <v>1043.0302743406044</v>
      </c>
      <c r="BW173" s="382">
        <f>BQ173* Pile!$U$36</f>
        <v>0</v>
      </c>
      <c r="BX173" s="382">
        <f t="shared" si="141"/>
        <v>1043.0302743406044</v>
      </c>
      <c r="BY173" s="382">
        <f>BX173/ 'Pile Data and Eurocode Factors'!$C$19/ 'Pile Data and Eurocode Factors'!$C$20</f>
        <v>438.2480144288254</v>
      </c>
      <c r="BZ173" s="382">
        <f t="shared" si="142"/>
        <v>568.63272226517483</v>
      </c>
      <c r="CA173" s="382">
        <f>VLOOKUP(BO173, 'Pile Data and Eurocode Factors'!$A$34:$J$39,3, FALSE)</f>
        <v>9464.7047474031824</v>
      </c>
      <c r="CB173" s="403">
        <f t="shared" si="143"/>
        <v>568.63272226517483</v>
      </c>
      <c r="CC173" s="419">
        <v>1050</v>
      </c>
      <c r="CD173" s="382">
        <f>PI()*CC173/1000*( Pile!$C$36- Pile!$C173)</f>
        <v>17.81283034585412</v>
      </c>
      <c r="CE173" s="382">
        <f t="shared" si="144"/>
        <v>0.86590147514568672</v>
      </c>
      <c r="CF173" s="382">
        <f t="shared" si="177"/>
        <v>319.44253419905613</v>
      </c>
      <c r="CG173" s="430">
        <f>CD173* Pile!$S$36</f>
        <v>0</v>
      </c>
      <c r="CH173" s="382">
        <f t="shared" si="183"/>
        <v>319.44253419905613</v>
      </c>
      <c r="CI173" s="382">
        <f>IF(CH173&gt;0,+CH173)/ 'Pile Data and Eurocode Factors'!$B$19/ 'Pile Data and Eurocode Factors'!$B$20</f>
        <v>152.11549247574104</v>
      </c>
      <c r="CJ173" s="382">
        <f t="shared" si="169"/>
        <v>1419.6800956302668</v>
      </c>
      <c r="CK173" s="382">
        <f>CE173* Pile!$U$36</f>
        <v>0</v>
      </c>
      <c r="CL173" s="382">
        <f t="shared" si="145"/>
        <v>1419.6800956302668</v>
      </c>
      <c r="CM173" s="382">
        <f>CL173/ 'Pile Data and Eurocode Factors'!$C$19/ 'Pile Data and Eurocode Factors'!$C$20</f>
        <v>596.50424186145665</v>
      </c>
      <c r="CN173" s="382">
        <f t="shared" si="146"/>
        <v>748.61973433719766</v>
      </c>
      <c r="CO173" s="382">
        <f>VLOOKUP(CC173, 'Pile Data and Eurocode Factors'!$A$34:$J$39,3, FALSE)</f>
        <v>12882.514795076555</v>
      </c>
      <c r="CP173" s="403">
        <f t="shared" si="147"/>
        <v>748.61973433719766</v>
      </c>
      <c r="CQ173" s="419">
        <v>1200</v>
      </c>
      <c r="CR173" s="382">
        <f>PI()*CQ173/1000*( Pile!$C$36- Pile!$C173)</f>
        <v>20.357520395261851</v>
      </c>
      <c r="CS173" s="382">
        <f t="shared" si="148"/>
        <v>1.1309733552923256</v>
      </c>
      <c r="CT173" s="382">
        <f t="shared" si="178"/>
        <v>365.07718194177841</v>
      </c>
      <c r="CU173" s="430">
        <f>CR173* Pile!$S$36</f>
        <v>0</v>
      </c>
      <c r="CV173" s="382">
        <f t="shared" si="184"/>
        <v>365.07718194177841</v>
      </c>
      <c r="CW173" s="382">
        <f>IF(CV173&gt;0,+CV173)/ 'Pile Data and Eurocode Factors'!$B$19/ 'Pile Data and Eurocode Factors'!$B$20</f>
        <v>173.84627711513258</v>
      </c>
      <c r="CX173" s="382">
        <f t="shared" si="172"/>
        <v>1854.2760432721852</v>
      </c>
      <c r="CY173" s="382">
        <f>CS173* Pile!$U$36</f>
        <v>0</v>
      </c>
      <c r="CZ173" s="382">
        <f t="shared" si="149"/>
        <v>1854.2760432721852</v>
      </c>
      <c r="DA173" s="382">
        <f>CZ173/ 'Pile Data and Eurocode Factors'!$C$19/ 'Pile Data and Eurocode Factors'!$C$20</f>
        <v>779.10758120680066</v>
      </c>
      <c r="DB173" s="382">
        <f t="shared" si="150"/>
        <v>952.95385832193324</v>
      </c>
      <c r="DC173" s="382">
        <f>VLOOKUP(CQ173, 'Pile Data and Eurocode Factors'!$A$34:$J$39,3, FALSE)</f>
        <v>16826.141773161216</v>
      </c>
      <c r="DD173" s="403">
        <f t="shared" si="151"/>
        <v>952.95385832193324</v>
      </c>
      <c r="DE173" s="420">
        <f xml:space="preserve"> Pile!$C$23- Pile!C173</f>
        <v>5.3999999999999977</v>
      </c>
      <c r="DG173" s="382">
        <f t="shared" si="152"/>
        <v>174.75435752538107</v>
      </c>
      <c r="DH173" s="382">
        <f t="shared" si="153"/>
        <v>281.70003385926645</v>
      </c>
      <c r="DI173" s="382">
        <f t="shared" si="154"/>
        <v>412.99282210586438</v>
      </c>
      <c r="DJ173" s="382"/>
      <c r="DK173" s="382"/>
      <c r="DL173" s="382"/>
    </row>
    <row r="174" spans="1:116" s="308" customFormat="1" ht="15">
      <c r="B174" s="400">
        <v>19</v>
      </c>
      <c r="C174" s="401">
        <f>+C173- Pile!D$36/20</f>
        <v>0.3000000000000021</v>
      </c>
      <c r="D174" s="415" t="str">
        <f>B23</f>
        <v>Loose Sand/Gravel</v>
      </c>
      <c r="E174" s="415" t="str">
        <f>F23</f>
        <v>Granular</v>
      </c>
      <c r="F174" s="401">
        <f xml:space="preserve"> Pile!$E$36*(+C173-C174)+F173</f>
        <v>94.049999999999969</v>
      </c>
      <c r="G174" s="401">
        <f>IF(C174&gt; Pile!$C$41,0,( Pile!$C$41-C174)*9.81)</f>
        <v>0</v>
      </c>
      <c r="H174" s="401">
        <f t="shared" si="122"/>
        <v>94.049999999999969</v>
      </c>
      <c r="I174" s="401">
        <f t="shared" si="123"/>
        <v>47.024999999999984</v>
      </c>
      <c r="J174" s="401">
        <f>IF(E174="Cohesive",(( Pile!$H$36- Pile!$G$36)/20)+J173,0)</f>
        <v>0</v>
      </c>
      <c r="K174" s="401">
        <f>IF(E174="Cohesive",( Pile!$G$36+ Pile!$J174)/2,0)</f>
        <v>0</v>
      </c>
      <c r="L174" s="401" t="str">
        <f>IF( Pile!I$36="",0, Pile!I$36)</f>
        <v>0</v>
      </c>
      <c r="M174" s="401" t="str">
        <f>IF( Pile!J$36="",0, Pile!J$36)</f>
        <v>0</v>
      </c>
      <c r="N174" s="401">
        <f>IF(E174="Granular", Pile!$K$36,0)</f>
        <v>18.401122218708668</v>
      </c>
      <c r="O174" s="416">
        <f>IF(AND(E174="Granular",D174&lt;&gt;"Made Ground"), Pile!$L$36,0)</f>
        <v>0.4025428365693513</v>
      </c>
      <c r="P174" s="401">
        <f>IF(OR(D174="Low Density Chalk",D174="Medium Density Chalk"), Pile!$M$36,0)</f>
        <v>0</v>
      </c>
      <c r="Q174" s="417">
        <f>IF(D174="High Density Chalk", Pile!$N$36,0)</f>
        <v>0</v>
      </c>
      <c r="R174" s="401">
        <f>IF( Pile!O$36="",0, Pile!O$36)</f>
        <v>0</v>
      </c>
      <c r="S174" s="418">
        <f t="shared" si="124"/>
        <v>18.92957688967374</v>
      </c>
      <c r="T174" s="382">
        <f xml:space="preserve"> Pile!$T$36</f>
        <v>1200</v>
      </c>
      <c r="U174" s="382">
        <f t="shared" si="125"/>
        <v>18.92957688967374</v>
      </c>
      <c r="V174" s="382">
        <f t="shared" si="126"/>
        <v>1730.6255446695498</v>
      </c>
      <c r="W174" s="382">
        <f xml:space="preserve"> Pile!$V$36</f>
        <v>15000</v>
      </c>
      <c r="X174" s="382">
        <f t="shared" si="127"/>
        <v>1730.6255446695498</v>
      </c>
      <c r="Y174" s="419">
        <v>450</v>
      </c>
      <c r="Z174" s="382">
        <f>PI()*Y174/1000*( Pile!$C$36- Pile!$C174)</f>
        <v>8.0581851564578155</v>
      </c>
      <c r="AA174" s="382">
        <f t="shared" si="128"/>
        <v>0.15904312808798329</v>
      </c>
      <c r="AB174" s="382">
        <f t="shared" si="173"/>
        <v>152.53803551039584</v>
      </c>
      <c r="AC174" s="430">
        <f>Z174* Pile!$S$36</f>
        <v>0</v>
      </c>
      <c r="AD174" s="382">
        <f t="shared" si="179"/>
        <v>152.53803551039584</v>
      </c>
      <c r="AE174" s="382">
        <f>IF(AD174&gt;0,+AD174)/ 'Pile Data and Eurocode Factors'!$B$19/ 'Pile Data and Eurocode Factors'!$B$20</f>
        <v>72.637159766855163</v>
      </c>
      <c r="AF174" s="382">
        <f t="shared" si="157"/>
        <v>275.24410017321503</v>
      </c>
      <c r="AG174" s="382">
        <f>AA174* Pile!$U$36</f>
        <v>0</v>
      </c>
      <c r="AH174" s="382">
        <f t="shared" si="129"/>
        <v>275.24410017321503</v>
      </c>
      <c r="AI174" s="382">
        <f>AH174/ 'Pile Data and Eurocode Factors'!$C$19/ 'Pile Data and Eurocode Factors'!$C$20</f>
        <v>115.64878158538447</v>
      </c>
      <c r="AJ174" s="382">
        <f t="shared" si="130"/>
        <v>188.28594135223963</v>
      </c>
      <c r="AK174" s="382">
        <f>VLOOKUP(Y174, 'Pile Data and Eurocode Factors'!$A$34:$J$39,3, FALSE)</f>
        <v>2366.1761868507956</v>
      </c>
      <c r="AL174" s="403">
        <f t="shared" si="131"/>
        <v>188.28594135223963</v>
      </c>
      <c r="AM174" s="419">
        <v>600</v>
      </c>
      <c r="AN174" s="382">
        <f>PI()*AM174/1000*( Pile!$C$36- Pile!$C174)</f>
        <v>10.744246875277089</v>
      </c>
      <c r="AO174" s="382">
        <f t="shared" si="132"/>
        <v>0.28274333882308139</v>
      </c>
      <c r="AP174" s="382">
        <f t="shared" si="174"/>
        <v>203.38404734719447</v>
      </c>
      <c r="AQ174" s="430">
        <f>AN174* Pile!$S$36</f>
        <v>0</v>
      </c>
      <c r="AR174" s="382">
        <f t="shared" si="180"/>
        <v>203.38404734719447</v>
      </c>
      <c r="AS174" s="382">
        <f>IF(AR174&gt;0,+AR174)/ 'Pile Data and Eurocode Factors'!$B$19/ 'Pile Data and Eurocode Factors'!$B$20</f>
        <v>96.849546355806908</v>
      </c>
      <c r="AT174" s="382">
        <f t="shared" si="160"/>
        <v>489.32284475238231</v>
      </c>
      <c r="AU174" s="382">
        <f>AO174* Pile!$U$36</f>
        <v>0</v>
      </c>
      <c r="AV174" s="382">
        <f t="shared" si="133"/>
        <v>489.32284475238231</v>
      </c>
      <c r="AW174" s="382">
        <f>AV174/ 'Pile Data and Eurocode Factors'!$C$19/ 'Pile Data and Eurocode Factors'!$C$20</f>
        <v>205.59783392957243</v>
      </c>
      <c r="AX174" s="382">
        <f t="shared" si="134"/>
        <v>302.44738028537932</v>
      </c>
      <c r="AY174" s="382">
        <f>VLOOKUP(AM174, 'Pile Data and Eurocode Factors'!$A$34:$J$39,3, FALSE)</f>
        <v>4206.5354432903041</v>
      </c>
      <c r="AZ174" s="403">
        <f t="shared" si="135"/>
        <v>302.44738028537932</v>
      </c>
      <c r="BA174" s="419">
        <v>750</v>
      </c>
      <c r="BB174" s="382">
        <f>PI()*BA174/1000*( Pile!$C$36- Pile!$C174)</f>
        <v>13.43030859409636</v>
      </c>
      <c r="BC174" s="382">
        <f t="shared" si="136"/>
        <v>0.44178646691106466</v>
      </c>
      <c r="BD174" s="382">
        <f t="shared" si="175"/>
        <v>254.23005918399306</v>
      </c>
      <c r="BE174" s="430">
        <f>BB174* Pile!$S$36</f>
        <v>0</v>
      </c>
      <c r="BF174" s="382">
        <f t="shared" si="181"/>
        <v>254.23005918399306</v>
      </c>
      <c r="BG174" s="382">
        <f>IF(BF174&gt;0,+BF174)/ 'Pile Data and Eurocode Factors'!$B$19/ 'Pile Data and Eurocode Factors'!$B$20</f>
        <v>121.06193294475861</v>
      </c>
      <c r="BH174" s="382">
        <f t="shared" si="163"/>
        <v>764.56694492559734</v>
      </c>
      <c r="BI174" s="382">
        <f>BC174* Pile!$U$36</f>
        <v>0</v>
      </c>
      <c r="BJ174" s="382">
        <f t="shared" si="137"/>
        <v>764.56694492559734</v>
      </c>
      <c r="BK174" s="382">
        <f>BJ174/ 'Pile Data and Eurocode Factors'!$C$19/ 'Pile Data and Eurocode Factors'!$C$20</f>
        <v>321.24661551495689</v>
      </c>
      <c r="BL174" s="382">
        <f t="shared" si="138"/>
        <v>442.3085484597155</v>
      </c>
      <c r="BM174" s="382">
        <f>VLOOKUP(BA174, 'Pile Data and Eurocode Factors'!$A$34:$J$39,3, FALSE)</f>
        <v>6572.7116301410997</v>
      </c>
      <c r="BN174" s="403">
        <f t="shared" si="139"/>
        <v>442.3085484597155</v>
      </c>
      <c r="BO174" s="419">
        <v>900</v>
      </c>
      <c r="BP174" s="382">
        <f>PI()*BO174/1000*( Pile!$C$36- Pile!$C174)</f>
        <v>16.116370312915631</v>
      </c>
      <c r="BQ174" s="382">
        <f t="shared" si="140"/>
        <v>0.63617251235193317</v>
      </c>
      <c r="BR174" s="382">
        <f t="shared" si="176"/>
        <v>305.07607102079169</v>
      </c>
      <c r="BS174" s="430">
        <f>BP174* Pile!$S$36</f>
        <v>0</v>
      </c>
      <c r="BT174" s="382">
        <f t="shared" si="182"/>
        <v>305.07607102079169</v>
      </c>
      <c r="BU174" s="382">
        <f>IF(BT174&gt;0,+BT174)/ 'Pile Data and Eurocode Factors'!$B$19/ 'Pile Data and Eurocode Factors'!$B$20</f>
        <v>145.27431953371033</v>
      </c>
      <c r="BV174" s="382">
        <f t="shared" si="166"/>
        <v>1100.9764006928601</v>
      </c>
      <c r="BW174" s="382">
        <f>BQ174* Pile!$U$36</f>
        <v>0</v>
      </c>
      <c r="BX174" s="382">
        <f t="shared" si="141"/>
        <v>1100.9764006928601</v>
      </c>
      <c r="BY174" s="382">
        <f>BX174/ 'Pile Data and Eurocode Factors'!$C$19/ 'Pile Data and Eurocode Factors'!$C$20</f>
        <v>462.59512634153788</v>
      </c>
      <c r="BZ174" s="382">
        <f t="shared" si="142"/>
        <v>607.86944587524818</v>
      </c>
      <c r="CA174" s="382">
        <f>VLOOKUP(BO174, 'Pile Data and Eurocode Factors'!$A$34:$J$39,3, FALSE)</f>
        <v>9464.7047474031824</v>
      </c>
      <c r="CB174" s="403">
        <f t="shared" si="143"/>
        <v>607.86944587524818</v>
      </c>
      <c r="CC174" s="419">
        <v>1050</v>
      </c>
      <c r="CD174" s="382">
        <f>PI()*CC174/1000*( Pile!$C$36- Pile!$C174)</f>
        <v>18.802432031734902</v>
      </c>
      <c r="CE174" s="382">
        <f t="shared" si="144"/>
        <v>0.86590147514568672</v>
      </c>
      <c r="CF174" s="382">
        <f t="shared" si="177"/>
        <v>355.92208285759028</v>
      </c>
      <c r="CG174" s="430">
        <f>CD174* Pile!$S$36</f>
        <v>0</v>
      </c>
      <c r="CH174" s="382">
        <f t="shared" si="183"/>
        <v>355.92208285759028</v>
      </c>
      <c r="CI174" s="382">
        <f>IF(CH174&gt;0,+CH174)/ 'Pile Data and Eurocode Factors'!$B$19/ 'Pile Data and Eurocode Factors'!$B$20</f>
        <v>169.48670612266204</v>
      </c>
      <c r="CJ174" s="382">
        <f t="shared" si="169"/>
        <v>1498.5512120541707</v>
      </c>
      <c r="CK174" s="382">
        <f>CE174* Pile!$U$36</f>
        <v>0</v>
      </c>
      <c r="CL174" s="382">
        <f t="shared" si="145"/>
        <v>1498.5512120541707</v>
      </c>
      <c r="CM174" s="382">
        <f>CL174/ 'Pile Data and Eurocode Factors'!$C$19/ 'Pile Data and Eurocode Factors'!$C$20</f>
        <v>629.64336640931549</v>
      </c>
      <c r="CN174" s="382">
        <f t="shared" si="146"/>
        <v>799.13007253197748</v>
      </c>
      <c r="CO174" s="382">
        <f>VLOOKUP(CC174, 'Pile Data and Eurocode Factors'!$A$34:$J$39,3, FALSE)</f>
        <v>12882.514795076555</v>
      </c>
      <c r="CP174" s="403">
        <f t="shared" si="147"/>
        <v>799.13007253197748</v>
      </c>
      <c r="CQ174" s="419">
        <v>1200</v>
      </c>
      <c r="CR174" s="382">
        <f>PI()*CQ174/1000*( Pile!$C$36- Pile!$C174)</f>
        <v>21.488493750554177</v>
      </c>
      <c r="CS174" s="382">
        <f t="shared" si="148"/>
        <v>1.1309733552923256</v>
      </c>
      <c r="CT174" s="382">
        <f t="shared" si="178"/>
        <v>406.76809469438894</v>
      </c>
      <c r="CU174" s="430">
        <f>CR174* Pile!$S$36</f>
        <v>0</v>
      </c>
      <c r="CV174" s="382">
        <f t="shared" si="184"/>
        <v>406.76809469438894</v>
      </c>
      <c r="CW174" s="382">
        <f>IF(CV174&gt;0,+CV174)/ 'Pile Data and Eurocode Factors'!$B$19/ 'Pile Data and Eurocode Factors'!$B$20</f>
        <v>193.69909271161382</v>
      </c>
      <c r="CX174" s="382">
        <f t="shared" si="172"/>
        <v>1957.2913790095292</v>
      </c>
      <c r="CY174" s="382">
        <f>CS174* Pile!$U$36</f>
        <v>0</v>
      </c>
      <c r="CZ174" s="382">
        <f t="shared" si="149"/>
        <v>1957.2913790095292</v>
      </c>
      <c r="DA174" s="382">
        <f>CZ174/ 'Pile Data and Eurocode Factors'!$C$19/ 'Pile Data and Eurocode Factors'!$C$20</f>
        <v>822.39133571828972</v>
      </c>
      <c r="DB174" s="382">
        <f t="shared" si="150"/>
        <v>1016.0904284299036</v>
      </c>
      <c r="DC174" s="382">
        <f>VLOOKUP(CQ174, 'Pile Data and Eurocode Factors'!$A$34:$J$39,3, FALSE)</f>
        <v>16826.141773161216</v>
      </c>
      <c r="DD174" s="403">
        <f t="shared" si="151"/>
        <v>1016.0904284299036</v>
      </c>
      <c r="DE174" s="420">
        <f xml:space="preserve"> Pile!$C$23- Pile!C174</f>
        <v>5.6999999999999975</v>
      </c>
      <c r="DG174" s="382">
        <f t="shared" si="152"/>
        <v>188.28594135223963</v>
      </c>
      <c r="DH174" s="382">
        <f t="shared" si="153"/>
        <v>302.44738028537932</v>
      </c>
      <c r="DI174" s="382">
        <f t="shared" si="154"/>
        <v>442.3085484597155</v>
      </c>
      <c r="DJ174" s="382"/>
      <c r="DK174" s="382"/>
      <c r="DL174" s="382"/>
    </row>
    <row r="175" spans="1:116" s="308" customFormat="1" ht="15">
      <c r="B175" s="400">
        <v>20</v>
      </c>
      <c r="C175" s="401">
        <f>+C174- Pile!D$36/20</f>
        <v>2.1094237467877974E-15</v>
      </c>
      <c r="D175" s="415" t="str">
        <f>B23</f>
        <v>Loose Sand/Gravel</v>
      </c>
      <c r="E175" s="415" t="str">
        <f>F23</f>
        <v>Granular</v>
      </c>
      <c r="F175" s="401">
        <f xml:space="preserve"> Pile!$E$36*(+C174-C175)+F174</f>
        <v>98.999999999999972</v>
      </c>
      <c r="G175" s="401">
        <f>IF(C175&gt; Pile!$C$41,0,( Pile!$C$41-C175)*9.81)</f>
        <v>0</v>
      </c>
      <c r="H175" s="401">
        <f t="shared" si="122"/>
        <v>98.999999999999972</v>
      </c>
      <c r="I175" s="401">
        <f t="shared" si="123"/>
        <v>49.499999999999986</v>
      </c>
      <c r="J175" s="401">
        <f>IF(E175="Cohesive",(( Pile!$H$36- Pile!$G$36)/20)+J174,0)</f>
        <v>0</v>
      </c>
      <c r="K175" s="401">
        <f>IF(E175="Cohesive",( Pile!$G$36+ Pile!$J175)/2,0)</f>
        <v>0</v>
      </c>
      <c r="L175" s="401" t="str">
        <f>IF( Pile!I$36="",0, Pile!I$36)</f>
        <v>0</v>
      </c>
      <c r="M175" s="401" t="str">
        <f>IF( Pile!J$36="",0, Pile!J$36)</f>
        <v>0</v>
      </c>
      <c r="N175" s="401">
        <f>IF(E175="Granular", Pile!$K$36,0)</f>
        <v>18.401122218708668</v>
      </c>
      <c r="O175" s="416">
        <f>IF(AND(E175="Granular",D175&lt;&gt;"Made Ground"), Pile!$L$36,0)</f>
        <v>0.4025428365693513</v>
      </c>
      <c r="P175" s="401">
        <f>IF(OR(D175="Low Density Chalk",D175="Medium Density Chalk"), Pile!$M$36,0)</f>
        <v>0</v>
      </c>
      <c r="Q175" s="417">
        <f>IF(D175="High Density Chalk", Pile!$N$36,0)</f>
        <v>0</v>
      </c>
      <c r="R175" s="401">
        <f>IF( Pile!O$36="",0, Pile!O$36)</f>
        <v>0</v>
      </c>
      <c r="S175" s="418">
        <f t="shared" si="124"/>
        <v>19.925870410182885</v>
      </c>
      <c r="T175" s="382">
        <f xml:space="preserve"> Pile!$T$36</f>
        <v>1200</v>
      </c>
      <c r="U175" s="382">
        <f t="shared" si="125"/>
        <v>19.925870410182885</v>
      </c>
      <c r="V175" s="382">
        <f t="shared" si="126"/>
        <v>1821.7110996521576</v>
      </c>
      <c r="W175" s="382">
        <f xml:space="preserve"> Pile!$V$36</f>
        <v>15000</v>
      </c>
      <c r="X175" s="382">
        <f t="shared" si="127"/>
        <v>1821.7110996521576</v>
      </c>
      <c r="Y175" s="419">
        <v>450</v>
      </c>
      <c r="Z175" s="382">
        <f>PI()*Y175/1000*( Pile!$C$36- Pile!$C175)</f>
        <v>8.4823001646924396</v>
      </c>
      <c r="AA175" s="382">
        <f t="shared" si="128"/>
        <v>0.15904312808798329</v>
      </c>
      <c r="AB175" s="382">
        <f t="shared" si="173"/>
        <v>169.01721386193449</v>
      </c>
      <c r="AC175" s="430">
        <f>Z175* Pile!$S$36</f>
        <v>0</v>
      </c>
      <c r="AD175" s="382">
        <f t="shared" si="179"/>
        <v>169.01721386193449</v>
      </c>
      <c r="AE175" s="382">
        <f>IF(AD175&gt;0,+AD175)/ 'Pile Data and Eurocode Factors'!$B$19/ 'Pile Data and Eurocode Factors'!$B$20</f>
        <v>80.484387553302142</v>
      </c>
      <c r="AF175" s="382">
        <f t="shared" si="157"/>
        <v>289.73063176127897</v>
      </c>
      <c r="AG175" s="382">
        <f>AA175* Pile!$U$36</f>
        <v>0</v>
      </c>
      <c r="AH175" s="382">
        <f t="shared" si="129"/>
        <v>289.73063176127897</v>
      </c>
      <c r="AI175" s="382">
        <f>AH175/ 'Pile Data and Eurocode Factors'!$C$19/ 'Pile Data and Eurocode Factors'!$C$20</f>
        <v>121.73555956356262</v>
      </c>
      <c r="AJ175" s="382">
        <f t="shared" si="130"/>
        <v>202.21994711686477</v>
      </c>
      <c r="AK175" s="382">
        <f>VLOOKUP(Y175, 'Pile Data and Eurocode Factors'!$A$34:$J$39,3, FALSE)</f>
        <v>2366.1761868507956</v>
      </c>
      <c r="AL175" s="403">
        <f t="shared" si="131"/>
        <v>202.21994711686477</v>
      </c>
      <c r="AM175" s="419">
        <v>600</v>
      </c>
      <c r="AN175" s="382">
        <f>PI()*AM175/1000*( Pile!$C$36- Pile!$C175)</f>
        <v>11.309733552923252</v>
      </c>
      <c r="AO175" s="382">
        <f t="shared" si="132"/>
        <v>0.28274333882308139</v>
      </c>
      <c r="AP175" s="382">
        <f t="shared" si="174"/>
        <v>225.35628514924596</v>
      </c>
      <c r="AQ175" s="430">
        <f>AN175* Pile!$S$36</f>
        <v>0</v>
      </c>
      <c r="AR175" s="382">
        <f t="shared" si="180"/>
        <v>225.35628514924596</v>
      </c>
      <c r="AS175" s="382">
        <f>IF(AR175&gt;0,+AR175)/ 'Pile Data and Eurocode Factors'!$B$19/ 'Pile Data and Eurocode Factors'!$B$20</f>
        <v>107.31251673773619</v>
      </c>
      <c r="AT175" s="382">
        <f t="shared" si="160"/>
        <v>515.0766786867182</v>
      </c>
      <c r="AU175" s="382">
        <f>AO175* Pile!$U$36</f>
        <v>0</v>
      </c>
      <c r="AV175" s="382">
        <f t="shared" si="133"/>
        <v>515.0766786867182</v>
      </c>
      <c r="AW175" s="382">
        <f>AV175/ 'Pile Data and Eurocode Factors'!$C$19/ 'Pile Data and Eurocode Factors'!$C$20</f>
        <v>216.41877255744461</v>
      </c>
      <c r="AX175" s="382">
        <f t="shared" si="134"/>
        <v>323.73128929518077</v>
      </c>
      <c r="AY175" s="382">
        <f>VLOOKUP(AM175, 'Pile Data and Eurocode Factors'!$A$34:$J$39,3, FALSE)</f>
        <v>4206.5354432903041</v>
      </c>
      <c r="AZ175" s="403">
        <f t="shared" si="135"/>
        <v>323.73128929518077</v>
      </c>
      <c r="BA175" s="419">
        <v>750</v>
      </c>
      <c r="BB175" s="382">
        <f>PI()*BA175/1000*( Pile!$C$36- Pile!$C175)</f>
        <v>14.137166941154065</v>
      </c>
      <c r="BC175" s="382">
        <f t="shared" si="136"/>
        <v>0.44178646691106466</v>
      </c>
      <c r="BD175" s="382">
        <f t="shared" si="175"/>
        <v>281.69535643655746</v>
      </c>
      <c r="BE175" s="430">
        <f>BB175* Pile!$S$36</f>
        <v>0</v>
      </c>
      <c r="BF175" s="382">
        <f t="shared" si="181"/>
        <v>281.69535643655746</v>
      </c>
      <c r="BG175" s="382">
        <f>IF(BF175&gt;0,+BF175)/ 'Pile Data and Eurocode Factors'!$B$19/ 'Pile Data and Eurocode Factors'!$B$20</f>
        <v>134.14064592217022</v>
      </c>
      <c r="BH175" s="382">
        <f t="shared" si="163"/>
        <v>804.80731044799711</v>
      </c>
      <c r="BI175" s="382">
        <f>BC175* Pile!$U$36</f>
        <v>0</v>
      </c>
      <c r="BJ175" s="382">
        <f t="shared" si="137"/>
        <v>804.80731044799711</v>
      </c>
      <c r="BK175" s="382">
        <f>BJ175/ 'Pile Data and Eurocode Factors'!$C$19/ 'Pile Data and Eurocode Factors'!$C$20</f>
        <v>338.15433212100726</v>
      </c>
      <c r="BL175" s="382">
        <f t="shared" si="138"/>
        <v>472.29497804317748</v>
      </c>
      <c r="BM175" s="382">
        <f>VLOOKUP(BA175, 'Pile Data and Eurocode Factors'!$A$34:$J$39,3, FALSE)</f>
        <v>6572.7116301410997</v>
      </c>
      <c r="BN175" s="403">
        <f t="shared" si="139"/>
        <v>472.29497804317748</v>
      </c>
      <c r="BO175" s="419">
        <v>900</v>
      </c>
      <c r="BP175" s="382">
        <f>PI()*BO175/1000*( Pile!$C$36- Pile!$C175)</f>
        <v>16.964600329384879</v>
      </c>
      <c r="BQ175" s="382">
        <f t="shared" si="140"/>
        <v>0.63617251235193317</v>
      </c>
      <c r="BR175" s="382">
        <f t="shared" si="176"/>
        <v>338.03442772386899</v>
      </c>
      <c r="BS175" s="430">
        <f>BP175* Pile!$S$36</f>
        <v>0</v>
      </c>
      <c r="BT175" s="382">
        <f t="shared" si="182"/>
        <v>338.03442772386899</v>
      </c>
      <c r="BU175" s="382">
        <f>IF(BT175&gt;0,+BT175)/ 'Pile Data and Eurocode Factors'!$B$19/ 'Pile Data and Eurocode Factors'!$B$20</f>
        <v>160.96877510660428</v>
      </c>
      <c r="BV175" s="382">
        <f t="shared" si="166"/>
        <v>1158.9225270451159</v>
      </c>
      <c r="BW175" s="382">
        <f>BQ175* Pile!$U$36</f>
        <v>0</v>
      </c>
      <c r="BX175" s="382">
        <f t="shared" si="141"/>
        <v>1158.9225270451159</v>
      </c>
      <c r="BY175" s="382">
        <f>BX175/ 'Pile Data and Eurocode Factors'!$C$19/ 'Pile Data and Eurocode Factors'!$C$20</f>
        <v>486.94223825425047</v>
      </c>
      <c r="BZ175" s="382">
        <f t="shared" si="142"/>
        <v>647.91101336085478</v>
      </c>
      <c r="CA175" s="382">
        <f>VLOOKUP(BO175, 'Pile Data and Eurocode Factors'!$A$34:$J$39,3, FALSE)</f>
        <v>9464.7047474031824</v>
      </c>
      <c r="CB175" s="403">
        <f t="shared" si="143"/>
        <v>647.91101336085478</v>
      </c>
      <c r="CC175" s="419">
        <v>1050</v>
      </c>
      <c r="CD175" s="382">
        <f>PI()*CC175/1000*( Pile!$C$36- Pile!$C175)</f>
        <v>19.792033717615691</v>
      </c>
      <c r="CE175" s="382">
        <f t="shared" si="144"/>
        <v>0.86590147514568672</v>
      </c>
      <c r="CF175" s="382">
        <f t="shared" si="177"/>
        <v>394.37349901118046</v>
      </c>
      <c r="CG175" s="430">
        <f>CD175* Pile!$S$36</f>
        <v>0</v>
      </c>
      <c r="CH175" s="382">
        <f t="shared" si="183"/>
        <v>394.37349901118046</v>
      </c>
      <c r="CI175" s="382">
        <f>IF(CH175&gt;0,+CH175)/ 'Pile Data and Eurocode Factors'!$B$19/ 'Pile Data and Eurocode Factors'!$B$20</f>
        <v>187.79690429103832</v>
      </c>
      <c r="CJ175" s="382">
        <f t="shared" si="169"/>
        <v>1577.4223284780744</v>
      </c>
      <c r="CK175" s="382">
        <f>CE175* Pile!$U$36</f>
        <v>0</v>
      </c>
      <c r="CL175" s="382">
        <f t="shared" si="145"/>
        <v>1577.4223284780744</v>
      </c>
      <c r="CM175" s="382">
        <f>CL175/ 'Pile Data and Eurocode Factors'!$C$19/ 'Pile Data and Eurocode Factors'!$C$20</f>
        <v>662.78249095717422</v>
      </c>
      <c r="CN175" s="382">
        <f t="shared" si="146"/>
        <v>850.57939524821256</v>
      </c>
      <c r="CO175" s="382">
        <f>VLOOKUP(CC175, 'Pile Data and Eurocode Factors'!$A$34:$J$39,3, FALSE)</f>
        <v>12882.514795076555</v>
      </c>
      <c r="CP175" s="403">
        <f t="shared" si="147"/>
        <v>850.57939524821256</v>
      </c>
      <c r="CQ175" s="419">
        <v>1200</v>
      </c>
      <c r="CR175" s="382">
        <f>PI()*CQ175/1000*( Pile!$C$36- Pile!$C175)</f>
        <v>22.619467105846503</v>
      </c>
      <c r="CS175" s="382">
        <f t="shared" si="148"/>
        <v>1.1309733552923256</v>
      </c>
      <c r="CT175" s="382">
        <f t="shared" si="178"/>
        <v>450.71257029849193</v>
      </c>
      <c r="CU175" s="430">
        <f>CR175* Pile!$S$36</f>
        <v>0</v>
      </c>
      <c r="CV175" s="382">
        <f t="shared" si="184"/>
        <v>450.71257029849193</v>
      </c>
      <c r="CW175" s="382">
        <f>IF(CV175&gt;0,+CV175)/ 'Pile Data and Eurocode Factors'!$B$19/ 'Pile Data and Eurocode Factors'!$B$20</f>
        <v>214.62503347547238</v>
      </c>
      <c r="CX175" s="382">
        <f t="shared" si="172"/>
        <v>2060.3067147468728</v>
      </c>
      <c r="CY175" s="382">
        <f>CS175* Pile!$U$36</f>
        <v>0</v>
      </c>
      <c r="CZ175" s="382">
        <f t="shared" si="149"/>
        <v>2060.3067147468728</v>
      </c>
      <c r="DA175" s="382">
        <f>CZ175/ 'Pile Data and Eurocode Factors'!$C$19/ 'Pile Data and Eurocode Factors'!$C$20</f>
        <v>865.67509022977845</v>
      </c>
      <c r="DB175" s="382">
        <f t="shared" si="150"/>
        <v>1080.3001237052508</v>
      </c>
      <c r="DC175" s="382">
        <f>VLOOKUP(CQ175, 'Pile Data and Eurocode Factors'!$A$34:$J$39,3, FALSE)</f>
        <v>16826.141773161216</v>
      </c>
      <c r="DD175" s="403">
        <f t="shared" si="151"/>
        <v>1080.3001237052508</v>
      </c>
      <c r="DE175" s="420">
        <f xml:space="preserve"> Pile!$C$23- Pile!C175</f>
        <v>5.9999999999999982</v>
      </c>
      <c r="DG175" s="382">
        <f t="shared" si="152"/>
        <v>202.21994711686477</v>
      </c>
      <c r="DH175" s="382">
        <f t="shared" si="153"/>
        <v>323.73128929518077</v>
      </c>
      <c r="DI175" s="382">
        <f t="shared" si="154"/>
        <v>472.29497804317748</v>
      </c>
      <c r="DJ175" s="382"/>
      <c r="DK175" s="382"/>
      <c r="DL175" s="382"/>
    </row>
    <row r="176" spans="1:116" s="414" customFormat="1" ht="15">
      <c r="B176" s="404">
        <v>1</v>
      </c>
      <c r="C176" s="405">
        <f>+C175- Pile!D$37/20</f>
        <v>-0.29999999999999788</v>
      </c>
      <c r="D176" s="406" t="str">
        <f>B24</f>
        <v>Firm Clay</v>
      </c>
      <c r="E176" s="406" t="str">
        <f>F24</f>
        <v>Cohesive</v>
      </c>
      <c r="F176" s="405">
        <f xml:space="preserve"> Pile!$E$37*(+C175-C176)+F175</f>
        <v>104.54999999999997</v>
      </c>
      <c r="G176" s="405">
        <f>IF(C176&gt; Pile!$C$41,0,( Pile!$C$41-C176)*9.81)</f>
        <v>0</v>
      </c>
      <c r="H176" s="405">
        <f t="shared" si="122"/>
        <v>104.54999999999997</v>
      </c>
      <c r="I176" s="405">
        <f t="shared" ref="I176:I195" si="185">($H$175+H176)/2</f>
        <v>101.77499999999998</v>
      </c>
      <c r="J176" s="405">
        <f>IF(E176="Cohesive", Pile!$G$37+(( Pile!$H$37- Pile!$G$37)/20),0)</f>
        <v>40</v>
      </c>
      <c r="K176" s="405">
        <f>IF(E176="Cohesive",( Pile!$G$37+ Pile!$J176)/2,0)</f>
        <v>40</v>
      </c>
      <c r="L176" s="405">
        <f>IF( Pile!I$37="",0, Pile!I$37)</f>
        <v>1</v>
      </c>
      <c r="M176" s="405">
        <f>IF( Pile!J$37="",0, Pile!J$37)</f>
        <v>9</v>
      </c>
      <c r="N176" s="405">
        <f>IF(E176="Granular", Pile!$K$37,0)</f>
        <v>0</v>
      </c>
      <c r="O176" s="407">
        <f>IF(AND(E176="Granular",D176&lt;&gt;"Made Ground"), Pile!$L$37,0)</f>
        <v>0</v>
      </c>
      <c r="P176" s="405">
        <f>IF(OR(D176="Low Density Chalk",D176="Medium Density Chalk"), Pile!$M$37,0)</f>
        <v>0</v>
      </c>
      <c r="Q176" s="408">
        <f>IF(D176="High Density Chalk", Pile!$N$37,0)</f>
        <v>0</v>
      </c>
      <c r="R176" s="405">
        <f>IF( Pile!O$37="",0, Pile!O$37)</f>
        <v>0</v>
      </c>
      <c r="S176" s="409">
        <f t="shared" si="124"/>
        <v>40</v>
      </c>
      <c r="T176" s="410">
        <f xml:space="preserve"> Pile!$T$37</f>
        <v>100</v>
      </c>
      <c r="U176" s="410">
        <f t="shared" si="125"/>
        <v>40</v>
      </c>
      <c r="V176" s="410">
        <f t="shared" si="126"/>
        <v>360</v>
      </c>
      <c r="W176" s="410" t="str">
        <f xml:space="preserve"> Pile!$V$37</f>
        <v/>
      </c>
      <c r="X176" s="410">
        <f t="shared" si="127"/>
        <v>360</v>
      </c>
      <c r="Y176" s="411">
        <v>450</v>
      </c>
      <c r="Z176" s="429">
        <f>PI()*Y176/1000*( Pile!$C$37- Pile!$C176)</f>
        <v>0.42411500823461906</v>
      </c>
      <c r="AA176" s="410">
        <f t="shared" si="128"/>
        <v>0.15904312808798329</v>
      </c>
      <c r="AB176" s="410">
        <f t="shared" si="173"/>
        <v>16.964600329384762</v>
      </c>
      <c r="AC176" s="410">
        <f>Z176* Pile!$S$37</f>
        <v>0</v>
      </c>
      <c r="AD176" s="410">
        <f t="shared" si="179"/>
        <v>16.964600329384762</v>
      </c>
      <c r="AE176" s="410">
        <f>IF(AD176&gt;0,+AD176)/ 'Pile Data and Eurocode Factors'!$B$19/ 'Pile Data and Eurocode Factors'!$B$20+AE$175</f>
        <v>88.562768662532989</v>
      </c>
      <c r="AF176" s="410">
        <f>AA176*$X176</f>
        <v>57.255526111673987</v>
      </c>
      <c r="AG176" s="410">
        <f>AA176* Pile!$U$37</f>
        <v>0</v>
      </c>
      <c r="AH176" s="410">
        <f t="shared" si="129"/>
        <v>57.255526111673987</v>
      </c>
      <c r="AI176" s="410">
        <f>AH176/ 'Pile Data and Eurocode Factors'!$C$19/ 'Pile Data and Eurocode Factors'!$C$20</f>
        <v>24.056943744400836</v>
      </c>
      <c r="AJ176" s="410">
        <f t="shared" si="130"/>
        <v>112.61971240693383</v>
      </c>
      <c r="AK176" s="410">
        <f>VLOOKUP(Y176, 'Pile Data and Eurocode Factors'!$A$34:$J$39,3, FALSE)</f>
        <v>2366.1761868507956</v>
      </c>
      <c r="AL176" s="412">
        <f t="shared" si="131"/>
        <v>112.61971240693383</v>
      </c>
      <c r="AM176" s="411">
        <v>600</v>
      </c>
      <c r="AN176" s="429">
        <f>PI()*AM176/1000*( Pile!$C$37- Pile!$C176)</f>
        <v>0.56548667764615879</v>
      </c>
      <c r="AO176" s="410">
        <f t="shared" si="132"/>
        <v>0.28274333882308139</v>
      </c>
      <c r="AP176" s="410">
        <f t="shared" si="174"/>
        <v>22.619467105846351</v>
      </c>
      <c r="AQ176" s="410">
        <f>AN176* Pile!$S$37</f>
        <v>0</v>
      </c>
      <c r="AR176" s="410">
        <f t="shared" si="180"/>
        <v>22.619467105846351</v>
      </c>
      <c r="AS176" s="410">
        <f>IF(AR176&gt;0,+AR176)/ 'Pile Data and Eurocode Factors'!$B$19/ 'Pile Data and Eurocode Factors'!$B$20+AS$175</f>
        <v>118.08369155004398</v>
      </c>
      <c r="AT176" s="410">
        <f>AO176*$X176</f>
        <v>101.7876019763093</v>
      </c>
      <c r="AU176" s="410">
        <f>AO176* Pile!$U$37</f>
        <v>0</v>
      </c>
      <c r="AV176" s="410">
        <f t="shared" si="133"/>
        <v>101.7876019763093</v>
      </c>
      <c r="AW176" s="410">
        <f>AV176/ 'Pile Data and Eurocode Factors'!$C$19/ 'Pile Data and Eurocode Factors'!$C$20</f>
        <v>42.767899990045926</v>
      </c>
      <c r="AX176" s="410">
        <f t="shared" si="134"/>
        <v>160.85159154008991</v>
      </c>
      <c r="AY176" s="410">
        <f>VLOOKUP(AM176, 'Pile Data and Eurocode Factors'!$A$34:$J$39,3, FALSE)</f>
        <v>4206.5354432903041</v>
      </c>
      <c r="AZ176" s="412">
        <f t="shared" si="135"/>
        <v>160.85159154008991</v>
      </c>
      <c r="BA176" s="411">
        <v>750</v>
      </c>
      <c r="BB176" s="429">
        <f>PI()*BA176/1000*( Pile!$C$37- Pile!$C176)</f>
        <v>0.70685834705769846</v>
      </c>
      <c r="BC176" s="410">
        <f t="shared" si="136"/>
        <v>0.44178646691106466</v>
      </c>
      <c r="BD176" s="410">
        <f t="shared" si="175"/>
        <v>28.274333882307939</v>
      </c>
      <c r="BE176" s="410">
        <f>BB176* Pile!$S$37</f>
        <v>0</v>
      </c>
      <c r="BF176" s="410">
        <f t="shared" si="181"/>
        <v>28.274333882307939</v>
      </c>
      <c r="BG176" s="410">
        <f>IF(BF176&gt;0,+BF176)/ 'Pile Data and Eurocode Factors'!$B$19/ 'Pile Data and Eurocode Factors'!$B$20+BG$175</f>
        <v>147.60461443755494</v>
      </c>
      <c r="BH176" s="410">
        <f>BC176*$X176</f>
        <v>159.04312808798326</v>
      </c>
      <c r="BI176" s="410">
        <f>BC176* Pile!$U$37</f>
        <v>0</v>
      </c>
      <c r="BJ176" s="410">
        <f t="shared" si="137"/>
        <v>159.04312808798326</v>
      </c>
      <c r="BK176" s="410">
        <f>BJ176/ 'Pile Data and Eurocode Factors'!$C$19/ 'Pile Data and Eurocode Factors'!$C$20</f>
        <v>66.824843734446759</v>
      </c>
      <c r="BL176" s="410">
        <f t="shared" si="138"/>
        <v>214.42945817200172</v>
      </c>
      <c r="BM176" s="410">
        <f>VLOOKUP(BA176, 'Pile Data and Eurocode Factors'!$A$34:$J$39,3, FALSE)</f>
        <v>6572.7116301410997</v>
      </c>
      <c r="BN176" s="412">
        <f t="shared" si="139"/>
        <v>214.42945817200172</v>
      </c>
      <c r="BO176" s="411">
        <v>900</v>
      </c>
      <c r="BP176" s="429">
        <f>PI()*BO176/1000*( Pile!$C$37- Pile!$C176)</f>
        <v>0.84823001646923812</v>
      </c>
      <c r="BQ176" s="410">
        <f t="shared" si="140"/>
        <v>0.63617251235193317</v>
      </c>
      <c r="BR176" s="410">
        <f t="shared" si="176"/>
        <v>33.929200658769524</v>
      </c>
      <c r="BS176" s="410">
        <f>BP176* Pile!$S$37</f>
        <v>0</v>
      </c>
      <c r="BT176" s="410">
        <f t="shared" si="182"/>
        <v>33.929200658769524</v>
      </c>
      <c r="BU176" s="410">
        <f>IF(BT176&gt;0,+BT176)/ 'Pile Data and Eurocode Factors'!$B$19/ 'Pile Data and Eurocode Factors'!$B$20+BU$175</f>
        <v>177.12553732506598</v>
      </c>
      <c r="BV176" s="410">
        <f>BQ176*$X176</f>
        <v>229.02210444669595</v>
      </c>
      <c r="BW176" s="410">
        <f>BQ176* Pile!$U$37</f>
        <v>0</v>
      </c>
      <c r="BX176" s="410">
        <f t="shared" si="141"/>
        <v>229.02210444669595</v>
      </c>
      <c r="BY176" s="410">
        <f>BX176/ 'Pile Data and Eurocode Factors'!$C$19/ 'Pile Data and Eurocode Factors'!$C$20</f>
        <v>96.227774977603346</v>
      </c>
      <c r="BZ176" s="410">
        <f t="shared" si="142"/>
        <v>273.35331230266934</v>
      </c>
      <c r="CA176" s="410">
        <f>VLOOKUP(BO176, 'Pile Data and Eurocode Factors'!$A$34:$J$39,3, FALSE)</f>
        <v>9464.7047474031824</v>
      </c>
      <c r="CB176" s="412">
        <f t="shared" si="143"/>
        <v>273.35331230266934</v>
      </c>
      <c r="CC176" s="411">
        <v>1050</v>
      </c>
      <c r="CD176" s="429">
        <f>PI()*CC176/1000*( Pile!$C$37- Pile!$C176)</f>
        <v>0.98960168588077779</v>
      </c>
      <c r="CE176" s="410">
        <f t="shared" si="144"/>
        <v>0.86590147514568672</v>
      </c>
      <c r="CF176" s="410">
        <f t="shared" si="177"/>
        <v>39.584067435231113</v>
      </c>
      <c r="CG176" s="410">
        <f>CD176* Pile!$S$37</f>
        <v>0</v>
      </c>
      <c r="CH176" s="410">
        <f t="shared" si="183"/>
        <v>39.584067435231113</v>
      </c>
      <c r="CI176" s="410">
        <f>IF(CH176&gt;0,+CH176)/ 'Pile Data and Eurocode Factors'!$B$19/ 'Pile Data and Eurocode Factors'!$B$20+CI$175</f>
        <v>206.64646021257695</v>
      </c>
      <c r="CJ176" s="410">
        <f>CE176*$X176</f>
        <v>311.72453105244722</v>
      </c>
      <c r="CK176" s="410">
        <f>CE176* Pile!$U$37</f>
        <v>0</v>
      </c>
      <c r="CL176" s="410">
        <f t="shared" si="145"/>
        <v>311.72453105244722</v>
      </c>
      <c r="CM176" s="410">
        <f>CL176/ 'Pile Data and Eurocode Factors'!$C$19/ 'Pile Data and Eurocode Factors'!$C$20</f>
        <v>130.97669371951565</v>
      </c>
      <c r="CN176" s="410">
        <f t="shared" si="146"/>
        <v>337.62315393209258</v>
      </c>
      <c r="CO176" s="410">
        <f>VLOOKUP(CC176, 'Pile Data and Eurocode Factors'!$A$34:$J$39,3, FALSE)</f>
        <v>12882.514795076555</v>
      </c>
      <c r="CP176" s="412">
        <f t="shared" si="147"/>
        <v>337.62315393209258</v>
      </c>
      <c r="CQ176" s="411">
        <v>1200</v>
      </c>
      <c r="CR176" s="429">
        <f>PI()*CQ176/1000*( Pile!$C$37- Pile!$C176)</f>
        <v>1.1309733552923176</v>
      </c>
      <c r="CS176" s="410">
        <f t="shared" si="148"/>
        <v>1.1309733552923256</v>
      </c>
      <c r="CT176" s="410">
        <f t="shared" si="178"/>
        <v>45.238934211692701</v>
      </c>
      <c r="CU176" s="410">
        <f>CR176* Pile!$S$37</f>
        <v>0</v>
      </c>
      <c r="CV176" s="410">
        <f t="shared" si="184"/>
        <v>45.238934211692701</v>
      </c>
      <c r="CW176" s="410">
        <f>IF(CV176&gt;0,+CV176)/ 'Pile Data and Eurocode Factors'!$B$19/ 'Pile Data and Eurocode Factors'!$B$20+CW$175</f>
        <v>236.16738310008796</v>
      </c>
      <c r="CX176" s="410">
        <f>CS176*$X176</f>
        <v>407.15040790523722</v>
      </c>
      <c r="CY176" s="410">
        <f>CS176* Pile!$U$37</f>
        <v>0</v>
      </c>
      <c r="CZ176" s="410">
        <f t="shared" si="149"/>
        <v>407.15040790523722</v>
      </c>
      <c r="DA176" s="410">
        <f>CZ176/ 'Pile Data and Eurocode Factors'!$C$19/ 'Pile Data and Eurocode Factors'!$C$20</f>
        <v>171.0715999601837</v>
      </c>
      <c r="DB176" s="410">
        <f t="shared" si="150"/>
        <v>407.23898306027166</v>
      </c>
      <c r="DC176" s="410">
        <f>VLOOKUP(CQ176, 'Pile Data and Eurocode Factors'!$A$34:$J$39,3, FALSE)</f>
        <v>16826.141773161216</v>
      </c>
      <c r="DD176" s="412">
        <f t="shared" si="151"/>
        <v>407.23898306027166</v>
      </c>
      <c r="DE176" s="413">
        <f xml:space="preserve"> Pile!$C$23- Pile!C176</f>
        <v>6.299999999999998</v>
      </c>
      <c r="DG176" s="410">
        <f t="shared" si="152"/>
        <v>112.61971240693383</v>
      </c>
      <c r="DH176" s="410">
        <f t="shared" si="153"/>
        <v>160.85159154008991</v>
      </c>
      <c r="DI176" s="410">
        <f t="shared" si="154"/>
        <v>214.42945817200172</v>
      </c>
      <c r="DJ176" s="410"/>
      <c r="DK176" s="410"/>
      <c r="DL176" s="410"/>
    </row>
    <row r="177" spans="2:116" s="308" customFormat="1" ht="15">
      <c r="B177" s="400">
        <v>2</v>
      </c>
      <c r="C177" s="401">
        <f>+C176- Pile!D$37/20</f>
        <v>-0.59999999999999787</v>
      </c>
      <c r="D177" s="415" t="str">
        <f>B24</f>
        <v>Firm Clay</v>
      </c>
      <c r="E177" s="415" t="str">
        <f>F24</f>
        <v>Cohesive</v>
      </c>
      <c r="F177" s="401">
        <f xml:space="preserve"> Pile!$E$37*(+C176-C177)+F176</f>
        <v>110.09999999999997</v>
      </c>
      <c r="G177" s="401">
        <f>IF(C177&gt; Pile!$C$41,0,( Pile!$C$41-C177)*9.81)</f>
        <v>0</v>
      </c>
      <c r="H177" s="401">
        <f t="shared" si="122"/>
        <v>110.09999999999997</v>
      </c>
      <c r="I177" s="401">
        <f t="shared" si="185"/>
        <v>104.54999999999997</v>
      </c>
      <c r="J177" s="401">
        <f>IF(E177="Cohesive",(( Pile!$H$37- Pile!$G$37)/20)+J176,0)</f>
        <v>40</v>
      </c>
      <c r="K177" s="401">
        <f>IF(E177="Cohesive",( Pile!$G$37+ Pile!$J177)/2,0)</f>
        <v>40</v>
      </c>
      <c r="L177" s="401">
        <f>IF( Pile!I$37="",0, Pile!I$37)</f>
        <v>1</v>
      </c>
      <c r="M177" s="401">
        <f>IF( Pile!J$37="",0, Pile!J$37)</f>
        <v>9</v>
      </c>
      <c r="N177" s="401">
        <f>IF(E177="Granular", Pile!$K$37,0)</f>
        <v>0</v>
      </c>
      <c r="O177" s="416">
        <f>IF(AND(E177="Granular",D177&lt;&gt;"Made Ground"), Pile!$L$37,0)</f>
        <v>0</v>
      </c>
      <c r="P177" s="401">
        <f>IF(OR(D177="Low Density Chalk",D177="Medium Density Chalk"), Pile!$M$37,0)</f>
        <v>0</v>
      </c>
      <c r="Q177" s="417">
        <f>IF(D177="High Density Chalk", Pile!$N$37,0)</f>
        <v>0</v>
      </c>
      <c r="R177" s="401">
        <f>IF( Pile!O$37="",0, Pile!O$37)</f>
        <v>0</v>
      </c>
      <c r="S177" s="418">
        <f t="shared" si="124"/>
        <v>40</v>
      </c>
      <c r="T177" s="382">
        <f xml:space="preserve"> Pile!$T$37</f>
        <v>100</v>
      </c>
      <c r="U177" s="382">
        <f t="shared" si="125"/>
        <v>40</v>
      </c>
      <c r="V177" s="382">
        <f t="shared" si="126"/>
        <v>360</v>
      </c>
      <c r="W177" s="382" t="str">
        <f xml:space="preserve"> Pile!$V$37</f>
        <v/>
      </c>
      <c r="X177" s="382">
        <f t="shared" si="127"/>
        <v>360</v>
      </c>
      <c r="Y177" s="419">
        <v>450</v>
      </c>
      <c r="Z177" s="430">
        <f>PI()*Y177/1000*( Pile!$C$37- Pile!$C177)</f>
        <v>0.84823001646924112</v>
      </c>
      <c r="AA177" s="382">
        <f t="shared" si="128"/>
        <v>0.15904312808798329</v>
      </c>
      <c r="AB177" s="382">
        <f t="shared" si="173"/>
        <v>33.929200658769645</v>
      </c>
      <c r="AC177" s="382">
        <f>Z177* Pile!$S$37</f>
        <v>0</v>
      </c>
      <c r="AD177" s="382">
        <f t="shared" si="179"/>
        <v>33.929200658769645</v>
      </c>
      <c r="AE177" s="382">
        <f>IF(AD177&gt;0,+AD177)/ 'Pile Data and Eurocode Factors'!$B$19/ 'Pile Data and Eurocode Factors'!$B$20+AE$175</f>
        <v>96.641149771763878</v>
      </c>
      <c r="AF177" s="382">
        <f t="shared" ref="AF177:AF235" si="186">AA177*$X177</f>
        <v>57.255526111673987</v>
      </c>
      <c r="AG177" s="382">
        <f>AA177* Pile!$U$37</f>
        <v>0</v>
      </c>
      <c r="AH177" s="382">
        <f t="shared" si="129"/>
        <v>57.255526111673987</v>
      </c>
      <c r="AI177" s="382">
        <f>AH177/ 'Pile Data and Eurocode Factors'!$C$19/ 'Pile Data and Eurocode Factors'!$C$20</f>
        <v>24.056943744400836</v>
      </c>
      <c r="AJ177" s="382">
        <f t="shared" si="130"/>
        <v>120.69809351616472</v>
      </c>
      <c r="AK177" s="382">
        <f>VLOOKUP(Y177, 'Pile Data and Eurocode Factors'!$A$34:$J$39,3, FALSE)</f>
        <v>2366.1761868507956</v>
      </c>
      <c r="AL177" s="403">
        <f t="shared" si="131"/>
        <v>120.69809351616472</v>
      </c>
      <c r="AM177" s="419">
        <v>600</v>
      </c>
      <c r="AN177" s="430">
        <f>PI()*AM177/1000*( Pile!$C$37- Pile!$C177)</f>
        <v>1.1309733552923216</v>
      </c>
      <c r="AO177" s="382">
        <f t="shared" si="132"/>
        <v>0.28274333882308139</v>
      </c>
      <c r="AP177" s="382">
        <f t="shared" si="174"/>
        <v>45.238934211692865</v>
      </c>
      <c r="AQ177" s="382">
        <f>AN177* Pile!$S$37</f>
        <v>0</v>
      </c>
      <c r="AR177" s="382">
        <f t="shared" si="180"/>
        <v>45.238934211692865</v>
      </c>
      <c r="AS177" s="382">
        <f>IF(AR177&gt;0,+AR177)/ 'Pile Data and Eurocode Factors'!$B$19/ 'Pile Data and Eurocode Factors'!$B$20+AS$175</f>
        <v>128.85486636235186</v>
      </c>
      <c r="AT177" s="382">
        <f t="shared" ref="AT177:AT235" si="187">AO177*$X177</f>
        <v>101.7876019763093</v>
      </c>
      <c r="AU177" s="382">
        <f>AO177* Pile!$U$37</f>
        <v>0</v>
      </c>
      <c r="AV177" s="382">
        <f t="shared" si="133"/>
        <v>101.7876019763093</v>
      </c>
      <c r="AW177" s="382">
        <f>AV177/ 'Pile Data and Eurocode Factors'!$C$19/ 'Pile Data and Eurocode Factors'!$C$20</f>
        <v>42.767899990045926</v>
      </c>
      <c r="AX177" s="382">
        <f t="shared" si="134"/>
        <v>171.62276635239778</v>
      </c>
      <c r="AY177" s="382">
        <f>VLOOKUP(AM177, 'Pile Data and Eurocode Factors'!$A$34:$J$39,3, FALSE)</f>
        <v>4206.5354432903041</v>
      </c>
      <c r="AZ177" s="403">
        <f t="shared" si="135"/>
        <v>171.62276635239778</v>
      </c>
      <c r="BA177" s="419">
        <v>750</v>
      </c>
      <c r="BB177" s="430">
        <f>PI()*BA177/1000*( Pile!$C$37- Pile!$C177)</f>
        <v>1.4137166941154018</v>
      </c>
      <c r="BC177" s="382">
        <f t="shared" si="136"/>
        <v>0.44178646691106466</v>
      </c>
      <c r="BD177" s="382">
        <f t="shared" si="175"/>
        <v>56.54866776461607</v>
      </c>
      <c r="BE177" s="382">
        <f>BB177* Pile!$S$37</f>
        <v>0</v>
      </c>
      <c r="BF177" s="382">
        <f t="shared" si="181"/>
        <v>56.54866776461607</v>
      </c>
      <c r="BG177" s="382">
        <f>IF(BF177&gt;0,+BF177)/ 'Pile Data and Eurocode Factors'!$B$19/ 'Pile Data and Eurocode Factors'!$B$20+BG$175</f>
        <v>161.06858295293978</v>
      </c>
      <c r="BH177" s="382">
        <f t="shared" ref="BH177:BH235" si="188">BC177*$X177</f>
        <v>159.04312808798326</v>
      </c>
      <c r="BI177" s="382">
        <f>BC177* Pile!$U$37</f>
        <v>0</v>
      </c>
      <c r="BJ177" s="382">
        <f t="shared" si="137"/>
        <v>159.04312808798326</v>
      </c>
      <c r="BK177" s="382">
        <f>BJ177/ 'Pile Data and Eurocode Factors'!$C$19/ 'Pile Data and Eurocode Factors'!$C$20</f>
        <v>66.824843734446759</v>
      </c>
      <c r="BL177" s="382">
        <f t="shared" si="138"/>
        <v>227.89342668738652</v>
      </c>
      <c r="BM177" s="382">
        <f>VLOOKUP(BA177, 'Pile Data and Eurocode Factors'!$A$34:$J$39,3, FALSE)</f>
        <v>6572.7116301410997</v>
      </c>
      <c r="BN177" s="403">
        <f t="shared" si="139"/>
        <v>227.89342668738652</v>
      </c>
      <c r="BO177" s="419">
        <v>900</v>
      </c>
      <c r="BP177" s="430">
        <f>PI()*BO177/1000*( Pile!$C$37- Pile!$C177)</f>
        <v>1.6964600329384822</v>
      </c>
      <c r="BQ177" s="382">
        <f t="shared" si="140"/>
        <v>0.63617251235193317</v>
      </c>
      <c r="BR177" s="382">
        <f t="shared" si="176"/>
        <v>67.85840131753929</v>
      </c>
      <c r="BS177" s="382">
        <f>BP177* Pile!$S$37</f>
        <v>0</v>
      </c>
      <c r="BT177" s="382">
        <f t="shared" si="182"/>
        <v>67.85840131753929</v>
      </c>
      <c r="BU177" s="382">
        <f>IF(BT177&gt;0,+BT177)/ 'Pile Data and Eurocode Factors'!$B$19/ 'Pile Data and Eurocode Factors'!$B$20+BU$175</f>
        <v>193.28229954352776</v>
      </c>
      <c r="BV177" s="382">
        <f t="shared" ref="BV177:BV235" si="189">BQ177*$X177</f>
        <v>229.02210444669595</v>
      </c>
      <c r="BW177" s="382">
        <f>BQ177* Pile!$U$37</f>
        <v>0</v>
      </c>
      <c r="BX177" s="382">
        <f t="shared" si="141"/>
        <v>229.02210444669595</v>
      </c>
      <c r="BY177" s="382">
        <f>BX177/ 'Pile Data and Eurocode Factors'!$C$19/ 'Pile Data and Eurocode Factors'!$C$20</f>
        <v>96.227774977603346</v>
      </c>
      <c r="BZ177" s="382">
        <f t="shared" si="142"/>
        <v>289.51007452113112</v>
      </c>
      <c r="CA177" s="382">
        <f>VLOOKUP(BO177, 'Pile Data and Eurocode Factors'!$A$34:$J$39,3, FALSE)</f>
        <v>9464.7047474031824</v>
      </c>
      <c r="CB177" s="403">
        <f t="shared" si="143"/>
        <v>289.51007452113112</v>
      </c>
      <c r="CC177" s="419">
        <v>1050</v>
      </c>
      <c r="CD177" s="430">
        <f>PI()*CC177/1000*( Pile!$C$37- Pile!$C177)</f>
        <v>1.9792033717615627</v>
      </c>
      <c r="CE177" s="382">
        <f t="shared" si="144"/>
        <v>0.86590147514568672</v>
      </c>
      <c r="CF177" s="382">
        <f t="shared" si="177"/>
        <v>79.168134870462509</v>
      </c>
      <c r="CG177" s="382">
        <f>CD177* Pile!$S$37</f>
        <v>0</v>
      </c>
      <c r="CH177" s="382">
        <f t="shared" si="183"/>
        <v>79.168134870462509</v>
      </c>
      <c r="CI177" s="382">
        <f>IF(CH177&gt;0,+CH177)/ 'Pile Data and Eurocode Factors'!$B$19/ 'Pile Data and Eurocode Factors'!$B$20+CI$175</f>
        <v>225.49601613411571</v>
      </c>
      <c r="CJ177" s="382">
        <f t="shared" ref="CJ177:CJ235" si="190">CE177*$X177</f>
        <v>311.72453105244722</v>
      </c>
      <c r="CK177" s="382">
        <f>CE177* Pile!$U$37</f>
        <v>0</v>
      </c>
      <c r="CL177" s="382">
        <f t="shared" si="145"/>
        <v>311.72453105244722</v>
      </c>
      <c r="CM177" s="382">
        <f>CL177/ 'Pile Data and Eurocode Factors'!$C$19/ 'Pile Data and Eurocode Factors'!$C$20</f>
        <v>130.97669371951565</v>
      </c>
      <c r="CN177" s="382">
        <f t="shared" si="146"/>
        <v>356.47270985363139</v>
      </c>
      <c r="CO177" s="382">
        <f>VLOOKUP(CC177, 'Pile Data and Eurocode Factors'!$A$34:$J$39,3, FALSE)</f>
        <v>12882.514795076555</v>
      </c>
      <c r="CP177" s="403">
        <f t="shared" si="147"/>
        <v>356.47270985363139</v>
      </c>
      <c r="CQ177" s="419">
        <v>1200</v>
      </c>
      <c r="CR177" s="430">
        <f>PI()*CQ177/1000*( Pile!$C$37- Pile!$C177)</f>
        <v>2.2619467105846431</v>
      </c>
      <c r="CS177" s="382">
        <f t="shared" si="148"/>
        <v>1.1309733552923256</v>
      </c>
      <c r="CT177" s="382">
        <f t="shared" si="178"/>
        <v>90.477868423385729</v>
      </c>
      <c r="CU177" s="382">
        <f>CR177* Pile!$S$37</f>
        <v>0</v>
      </c>
      <c r="CV177" s="382">
        <f t="shared" si="184"/>
        <v>90.477868423385729</v>
      </c>
      <c r="CW177" s="382">
        <f>IF(CV177&gt;0,+CV177)/ 'Pile Data and Eurocode Factors'!$B$19/ 'Pile Data and Eurocode Factors'!$B$20+CW$175</f>
        <v>257.70973272470371</v>
      </c>
      <c r="CX177" s="382">
        <f t="shared" ref="CX177:CX235" si="191">CS177*$X177</f>
        <v>407.15040790523722</v>
      </c>
      <c r="CY177" s="382">
        <f>CS177* Pile!$U$37</f>
        <v>0</v>
      </c>
      <c r="CZ177" s="382">
        <f t="shared" si="149"/>
        <v>407.15040790523722</v>
      </c>
      <c r="DA177" s="382">
        <f>CZ177/ 'Pile Data and Eurocode Factors'!$C$19/ 'Pile Data and Eurocode Factors'!$C$20</f>
        <v>171.0715999601837</v>
      </c>
      <c r="DB177" s="382">
        <f t="shared" si="150"/>
        <v>428.78133268488739</v>
      </c>
      <c r="DC177" s="382">
        <f>VLOOKUP(CQ177, 'Pile Data and Eurocode Factors'!$A$34:$J$39,3, FALSE)</f>
        <v>16826.141773161216</v>
      </c>
      <c r="DD177" s="403">
        <f t="shared" si="151"/>
        <v>428.78133268488739</v>
      </c>
      <c r="DE177" s="420">
        <f xml:space="preserve"> Pile!$C$23- Pile!C177</f>
        <v>6.5999999999999979</v>
      </c>
      <c r="DG177" s="382">
        <f t="shared" si="152"/>
        <v>120.69809351616472</v>
      </c>
      <c r="DH177" s="382">
        <f t="shared" si="153"/>
        <v>171.62276635239778</v>
      </c>
      <c r="DI177" s="382">
        <f t="shared" si="154"/>
        <v>227.89342668738652</v>
      </c>
      <c r="DJ177" s="382"/>
      <c r="DK177" s="382"/>
      <c r="DL177" s="382"/>
    </row>
    <row r="178" spans="2:116" s="308" customFormat="1" ht="15">
      <c r="B178" s="400">
        <v>3</v>
      </c>
      <c r="C178" s="401">
        <f>+C177- Pile!D$37/20</f>
        <v>-0.89999999999999791</v>
      </c>
      <c r="D178" s="415" t="str">
        <f>B24</f>
        <v>Firm Clay</v>
      </c>
      <c r="E178" s="415" t="str">
        <f>F24</f>
        <v>Cohesive</v>
      </c>
      <c r="F178" s="401">
        <f xml:space="preserve"> Pile!$E$37*(+C177-C178)+F177</f>
        <v>115.64999999999996</v>
      </c>
      <c r="G178" s="401">
        <f>IF(C178&gt; Pile!$C$41,0,( Pile!$C$41-C178)*9.81)</f>
        <v>0</v>
      </c>
      <c r="H178" s="401">
        <f t="shared" si="122"/>
        <v>115.64999999999996</v>
      </c>
      <c r="I178" s="401">
        <f t="shared" si="185"/>
        <v>107.32499999999996</v>
      </c>
      <c r="J178" s="401">
        <f>IF(E178="Cohesive",(( Pile!$H$37- Pile!$G$37)/20)+J177,0)</f>
        <v>40</v>
      </c>
      <c r="K178" s="401">
        <f>IF(E178="Cohesive",( Pile!$G$37+ Pile!$J178)/2,0)</f>
        <v>40</v>
      </c>
      <c r="L178" s="401">
        <f>IF( Pile!I$37="",0, Pile!I$37)</f>
        <v>1</v>
      </c>
      <c r="M178" s="401">
        <f>IF( Pile!J$37="",0, Pile!J$37)</f>
        <v>9</v>
      </c>
      <c r="N178" s="401">
        <f>IF(E178="Granular", Pile!$K$37,0)</f>
        <v>0</v>
      </c>
      <c r="O178" s="416">
        <f>IF(AND(E178="Granular",D178&lt;&gt;"Made Ground"), Pile!$L$37,0)</f>
        <v>0</v>
      </c>
      <c r="P178" s="401">
        <f>IF(OR(D178="Low Density Chalk",D178="Medium Density Chalk"), Pile!$M$37,0)</f>
        <v>0</v>
      </c>
      <c r="Q178" s="417">
        <f>IF(D178="High Density Chalk", Pile!$N$37,0)</f>
        <v>0</v>
      </c>
      <c r="R178" s="401">
        <f>IF( Pile!O$37="",0, Pile!O$37)</f>
        <v>0</v>
      </c>
      <c r="S178" s="418">
        <f t="shared" si="124"/>
        <v>40</v>
      </c>
      <c r="T178" s="382">
        <f xml:space="preserve"> Pile!$T$37</f>
        <v>100</v>
      </c>
      <c r="U178" s="382">
        <f t="shared" si="125"/>
        <v>40</v>
      </c>
      <c r="V178" s="382">
        <f t="shared" si="126"/>
        <v>360</v>
      </c>
      <c r="W178" s="382" t="str">
        <f xml:space="preserve"> Pile!$V$37</f>
        <v/>
      </c>
      <c r="X178" s="382">
        <f t="shared" si="127"/>
        <v>360</v>
      </c>
      <c r="Y178" s="419">
        <v>450</v>
      </c>
      <c r="Z178" s="430">
        <f>PI()*Y178/1000*( Pile!$C$37- Pile!$C178)</f>
        <v>1.2723450247038632</v>
      </c>
      <c r="AA178" s="382">
        <f t="shared" si="128"/>
        <v>0.15904312808798329</v>
      </c>
      <c r="AB178" s="382">
        <f t="shared" si="173"/>
        <v>50.893800988154531</v>
      </c>
      <c r="AC178" s="382">
        <f>Z178* Pile!$S$37</f>
        <v>0</v>
      </c>
      <c r="AD178" s="382">
        <f t="shared" si="179"/>
        <v>50.893800988154531</v>
      </c>
      <c r="AE178" s="382">
        <f>IF(AD178&gt;0,+AD178)/ 'Pile Data and Eurocode Factors'!$B$19/ 'Pile Data and Eurocode Factors'!$B$20+AE$175</f>
        <v>104.71953088099478</v>
      </c>
      <c r="AF178" s="382">
        <f t="shared" si="186"/>
        <v>57.255526111673987</v>
      </c>
      <c r="AG178" s="382">
        <f>AA178* Pile!$U$37</f>
        <v>0</v>
      </c>
      <c r="AH178" s="382">
        <f t="shared" si="129"/>
        <v>57.255526111673987</v>
      </c>
      <c r="AI178" s="382">
        <f>AH178/ 'Pile Data and Eurocode Factors'!$C$19/ 'Pile Data and Eurocode Factors'!$C$20</f>
        <v>24.056943744400836</v>
      </c>
      <c r="AJ178" s="382">
        <f t="shared" si="130"/>
        <v>128.77647462539562</v>
      </c>
      <c r="AK178" s="382">
        <f>VLOOKUP(Y178, 'Pile Data and Eurocode Factors'!$A$34:$J$39,3, FALSE)</f>
        <v>2366.1761868507956</v>
      </c>
      <c r="AL178" s="403">
        <f t="shared" si="131"/>
        <v>128.77647462539562</v>
      </c>
      <c r="AM178" s="419">
        <v>600</v>
      </c>
      <c r="AN178" s="430">
        <f>PI()*AM178/1000*( Pile!$C$37- Pile!$C178)</f>
        <v>1.6964600329384842</v>
      </c>
      <c r="AO178" s="382">
        <f t="shared" si="132"/>
        <v>0.28274333882308139</v>
      </c>
      <c r="AP178" s="382">
        <f t="shared" si="174"/>
        <v>67.858401317539375</v>
      </c>
      <c r="AQ178" s="382">
        <f>AN178* Pile!$S$37</f>
        <v>0</v>
      </c>
      <c r="AR178" s="382">
        <f t="shared" si="180"/>
        <v>67.858401317539375</v>
      </c>
      <c r="AS178" s="382">
        <f>IF(AR178&gt;0,+AR178)/ 'Pile Data and Eurocode Factors'!$B$19/ 'Pile Data and Eurocode Factors'!$B$20+AS$175</f>
        <v>139.62604117465969</v>
      </c>
      <c r="AT178" s="382">
        <f t="shared" si="187"/>
        <v>101.7876019763093</v>
      </c>
      <c r="AU178" s="382">
        <f>AO178* Pile!$U$37</f>
        <v>0</v>
      </c>
      <c r="AV178" s="382">
        <f t="shared" si="133"/>
        <v>101.7876019763093</v>
      </c>
      <c r="AW178" s="382">
        <f>AV178/ 'Pile Data and Eurocode Factors'!$C$19/ 'Pile Data and Eurocode Factors'!$C$20</f>
        <v>42.767899990045926</v>
      </c>
      <c r="AX178" s="382">
        <f t="shared" si="134"/>
        <v>182.39394116470561</v>
      </c>
      <c r="AY178" s="382">
        <f>VLOOKUP(AM178, 'Pile Data and Eurocode Factors'!$A$34:$J$39,3, FALSE)</f>
        <v>4206.5354432903041</v>
      </c>
      <c r="AZ178" s="403">
        <f t="shared" si="135"/>
        <v>182.39394116470561</v>
      </c>
      <c r="BA178" s="419">
        <v>750</v>
      </c>
      <c r="BB178" s="430">
        <f>PI()*BA178/1000*( Pile!$C$37- Pile!$C178)</f>
        <v>2.1205750411731055</v>
      </c>
      <c r="BC178" s="382">
        <f t="shared" si="136"/>
        <v>0.44178646691106466</v>
      </c>
      <c r="BD178" s="382">
        <f t="shared" si="175"/>
        <v>84.823001646924212</v>
      </c>
      <c r="BE178" s="382">
        <f>BB178* Pile!$S$37</f>
        <v>0</v>
      </c>
      <c r="BF178" s="382">
        <f t="shared" si="181"/>
        <v>84.823001646924212</v>
      </c>
      <c r="BG178" s="382">
        <f>IF(BF178&gt;0,+BF178)/ 'Pile Data and Eurocode Factors'!$B$19/ 'Pile Data and Eurocode Factors'!$B$20+BG$175</f>
        <v>174.53255146832461</v>
      </c>
      <c r="BH178" s="382">
        <f t="shared" si="188"/>
        <v>159.04312808798326</v>
      </c>
      <c r="BI178" s="382">
        <f>BC178* Pile!$U$37</f>
        <v>0</v>
      </c>
      <c r="BJ178" s="382">
        <f t="shared" si="137"/>
        <v>159.04312808798326</v>
      </c>
      <c r="BK178" s="382">
        <f>BJ178/ 'Pile Data and Eurocode Factors'!$C$19/ 'Pile Data and Eurocode Factors'!$C$20</f>
        <v>66.824843734446759</v>
      </c>
      <c r="BL178" s="382">
        <f t="shared" si="138"/>
        <v>241.35739520277139</v>
      </c>
      <c r="BM178" s="382">
        <f>VLOOKUP(BA178, 'Pile Data and Eurocode Factors'!$A$34:$J$39,3, FALSE)</f>
        <v>6572.7116301410997</v>
      </c>
      <c r="BN178" s="403">
        <f t="shared" si="139"/>
        <v>241.35739520277139</v>
      </c>
      <c r="BO178" s="419">
        <v>900</v>
      </c>
      <c r="BP178" s="430">
        <f>PI()*BO178/1000*( Pile!$C$37- Pile!$C178)</f>
        <v>2.5446900494077265</v>
      </c>
      <c r="BQ178" s="382">
        <f t="shared" si="140"/>
        <v>0.63617251235193317</v>
      </c>
      <c r="BR178" s="382">
        <f t="shared" si="176"/>
        <v>101.78760197630906</v>
      </c>
      <c r="BS178" s="382">
        <f>BP178* Pile!$S$37</f>
        <v>0</v>
      </c>
      <c r="BT178" s="382">
        <f t="shared" si="182"/>
        <v>101.78760197630906</v>
      </c>
      <c r="BU178" s="382">
        <f>IF(BT178&gt;0,+BT178)/ 'Pile Data and Eurocode Factors'!$B$19/ 'Pile Data and Eurocode Factors'!$B$20+BU$175</f>
        <v>209.43906176198956</v>
      </c>
      <c r="BV178" s="382">
        <f t="shared" si="189"/>
        <v>229.02210444669595</v>
      </c>
      <c r="BW178" s="382">
        <f>BQ178* Pile!$U$37</f>
        <v>0</v>
      </c>
      <c r="BX178" s="382">
        <f t="shared" si="141"/>
        <v>229.02210444669595</v>
      </c>
      <c r="BY178" s="382">
        <f>BX178/ 'Pile Data and Eurocode Factors'!$C$19/ 'Pile Data and Eurocode Factors'!$C$20</f>
        <v>96.227774977603346</v>
      </c>
      <c r="BZ178" s="382">
        <f t="shared" si="142"/>
        <v>305.6668367395929</v>
      </c>
      <c r="CA178" s="382">
        <f>VLOOKUP(BO178, 'Pile Data and Eurocode Factors'!$A$34:$J$39,3, FALSE)</f>
        <v>9464.7047474031824</v>
      </c>
      <c r="CB178" s="403">
        <f t="shared" si="143"/>
        <v>305.6668367395929</v>
      </c>
      <c r="CC178" s="419">
        <v>1050</v>
      </c>
      <c r="CD178" s="430">
        <f>PI()*CC178/1000*( Pile!$C$37- Pile!$C178)</f>
        <v>2.9688050576423475</v>
      </c>
      <c r="CE178" s="382">
        <f t="shared" si="144"/>
        <v>0.86590147514568672</v>
      </c>
      <c r="CF178" s="382">
        <f t="shared" si="177"/>
        <v>118.7522023056939</v>
      </c>
      <c r="CG178" s="382">
        <f>CD178* Pile!$S$37</f>
        <v>0</v>
      </c>
      <c r="CH178" s="382">
        <f t="shared" si="183"/>
        <v>118.7522023056939</v>
      </c>
      <c r="CI178" s="382">
        <f>IF(CH178&gt;0,+CH178)/ 'Pile Data and Eurocode Factors'!$B$19/ 'Pile Data and Eurocode Factors'!$B$20+CI$175</f>
        <v>244.34557205565446</v>
      </c>
      <c r="CJ178" s="382">
        <f t="shared" si="190"/>
        <v>311.72453105244722</v>
      </c>
      <c r="CK178" s="382">
        <f>CE178* Pile!$U$37</f>
        <v>0</v>
      </c>
      <c r="CL178" s="382">
        <f t="shared" si="145"/>
        <v>311.72453105244722</v>
      </c>
      <c r="CM178" s="382">
        <f>CL178/ 'Pile Data and Eurocode Factors'!$C$19/ 'Pile Data and Eurocode Factors'!$C$20</f>
        <v>130.97669371951565</v>
      </c>
      <c r="CN178" s="382">
        <f t="shared" si="146"/>
        <v>375.32226577517008</v>
      </c>
      <c r="CO178" s="382">
        <f>VLOOKUP(CC178, 'Pile Data and Eurocode Factors'!$A$34:$J$39,3, FALSE)</f>
        <v>12882.514795076555</v>
      </c>
      <c r="CP178" s="403">
        <f t="shared" si="147"/>
        <v>375.32226577517008</v>
      </c>
      <c r="CQ178" s="419">
        <v>1200</v>
      </c>
      <c r="CR178" s="430">
        <f>PI()*CQ178/1000*( Pile!$C$37- Pile!$C178)</f>
        <v>3.3929200658769685</v>
      </c>
      <c r="CS178" s="382">
        <f t="shared" si="148"/>
        <v>1.1309733552923256</v>
      </c>
      <c r="CT178" s="382">
        <f t="shared" si="178"/>
        <v>135.71680263507875</v>
      </c>
      <c r="CU178" s="382">
        <f>CR178* Pile!$S$37</f>
        <v>0</v>
      </c>
      <c r="CV178" s="382">
        <f t="shared" si="184"/>
        <v>135.71680263507875</v>
      </c>
      <c r="CW178" s="382">
        <f>IF(CV178&gt;0,+CV178)/ 'Pile Data and Eurocode Factors'!$B$19/ 'Pile Data and Eurocode Factors'!$B$20+CW$175</f>
        <v>279.25208234931938</v>
      </c>
      <c r="CX178" s="382">
        <f t="shared" si="191"/>
        <v>407.15040790523722</v>
      </c>
      <c r="CY178" s="382">
        <f>CS178* Pile!$U$37</f>
        <v>0</v>
      </c>
      <c r="CZ178" s="382">
        <f t="shared" si="149"/>
        <v>407.15040790523722</v>
      </c>
      <c r="DA178" s="382">
        <f>CZ178/ 'Pile Data and Eurocode Factors'!$C$19/ 'Pile Data and Eurocode Factors'!$C$20</f>
        <v>171.0715999601837</v>
      </c>
      <c r="DB178" s="382">
        <f t="shared" si="150"/>
        <v>450.32368230950306</v>
      </c>
      <c r="DC178" s="382">
        <f>VLOOKUP(CQ178, 'Pile Data and Eurocode Factors'!$A$34:$J$39,3, FALSE)</f>
        <v>16826.141773161216</v>
      </c>
      <c r="DD178" s="403">
        <f t="shared" si="151"/>
        <v>450.32368230950306</v>
      </c>
      <c r="DE178" s="420">
        <f xml:space="preserve"> Pile!$C$23- Pile!C178</f>
        <v>6.8999999999999977</v>
      </c>
      <c r="DG178" s="382">
        <f t="shared" si="152"/>
        <v>128.77647462539562</v>
      </c>
      <c r="DH178" s="382">
        <f t="shared" si="153"/>
        <v>182.39394116470561</v>
      </c>
      <c r="DI178" s="382">
        <f t="shared" si="154"/>
        <v>241.35739520277139</v>
      </c>
      <c r="DJ178" s="382"/>
      <c r="DK178" s="382"/>
      <c r="DL178" s="382"/>
    </row>
    <row r="179" spans="2:116" s="308" customFormat="1" ht="15">
      <c r="B179" s="400">
        <v>4</v>
      </c>
      <c r="C179" s="401">
        <f>+C178- Pile!D$37/20</f>
        <v>-1.199999999999998</v>
      </c>
      <c r="D179" s="415" t="str">
        <f>B24</f>
        <v>Firm Clay</v>
      </c>
      <c r="E179" s="415" t="str">
        <f>F24</f>
        <v>Cohesive</v>
      </c>
      <c r="F179" s="401">
        <f xml:space="preserve"> Pile!$E$37*(+C178-C179)+F178</f>
        <v>121.19999999999996</v>
      </c>
      <c r="G179" s="401">
        <f>IF(C179&gt; Pile!$C$41,0,( Pile!$C$41-C179)*9.81)</f>
        <v>0</v>
      </c>
      <c r="H179" s="401">
        <f t="shared" si="122"/>
        <v>121.19999999999996</v>
      </c>
      <c r="I179" s="401">
        <f t="shared" si="185"/>
        <v>110.09999999999997</v>
      </c>
      <c r="J179" s="401">
        <f>IF(E179="Cohesive",(( Pile!$H$37- Pile!$G$37)/20)+J178,0)</f>
        <v>40</v>
      </c>
      <c r="K179" s="401">
        <f>IF(E179="Cohesive",( Pile!$G$37+ Pile!$J179)/2,0)</f>
        <v>40</v>
      </c>
      <c r="L179" s="401">
        <f>IF( Pile!I$37="",0, Pile!I$37)</f>
        <v>1</v>
      </c>
      <c r="M179" s="401">
        <f>IF( Pile!J$37="",0, Pile!J$37)</f>
        <v>9</v>
      </c>
      <c r="N179" s="401">
        <f>IF(E179="Granular", Pile!$K$37,0)</f>
        <v>0</v>
      </c>
      <c r="O179" s="416">
        <f>IF(AND(E179="Granular",D179&lt;&gt;"Made Ground"), Pile!$L$37,0)</f>
        <v>0</v>
      </c>
      <c r="P179" s="401">
        <f>IF(OR(D179="Low Density Chalk",D179="Medium Density Chalk"), Pile!$M$37,0)</f>
        <v>0</v>
      </c>
      <c r="Q179" s="417">
        <f>IF(D179="High Density Chalk", Pile!$N$37,0)</f>
        <v>0</v>
      </c>
      <c r="R179" s="401">
        <f>IF( Pile!O$37="",0, Pile!O$37)</f>
        <v>0</v>
      </c>
      <c r="S179" s="418">
        <f t="shared" si="124"/>
        <v>40</v>
      </c>
      <c r="T179" s="382">
        <f xml:space="preserve"> Pile!$T$37</f>
        <v>100</v>
      </c>
      <c r="U179" s="382">
        <f t="shared" si="125"/>
        <v>40</v>
      </c>
      <c r="V179" s="382">
        <f t="shared" si="126"/>
        <v>360</v>
      </c>
      <c r="W179" s="382" t="str">
        <f xml:space="preserve"> Pile!$V$37</f>
        <v/>
      </c>
      <c r="X179" s="382">
        <f t="shared" si="127"/>
        <v>360</v>
      </c>
      <c r="Y179" s="419">
        <v>450</v>
      </c>
      <c r="Z179" s="430">
        <f>PI()*Y179/1000*( Pile!$C$37- Pile!$C179)</f>
        <v>1.6964600329384854</v>
      </c>
      <c r="AA179" s="382">
        <f t="shared" si="128"/>
        <v>0.15904312808798329</v>
      </c>
      <c r="AB179" s="382">
        <f t="shared" si="173"/>
        <v>67.858401317539418</v>
      </c>
      <c r="AC179" s="382">
        <f>Z179* Pile!$S$37</f>
        <v>0</v>
      </c>
      <c r="AD179" s="382">
        <f t="shared" si="179"/>
        <v>67.858401317539418</v>
      </c>
      <c r="AE179" s="382">
        <f>IF(AD179&gt;0,+AD179)/ 'Pile Data and Eurocode Factors'!$B$19/ 'Pile Data and Eurocode Factors'!$B$20+AE$175</f>
        <v>112.79791199022569</v>
      </c>
      <c r="AF179" s="382">
        <f t="shared" si="186"/>
        <v>57.255526111673987</v>
      </c>
      <c r="AG179" s="382">
        <f>AA179* Pile!$U$37</f>
        <v>0</v>
      </c>
      <c r="AH179" s="382">
        <f t="shared" si="129"/>
        <v>57.255526111673987</v>
      </c>
      <c r="AI179" s="382">
        <f>AH179/ 'Pile Data and Eurocode Factors'!$C$19/ 'Pile Data and Eurocode Factors'!$C$20</f>
        <v>24.056943744400836</v>
      </c>
      <c r="AJ179" s="382">
        <f t="shared" si="130"/>
        <v>136.85485573462651</v>
      </c>
      <c r="AK179" s="382">
        <f>VLOOKUP(Y179, 'Pile Data and Eurocode Factors'!$A$34:$J$39,3, FALSE)</f>
        <v>2366.1761868507956</v>
      </c>
      <c r="AL179" s="403">
        <f t="shared" si="131"/>
        <v>136.85485573462651</v>
      </c>
      <c r="AM179" s="419">
        <v>600</v>
      </c>
      <c r="AN179" s="430">
        <f>PI()*AM179/1000*( Pile!$C$37- Pile!$C179)</f>
        <v>2.2619467105846471</v>
      </c>
      <c r="AO179" s="382">
        <f t="shared" si="132"/>
        <v>0.28274333882308139</v>
      </c>
      <c r="AP179" s="382">
        <f t="shared" si="174"/>
        <v>90.477868423385885</v>
      </c>
      <c r="AQ179" s="382">
        <f>AN179* Pile!$S$37</f>
        <v>0</v>
      </c>
      <c r="AR179" s="382">
        <f t="shared" si="180"/>
        <v>90.477868423385885</v>
      </c>
      <c r="AS179" s="382">
        <f>IF(AR179&gt;0,+AR179)/ 'Pile Data and Eurocode Factors'!$B$19/ 'Pile Data and Eurocode Factors'!$B$20+AS$175</f>
        <v>150.39721598696755</v>
      </c>
      <c r="AT179" s="382">
        <f t="shared" si="187"/>
        <v>101.7876019763093</v>
      </c>
      <c r="AU179" s="382">
        <f>AO179* Pile!$U$37</f>
        <v>0</v>
      </c>
      <c r="AV179" s="382">
        <f t="shared" si="133"/>
        <v>101.7876019763093</v>
      </c>
      <c r="AW179" s="382">
        <f>AV179/ 'Pile Data and Eurocode Factors'!$C$19/ 'Pile Data and Eurocode Factors'!$C$20</f>
        <v>42.767899990045926</v>
      </c>
      <c r="AX179" s="382">
        <f t="shared" si="134"/>
        <v>193.16511597701347</v>
      </c>
      <c r="AY179" s="382">
        <f>VLOOKUP(AM179, 'Pile Data and Eurocode Factors'!$A$34:$J$39,3, FALSE)</f>
        <v>4206.5354432903041</v>
      </c>
      <c r="AZ179" s="403">
        <f t="shared" si="135"/>
        <v>193.16511597701347</v>
      </c>
      <c r="BA179" s="419">
        <v>750</v>
      </c>
      <c r="BB179" s="430">
        <f>PI()*BA179/1000*( Pile!$C$37- Pile!$C179)</f>
        <v>2.8274333882308089</v>
      </c>
      <c r="BC179" s="382">
        <f t="shared" si="136"/>
        <v>0.44178646691106466</v>
      </c>
      <c r="BD179" s="382">
        <f t="shared" si="175"/>
        <v>113.09733552923235</v>
      </c>
      <c r="BE179" s="382">
        <f>BB179* Pile!$S$37</f>
        <v>0</v>
      </c>
      <c r="BF179" s="382">
        <f t="shared" si="181"/>
        <v>113.09733552923235</v>
      </c>
      <c r="BG179" s="382">
        <f>IF(BF179&gt;0,+BF179)/ 'Pile Data and Eurocode Factors'!$B$19/ 'Pile Data and Eurocode Factors'!$B$20+BG$175</f>
        <v>187.99651998370945</v>
      </c>
      <c r="BH179" s="382">
        <f t="shared" si="188"/>
        <v>159.04312808798326</v>
      </c>
      <c r="BI179" s="382">
        <f>BC179* Pile!$U$37</f>
        <v>0</v>
      </c>
      <c r="BJ179" s="382">
        <f t="shared" si="137"/>
        <v>159.04312808798326</v>
      </c>
      <c r="BK179" s="382">
        <f>BJ179/ 'Pile Data and Eurocode Factors'!$C$19/ 'Pile Data and Eurocode Factors'!$C$20</f>
        <v>66.824843734446759</v>
      </c>
      <c r="BL179" s="382">
        <f t="shared" si="138"/>
        <v>254.82136371815619</v>
      </c>
      <c r="BM179" s="382">
        <f>VLOOKUP(BA179, 'Pile Data and Eurocode Factors'!$A$34:$J$39,3, FALSE)</f>
        <v>6572.7116301410997</v>
      </c>
      <c r="BN179" s="403">
        <f t="shared" si="139"/>
        <v>254.82136371815619</v>
      </c>
      <c r="BO179" s="419">
        <v>900</v>
      </c>
      <c r="BP179" s="430">
        <f>PI()*BO179/1000*( Pile!$C$37- Pile!$C179)</f>
        <v>3.3929200658769707</v>
      </c>
      <c r="BQ179" s="382">
        <f t="shared" si="140"/>
        <v>0.63617251235193317</v>
      </c>
      <c r="BR179" s="382">
        <f t="shared" si="176"/>
        <v>135.71680263507884</v>
      </c>
      <c r="BS179" s="382">
        <f>BP179* Pile!$S$37</f>
        <v>0</v>
      </c>
      <c r="BT179" s="382">
        <f t="shared" si="182"/>
        <v>135.71680263507884</v>
      </c>
      <c r="BU179" s="382">
        <f>IF(BT179&gt;0,+BT179)/ 'Pile Data and Eurocode Factors'!$B$19/ 'Pile Data and Eurocode Factors'!$B$20+BU$175</f>
        <v>225.59582398045137</v>
      </c>
      <c r="BV179" s="382">
        <f t="shared" si="189"/>
        <v>229.02210444669595</v>
      </c>
      <c r="BW179" s="382">
        <f>BQ179* Pile!$U$37</f>
        <v>0</v>
      </c>
      <c r="BX179" s="382">
        <f t="shared" si="141"/>
        <v>229.02210444669595</v>
      </c>
      <c r="BY179" s="382">
        <f>BX179/ 'Pile Data and Eurocode Factors'!$C$19/ 'Pile Data and Eurocode Factors'!$C$20</f>
        <v>96.227774977603346</v>
      </c>
      <c r="BZ179" s="382">
        <f t="shared" si="142"/>
        <v>321.82359895805473</v>
      </c>
      <c r="CA179" s="382">
        <f>VLOOKUP(BO179, 'Pile Data and Eurocode Factors'!$A$34:$J$39,3, FALSE)</f>
        <v>9464.7047474031824</v>
      </c>
      <c r="CB179" s="403">
        <f t="shared" si="143"/>
        <v>321.82359895805473</v>
      </c>
      <c r="CC179" s="419">
        <v>1050</v>
      </c>
      <c r="CD179" s="430">
        <f>PI()*CC179/1000*( Pile!$C$37- Pile!$C179)</f>
        <v>3.9584067435231325</v>
      </c>
      <c r="CE179" s="382">
        <f t="shared" si="144"/>
        <v>0.86590147514568672</v>
      </c>
      <c r="CF179" s="382">
        <f t="shared" si="177"/>
        <v>158.3362697409253</v>
      </c>
      <c r="CG179" s="382">
        <f>CD179* Pile!$S$37</f>
        <v>0</v>
      </c>
      <c r="CH179" s="382">
        <f t="shared" si="183"/>
        <v>158.3362697409253</v>
      </c>
      <c r="CI179" s="382">
        <f>IF(CH179&gt;0,+CH179)/ 'Pile Data and Eurocode Factors'!$B$19/ 'Pile Data and Eurocode Factors'!$B$20+CI$175</f>
        <v>263.19512797719324</v>
      </c>
      <c r="CJ179" s="382">
        <f t="shared" si="190"/>
        <v>311.72453105244722</v>
      </c>
      <c r="CK179" s="382">
        <f>CE179* Pile!$U$37</f>
        <v>0</v>
      </c>
      <c r="CL179" s="382">
        <f t="shared" si="145"/>
        <v>311.72453105244722</v>
      </c>
      <c r="CM179" s="382">
        <f>CL179/ 'Pile Data and Eurocode Factors'!$C$19/ 'Pile Data and Eurocode Factors'!$C$20</f>
        <v>130.97669371951565</v>
      </c>
      <c r="CN179" s="382">
        <f t="shared" si="146"/>
        <v>394.17182169670889</v>
      </c>
      <c r="CO179" s="382">
        <f>VLOOKUP(CC179, 'Pile Data and Eurocode Factors'!$A$34:$J$39,3, FALSE)</f>
        <v>12882.514795076555</v>
      </c>
      <c r="CP179" s="403">
        <f t="shared" si="147"/>
        <v>394.17182169670889</v>
      </c>
      <c r="CQ179" s="419">
        <v>1200</v>
      </c>
      <c r="CR179" s="430">
        <f>PI()*CQ179/1000*( Pile!$C$37- Pile!$C179)</f>
        <v>4.5238934211692943</v>
      </c>
      <c r="CS179" s="382">
        <f t="shared" si="148"/>
        <v>1.1309733552923256</v>
      </c>
      <c r="CT179" s="382">
        <f t="shared" si="178"/>
        <v>180.95573684677177</v>
      </c>
      <c r="CU179" s="382">
        <f>CR179* Pile!$S$37</f>
        <v>0</v>
      </c>
      <c r="CV179" s="382">
        <f t="shared" si="184"/>
        <v>180.95573684677177</v>
      </c>
      <c r="CW179" s="382">
        <f>IF(CV179&gt;0,+CV179)/ 'Pile Data and Eurocode Factors'!$B$19/ 'Pile Data and Eurocode Factors'!$B$20+CW$175</f>
        <v>300.7944319739351</v>
      </c>
      <c r="CX179" s="382">
        <f t="shared" si="191"/>
        <v>407.15040790523722</v>
      </c>
      <c r="CY179" s="382">
        <f>CS179* Pile!$U$37</f>
        <v>0</v>
      </c>
      <c r="CZ179" s="382">
        <f t="shared" si="149"/>
        <v>407.15040790523722</v>
      </c>
      <c r="DA179" s="382">
        <f>CZ179/ 'Pile Data and Eurocode Factors'!$C$19/ 'Pile Data and Eurocode Factors'!$C$20</f>
        <v>171.0715999601837</v>
      </c>
      <c r="DB179" s="382">
        <f t="shared" si="150"/>
        <v>471.86603193411884</v>
      </c>
      <c r="DC179" s="382">
        <f>VLOOKUP(CQ179, 'Pile Data and Eurocode Factors'!$A$34:$J$39,3, FALSE)</f>
        <v>16826.141773161216</v>
      </c>
      <c r="DD179" s="403">
        <f t="shared" si="151"/>
        <v>471.86603193411884</v>
      </c>
      <c r="DE179" s="420">
        <f xml:space="preserve"> Pile!$C$23- Pile!C179</f>
        <v>7.1999999999999975</v>
      </c>
      <c r="DG179" s="382">
        <f t="shared" si="152"/>
        <v>136.85485573462651</v>
      </c>
      <c r="DH179" s="382">
        <f t="shared" si="153"/>
        <v>193.16511597701347</v>
      </c>
      <c r="DI179" s="382">
        <f t="shared" si="154"/>
        <v>254.82136371815619</v>
      </c>
      <c r="DJ179" s="382"/>
      <c r="DK179" s="382"/>
      <c r="DL179" s="382"/>
    </row>
    <row r="180" spans="2:116" s="308" customFormat="1" ht="15">
      <c r="B180" s="400">
        <v>5</v>
      </c>
      <c r="C180" s="401">
        <f>+C179- Pile!D$37/20</f>
        <v>-1.499999999999998</v>
      </c>
      <c r="D180" s="415" t="str">
        <f>B24</f>
        <v>Firm Clay</v>
      </c>
      <c r="E180" s="415" t="str">
        <f>F24</f>
        <v>Cohesive</v>
      </c>
      <c r="F180" s="401">
        <f xml:space="preserve"> Pile!$E$37*(+C179-C180)+F179</f>
        <v>126.74999999999996</v>
      </c>
      <c r="G180" s="401">
        <f>IF(C180&gt; Pile!$C$41,0,( Pile!$C$41-C180)*9.81)</f>
        <v>0</v>
      </c>
      <c r="H180" s="401">
        <f t="shared" si="122"/>
        <v>126.74999999999996</v>
      </c>
      <c r="I180" s="401">
        <f t="shared" si="185"/>
        <v>112.87499999999997</v>
      </c>
      <c r="J180" s="401">
        <f>IF(E180="Cohesive",(( Pile!$H$37- Pile!$G$37)/20)+J179,0)</f>
        <v>40</v>
      </c>
      <c r="K180" s="401">
        <f>IF(E180="Cohesive",( Pile!$G$37+ Pile!$J180)/2,0)</f>
        <v>40</v>
      </c>
      <c r="L180" s="401">
        <f>IF( Pile!I$37="",0, Pile!I$37)</f>
        <v>1</v>
      </c>
      <c r="M180" s="401">
        <f>IF( Pile!J$37="",0, Pile!J$37)</f>
        <v>9</v>
      </c>
      <c r="N180" s="401">
        <f>IF(E180="Granular", Pile!$K$37,0)</f>
        <v>0</v>
      </c>
      <c r="O180" s="416">
        <f>IF(AND(E180="Granular",D180&lt;&gt;"Made Ground"), Pile!$L$37,0)</f>
        <v>0</v>
      </c>
      <c r="P180" s="401">
        <f>IF(OR(D180="Low Density Chalk",D180="Medium Density Chalk"), Pile!$M$37,0)</f>
        <v>0</v>
      </c>
      <c r="Q180" s="417">
        <f>IF(D180="High Density Chalk", Pile!$N$37,0)</f>
        <v>0</v>
      </c>
      <c r="R180" s="401">
        <f>IF( Pile!O$37="",0, Pile!O$37)</f>
        <v>0</v>
      </c>
      <c r="S180" s="418">
        <f t="shared" si="124"/>
        <v>40</v>
      </c>
      <c r="T180" s="382">
        <f xml:space="preserve"> Pile!$T$37</f>
        <v>100</v>
      </c>
      <c r="U180" s="382">
        <f t="shared" si="125"/>
        <v>40</v>
      </c>
      <c r="V180" s="382">
        <f t="shared" si="126"/>
        <v>360</v>
      </c>
      <c r="W180" s="382" t="str">
        <f xml:space="preserve"> Pile!$V$37</f>
        <v/>
      </c>
      <c r="X180" s="382">
        <f t="shared" si="127"/>
        <v>360</v>
      </c>
      <c r="Y180" s="419">
        <v>450</v>
      </c>
      <c r="Z180" s="430">
        <f>PI()*Y180/1000*( Pile!$C$37- Pile!$C180)</f>
        <v>2.1205750411731077</v>
      </c>
      <c r="AA180" s="382">
        <f t="shared" si="128"/>
        <v>0.15904312808798329</v>
      </c>
      <c r="AB180" s="382">
        <f t="shared" si="173"/>
        <v>84.823001646924311</v>
      </c>
      <c r="AC180" s="382">
        <f>Z180* Pile!$S$37</f>
        <v>0</v>
      </c>
      <c r="AD180" s="382">
        <f t="shared" si="179"/>
        <v>84.823001646924311</v>
      </c>
      <c r="AE180" s="382">
        <f>IF(AD180&gt;0,+AD180)/ 'Pile Data and Eurocode Factors'!$B$19/ 'Pile Data and Eurocode Factors'!$B$20+AE$175</f>
        <v>120.87629309945657</v>
      </c>
      <c r="AF180" s="382">
        <f t="shared" si="186"/>
        <v>57.255526111673987</v>
      </c>
      <c r="AG180" s="382">
        <f>AA180* Pile!$U$37</f>
        <v>0</v>
      </c>
      <c r="AH180" s="382">
        <f t="shared" si="129"/>
        <v>57.255526111673987</v>
      </c>
      <c r="AI180" s="382">
        <f>AH180/ 'Pile Data and Eurocode Factors'!$C$19/ 'Pile Data and Eurocode Factors'!$C$20</f>
        <v>24.056943744400836</v>
      </c>
      <c r="AJ180" s="382">
        <f t="shared" si="130"/>
        <v>144.9332368438574</v>
      </c>
      <c r="AK180" s="382">
        <f>VLOOKUP(Y180, 'Pile Data and Eurocode Factors'!$A$34:$J$39,3, FALSE)</f>
        <v>2366.1761868507956</v>
      </c>
      <c r="AL180" s="403">
        <f t="shared" si="131"/>
        <v>144.9332368438574</v>
      </c>
      <c r="AM180" s="419">
        <v>600</v>
      </c>
      <c r="AN180" s="430">
        <f>PI()*AM180/1000*( Pile!$C$37- Pile!$C180)</f>
        <v>2.8274333882308103</v>
      </c>
      <c r="AO180" s="382">
        <f t="shared" si="132"/>
        <v>0.28274333882308139</v>
      </c>
      <c r="AP180" s="382">
        <f t="shared" si="174"/>
        <v>113.09733552923241</v>
      </c>
      <c r="AQ180" s="382">
        <f>AN180* Pile!$S$37</f>
        <v>0</v>
      </c>
      <c r="AR180" s="382">
        <f t="shared" si="180"/>
        <v>113.09733552923241</v>
      </c>
      <c r="AS180" s="382">
        <f>IF(AR180&gt;0,+AR180)/ 'Pile Data and Eurocode Factors'!$B$19/ 'Pile Data and Eurocode Factors'!$B$20+AS$175</f>
        <v>161.16839079927544</v>
      </c>
      <c r="AT180" s="382">
        <f t="shared" si="187"/>
        <v>101.7876019763093</v>
      </c>
      <c r="AU180" s="382">
        <f>AO180* Pile!$U$37</f>
        <v>0</v>
      </c>
      <c r="AV180" s="382">
        <f t="shared" si="133"/>
        <v>101.7876019763093</v>
      </c>
      <c r="AW180" s="382">
        <f>AV180/ 'Pile Data and Eurocode Factors'!$C$19/ 'Pile Data and Eurocode Factors'!$C$20</f>
        <v>42.767899990045926</v>
      </c>
      <c r="AX180" s="382">
        <f t="shared" si="134"/>
        <v>203.93629078932136</v>
      </c>
      <c r="AY180" s="382">
        <f>VLOOKUP(AM180, 'Pile Data and Eurocode Factors'!$A$34:$J$39,3, FALSE)</f>
        <v>4206.5354432903041</v>
      </c>
      <c r="AZ180" s="403">
        <f t="shared" si="135"/>
        <v>203.93629078932136</v>
      </c>
      <c r="BA180" s="419">
        <v>750</v>
      </c>
      <c r="BB180" s="430">
        <f>PI()*BA180/1000*( Pile!$C$37- Pile!$C180)</f>
        <v>3.5342917352885124</v>
      </c>
      <c r="BC180" s="382">
        <f t="shared" si="136"/>
        <v>0.44178646691106466</v>
      </c>
      <c r="BD180" s="382">
        <f t="shared" si="175"/>
        <v>141.37166941154049</v>
      </c>
      <c r="BE180" s="382">
        <f>BB180* Pile!$S$37</f>
        <v>0</v>
      </c>
      <c r="BF180" s="382">
        <f t="shared" si="181"/>
        <v>141.37166941154049</v>
      </c>
      <c r="BG180" s="382">
        <f>IF(BF180&gt;0,+BF180)/ 'Pile Data and Eurocode Factors'!$B$19/ 'Pile Data and Eurocode Factors'!$B$20+BG$175</f>
        <v>201.46048849909425</v>
      </c>
      <c r="BH180" s="382">
        <f t="shared" si="188"/>
        <v>159.04312808798326</v>
      </c>
      <c r="BI180" s="382">
        <f>BC180* Pile!$U$37</f>
        <v>0</v>
      </c>
      <c r="BJ180" s="382">
        <f t="shared" si="137"/>
        <v>159.04312808798326</v>
      </c>
      <c r="BK180" s="382">
        <f>BJ180/ 'Pile Data and Eurocode Factors'!$C$19/ 'Pile Data and Eurocode Factors'!$C$20</f>
        <v>66.824843734446759</v>
      </c>
      <c r="BL180" s="382">
        <f t="shared" si="138"/>
        <v>268.285332233541</v>
      </c>
      <c r="BM180" s="382">
        <f>VLOOKUP(BA180, 'Pile Data and Eurocode Factors'!$A$34:$J$39,3, FALSE)</f>
        <v>6572.7116301410997</v>
      </c>
      <c r="BN180" s="403">
        <f t="shared" si="139"/>
        <v>268.285332233541</v>
      </c>
      <c r="BO180" s="419">
        <v>900</v>
      </c>
      <c r="BP180" s="430">
        <f>PI()*BO180/1000*( Pile!$C$37- Pile!$C180)</f>
        <v>4.2411500823462154</v>
      </c>
      <c r="BQ180" s="382">
        <f t="shared" si="140"/>
        <v>0.63617251235193317</v>
      </c>
      <c r="BR180" s="382">
        <f t="shared" si="176"/>
        <v>169.64600329384862</v>
      </c>
      <c r="BS180" s="382">
        <f>BP180* Pile!$S$37</f>
        <v>0</v>
      </c>
      <c r="BT180" s="382">
        <f t="shared" si="182"/>
        <v>169.64600329384862</v>
      </c>
      <c r="BU180" s="382">
        <f>IF(BT180&gt;0,+BT180)/ 'Pile Data and Eurocode Factors'!$B$19/ 'Pile Data and Eurocode Factors'!$B$20+BU$175</f>
        <v>241.75258619891315</v>
      </c>
      <c r="BV180" s="382">
        <f t="shared" si="189"/>
        <v>229.02210444669595</v>
      </c>
      <c r="BW180" s="382">
        <f>BQ180* Pile!$U$37</f>
        <v>0</v>
      </c>
      <c r="BX180" s="382">
        <f t="shared" si="141"/>
        <v>229.02210444669595</v>
      </c>
      <c r="BY180" s="382">
        <f>BX180/ 'Pile Data and Eurocode Factors'!$C$19/ 'Pile Data and Eurocode Factors'!$C$20</f>
        <v>96.227774977603346</v>
      </c>
      <c r="BZ180" s="382">
        <f t="shared" si="142"/>
        <v>337.98036117651651</v>
      </c>
      <c r="CA180" s="382">
        <f>VLOOKUP(BO180, 'Pile Data and Eurocode Factors'!$A$34:$J$39,3, FALSE)</f>
        <v>9464.7047474031824</v>
      </c>
      <c r="CB180" s="403">
        <f t="shared" si="143"/>
        <v>337.98036117651651</v>
      </c>
      <c r="CC180" s="419">
        <v>1050</v>
      </c>
      <c r="CD180" s="430">
        <f>PI()*CC180/1000*( Pile!$C$37- Pile!$C180)</f>
        <v>4.9480084294039175</v>
      </c>
      <c r="CE180" s="382">
        <f t="shared" si="144"/>
        <v>0.86590147514568672</v>
      </c>
      <c r="CF180" s="382">
        <f t="shared" si="177"/>
        <v>197.92033717615669</v>
      </c>
      <c r="CG180" s="382">
        <f>CD180* Pile!$S$37</f>
        <v>0</v>
      </c>
      <c r="CH180" s="382">
        <f t="shared" si="183"/>
        <v>197.92033717615669</v>
      </c>
      <c r="CI180" s="382">
        <f>IF(CH180&gt;0,+CH180)/ 'Pile Data and Eurocode Factors'!$B$19/ 'Pile Data and Eurocode Factors'!$B$20+CI$175</f>
        <v>282.04468389873199</v>
      </c>
      <c r="CJ180" s="382">
        <f t="shared" si="190"/>
        <v>311.72453105244722</v>
      </c>
      <c r="CK180" s="382">
        <f>CE180* Pile!$U$37</f>
        <v>0</v>
      </c>
      <c r="CL180" s="382">
        <f t="shared" si="145"/>
        <v>311.72453105244722</v>
      </c>
      <c r="CM180" s="382">
        <f>CL180/ 'Pile Data and Eurocode Factors'!$C$19/ 'Pile Data and Eurocode Factors'!$C$20</f>
        <v>130.97669371951565</v>
      </c>
      <c r="CN180" s="382">
        <f t="shared" si="146"/>
        <v>413.02137761824764</v>
      </c>
      <c r="CO180" s="382">
        <f>VLOOKUP(CC180, 'Pile Data and Eurocode Factors'!$A$34:$J$39,3, FALSE)</f>
        <v>12882.514795076555</v>
      </c>
      <c r="CP180" s="403">
        <f t="shared" si="147"/>
        <v>413.02137761824764</v>
      </c>
      <c r="CQ180" s="419">
        <v>1200</v>
      </c>
      <c r="CR180" s="430">
        <f>PI()*CQ180/1000*( Pile!$C$37- Pile!$C180)</f>
        <v>5.6548667764616205</v>
      </c>
      <c r="CS180" s="382">
        <f t="shared" si="148"/>
        <v>1.1309733552923256</v>
      </c>
      <c r="CT180" s="382">
        <f t="shared" si="178"/>
        <v>226.19467105846482</v>
      </c>
      <c r="CU180" s="382">
        <f>CR180* Pile!$S$37</f>
        <v>0</v>
      </c>
      <c r="CV180" s="382">
        <f t="shared" si="184"/>
        <v>226.19467105846482</v>
      </c>
      <c r="CW180" s="382">
        <f>IF(CV180&gt;0,+CV180)/ 'Pile Data and Eurocode Factors'!$B$19/ 'Pile Data and Eurocode Factors'!$B$20+CW$175</f>
        <v>322.33678159855089</v>
      </c>
      <c r="CX180" s="382">
        <f t="shared" si="191"/>
        <v>407.15040790523722</v>
      </c>
      <c r="CY180" s="382">
        <f>CS180* Pile!$U$37</f>
        <v>0</v>
      </c>
      <c r="CZ180" s="382">
        <f t="shared" si="149"/>
        <v>407.15040790523722</v>
      </c>
      <c r="DA180" s="382">
        <f>CZ180/ 'Pile Data and Eurocode Factors'!$C$19/ 'Pile Data and Eurocode Factors'!$C$20</f>
        <v>171.0715999601837</v>
      </c>
      <c r="DB180" s="382">
        <f t="shared" si="150"/>
        <v>493.40838155873462</v>
      </c>
      <c r="DC180" s="382">
        <f>VLOOKUP(CQ180, 'Pile Data and Eurocode Factors'!$A$34:$J$39,3, FALSE)</f>
        <v>16826.141773161216</v>
      </c>
      <c r="DD180" s="403">
        <f t="shared" si="151"/>
        <v>493.40838155873462</v>
      </c>
      <c r="DE180" s="420">
        <f xml:space="preserve"> Pile!$C$23- Pile!C180</f>
        <v>7.4999999999999982</v>
      </c>
      <c r="DG180" s="382">
        <f t="shared" si="152"/>
        <v>144.9332368438574</v>
      </c>
      <c r="DH180" s="382">
        <f t="shared" si="153"/>
        <v>203.93629078932136</v>
      </c>
      <c r="DI180" s="382">
        <f t="shared" si="154"/>
        <v>268.285332233541</v>
      </c>
      <c r="DJ180" s="382"/>
      <c r="DK180" s="382"/>
      <c r="DL180" s="382"/>
    </row>
    <row r="181" spans="2:116" s="308" customFormat="1" ht="15">
      <c r="B181" s="400">
        <v>6</v>
      </c>
      <c r="C181" s="401">
        <f>+C180- Pile!D$37/20</f>
        <v>-1.799999999999998</v>
      </c>
      <c r="D181" s="415" t="str">
        <f>B24</f>
        <v>Firm Clay</v>
      </c>
      <c r="E181" s="415" t="str">
        <f>F24</f>
        <v>Cohesive</v>
      </c>
      <c r="F181" s="401">
        <f xml:space="preserve"> Pile!$E$37*(+C180-C181)+F180</f>
        <v>132.29999999999995</v>
      </c>
      <c r="G181" s="401">
        <f>IF(C181&gt; Pile!$C$41,0,( Pile!$C$41-C181)*9.81)</f>
        <v>0</v>
      </c>
      <c r="H181" s="401">
        <f t="shared" si="122"/>
        <v>132.29999999999995</v>
      </c>
      <c r="I181" s="401">
        <f t="shared" si="185"/>
        <v>115.64999999999996</v>
      </c>
      <c r="J181" s="401">
        <f>IF(E181="Cohesive",(( Pile!$H$37- Pile!$G$37)/20)+J180,0)</f>
        <v>40</v>
      </c>
      <c r="K181" s="401">
        <f>IF(E181="Cohesive",( Pile!$G$37+ Pile!$J181)/2,0)</f>
        <v>40</v>
      </c>
      <c r="L181" s="401">
        <f>IF( Pile!I$37="",0, Pile!I$37)</f>
        <v>1</v>
      </c>
      <c r="M181" s="401">
        <f>IF( Pile!J$37="",0, Pile!J$37)</f>
        <v>9</v>
      </c>
      <c r="N181" s="401">
        <f>IF(E181="Granular", Pile!$K$37,0)</f>
        <v>0</v>
      </c>
      <c r="O181" s="416">
        <f>IF(AND(E181="Granular",D181&lt;&gt;"Made Ground"), Pile!$L$37,0)</f>
        <v>0</v>
      </c>
      <c r="P181" s="401">
        <f>IF(OR(D181="Low Density Chalk",D181="Medium Density Chalk"), Pile!$M$37,0)</f>
        <v>0</v>
      </c>
      <c r="Q181" s="417">
        <f>IF(D181="High Density Chalk", Pile!$N$37,0)</f>
        <v>0</v>
      </c>
      <c r="R181" s="401">
        <f>IF( Pile!O$37="",0, Pile!O$37)</f>
        <v>0</v>
      </c>
      <c r="S181" s="418">
        <f t="shared" si="124"/>
        <v>40</v>
      </c>
      <c r="T181" s="382">
        <f xml:space="preserve"> Pile!$T$37</f>
        <v>100</v>
      </c>
      <c r="U181" s="382">
        <f t="shared" si="125"/>
        <v>40</v>
      </c>
      <c r="V181" s="382">
        <f t="shared" si="126"/>
        <v>360</v>
      </c>
      <c r="W181" s="382" t="str">
        <f xml:space="preserve"> Pile!$V$37</f>
        <v/>
      </c>
      <c r="X181" s="382">
        <f t="shared" si="127"/>
        <v>360</v>
      </c>
      <c r="Y181" s="419">
        <v>450</v>
      </c>
      <c r="Z181" s="430">
        <f>PI()*Y181/1000*( Pile!$C$37- Pile!$C181)</f>
        <v>2.5446900494077296</v>
      </c>
      <c r="AA181" s="382">
        <f t="shared" si="128"/>
        <v>0.15904312808798329</v>
      </c>
      <c r="AB181" s="382">
        <f t="shared" si="173"/>
        <v>101.78760197630919</v>
      </c>
      <c r="AC181" s="382">
        <f>Z181* Pile!$S$37</f>
        <v>0</v>
      </c>
      <c r="AD181" s="382">
        <f t="shared" si="179"/>
        <v>101.78760197630919</v>
      </c>
      <c r="AE181" s="382">
        <f>IF(AD181&gt;0,+AD181)/ 'Pile Data and Eurocode Factors'!$B$19/ 'Pile Data and Eurocode Factors'!$B$20+AE$175</f>
        <v>128.95467420868746</v>
      </c>
      <c r="AF181" s="382">
        <f t="shared" si="186"/>
        <v>57.255526111673987</v>
      </c>
      <c r="AG181" s="382">
        <f>AA181* Pile!$U$37</f>
        <v>0</v>
      </c>
      <c r="AH181" s="382">
        <f t="shared" si="129"/>
        <v>57.255526111673987</v>
      </c>
      <c r="AI181" s="382">
        <f>AH181/ 'Pile Data and Eurocode Factors'!$C$19/ 'Pile Data and Eurocode Factors'!$C$20</f>
        <v>24.056943744400836</v>
      </c>
      <c r="AJ181" s="382">
        <f t="shared" si="130"/>
        <v>153.01161795308829</v>
      </c>
      <c r="AK181" s="382">
        <f>VLOOKUP(Y181, 'Pile Data and Eurocode Factors'!$A$34:$J$39,3, FALSE)</f>
        <v>2366.1761868507956</v>
      </c>
      <c r="AL181" s="403">
        <f t="shared" si="131"/>
        <v>153.01161795308829</v>
      </c>
      <c r="AM181" s="419">
        <v>600</v>
      </c>
      <c r="AN181" s="430">
        <f>PI()*AM181/1000*( Pile!$C$37- Pile!$C181)</f>
        <v>3.3929200658769729</v>
      </c>
      <c r="AO181" s="382">
        <f t="shared" si="132"/>
        <v>0.28274333882308139</v>
      </c>
      <c r="AP181" s="382">
        <f t="shared" si="174"/>
        <v>135.71680263507892</v>
      </c>
      <c r="AQ181" s="382">
        <f>AN181* Pile!$S$37</f>
        <v>0</v>
      </c>
      <c r="AR181" s="382">
        <f t="shared" si="180"/>
        <v>135.71680263507892</v>
      </c>
      <c r="AS181" s="382">
        <f>IF(AR181&gt;0,+AR181)/ 'Pile Data and Eurocode Factors'!$B$19/ 'Pile Data and Eurocode Factors'!$B$20+AS$175</f>
        <v>171.9395656115833</v>
      </c>
      <c r="AT181" s="382">
        <f t="shared" si="187"/>
        <v>101.7876019763093</v>
      </c>
      <c r="AU181" s="382">
        <f>AO181* Pile!$U$37</f>
        <v>0</v>
      </c>
      <c r="AV181" s="382">
        <f t="shared" si="133"/>
        <v>101.7876019763093</v>
      </c>
      <c r="AW181" s="382">
        <f>AV181/ 'Pile Data and Eurocode Factors'!$C$19/ 'Pile Data and Eurocode Factors'!$C$20</f>
        <v>42.767899990045926</v>
      </c>
      <c r="AX181" s="382">
        <f t="shared" si="134"/>
        <v>214.70746560162922</v>
      </c>
      <c r="AY181" s="382">
        <f>VLOOKUP(AM181, 'Pile Data and Eurocode Factors'!$A$34:$J$39,3, FALSE)</f>
        <v>4206.5354432903041</v>
      </c>
      <c r="AZ181" s="403">
        <f t="shared" si="135"/>
        <v>214.70746560162922</v>
      </c>
      <c r="BA181" s="419">
        <v>750</v>
      </c>
      <c r="BB181" s="430">
        <f>PI()*BA181/1000*( Pile!$C$37- Pile!$C181)</f>
        <v>4.2411500823462163</v>
      </c>
      <c r="BC181" s="382">
        <f t="shared" si="136"/>
        <v>0.44178646691106466</v>
      </c>
      <c r="BD181" s="382">
        <f t="shared" si="175"/>
        <v>169.64600329384865</v>
      </c>
      <c r="BE181" s="382">
        <f>BB181* Pile!$S$37</f>
        <v>0</v>
      </c>
      <c r="BF181" s="382">
        <f t="shared" si="181"/>
        <v>169.64600329384865</v>
      </c>
      <c r="BG181" s="382">
        <f>IF(BF181&gt;0,+BF181)/ 'Pile Data and Eurocode Factors'!$B$19/ 'Pile Data and Eurocode Factors'!$B$20+BG$175</f>
        <v>214.92445701447912</v>
      </c>
      <c r="BH181" s="382">
        <f t="shared" si="188"/>
        <v>159.04312808798326</v>
      </c>
      <c r="BI181" s="382">
        <f>BC181* Pile!$U$37</f>
        <v>0</v>
      </c>
      <c r="BJ181" s="382">
        <f t="shared" si="137"/>
        <v>159.04312808798326</v>
      </c>
      <c r="BK181" s="382">
        <f>BJ181/ 'Pile Data and Eurocode Factors'!$C$19/ 'Pile Data and Eurocode Factors'!$C$20</f>
        <v>66.824843734446759</v>
      </c>
      <c r="BL181" s="382">
        <f t="shared" si="138"/>
        <v>281.74930074892586</v>
      </c>
      <c r="BM181" s="382">
        <f>VLOOKUP(BA181, 'Pile Data and Eurocode Factors'!$A$34:$J$39,3, FALSE)</f>
        <v>6572.7116301410997</v>
      </c>
      <c r="BN181" s="403">
        <f t="shared" si="139"/>
        <v>281.74930074892586</v>
      </c>
      <c r="BO181" s="419">
        <v>900</v>
      </c>
      <c r="BP181" s="430">
        <f>PI()*BO181/1000*( Pile!$C$37- Pile!$C181)</f>
        <v>5.0893800988154592</v>
      </c>
      <c r="BQ181" s="382">
        <f t="shared" si="140"/>
        <v>0.63617251235193317</v>
      </c>
      <c r="BR181" s="382">
        <f t="shared" si="176"/>
        <v>203.57520395261838</v>
      </c>
      <c r="BS181" s="382">
        <f>BP181* Pile!$S$37</f>
        <v>0</v>
      </c>
      <c r="BT181" s="382">
        <f t="shared" si="182"/>
        <v>203.57520395261838</v>
      </c>
      <c r="BU181" s="382">
        <f>IF(BT181&gt;0,+BT181)/ 'Pile Data and Eurocode Factors'!$B$19/ 'Pile Data and Eurocode Factors'!$B$20+BU$175</f>
        <v>257.90934841737493</v>
      </c>
      <c r="BV181" s="382">
        <f t="shared" si="189"/>
        <v>229.02210444669595</v>
      </c>
      <c r="BW181" s="382">
        <f>BQ181* Pile!$U$37</f>
        <v>0</v>
      </c>
      <c r="BX181" s="382">
        <f t="shared" si="141"/>
        <v>229.02210444669595</v>
      </c>
      <c r="BY181" s="382">
        <f>BX181/ 'Pile Data and Eurocode Factors'!$C$19/ 'Pile Data and Eurocode Factors'!$C$20</f>
        <v>96.227774977603346</v>
      </c>
      <c r="BZ181" s="382">
        <f t="shared" si="142"/>
        <v>354.13712339497829</v>
      </c>
      <c r="CA181" s="382">
        <f>VLOOKUP(BO181, 'Pile Data and Eurocode Factors'!$A$34:$J$39,3, FALSE)</f>
        <v>9464.7047474031824</v>
      </c>
      <c r="CB181" s="403">
        <f t="shared" si="143"/>
        <v>354.13712339497829</v>
      </c>
      <c r="CC181" s="419">
        <v>1050</v>
      </c>
      <c r="CD181" s="430">
        <f>PI()*CC181/1000*( Pile!$C$37- Pile!$C181)</f>
        <v>5.9376101152847029</v>
      </c>
      <c r="CE181" s="382">
        <f t="shared" si="144"/>
        <v>0.86590147514568672</v>
      </c>
      <c r="CF181" s="382">
        <f t="shared" si="177"/>
        <v>237.50440461138811</v>
      </c>
      <c r="CG181" s="382">
        <f>CD181* Pile!$S$37</f>
        <v>0</v>
      </c>
      <c r="CH181" s="382">
        <f t="shared" si="183"/>
        <v>237.50440461138811</v>
      </c>
      <c r="CI181" s="382">
        <f>IF(CH181&gt;0,+CH181)/ 'Pile Data and Eurocode Factors'!$B$19/ 'Pile Data and Eurocode Factors'!$B$20+CI$175</f>
        <v>300.89423982027074</v>
      </c>
      <c r="CJ181" s="382">
        <f t="shared" si="190"/>
        <v>311.72453105244722</v>
      </c>
      <c r="CK181" s="382">
        <f>CE181* Pile!$U$37</f>
        <v>0</v>
      </c>
      <c r="CL181" s="382">
        <f t="shared" si="145"/>
        <v>311.72453105244722</v>
      </c>
      <c r="CM181" s="382">
        <f>CL181/ 'Pile Data and Eurocode Factors'!$C$19/ 'Pile Data and Eurocode Factors'!$C$20</f>
        <v>130.97669371951565</v>
      </c>
      <c r="CN181" s="382">
        <f t="shared" si="146"/>
        <v>431.87093353978639</v>
      </c>
      <c r="CO181" s="382">
        <f>VLOOKUP(CC181, 'Pile Data and Eurocode Factors'!$A$34:$J$39,3, FALSE)</f>
        <v>12882.514795076555</v>
      </c>
      <c r="CP181" s="403">
        <f t="shared" si="147"/>
        <v>431.87093353978639</v>
      </c>
      <c r="CQ181" s="419">
        <v>1200</v>
      </c>
      <c r="CR181" s="430">
        <f>PI()*CQ181/1000*( Pile!$C$37- Pile!$C181)</f>
        <v>6.7858401317539458</v>
      </c>
      <c r="CS181" s="382">
        <f t="shared" si="148"/>
        <v>1.1309733552923256</v>
      </c>
      <c r="CT181" s="382">
        <f t="shared" si="178"/>
        <v>271.43360527015784</v>
      </c>
      <c r="CU181" s="382">
        <f>CR181* Pile!$S$37</f>
        <v>0</v>
      </c>
      <c r="CV181" s="382">
        <f t="shared" si="184"/>
        <v>271.43360527015784</v>
      </c>
      <c r="CW181" s="382">
        <f>IF(CV181&gt;0,+CV181)/ 'Pile Data and Eurocode Factors'!$B$19/ 'Pile Data and Eurocode Factors'!$B$20+CW$175</f>
        <v>343.87913122316661</v>
      </c>
      <c r="CX181" s="382">
        <f t="shared" si="191"/>
        <v>407.15040790523722</v>
      </c>
      <c r="CY181" s="382">
        <f>CS181* Pile!$U$37</f>
        <v>0</v>
      </c>
      <c r="CZ181" s="382">
        <f t="shared" si="149"/>
        <v>407.15040790523722</v>
      </c>
      <c r="DA181" s="382">
        <f>CZ181/ 'Pile Data and Eurocode Factors'!$C$19/ 'Pile Data and Eurocode Factors'!$C$20</f>
        <v>171.0715999601837</v>
      </c>
      <c r="DB181" s="382">
        <f t="shared" si="150"/>
        <v>514.95073118335029</v>
      </c>
      <c r="DC181" s="382">
        <f>VLOOKUP(CQ181, 'Pile Data and Eurocode Factors'!$A$34:$J$39,3, FALSE)</f>
        <v>16826.141773161216</v>
      </c>
      <c r="DD181" s="403">
        <f t="shared" si="151"/>
        <v>514.95073118335029</v>
      </c>
      <c r="DE181" s="420">
        <f xml:space="preserve"> Pile!$C$23- Pile!C181</f>
        <v>7.799999999999998</v>
      </c>
      <c r="DG181" s="382">
        <f t="shared" si="152"/>
        <v>153.01161795308829</v>
      </c>
      <c r="DH181" s="382">
        <f t="shared" si="153"/>
        <v>214.70746560162922</v>
      </c>
      <c r="DI181" s="382">
        <f t="shared" si="154"/>
        <v>281.74930074892586</v>
      </c>
      <c r="DJ181" s="382"/>
      <c r="DK181" s="382"/>
      <c r="DL181" s="382"/>
    </row>
    <row r="182" spans="2:116" s="308" customFormat="1" ht="15">
      <c r="B182" s="400">
        <v>7</v>
      </c>
      <c r="C182" s="401">
        <f>+C181- Pile!D$37/20</f>
        <v>-2.0999999999999979</v>
      </c>
      <c r="D182" s="415" t="str">
        <f>B24</f>
        <v>Firm Clay</v>
      </c>
      <c r="E182" s="415" t="str">
        <f>F24</f>
        <v>Cohesive</v>
      </c>
      <c r="F182" s="401">
        <f xml:space="preserve"> Pile!$E$37*(+C181-C182)+F181</f>
        <v>137.84999999999997</v>
      </c>
      <c r="G182" s="401">
        <f>IF(C182&gt; Pile!$C$41,0,( Pile!$C$41-C182)*9.81)</f>
        <v>0</v>
      </c>
      <c r="H182" s="401">
        <f t="shared" si="122"/>
        <v>137.84999999999997</v>
      </c>
      <c r="I182" s="401">
        <f t="shared" si="185"/>
        <v>118.42499999999997</v>
      </c>
      <c r="J182" s="401">
        <f>IF(E182="Cohesive",(( Pile!$H$37- Pile!$G$37)/20)+J181,0)</f>
        <v>40</v>
      </c>
      <c r="K182" s="401">
        <f>IF(E182="Cohesive",( Pile!$G$37+ Pile!$J182)/2,0)</f>
        <v>40</v>
      </c>
      <c r="L182" s="401">
        <f>IF( Pile!I$37="",0, Pile!I$37)</f>
        <v>1</v>
      </c>
      <c r="M182" s="401">
        <f>IF( Pile!J$37="",0, Pile!J$37)</f>
        <v>9</v>
      </c>
      <c r="N182" s="401">
        <f>IF(E182="Granular", Pile!$K$37,0)</f>
        <v>0</v>
      </c>
      <c r="O182" s="416">
        <f>IF(AND(E182="Granular",D182&lt;&gt;"Made Ground"), Pile!$L$37,0)</f>
        <v>0</v>
      </c>
      <c r="P182" s="401">
        <f>IF(OR(D182="Low Density Chalk",D182="Medium Density Chalk"), Pile!$M$37,0)</f>
        <v>0</v>
      </c>
      <c r="Q182" s="417">
        <f>IF(D182="High Density Chalk", Pile!$N$37,0)</f>
        <v>0</v>
      </c>
      <c r="R182" s="401">
        <f>IF( Pile!O$37="",0, Pile!O$37)</f>
        <v>0</v>
      </c>
      <c r="S182" s="418">
        <f t="shared" si="124"/>
        <v>40</v>
      </c>
      <c r="T182" s="382">
        <f xml:space="preserve"> Pile!$T$37</f>
        <v>100</v>
      </c>
      <c r="U182" s="382">
        <f t="shared" si="125"/>
        <v>40</v>
      </c>
      <c r="V182" s="382">
        <f t="shared" si="126"/>
        <v>360</v>
      </c>
      <c r="W182" s="382" t="str">
        <f xml:space="preserve"> Pile!$V$37</f>
        <v/>
      </c>
      <c r="X182" s="382">
        <f t="shared" si="127"/>
        <v>360</v>
      </c>
      <c r="Y182" s="419">
        <v>450</v>
      </c>
      <c r="Z182" s="430">
        <f>PI()*Y182/1000*( Pile!$C$37- Pile!$C182)</f>
        <v>2.9688050576423515</v>
      </c>
      <c r="AA182" s="382">
        <f t="shared" si="128"/>
        <v>0.15904312808798329</v>
      </c>
      <c r="AB182" s="382">
        <f t="shared" si="173"/>
        <v>118.75220230569406</v>
      </c>
      <c r="AC182" s="382">
        <f>Z182* Pile!$S$37</f>
        <v>0</v>
      </c>
      <c r="AD182" s="382">
        <f t="shared" si="179"/>
        <v>118.75220230569406</v>
      </c>
      <c r="AE182" s="382">
        <f>IF(AD182&gt;0,+AD182)/ 'Pile Data and Eurocode Factors'!$B$19/ 'Pile Data and Eurocode Factors'!$B$20+AE$175</f>
        <v>137.03305531791835</v>
      </c>
      <c r="AF182" s="382">
        <f t="shared" si="186"/>
        <v>57.255526111673987</v>
      </c>
      <c r="AG182" s="382">
        <f>AA182* Pile!$U$37</f>
        <v>0</v>
      </c>
      <c r="AH182" s="382">
        <f t="shared" si="129"/>
        <v>57.255526111673987</v>
      </c>
      <c r="AI182" s="382">
        <f>AH182/ 'Pile Data and Eurocode Factors'!$C$19/ 'Pile Data and Eurocode Factors'!$C$20</f>
        <v>24.056943744400836</v>
      </c>
      <c r="AJ182" s="382">
        <f t="shared" si="130"/>
        <v>161.08999906231918</v>
      </c>
      <c r="AK182" s="382">
        <f>VLOOKUP(Y182, 'Pile Data and Eurocode Factors'!$A$34:$J$39,3, FALSE)</f>
        <v>2366.1761868507956</v>
      </c>
      <c r="AL182" s="403">
        <f t="shared" si="131"/>
        <v>161.08999906231918</v>
      </c>
      <c r="AM182" s="419">
        <v>600</v>
      </c>
      <c r="AN182" s="430">
        <f>PI()*AM182/1000*( Pile!$C$37- Pile!$C182)</f>
        <v>3.9584067435231352</v>
      </c>
      <c r="AO182" s="382">
        <f t="shared" si="132"/>
        <v>0.28274333882308139</v>
      </c>
      <c r="AP182" s="382">
        <f t="shared" si="174"/>
        <v>158.33626974092542</v>
      </c>
      <c r="AQ182" s="382">
        <f>AN182* Pile!$S$37</f>
        <v>0</v>
      </c>
      <c r="AR182" s="382">
        <f t="shared" si="180"/>
        <v>158.33626974092542</v>
      </c>
      <c r="AS182" s="382">
        <f>IF(AR182&gt;0,+AR182)/ 'Pile Data and Eurocode Factors'!$B$19/ 'Pile Data and Eurocode Factors'!$B$20+AS$175</f>
        <v>182.71074042389114</v>
      </c>
      <c r="AT182" s="382">
        <f t="shared" si="187"/>
        <v>101.7876019763093</v>
      </c>
      <c r="AU182" s="382">
        <f>AO182* Pile!$U$37</f>
        <v>0</v>
      </c>
      <c r="AV182" s="382">
        <f t="shared" si="133"/>
        <v>101.7876019763093</v>
      </c>
      <c r="AW182" s="382">
        <f>AV182/ 'Pile Data and Eurocode Factors'!$C$19/ 'Pile Data and Eurocode Factors'!$C$20</f>
        <v>42.767899990045926</v>
      </c>
      <c r="AX182" s="382">
        <f t="shared" si="134"/>
        <v>225.47864041393706</v>
      </c>
      <c r="AY182" s="382">
        <f>VLOOKUP(AM182, 'Pile Data and Eurocode Factors'!$A$34:$J$39,3, FALSE)</f>
        <v>4206.5354432903041</v>
      </c>
      <c r="AZ182" s="403">
        <f t="shared" si="135"/>
        <v>225.47864041393706</v>
      </c>
      <c r="BA182" s="419">
        <v>750</v>
      </c>
      <c r="BB182" s="430">
        <f>PI()*BA182/1000*( Pile!$C$37- Pile!$C182)</f>
        <v>4.9480084294039193</v>
      </c>
      <c r="BC182" s="382">
        <f t="shared" si="136"/>
        <v>0.44178646691106466</v>
      </c>
      <c r="BD182" s="382">
        <f t="shared" si="175"/>
        <v>197.92033717615678</v>
      </c>
      <c r="BE182" s="382">
        <f>BB182* Pile!$S$37</f>
        <v>0</v>
      </c>
      <c r="BF182" s="382">
        <f t="shared" si="181"/>
        <v>197.92033717615678</v>
      </c>
      <c r="BG182" s="382">
        <f>IF(BF182&gt;0,+BF182)/ 'Pile Data and Eurocode Factors'!$B$19/ 'Pile Data and Eurocode Factors'!$B$20+BG$175</f>
        <v>228.38842552986392</v>
      </c>
      <c r="BH182" s="382">
        <f t="shared" si="188"/>
        <v>159.04312808798326</v>
      </c>
      <c r="BI182" s="382">
        <f>BC182* Pile!$U$37</f>
        <v>0</v>
      </c>
      <c r="BJ182" s="382">
        <f t="shared" si="137"/>
        <v>159.04312808798326</v>
      </c>
      <c r="BK182" s="382">
        <f>BJ182/ 'Pile Data and Eurocode Factors'!$C$19/ 'Pile Data and Eurocode Factors'!$C$20</f>
        <v>66.824843734446759</v>
      </c>
      <c r="BL182" s="382">
        <f t="shared" si="138"/>
        <v>295.21326926431067</v>
      </c>
      <c r="BM182" s="382">
        <f>VLOOKUP(BA182, 'Pile Data and Eurocode Factors'!$A$34:$J$39,3, FALSE)</f>
        <v>6572.7116301410997</v>
      </c>
      <c r="BN182" s="403">
        <f t="shared" si="139"/>
        <v>295.21326926431067</v>
      </c>
      <c r="BO182" s="419">
        <v>900</v>
      </c>
      <c r="BP182" s="430">
        <f>PI()*BO182/1000*( Pile!$C$37- Pile!$C182)</f>
        <v>5.9376101152847029</v>
      </c>
      <c r="BQ182" s="382">
        <f t="shared" si="140"/>
        <v>0.63617251235193317</v>
      </c>
      <c r="BR182" s="382">
        <f t="shared" si="176"/>
        <v>237.50440461138811</v>
      </c>
      <c r="BS182" s="382">
        <f>BP182* Pile!$S$37</f>
        <v>0</v>
      </c>
      <c r="BT182" s="382">
        <f t="shared" si="182"/>
        <v>237.50440461138811</v>
      </c>
      <c r="BU182" s="382">
        <f>IF(BT182&gt;0,+BT182)/ 'Pile Data and Eurocode Factors'!$B$19/ 'Pile Data and Eurocode Factors'!$B$20+BU$175</f>
        <v>274.06611063583671</v>
      </c>
      <c r="BV182" s="382">
        <f t="shared" si="189"/>
        <v>229.02210444669595</v>
      </c>
      <c r="BW182" s="382">
        <f>BQ182* Pile!$U$37</f>
        <v>0</v>
      </c>
      <c r="BX182" s="382">
        <f t="shared" si="141"/>
        <v>229.02210444669595</v>
      </c>
      <c r="BY182" s="382">
        <f>BX182/ 'Pile Data and Eurocode Factors'!$C$19/ 'Pile Data and Eurocode Factors'!$C$20</f>
        <v>96.227774977603346</v>
      </c>
      <c r="BZ182" s="382">
        <f t="shared" si="142"/>
        <v>370.29388561344007</v>
      </c>
      <c r="CA182" s="382">
        <f>VLOOKUP(BO182, 'Pile Data and Eurocode Factors'!$A$34:$J$39,3, FALSE)</f>
        <v>9464.7047474031824</v>
      </c>
      <c r="CB182" s="403">
        <f t="shared" si="143"/>
        <v>370.29388561344007</v>
      </c>
      <c r="CC182" s="419">
        <v>1050</v>
      </c>
      <c r="CD182" s="430">
        <f>PI()*CC182/1000*( Pile!$C$37- Pile!$C182)</f>
        <v>6.9272118011654866</v>
      </c>
      <c r="CE182" s="382">
        <f t="shared" si="144"/>
        <v>0.86590147514568672</v>
      </c>
      <c r="CF182" s="382">
        <f t="shared" si="177"/>
        <v>277.08847204661947</v>
      </c>
      <c r="CG182" s="382">
        <f>CD182* Pile!$S$37</f>
        <v>0</v>
      </c>
      <c r="CH182" s="382">
        <f t="shared" si="183"/>
        <v>277.08847204661947</v>
      </c>
      <c r="CI182" s="382">
        <f>IF(CH182&gt;0,+CH182)/ 'Pile Data and Eurocode Factors'!$B$19/ 'Pile Data and Eurocode Factors'!$B$20+CI$175</f>
        <v>319.74379574180949</v>
      </c>
      <c r="CJ182" s="382">
        <f t="shared" si="190"/>
        <v>311.72453105244722</v>
      </c>
      <c r="CK182" s="382">
        <f>CE182* Pile!$U$37</f>
        <v>0</v>
      </c>
      <c r="CL182" s="382">
        <f t="shared" si="145"/>
        <v>311.72453105244722</v>
      </c>
      <c r="CM182" s="382">
        <f>CL182/ 'Pile Data and Eurocode Factors'!$C$19/ 'Pile Data and Eurocode Factors'!$C$20</f>
        <v>130.97669371951565</v>
      </c>
      <c r="CN182" s="382">
        <f t="shared" si="146"/>
        <v>450.72048946132514</v>
      </c>
      <c r="CO182" s="382">
        <f>VLOOKUP(CC182, 'Pile Data and Eurocode Factors'!$A$34:$J$39,3, FALSE)</f>
        <v>12882.514795076555</v>
      </c>
      <c r="CP182" s="403">
        <f t="shared" si="147"/>
        <v>450.72048946132514</v>
      </c>
      <c r="CQ182" s="419">
        <v>1200</v>
      </c>
      <c r="CR182" s="430">
        <f>PI()*CQ182/1000*( Pile!$C$37- Pile!$C182)</f>
        <v>7.9168134870462703</v>
      </c>
      <c r="CS182" s="382">
        <f t="shared" si="148"/>
        <v>1.1309733552923256</v>
      </c>
      <c r="CT182" s="382">
        <f t="shared" si="178"/>
        <v>316.67253948185083</v>
      </c>
      <c r="CU182" s="382">
        <f>CR182* Pile!$S$37</f>
        <v>0</v>
      </c>
      <c r="CV182" s="382">
        <f t="shared" si="184"/>
        <v>316.67253948185083</v>
      </c>
      <c r="CW182" s="382">
        <f>IF(CV182&gt;0,+CV182)/ 'Pile Data and Eurocode Factors'!$B$19/ 'Pile Data and Eurocode Factors'!$B$20+CW$175</f>
        <v>365.42148084778228</v>
      </c>
      <c r="CX182" s="382">
        <f t="shared" si="191"/>
        <v>407.15040790523722</v>
      </c>
      <c r="CY182" s="382">
        <f>CS182* Pile!$U$37</f>
        <v>0</v>
      </c>
      <c r="CZ182" s="382">
        <f t="shared" si="149"/>
        <v>407.15040790523722</v>
      </c>
      <c r="DA182" s="382">
        <f>CZ182/ 'Pile Data and Eurocode Factors'!$C$19/ 'Pile Data and Eurocode Factors'!$C$20</f>
        <v>171.0715999601837</v>
      </c>
      <c r="DB182" s="382">
        <f t="shared" si="150"/>
        <v>536.49308080796595</v>
      </c>
      <c r="DC182" s="382">
        <f>VLOOKUP(CQ182, 'Pile Data and Eurocode Factors'!$A$34:$J$39,3, FALSE)</f>
        <v>16826.141773161216</v>
      </c>
      <c r="DD182" s="403">
        <f t="shared" si="151"/>
        <v>536.49308080796595</v>
      </c>
      <c r="DE182" s="420">
        <f xml:space="preserve"> Pile!$C$23- Pile!C182</f>
        <v>8.0999999999999979</v>
      </c>
      <c r="DG182" s="382">
        <f t="shared" si="152"/>
        <v>161.08999906231918</v>
      </c>
      <c r="DH182" s="382">
        <f t="shared" si="153"/>
        <v>225.47864041393706</v>
      </c>
      <c r="DI182" s="382">
        <f t="shared" si="154"/>
        <v>295.21326926431067</v>
      </c>
      <c r="DJ182" s="382"/>
      <c r="DK182" s="382"/>
      <c r="DL182" s="382"/>
    </row>
    <row r="183" spans="2:116" s="308" customFormat="1" ht="15">
      <c r="B183" s="400">
        <v>8</v>
      </c>
      <c r="C183" s="401">
        <f>+C182- Pile!D$37/20</f>
        <v>-2.3999999999999977</v>
      </c>
      <c r="D183" s="415" t="str">
        <f>B24</f>
        <v>Firm Clay</v>
      </c>
      <c r="E183" s="415" t="str">
        <f>F24</f>
        <v>Cohesive</v>
      </c>
      <c r="F183" s="401">
        <f xml:space="preserve"> Pile!$E$37*(+C182-C183)+F182</f>
        <v>143.39999999999998</v>
      </c>
      <c r="G183" s="401">
        <f>IF(C183&gt; Pile!$C$41,0,( Pile!$C$41-C183)*9.81)</f>
        <v>0</v>
      </c>
      <c r="H183" s="401">
        <f t="shared" si="122"/>
        <v>143.39999999999998</v>
      </c>
      <c r="I183" s="401">
        <f t="shared" si="185"/>
        <v>121.19999999999997</v>
      </c>
      <c r="J183" s="401">
        <f>IF(E183="Cohesive",(( Pile!$H$37- Pile!$G$37)/20)+J182,0)</f>
        <v>40</v>
      </c>
      <c r="K183" s="401">
        <f>IF(E183="Cohesive",( Pile!$G$37+ Pile!$J183)/2,0)</f>
        <v>40</v>
      </c>
      <c r="L183" s="401">
        <f>IF( Pile!I$37="",0, Pile!I$37)</f>
        <v>1</v>
      </c>
      <c r="M183" s="401">
        <f>IF( Pile!J$37="",0, Pile!J$37)</f>
        <v>9</v>
      </c>
      <c r="N183" s="401">
        <f>IF(E183="Granular", Pile!$K$37,0)</f>
        <v>0</v>
      </c>
      <c r="O183" s="416">
        <f>IF(AND(E183="Granular",D183&lt;&gt;"Made Ground"), Pile!$L$37,0)</f>
        <v>0</v>
      </c>
      <c r="P183" s="401">
        <f>IF(OR(D183="Low Density Chalk",D183="Medium Density Chalk"), Pile!$M$37,0)</f>
        <v>0</v>
      </c>
      <c r="Q183" s="417">
        <f>IF(D183="High Density Chalk", Pile!$N$37,0)</f>
        <v>0</v>
      </c>
      <c r="R183" s="401">
        <f>IF( Pile!O$37="",0, Pile!O$37)</f>
        <v>0</v>
      </c>
      <c r="S183" s="418">
        <f t="shared" si="124"/>
        <v>40</v>
      </c>
      <c r="T183" s="382">
        <f xml:space="preserve"> Pile!$T$37</f>
        <v>100</v>
      </c>
      <c r="U183" s="382">
        <f t="shared" si="125"/>
        <v>40</v>
      </c>
      <c r="V183" s="382">
        <f t="shared" si="126"/>
        <v>360</v>
      </c>
      <c r="W183" s="382" t="str">
        <f xml:space="preserve"> Pile!$V$37</f>
        <v/>
      </c>
      <c r="X183" s="382">
        <f t="shared" si="127"/>
        <v>360</v>
      </c>
      <c r="Y183" s="419">
        <v>450</v>
      </c>
      <c r="Z183" s="430">
        <f>PI()*Y183/1000*( Pile!$C$37- Pile!$C183)</f>
        <v>3.3929200658769734</v>
      </c>
      <c r="AA183" s="382">
        <f t="shared" si="128"/>
        <v>0.15904312808798329</v>
      </c>
      <c r="AB183" s="382">
        <f t="shared" si="173"/>
        <v>135.71680263507892</v>
      </c>
      <c r="AC183" s="382">
        <f>Z183* Pile!$S$37</f>
        <v>0</v>
      </c>
      <c r="AD183" s="382">
        <f t="shared" si="179"/>
        <v>135.71680263507892</v>
      </c>
      <c r="AE183" s="382">
        <f>IF(AD183&gt;0,+AD183)/ 'Pile Data and Eurocode Factors'!$B$19/ 'Pile Data and Eurocode Factors'!$B$20+AE$175</f>
        <v>145.11143642714924</v>
      </c>
      <c r="AF183" s="382">
        <f t="shared" si="186"/>
        <v>57.255526111673987</v>
      </c>
      <c r="AG183" s="382">
        <f>AA183* Pile!$U$37</f>
        <v>0</v>
      </c>
      <c r="AH183" s="382">
        <f t="shared" si="129"/>
        <v>57.255526111673987</v>
      </c>
      <c r="AI183" s="382">
        <f>AH183/ 'Pile Data and Eurocode Factors'!$C$19/ 'Pile Data and Eurocode Factors'!$C$20</f>
        <v>24.056943744400836</v>
      </c>
      <c r="AJ183" s="382">
        <f t="shared" si="130"/>
        <v>169.16838017155007</v>
      </c>
      <c r="AK183" s="382">
        <f>VLOOKUP(Y183, 'Pile Data and Eurocode Factors'!$A$34:$J$39,3, FALSE)</f>
        <v>2366.1761868507956</v>
      </c>
      <c r="AL183" s="403">
        <f t="shared" si="131"/>
        <v>169.16838017155007</v>
      </c>
      <c r="AM183" s="419">
        <v>600</v>
      </c>
      <c r="AN183" s="430">
        <f>PI()*AM183/1000*( Pile!$C$37- Pile!$C183)</f>
        <v>4.5238934211692978</v>
      </c>
      <c r="AO183" s="382">
        <f t="shared" si="132"/>
        <v>0.28274333882308139</v>
      </c>
      <c r="AP183" s="382">
        <f t="shared" si="174"/>
        <v>180.95573684677191</v>
      </c>
      <c r="AQ183" s="382">
        <f>AN183* Pile!$S$37</f>
        <v>0</v>
      </c>
      <c r="AR183" s="382">
        <f t="shared" si="180"/>
        <v>180.95573684677191</v>
      </c>
      <c r="AS183" s="382">
        <f>IF(AR183&gt;0,+AR183)/ 'Pile Data and Eurocode Factors'!$B$19/ 'Pile Data and Eurocode Factors'!$B$20+AS$175</f>
        <v>193.48191523619903</v>
      </c>
      <c r="AT183" s="382">
        <f t="shared" si="187"/>
        <v>101.7876019763093</v>
      </c>
      <c r="AU183" s="382">
        <f>AO183* Pile!$U$37</f>
        <v>0</v>
      </c>
      <c r="AV183" s="382">
        <f t="shared" si="133"/>
        <v>101.7876019763093</v>
      </c>
      <c r="AW183" s="382">
        <f>AV183/ 'Pile Data and Eurocode Factors'!$C$19/ 'Pile Data and Eurocode Factors'!$C$20</f>
        <v>42.767899990045926</v>
      </c>
      <c r="AX183" s="382">
        <f t="shared" si="134"/>
        <v>236.24981522624495</v>
      </c>
      <c r="AY183" s="382">
        <f>VLOOKUP(AM183, 'Pile Data and Eurocode Factors'!$A$34:$J$39,3, FALSE)</f>
        <v>4206.5354432903041</v>
      </c>
      <c r="AZ183" s="403">
        <f t="shared" si="135"/>
        <v>236.24981522624495</v>
      </c>
      <c r="BA183" s="419">
        <v>750</v>
      </c>
      <c r="BB183" s="430">
        <f>PI()*BA183/1000*( Pile!$C$37- Pile!$C183)</f>
        <v>5.6548667764616223</v>
      </c>
      <c r="BC183" s="382">
        <f t="shared" si="136"/>
        <v>0.44178646691106466</v>
      </c>
      <c r="BD183" s="382">
        <f t="shared" si="175"/>
        <v>226.19467105846491</v>
      </c>
      <c r="BE183" s="382">
        <f>BB183* Pile!$S$37</f>
        <v>0</v>
      </c>
      <c r="BF183" s="382">
        <f t="shared" si="181"/>
        <v>226.19467105846491</v>
      </c>
      <c r="BG183" s="382">
        <f>IF(BF183&gt;0,+BF183)/ 'Pile Data and Eurocode Factors'!$B$19/ 'Pile Data and Eurocode Factors'!$B$20+BG$175</f>
        <v>241.85239404524873</v>
      </c>
      <c r="BH183" s="382">
        <f t="shared" si="188"/>
        <v>159.04312808798326</v>
      </c>
      <c r="BI183" s="382">
        <f>BC183* Pile!$U$37</f>
        <v>0</v>
      </c>
      <c r="BJ183" s="382">
        <f t="shared" si="137"/>
        <v>159.04312808798326</v>
      </c>
      <c r="BK183" s="382">
        <f>BJ183/ 'Pile Data and Eurocode Factors'!$C$19/ 'Pile Data and Eurocode Factors'!$C$20</f>
        <v>66.824843734446759</v>
      </c>
      <c r="BL183" s="382">
        <f t="shared" si="138"/>
        <v>308.67723777969547</v>
      </c>
      <c r="BM183" s="382">
        <f>VLOOKUP(BA183, 'Pile Data and Eurocode Factors'!$A$34:$J$39,3, FALSE)</f>
        <v>6572.7116301410997</v>
      </c>
      <c r="BN183" s="403">
        <f t="shared" si="139"/>
        <v>308.67723777969547</v>
      </c>
      <c r="BO183" s="419">
        <v>900</v>
      </c>
      <c r="BP183" s="430">
        <f>PI()*BO183/1000*( Pile!$C$37- Pile!$C183)</f>
        <v>6.7858401317539467</v>
      </c>
      <c r="BQ183" s="382">
        <f t="shared" si="140"/>
        <v>0.63617251235193317</v>
      </c>
      <c r="BR183" s="382">
        <f t="shared" si="176"/>
        <v>271.43360527015784</v>
      </c>
      <c r="BS183" s="382">
        <f>BP183* Pile!$S$37</f>
        <v>0</v>
      </c>
      <c r="BT183" s="382">
        <f t="shared" si="182"/>
        <v>271.43360527015784</v>
      </c>
      <c r="BU183" s="382">
        <f>IF(BT183&gt;0,+BT183)/ 'Pile Data and Eurocode Factors'!$B$19/ 'Pile Data and Eurocode Factors'!$B$20+BU$175</f>
        <v>290.22287285429849</v>
      </c>
      <c r="BV183" s="382">
        <f t="shared" si="189"/>
        <v>229.02210444669595</v>
      </c>
      <c r="BW183" s="382">
        <f>BQ183* Pile!$U$37</f>
        <v>0</v>
      </c>
      <c r="BX183" s="382">
        <f t="shared" si="141"/>
        <v>229.02210444669595</v>
      </c>
      <c r="BY183" s="382">
        <f>BX183/ 'Pile Data and Eurocode Factors'!$C$19/ 'Pile Data and Eurocode Factors'!$C$20</f>
        <v>96.227774977603346</v>
      </c>
      <c r="BZ183" s="382">
        <f t="shared" si="142"/>
        <v>386.45064783190185</v>
      </c>
      <c r="CA183" s="382">
        <f>VLOOKUP(BO183, 'Pile Data and Eurocode Factors'!$A$34:$J$39,3, FALSE)</f>
        <v>9464.7047474031824</v>
      </c>
      <c r="CB183" s="403">
        <f t="shared" si="143"/>
        <v>386.45064783190185</v>
      </c>
      <c r="CC183" s="419">
        <v>1050</v>
      </c>
      <c r="CD183" s="430">
        <f>PI()*CC183/1000*( Pile!$C$37- Pile!$C183)</f>
        <v>7.9168134870462712</v>
      </c>
      <c r="CE183" s="382">
        <f t="shared" si="144"/>
        <v>0.86590147514568672</v>
      </c>
      <c r="CF183" s="382">
        <f t="shared" si="177"/>
        <v>316.67253948185083</v>
      </c>
      <c r="CG183" s="382">
        <f>CD183* Pile!$S$37</f>
        <v>0</v>
      </c>
      <c r="CH183" s="382">
        <f t="shared" si="183"/>
        <v>316.67253948185083</v>
      </c>
      <c r="CI183" s="382">
        <f>IF(CH183&gt;0,+CH183)/ 'Pile Data and Eurocode Factors'!$B$19/ 'Pile Data and Eurocode Factors'!$B$20+CI$175</f>
        <v>338.59335166334824</v>
      </c>
      <c r="CJ183" s="382">
        <f t="shared" si="190"/>
        <v>311.72453105244722</v>
      </c>
      <c r="CK183" s="382">
        <f>CE183* Pile!$U$37</f>
        <v>0</v>
      </c>
      <c r="CL183" s="382">
        <f t="shared" si="145"/>
        <v>311.72453105244722</v>
      </c>
      <c r="CM183" s="382">
        <f>CL183/ 'Pile Data and Eurocode Factors'!$C$19/ 'Pile Data and Eurocode Factors'!$C$20</f>
        <v>130.97669371951565</v>
      </c>
      <c r="CN183" s="382">
        <f t="shared" si="146"/>
        <v>469.5700453828639</v>
      </c>
      <c r="CO183" s="382">
        <f>VLOOKUP(CC183, 'Pile Data and Eurocode Factors'!$A$34:$J$39,3, FALSE)</f>
        <v>12882.514795076555</v>
      </c>
      <c r="CP183" s="403">
        <f t="shared" si="147"/>
        <v>469.5700453828639</v>
      </c>
      <c r="CQ183" s="419">
        <v>1200</v>
      </c>
      <c r="CR183" s="430">
        <f>PI()*CQ183/1000*( Pile!$C$37- Pile!$C183)</f>
        <v>9.0477868423385956</v>
      </c>
      <c r="CS183" s="382">
        <f t="shared" si="148"/>
        <v>1.1309733552923256</v>
      </c>
      <c r="CT183" s="382">
        <f t="shared" si="178"/>
        <v>361.91147369354383</v>
      </c>
      <c r="CU183" s="382">
        <f>CR183* Pile!$S$37</f>
        <v>0</v>
      </c>
      <c r="CV183" s="382">
        <f t="shared" si="184"/>
        <v>361.91147369354383</v>
      </c>
      <c r="CW183" s="382">
        <f>IF(CV183&gt;0,+CV183)/ 'Pile Data and Eurocode Factors'!$B$19/ 'Pile Data and Eurocode Factors'!$B$20+CW$175</f>
        <v>386.96383047239806</v>
      </c>
      <c r="CX183" s="382">
        <f t="shared" si="191"/>
        <v>407.15040790523722</v>
      </c>
      <c r="CY183" s="382">
        <f>CS183* Pile!$U$37</f>
        <v>0</v>
      </c>
      <c r="CZ183" s="382">
        <f t="shared" si="149"/>
        <v>407.15040790523722</v>
      </c>
      <c r="DA183" s="382">
        <f>CZ183/ 'Pile Data and Eurocode Factors'!$C$19/ 'Pile Data and Eurocode Factors'!$C$20</f>
        <v>171.0715999601837</v>
      </c>
      <c r="DB183" s="382">
        <f t="shared" si="150"/>
        <v>558.03543043258173</v>
      </c>
      <c r="DC183" s="382">
        <f>VLOOKUP(CQ183, 'Pile Data and Eurocode Factors'!$A$34:$J$39,3, FALSE)</f>
        <v>16826.141773161216</v>
      </c>
      <c r="DD183" s="403">
        <f t="shared" si="151"/>
        <v>558.03543043258173</v>
      </c>
      <c r="DE183" s="420">
        <f xml:space="preserve"> Pile!$C$23- Pile!C183</f>
        <v>8.3999999999999986</v>
      </c>
      <c r="DG183" s="382">
        <f t="shared" si="152"/>
        <v>169.16838017155007</v>
      </c>
      <c r="DH183" s="382">
        <f t="shared" si="153"/>
        <v>236.24981522624495</v>
      </c>
      <c r="DI183" s="382">
        <f t="shared" si="154"/>
        <v>308.67723777969547</v>
      </c>
      <c r="DJ183" s="382"/>
      <c r="DK183" s="382"/>
      <c r="DL183" s="382"/>
    </row>
    <row r="184" spans="2:116" s="308" customFormat="1" ht="15">
      <c r="B184" s="400">
        <v>9</v>
      </c>
      <c r="C184" s="401">
        <f>+C183- Pile!D$37/20</f>
        <v>-2.6999999999999975</v>
      </c>
      <c r="D184" s="415" t="str">
        <f>B24</f>
        <v>Firm Clay</v>
      </c>
      <c r="E184" s="415" t="str">
        <f>F24</f>
        <v>Cohesive</v>
      </c>
      <c r="F184" s="401">
        <f xml:space="preserve"> Pile!$E$37*(+C183-C184)+F183</f>
        <v>148.94999999999999</v>
      </c>
      <c r="G184" s="401">
        <f>IF(C184&gt; Pile!$C$41,0,( Pile!$C$41-C184)*9.81)</f>
        <v>0</v>
      </c>
      <c r="H184" s="401">
        <f t="shared" si="122"/>
        <v>148.94999999999999</v>
      </c>
      <c r="I184" s="401">
        <f t="shared" si="185"/>
        <v>123.97499999999998</v>
      </c>
      <c r="J184" s="401">
        <f>IF(E184="Cohesive",(( Pile!$H$37- Pile!$G$37)/20)+J183,0)</f>
        <v>40</v>
      </c>
      <c r="K184" s="401">
        <f>IF(E184="Cohesive",( Pile!$G$37+ Pile!$J184)/2,0)</f>
        <v>40</v>
      </c>
      <c r="L184" s="401">
        <f>IF( Pile!I$37="",0, Pile!I$37)</f>
        <v>1</v>
      </c>
      <c r="M184" s="401">
        <f>IF( Pile!J$37="",0, Pile!J$37)</f>
        <v>9</v>
      </c>
      <c r="N184" s="401">
        <f>IF(E184="Granular", Pile!$K$37,0)</f>
        <v>0</v>
      </c>
      <c r="O184" s="416">
        <f>IF(AND(E184="Granular",D184&lt;&gt;"Made Ground"), Pile!$L$37,0)</f>
        <v>0</v>
      </c>
      <c r="P184" s="401">
        <f>IF(OR(D184="Low Density Chalk",D184="Medium Density Chalk"), Pile!$M$37,0)</f>
        <v>0</v>
      </c>
      <c r="Q184" s="417">
        <f>IF(D184="High Density Chalk", Pile!$N$37,0)</f>
        <v>0</v>
      </c>
      <c r="R184" s="401">
        <f>IF( Pile!O$37="",0, Pile!O$37)</f>
        <v>0</v>
      </c>
      <c r="S184" s="418">
        <f t="shared" si="124"/>
        <v>40</v>
      </c>
      <c r="T184" s="382">
        <f xml:space="preserve"> Pile!$T$37</f>
        <v>100</v>
      </c>
      <c r="U184" s="382">
        <f t="shared" si="125"/>
        <v>40</v>
      </c>
      <c r="V184" s="382">
        <f t="shared" si="126"/>
        <v>360</v>
      </c>
      <c r="W184" s="382" t="str">
        <f xml:space="preserve"> Pile!$V$37</f>
        <v/>
      </c>
      <c r="X184" s="382">
        <f t="shared" si="127"/>
        <v>360</v>
      </c>
      <c r="Y184" s="419">
        <v>450</v>
      </c>
      <c r="Z184" s="430">
        <f>PI()*Y184/1000*( Pile!$C$37- Pile!$C184)</f>
        <v>3.8170350741115953</v>
      </c>
      <c r="AA184" s="382">
        <f t="shared" si="128"/>
        <v>0.15904312808798329</v>
      </c>
      <c r="AB184" s="382">
        <f t="shared" si="173"/>
        <v>152.68140296446381</v>
      </c>
      <c r="AC184" s="382">
        <f>Z184* Pile!$S$37</f>
        <v>0</v>
      </c>
      <c r="AD184" s="382">
        <f t="shared" si="179"/>
        <v>152.68140296446381</v>
      </c>
      <c r="AE184" s="382">
        <f>IF(AD184&gt;0,+AD184)/ 'Pile Data and Eurocode Factors'!$B$19/ 'Pile Data and Eurocode Factors'!$B$20+AE$175</f>
        <v>153.18981753638016</v>
      </c>
      <c r="AF184" s="382">
        <f t="shared" si="186"/>
        <v>57.255526111673987</v>
      </c>
      <c r="AG184" s="382">
        <f>AA184* Pile!$U$37</f>
        <v>0</v>
      </c>
      <c r="AH184" s="382">
        <f t="shared" si="129"/>
        <v>57.255526111673987</v>
      </c>
      <c r="AI184" s="382">
        <f>AH184/ 'Pile Data and Eurocode Factors'!$C$19/ 'Pile Data and Eurocode Factors'!$C$20</f>
        <v>24.056943744400836</v>
      </c>
      <c r="AJ184" s="382">
        <f t="shared" si="130"/>
        <v>177.24676128078099</v>
      </c>
      <c r="AK184" s="382">
        <f>VLOOKUP(Y184, 'Pile Data and Eurocode Factors'!$A$34:$J$39,3, FALSE)</f>
        <v>2366.1761868507956</v>
      </c>
      <c r="AL184" s="403">
        <f t="shared" si="131"/>
        <v>177.24676128078099</v>
      </c>
      <c r="AM184" s="419">
        <v>600</v>
      </c>
      <c r="AN184" s="430">
        <f>PI()*AM184/1000*( Pile!$C$37- Pile!$C184)</f>
        <v>5.0893800988154601</v>
      </c>
      <c r="AO184" s="382">
        <f t="shared" si="132"/>
        <v>0.28274333882308139</v>
      </c>
      <c r="AP184" s="382">
        <f t="shared" si="174"/>
        <v>203.57520395261841</v>
      </c>
      <c r="AQ184" s="382">
        <f>AN184* Pile!$S$37</f>
        <v>0</v>
      </c>
      <c r="AR184" s="382">
        <f t="shared" si="180"/>
        <v>203.57520395261841</v>
      </c>
      <c r="AS184" s="382">
        <f>IF(AR184&gt;0,+AR184)/ 'Pile Data and Eurocode Factors'!$B$19/ 'Pile Data and Eurocode Factors'!$B$20+AS$175</f>
        <v>204.25309004850686</v>
      </c>
      <c r="AT184" s="382">
        <f t="shared" si="187"/>
        <v>101.7876019763093</v>
      </c>
      <c r="AU184" s="382">
        <f>AO184* Pile!$U$37</f>
        <v>0</v>
      </c>
      <c r="AV184" s="382">
        <f t="shared" si="133"/>
        <v>101.7876019763093</v>
      </c>
      <c r="AW184" s="382">
        <f>AV184/ 'Pile Data and Eurocode Factors'!$C$19/ 'Pile Data and Eurocode Factors'!$C$20</f>
        <v>42.767899990045926</v>
      </c>
      <c r="AX184" s="382">
        <f t="shared" si="134"/>
        <v>247.02099003855278</v>
      </c>
      <c r="AY184" s="382">
        <f>VLOOKUP(AM184, 'Pile Data and Eurocode Factors'!$A$34:$J$39,3, FALSE)</f>
        <v>4206.5354432903041</v>
      </c>
      <c r="AZ184" s="403">
        <f t="shared" si="135"/>
        <v>247.02099003855278</v>
      </c>
      <c r="BA184" s="419">
        <v>750</v>
      </c>
      <c r="BB184" s="430">
        <f>PI()*BA184/1000*( Pile!$C$37- Pile!$C184)</f>
        <v>6.3617251235193253</v>
      </c>
      <c r="BC184" s="382">
        <f t="shared" si="136"/>
        <v>0.44178646691106466</v>
      </c>
      <c r="BD184" s="382">
        <f t="shared" si="175"/>
        <v>254.469004940773</v>
      </c>
      <c r="BE184" s="382">
        <f>BB184* Pile!$S$37</f>
        <v>0</v>
      </c>
      <c r="BF184" s="382">
        <f t="shared" si="181"/>
        <v>254.469004940773</v>
      </c>
      <c r="BG184" s="382">
        <f>IF(BF184&gt;0,+BF184)/ 'Pile Data and Eurocode Factors'!$B$19/ 'Pile Data and Eurocode Factors'!$B$20+BG$175</f>
        <v>255.31636256063359</v>
      </c>
      <c r="BH184" s="382">
        <f t="shared" si="188"/>
        <v>159.04312808798326</v>
      </c>
      <c r="BI184" s="382">
        <f>BC184* Pile!$U$37</f>
        <v>0</v>
      </c>
      <c r="BJ184" s="382">
        <f t="shared" si="137"/>
        <v>159.04312808798326</v>
      </c>
      <c r="BK184" s="382">
        <f>BJ184/ 'Pile Data and Eurocode Factors'!$C$19/ 'Pile Data and Eurocode Factors'!$C$20</f>
        <v>66.824843734446759</v>
      </c>
      <c r="BL184" s="382">
        <f t="shared" si="138"/>
        <v>322.14120629508034</v>
      </c>
      <c r="BM184" s="382">
        <f>VLOOKUP(BA184, 'Pile Data and Eurocode Factors'!$A$34:$J$39,3, FALSE)</f>
        <v>6572.7116301410997</v>
      </c>
      <c r="BN184" s="403">
        <f t="shared" si="139"/>
        <v>322.14120629508034</v>
      </c>
      <c r="BO184" s="419">
        <v>900</v>
      </c>
      <c r="BP184" s="430">
        <f>PI()*BO184/1000*( Pile!$C$37- Pile!$C184)</f>
        <v>7.6340701482231905</v>
      </c>
      <c r="BQ184" s="382">
        <f t="shared" si="140"/>
        <v>0.63617251235193317</v>
      </c>
      <c r="BR184" s="382">
        <f t="shared" si="176"/>
        <v>305.36280592892763</v>
      </c>
      <c r="BS184" s="382">
        <f>BP184* Pile!$S$37</f>
        <v>0</v>
      </c>
      <c r="BT184" s="382">
        <f t="shared" si="182"/>
        <v>305.36280592892763</v>
      </c>
      <c r="BU184" s="382">
        <f>IF(BT184&gt;0,+BT184)/ 'Pile Data and Eurocode Factors'!$B$19/ 'Pile Data and Eurocode Factors'!$B$20+BU$175</f>
        <v>306.37963507276032</v>
      </c>
      <c r="BV184" s="382">
        <f t="shared" si="189"/>
        <v>229.02210444669595</v>
      </c>
      <c r="BW184" s="382">
        <f>BQ184* Pile!$U$37</f>
        <v>0</v>
      </c>
      <c r="BX184" s="382">
        <f t="shared" si="141"/>
        <v>229.02210444669595</v>
      </c>
      <c r="BY184" s="382">
        <f>BX184/ 'Pile Data and Eurocode Factors'!$C$19/ 'Pile Data and Eurocode Factors'!$C$20</f>
        <v>96.227774977603346</v>
      </c>
      <c r="BZ184" s="382">
        <f t="shared" si="142"/>
        <v>402.60741005036368</v>
      </c>
      <c r="CA184" s="382">
        <f>VLOOKUP(BO184, 'Pile Data and Eurocode Factors'!$A$34:$J$39,3, FALSE)</f>
        <v>9464.7047474031824</v>
      </c>
      <c r="CB184" s="403">
        <f t="shared" si="143"/>
        <v>402.60741005036368</v>
      </c>
      <c r="CC184" s="419">
        <v>1050</v>
      </c>
      <c r="CD184" s="430">
        <f>PI()*CC184/1000*( Pile!$C$37- Pile!$C184)</f>
        <v>8.9064151729270549</v>
      </c>
      <c r="CE184" s="382">
        <f t="shared" si="144"/>
        <v>0.86590147514568672</v>
      </c>
      <c r="CF184" s="382">
        <f t="shared" si="177"/>
        <v>356.25660691708219</v>
      </c>
      <c r="CG184" s="382">
        <f>CD184* Pile!$S$37</f>
        <v>0</v>
      </c>
      <c r="CH184" s="382">
        <f t="shared" si="183"/>
        <v>356.25660691708219</v>
      </c>
      <c r="CI184" s="382">
        <f>IF(CH184&gt;0,+CH184)/ 'Pile Data and Eurocode Factors'!$B$19/ 'Pile Data and Eurocode Factors'!$B$20+CI$175</f>
        <v>357.442907584887</v>
      </c>
      <c r="CJ184" s="382">
        <f t="shared" si="190"/>
        <v>311.72453105244722</v>
      </c>
      <c r="CK184" s="382">
        <f>CE184* Pile!$U$37</f>
        <v>0</v>
      </c>
      <c r="CL184" s="382">
        <f t="shared" si="145"/>
        <v>311.72453105244722</v>
      </c>
      <c r="CM184" s="382">
        <f>CL184/ 'Pile Data and Eurocode Factors'!$C$19/ 'Pile Data and Eurocode Factors'!$C$20</f>
        <v>130.97669371951565</v>
      </c>
      <c r="CN184" s="382">
        <f t="shared" si="146"/>
        <v>488.41960130440265</v>
      </c>
      <c r="CO184" s="382">
        <f>VLOOKUP(CC184, 'Pile Data and Eurocode Factors'!$A$34:$J$39,3, FALSE)</f>
        <v>12882.514795076555</v>
      </c>
      <c r="CP184" s="403">
        <f t="shared" si="147"/>
        <v>488.41960130440265</v>
      </c>
      <c r="CQ184" s="419">
        <v>1200</v>
      </c>
      <c r="CR184" s="430">
        <f>PI()*CQ184/1000*( Pile!$C$37- Pile!$C184)</f>
        <v>10.17876019763092</v>
      </c>
      <c r="CS184" s="382">
        <f t="shared" si="148"/>
        <v>1.1309733552923256</v>
      </c>
      <c r="CT184" s="382">
        <f t="shared" si="178"/>
        <v>407.15040790523682</v>
      </c>
      <c r="CU184" s="382">
        <f>CR184* Pile!$S$37</f>
        <v>0</v>
      </c>
      <c r="CV184" s="382">
        <f t="shared" si="184"/>
        <v>407.15040790523682</v>
      </c>
      <c r="CW184" s="382">
        <f>IF(CV184&gt;0,+CV184)/ 'Pile Data and Eurocode Factors'!$B$19/ 'Pile Data and Eurocode Factors'!$B$20+CW$175</f>
        <v>408.50618009701373</v>
      </c>
      <c r="CX184" s="382">
        <f t="shared" si="191"/>
        <v>407.15040790523722</v>
      </c>
      <c r="CY184" s="382">
        <f>CS184* Pile!$U$37</f>
        <v>0</v>
      </c>
      <c r="CZ184" s="382">
        <f t="shared" si="149"/>
        <v>407.15040790523722</v>
      </c>
      <c r="DA184" s="382">
        <f>CZ184/ 'Pile Data and Eurocode Factors'!$C$19/ 'Pile Data and Eurocode Factors'!$C$20</f>
        <v>171.0715999601837</v>
      </c>
      <c r="DB184" s="382">
        <f t="shared" si="150"/>
        <v>579.5777800571974</v>
      </c>
      <c r="DC184" s="382">
        <f>VLOOKUP(CQ184, 'Pile Data and Eurocode Factors'!$A$34:$J$39,3, FALSE)</f>
        <v>16826.141773161216</v>
      </c>
      <c r="DD184" s="403">
        <f t="shared" si="151"/>
        <v>579.5777800571974</v>
      </c>
      <c r="DE184" s="420">
        <f xml:space="preserve"> Pile!$C$23- Pile!C184</f>
        <v>8.6999999999999975</v>
      </c>
      <c r="DG184" s="382">
        <f t="shared" si="152"/>
        <v>177.24676128078099</v>
      </c>
      <c r="DH184" s="382">
        <f t="shared" si="153"/>
        <v>247.02099003855278</v>
      </c>
      <c r="DI184" s="382">
        <f t="shared" si="154"/>
        <v>322.14120629508034</v>
      </c>
      <c r="DJ184" s="382"/>
      <c r="DK184" s="382"/>
      <c r="DL184" s="382"/>
    </row>
    <row r="185" spans="2:116" s="308" customFormat="1" ht="15">
      <c r="B185" s="400">
        <v>10</v>
      </c>
      <c r="C185" s="401">
        <f>+C184- Pile!D$37/20</f>
        <v>-2.9999999999999973</v>
      </c>
      <c r="D185" s="415" t="str">
        <f>B24</f>
        <v>Firm Clay</v>
      </c>
      <c r="E185" s="415" t="str">
        <f>F24</f>
        <v>Cohesive</v>
      </c>
      <c r="F185" s="401">
        <f xml:space="preserve"> Pile!$E$37*(+C184-C185)+F184</f>
        <v>154.5</v>
      </c>
      <c r="G185" s="401">
        <f>IF(C185&gt; Pile!$C$41,0,( Pile!$C$41-C185)*9.81)</f>
        <v>0</v>
      </c>
      <c r="H185" s="401">
        <f t="shared" si="122"/>
        <v>154.5</v>
      </c>
      <c r="I185" s="401">
        <f t="shared" si="185"/>
        <v>126.74999999999999</v>
      </c>
      <c r="J185" s="401">
        <f>IF(E185="Cohesive",(( Pile!$H$37- Pile!$G$37)/20)+J184,0)</f>
        <v>40</v>
      </c>
      <c r="K185" s="401">
        <f>IF(E185="Cohesive",( Pile!$G$37+ Pile!$J185)/2,0)</f>
        <v>40</v>
      </c>
      <c r="L185" s="401">
        <f>IF( Pile!I$37="",0, Pile!I$37)</f>
        <v>1</v>
      </c>
      <c r="M185" s="401">
        <f>IF( Pile!J$37="",0, Pile!J$37)</f>
        <v>9</v>
      </c>
      <c r="N185" s="401">
        <f>IF(E185="Granular", Pile!$K$37,0)</f>
        <v>0</v>
      </c>
      <c r="O185" s="416">
        <f>IF(AND(E185="Granular",D185&lt;&gt;"Made Ground"), Pile!$L$37,0)</f>
        <v>0</v>
      </c>
      <c r="P185" s="401">
        <f>IF(OR(D185="Low Density Chalk",D185="Medium Density Chalk"), Pile!$M$37,0)</f>
        <v>0</v>
      </c>
      <c r="Q185" s="417">
        <f>IF(D185="High Density Chalk", Pile!$N$37,0)</f>
        <v>0</v>
      </c>
      <c r="R185" s="401">
        <f>IF( Pile!O$37="",0, Pile!O$37)</f>
        <v>0</v>
      </c>
      <c r="S185" s="418">
        <f t="shared" si="124"/>
        <v>40</v>
      </c>
      <c r="T185" s="382">
        <f xml:space="preserve"> Pile!$T$37</f>
        <v>100</v>
      </c>
      <c r="U185" s="382">
        <f t="shared" si="125"/>
        <v>40</v>
      </c>
      <c r="V185" s="382">
        <f t="shared" si="126"/>
        <v>360</v>
      </c>
      <c r="W185" s="382" t="str">
        <f xml:space="preserve"> Pile!$V$37</f>
        <v/>
      </c>
      <c r="X185" s="382">
        <f t="shared" si="127"/>
        <v>360</v>
      </c>
      <c r="Y185" s="419">
        <v>450</v>
      </c>
      <c r="Z185" s="430">
        <f>PI()*Y185/1000*( Pile!$C$37- Pile!$C185)</f>
        <v>4.2411500823462172</v>
      </c>
      <c r="AA185" s="382">
        <f t="shared" si="128"/>
        <v>0.15904312808798329</v>
      </c>
      <c r="AB185" s="382">
        <f t="shared" si="173"/>
        <v>169.64600329384868</v>
      </c>
      <c r="AC185" s="382">
        <f>Z185* Pile!$S$37</f>
        <v>0</v>
      </c>
      <c r="AD185" s="382">
        <f t="shared" si="179"/>
        <v>169.64600329384868</v>
      </c>
      <c r="AE185" s="382">
        <f>IF(AD185&gt;0,+AD185)/ 'Pile Data and Eurocode Factors'!$B$19/ 'Pile Data and Eurocode Factors'!$B$20+AE$175</f>
        <v>161.26819864561105</v>
      </c>
      <c r="AF185" s="382">
        <f t="shared" si="186"/>
        <v>57.255526111673987</v>
      </c>
      <c r="AG185" s="382">
        <f>AA185* Pile!$U$37</f>
        <v>0</v>
      </c>
      <c r="AH185" s="382">
        <f t="shared" si="129"/>
        <v>57.255526111673987</v>
      </c>
      <c r="AI185" s="382">
        <f>AH185/ 'Pile Data and Eurocode Factors'!$C$19/ 'Pile Data and Eurocode Factors'!$C$20</f>
        <v>24.056943744400836</v>
      </c>
      <c r="AJ185" s="382">
        <f t="shared" si="130"/>
        <v>185.32514239001188</v>
      </c>
      <c r="AK185" s="382">
        <f>VLOOKUP(Y185, 'Pile Data and Eurocode Factors'!$A$34:$J$39,3, FALSE)</f>
        <v>2366.1761868507956</v>
      </c>
      <c r="AL185" s="403">
        <f t="shared" si="131"/>
        <v>185.32514239001188</v>
      </c>
      <c r="AM185" s="419">
        <v>600</v>
      </c>
      <c r="AN185" s="430">
        <f>PI()*AM185/1000*( Pile!$C$37- Pile!$C185)</f>
        <v>5.6548667764616223</v>
      </c>
      <c r="AO185" s="382">
        <f t="shared" si="132"/>
        <v>0.28274333882308139</v>
      </c>
      <c r="AP185" s="382">
        <f t="shared" si="174"/>
        <v>226.19467105846491</v>
      </c>
      <c r="AQ185" s="382">
        <f>AN185* Pile!$S$37</f>
        <v>0</v>
      </c>
      <c r="AR185" s="382">
        <f t="shared" si="180"/>
        <v>226.19467105846491</v>
      </c>
      <c r="AS185" s="382">
        <f>IF(AR185&gt;0,+AR185)/ 'Pile Data and Eurocode Factors'!$B$19/ 'Pile Data and Eurocode Factors'!$B$20+AS$175</f>
        <v>215.0242648608147</v>
      </c>
      <c r="AT185" s="382">
        <f t="shared" si="187"/>
        <v>101.7876019763093</v>
      </c>
      <c r="AU185" s="382">
        <f>AO185* Pile!$U$37</f>
        <v>0</v>
      </c>
      <c r="AV185" s="382">
        <f t="shared" si="133"/>
        <v>101.7876019763093</v>
      </c>
      <c r="AW185" s="382">
        <f>AV185/ 'Pile Data and Eurocode Factors'!$C$19/ 'Pile Data and Eurocode Factors'!$C$20</f>
        <v>42.767899990045926</v>
      </c>
      <c r="AX185" s="382">
        <f t="shared" si="134"/>
        <v>257.79216485086062</v>
      </c>
      <c r="AY185" s="382">
        <f>VLOOKUP(AM185, 'Pile Data and Eurocode Factors'!$A$34:$J$39,3, FALSE)</f>
        <v>4206.5354432903041</v>
      </c>
      <c r="AZ185" s="403">
        <f t="shared" si="135"/>
        <v>257.79216485086062</v>
      </c>
      <c r="BA185" s="419">
        <v>750</v>
      </c>
      <c r="BB185" s="430">
        <f>PI()*BA185/1000*( Pile!$C$37- Pile!$C185)</f>
        <v>7.0685834705770283</v>
      </c>
      <c r="BC185" s="382">
        <f t="shared" si="136"/>
        <v>0.44178646691106466</v>
      </c>
      <c r="BD185" s="382">
        <f t="shared" si="175"/>
        <v>282.7433388230811</v>
      </c>
      <c r="BE185" s="382">
        <f>BB185* Pile!$S$37</f>
        <v>0</v>
      </c>
      <c r="BF185" s="382">
        <f t="shared" si="181"/>
        <v>282.7433388230811</v>
      </c>
      <c r="BG185" s="382">
        <f>IF(BF185&gt;0,+BF185)/ 'Pile Data and Eurocode Factors'!$B$19/ 'Pile Data and Eurocode Factors'!$B$20+BG$175</f>
        <v>268.78033107601834</v>
      </c>
      <c r="BH185" s="382">
        <f t="shared" si="188"/>
        <v>159.04312808798326</v>
      </c>
      <c r="BI185" s="382">
        <f>BC185* Pile!$U$37</f>
        <v>0</v>
      </c>
      <c r="BJ185" s="382">
        <f t="shared" si="137"/>
        <v>159.04312808798326</v>
      </c>
      <c r="BK185" s="382">
        <f>BJ185/ 'Pile Data and Eurocode Factors'!$C$19/ 'Pile Data and Eurocode Factors'!$C$20</f>
        <v>66.824843734446759</v>
      </c>
      <c r="BL185" s="382">
        <f t="shared" si="138"/>
        <v>335.60517481046509</v>
      </c>
      <c r="BM185" s="382">
        <f>VLOOKUP(BA185, 'Pile Data and Eurocode Factors'!$A$34:$J$39,3, FALSE)</f>
        <v>6572.7116301410997</v>
      </c>
      <c r="BN185" s="403">
        <f t="shared" si="139"/>
        <v>335.60517481046509</v>
      </c>
      <c r="BO185" s="419">
        <v>900</v>
      </c>
      <c r="BP185" s="430">
        <f>PI()*BO185/1000*( Pile!$C$37- Pile!$C185)</f>
        <v>8.4823001646924343</v>
      </c>
      <c r="BQ185" s="382">
        <f t="shared" si="140"/>
        <v>0.63617251235193317</v>
      </c>
      <c r="BR185" s="382">
        <f t="shared" si="176"/>
        <v>339.29200658769736</v>
      </c>
      <c r="BS185" s="382">
        <f>BP185* Pile!$S$37</f>
        <v>0</v>
      </c>
      <c r="BT185" s="382">
        <f t="shared" si="182"/>
        <v>339.29200658769736</v>
      </c>
      <c r="BU185" s="382">
        <f>IF(BT185&gt;0,+BT185)/ 'Pile Data and Eurocode Factors'!$B$19/ 'Pile Data and Eurocode Factors'!$B$20+BU$175</f>
        <v>322.5363972912221</v>
      </c>
      <c r="BV185" s="382">
        <f t="shared" si="189"/>
        <v>229.02210444669595</v>
      </c>
      <c r="BW185" s="382">
        <f>BQ185* Pile!$U$37</f>
        <v>0</v>
      </c>
      <c r="BX185" s="382">
        <f t="shared" si="141"/>
        <v>229.02210444669595</v>
      </c>
      <c r="BY185" s="382">
        <f>BX185/ 'Pile Data and Eurocode Factors'!$C$19/ 'Pile Data and Eurocode Factors'!$C$20</f>
        <v>96.227774977603346</v>
      </c>
      <c r="BZ185" s="382">
        <f t="shared" si="142"/>
        <v>418.76417226882546</v>
      </c>
      <c r="CA185" s="382">
        <f>VLOOKUP(BO185, 'Pile Data and Eurocode Factors'!$A$34:$J$39,3, FALSE)</f>
        <v>9464.7047474031824</v>
      </c>
      <c r="CB185" s="403">
        <f t="shared" si="143"/>
        <v>418.76417226882546</v>
      </c>
      <c r="CC185" s="419">
        <v>1050</v>
      </c>
      <c r="CD185" s="430">
        <f>PI()*CC185/1000*( Pile!$C$37- Pile!$C185)</f>
        <v>9.8960168588078403</v>
      </c>
      <c r="CE185" s="382">
        <f t="shared" si="144"/>
        <v>0.86590147514568672</v>
      </c>
      <c r="CF185" s="382">
        <f t="shared" si="177"/>
        <v>395.84067435231361</v>
      </c>
      <c r="CG185" s="382">
        <f>CD185* Pile!$S$37</f>
        <v>0</v>
      </c>
      <c r="CH185" s="382">
        <f t="shared" si="183"/>
        <v>395.84067435231361</v>
      </c>
      <c r="CI185" s="382">
        <f>IF(CH185&gt;0,+CH185)/ 'Pile Data and Eurocode Factors'!$B$19/ 'Pile Data and Eurocode Factors'!$B$20+CI$175</f>
        <v>376.29246350642575</v>
      </c>
      <c r="CJ185" s="382">
        <f t="shared" si="190"/>
        <v>311.72453105244722</v>
      </c>
      <c r="CK185" s="382">
        <f>CE185* Pile!$U$37</f>
        <v>0</v>
      </c>
      <c r="CL185" s="382">
        <f t="shared" si="145"/>
        <v>311.72453105244722</v>
      </c>
      <c r="CM185" s="382">
        <f>CL185/ 'Pile Data and Eurocode Factors'!$C$19/ 'Pile Data and Eurocode Factors'!$C$20</f>
        <v>130.97669371951565</v>
      </c>
      <c r="CN185" s="382">
        <f t="shared" si="146"/>
        <v>507.2691572259414</v>
      </c>
      <c r="CO185" s="382">
        <f>VLOOKUP(CC185, 'Pile Data and Eurocode Factors'!$A$34:$J$39,3, FALSE)</f>
        <v>12882.514795076555</v>
      </c>
      <c r="CP185" s="403">
        <f t="shared" si="147"/>
        <v>507.2691572259414</v>
      </c>
      <c r="CQ185" s="419">
        <v>1200</v>
      </c>
      <c r="CR185" s="430">
        <f>PI()*CQ185/1000*( Pile!$C$37- Pile!$C185)</f>
        <v>11.309733552923245</v>
      </c>
      <c r="CS185" s="382">
        <f t="shared" si="148"/>
        <v>1.1309733552923256</v>
      </c>
      <c r="CT185" s="382">
        <f t="shared" si="178"/>
        <v>452.38934211692981</v>
      </c>
      <c r="CU185" s="382">
        <f>CR185* Pile!$S$37</f>
        <v>0</v>
      </c>
      <c r="CV185" s="382">
        <f t="shared" si="184"/>
        <v>452.38934211692981</v>
      </c>
      <c r="CW185" s="382">
        <f>IF(CV185&gt;0,+CV185)/ 'Pile Data and Eurocode Factors'!$B$19/ 'Pile Data and Eurocode Factors'!$B$20+CW$175</f>
        <v>430.04852972162939</v>
      </c>
      <c r="CX185" s="382">
        <f t="shared" si="191"/>
        <v>407.15040790523722</v>
      </c>
      <c r="CY185" s="382">
        <f>CS185* Pile!$U$37</f>
        <v>0</v>
      </c>
      <c r="CZ185" s="382">
        <f t="shared" si="149"/>
        <v>407.15040790523722</v>
      </c>
      <c r="DA185" s="382">
        <f>CZ185/ 'Pile Data and Eurocode Factors'!$C$19/ 'Pile Data and Eurocode Factors'!$C$20</f>
        <v>171.0715999601837</v>
      </c>
      <c r="DB185" s="382">
        <f t="shared" si="150"/>
        <v>601.12012968181307</v>
      </c>
      <c r="DC185" s="382">
        <f>VLOOKUP(CQ185, 'Pile Data and Eurocode Factors'!$A$34:$J$39,3, FALSE)</f>
        <v>16826.141773161216</v>
      </c>
      <c r="DD185" s="403">
        <f t="shared" si="151"/>
        <v>601.12012968181307</v>
      </c>
      <c r="DE185" s="420">
        <f xml:space="preserve"> Pile!$C$23- Pile!C185</f>
        <v>8.9999999999999964</v>
      </c>
      <c r="DG185" s="382">
        <f t="shared" si="152"/>
        <v>185.32514239001188</v>
      </c>
      <c r="DH185" s="382">
        <f t="shared" si="153"/>
        <v>257.79216485086062</v>
      </c>
      <c r="DI185" s="382">
        <f t="shared" si="154"/>
        <v>335.60517481046509</v>
      </c>
      <c r="DJ185" s="382"/>
      <c r="DK185" s="382"/>
      <c r="DL185" s="382"/>
    </row>
    <row r="186" spans="2:116" s="308" customFormat="1" ht="15">
      <c r="B186" s="400">
        <v>11</v>
      </c>
      <c r="C186" s="401">
        <f>+C185- Pile!D$37/20</f>
        <v>-3.2999999999999972</v>
      </c>
      <c r="D186" s="415" t="str">
        <f>B24</f>
        <v>Firm Clay</v>
      </c>
      <c r="E186" s="415" t="str">
        <f>F24</f>
        <v>Cohesive</v>
      </c>
      <c r="F186" s="401">
        <f xml:space="preserve"> Pile!$E$37*(+C185-C186)+F185</f>
        <v>160.05000000000001</v>
      </c>
      <c r="G186" s="401">
        <f>IF(C186&gt; Pile!$C$41,0,( Pile!$C$41-C186)*9.81)</f>
        <v>0</v>
      </c>
      <c r="H186" s="401">
        <f t="shared" si="122"/>
        <v>160.05000000000001</v>
      </c>
      <c r="I186" s="401">
        <f t="shared" si="185"/>
        <v>129.52499999999998</v>
      </c>
      <c r="J186" s="401">
        <f>IF(E186="Cohesive",(( Pile!$H$37- Pile!$G$37)/20)+J185,0)</f>
        <v>40</v>
      </c>
      <c r="K186" s="401">
        <f>IF(E186="Cohesive",( Pile!$G$37+ Pile!$J186)/2,0)</f>
        <v>40</v>
      </c>
      <c r="L186" s="401">
        <f>IF( Pile!I$37="",0, Pile!I$37)</f>
        <v>1</v>
      </c>
      <c r="M186" s="401">
        <f>IF( Pile!J$37="",0, Pile!J$37)</f>
        <v>9</v>
      </c>
      <c r="N186" s="401">
        <f>IF(E186="Granular", Pile!$K$37,0)</f>
        <v>0</v>
      </c>
      <c r="O186" s="416">
        <f>IF(AND(E186="Granular",D186&lt;&gt;"Made Ground"), Pile!$L$37,0)</f>
        <v>0</v>
      </c>
      <c r="P186" s="401">
        <f>IF(OR(D186="Low Density Chalk",D186="Medium Density Chalk"), Pile!$M$37,0)</f>
        <v>0</v>
      </c>
      <c r="Q186" s="417">
        <f>IF(D186="High Density Chalk", Pile!$N$37,0)</f>
        <v>0</v>
      </c>
      <c r="R186" s="401">
        <f>IF( Pile!O$37="",0, Pile!O$37)</f>
        <v>0</v>
      </c>
      <c r="S186" s="418">
        <f t="shared" si="124"/>
        <v>40</v>
      </c>
      <c r="T186" s="382">
        <f xml:space="preserve"> Pile!$T$37</f>
        <v>100</v>
      </c>
      <c r="U186" s="382">
        <f t="shared" si="125"/>
        <v>40</v>
      </c>
      <c r="V186" s="382">
        <f t="shared" si="126"/>
        <v>360</v>
      </c>
      <c r="W186" s="382" t="str">
        <f xml:space="preserve"> Pile!$V$37</f>
        <v/>
      </c>
      <c r="X186" s="382">
        <f t="shared" si="127"/>
        <v>360</v>
      </c>
      <c r="Y186" s="419">
        <v>450</v>
      </c>
      <c r="Z186" s="430">
        <f>PI()*Y186/1000*( Pile!$C$37- Pile!$C186)</f>
        <v>4.6652650905808386</v>
      </c>
      <c r="AA186" s="382">
        <f t="shared" si="128"/>
        <v>0.15904312808798329</v>
      </c>
      <c r="AB186" s="382">
        <f t="shared" si="173"/>
        <v>186.61060362323354</v>
      </c>
      <c r="AC186" s="382">
        <f>Z186* Pile!$S$37</f>
        <v>0</v>
      </c>
      <c r="AD186" s="382">
        <f t="shared" si="179"/>
        <v>186.61060362323354</v>
      </c>
      <c r="AE186" s="382">
        <f>IF(AD186&gt;0,+AD186)/ 'Pile Data and Eurocode Factors'!$B$19/ 'Pile Data and Eurocode Factors'!$B$20+AE$175</f>
        <v>169.34657975484194</v>
      </c>
      <c r="AF186" s="382">
        <f t="shared" si="186"/>
        <v>57.255526111673987</v>
      </c>
      <c r="AG186" s="382">
        <f>AA186* Pile!$U$37</f>
        <v>0</v>
      </c>
      <c r="AH186" s="382">
        <f t="shared" si="129"/>
        <v>57.255526111673987</v>
      </c>
      <c r="AI186" s="382">
        <f>AH186/ 'Pile Data and Eurocode Factors'!$C$19/ 'Pile Data and Eurocode Factors'!$C$20</f>
        <v>24.056943744400836</v>
      </c>
      <c r="AJ186" s="382">
        <f t="shared" si="130"/>
        <v>193.40352349924277</v>
      </c>
      <c r="AK186" s="382">
        <f>VLOOKUP(Y186, 'Pile Data and Eurocode Factors'!$A$34:$J$39,3, FALSE)</f>
        <v>2366.1761868507956</v>
      </c>
      <c r="AL186" s="403">
        <f t="shared" si="131"/>
        <v>193.40352349924277</v>
      </c>
      <c r="AM186" s="419">
        <v>600</v>
      </c>
      <c r="AN186" s="430">
        <f>PI()*AM186/1000*( Pile!$C$37- Pile!$C186)</f>
        <v>6.2203534541077854</v>
      </c>
      <c r="AO186" s="382">
        <f t="shared" si="132"/>
        <v>0.28274333882308139</v>
      </c>
      <c r="AP186" s="382">
        <f t="shared" si="174"/>
        <v>248.81413816431143</v>
      </c>
      <c r="AQ186" s="382">
        <f>AN186* Pile!$S$37</f>
        <v>0</v>
      </c>
      <c r="AR186" s="382">
        <f t="shared" si="180"/>
        <v>248.81413816431143</v>
      </c>
      <c r="AS186" s="382">
        <f>IF(AR186&gt;0,+AR186)/ 'Pile Data and Eurocode Factors'!$B$19/ 'Pile Data and Eurocode Factors'!$B$20+AS$175</f>
        <v>225.79543967312259</v>
      </c>
      <c r="AT186" s="382">
        <f t="shared" si="187"/>
        <v>101.7876019763093</v>
      </c>
      <c r="AU186" s="382">
        <f>AO186* Pile!$U$37</f>
        <v>0</v>
      </c>
      <c r="AV186" s="382">
        <f t="shared" si="133"/>
        <v>101.7876019763093</v>
      </c>
      <c r="AW186" s="382">
        <f>AV186/ 'Pile Data and Eurocode Factors'!$C$19/ 'Pile Data and Eurocode Factors'!$C$20</f>
        <v>42.767899990045926</v>
      </c>
      <c r="AX186" s="382">
        <f t="shared" si="134"/>
        <v>268.56333966316851</v>
      </c>
      <c r="AY186" s="382">
        <f>VLOOKUP(AM186, 'Pile Data and Eurocode Factors'!$A$34:$J$39,3, FALSE)</f>
        <v>4206.5354432903041</v>
      </c>
      <c r="AZ186" s="403">
        <f t="shared" si="135"/>
        <v>268.56333966316851</v>
      </c>
      <c r="BA186" s="419">
        <v>750</v>
      </c>
      <c r="BB186" s="430">
        <f>PI()*BA186/1000*( Pile!$C$37- Pile!$C186)</f>
        <v>7.7754418176347313</v>
      </c>
      <c r="BC186" s="382">
        <f t="shared" si="136"/>
        <v>0.44178646691106466</v>
      </c>
      <c r="BD186" s="382">
        <f t="shared" si="175"/>
        <v>311.01767270538926</v>
      </c>
      <c r="BE186" s="382">
        <f>BB186* Pile!$S$37</f>
        <v>0</v>
      </c>
      <c r="BF186" s="382">
        <f t="shared" si="181"/>
        <v>311.01767270538926</v>
      </c>
      <c r="BG186" s="382">
        <f>IF(BF186&gt;0,+BF186)/ 'Pile Data and Eurocode Factors'!$B$19/ 'Pile Data and Eurocode Factors'!$B$20+BG$175</f>
        <v>282.24429959140321</v>
      </c>
      <c r="BH186" s="382">
        <f t="shared" si="188"/>
        <v>159.04312808798326</v>
      </c>
      <c r="BI186" s="382">
        <f>BC186* Pile!$U$37</f>
        <v>0</v>
      </c>
      <c r="BJ186" s="382">
        <f t="shared" si="137"/>
        <v>159.04312808798326</v>
      </c>
      <c r="BK186" s="382">
        <f>BJ186/ 'Pile Data and Eurocode Factors'!$C$19/ 'Pile Data and Eurocode Factors'!$C$20</f>
        <v>66.824843734446759</v>
      </c>
      <c r="BL186" s="382">
        <f t="shared" si="138"/>
        <v>349.06914332584995</v>
      </c>
      <c r="BM186" s="382">
        <f>VLOOKUP(BA186, 'Pile Data and Eurocode Factors'!$A$34:$J$39,3, FALSE)</f>
        <v>6572.7116301410997</v>
      </c>
      <c r="BN186" s="403">
        <f t="shared" si="139"/>
        <v>349.06914332584995</v>
      </c>
      <c r="BO186" s="419">
        <v>900</v>
      </c>
      <c r="BP186" s="430">
        <f>PI()*BO186/1000*( Pile!$C$37- Pile!$C186)</f>
        <v>9.3305301811616772</v>
      </c>
      <c r="BQ186" s="382">
        <f t="shared" si="140"/>
        <v>0.63617251235193317</v>
      </c>
      <c r="BR186" s="382">
        <f t="shared" si="176"/>
        <v>373.22120724646709</v>
      </c>
      <c r="BS186" s="382">
        <f>BP186* Pile!$S$37</f>
        <v>0</v>
      </c>
      <c r="BT186" s="382">
        <f t="shared" si="182"/>
        <v>373.22120724646709</v>
      </c>
      <c r="BU186" s="382">
        <f>IF(BT186&gt;0,+BT186)/ 'Pile Data and Eurocode Factors'!$B$19/ 'Pile Data and Eurocode Factors'!$B$20+BU$175</f>
        <v>338.69315950968388</v>
      </c>
      <c r="BV186" s="382">
        <f t="shared" si="189"/>
        <v>229.02210444669595</v>
      </c>
      <c r="BW186" s="382">
        <f>BQ186* Pile!$U$37</f>
        <v>0</v>
      </c>
      <c r="BX186" s="382">
        <f t="shared" si="141"/>
        <v>229.02210444669595</v>
      </c>
      <c r="BY186" s="382">
        <f>BX186/ 'Pile Data and Eurocode Factors'!$C$19/ 'Pile Data and Eurocode Factors'!$C$20</f>
        <v>96.227774977603346</v>
      </c>
      <c r="BZ186" s="382">
        <f t="shared" si="142"/>
        <v>434.92093448728724</v>
      </c>
      <c r="CA186" s="382">
        <f>VLOOKUP(BO186, 'Pile Data and Eurocode Factors'!$A$34:$J$39,3, FALSE)</f>
        <v>9464.7047474031824</v>
      </c>
      <c r="CB186" s="403">
        <f t="shared" si="143"/>
        <v>434.92093448728724</v>
      </c>
      <c r="CC186" s="419">
        <v>1050</v>
      </c>
      <c r="CD186" s="430">
        <f>PI()*CC186/1000*( Pile!$C$37- Pile!$C186)</f>
        <v>10.885618544688624</v>
      </c>
      <c r="CE186" s="382">
        <f t="shared" si="144"/>
        <v>0.86590147514568672</v>
      </c>
      <c r="CF186" s="382">
        <f t="shared" si="177"/>
        <v>435.42474178754497</v>
      </c>
      <c r="CG186" s="382">
        <f>CD186* Pile!$S$37</f>
        <v>0</v>
      </c>
      <c r="CH186" s="382">
        <f t="shared" si="183"/>
        <v>435.42474178754497</v>
      </c>
      <c r="CI186" s="382">
        <f>IF(CH186&gt;0,+CH186)/ 'Pile Data and Eurocode Factors'!$B$19/ 'Pile Data and Eurocode Factors'!$B$20+CI$175</f>
        <v>395.1420194279645</v>
      </c>
      <c r="CJ186" s="382">
        <f t="shared" si="190"/>
        <v>311.72453105244722</v>
      </c>
      <c r="CK186" s="382">
        <f>CE186* Pile!$U$37</f>
        <v>0</v>
      </c>
      <c r="CL186" s="382">
        <f t="shared" si="145"/>
        <v>311.72453105244722</v>
      </c>
      <c r="CM186" s="382">
        <f>CL186/ 'Pile Data and Eurocode Factors'!$C$19/ 'Pile Data and Eurocode Factors'!$C$20</f>
        <v>130.97669371951565</v>
      </c>
      <c r="CN186" s="382">
        <f t="shared" si="146"/>
        <v>526.11871314748009</v>
      </c>
      <c r="CO186" s="382">
        <f>VLOOKUP(CC186, 'Pile Data and Eurocode Factors'!$A$34:$J$39,3, FALSE)</f>
        <v>12882.514795076555</v>
      </c>
      <c r="CP186" s="403">
        <f t="shared" si="147"/>
        <v>526.11871314748009</v>
      </c>
      <c r="CQ186" s="419">
        <v>1200</v>
      </c>
      <c r="CR186" s="430">
        <f>PI()*CQ186/1000*( Pile!$C$37- Pile!$C186)</f>
        <v>12.440706908215571</v>
      </c>
      <c r="CS186" s="382">
        <f t="shared" si="148"/>
        <v>1.1309733552923256</v>
      </c>
      <c r="CT186" s="382">
        <f t="shared" si="178"/>
        <v>497.62827632862286</v>
      </c>
      <c r="CU186" s="382">
        <f>CR186* Pile!$S$37</f>
        <v>0</v>
      </c>
      <c r="CV186" s="382">
        <f t="shared" si="184"/>
        <v>497.62827632862286</v>
      </c>
      <c r="CW186" s="382">
        <f>IF(CV186&gt;0,+CV186)/ 'Pile Data and Eurocode Factors'!$B$19/ 'Pile Data and Eurocode Factors'!$B$20+CW$175</f>
        <v>451.59087934624517</v>
      </c>
      <c r="CX186" s="382">
        <f t="shared" si="191"/>
        <v>407.15040790523722</v>
      </c>
      <c r="CY186" s="382">
        <f>CS186* Pile!$U$37</f>
        <v>0</v>
      </c>
      <c r="CZ186" s="382">
        <f t="shared" si="149"/>
        <v>407.15040790523722</v>
      </c>
      <c r="DA186" s="382">
        <f>CZ186/ 'Pile Data and Eurocode Factors'!$C$19/ 'Pile Data and Eurocode Factors'!$C$20</f>
        <v>171.0715999601837</v>
      </c>
      <c r="DB186" s="382">
        <f t="shared" si="150"/>
        <v>622.66247930642885</v>
      </c>
      <c r="DC186" s="382">
        <f>VLOOKUP(CQ186, 'Pile Data and Eurocode Factors'!$A$34:$J$39,3, FALSE)</f>
        <v>16826.141773161216</v>
      </c>
      <c r="DD186" s="403">
        <f t="shared" si="151"/>
        <v>622.66247930642885</v>
      </c>
      <c r="DE186" s="420">
        <f xml:space="preserve"> Pile!$C$23- Pile!C186</f>
        <v>9.2999999999999972</v>
      </c>
      <c r="DG186" s="382">
        <f t="shared" si="152"/>
        <v>193.40352349924277</v>
      </c>
      <c r="DH186" s="382">
        <f t="shared" si="153"/>
        <v>268.56333966316851</v>
      </c>
      <c r="DI186" s="382">
        <f t="shared" si="154"/>
        <v>349.06914332584995</v>
      </c>
      <c r="DJ186" s="382"/>
      <c r="DK186" s="382"/>
      <c r="DL186" s="382"/>
    </row>
    <row r="187" spans="2:116" s="308" customFormat="1" ht="15">
      <c r="B187" s="400">
        <v>12</v>
      </c>
      <c r="C187" s="401">
        <f>+C186- Pile!D$37/20</f>
        <v>-3.599999999999997</v>
      </c>
      <c r="D187" s="415" t="str">
        <f>B24</f>
        <v>Firm Clay</v>
      </c>
      <c r="E187" s="415" t="str">
        <f>F24</f>
        <v>Cohesive</v>
      </c>
      <c r="F187" s="401">
        <f xml:space="preserve"> Pile!$E$37*(+C186-C187)+F186</f>
        <v>165.60000000000002</v>
      </c>
      <c r="G187" s="401">
        <f>IF(C187&gt; Pile!$C$41,0,( Pile!$C$41-C187)*9.81)</f>
        <v>0</v>
      </c>
      <c r="H187" s="401">
        <f t="shared" si="122"/>
        <v>165.60000000000002</v>
      </c>
      <c r="I187" s="401">
        <f t="shared" si="185"/>
        <v>132.30000000000001</v>
      </c>
      <c r="J187" s="401">
        <f>IF(E187="Cohesive",(( Pile!$H$37- Pile!$G$37)/20)+J186,0)</f>
        <v>40</v>
      </c>
      <c r="K187" s="401">
        <f>IF(E187="Cohesive",( Pile!$G$37+ Pile!$J187)/2,0)</f>
        <v>40</v>
      </c>
      <c r="L187" s="401">
        <f>IF( Pile!I$37="",0, Pile!I$37)</f>
        <v>1</v>
      </c>
      <c r="M187" s="401">
        <f>IF( Pile!J$37="",0, Pile!J$37)</f>
        <v>9</v>
      </c>
      <c r="N187" s="401">
        <f>IF(E187="Granular", Pile!$K$37,0)</f>
        <v>0</v>
      </c>
      <c r="O187" s="416">
        <f>IF(AND(E187="Granular",D187&lt;&gt;"Made Ground"), Pile!$L$37,0)</f>
        <v>0</v>
      </c>
      <c r="P187" s="401">
        <f>IF(OR(D187="Low Density Chalk",D187="Medium Density Chalk"), Pile!$M$37,0)</f>
        <v>0</v>
      </c>
      <c r="Q187" s="417">
        <f>IF(D187="High Density Chalk", Pile!$N$37,0)</f>
        <v>0</v>
      </c>
      <c r="R187" s="401">
        <f>IF( Pile!O$37="",0, Pile!O$37)</f>
        <v>0</v>
      </c>
      <c r="S187" s="418">
        <f t="shared" si="124"/>
        <v>40</v>
      </c>
      <c r="T187" s="382">
        <f xml:space="preserve"> Pile!$T$37</f>
        <v>100</v>
      </c>
      <c r="U187" s="382">
        <f t="shared" si="125"/>
        <v>40</v>
      </c>
      <c r="V187" s="382">
        <f t="shared" si="126"/>
        <v>360</v>
      </c>
      <c r="W187" s="382" t="str">
        <f xml:space="preserve"> Pile!$V$37</f>
        <v/>
      </c>
      <c r="X187" s="382">
        <f t="shared" si="127"/>
        <v>360</v>
      </c>
      <c r="Y187" s="419">
        <v>450</v>
      </c>
      <c r="Z187" s="430">
        <f>PI()*Y187/1000*( Pile!$C$37- Pile!$C187)</f>
        <v>5.0893800988154609</v>
      </c>
      <c r="AA187" s="382">
        <f t="shared" si="128"/>
        <v>0.15904312808798329</v>
      </c>
      <c r="AB187" s="382">
        <f t="shared" si="173"/>
        <v>203.57520395261844</v>
      </c>
      <c r="AC187" s="382">
        <f>Z187* Pile!$S$37</f>
        <v>0</v>
      </c>
      <c r="AD187" s="382">
        <f t="shared" si="179"/>
        <v>203.57520395261844</v>
      </c>
      <c r="AE187" s="382">
        <f>IF(AD187&gt;0,+AD187)/ 'Pile Data and Eurocode Factors'!$B$19/ 'Pile Data and Eurocode Factors'!$B$20+AE$175</f>
        <v>177.42496086407283</v>
      </c>
      <c r="AF187" s="382">
        <f t="shared" si="186"/>
        <v>57.255526111673987</v>
      </c>
      <c r="AG187" s="382">
        <f>AA187* Pile!$U$37</f>
        <v>0</v>
      </c>
      <c r="AH187" s="382">
        <f t="shared" si="129"/>
        <v>57.255526111673987</v>
      </c>
      <c r="AI187" s="382">
        <f>AH187/ 'Pile Data and Eurocode Factors'!$C$19/ 'Pile Data and Eurocode Factors'!$C$20</f>
        <v>24.056943744400836</v>
      </c>
      <c r="AJ187" s="382">
        <f t="shared" si="130"/>
        <v>201.48190460847366</v>
      </c>
      <c r="AK187" s="382">
        <f>VLOOKUP(Y187, 'Pile Data and Eurocode Factors'!$A$34:$J$39,3, FALSE)</f>
        <v>2366.1761868507956</v>
      </c>
      <c r="AL187" s="403">
        <f t="shared" si="131"/>
        <v>201.48190460847366</v>
      </c>
      <c r="AM187" s="419">
        <v>600</v>
      </c>
      <c r="AN187" s="430">
        <f>PI()*AM187/1000*( Pile!$C$37- Pile!$C187)</f>
        <v>6.7858401317539476</v>
      </c>
      <c r="AO187" s="382">
        <f t="shared" si="132"/>
        <v>0.28274333882308139</v>
      </c>
      <c r="AP187" s="382">
        <f t="shared" si="174"/>
        <v>271.4336052701579</v>
      </c>
      <c r="AQ187" s="382">
        <f>AN187* Pile!$S$37</f>
        <v>0</v>
      </c>
      <c r="AR187" s="382">
        <f t="shared" si="180"/>
        <v>271.4336052701579</v>
      </c>
      <c r="AS187" s="382">
        <f>IF(AR187&gt;0,+AR187)/ 'Pile Data and Eurocode Factors'!$B$19/ 'Pile Data and Eurocode Factors'!$B$20+AS$175</f>
        <v>236.56661448543045</v>
      </c>
      <c r="AT187" s="382">
        <f t="shared" si="187"/>
        <v>101.7876019763093</v>
      </c>
      <c r="AU187" s="382">
        <f>AO187* Pile!$U$37</f>
        <v>0</v>
      </c>
      <c r="AV187" s="382">
        <f t="shared" si="133"/>
        <v>101.7876019763093</v>
      </c>
      <c r="AW187" s="382">
        <f>AV187/ 'Pile Data and Eurocode Factors'!$C$19/ 'Pile Data and Eurocode Factors'!$C$20</f>
        <v>42.767899990045926</v>
      </c>
      <c r="AX187" s="382">
        <f t="shared" si="134"/>
        <v>279.3345144754764</v>
      </c>
      <c r="AY187" s="382">
        <f>VLOOKUP(AM187, 'Pile Data and Eurocode Factors'!$A$34:$J$39,3, FALSE)</f>
        <v>4206.5354432903041</v>
      </c>
      <c r="AZ187" s="403">
        <f t="shared" si="135"/>
        <v>279.3345144754764</v>
      </c>
      <c r="BA187" s="419">
        <v>750</v>
      </c>
      <c r="BB187" s="430">
        <f>PI()*BA187/1000*( Pile!$C$37- Pile!$C187)</f>
        <v>8.4823001646924343</v>
      </c>
      <c r="BC187" s="382">
        <f t="shared" si="136"/>
        <v>0.44178646691106466</v>
      </c>
      <c r="BD187" s="382">
        <f t="shared" si="175"/>
        <v>339.29200658769736</v>
      </c>
      <c r="BE187" s="382">
        <f>BB187* Pile!$S$37</f>
        <v>0</v>
      </c>
      <c r="BF187" s="382">
        <f t="shared" si="181"/>
        <v>339.29200658769736</v>
      </c>
      <c r="BG187" s="382">
        <f>IF(BF187&gt;0,+BF187)/ 'Pile Data and Eurocode Factors'!$B$19/ 'Pile Data and Eurocode Factors'!$B$20+BG$175</f>
        <v>295.70826810678807</v>
      </c>
      <c r="BH187" s="382">
        <f t="shared" si="188"/>
        <v>159.04312808798326</v>
      </c>
      <c r="BI187" s="382">
        <f>BC187* Pile!$U$37</f>
        <v>0</v>
      </c>
      <c r="BJ187" s="382">
        <f t="shared" si="137"/>
        <v>159.04312808798326</v>
      </c>
      <c r="BK187" s="382">
        <f>BJ187/ 'Pile Data and Eurocode Factors'!$C$19/ 'Pile Data and Eurocode Factors'!$C$20</f>
        <v>66.824843734446759</v>
      </c>
      <c r="BL187" s="382">
        <f t="shared" si="138"/>
        <v>362.53311184123481</v>
      </c>
      <c r="BM187" s="382">
        <f>VLOOKUP(BA187, 'Pile Data and Eurocode Factors'!$A$34:$J$39,3, FALSE)</f>
        <v>6572.7116301410997</v>
      </c>
      <c r="BN187" s="403">
        <f t="shared" si="139"/>
        <v>362.53311184123481</v>
      </c>
      <c r="BO187" s="419">
        <v>900</v>
      </c>
      <c r="BP187" s="430">
        <f>PI()*BO187/1000*( Pile!$C$37- Pile!$C187)</f>
        <v>10.178760197630922</v>
      </c>
      <c r="BQ187" s="382">
        <f t="shared" si="140"/>
        <v>0.63617251235193317</v>
      </c>
      <c r="BR187" s="382">
        <f t="shared" si="176"/>
        <v>407.15040790523688</v>
      </c>
      <c r="BS187" s="382">
        <f>BP187* Pile!$S$37</f>
        <v>0</v>
      </c>
      <c r="BT187" s="382">
        <f t="shared" si="182"/>
        <v>407.15040790523688</v>
      </c>
      <c r="BU187" s="382">
        <f>IF(BT187&gt;0,+BT187)/ 'Pile Data and Eurocode Factors'!$B$19/ 'Pile Data and Eurocode Factors'!$B$20+BU$175</f>
        <v>354.84992172814566</v>
      </c>
      <c r="BV187" s="382">
        <f t="shared" si="189"/>
        <v>229.02210444669595</v>
      </c>
      <c r="BW187" s="382">
        <f>BQ187* Pile!$U$37</f>
        <v>0</v>
      </c>
      <c r="BX187" s="382">
        <f t="shared" si="141"/>
        <v>229.02210444669595</v>
      </c>
      <c r="BY187" s="382">
        <f>BX187/ 'Pile Data and Eurocode Factors'!$C$19/ 'Pile Data and Eurocode Factors'!$C$20</f>
        <v>96.227774977603346</v>
      </c>
      <c r="BZ187" s="382">
        <f t="shared" si="142"/>
        <v>451.07769670574902</v>
      </c>
      <c r="CA187" s="382">
        <f>VLOOKUP(BO187, 'Pile Data and Eurocode Factors'!$A$34:$J$39,3, FALSE)</f>
        <v>9464.7047474031824</v>
      </c>
      <c r="CB187" s="403">
        <f t="shared" si="143"/>
        <v>451.07769670574902</v>
      </c>
      <c r="CC187" s="419">
        <v>1050</v>
      </c>
      <c r="CD187" s="430">
        <f>PI()*CC187/1000*( Pile!$C$37- Pile!$C187)</f>
        <v>11.875220230569408</v>
      </c>
      <c r="CE187" s="382">
        <f t="shared" si="144"/>
        <v>0.86590147514568672</v>
      </c>
      <c r="CF187" s="382">
        <f t="shared" si="177"/>
        <v>475.00880922277634</v>
      </c>
      <c r="CG187" s="382">
        <f>CD187* Pile!$S$37</f>
        <v>0</v>
      </c>
      <c r="CH187" s="382">
        <f t="shared" si="183"/>
        <v>475.00880922277634</v>
      </c>
      <c r="CI187" s="382">
        <f>IF(CH187&gt;0,+CH187)/ 'Pile Data and Eurocode Factors'!$B$19/ 'Pile Data and Eurocode Factors'!$B$20+CI$175</f>
        <v>413.99157534950325</v>
      </c>
      <c r="CJ187" s="382">
        <f t="shared" si="190"/>
        <v>311.72453105244722</v>
      </c>
      <c r="CK187" s="382">
        <f>CE187* Pile!$U$37</f>
        <v>0</v>
      </c>
      <c r="CL187" s="382">
        <f t="shared" si="145"/>
        <v>311.72453105244722</v>
      </c>
      <c r="CM187" s="382">
        <f>CL187/ 'Pile Data and Eurocode Factors'!$C$19/ 'Pile Data and Eurocode Factors'!$C$20</f>
        <v>130.97669371951565</v>
      </c>
      <c r="CN187" s="382">
        <f t="shared" si="146"/>
        <v>544.9682690690189</v>
      </c>
      <c r="CO187" s="382">
        <f>VLOOKUP(CC187, 'Pile Data and Eurocode Factors'!$A$34:$J$39,3, FALSE)</f>
        <v>12882.514795076555</v>
      </c>
      <c r="CP187" s="403">
        <f t="shared" si="147"/>
        <v>544.9682690690189</v>
      </c>
      <c r="CQ187" s="419">
        <v>1200</v>
      </c>
      <c r="CR187" s="430">
        <f>PI()*CQ187/1000*( Pile!$C$37- Pile!$C187)</f>
        <v>13.571680263507895</v>
      </c>
      <c r="CS187" s="382">
        <f t="shared" si="148"/>
        <v>1.1309733552923256</v>
      </c>
      <c r="CT187" s="382">
        <f t="shared" si="178"/>
        <v>542.8672105403158</v>
      </c>
      <c r="CU187" s="382">
        <f>CR187* Pile!$S$37</f>
        <v>0</v>
      </c>
      <c r="CV187" s="382">
        <f t="shared" si="184"/>
        <v>542.8672105403158</v>
      </c>
      <c r="CW187" s="382">
        <f>IF(CV187&gt;0,+CV187)/ 'Pile Data and Eurocode Factors'!$B$19/ 'Pile Data and Eurocode Factors'!$B$20+CW$175</f>
        <v>473.1332289708609</v>
      </c>
      <c r="CX187" s="382">
        <f t="shared" si="191"/>
        <v>407.15040790523722</v>
      </c>
      <c r="CY187" s="382">
        <f>CS187* Pile!$U$37</f>
        <v>0</v>
      </c>
      <c r="CZ187" s="382">
        <f t="shared" si="149"/>
        <v>407.15040790523722</v>
      </c>
      <c r="DA187" s="382">
        <f>CZ187/ 'Pile Data and Eurocode Factors'!$C$19/ 'Pile Data and Eurocode Factors'!$C$20</f>
        <v>171.0715999601837</v>
      </c>
      <c r="DB187" s="382">
        <f t="shared" si="150"/>
        <v>644.20482893104463</v>
      </c>
      <c r="DC187" s="382">
        <f>VLOOKUP(CQ187, 'Pile Data and Eurocode Factors'!$A$34:$J$39,3, FALSE)</f>
        <v>16826.141773161216</v>
      </c>
      <c r="DD187" s="403">
        <f t="shared" si="151"/>
        <v>644.20482893104463</v>
      </c>
      <c r="DE187" s="420">
        <f xml:space="preserve"> Pile!$C$23- Pile!C187</f>
        <v>9.5999999999999979</v>
      </c>
      <c r="DG187" s="382">
        <f t="shared" si="152"/>
        <v>201.48190460847366</v>
      </c>
      <c r="DH187" s="382">
        <f t="shared" si="153"/>
        <v>279.3345144754764</v>
      </c>
      <c r="DI187" s="382">
        <f t="shared" si="154"/>
        <v>362.53311184123481</v>
      </c>
      <c r="DJ187" s="382"/>
      <c r="DK187" s="382"/>
      <c r="DL187" s="382"/>
    </row>
    <row r="188" spans="2:116" s="308" customFormat="1" ht="15">
      <c r="B188" s="400">
        <v>13</v>
      </c>
      <c r="C188" s="401">
        <f>+C187- Pile!D$37/20</f>
        <v>-3.8999999999999968</v>
      </c>
      <c r="D188" s="415" t="str">
        <f>B24</f>
        <v>Firm Clay</v>
      </c>
      <c r="E188" s="415" t="str">
        <f>F24</f>
        <v>Cohesive</v>
      </c>
      <c r="F188" s="401">
        <f xml:space="preserve"> Pile!$E$37*(+C187-C188)+F187</f>
        <v>171.15000000000003</v>
      </c>
      <c r="G188" s="401">
        <f>IF(C188&gt; Pile!$C$41,0,( Pile!$C$41-C188)*9.81)</f>
        <v>0</v>
      </c>
      <c r="H188" s="401">
        <f t="shared" si="122"/>
        <v>171.15000000000003</v>
      </c>
      <c r="I188" s="401">
        <f t="shared" si="185"/>
        <v>135.07499999999999</v>
      </c>
      <c r="J188" s="401">
        <f>IF(E188="Cohesive",(( Pile!$H$37- Pile!$G$37)/20)+J187,0)</f>
        <v>40</v>
      </c>
      <c r="K188" s="401">
        <f>IF(E188="Cohesive",( Pile!$G$37+ Pile!$J188)/2,0)</f>
        <v>40</v>
      </c>
      <c r="L188" s="401">
        <f>IF( Pile!I$37="",0, Pile!I$37)</f>
        <v>1</v>
      </c>
      <c r="M188" s="401">
        <f>IF( Pile!J$37="",0, Pile!J$37)</f>
        <v>9</v>
      </c>
      <c r="N188" s="401">
        <f>IF(E188="Granular", Pile!$K$37,0)</f>
        <v>0</v>
      </c>
      <c r="O188" s="416">
        <f>IF(AND(E188="Granular",D188&lt;&gt;"Made Ground"), Pile!$L$37,0)</f>
        <v>0</v>
      </c>
      <c r="P188" s="401">
        <f>IF(OR(D188="Low Density Chalk",D188="Medium Density Chalk"), Pile!$M$37,0)</f>
        <v>0</v>
      </c>
      <c r="Q188" s="417">
        <f>IF(D188="High Density Chalk", Pile!$N$37,0)</f>
        <v>0</v>
      </c>
      <c r="R188" s="401">
        <f>IF( Pile!O$37="",0, Pile!O$37)</f>
        <v>0</v>
      </c>
      <c r="S188" s="418">
        <f t="shared" si="124"/>
        <v>40</v>
      </c>
      <c r="T188" s="382">
        <f xml:space="preserve"> Pile!$T$37</f>
        <v>100</v>
      </c>
      <c r="U188" s="382">
        <f t="shared" si="125"/>
        <v>40</v>
      </c>
      <c r="V188" s="382">
        <f t="shared" si="126"/>
        <v>360</v>
      </c>
      <c r="W188" s="382" t="str">
        <f xml:space="preserve"> Pile!$V$37</f>
        <v/>
      </c>
      <c r="X188" s="382">
        <f t="shared" si="127"/>
        <v>360</v>
      </c>
      <c r="Y188" s="419">
        <v>450</v>
      </c>
      <c r="Z188" s="430">
        <f>PI()*Y188/1000*( Pile!$C$37- Pile!$C188)</f>
        <v>5.5134951070500824</v>
      </c>
      <c r="AA188" s="382">
        <f t="shared" si="128"/>
        <v>0.15904312808798329</v>
      </c>
      <c r="AB188" s="382">
        <f t="shared" si="173"/>
        <v>220.5398042820033</v>
      </c>
      <c r="AC188" s="382">
        <f>Z188* Pile!$S$37</f>
        <v>0</v>
      </c>
      <c r="AD188" s="382">
        <f t="shared" si="179"/>
        <v>220.5398042820033</v>
      </c>
      <c r="AE188" s="382">
        <f>IF(AD188&gt;0,+AD188)/ 'Pile Data and Eurocode Factors'!$B$19/ 'Pile Data and Eurocode Factors'!$B$20+AE$175</f>
        <v>185.50334197330372</v>
      </c>
      <c r="AF188" s="382">
        <f t="shared" si="186"/>
        <v>57.255526111673987</v>
      </c>
      <c r="AG188" s="382">
        <f>AA188* Pile!$U$37</f>
        <v>0</v>
      </c>
      <c r="AH188" s="382">
        <f t="shared" si="129"/>
        <v>57.255526111673987</v>
      </c>
      <c r="AI188" s="382">
        <f>AH188/ 'Pile Data and Eurocode Factors'!$C$19/ 'Pile Data and Eurocode Factors'!$C$20</f>
        <v>24.056943744400836</v>
      </c>
      <c r="AJ188" s="382">
        <f t="shared" si="130"/>
        <v>209.56028571770455</v>
      </c>
      <c r="AK188" s="382">
        <f>VLOOKUP(Y188, 'Pile Data and Eurocode Factors'!$A$34:$J$39,3, FALSE)</f>
        <v>2366.1761868507956</v>
      </c>
      <c r="AL188" s="403">
        <f t="shared" si="131"/>
        <v>209.56028571770455</v>
      </c>
      <c r="AM188" s="419">
        <v>600</v>
      </c>
      <c r="AN188" s="430">
        <f>PI()*AM188/1000*( Pile!$C$37- Pile!$C188)</f>
        <v>7.3513268094001099</v>
      </c>
      <c r="AO188" s="382">
        <f t="shared" si="132"/>
        <v>0.28274333882308139</v>
      </c>
      <c r="AP188" s="382">
        <f t="shared" si="174"/>
        <v>294.05307237600437</v>
      </c>
      <c r="AQ188" s="382">
        <f>AN188* Pile!$S$37</f>
        <v>0</v>
      </c>
      <c r="AR188" s="382">
        <f t="shared" si="180"/>
        <v>294.05307237600437</v>
      </c>
      <c r="AS188" s="382">
        <f>IF(AR188&gt;0,+AR188)/ 'Pile Data and Eurocode Factors'!$B$19/ 'Pile Data and Eurocode Factors'!$B$20+AS$175</f>
        <v>247.33778929773828</v>
      </c>
      <c r="AT188" s="382">
        <f t="shared" si="187"/>
        <v>101.7876019763093</v>
      </c>
      <c r="AU188" s="382">
        <f>AO188* Pile!$U$37</f>
        <v>0</v>
      </c>
      <c r="AV188" s="382">
        <f t="shared" si="133"/>
        <v>101.7876019763093</v>
      </c>
      <c r="AW188" s="382">
        <f>AV188/ 'Pile Data and Eurocode Factors'!$C$19/ 'Pile Data and Eurocode Factors'!$C$20</f>
        <v>42.767899990045926</v>
      </c>
      <c r="AX188" s="382">
        <f t="shared" si="134"/>
        <v>290.10568928778423</v>
      </c>
      <c r="AY188" s="382">
        <f>VLOOKUP(AM188, 'Pile Data and Eurocode Factors'!$A$34:$J$39,3, FALSE)</f>
        <v>4206.5354432903041</v>
      </c>
      <c r="AZ188" s="403">
        <f t="shared" si="135"/>
        <v>290.10568928778423</v>
      </c>
      <c r="BA188" s="419">
        <v>750</v>
      </c>
      <c r="BB188" s="430">
        <f>PI()*BA188/1000*( Pile!$C$37- Pile!$C188)</f>
        <v>9.1891585117501382</v>
      </c>
      <c r="BC188" s="382">
        <f t="shared" si="136"/>
        <v>0.44178646691106466</v>
      </c>
      <c r="BD188" s="382">
        <f t="shared" si="175"/>
        <v>367.56634047000551</v>
      </c>
      <c r="BE188" s="382">
        <f>BB188* Pile!$S$37</f>
        <v>0</v>
      </c>
      <c r="BF188" s="382">
        <f t="shared" si="181"/>
        <v>367.56634047000551</v>
      </c>
      <c r="BG188" s="382">
        <f>IF(BF188&gt;0,+BF188)/ 'Pile Data and Eurocode Factors'!$B$19/ 'Pile Data and Eurocode Factors'!$B$20+BG$175</f>
        <v>309.17223662217287</v>
      </c>
      <c r="BH188" s="382">
        <f t="shared" si="188"/>
        <v>159.04312808798326</v>
      </c>
      <c r="BI188" s="382">
        <f>BC188* Pile!$U$37</f>
        <v>0</v>
      </c>
      <c r="BJ188" s="382">
        <f t="shared" si="137"/>
        <v>159.04312808798326</v>
      </c>
      <c r="BK188" s="382">
        <f>BJ188/ 'Pile Data and Eurocode Factors'!$C$19/ 'Pile Data and Eurocode Factors'!$C$20</f>
        <v>66.824843734446759</v>
      </c>
      <c r="BL188" s="382">
        <f t="shared" si="138"/>
        <v>375.99708035661962</v>
      </c>
      <c r="BM188" s="382">
        <f>VLOOKUP(BA188, 'Pile Data and Eurocode Factors'!$A$34:$J$39,3, FALSE)</f>
        <v>6572.7116301410997</v>
      </c>
      <c r="BN188" s="403">
        <f t="shared" si="139"/>
        <v>375.99708035661962</v>
      </c>
      <c r="BO188" s="419">
        <v>900</v>
      </c>
      <c r="BP188" s="430">
        <f>PI()*BO188/1000*( Pile!$C$37- Pile!$C188)</f>
        <v>11.026990214100165</v>
      </c>
      <c r="BQ188" s="382">
        <f t="shared" si="140"/>
        <v>0.63617251235193317</v>
      </c>
      <c r="BR188" s="382">
        <f t="shared" si="176"/>
        <v>441.07960856400661</v>
      </c>
      <c r="BS188" s="382">
        <f>BP188* Pile!$S$37</f>
        <v>0</v>
      </c>
      <c r="BT188" s="382">
        <f t="shared" si="182"/>
        <v>441.07960856400661</v>
      </c>
      <c r="BU188" s="382">
        <f>IF(BT188&gt;0,+BT188)/ 'Pile Data and Eurocode Factors'!$B$19/ 'Pile Data and Eurocode Factors'!$B$20+BU$175</f>
        <v>371.00668394660744</v>
      </c>
      <c r="BV188" s="382">
        <f t="shared" si="189"/>
        <v>229.02210444669595</v>
      </c>
      <c r="BW188" s="382">
        <f>BQ188* Pile!$U$37</f>
        <v>0</v>
      </c>
      <c r="BX188" s="382">
        <f t="shared" si="141"/>
        <v>229.02210444669595</v>
      </c>
      <c r="BY188" s="382">
        <f>BX188/ 'Pile Data and Eurocode Factors'!$C$19/ 'Pile Data and Eurocode Factors'!$C$20</f>
        <v>96.227774977603346</v>
      </c>
      <c r="BZ188" s="382">
        <f t="shared" si="142"/>
        <v>467.2344589242108</v>
      </c>
      <c r="CA188" s="382">
        <f>VLOOKUP(BO188, 'Pile Data and Eurocode Factors'!$A$34:$J$39,3, FALSE)</f>
        <v>9464.7047474031824</v>
      </c>
      <c r="CB188" s="403">
        <f t="shared" si="143"/>
        <v>467.2344589242108</v>
      </c>
      <c r="CC188" s="419">
        <v>1050</v>
      </c>
      <c r="CD188" s="430">
        <f>PI()*CC188/1000*( Pile!$C$37- Pile!$C188)</f>
        <v>12.864821916450193</v>
      </c>
      <c r="CE188" s="382">
        <f t="shared" si="144"/>
        <v>0.86590147514568672</v>
      </c>
      <c r="CF188" s="382">
        <f t="shared" si="177"/>
        <v>514.59287665800775</v>
      </c>
      <c r="CG188" s="382">
        <f>CD188* Pile!$S$37</f>
        <v>0</v>
      </c>
      <c r="CH188" s="382">
        <f t="shared" si="183"/>
        <v>514.59287665800775</v>
      </c>
      <c r="CI188" s="382">
        <f>IF(CH188&gt;0,+CH188)/ 'Pile Data and Eurocode Factors'!$B$19/ 'Pile Data and Eurocode Factors'!$B$20+CI$175</f>
        <v>432.84113127104206</v>
      </c>
      <c r="CJ188" s="382">
        <f t="shared" si="190"/>
        <v>311.72453105244722</v>
      </c>
      <c r="CK188" s="382">
        <f>CE188* Pile!$U$37</f>
        <v>0</v>
      </c>
      <c r="CL188" s="382">
        <f t="shared" si="145"/>
        <v>311.72453105244722</v>
      </c>
      <c r="CM188" s="382">
        <f>CL188/ 'Pile Data and Eurocode Factors'!$C$19/ 'Pile Data and Eurocode Factors'!$C$20</f>
        <v>130.97669371951565</v>
      </c>
      <c r="CN188" s="382">
        <f t="shared" si="146"/>
        <v>563.81782499055771</v>
      </c>
      <c r="CO188" s="382">
        <f>VLOOKUP(CC188, 'Pile Data and Eurocode Factors'!$A$34:$J$39,3, FALSE)</f>
        <v>12882.514795076555</v>
      </c>
      <c r="CP188" s="403">
        <f t="shared" si="147"/>
        <v>563.81782499055771</v>
      </c>
      <c r="CQ188" s="419">
        <v>1200</v>
      </c>
      <c r="CR188" s="430">
        <f>PI()*CQ188/1000*( Pile!$C$37- Pile!$C188)</f>
        <v>14.70265361880022</v>
      </c>
      <c r="CS188" s="382">
        <f t="shared" si="148"/>
        <v>1.1309733552923256</v>
      </c>
      <c r="CT188" s="382">
        <f t="shared" si="178"/>
        <v>588.10614475200873</v>
      </c>
      <c r="CU188" s="382">
        <f>CR188* Pile!$S$37</f>
        <v>0</v>
      </c>
      <c r="CV188" s="382">
        <f t="shared" si="184"/>
        <v>588.10614475200873</v>
      </c>
      <c r="CW188" s="382">
        <f>IF(CV188&gt;0,+CV188)/ 'Pile Data and Eurocode Factors'!$B$19/ 'Pile Data and Eurocode Factors'!$B$20+CW$175</f>
        <v>494.67557859547657</v>
      </c>
      <c r="CX188" s="382">
        <f t="shared" si="191"/>
        <v>407.15040790523722</v>
      </c>
      <c r="CY188" s="382">
        <f>CS188* Pile!$U$37</f>
        <v>0</v>
      </c>
      <c r="CZ188" s="382">
        <f t="shared" si="149"/>
        <v>407.15040790523722</v>
      </c>
      <c r="DA188" s="382">
        <f>CZ188/ 'Pile Data and Eurocode Factors'!$C$19/ 'Pile Data and Eurocode Factors'!$C$20</f>
        <v>171.0715999601837</v>
      </c>
      <c r="DB188" s="382">
        <f t="shared" si="150"/>
        <v>665.7471785556603</v>
      </c>
      <c r="DC188" s="382">
        <f>VLOOKUP(CQ188, 'Pile Data and Eurocode Factors'!$A$34:$J$39,3, FALSE)</f>
        <v>16826.141773161216</v>
      </c>
      <c r="DD188" s="403">
        <f t="shared" si="151"/>
        <v>665.7471785556603</v>
      </c>
      <c r="DE188" s="420">
        <f xml:space="preserve"> Pile!$C$23- Pile!C188</f>
        <v>9.8999999999999968</v>
      </c>
      <c r="DG188" s="382">
        <f t="shared" si="152"/>
        <v>209.56028571770455</v>
      </c>
      <c r="DH188" s="382">
        <f t="shared" si="153"/>
        <v>290.10568928778423</v>
      </c>
      <c r="DI188" s="382">
        <f t="shared" si="154"/>
        <v>375.99708035661962</v>
      </c>
      <c r="DJ188" s="382"/>
      <c r="DK188" s="382"/>
      <c r="DL188" s="382"/>
    </row>
    <row r="189" spans="2:116" s="308" customFormat="1" ht="15">
      <c r="B189" s="400">
        <v>14</v>
      </c>
      <c r="C189" s="401">
        <f>+C188- Pile!D$37/20</f>
        <v>-4.1999999999999966</v>
      </c>
      <c r="D189" s="415" t="str">
        <f>B24</f>
        <v>Firm Clay</v>
      </c>
      <c r="E189" s="415" t="str">
        <f>F24</f>
        <v>Cohesive</v>
      </c>
      <c r="F189" s="401">
        <f xml:space="preserve"> Pile!$E$37*(+C188-C189)+F188</f>
        <v>176.70000000000005</v>
      </c>
      <c r="G189" s="401">
        <f>IF(C189&gt; Pile!$C$41,0,( Pile!$C$41-C189)*9.81)</f>
        <v>0</v>
      </c>
      <c r="H189" s="401">
        <f t="shared" si="122"/>
        <v>176.70000000000005</v>
      </c>
      <c r="I189" s="401">
        <f t="shared" si="185"/>
        <v>137.85000000000002</v>
      </c>
      <c r="J189" s="401">
        <f>IF(E189="Cohesive",(( Pile!$H$37- Pile!$G$37)/20)+J188,0)</f>
        <v>40</v>
      </c>
      <c r="K189" s="401">
        <f>IF(E189="Cohesive",( Pile!$G$37+ Pile!$J189)/2,0)</f>
        <v>40</v>
      </c>
      <c r="L189" s="401">
        <f>IF( Pile!I$37="",0, Pile!I$37)</f>
        <v>1</v>
      </c>
      <c r="M189" s="401">
        <f>IF( Pile!J$37="",0, Pile!J$37)</f>
        <v>9</v>
      </c>
      <c r="N189" s="401">
        <f>IF(E189="Granular", Pile!$K$37,0)</f>
        <v>0</v>
      </c>
      <c r="O189" s="416">
        <f>IF(AND(E189="Granular",D189&lt;&gt;"Made Ground"), Pile!$L$37,0)</f>
        <v>0</v>
      </c>
      <c r="P189" s="401">
        <f>IF(OR(D189="Low Density Chalk",D189="Medium Density Chalk"), Pile!$M$37,0)</f>
        <v>0</v>
      </c>
      <c r="Q189" s="417">
        <f>IF(D189="High Density Chalk", Pile!$N$37,0)</f>
        <v>0</v>
      </c>
      <c r="R189" s="401">
        <f>IF( Pile!O$37="",0, Pile!O$37)</f>
        <v>0</v>
      </c>
      <c r="S189" s="418">
        <f t="shared" si="124"/>
        <v>40</v>
      </c>
      <c r="T189" s="382">
        <f xml:space="preserve"> Pile!$T$37</f>
        <v>100</v>
      </c>
      <c r="U189" s="382">
        <f t="shared" si="125"/>
        <v>40</v>
      </c>
      <c r="V189" s="382">
        <f t="shared" si="126"/>
        <v>360</v>
      </c>
      <c r="W189" s="382" t="str">
        <f xml:space="preserve"> Pile!$V$37</f>
        <v/>
      </c>
      <c r="X189" s="382">
        <f t="shared" si="127"/>
        <v>360</v>
      </c>
      <c r="Y189" s="419">
        <v>450</v>
      </c>
      <c r="Z189" s="430">
        <f>PI()*Y189/1000*( Pile!$C$37- Pile!$C189)</f>
        <v>5.9376101152847038</v>
      </c>
      <c r="AA189" s="382">
        <f t="shared" si="128"/>
        <v>0.15904312808798329</v>
      </c>
      <c r="AB189" s="382">
        <f t="shared" si="173"/>
        <v>237.50440461138817</v>
      </c>
      <c r="AC189" s="382">
        <f>Z189* Pile!$S$37</f>
        <v>0</v>
      </c>
      <c r="AD189" s="382">
        <f t="shared" si="179"/>
        <v>237.50440461138817</v>
      </c>
      <c r="AE189" s="382">
        <f>IF(AD189&gt;0,+AD189)/ 'Pile Data and Eurocode Factors'!$B$19/ 'Pile Data and Eurocode Factors'!$B$20+AE$175</f>
        <v>193.58172308253461</v>
      </c>
      <c r="AF189" s="382">
        <f t="shared" si="186"/>
        <v>57.255526111673987</v>
      </c>
      <c r="AG189" s="382">
        <f>AA189* Pile!$U$37</f>
        <v>0</v>
      </c>
      <c r="AH189" s="382">
        <f t="shared" si="129"/>
        <v>57.255526111673987</v>
      </c>
      <c r="AI189" s="382">
        <f>AH189/ 'Pile Data and Eurocode Factors'!$C$19/ 'Pile Data and Eurocode Factors'!$C$20</f>
        <v>24.056943744400836</v>
      </c>
      <c r="AJ189" s="382">
        <f t="shared" si="130"/>
        <v>217.63866682693543</v>
      </c>
      <c r="AK189" s="382">
        <f>VLOOKUP(Y189, 'Pile Data and Eurocode Factors'!$A$34:$J$39,3, FALSE)</f>
        <v>2366.1761868507956</v>
      </c>
      <c r="AL189" s="403">
        <f t="shared" si="131"/>
        <v>217.63866682693543</v>
      </c>
      <c r="AM189" s="419">
        <v>600</v>
      </c>
      <c r="AN189" s="430">
        <f>PI()*AM189/1000*( Pile!$C$37- Pile!$C189)</f>
        <v>7.9168134870462721</v>
      </c>
      <c r="AO189" s="382">
        <f t="shared" si="132"/>
        <v>0.28274333882308139</v>
      </c>
      <c r="AP189" s="382">
        <f t="shared" si="174"/>
        <v>316.67253948185089</v>
      </c>
      <c r="AQ189" s="382">
        <f>AN189* Pile!$S$37</f>
        <v>0</v>
      </c>
      <c r="AR189" s="382">
        <f t="shared" si="180"/>
        <v>316.67253948185089</v>
      </c>
      <c r="AS189" s="382">
        <f>IF(AR189&gt;0,+AR189)/ 'Pile Data and Eurocode Factors'!$B$19/ 'Pile Data and Eurocode Factors'!$B$20+AS$175</f>
        <v>258.10896411004614</v>
      </c>
      <c r="AT189" s="382">
        <f t="shared" si="187"/>
        <v>101.7876019763093</v>
      </c>
      <c r="AU189" s="382">
        <f>AO189* Pile!$U$37</f>
        <v>0</v>
      </c>
      <c r="AV189" s="382">
        <f t="shared" si="133"/>
        <v>101.7876019763093</v>
      </c>
      <c r="AW189" s="382">
        <f>AV189/ 'Pile Data and Eurocode Factors'!$C$19/ 'Pile Data and Eurocode Factors'!$C$20</f>
        <v>42.767899990045926</v>
      </c>
      <c r="AX189" s="382">
        <f t="shared" si="134"/>
        <v>300.87686410009206</v>
      </c>
      <c r="AY189" s="382">
        <f>VLOOKUP(AM189, 'Pile Data and Eurocode Factors'!$A$34:$J$39,3, FALSE)</f>
        <v>4206.5354432903041</v>
      </c>
      <c r="AZ189" s="403">
        <f t="shared" si="135"/>
        <v>300.87686410009206</v>
      </c>
      <c r="BA189" s="419">
        <v>750</v>
      </c>
      <c r="BB189" s="430">
        <f>PI()*BA189/1000*( Pile!$C$37- Pile!$C189)</f>
        <v>9.8960168588078403</v>
      </c>
      <c r="BC189" s="382">
        <f t="shared" si="136"/>
        <v>0.44178646691106466</v>
      </c>
      <c r="BD189" s="382">
        <f t="shared" si="175"/>
        <v>395.84067435231361</v>
      </c>
      <c r="BE189" s="382">
        <f>BB189* Pile!$S$37</f>
        <v>0</v>
      </c>
      <c r="BF189" s="382">
        <f t="shared" si="181"/>
        <v>395.84067435231361</v>
      </c>
      <c r="BG189" s="382">
        <f>IF(BF189&gt;0,+BF189)/ 'Pile Data and Eurocode Factors'!$B$19/ 'Pile Data and Eurocode Factors'!$B$20+BG$175</f>
        <v>322.63620513755768</v>
      </c>
      <c r="BH189" s="382">
        <f t="shared" si="188"/>
        <v>159.04312808798326</v>
      </c>
      <c r="BI189" s="382">
        <f>BC189* Pile!$U$37</f>
        <v>0</v>
      </c>
      <c r="BJ189" s="382">
        <f t="shared" si="137"/>
        <v>159.04312808798326</v>
      </c>
      <c r="BK189" s="382">
        <f>BJ189/ 'Pile Data and Eurocode Factors'!$C$19/ 'Pile Data and Eurocode Factors'!$C$20</f>
        <v>66.824843734446759</v>
      </c>
      <c r="BL189" s="382">
        <f t="shared" si="138"/>
        <v>389.46104887200443</v>
      </c>
      <c r="BM189" s="382">
        <f>VLOOKUP(BA189, 'Pile Data and Eurocode Factors'!$A$34:$J$39,3, FALSE)</f>
        <v>6572.7116301410997</v>
      </c>
      <c r="BN189" s="403">
        <f t="shared" si="139"/>
        <v>389.46104887200443</v>
      </c>
      <c r="BO189" s="419">
        <v>900</v>
      </c>
      <c r="BP189" s="430">
        <f>PI()*BO189/1000*( Pile!$C$37- Pile!$C189)</f>
        <v>11.875220230569408</v>
      </c>
      <c r="BQ189" s="382">
        <f t="shared" si="140"/>
        <v>0.63617251235193317</v>
      </c>
      <c r="BR189" s="382">
        <f t="shared" si="176"/>
        <v>475.00880922277634</v>
      </c>
      <c r="BS189" s="382">
        <f>BP189* Pile!$S$37</f>
        <v>0</v>
      </c>
      <c r="BT189" s="382">
        <f t="shared" si="182"/>
        <v>475.00880922277634</v>
      </c>
      <c r="BU189" s="382">
        <f>IF(BT189&gt;0,+BT189)/ 'Pile Data and Eurocode Factors'!$B$19/ 'Pile Data and Eurocode Factors'!$B$20+BU$175</f>
        <v>387.16344616506922</v>
      </c>
      <c r="BV189" s="382">
        <f t="shared" si="189"/>
        <v>229.02210444669595</v>
      </c>
      <c r="BW189" s="382">
        <f>BQ189* Pile!$U$37</f>
        <v>0</v>
      </c>
      <c r="BX189" s="382">
        <f t="shared" si="141"/>
        <v>229.02210444669595</v>
      </c>
      <c r="BY189" s="382">
        <f>BX189/ 'Pile Data and Eurocode Factors'!$C$19/ 'Pile Data and Eurocode Factors'!$C$20</f>
        <v>96.227774977603346</v>
      </c>
      <c r="BZ189" s="382">
        <f t="shared" si="142"/>
        <v>483.39122114267258</v>
      </c>
      <c r="CA189" s="382">
        <f>VLOOKUP(BO189, 'Pile Data and Eurocode Factors'!$A$34:$J$39,3, FALSE)</f>
        <v>9464.7047474031824</v>
      </c>
      <c r="CB189" s="403">
        <f t="shared" si="143"/>
        <v>483.39122114267258</v>
      </c>
      <c r="CC189" s="419">
        <v>1050</v>
      </c>
      <c r="CD189" s="430">
        <f>PI()*CC189/1000*( Pile!$C$37- Pile!$C189)</f>
        <v>13.854423602330977</v>
      </c>
      <c r="CE189" s="382">
        <f t="shared" si="144"/>
        <v>0.86590147514568672</v>
      </c>
      <c r="CF189" s="382">
        <f t="shared" si="177"/>
        <v>554.17694409323906</v>
      </c>
      <c r="CG189" s="382">
        <f>CD189* Pile!$S$37</f>
        <v>0</v>
      </c>
      <c r="CH189" s="382">
        <f t="shared" si="183"/>
        <v>554.17694409323906</v>
      </c>
      <c r="CI189" s="382">
        <f>IF(CH189&gt;0,+CH189)/ 'Pile Data and Eurocode Factors'!$B$19/ 'Pile Data and Eurocode Factors'!$B$20+CI$175</f>
        <v>451.69068719258075</v>
      </c>
      <c r="CJ189" s="382">
        <f t="shared" si="190"/>
        <v>311.72453105244722</v>
      </c>
      <c r="CK189" s="382">
        <f>CE189* Pile!$U$37</f>
        <v>0</v>
      </c>
      <c r="CL189" s="382">
        <f t="shared" si="145"/>
        <v>311.72453105244722</v>
      </c>
      <c r="CM189" s="382">
        <f>CL189/ 'Pile Data and Eurocode Factors'!$C$19/ 'Pile Data and Eurocode Factors'!$C$20</f>
        <v>130.97669371951565</v>
      </c>
      <c r="CN189" s="382">
        <f t="shared" si="146"/>
        <v>582.66738091209641</v>
      </c>
      <c r="CO189" s="382">
        <f>VLOOKUP(CC189, 'Pile Data and Eurocode Factors'!$A$34:$J$39,3, FALSE)</f>
        <v>12882.514795076555</v>
      </c>
      <c r="CP189" s="403">
        <f t="shared" si="147"/>
        <v>582.66738091209641</v>
      </c>
      <c r="CQ189" s="419">
        <v>1200</v>
      </c>
      <c r="CR189" s="430">
        <f>PI()*CQ189/1000*( Pile!$C$37- Pile!$C189)</f>
        <v>15.833626974092544</v>
      </c>
      <c r="CS189" s="382">
        <f t="shared" si="148"/>
        <v>1.1309733552923256</v>
      </c>
      <c r="CT189" s="382">
        <f t="shared" si="178"/>
        <v>633.34507896370178</v>
      </c>
      <c r="CU189" s="382">
        <f>CR189* Pile!$S$37</f>
        <v>0</v>
      </c>
      <c r="CV189" s="382">
        <f t="shared" si="184"/>
        <v>633.34507896370178</v>
      </c>
      <c r="CW189" s="382">
        <f>IF(CV189&gt;0,+CV189)/ 'Pile Data and Eurocode Factors'!$B$19/ 'Pile Data and Eurocode Factors'!$B$20+CW$175</f>
        <v>516.21792822009229</v>
      </c>
      <c r="CX189" s="382">
        <f t="shared" si="191"/>
        <v>407.15040790523722</v>
      </c>
      <c r="CY189" s="382">
        <f>CS189* Pile!$U$37</f>
        <v>0</v>
      </c>
      <c r="CZ189" s="382">
        <f t="shared" si="149"/>
        <v>407.15040790523722</v>
      </c>
      <c r="DA189" s="382">
        <f>CZ189/ 'Pile Data and Eurocode Factors'!$C$19/ 'Pile Data and Eurocode Factors'!$C$20</f>
        <v>171.0715999601837</v>
      </c>
      <c r="DB189" s="382">
        <f t="shared" si="150"/>
        <v>687.28952818027597</v>
      </c>
      <c r="DC189" s="382">
        <f>VLOOKUP(CQ189, 'Pile Data and Eurocode Factors'!$A$34:$J$39,3, FALSE)</f>
        <v>16826.141773161216</v>
      </c>
      <c r="DD189" s="403">
        <f t="shared" si="151"/>
        <v>687.28952818027597</v>
      </c>
      <c r="DE189" s="420">
        <f xml:space="preserve"> Pile!$C$23- Pile!C189</f>
        <v>10.199999999999996</v>
      </c>
      <c r="DG189" s="382">
        <f t="shared" si="152"/>
        <v>217.63866682693543</v>
      </c>
      <c r="DH189" s="382">
        <f t="shared" si="153"/>
        <v>300.87686410009206</v>
      </c>
      <c r="DI189" s="382">
        <f t="shared" si="154"/>
        <v>389.46104887200443</v>
      </c>
      <c r="DJ189" s="382"/>
      <c r="DK189" s="382"/>
      <c r="DL189" s="382"/>
    </row>
    <row r="190" spans="2:116" s="308" customFormat="1" ht="15">
      <c r="B190" s="400">
        <v>15</v>
      </c>
      <c r="C190" s="401">
        <f>+C189- Pile!D$37/20</f>
        <v>-4.4999999999999964</v>
      </c>
      <c r="D190" s="415" t="str">
        <f>B24</f>
        <v>Firm Clay</v>
      </c>
      <c r="E190" s="415" t="str">
        <f>F24</f>
        <v>Cohesive</v>
      </c>
      <c r="F190" s="401">
        <f xml:space="preserve"> Pile!$E$37*(+C189-C190)+F189</f>
        <v>182.25000000000006</v>
      </c>
      <c r="G190" s="401">
        <f>IF(C190&gt; Pile!$C$41,0,( Pile!$C$41-C190)*9.81)</f>
        <v>0</v>
      </c>
      <c r="H190" s="401">
        <f t="shared" si="122"/>
        <v>182.25000000000006</v>
      </c>
      <c r="I190" s="401">
        <f t="shared" si="185"/>
        <v>140.625</v>
      </c>
      <c r="J190" s="401">
        <f>IF(E190="Cohesive",(( Pile!$H$37- Pile!$G$37)/20)+J189,0)</f>
        <v>40</v>
      </c>
      <c r="K190" s="401">
        <f>IF(E190="Cohesive",( Pile!$G$37+ Pile!$J190)/2,0)</f>
        <v>40</v>
      </c>
      <c r="L190" s="401">
        <f>IF( Pile!I$37="",0, Pile!I$37)</f>
        <v>1</v>
      </c>
      <c r="M190" s="401">
        <f>IF( Pile!J$37="",0, Pile!J$37)</f>
        <v>9</v>
      </c>
      <c r="N190" s="401">
        <f>IF(E190="Granular", Pile!$K$37,0)</f>
        <v>0</v>
      </c>
      <c r="O190" s="416">
        <f>IF(AND(E190="Granular",D190&lt;&gt;"Made Ground"), Pile!$L$37,0)</f>
        <v>0</v>
      </c>
      <c r="P190" s="401">
        <f>IF(OR(D190="Low Density Chalk",D190="Medium Density Chalk"), Pile!$M$37,0)</f>
        <v>0</v>
      </c>
      <c r="Q190" s="417">
        <f>IF(D190="High Density Chalk", Pile!$N$37,0)</f>
        <v>0</v>
      </c>
      <c r="R190" s="401">
        <f>IF( Pile!O$37="",0, Pile!O$37)</f>
        <v>0</v>
      </c>
      <c r="S190" s="418">
        <f t="shared" si="124"/>
        <v>40</v>
      </c>
      <c r="T190" s="382">
        <f xml:space="preserve"> Pile!$T$37</f>
        <v>100</v>
      </c>
      <c r="U190" s="382">
        <f t="shared" si="125"/>
        <v>40</v>
      </c>
      <c r="V190" s="382">
        <f t="shared" si="126"/>
        <v>360</v>
      </c>
      <c r="W190" s="382" t="str">
        <f xml:space="preserve"> Pile!$V$37</f>
        <v/>
      </c>
      <c r="X190" s="382">
        <f t="shared" si="127"/>
        <v>360</v>
      </c>
      <c r="Y190" s="419">
        <v>450</v>
      </c>
      <c r="Z190" s="430">
        <f>PI()*Y190/1000*( Pile!$C$37- Pile!$C190)</f>
        <v>6.3617251235193262</v>
      </c>
      <c r="AA190" s="382">
        <f t="shared" si="128"/>
        <v>0.15904312808798329</v>
      </c>
      <c r="AB190" s="382">
        <f t="shared" si="173"/>
        <v>254.46900494077306</v>
      </c>
      <c r="AC190" s="382">
        <f>Z190* Pile!$S$37</f>
        <v>0</v>
      </c>
      <c r="AD190" s="382">
        <f t="shared" si="179"/>
        <v>254.46900494077306</v>
      </c>
      <c r="AE190" s="382">
        <f>IF(AD190&gt;0,+AD190)/ 'Pile Data and Eurocode Factors'!$B$19/ 'Pile Data and Eurocode Factors'!$B$20+AE$175</f>
        <v>201.66010419176553</v>
      </c>
      <c r="AF190" s="382">
        <f t="shared" si="186"/>
        <v>57.255526111673987</v>
      </c>
      <c r="AG190" s="382">
        <f>AA190* Pile!$U$37</f>
        <v>0</v>
      </c>
      <c r="AH190" s="382">
        <f t="shared" si="129"/>
        <v>57.255526111673987</v>
      </c>
      <c r="AI190" s="382">
        <f>AH190/ 'Pile Data and Eurocode Factors'!$C$19/ 'Pile Data and Eurocode Factors'!$C$20</f>
        <v>24.056943744400836</v>
      </c>
      <c r="AJ190" s="382">
        <f t="shared" si="130"/>
        <v>225.71704793616635</v>
      </c>
      <c r="AK190" s="382">
        <f>VLOOKUP(Y190, 'Pile Data and Eurocode Factors'!$A$34:$J$39,3, FALSE)</f>
        <v>2366.1761868507956</v>
      </c>
      <c r="AL190" s="403">
        <f t="shared" si="131"/>
        <v>225.71704793616635</v>
      </c>
      <c r="AM190" s="419">
        <v>600</v>
      </c>
      <c r="AN190" s="430">
        <f>PI()*AM190/1000*( Pile!$C$37- Pile!$C190)</f>
        <v>8.4823001646924343</v>
      </c>
      <c r="AO190" s="382">
        <f t="shared" si="132"/>
        <v>0.28274333882308139</v>
      </c>
      <c r="AP190" s="382">
        <f t="shared" si="174"/>
        <v>339.29200658769736</v>
      </c>
      <c r="AQ190" s="382">
        <f>AN190* Pile!$S$37</f>
        <v>0</v>
      </c>
      <c r="AR190" s="382">
        <f t="shared" si="180"/>
        <v>339.29200658769736</v>
      </c>
      <c r="AS190" s="382">
        <f>IF(AR190&gt;0,+AR190)/ 'Pile Data and Eurocode Factors'!$B$19/ 'Pile Data and Eurocode Factors'!$B$20+AS$175</f>
        <v>268.88013892235404</v>
      </c>
      <c r="AT190" s="382">
        <f t="shared" si="187"/>
        <v>101.7876019763093</v>
      </c>
      <c r="AU190" s="382">
        <f>AO190* Pile!$U$37</f>
        <v>0</v>
      </c>
      <c r="AV190" s="382">
        <f t="shared" si="133"/>
        <v>101.7876019763093</v>
      </c>
      <c r="AW190" s="382">
        <f>AV190/ 'Pile Data and Eurocode Factors'!$C$19/ 'Pile Data and Eurocode Factors'!$C$20</f>
        <v>42.767899990045926</v>
      </c>
      <c r="AX190" s="382">
        <f t="shared" si="134"/>
        <v>311.64803891239995</v>
      </c>
      <c r="AY190" s="382">
        <f>VLOOKUP(AM190, 'Pile Data and Eurocode Factors'!$A$34:$J$39,3, FALSE)</f>
        <v>4206.5354432903041</v>
      </c>
      <c r="AZ190" s="403">
        <f t="shared" si="135"/>
        <v>311.64803891239995</v>
      </c>
      <c r="BA190" s="419">
        <v>750</v>
      </c>
      <c r="BB190" s="430">
        <f>PI()*BA190/1000*( Pile!$C$37- Pile!$C190)</f>
        <v>10.602875205865544</v>
      </c>
      <c r="BC190" s="382">
        <f t="shared" si="136"/>
        <v>0.44178646691106466</v>
      </c>
      <c r="BD190" s="382">
        <f t="shared" si="175"/>
        <v>424.11500823462177</v>
      </c>
      <c r="BE190" s="382">
        <f>BB190* Pile!$S$37</f>
        <v>0</v>
      </c>
      <c r="BF190" s="382">
        <f t="shared" si="181"/>
        <v>424.11500823462177</v>
      </c>
      <c r="BG190" s="382">
        <f>IF(BF190&gt;0,+BF190)/ 'Pile Data and Eurocode Factors'!$B$19/ 'Pile Data and Eurocode Factors'!$B$20+BG$175</f>
        <v>336.10017365294249</v>
      </c>
      <c r="BH190" s="382">
        <f t="shared" si="188"/>
        <v>159.04312808798326</v>
      </c>
      <c r="BI190" s="382">
        <f>BC190* Pile!$U$37</f>
        <v>0</v>
      </c>
      <c r="BJ190" s="382">
        <f t="shared" si="137"/>
        <v>159.04312808798326</v>
      </c>
      <c r="BK190" s="382">
        <f>BJ190/ 'Pile Data and Eurocode Factors'!$C$19/ 'Pile Data and Eurocode Factors'!$C$20</f>
        <v>66.824843734446759</v>
      </c>
      <c r="BL190" s="382">
        <f t="shared" si="138"/>
        <v>402.92501738738923</v>
      </c>
      <c r="BM190" s="382">
        <f>VLOOKUP(BA190, 'Pile Data and Eurocode Factors'!$A$34:$J$39,3, FALSE)</f>
        <v>6572.7116301410997</v>
      </c>
      <c r="BN190" s="403">
        <f t="shared" si="139"/>
        <v>402.92501738738923</v>
      </c>
      <c r="BO190" s="419">
        <v>900</v>
      </c>
      <c r="BP190" s="430">
        <f>PI()*BO190/1000*( Pile!$C$37- Pile!$C190)</f>
        <v>12.723450247038652</v>
      </c>
      <c r="BQ190" s="382">
        <f t="shared" si="140"/>
        <v>0.63617251235193317</v>
      </c>
      <c r="BR190" s="382">
        <f t="shared" si="176"/>
        <v>508.93800988154612</v>
      </c>
      <c r="BS190" s="382">
        <f>BP190* Pile!$S$37</f>
        <v>0</v>
      </c>
      <c r="BT190" s="382">
        <f t="shared" si="182"/>
        <v>508.93800988154612</v>
      </c>
      <c r="BU190" s="382">
        <f>IF(BT190&gt;0,+BT190)/ 'Pile Data and Eurocode Factors'!$B$19/ 'Pile Data and Eurocode Factors'!$B$20+BU$175</f>
        <v>403.32020838353105</v>
      </c>
      <c r="BV190" s="382">
        <f t="shared" si="189"/>
        <v>229.02210444669595</v>
      </c>
      <c r="BW190" s="382">
        <f>BQ190* Pile!$U$37</f>
        <v>0</v>
      </c>
      <c r="BX190" s="382">
        <f t="shared" si="141"/>
        <v>229.02210444669595</v>
      </c>
      <c r="BY190" s="382">
        <f>BX190/ 'Pile Data and Eurocode Factors'!$C$19/ 'Pile Data and Eurocode Factors'!$C$20</f>
        <v>96.227774977603346</v>
      </c>
      <c r="BZ190" s="382">
        <f t="shared" si="142"/>
        <v>499.54798336113441</v>
      </c>
      <c r="CA190" s="382">
        <f>VLOOKUP(BO190, 'Pile Data and Eurocode Factors'!$A$34:$J$39,3, FALSE)</f>
        <v>9464.7047474031824</v>
      </c>
      <c r="CB190" s="403">
        <f t="shared" si="143"/>
        <v>499.54798336113441</v>
      </c>
      <c r="CC190" s="419">
        <v>1050</v>
      </c>
      <c r="CD190" s="430">
        <f>PI()*CC190/1000*( Pile!$C$37- Pile!$C190)</f>
        <v>14.84402528821176</v>
      </c>
      <c r="CE190" s="382">
        <f t="shared" si="144"/>
        <v>0.86590147514568672</v>
      </c>
      <c r="CF190" s="382">
        <f t="shared" si="177"/>
        <v>593.76101152847036</v>
      </c>
      <c r="CG190" s="382">
        <f>CD190* Pile!$S$37</f>
        <v>0</v>
      </c>
      <c r="CH190" s="382">
        <f t="shared" si="183"/>
        <v>593.76101152847036</v>
      </c>
      <c r="CI190" s="382">
        <f>IF(CH190&gt;0,+CH190)/ 'Pile Data and Eurocode Factors'!$B$19/ 'Pile Data and Eurocode Factors'!$B$20+CI$175</f>
        <v>470.54024311411945</v>
      </c>
      <c r="CJ190" s="382">
        <f t="shared" si="190"/>
        <v>311.72453105244722</v>
      </c>
      <c r="CK190" s="382">
        <f>CE190* Pile!$U$37</f>
        <v>0</v>
      </c>
      <c r="CL190" s="382">
        <f t="shared" si="145"/>
        <v>311.72453105244722</v>
      </c>
      <c r="CM190" s="382">
        <f>CL190/ 'Pile Data and Eurocode Factors'!$C$19/ 'Pile Data and Eurocode Factors'!$C$20</f>
        <v>130.97669371951565</v>
      </c>
      <c r="CN190" s="382">
        <f t="shared" si="146"/>
        <v>601.5169368336351</v>
      </c>
      <c r="CO190" s="382">
        <f>VLOOKUP(CC190, 'Pile Data and Eurocode Factors'!$A$34:$J$39,3, FALSE)</f>
        <v>12882.514795076555</v>
      </c>
      <c r="CP190" s="403">
        <f t="shared" si="147"/>
        <v>601.5169368336351</v>
      </c>
      <c r="CQ190" s="419">
        <v>1200</v>
      </c>
      <c r="CR190" s="430">
        <f>PI()*CQ190/1000*( Pile!$C$37- Pile!$C190)</f>
        <v>16.964600329384869</v>
      </c>
      <c r="CS190" s="382">
        <f t="shared" si="148"/>
        <v>1.1309733552923256</v>
      </c>
      <c r="CT190" s="382">
        <f t="shared" si="178"/>
        <v>678.58401317539472</v>
      </c>
      <c r="CU190" s="382">
        <f>CR190* Pile!$S$37</f>
        <v>0</v>
      </c>
      <c r="CV190" s="382">
        <f t="shared" si="184"/>
        <v>678.58401317539472</v>
      </c>
      <c r="CW190" s="382">
        <f>IF(CV190&gt;0,+CV190)/ 'Pile Data and Eurocode Factors'!$B$19/ 'Pile Data and Eurocode Factors'!$B$20+CW$175</f>
        <v>537.76027784470807</v>
      </c>
      <c r="CX190" s="382">
        <f t="shared" si="191"/>
        <v>407.15040790523722</v>
      </c>
      <c r="CY190" s="382">
        <f>CS190* Pile!$U$37</f>
        <v>0</v>
      </c>
      <c r="CZ190" s="382">
        <f t="shared" si="149"/>
        <v>407.15040790523722</v>
      </c>
      <c r="DA190" s="382">
        <f>CZ190/ 'Pile Data and Eurocode Factors'!$C$19/ 'Pile Data and Eurocode Factors'!$C$20</f>
        <v>171.0715999601837</v>
      </c>
      <c r="DB190" s="382">
        <f t="shared" si="150"/>
        <v>708.83187780489175</v>
      </c>
      <c r="DC190" s="382">
        <f>VLOOKUP(CQ190, 'Pile Data and Eurocode Factors'!$A$34:$J$39,3, FALSE)</f>
        <v>16826.141773161216</v>
      </c>
      <c r="DD190" s="403">
        <f t="shared" si="151"/>
        <v>708.83187780489175</v>
      </c>
      <c r="DE190" s="420">
        <f xml:space="preserve"> Pile!$C$23- Pile!C190</f>
        <v>10.499999999999996</v>
      </c>
      <c r="DG190" s="382">
        <f t="shared" si="152"/>
        <v>225.71704793616635</v>
      </c>
      <c r="DH190" s="382">
        <f t="shared" si="153"/>
        <v>311.64803891239995</v>
      </c>
      <c r="DI190" s="382">
        <f t="shared" si="154"/>
        <v>402.92501738738923</v>
      </c>
      <c r="DJ190" s="382"/>
      <c r="DK190" s="382"/>
      <c r="DL190" s="382"/>
    </row>
    <row r="191" spans="2:116" s="308" customFormat="1" ht="15">
      <c r="B191" s="400">
        <v>16</v>
      </c>
      <c r="C191" s="401">
        <f>+C190- Pile!D$37/20</f>
        <v>-4.7999999999999963</v>
      </c>
      <c r="D191" s="415" t="str">
        <f>B24</f>
        <v>Firm Clay</v>
      </c>
      <c r="E191" s="415" t="str">
        <f>F24</f>
        <v>Cohesive</v>
      </c>
      <c r="F191" s="401">
        <f xml:space="preserve"> Pile!$E$37*(+C190-C191)+F190</f>
        <v>187.80000000000007</v>
      </c>
      <c r="G191" s="401">
        <f>IF(C191&gt; Pile!$C$41,0,( Pile!$C$41-C191)*9.81)</f>
        <v>0</v>
      </c>
      <c r="H191" s="401">
        <f t="shared" si="122"/>
        <v>187.80000000000007</v>
      </c>
      <c r="I191" s="401">
        <f t="shared" si="185"/>
        <v>143.40000000000003</v>
      </c>
      <c r="J191" s="401">
        <f>IF(E191="Cohesive",(( Pile!$H$37- Pile!$G$37)/20)+J190,0)</f>
        <v>40</v>
      </c>
      <c r="K191" s="401">
        <f>IF(E191="Cohesive",( Pile!$G$37+ Pile!$J191)/2,0)</f>
        <v>40</v>
      </c>
      <c r="L191" s="401">
        <f>IF( Pile!I$37="",0, Pile!I$37)</f>
        <v>1</v>
      </c>
      <c r="M191" s="401">
        <f>IF( Pile!J$37="",0, Pile!J$37)</f>
        <v>9</v>
      </c>
      <c r="N191" s="401">
        <f>IF(E191="Granular", Pile!$K$37,0)</f>
        <v>0</v>
      </c>
      <c r="O191" s="416">
        <f>IF(AND(E191="Granular",D191&lt;&gt;"Made Ground"), Pile!$L$37,0)</f>
        <v>0</v>
      </c>
      <c r="P191" s="401">
        <f>IF(OR(D191="Low Density Chalk",D191="Medium Density Chalk"), Pile!$M$37,0)</f>
        <v>0</v>
      </c>
      <c r="Q191" s="417">
        <f>IF(D191="High Density Chalk", Pile!$N$37,0)</f>
        <v>0</v>
      </c>
      <c r="R191" s="401">
        <f>IF( Pile!O$37="",0, Pile!O$37)</f>
        <v>0</v>
      </c>
      <c r="S191" s="418">
        <f t="shared" si="124"/>
        <v>40</v>
      </c>
      <c r="T191" s="382">
        <f xml:space="preserve"> Pile!$T$37</f>
        <v>100</v>
      </c>
      <c r="U191" s="382">
        <f t="shared" si="125"/>
        <v>40</v>
      </c>
      <c r="V191" s="382">
        <f t="shared" si="126"/>
        <v>360</v>
      </c>
      <c r="W191" s="382" t="str">
        <f xml:space="preserve"> Pile!$V$37</f>
        <v/>
      </c>
      <c r="X191" s="382">
        <f t="shared" si="127"/>
        <v>360</v>
      </c>
      <c r="Y191" s="419">
        <v>450</v>
      </c>
      <c r="Z191" s="430">
        <f>PI()*Y191/1000*( Pile!$C$37- Pile!$C191)</f>
        <v>6.7858401317539476</v>
      </c>
      <c r="AA191" s="382">
        <f t="shared" si="128"/>
        <v>0.15904312808798329</v>
      </c>
      <c r="AB191" s="382">
        <f t="shared" si="173"/>
        <v>271.4336052701579</v>
      </c>
      <c r="AC191" s="382">
        <f>Z191* Pile!$S$37</f>
        <v>0</v>
      </c>
      <c r="AD191" s="382">
        <f t="shared" si="179"/>
        <v>271.4336052701579</v>
      </c>
      <c r="AE191" s="382">
        <f>IF(AD191&gt;0,+AD191)/ 'Pile Data and Eurocode Factors'!$B$19/ 'Pile Data and Eurocode Factors'!$B$20+AE$175</f>
        <v>209.73848530099639</v>
      </c>
      <c r="AF191" s="382">
        <f t="shared" si="186"/>
        <v>57.255526111673987</v>
      </c>
      <c r="AG191" s="382">
        <f>AA191* Pile!$U$37</f>
        <v>0</v>
      </c>
      <c r="AH191" s="382">
        <f t="shared" si="129"/>
        <v>57.255526111673987</v>
      </c>
      <c r="AI191" s="382">
        <f>AH191/ 'Pile Data and Eurocode Factors'!$C$19/ 'Pile Data and Eurocode Factors'!$C$20</f>
        <v>24.056943744400836</v>
      </c>
      <c r="AJ191" s="382">
        <f t="shared" si="130"/>
        <v>233.79542904539721</v>
      </c>
      <c r="AK191" s="382">
        <f>VLOOKUP(Y191, 'Pile Data and Eurocode Factors'!$A$34:$J$39,3, FALSE)</f>
        <v>2366.1761868507956</v>
      </c>
      <c r="AL191" s="403">
        <f t="shared" si="131"/>
        <v>233.79542904539721</v>
      </c>
      <c r="AM191" s="419">
        <v>600</v>
      </c>
      <c r="AN191" s="430">
        <f>PI()*AM191/1000*( Pile!$C$37- Pile!$C191)</f>
        <v>9.0477868423385974</v>
      </c>
      <c r="AO191" s="382">
        <f t="shared" si="132"/>
        <v>0.28274333882308139</v>
      </c>
      <c r="AP191" s="382">
        <f t="shared" si="174"/>
        <v>361.91147369354388</v>
      </c>
      <c r="AQ191" s="382">
        <f>AN191* Pile!$S$37</f>
        <v>0</v>
      </c>
      <c r="AR191" s="382">
        <f t="shared" si="180"/>
        <v>361.91147369354388</v>
      </c>
      <c r="AS191" s="382">
        <f>IF(AR191&gt;0,+AR191)/ 'Pile Data and Eurocode Factors'!$B$19/ 'Pile Data and Eurocode Factors'!$B$20+AS$175</f>
        <v>279.65131373466187</v>
      </c>
      <c r="AT191" s="382">
        <f t="shared" si="187"/>
        <v>101.7876019763093</v>
      </c>
      <c r="AU191" s="382">
        <f>AO191* Pile!$U$37</f>
        <v>0</v>
      </c>
      <c r="AV191" s="382">
        <f t="shared" si="133"/>
        <v>101.7876019763093</v>
      </c>
      <c r="AW191" s="382">
        <f>AV191/ 'Pile Data and Eurocode Factors'!$C$19/ 'Pile Data and Eurocode Factors'!$C$20</f>
        <v>42.767899990045926</v>
      </c>
      <c r="AX191" s="382">
        <f t="shared" si="134"/>
        <v>322.41921372470779</v>
      </c>
      <c r="AY191" s="382">
        <f>VLOOKUP(AM191, 'Pile Data and Eurocode Factors'!$A$34:$J$39,3, FALSE)</f>
        <v>4206.5354432903041</v>
      </c>
      <c r="AZ191" s="403">
        <f t="shared" si="135"/>
        <v>322.41921372470779</v>
      </c>
      <c r="BA191" s="419">
        <v>750</v>
      </c>
      <c r="BB191" s="430">
        <f>PI()*BA191/1000*( Pile!$C$37- Pile!$C191)</f>
        <v>11.309733552923246</v>
      </c>
      <c r="BC191" s="382">
        <f t="shared" si="136"/>
        <v>0.44178646691106466</v>
      </c>
      <c r="BD191" s="382">
        <f t="shared" si="175"/>
        <v>452.38934211692987</v>
      </c>
      <c r="BE191" s="382">
        <f>BB191* Pile!$S$37</f>
        <v>0</v>
      </c>
      <c r="BF191" s="382">
        <f t="shared" si="181"/>
        <v>452.38934211692987</v>
      </c>
      <c r="BG191" s="382">
        <f>IF(BF191&gt;0,+BF191)/ 'Pile Data and Eurocode Factors'!$B$19/ 'Pile Data and Eurocode Factors'!$B$20+BG$175</f>
        <v>349.56414216832729</v>
      </c>
      <c r="BH191" s="382">
        <f t="shared" si="188"/>
        <v>159.04312808798326</v>
      </c>
      <c r="BI191" s="382">
        <f>BC191* Pile!$U$37</f>
        <v>0</v>
      </c>
      <c r="BJ191" s="382">
        <f t="shared" si="137"/>
        <v>159.04312808798326</v>
      </c>
      <c r="BK191" s="382">
        <f>BJ191/ 'Pile Data and Eurocode Factors'!$C$19/ 'Pile Data and Eurocode Factors'!$C$20</f>
        <v>66.824843734446759</v>
      </c>
      <c r="BL191" s="382">
        <f t="shared" si="138"/>
        <v>416.38898590277404</v>
      </c>
      <c r="BM191" s="382">
        <f>VLOOKUP(BA191, 'Pile Data and Eurocode Factors'!$A$34:$J$39,3, FALSE)</f>
        <v>6572.7116301410997</v>
      </c>
      <c r="BN191" s="403">
        <f t="shared" si="139"/>
        <v>416.38898590277404</v>
      </c>
      <c r="BO191" s="419">
        <v>900</v>
      </c>
      <c r="BP191" s="430">
        <f>PI()*BO191/1000*( Pile!$C$37- Pile!$C191)</f>
        <v>13.571680263507895</v>
      </c>
      <c r="BQ191" s="382">
        <f t="shared" si="140"/>
        <v>0.63617251235193317</v>
      </c>
      <c r="BR191" s="382">
        <f t="shared" si="176"/>
        <v>542.8672105403158</v>
      </c>
      <c r="BS191" s="382">
        <f>BP191* Pile!$S$37</f>
        <v>0</v>
      </c>
      <c r="BT191" s="382">
        <f t="shared" si="182"/>
        <v>542.8672105403158</v>
      </c>
      <c r="BU191" s="382">
        <f>IF(BT191&gt;0,+BT191)/ 'Pile Data and Eurocode Factors'!$B$19/ 'Pile Data and Eurocode Factors'!$B$20+BU$175</f>
        <v>419.47697060199278</v>
      </c>
      <c r="BV191" s="382">
        <f t="shared" si="189"/>
        <v>229.02210444669595</v>
      </c>
      <c r="BW191" s="382">
        <f>BQ191* Pile!$U$37</f>
        <v>0</v>
      </c>
      <c r="BX191" s="382">
        <f t="shared" si="141"/>
        <v>229.02210444669595</v>
      </c>
      <c r="BY191" s="382">
        <f>BX191/ 'Pile Data and Eurocode Factors'!$C$19/ 'Pile Data and Eurocode Factors'!$C$20</f>
        <v>96.227774977603346</v>
      </c>
      <c r="BZ191" s="382">
        <f t="shared" si="142"/>
        <v>515.70474557959608</v>
      </c>
      <c r="CA191" s="382">
        <f>VLOOKUP(BO191, 'Pile Data and Eurocode Factors'!$A$34:$J$39,3, FALSE)</f>
        <v>9464.7047474031824</v>
      </c>
      <c r="CB191" s="403">
        <f t="shared" si="143"/>
        <v>515.70474557959608</v>
      </c>
      <c r="CC191" s="419">
        <v>1050</v>
      </c>
      <c r="CD191" s="430">
        <f>PI()*CC191/1000*( Pile!$C$37- Pile!$C191)</f>
        <v>15.833626974092544</v>
      </c>
      <c r="CE191" s="382">
        <f t="shared" si="144"/>
        <v>0.86590147514568672</v>
      </c>
      <c r="CF191" s="382">
        <f t="shared" si="177"/>
        <v>633.34507896370178</v>
      </c>
      <c r="CG191" s="382">
        <f>CD191* Pile!$S$37</f>
        <v>0</v>
      </c>
      <c r="CH191" s="382">
        <f t="shared" si="183"/>
        <v>633.34507896370178</v>
      </c>
      <c r="CI191" s="382">
        <f>IF(CH191&gt;0,+CH191)/ 'Pile Data and Eurocode Factors'!$B$19/ 'Pile Data and Eurocode Factors'!$B$20+CI$175</f>
        <v>489.38979903565826</v>
      </c>
      <c r="CJ191" s="382">
        <f t="shared" si="190"/>
        <v>311.72453105244722</v>
      </c>
      <c r="CK191" s="382">
        <f>CE191* Pile!$U$37</f>
        <v>0</v>
      </c>
      <c r="CL191" s="382">
        <f t="shared" si="145"/>
        <v>311.72453105244722</v>
      </c>
      <c r="CM191" s="382">
        <f>CL191/ 'Pile Data and Eurocode Factors'!$C$19/ 'Pile Data and Eurocode Factors'!$C$20</f>
        <v>130.97669371951565</v>
      </c>
      <c r="CN191" s="382">
        <f t="shared" si="146"/>
        <v>620.36649275517391</v>
      </c>
      <c r="CO191" s="382">
        <f>VLOOKUP(CC191, 'Pile Data and Eurocode Factors'!$A$34:$J$39,3, FALSE)</f>
        <v>12882.514795076555</v>
      </c>
      <c r="CP191" s="403">
        <f t="shared" si="147"/>
        <v>620.36649275517391</v>
      </c>
      <c r="CQ191" s="419">
        <v>1200</v>
      </c>
      <c r="CR191" s="430">
        <f>PI()*CQ191/1000*( Pile!$C$37- Pile!$C191)</f>
        <v>18.095573684677195</v>
      </c>
      <c r="CS191" s="382">
        <f t="shared" si="148"/>
        <v>1.1309733552923256</v>
      </c>
      <c r="CT191" s="382">
        <f t="shared" si="178"/>
        <v>723.82294738708777</v>
      </c>
      <c r="CU191" s="382">
        <f>CR191* Pile!$S$37</f>
        <v>0</v>
      </c>
      <c r="CV191" s="382">
        <f t="shared" si="184"/>
        <v>723.82294738708777</v>
      </c>
      <c r="CW191" s="382">
        <f>IF(CV191&gt;0,+CV191)/ 'Pile Data and Eurocode Factors'!$B$19/ 'Pile Data and Eurocode Factors'!$B$20+CW$175</f>
        <v>559.30262746932374</v>
      </c>
      <c r="CX191" s="382">
        <f t="shared" si="191"/>
        <v>407.15040790523722</v>
      </c>
      <c r="CY191" s="382">
        <f>CS191* Pile!$U$37</f>
        <v>0</v>
      </c>
      <c r="CZ191" s="382">
        <f t="shared" si="149"/>
        <v>407.15040790523722</v>
      </c>
      <c r="DA191" s="382">
        <f>CZ191/ 'Pile Data and Eurocode Factors'!$C$19/ 'Pile Data and Eurocode Factors'!$C$20</f>
        <v>171.0715999601837</v>
      </c>
      <c r="DB191" s="382">
        <f t="shared" si="150"/>
        <v>730.37422742950741</v>
      </c>
      <c r="DC191" s="382">
        <f>VLOOKUP(CQ191, 'Pile Data and Eurocode Factors'!$A$34:$J$39,3, FALSE)</f>
        <v>16826.141773161216</v>
      </c>
      <c r="DD191" s="403">
        <f t="shared" si="151"/>
        <v>730.37422742950741</v>
      </c>
      <c r="DE191" s="420">
        <f xml:space="preserve"> Pile!$C$23- Pile!C191</f>
        <v>10.799999999999997</v>
      </c>
      <c r="DG191" s="382">
        <f t="shared" si="152"/>
        <v>233.79542904539721</v>
      </c>
      <c r="DH191" s="382">
        <f t="shared" si="153"/>
        <v>322.41921372470779</v>
      </c>
      <c r="DI191" s="382">
        <f t="shared" si="154"/>
        <v>416.38898590277404</v>
      </c>
      <c r="DJ191" s="382"/>
      <c r="DK191" s="382"/>
      <c r="DL191" s="382"/>
    </row>
    <row r="192" spans="2:116" s="308" customFormat="1" ht="15">
      <c r="B192" s="400">
        <v>17</v>
      </c>
      <c r="C192" s="401">
        <f>+C191- Pile!D$37/20</f>
        <v>-5.0999999999999961</v>
      </c>
      <c r="D192" s="415" t="str">
        <f>B24</f>
        <v>Firm Clay</v>
      </c>
      <c r="E192" s="415" t="str">
        <f>F24</f>
        <v>Cohesive</v>
      </c>
      <c r="F192" s="401">
        <f xml:space="preserve"> Pile!$E$37*(+C191-C192)+F191</f>
        <v>193.35000000000008</v>
      </c>
      <c r="G192" s="401">
        <f>IF(C192&gt; Pile!$C$41,0,( Pile!$C$41-C192)*9.81)</f>
        <v>0</v>
      </c>
      <c r="H192" s="401">
        <f t="shared" si="122"/>
        <v>193.35000000000008</v>
      </c>
      <c r="I192" s="401">
        <f t="shared" si="185"/>
        <v>146.17500000000001</v>
      </c>
      <c r="J192" s="401">
        <f>IF(E192="Cohesive",(( Pile!$H$37- Pile!$G$37)/20)+J191,0)</f>
        <v>40</v>
      </c>
      <c r="K192" s="401">
        <f>IF(E192="Cohesive",( Pile!$G$37+ Pile!$J192)/2,0)</f>
        <v>40</v>
      </c>
      <c r="L192" s="401">
        <f>IF( Pile!I$37="",0, Pile!I$37)</f>
        <v>1</v>
      </c>
      <c r="M192" s="401">
        <f>IF( Pile!J$37="",0, Pile!J$37)</f>
        <v>9</v>
      </c>
      <c r="N192" s="401">
        <f>IF(E192="Granular", Pile!$K$37,0)</f>
        <v>0</v>
      </c>
      <c r="O192" s="416">
        <f>IF(AND(E192="Granular",D192&lt;&gt;"Made Ground"), Pile!$L$37,0)</f>
        <v>0</v>
      </c>
      <c r="P192" s="401">
        <f>IF(OR(D192="Low Density Chalk",D192="Medium Density Chalk"), Pile!$M$37,0)</f>
        <v>0</v>
      </c>
      <c r="Q192" s="417">
        <f>IF(D192="High Density Chalk", Pile!$N$37,0)</f>
        <v>0</v>
      </c>
      <c r="R192" s="401">
        <f>IF( Pile!O$37="",0, Pile!O$37)</f>
        <v>0</v>
      </c>
      <c r="S192" s="418">
        <f t="shared" si="124"/>
        <v>40</v>
      </c>
      <c r="T192" s="382">
        <f xml:space="preserve"> Pile!$T$37</f>
        <v>100</v>
      </c>
      <c r="U192" s="382">
        <f t="shared" si="125"/>
        <v>40</v>
      </c>
      <c r="V192" s="382">
        <f t="shared" si="126"/>
        <v>360</v>
      </c>
      <c r="W192" s="382" t="str">
        <f xml:space="preserve"> Pile!$V$37</f>
        <v/>
      </c>
      <c r="X192" s="382">
        <f t="shared" si="127"/>
        <v>360</v>
      </c>
      <c r="Y192" s="419">
        <v>450</v>
      </c>
      <c r="Z192" s="430">
        <f>PI()*Y192/1000*( Pile!$C$37- Pile!$C192)</f>
        <v>7.20995513998857</v>
      </c>
      <c r="AA192" s="382">
        <f t="shared" si="128"/>
        <v>0.15904312808798329</v>
      </c>
      <c r="AB192" s="382">
        <f t="shared" si="173"/>
        <v>288.39820559954279</v>
      </c>
      <c r="AC192" s="382">
        <f>Z192* Pile!$S$37</f>
        <v>0</v>
      </c>
      <c r="AD192" s="382">
        <f t="shared" si="179"/>
        <v>288.39820559954279</v>
      </c>
      <c r="AE192" s="382">
        <f>IF(AD192&gt;0,+AD192)/ 'Pile Data and Eurocode Factors'!$B$19/ 'Pile Data and Eurocode Factors'!$B$20+AE$175</f>
        <v>217.81686641022731</v>
      </c>
      <c r="AF192" s="382">
        <f t="shared" si="186"/>
        <v>57.255526111673987</v>
      </c>
      <c r="AG192" s="382">
        <f>AA192* Pile!$U$37</f>
        <v>0</v>
      </c>
      <c r="AH192" s="382">
        <f t="shared" si="129"/>
        <v>57.255526111673987</v>
      </c>
      <c r="AI192" s="382">
        <f>AH192/ 'Pile Data and Eurocode Factors'!$C$19/ 'Pile Data and Eurocode Factors'!$C$20</f>
        <v>24.056943744400836</v>
      </c>
      <c r="AJ192" s="382">
        <f t="shared" si="130"/>
        <v>241.87381015462813</v>
      </c>
      <c r="AK192" s="382">
        <f>VLOOKUP(Y192, 'Pile Data and Eurocode Factors'!$A$34:$J$39,3, FALSE)</f>
        <v>2366.1761868507956</v>
      </c>
      <c r="AL192" s="403">
        <f t="shared" si="131"/>
        <v>241.87381015462813</v>
      </c>
      <c r="AM192" s="419">
        <v>600</v>
      </c>
      <c r="AN192" s="430">
        <f>PI()*AM192/1000*( Pile!$C$37- Pile!$C192)</f>
        <v>9.6132735199847588</v>
      </c>
      <c r="AO192" s="382">
        <f t="shared" si="132"/>
        <v>0.28274333882308139</v>
      </c>
      <c r="AP192" s="382">
        <f t="shared" si="174"/>
        <v>384.53094079939035</v>
      </c>
      <c r="AQ192" s="382">
        <f>AN192* Pile!$S$37</f>
        <v>0</v>
      </c>
      <c r="AR192" s="382">
        <f t="shared" si="180"/>
        <v>384.53094079939035</v>
      </c>
      <c r="AS192" s="382">
        <f>IF(AR192&gt;0,+AR192)/ 'Pile Data and Eurocode Factors'!$B$19/ 'Pile Data and Eurocode Factors'!$B$20+AS$175</f>
        <v>290.4224885469697</v>
      </c>
      <c r="AT192" s="382">
        <f t="shared" si="187"/>
        <v>101.7876019763093</v>
      </c>
      <c r="AU192" s="382">
        <f>AO192* Pile!$U$37</f>
        <v>0</v>
      </c>
      <c r="AV192" s="382">
        <f t="shared" si="133"/>
        <v>101.7876019763093</v>
      </c>
      <c r="AW192" s="382">
        <f>AV192/ 'Pile Data and Eurocode Factors'!$C$19/ 'Pile Data and Eurocode Factors'!$C$20</f>
        <v>42.767899990045926</v>
      </c>
      <c r="AX192" s="382">
        <f t="shared" si="134"/>
        <v>333.19038853701562</v>
      </c>
      <c r="AY192" s="382">
        <f>VLOOKUP(AM192, 'Pile Data and Eurocode Factors'!$A$34:$J$39,3, FALSE)</f>
        <v>4206.5354432903041</v>
      </c>
      <c r="AZ192" s="403">
        <f t="shared" si="135"/>
        <v>333.19038853701562</v>
      </c>
      <c r="BA192" s="419">
        <v>750</v>
      </c>
      <c r="BB192" s="430">
        <f>PI()*BA192/1000*( Pile!$C$37- Pile!$C192)</f>
        <v>12.01659189998095</v>
      </c>
      <c r="BC192" s="382">
        <f t="shared" si="136"/>
        <v>0.44178646691106466</v>
      </c>
      <c r="BD192" s="382">
        <f t="shared" si="175"/>
        <v>480.66367599923802</v>
      </c>
      <c r="BE192" s="382">
        <f>BB192* Pile!$S$37</f>
        <v>0</v>
      </c>
      <c r="BF192" s="382">
        <f t="shared" si="181"/>
        <v>480.66367599923802</v>
      </c>
      <c r="BG192" s="382">
        <f>IF(BF192&gt;0,+BF192)/ 'Pile Data and Eurocode Factors'!$B$19/ 'Pile Data and Eurocode Factors'!$B$20+BG$175</f>
        <v>363.02811068371216</v>
      </c>
      <c r="BH192" s="382">
        <f t="shared" si="188"/>
        <v>159.04312808798326</v>
      </c>
      <c r="BI192" s="382">
        <f>BC192* Pile!$U$37</f>
        <v>0</v>
      </c>
      <c r="BJ192" s="382">
        <f t="shared" si="137"/>
        <v>159.04312808798326</v>
      </c>
      <c r="BK192" s="382">
        <f>BJ192/ 'Pile Data and Eurocode Factors'!$C$19/ 'Pile Data and Eurocode Factors'!$C$20</f>
        <v>66.824843734446759</v>
      </c>
      <c r="BL192" s="382">
        <f t="shared" si="138"/>
        <v>429.8529544181589</v>
      </c>
      <c r="BM192" s="382">
        <f>VLOOKUP(BA192, 'Pile Data and Eurocode Factors'!$A$34:$J$39,3, FALSE)</f>
        <v>6572.7116301410997</v>
      </c>
      <c r="BN192" s="403">
        <f t="shared" si="139"/>
        <v>429.8529544181589</v>
      </c>
      <c r="BO192" s="419">
        <v>900</v>
      </c>
      <c r="BP192" s="430">
        <f>PI()*BO192/1000*( Pile!$C$37- Pile!$C192)</f>
        <v>14.41991027997714</v>
      </c>
      <c r="BQ192" s="382">
        <f t="shared" si="140"/>
        <v>0.63617251235193317</v>
      </c>
      <c r="BR192" s="382">
        <f t="shared" si="176"/>
        <v>576.79641119908558</v>
      </c>
      <c r="BS192" s="382">
        <f>BP192* Pile!$S$37</f>
        <v>0</v>
      </c>
      <c r="BT192" s="382">
        <f t="shared" si="182"/>
        <v>576.79641119908558</v>
      </c>
      <c r="BU192" s="382">
        <f>IF(BT192&gt;0,+BT192)/ 'Pile Data and Eurocode Factors'!$B$19/ 'Pile Data and Eurocode Factors'!$B$20+BU$175</f>
        <v>435.63373282045461</v>
      </c>
      <c r="BV192" s="382">
        <f t="shared" si="189"/>
        <v>229.02210444669595</v>
      </c>
      <c r="BW192" s="382">
        <f>BQ192* Pile!$U$37</f>
        <v>0</v>
      </c>
      <c r="BX192" s="382">
        <f t="shared" si="141"/>
        <v>229.02210444669595</v>
      </c>
      <c r="BY192" s="382">
        <f>BX192/ 'Pile Data and Eurocode Factors'!$C$19/ 'Pile Data and Eurocode Factors'!$C$20</f>
        <v>96.227774977603346</v>
      </c>
      <c r="BZ192" s="382">
        <f t="shared" si="142"/>
        <v>531.86150779805791</v>
      </c>
      <c r="CA192" s="382">
        <f>VLOOKUP(BO192, 'Pile Data and Eurocode Factors'!$A$34:$J$39,3, FALSE)</f>
        <v>9464.7047474031824</v>
      </c>
      <c r="CB192" s="403">
        <f t="shared" si="143"/>
        <v>531.86150779805791</v>
      </c>
      <c r="CC192" s="419">
        <v>1050</v>
      </c>
      <c r="CD192" s="430">
        <f>PI()*CC192/1000*( Pile!$C$37- Pile!$C192)</f>
        <v>16.823228659973328</v>
      </c>
      <c r="CE192" s="382">
        <f t="shared" si="144"/>
        <v>0.86590147514568672</v>
      </c>
      <c r="CF192" s="382">
        <f t="shared" si="177"/>
        <v>672.92914639893309</v>
      </c>
      <c r="CG192" s="382">
        <f>CD192* Pile!$S$37</f>
        <v>0</v>
      </c>
      <c r="CH192" s="382">
        <f t="shared" si="183"/>
        <v>672.92914639893309</v>
      </c>
      <c r="CI192" s="382">
        <f>IF(CH192&gt;0,+CH192)/ 'Pile Data and Eurocode Factors'!$B$19/ 'Pile Data and Eurocode Factors'!$B$20+CI$175</f>
        <v>508.23935495719695</v>
      </c>
      <c r="CJ192" s="382">
        <f t="shared" si="190"/>
        <v>311.72453105244722</v>
      </c>
      <c r="CK192" s="382">
        <f>CE192* Pile!$U$37</f>
        <v>0</v>
      </c>
      <c r="CL192" s="382">
        <f t="shared" si="145"/>
        <v>311.72453105244722</v>
      </c>
      <c r="CM192" s="382">
        <f>CL192/ 'Pile Data and Eurocode Factors'!$C$19/ 'Pile Data and Eurocode Factors'!$C$20</f>
        <v>130.97669371951565</v>
      </c>
      <c r="CN192" s="382">
        <f t="shared" si="146"/>
        <v>639.2160486767126</v>
      </c>
      <c r="CO192" s="382">
        <f>VLOOKUP(CC192, 'Pile Data and Eurocode Factors'!$A$34:$J$39,3, FALSE)</f>
        <v>12882.514795076555</v>
      </c>
      <c r="CP192" s="403">
        <f t="shared" si="147"/>
        <v>639.2160486767126</v>
      </c>
      <c r="CQ192" s="419">
        <v>1200</v>
      </c>
      <c r="CR192" s="430">
        <f>PI()*CQ192/1000*( Pile!$C$37- Pile!$C192)</f>
        <v>19.226547039969518</v>
      </c>
      <c r="CS192" s="382">
        <f t="shared" si="148"/>
        <v>1.1309733552923256</v>
      </c>
      <c r="CT192" s="382">
        <f t="shared" si="178"/>
        <v>769.0618815987807</v>
      </c>
      <c r="CU192" s="382">
        <f>CR192* Pile!$S$37</f>
        <v>0</v>
      </c>
      <c r="CV192" s="382">
        <f t="shared" si="184"/>
        <v>769.0618815987807</v>
      </c>
      <c r="CW192" s="382">
        <f>IF(CV192&gt;0,+CV192)/ 'Pile Data and Eurocode Factors'!$B$19/ 'Pile Data and Eurocode Factors'!$B$20+CW$175</f>
        <v>580.84497709393941</v>
      </c>
      <c r="CX192" s="382">
        <f t="shared" si="191"/>
        <v>407.15040790523722</v>
      </c>
      <c r="CY192" s="382">
        <f>CS192* Pile!$U$37</f>
        <v>0</v>
      </c>
      <c r="CZ192" s="382">
        <f t="shared" si="149"/>
        <v>407.15040790523722</v>
      </c>
      <c r="DA192" s="382">
        <f>CZ192/ 'Pile Data and Eurocode Factors'!$C$19/ 'Pile Data and Eurocode Factors'!$C$20</f>
        <v>171.0715999601837</v>
      </c>
      <c r="DB192" s="382">
        <f t="shared" si="150"/>
        <v>751.91657705412308</v>
      </c>
      <c r="DC192" s="382">
        <f>VLOOKUP(CQ192, 'Pile Data and Eurocode Factors'!$A$34:$J$39,3, FALSE)</f>
        <v>16826.141773161216</v>
      </c>
      <c r="DD192" s="403">
        <f t="shared" si="151"/>
        <v>751.91657705412308</v>
      </c>
      <c r="DE192" s="420">
        <f xml:space="preserve"> Pile!$C$23- Pile!C192</f>
        <v>11.099999999999996</v>
      </c>
      <c r="DG192" s="382">
        <f t="shared" si="152"/>
        <v>241.87381015462813</v>
      </c>
      <c r="DH192" s="382">
        <f t="shared" si="153"/>
        <v>333.19038853701562</v>
      </c>
      <c r="DI192" s="382">
        <f t="shared" si="154"/>
        <v>429.8529544181589</v>
      </c>
      <c r="DJ192" s="382"/>
      <c r="DK192" s="382"/>
      <c r="DL192" s="382"/>
    </row>
    <row r="193" spans="2:116" s="308" customFormat="1" ht="15">
      <c r="B193" s="400">
        <v>18</v>
      </c>
      <c r="C193" s="401">
        <f>+C192- Pile!D$37/20</f>
        <v>-5.3999999999999959</v>
      </c>
      <c r="D193" s="415" t="str">
        <f>B24</f>
        <v>Firm Clay</v>
      </c>
      <c r="E193" s="415" t="str">
        <f>F24</f>
        <v>Cohesive</v>
      </c>
      <c r="F193" s="401">
        <f xml:space="preserve"> Pile!$E$37*(+C192-C193)+F192</f>
        <v>198.90000000000009</v>
      </c>
      <c r="G193" s="401">
        <f>IF(C193&gt; Pile!$C$41,0,( Pile!$C$41-C193)*9.81)</f>
        <v>0</v>
      </c>
      <c r="H193" s="401">
        <f t="shared" si="122"/>
        <v>198.90000000000009</v>
      </c>
      <c r="I193" s="401">
        <f t="shared" si="185"/>
        <v>148.95000000000005</v>
      </c>
      <c r="J193" s="401">
        <f>IF(E193="Cohesive",(( Pile!$H$37- Pile!$G$37)/20)+J192,0)</f>
        <v>40</v>
      </c>
      <c r="K193" s="401">
        <f>IF(E193="Cohesive",( Pile!$G$37+ Pile!$J193)/2,0)</f>
        <v>40</v>
      </c>
      <c r="L193" s="401">
        <f>IF( Pile!I$37="",0, Pile!I$37)</f>
        <v>1</v>
      </c>
      <c r="M193" s="401">
        <f>IF( Pile!J$37="",0, Pile!J$37)</f>
        <v>9</v>
      </c>
      <c r="N193" s="401">
        <f>IF(E193="Granular", Pile!$K$37,0)</f>
        <v>0</v>
      </c>
      <c r="O193" s="416">
        <f>IF(AND(E193="Granular",D193&lt;&gt;"Made Ground"), Pile!$L$37,0)</f>
        <v>0</v>
      </c>
      <c r="P193" s="401">
        <f>IF(OR(D193="Low Density Chalk",D193="Medium Density Chalk"), Pile!$M$37,0)</f>
        <v>0</v>
      </c>
      <c r="Q193" s="417">
        <f>IF(D193="High Density Chalk", Pile!$N$37,0)</f>
        <v>0</v>
      </c>
      <c r="R193" s="401">
        <f>IF( Pile!O$37="",0, Pile!O$37)</f>
        <v>0</v>
      </c>
      <c r="S193" s="418">
        <f t="shared" si="124"/>
        <v>40</v>
      </c>
      <c r="T193" s="382">
        <f xml:space="preserve"> Pile!$T$37</f>
        <v>100</v>
      </c>
      <c r="U193" s="382">
        <f t="shared" si="125"/>
        <v>40</v>
      </c>
      <c r="V193" s="382">
        <f t="shared" si="126"/>
        <v>360</v>
      </c>
      <c r="W193" s="382" t="str">
        <f xml:space="preserve"> Pile!$V$37</f>
        <v/>
      </c>
      <c r="X193" s="382">
        <f t="shared" si="127"/>
        <v>360</v>
      </c>
      <c r="Y193" s="419">
        <v>450</v>
      </c>
      <c r="Z193" s="430">
        <f>PI()*Y193/1000*( Pile!$C$37- Pile!$C193)</f>
        <v>7.6340701482231914</v>
      </c>
      <c r="AA193" s="382">
        <f t="shared" si="128"/>
        <v>0.15904312808798329</v>
      </c>
      <c r="AB193" s="382">
        <f t="shared" si="173"/>
        <v>305.36280592892763</v>
      </c>
      <c r="AC193" s="382">
        <f>Z193* Pile!$S$37</f>
        <v>0</v>
      </c>
      <c r="AD193" s="382">
        <f t="shared" si="179"/>
        <v>305.36280592892763</v>
      </c>
      <c r="AE193" s="382">
        <f>IF(AD193&gt;0,+AD193)/ 'Pile Data and Eurocode Factors'!$B$19/ 'Pile Data and Eurocode Factors'!$B$20+AE$175</f>
        <v>225.89524751945817</v>
      </c>
      <c r="AF193" s="382">
        <f t="shared" si="186"/>
        <v>57.255526111673987</v>
      </c>
      <c r="AG193" s="382">
        <f>AA193* Pile!$U$37</f>
        <v>0</v>
      </c>
      <c r="AH193" s="382">
        <f t="shared" si="129"/>
        <v>57.255526111673987</v>
      </c>
      <c r="AI193" s="382">
        <f>AH193/ 'Pile Data and Eurocode Factors'!$C$19/ 'Pile Data and Eurocode Factors'!$C$20</f>
        <v>24.056943744400836</v>
      </c>
      <c r="AJ193" s="382">
        <f t="shared" si="130"/>
        <v>249.95219126385899</v>
      </c>
      <c r="AK193" s="382">
        <f>VLOOKUP(Y193, 'Pile Data and Eurocode Factors'!$A$34:$J$39,3, FALSE)</f>
        <v>2366.1761868507956</v>
      </c>
      <c r="AL193" s="403">
        <f t="shared" si="131"/>
        <v>249.95219126385899</v>
      </c>
      <c r="AM193" s="419">
        <v>600</v>
      </c>
      <c r="AN193" s="430">
        <f>PI()*AM193/1000*( Pile!$C$37- Pile!$C193)</f>
        <v>10.178760197630922</v>
      </c>
      <c r="AO193" s="382">
        <f t="shared" si="132"/>
        <v>0.28274333882308139</v>
      </c>
      <c r="AP193" s="382">
        <f t="shared" si="174"/>
        <v>407.15040790523688</v>
      </c>
      <c r="AQ193" s="382">
        <f>AN193* Pile!$S$37</f>
        <v>0</v>
      </c>
      <c r="AR193" s="382">
        <f t="shared" si="180"/>
        <v>407.15040790523688</v>
      </c>
      <c r="AS193" s="382">
        <f>IF(AR193&gt;0,+AR193)/ 'Pile Data and Eurocode Factors'!$B$19/ 'Pile Data and Eurocode Factors'!$B$20+AS$175</f>
        <v>301.19366335927759</v>
      </c>
      <c r="AT193" s="382">
        <f t="shared" si="187"/>
        <v>101.7876019763093</v>
      </c>
      <c r="AU193" s="382">
        <f>AO193* Pile!$U$37</f>
        <v>0</v>
      </c>
      <c r="AV193" s="382">
        <f t="shared" si="133"/>
        <v>101.7876019763093</v>
      </c>
      <c r="AW193" s="382">
        <f>AV193/ 'Pile Data and Eurocode Factors'!$C$19/ 'Pile Data and Eurocode Factors'!$C$20</f>
        <v>42.767899990045926</v>
      </c>
      <c r="AX193" s="382">
        <f t="shared" si="134"/>
        <v>343.96156334932351</v>
      </c>
      <c r="AY193" s="382">
        <f>VLOOKUP(AM193, 'Pile Data and Eurocode Factors'!$A$34:$J$39,3, FALSE)</f>
        <v>4206.5354432903041</v>
      </c>
      <c r="AZ193" s="403">
        <f t="shared" si="135"/>
        <v>343.96156334932351</v>
      </c>
      <c r="BA193" s="419">
        <v>750</v>
      </c>
      <c r="BB193" s="430">
        <f>PI()*BA193/1000*( Pile!$C$37- Pile!$C193)</f>
        <v>12.723450247038652</v>
      </c>
      <c r="BC193" s="382">
        <f t="shared" si="136"/>
        <v>0.44178646691106466</v>
      </c>
      <c r="BD193" s="382">
        <f t="shared" si="175"/>
        <v>508.93800988154612</v>
      </c>
      <c r="BE193" s="382">
        <f>BB193* Pile!$S$37</f>
        <v>0</v>
      </c>
      <c r="BF193" s="382">
        <f t="shared" si="181"/>
        <v>508.93800988154612</v>
      </c>
      <c r="BG193" s="382">
        <f>IF(BF193&gt;0,+BF193)/ 'Pile Data and Eurocode Factors'!$B$19/ 'Pile Data and Eurocode Factors'!$B$20+BG$175</f>
        <v>376.49207919909696</v>
      </c>
      <c r="BH193" s="382">
        <f t="shared" si="188"/>
        <v>159.04312808798326</v>
      </c>
      <c r="BI193" s="382">
        <f>BC193* Pile!$U$37</f>
        <v>0</v>
      </c>
      <c r="BJ193" s="382">
        <f t="shared" si="137"/>
        <v>159.04312808798326</v>
      </c>
      <c r="BK193" s="382">
        <f>BJ193/ 'Pile Data and Eurocode Factors'!$C$19/ 'Pile Data and Eurocode Factors'!$C$20</f>
        <v>66.824843734446759</v>
      </c>
      <c r="BL193" s="382">
        <f t="shared" si="138"/>
        <v>443.31692293354371</v>
      </c>
      <c r="BM193" s="382">
        <f>VLOOKUP(BA193, 'Pile Data and Eurocode Factors'!$A$34:$J$39,3, FALSE)</f>
        <v>6572.7116301410997</v>
      </c>
      <c r="BN193" s="403">
        <f t="shared" si="139"/>
        <v>443.31692293354371</v>
      </c>
      <c r="BO193" s="419">
        <v>900</v>
      </c>
      <c r="BP193" s="430">
        <f>PI()*BO193/1000*( Pile!$C$37- Pile!$C193)</f>
        <v>15.268140296446383</v>
      </c>
      <c r="BQ193" s="382">
        <f t="shared" si="140"/>
        <v>0.63617251235193317</v>
      </c>
      <c r="BR193" s="382">
        <f t="shared" si="176"/>
        <v>610.72561185785526</v>
      </c>
      <c r="BS193" s="382">
        <f>BP193* Pile!$S$37</f>
        <v>0</v>
      </c>
      <c r="BT193" s="382">
        <f t="shared" si="182"/>
        <v>610.72561185785526</v>
      </c>
      <c r="BU193" s="382">
        <f>IF(BT193&gt;0,+BT193)/ 'Pile Data and Eurocode Factors'!$B$19/ 'Pile Data and Eurocode Factors'!$B$20+BU$175</f>
        <v>451.79049503891633</v>
      </c>
      <c r="BV193" s="382">
        <f t="shared" si="189"/>
        <v>229.02210444669595</v>
      </c>
      <c r="BW193" s="382">
        <f>BQ193* Pile!$U$37</f>
        <v>0</v>
      </c>
      <c r="BX193" s="382">
        <f t="shared" si="141"/>
        <v>229.02210444669595</v>
      </c>
      <c r="BY193" s="382">
        <f>BX193/ 'Pile Data and Eurocode Factors'!$C$19/ 'Pile Data and Eurocode Factors'!$C$20</f>
        <v>96.227774977603346</v>
      </c>
      <c r="BZ193" s="382">
        <f t="shared" si="142"/>
        <v>548.01827001651964</v>
      </c>
      <c r="CA193" s="382">
        <f>VLOOKUP(BO193, 'Pile Data and Eurocode Factors'!$A$34:$J$39,3, FALSE)</f>
        <v>9464.7047474031824</v>
      </c>
      <c r="CB193" s="403">
        <f t="shared" si="143"/>
        <v>548.01827001651964</v>
      </c>
      <c r="CC193" s="419">
        <v>1050</v>
      </c>
      <c r="CD193" s="430">
        <f>PI()*CC193/1000*( Pile!$C$37- Pile!$C193)</f>
        <v>17.812830345854113</v>
      </c>
      <c r="CE193" s="382">
        <f t="shared" si="144"/>
        <v>0.86590147514568672</v>
      </c>
      <c r="CF193" s="382">
        <f t="shared" si="177"/>
        <v>712.5132138341645</v>
      </c>
      <c r="CG193" s="382">
        <f>CD193* Pile!$S$37</f>
        <v>0</v>
      </c>
      <c r="CH193" s="382">
        <f t="shared" si="183"/>
        <v>712.5132138341645</v>
      </c>
      <c r="CI193" s="382">
        <f>IF(CH193&gt;0,+CH193)/ 'Pile Data and Eurocode Factors'!$B$19/ 'Pile Data and Eurocode Factors'!$B$20+CI$175</f>
        <v>527.08891087873576</v>
      </c>
      <c r="CJ193" s="382">
        <f t="shared" si="190"/>
        <v>311.72453105244722</v>
      </c>
      <c r="CK193" s="382">
        <f>CE193* Pile!$U$37</f>
        <v>0</v>
      </c>
      <c r="CL193" s="382">
        <f t="shared" si="145"/>
        <v>311.72453105244722</v>
      </c>
      <c r="CM193" s="382">
        <f>CL193/ 'Pile Data and Eurocode Factors'!$C$19/ 'Pile Data and Eurocode Factors'!$C$20</f>
        <v>130.97669371951565</v>
      </c>
      <c r="CN193" s="382">
        <f t="shared" si="146"/>
        <v>658.06560459825141</v>
      </c>
      <c r="CO193" s="382">
        <f>VLOOKUP(CC193, 'Pile Data and Eurocode Factors'!$A$34:$J$39,3, FALSE)</f>
        <v>12882.514795076555</v>
      </c>
      <c r="CP193" s="403">
        <f t="shared" si="147"/>
        <v>658.06560459825141</v>
      </c>
      <c r="CQ193" s="419">
        <v>1200</v>
      </c>
      <c r="CR193" s="430">
        <f>PI()*CQ193/1000*( Pile!$C$37- Pile!$C193)</f>
        <v>20.357520395261844</v>
      </c>
      <c r="CS193" s="382">
        <f t="shared" si="148"/>
        <v>1.1309733552923256</v>
      </c>
      <c r="CT193" s="382">
        <f t="shared" si="178"/>
        <v>814.30081581047375</v>
      </c>
      <c r="CU193" s="382">
        <f>CR193* Pile!$S$37</f>
        <v>0</v>
      </c>
      <c r="CV193" s="382">
        <f t="shared" si="184"/>
        <v>814.30081581047375</v>
      </c>
      <c r="CW193" s="382">
        <f>IF(CV193&gt;0,+CV193)/ 'Pile Data and Eurocode Factors'!$B$19/ 'Pile Data and Eurocode Factors'!$B$20+CW$175</f>
        <v>602.38732671855519</v>
      </c>
      <c r="CX193" s="382">
        <f t="shared" si="191"/>
        <v>407.15040790523722</v>
      </c>
      <c r="CY193" s="382">
        <f>CS193* Pile!$U$37</f>
        <v>0</v>
      </c>
      <c r="CZ193" s="382">
        <f t="shared" si="149"/>
        <v>407.15040790523722</v>
      </c>
      <c r="DA193" s="382">
        <f>CZ193/ 'Pile Data and Eurocode Factors'!$C$19/ 'Pile Data and Eurocode Factors'!$C$20</f>
        <v>171.0715999601837</v>
      </c>
      <c r="DB193" s="382">
        <f t="shared" si="150"/>
        <v>773.45892667873886</v>
      </c>
      <c r="DC193" s="382">
        <f>VLOOKUP(CQ193, 'Pile Data and Eurocode Factors'!$A$34:$J$39,3, FALSE)</f>
        <v>16826.141773161216</v>
      </c>
      <c r="DD193" s="403">
        <f t="shared" si="151"/>
        <v>773.45892667873886</v>
      </c>
      <c r="DE193" s="420">
        <f xml:space="preserve"> Pile!$C$23- Pile!C193</f>
        <v>11.399999999999995</v>
      </c>
      <c r="DG193" s="382">
        <f t="shared" si="152"/>
        <v>249.95219126385899</v>
      </c>
      <c r="DH193" s="382">
        <f t="shared" si="153"/>
        <v>343.96156334932351</v>
      </c>
      <c r="DI193" s="382">
        <f t="shared" si="154"/>
        <v>443.31692293354371</v>
      </c>
      <c r="DJ193" s="382"/>
      <c r="DK193" s="382"/>
      <c r="DL193" s="382"/>
    </row>
    <row r="194" spans="2:116" s="308" customFormat="1" ht="15">
      <c r="B194" s="400">
        <v>19</v>
      </c>
      <c r="C194" s="401">
        <f>+C193- Pile!D$37/20</f>
        <v>-5.6999999999999957</v>
      </c>
      <c r="D194" s="415" t="str">
        <f>B24</f>
        <v>Firm Clay</v>
      </c>
      <c r="E194" s="415" t="str">
        <f>F24</f>
        <v>Cohesive</v>
      </c>
      <c r="F194" s="401">
        <f xml:space="preserve"> Pile!$E$37*(+C193-C194)+F193</f>
        <v>204.4500000000001</v>
      </c>
      <c r="G194" s="401">
        <f>IF(C194&gt; Pile!$C$41,0,( Pile!$C$41-C194)*9.81)</f>
        <v>0</v>
      </c>
      <c r="H194" s="401">
        <f t="shared" si="122"/>
        <v>204.4500000000001</v>
      </c>
      <c r="I194" s="401">
        <f t="shared" si="185"/>
        <v>151.72500000000002</v>
      </c>
      <c r="J194" s="401">
        <f>IF(E194="Cohesive",(( Pile!$H$37- Pile!$G$37)/20)+J193,0)</f>
        <v>40</v>
      </c>
      <c r="K194" s="401">
        <f>IF(E194="Cohesive",( Pile!$G$37+ Pile!$J194)/2,0)</f>
        <v>40</v>
      </c>
      <c r="L194" s="401">
        <f>IF( Pile!I$37="",0, Pile!I$37)</f>
        <v>1</v>
      </c>
      <c r="M194" s="401">
        <f>IF( Pile!J$37="",0, Pile!J$37)</f>
        <v>9</v>
      </c>
      <c r="N194" s="401">
        <f>IF(E194="Granular", Pile!$K$37,0)</f>
        <v>0</v>
      </c>
      <c r="O194" s="416">
        <f>IF(AND(E194="Granular",D194&lt;&gt;"Made Ground"), Pile!$L$37,0)</f>
        <v>0</v>
      </c>
      <c r="P194" s="401">
        <f>IF(OR(D194="Low Density Chalk",D194="Medium Density Chalk"), Pile!$M$37,0)</f>
        <v>0</v>
      </c>
      <c r="Q194" s="417">
        <f>IF(D194="High Density Chalk", Pile!$N$37,0)</f>
        <v>0</v>
      </c>
      <c r="R194" s="401">
        <f>IF( Pile!O$37="",0, Pile!O$37)</f>
        <v>0</v>
      </c>
      <c r="S194" s="418">
        <f t="shared" si="124"/>
        <v>40</v>
      </c>
      <c r="T194" s="382">
        <f xml:space="preserve"> Pile!$T$37</f>
        <v>100</v>
      </c>
      <c r="U194" s="382">
        <f t="shared" si="125"/>
        <v>40</v>
      </c>
      <c r="V194" s="382">
        <f t="shared" si="126"/>
        <v>360</v>
      </c>
      <c r="W194" s="382" t="str">
        <f xml:space="preserve"> Pile!$V$37</f>
        <v/>
      </c>
      <c r="X194" s="382">
        <f t="shared" si="127"/>
        <v>360</v>
      </c>
      <c r="Y194" s="419">
        <v>450</v>
      </c>
      <c r="Z194" s="430">
        <f>PI()*Y194/1000*( Pile!$C$37- Pile!$C194)</f>
        <v>8.0581851564578137</v>
      </c>
      <c r="AA194" s="382">
        <f t="shared" si="128"/>
        <v>0.15904312808798329</v>
      </c>
      <c r="AB194" s="382">
        <f t="shared" si="173"/>
        <v>322.32740625831252</v>
      </c>
      <c r="AC194" s="382">
        <f>Z194* Pile!$S$37</f>
        <v>0</v>
      </c>
      <c r="AD194" s="382">
        <f t="shared" si="179"/>
        <v>322.32740625831252</v>
      </c>
      <c r="AE194" s="382">
        <f>IF(AD194&gt;0,+AD194)/ 'Pile Data and Eurocode Factors'!$B$19/ 'Pile Data and Eurocode Factors'!$B$20+AE$175</f>
        <v>233.97362862868908</v>
      </c>
      <c r="AF194" s="382">
        <f t="shared" si="186"/>
        <v>57.255526111673987</v>
      </c>
      <c r="AG194" s="382">
        <f>AA194* Pile!$U$37</f>
        <v>0</v>
      </c>
      <c r="AH194" s="382">
        <f t="shared" si="129"/>
        <v>57.255526111673987</v>
      </c>
      <c r="AI194" s="382">
        <f>AH194/ 'Pile Data and Eurocode Factors'!$C$19/ 'Pile Data and Eurocode Factors'!$C$20</f>
        <v>24.056943744400836</v>
      </c>
      <c r="AJ194" s="382">
        <f t="shared" si="130"/>
        <v>258.03057237308991</v>
      </c>
      <c r="AK194" s="382">
        <f>VLOOKUP(Y194, 'Pile Data and Eurocode Factors'!$A$34:$J$39,3, FALSE)</f>
        <v>2366.1761868507956</v>
      </c>
      <c r="AL194" s="403">
        <f t="shared" si="131"/>
        <v>258.03057237308991</v>
      </c>
      <c r="AM194" s="419">
        <v>600</v>
      </c>
      <c r="AN194" s="430">
        <f>PI()*AM194/1000*( Pile!$C$37- Pile!$C194)</f>
        <v>10.744246875277085</v>
      </c>
      <c r="AO194" s="382">
        <f t="shared" si="132"/>
        <v>0.28274333882308139</v>
      </c>
      <c r="AP194" s="382">
        <f t="shared" si="174"/>
        <v>429.7698750110834</v>
      </c>
      <c r="AQ194" s="382">
        <f>AN194* Pile!$S$37</f>
        <v>0</v>
      </c>
      <c r="AR194" s="382">
        <f t="shared" si="180"/>
        <v>429.7698750110834</v>
      </c>
      <c r="AS194" s="382">
        <f>IF(AR194&gt;0,+AR194)/ 'Pile Data and Eurocode Factors'!$B$19/ 'Pile Data and Eurocode Factors'!$B$20+AS$175</f>
        <v>311.96483817158543</v>
      </c>
      <c r="AT194" s="382">
        <f t="shared" si="187"/>
        <v>101.7876019763093</v>
      </c>
      <c r="AU194" s="382">
        <f>AO194* Pile!$U$37</f>
        <v>0</v>
      </c>
      <c r="AV194" s="382">
        <f t="shared" si="133"/>
        <v>101.7876019763093</v>
      </c>
      <c r="AW194" s="382">
        <f>AV194/ 'Pile Data and Eurocode Factors'!$C$19/ 'Pile Data and Eurocode Factors'!$C$20</f>
        <v>42.767899990045926</v>
      </c>
      <c r="AX194" s="382">
        <f t="shared" si="134"/>
        <v>354.73273816163135</v>
      </c>
      <c r="AY194" s="382">
        <f>VLOOKUP(AM194, 'Pile Data and Eurocode Factors'!$A$34:$J$39,3, FALSE)</f>
        <v>4206.5354432903041</v>
      </c>
      <c r="AZ194" s="403">
        <f t="shared" si="135"/>
        <v>354.73273816163135</v>
      </c>
      <c r="BA194" s="419">
        <v>750</v>
      </c>
      <c r="BB194" s="430">
        <f>PI()*BA194/1000*( Pile!$C$37- Pile!$C194)</f>
        <v>13.430308594096356</v>
      </c>
      <c r="BC194" s="382">
        <f t="shared" si="136"/>
        <v>0.44178646691106466</v>
      </c>
      <c r="BD194" s="382">
        <f t="shared" si="175"/>
        <v>537.21234376385428</v>
      </c>
      <c r="BE194" s="382">
        <f>BB194* Pile!$S$37</f>
        <v>0</v>
      </c>
      <c r="BF194" s="382">
        <f t="shared" si="181"/>
        <v>537.21234376385428</v>
      </c>
      <c r="BG194" s="382">
        <f>IF(BF194&gt;0,+BF194)/ 'Pile Data and Eurocode Factors'!$B$19/ 'Pile Data and Eurocode Factors'!$B$20+BG$175</f>
        <v>389.95604771448177</v>
      </c>
      <c r="BH194" s="382">
        <f t="shared" si="188"/>
        <v>159.04312808798326</v>
      </c>
      <c r="BI194" s="382">
        <f>BC194* Pile!$U$37</f>
        <v>0</v>
      </c>
      <c r="BJ194" s="382">
        <f t="shared" si="137"/>
        <v>159.04312808798326</v>
      </c>
      <c r="BK194" s="382">
        <f>BJ194/ 'Pile Data and Eurocode Factors'!$C$19/ 'Pile Data and Eurocode Factors'!$C$20</f>
        <v>66.824843734446759</v>
      </c>
      <c r="BL194" s="382">
        <f t="shared" si="138"/>
        <v>456.78089144892851</v>
      </c>
      <c r="BM194" s="382">
        <f>VLOOKUP(BA194, 'Pile Data and Eurocode Factors'!$A$34:$J$39,3, FALSE)</f>
        <v>6572.7116301410997</v>
      </c>
      <c r="BN194" s="403">
        <f t="shared" si="139"/>
        <v>456.78089144892851</v>
      </c>
      <c r="BO194" s="419">
        <v>900</v>
      </c>
      <c r="BP194" s="430">
        <f>PI()*BO194/1000*( Pile!$C$37- Pile!$C194)</f>
        <v>16.116370312915627</v>
      </c>
      <c r="BQ194" s="382">
        <f t="shared" si="140"/>
        <v>0.63617251235193317</v>
      </c>
      <c r="BR194" s="382">
        <f t="shared" si="176"/>
        <v>644.65481251662504</v>
      </c>
      <c r="BS194" s="382">
        <f>BP194* Pile!$S$37</f>
        <v>0</v>
      </c>
      <c r="BT194" s="382">
        <f t="shared" si="182"/>
        <v>644.65481251662504</v>
      </c>
      <c r="BU194" s="382">
        <f>IF(BT194&gt;0,+BT194)/ 'Pile Data and Eurocode Factors'!$B$19/ 'Pile Data and Eurocode Factors'!$B$20+BU$175</f>
        <v>467.94725725737817</v>
      </c>
      <c r="BV194" s="382">
        <f t="shared" si="189"/>
        <v>229.02210444669595</v>
      </c>
      <c r="BW194" s="382">
        <f>BQ194* Pile!$U$37</f>
        <v>0</v>
      </c>
      <c r="BX194" s="382">
        <f t="shared" si="141"/>
        <v>229.02210444669595</v>
      </c>
      <c r="BY194" s="382">
        <f>BX194/ 'Pile Data and Eurocode Factors'!$C$19/ 'Pile Data and Eurocode Factors'!$C$20</f>
        <v>96.227774977603346</v>
      </c>
      <c r="BZ194" s="382">
        <f t="shared" si="142"/>
        <v>564.17503223498147</v>
      </c>
      <c r="CA194" s="382">
        <f>VLOOKUP(BO194, 'Pile Data and Eurocode Factors'!$A$34:$J$39,3, FALSE)</f>
        <v>9464.7047474031824</v>
      </c>
      <c r="CB194" s="403">
        <f t="shared" si="143"/>
        <v>564.17503223498147</v>
      </c>
      <c r="CC194" s="419">
        <v>1050</v>
      </c>
      <c r="CD194" s="430">
        <f>PI()*CC194/1000*( Pile!$C$37- Pile!$C194)</f>
        <v>18.802432031734899</v>
      </c>
      <c r="CE194" s="382">
        <f t="shared" si="144"/>
        <v>0.86590147514568672</v>
      </c>
      <c r="CF194" s="382">
        <f t="shared" si="177"/>
        <v>752.09728126939592</v>
      </c>
      <c r="CG194" s="382">
        <f>CD194* Pile!$S$37</f>
        <v>0</v>
      </c>
      <c r="CH194" s="382">
        <f t="shared" si="183"/>
        <v>752.09728126939592</v>
      </c>
      <c r="CI194" s="382">
        <f>IF(CH194&gt;0,+CH194)/ 'Pile Data and Eurocode Factors'!$B$19/ 'Pile Data and Eurocode Factors'!$B$20+CI$175</f>
        <v>545.93846680027445</v>
      </c>
      <c r="CJ194" s="382">
        <f t="shared" si="190"/>
        <v>311.72453105244722</v>
      </c>
      <c r="CK194" s="382">
        <f>CE194* Pile!$U$37</f>
        <v>0</v>
      </c>
      <c r="CL194" s="382">
        <f t="shared" si="145"/>
        <v>311.72453105244722</v>
      </c>
      <c r="CM194" s="382">
        <f>CL194/ 'Pile Data and Eurocode Factors'!$C$19/ 'Pile Data and Eurocode Factors'!$C$20</f>
        <v>130.97669371951565</v>
      </c>
      <c r="CN194" s="382">
        <f t="shared" si="146"/>
        <v>676.91516051979011</v>
      </c>
      <c r="CO194" s="382">
        <f>VLOOKUP(CC194, 'Pile Data and Eurocode Factors'!$A$34:$J$39,3, FALSE)</f>
        <v>12882.514795076555</v>
      </c>
      <c r="CP194" s="403">
        <f t="shared" si="147"/>
        <v>676.91516051979011</v>
      </c>
      <c r="CQ194" s="419">
        <v>1200</v>
      </c>
      <c r="CR194" s="430">
        <f>PI()*CQ194/1000*( Pile!$C$37- Pile!$C194)</f>
        <v>21.48849375055417</v>
      </c>
      <c r="CS194" s="382">
        <f t="shared" si="148"/>
        <v>1.1309733552923256</v>
      </c>
      <c r="CT194" s="382">
        <f t="shared" si="178"/>
        <v>859.5397500221668</v>
      </c>
      <c r="CU194" s="382">
        <f>CR194* Pile!$S$37</f>
        <v>0</v>
      </c>
      <c r="CV194" s="382">
        <f t="shared" si="184"/>
        <v>859.5397500221668</v>
      </c>
      <c r="CW194" s="382">
        <f>IF(CV194&gt;0,+CV194)/ 'Pile Data and Eurocode Factors'!$B$19/ 'Pile Data and Eurocode Factors'!$B$20+CW$175</f>
        <v>623.92967634317085</v>
      </c>
      <c r="CX194" s="382">
        <f t="shared" si="191"/>
        <v>407.15040790523722</v>
      </c>
      <c r="CY194" s="382">
        <f>CS194* Pile!$U$37</f>
        <v>0</v>
      </c>
      <c r="CZ194" s="382">
        <f t="shared" si="149"/>
        <v>407.15040790523722</v>
      </c>
      <c r="DA194" s="382">
        <f>CZ194/ 'Pile Data and Eurocode Factors'!$C$19/ 'Pile Data and Eurocode Factors'!$C$20</f>
        <v>171.0715999601837</v>
      </c>
      <c r="DB194" s="382">
        <f t="shared" si="150"/>
        <v>795.00127630335453</v>
      </c>
      <c r="DC194" s="382">
        <f>VLOOKUP(CQ194, 'Pile Data and Eurocode Factors'!$A$34:$J$39,3, FALSE)</f>
        <v>16826.141773161216</v>
      </c>
      <c r="DD194" s="403">
        <f t="shared" si="151"/>
        <v>795.00127630335453</v>
      </c>
      <c r="DE194" s="420">
        <f xml:space="preserve"> Pile!$C$23- Pile!C194</f>
        <v>11.699999999999996</v>
      </c>
      <c r="DG194" s="382">
        <f t="shared" si="152"/>
        <v>258.03057237308991</v>
      </c>
      <c r="DH194" s="382">
        <f t="shared" si="153"/>
        <v>354.73273816163135</v>
      </c>
      <c r="DI194" s="382">
        <f t="shared" si="154"/>
        <v>456.78089144892851</v>
      </c>
      <c r="DJ194" s="382"/>
      <c r="DK194" s="382"/>
      <c r="DL194" s="382"/>
    </row>
    <row r="195" spans="2:116" s="308" customFormat="1" ht="15">
      <c r="B195" s="400">
        <v>20</v>
      </c>
      <c r="C195" s="401">
        <f>+C194- Pile!D$37/20</f>
        <v>-5.9999999999999956</v>
      </c>
      <c r="D195" s="415" t="str">
        <f>B24</f>
        <v>Firm Clay</v>
      </c>
      <c r="E195" s="415" t="str">
        <f>F24</f>
        <v>Cohesive</v>
      </c>
      <c r="F195" s="401">
        <f xml:space="preserve"> Pile!$E$37*(+C194-C195)+F194</f>
        <v>210.00000000000011</v>
      </c>
      <c r="G195" s="401">
        <f>IF(C195&gt; Pile!$C$41,0,( Pile!$C$41-C195)*9.81)</f>
        <v>0</v>
      </c>
      <c r="H195" s="401">
        <f t="shared" si="122"/>
        <v>210.00000000000011</v>
      </c>
      <c r="I195" s="401">
        <f t="shared" si="185"/>
        <v>154.50000000000006</v>
      </c>
      <c r="J195" s="401">
        <f>IF(E195="Cohesive",(( Pile!$H$37- Pile!$G$37)/20)+J194,0)</f>
        <v>40</v>
      </c>
      <c r="K195" s="401">
        <f>IF(E195="Cohesive",( Pile!$G$37+ Pile!$J195)/2,0)</f>
        <v>40</v>
      </c>
      <c r="L195" s="401">
        <f>IF( Pile!I$37="",0, Pile!I$37)</f>
        <v>1</v>
      </c>
      <c r="M195" s="401">
        <f>IF( Pile!J$37="",0, Pile!J$37)</f>
        <v>9</v>
      </c>
      <c r="N195" s="401">
        <f>IF(E195="Granular", Pile!$K$37,0)</f>
        <v>0</v>
      </c>
      <c r="O195" s="416">
        <f>IF(AND(E195="Granular",D195&lt;&gt;"Made Ground"), Pile!$L$37,0)</f>
        <v>0</v>
      </c>
      <c r="P195" s="401">
        <f>IF(OR(D195="Low Density Chalk",D195="Medium Density Chalk"), Pile!$M$37,0)</f>
        <v>0</v>
      </c>
      <c r="Q195" s="417">
        <f>IF(D195="High Density Chalk", Pile!$N$37,0)</f>
        <v>0</v>
      </c>
      <c r="R195" s="401">
        <f>IF( Pile!O$37="",0, Pile!O$37)</f>
        <v>0</v>
      </c>
      <c r="S195" s="418">
        <f t="shared" si="124"/>
        <v>40</v>
      </c>
      <c r="T195" s="382">
        <f xml:space="preserve"> Pile!$T$37</f>
        <v>100</v>
      </c>
      <c r="U195" s="382">
        <f t="shared" si="125"/>
        <v>40</v>
      </c>
      <c r="V195" s="382">
        <f t="shared" si="126"/>
        <v>360</v>
      </c>
      <c r="W195" s="382" t="str">
        <f xml:space="preserve"> Pile!$V$37</f>
        <v/>
      </c>
      <c r="X195" s="382">
        <f t="shared" si="127"/>
        <v>360</v>
      </c>
      <c r="Y195" s="419">
        <v>450</v>
      </c>
      <c r="Z195" s="430">
        <f>PI()*Y195/1000*( Pile!$C$37- Pile!$C195)</f>
        <v>8.4823001646924343</v>
      </c>
      <c r="AA195" s="382">
        <f t="shared" si="128"/>
        <v>0.15904312808798329</v>
      </c>
      <c r="AB195" s="382">
        <f t="shared" si="173"/>
        <v>339.29200658769736</v>
      </c>
      <c r="AC195" s="382">
        <f>Z195* Pile!$S$37</f>
        <v>0</v>
      </c>
      <c r="AD195" s="382">
        <f t="shared" si="179"/>
        <v>339.29200658769736</v>
      </c>
      <c r="AE195" s="382">
        <f>IF(AD195&gt;0,+AD195)/ 'Pile Data and Eurocode Factors'!$B$19/ 'Pile Data and Eurocode Factors'!$B$20+AE$175</f>
        <v>242.05200973791995</v>
      </c>
      <c r="AF195" s="382">
        <f t="shared" si="186"/>
        <v>57.255526111673987</v>
      </c>
      <c r="AG195" s="382">
        <f>AA195* Pile!$U$37</f>
        <v>0</v>
      </c>
      <c r="AH195" s="382">
        <f t="shared" si="129"/>
        <v>57.255526111673987</v>
      </c>
      <c r="AI195" s="382">
        <f>AH195/ 'Pile Data and Eurocode Factors'!$C$19/ 'Pile Data and Eurocode Factors'!$C$20</f>
        <v>24.056943744400836</v>
      </c>
      <c r="AJ195" s="382">
        <f t="shared" si="130"/>
        <v>266.10895348232077</v>
      </c>
      <c r="AK195" s="382">
        <f>VLOOKUP(Y195, 'Pile Data and Eurocode Factors'!$A$34:$J$39,3, FALSE)</f>
        <v>2366.1761868507956</v>
      </c>
      <c r="AL195" s="403">
        <f t="shared" si="131"/>
        <v>266.10895348232077</v>
      </c>
      <c r="AM195" s="419">
        <v>600</v>
      </c>
      <c r="AN195" s="430">
        <f>PI()*AM195/1000*( Pile!$C$37- Pile!$C195)</f>
        <v>11.309733552923246</v>
      </c>
      <c r="AO195" s="382">
        <f t="shared" si="132"/>
        <v>0.28274333882308139</v>
      </c>
      <c r="AP195" s="382">
        <f t="shared" si="174"/>
        <v>452.38934211692987</v>
      </c>
      <c r="AQ195" s="382">
        <f>AN195* Pile!$S$37</f>
        <v>0</v>
      </c>
      <c r="AR195" s="382">
        <f t="shared" si="180"/>
        <v>452.38934211692987</v>
      </c>
      <c r="AS195" s="382">
        <f>IF(AR195&gt;0,+AR195)/ 'Pile Data and Eurocode Factors'!$B$19/ 'Pile Data and Eurocode Factors'!$B$20+AS$175</f>
        <v>322.73601298389326</v>
      </c>
      <c r="AT195" s="382">
        <f t="shared" si="187"/>
        <v>101.7876019763093</v>
      </c>
      <c r="AU195" s="382">
        <f>AO195* Pile!$U$37</f>
        <v>0</v>
      </c>
      <c r="AV195" s="382">
        <f t="shared" si="133"/>
        <v>101.7876019763093</v>
      </c>
      <c r="AW195" s="382">
        <f>AV195/ 'Pile Data and Eurocode Factors'!$C$19/ 'Pile Data and Eurocode Factors'!$C$20</f>
        <v>42.767899990045926</v>
      </c>
      <c r="AX195" s="382">
        <f t="shared" si="134"/>
        <v>365.50391297393918</v>
      </c>
      <c r="AY195" s="382">
        <f>VLOOKUP(AM195, 'Pile Data and Eurocode Factors'!$A$34:$J$39,3, FALSE)</f>
        <v>4206.5354432903041</v>
      </c>
      <c r="AZ195" s="403">
        <f t="shared" si="135"/>
        <v>365.50391297393918</v>
      </c>
      <c r="BA195" s="419">
        <v>750</v>
      </c>
      <c r="BB195" s="430">
        <f>PI()*BA195/1000*( Pile!$C$37- Pile!$C195)</f>
        <v>14.137166941154058</v>
      </c>
      <c r="BC195" s="382">
        <f t="shared" si="136"/>
        <v>0.44178646691106466</v>
      </c>
      <c r="BD195" s="382">
        <f t="shared" si="175"/>
        <v>565.48667764616232</v>
      </c>
      <c r="BE195" s="382">
        <f>BB195* Pile!$S$37</f>
        <v>0</v>
      </c>
      <c r="BF195" s="382">
        <f t="shared" si="181"/>
        <v>565.48667764616232</v>
      </c>
      <c r="BG195" s="382">
        <f>IF(BF195&gt;0,+BF195)/ 'Pile Data and Eurocode Factors'!$B$19/ 'Pile Data and Eurocode Factors'!$B$20+BG$175</f>
        <v>403.42001622986658</v>
      </c>
      <c r="BH195" s="382">
        <f t="shared" si="188"/>
        <v>159.04312808798326</v>
      </c>
      <c r="BI195" s="382">
        <f>BC195* Pile!$U$37</f>
        <v>0</v>
      </c>
      <c r="BJ195" s="382">
        <f t="shared" si="137"/>
        <v>159.04312808798326</v>
      </c>
      <c r="BK195" s="382">
        <f>BJ195/ 'Pile Data and Eurocode Factors'!$C$19/ 'Pile Data and Eurocode Factors'!$C$20</f>
        <v>66.824843734446759</v>
      </c>
      <c r="BL195" s="382">
        <f t="shared" si="138"/>
        <v>470.24485996431332</v>
      </c>
      <c r="BM195" s="382">
        <f>VLOOKUP(BA195, 'Pile Data and Eurocode Factors'!$A$34:$J$39,3, FALSE)</f>
        <v>6572.7116301410997</v>
      </c>
      <c r="BN195" s="403">
        <f t="shared" si="139"/>
        <v>470.24485996431332</v>
      </c>
      <c r="BO195" s="419">
        <v>900</v>
      </c>
      <c r="BP195" s="430">
        <f>PI()*BO195/1000*( Pile!$C$37- Pile!$C195)</f>
        <v>16.964600329384869</v>
      </c>
      <c r="BQ195" s="382">
        <f t="shared" si="140"/>
        <v>0.63617251235193317</v>
      </c>
      <c r="BR195" s="382">
        <f t="shared" si="176"/>
        <v>678.58401317539472</v>
      </c>
      <c r="BS195" s="382">
        <f>BP195* Pile!$S$37</f>
        <v>0</v>
      </c>
      <c r="BT195" s="382">
        <f t="shared" si="182"/>
        <v>678.58401317539472</v>
      </c>
      <c r="BU195" s="382">
        <f>IF(BT195&gt;0,+BT195)/ 'Pile Data and Eurocode Factors'!$B$19/ 'Pile Data and Eurocode Factors'!$B$20+BU$175</f>
        <v>484.10401947583989</v>
      </c>
      <c r="BV195" s="382">
        <f t="shared" si="189"/>
        <v>229.02210444669595</v>
      </c>
      <c r="BW195" s="382">
        <f>BQ195* Pile!$U$37</f>
        <v>0</v>
      </c>
      <c r="BX195" s="382">
        <f t="shared" si="141"/>
        <v>229.02210444669595</v>
      </c>
      <c r="BY195" s="382">
        <f>BX195/ 'Pile Data and Eurocode Factors'!$C$19/ 'Pile Data and Eurocode Factors'!$C$20</f>
        <v>96.227774977603346</v>
      </c>
      <c r="BZ195" s="382">
        <f t="shared" si="142"/>
        <v>580.33179445344319</v>
      </c>
      <c r="CA195" s="382">
        <f>VLOOKUP(BO195, 'Pile Data and Eurocode Factors'!$A$34:$J$39,3, FALSE)</f>
        <v>9464.7047474031824</v>
      </c>
      <c r="CB195" s="403">
        <f t="shared" si="143"/>
        <v>580.33179445344319</v>
      </c>
      <c r="CC195" s="419">
        <v>1050</v>
      </c>
      <c r="CD195" s="430">
        <f>PI()*CC195/1000*( Pile!$C$37- Pile!$C195)</f>
        <v>19.792033717615681</v>
      </c>
      <c r="CE195" s="382">
        <f t="shared" si="144"/>
        <v>0.86590147514568672</v>
      </c>
      <c r="CF195" s="382">
        <f t="shared" si="177"/>
        <v>791.68134870462723</v>
      </c>
      <c r="CG195" s="382">
        <f>CD195* Pile!$S$37</f>
        <v>0</v>
      </c>
      <c r="CH195" s="382">
        <f t="shared" si="183"/>
        <v>791.68134870462723</v>
      </c>
      <c r="CI195" s="382">
        <f>IF(CH195&gt;0,+CH195)/ 'Pile Data and Eurocode Factors'!$B$19/ 'Pile Data and Eurocode Factors'!$B$20+CI$175</f>
        <v>564.78802272181315</v>
      </c>
      <c r="CJ195" s="382">
        <f t="shared" si="190"/>
        <v>311.72453105244722</v>
      </c>
      <c r="CK195" s="382">
        <f>CE195* Pile!$U$37</f>
        <v>0</v>
      </c>
      <c r="CL195" s="382">
        <f t="shared" si="145"/>
        <v>311.72453105244722</v>
      </c>
      <c r="CM195" s="382">
        <f>CL195/ 'Pile Data and Eurocode Factors'!$C$19/ 'Pile Data and Eurocode Factors'!$C$20</f>
        <v>130.97669371951565</v>
      </c>
      <c r="CN195" s="382">
        <f t="shared" si="146"/>
        <v>695.7647164413288</v>
      </c>
      <c r="CO195" s="382">
        <f>VLOOKUP(CC195, 'Pile Data and Eurocode Factors'!$A$34:$J$39,3, FALSE)</f>
        <v>12882.514795076555</v>
      </c>
      <c r="CP195" s="403">
        <f t="shared" si="147"/>
        <v>695.7647164413288</v>
      </c>
      <c r="CQ195" s="419">
        <v>1200</v>
      </c>
      <c r="CR195" s="430">
        <f>PI()*CQ195/1000*( Pile!$C$37- Pile!$C195)</f>
        <v>22.619467105846493</v>
      </c>
      <c r="CS195" s="382">
        <f t="shared" si="148"/>
        <v>1.1309733552923256</v>
      </c>
      <c r="CT195" s="382">
        <f t="shared" si="178"/>
        <v>904.77868423385974</v>
      </c>
      <c r="CU195" s="382">
        <f>CR195* Pile!$S$37</f>
        <v>0</v>
      </c>
      <c r="CV195" s="382">
        <f t="shared" si="184"/>
        <v>904.77868423385974</v>
      </c>
      <c r="CW195" s="382">
        <f>IF(CV195&gt;0,+CV195)/ 'Pile Data and Eurocode Factors'!$B$19/ 'Pile Data and Eurocode Factors'!$B$20+CW$175</f>
        <v>645.47202596778652</v>
      </c>
      <c r="CX195" s="382">
        <f t="shared" si="191"/>
        <v>407.15040790523722</v>
      </c>
      <c r="CY195" s="382">
        <f>CS195* Pile!$U$37</f>
        <v>0</v>
      </c>
      <c r="CZ195" s="382">
        <f t="shared" si="149"/>
        <v>407.15040790523722</v>
      </c>
      <c r="DA195" s="382">
        <f>CZ195/ 'Pile Data and Eurocode Factors'!$C$19/ 'Pile Data and Eurocode Factors'!$C$20</f>
        <v>171.0715999601837</v>
      </c>
      <c r="DB195" s="382">
        <f t="shared" si="150"/>
        <v>816.5436259279702</v>
      </c>
      <c r="DC195" s="382">
        <f>VLOOKUP(CQ195, 'Pile Data and Eurocode Factors'!$A$34:$J$39,3, FALSE)</f>
        <v>16826.141773161216</v>
      </c>
      <c r="DD195" s="403">
        <f t="shared" si="151"/>
        <v>816.5436259279702</v>
      </c>
      <c r="DE195" s="420">
        <f xml:space="preserve"> Pile!$C$23- Pile!C195</f>
        <v>11.999999999999996</v>
      </c>
      <c r="DG195" s="382">
        <f t="shared" si="152"/>
        <v>266.10895348232077</v>
      </c>
      <c r="DH195" s="382">
        <f t="shared" si="153"/>
        <v>365.50391297393918</v>
      </c>
      <c r="DI195" s="382">
        <f t="shared" si="154"/>
        <v>470.24485996431332</v>
      </c>
      <c r="DJ195" s="382"/>
      <c r="DK195" s="382"/>
      <c r="DL195" s="382"/>
    </row>
    <row r="196" spans="2:116" s="414" customFormat="1" ht="15">
      <c r="B196" s="404">
        <v>1</v>
      </c>
      <c r="C196" s="405">
        <f>+C195- Pile!D$38/20</f>
        <v>-7.4999999999999956</v>
      </c>
      <c r="D196" s="406" t="str">
        <f>B25</f>
        <v>Medium Sand/Gravel</v>
      </c>
      <c r="E196" s="406" t="str">
        <f>F25</f>
        <v>Granular</v>
      </c>
      <c r="F196" s="405">
        <f xml:space="preserve"> Pile!$E$38*(+C195-C196)+F195</f>
        <v>239.25000000000011</v>
      </c>
      <c r="G196" s="405">
        <f>IF(C196&gt; Pile!$C$41,0,( Pile!$C$41-C196)*9.81)</f>
        <v>0</v>
      </c>
      <c r="H196" s="405">
        <f t="shared" si="122"/>
        <v>239.25000000000011</v>
      </c>
      <c r="I196" s="405">
        <f t="shared" ref="I196:I215" si="192">($H$195+H196)/2</f>
        <v>224.62500000000011</v>
      </c>
      <c r="J196" s="405">
        <f>IF(E196="Cohesive", Pile!$G$38+(( Pile!$H$38- Pile!$G$38)/20),0)</f>
        <v>0</v>
      </c>
      <c r="K196" s="405">
        <f>IF(E196="Cohesive",( Pile!$G$38+ Pile!$J196)/2,0)</f>
        <v>0</v>
      </c>
      <c r="L196" s="405" t="str">
        <f>IF( Pile!I$38="",0, Pile!I$38)</f>
        <v>0</v>
      </c>
      <c r="M196" s="405" t="str">
        <f>IF( Pile!J$38="",0, Pile!J$38)</f>
        <v>0</v>
      </c>
      <c r="N196" s="405">
        <f>IF(E196="Granular", Pile!$K$38,0)</f>
        <v>26.092012099198989</v>
      </c>
      <c r="O196" s="407">
        <f>IF(AND(E196="Granular",D196&lt;&gt;"Made Ground"), Pile!$L$38,0)</f>
        <v>0.44688733902318017</v>
      </c>
      <c r="P196" s="405">
        <f>IF(OR(D196="Low Density Chalk",D196="Medium Density Chalk"), Pile!$M$38,0)</f>
        <v>0</v>
      </c>
      <c r="Q196" s="408">
        <f>IF(D196="High Density Chalk", Pile!$N$38,0)</f>
        <v>0</v>
      </c>
      <c r="R196" s="405">
        <f>IF( Pile!O$38="",0, Pile!O$38)</f>
        <v>0</v>
      </c>
      <c r="S196" s="409">
        <f t="shared" si="124"/>
        <v>100.3820685280819</v>
      </c>
      <c r="T196" s="410">
        <f xml:space="preserve"> Pile!$T$38</f>
        <v>1200</v>
      </c>
      <c r="U196" s="410">
        <f t="shared" si="125"/>
        <v>100.3820685280819</v>
      </c>
      <c r="V196" s="410">
        <f t="shared" si="126"/>
        <v>6242.5138947333608</v>
      </c>
      <c r="W196" s="410">
        <f xml:space="preserve"> Pile!$V$38</f>
        <v>15000</v>
      </c>
      <c r="X196" s="410">
        <f t="shared" si="127"/>
        <v>6242.5138947333608</v>
      </c>
      <c r="Y196" s="411">
        <v>450</v>
      </c>
      <c r="Z196" s="429">
        <f>PI()*Y196/1000*( Pile!$C$38- Pile!$C196)</f>
        <v>2.1205750411731041</v>
      </c>
      <c r="AA196" s="410">
        <f t="shared" si="128"/>
        <v>0.15904312808798329</v>
      </c>
      <c r="AB196" s="410">
        <f t="shared" si="173"/>
        <v>212.86770910197865</v>
      </c>
      <c r="AC196" s="410">
        <f>Z196* Pile!$S$38</f>
        <v>0</v>
      </c>
      <c r="AD196" s="410">
        <f t="shared" si="179"/>
        <v>212.86770910197865</v>
      </c>
      <c r="AE196" s="410">
        <f>IF(AD196&gt;0,+AD196)/ 'Pile Data and Eurocode Factors'!$B$19/ 'Pile Data and Eurocode Factors'!$B$20+AE$195</f>
        <v>343.4175855007669</v>
      </c>
      <c r="AF196" s="410">
        <f t="shared" si="186"/>
        <v>992.8289369510934</v>
      </c>
      <c r="AG196" s="410">
        <f>AA196* Pile!$U$38</f>
        <v>0</v>
      </c>
      <c r="AH196" s="410">
        <f t="shared" si="129"/>
        <v>992.8289369510934</v>
      </c>
      <c r="AI196" s="410">
        <f>AH196/ 'Pile Data and Eurocode Factors'!$C$19/ 'Pile Data and Eurocode Factors'!$C$20</f>
        <v>417.15501552566957</v>
      </c>
      <c r="AJ196" s="410">
        <f t="shared" si="130"/>
        <v>760.57260102643647</v>
      </c>
      <c r="AK196" s="410">
        <f>VLOOKUP(Y196, 'Pile Data and Eurocode Factors'!$A$34:$J$39,3, FALSE)</f>
        <v>2366.1761868507956</v>
      </c>
      <c r="AL196" s="412">
        <f t="shared" si="131"/>
        <v>760.57260102643647</v>
      </c>
      <c r="AM196" s="411">
        <v>600</v>
      </c>
      <c r="AN196" s="429">
        <f>PI()*AM196/1000*( Pile!$C$38- Pile!$C196)</f>
        <v>2.8274333882308054</v>
      </c>
      <c r="AO196" s="410">
        <f t="shared" si="132"/>
        <v>0.28274333882308139</v>
      </c>
      <c r="AP196" s="410">
        <f t="shared" si="174"/>
        <v>283.82361213597153</v>
      </c>
      <c r="AQ196" s="410">
        <f>AN196* Pile!$S$38</f>
        <v>0</v>
      </c>
      <c r="AR196" s="410">
        <f t="shared" si="180"/>
        <v>283.82361213597153</v>
      </c>
      <c r="AS196" s="410">
        <f>IF(AR196&gt;0,+AR196)/ 'Pile Data and Eurocode Factors'!$B$19/ 'Pile Data and Eurocode Factors'!$B$20+AS$195</f>
        <v>457.89011400102254</v>
      </c>
      <c r="AT196" s="410">
        <f t="shared" si="187"/>
        <v>1765.029221246388</v>
      </c>
      <c r="AU196" s="410">
        <f>AO196* Pile!$U$38</f>
        <v>0</v>
      </c>
      <c r="AV196" s="410">
        <f t="shared" si="133"/>
        <v>1765.029221246388</v>
      </c>
      <c r="AW196" s="410">
        <f>AV196/ 'Pile Data and Eurocode Factors'!$C$19/ 'Pile Data and Eurocode Factors'!$C$20</f>
        <v>741.60891649007908</v>
      </c>
      <c r="AX196" s="410">
        <f t="shared" si="134"/>
        <v>1199.4990304911016</v>
      </c>
      <c r="AY196" s="410">
        <f>VLOOKUP(AM196, 'Pile Data and Eurocode Factors'!$A$34:$J$39,3, FALSE)</f>
        <v>4206.5354432903041</v>
      </c>
      <c r="AZ196" s="412">
        <f t="shared" si="135"/>
        <v>1199.4990304911016</v>
      </c>
      <c r="BA196" s="411">
        <v>750</v>
      </c>
      <c r="BB196" s="429">
        <f>PI()*BA196/1000*( Pile!$C$38- Pile!$C196)</f>
        <v>3.5342917352885066</v>
      </c>
      <c r="BC196" s="410">
        <f t="shared" si="136"/>
        <v>0.44178646691106466</v>
      </c>
      <c r="BD196" s="410">
        <f t="shared" si="175"/>
        <v>354.77951516996438</v>
      </c>
      <c r="BE196" s="410">
        <f>BB196* Pile!$S$38</f>
        <v>0</v>
      </c>
      <c r="BF196" s="410">
        <f t="shared" si="181"/>
        <v>354.77951516996438</v>
      </c>
      <c r="BG196" s="410">
        <f>IF(BF196&gt;0,+BF196)/ 'Pile Data and Eurocode Factors'!$B$19/ 'Pile Data and Eurocode Factors'!$B$20+BG$195</f>
        <v>572.36264250127817</v>
      </c>
      <c r="BH196" s="410">
        <f t="shared" si="188"/>
        <v>2757.8581581974813</v>
      </c>
      <c r="BI196" s="410">
        <f>BC196* Pile!$U$38</f>
        <v>0</v>
      </c>
      <c r="BJ196" s="410">
        <f t="shared" si="137"/>
        <v>2757.8581581974813</v>
      </c>
      <c r="BK196" s="410">
        <f>BJ196/ 'Pile Data and Eurocode Factors'!$C$19/ 'Pile Data and Eurocode Factors'!$C$20</f>
        <v>1158.7639320157484</v>
      </c>
      <c r="BL196" s="410">
        <f t="shared" si="138"/>
        <v>1731.1265745170267</v>
      </c>
      <c r="BM196" s="410">
        <f>VLOOKUP(BA196, 'Pile Data and Eurocode Factors'!$A$34:$J$39,3, FALSE)</f>
        <v>6572.7116301410997</v>
      </c>
      <c r="BN196" s="412">
        <f t="shared" si="139"/>
        <v>1731.1265745170267</v>
      </c>
      <c r="BO196" s="411">
        <v>900</v>
      </c>
      <c r="BP196" s="429">
        <f>PI()*BO196/1000*( Pile!$C$38- Pile!$C196)</f>
        <v>4.2411500823462083</v>
      </c>
      <c r="BQ196" s="410">
        <f t="shared" si="140"/>
        <v>0.63617251235193317</v>
      </c>
      <c r="BR196" s="410">
        <f t="shared" si="176"/>
        <v>425.73541820395729</v>
      </c>
      <c r="BS196" s="410">
        <f>BP196* Pile!$S$38</f>
        <v>0</v>
      </c>
      <c r="BT196" s="410">
        <f t="shared" si="182"/>
        <v>425.73541820395729</v>
      </c>
      <c r="BU196" s="410">
        <f>IF(BT196&gt;0,+BT196)/ 'Pile Data and Eurocode Factors'!$B$19/ 'Pile Data and Eurocode Factors'!$B$20+BU$195</f>
        <v>686.83517100153381</v>
      </c>
      <c r="BV196" s="410">
        <f t="shared" si="189"/>
        <v>3971.3157478043736</v>
      </c>
      <c r="BW196" s="410">
        <f>BQ196* Pile!$U$38</f>
        <v>0</v>
      </c>
      <c r="BX196" s="410">
        <f t="shared" si="141"/>
        <v>3971.3157478043736</v>
      </c>
      <c r="BY196" s="410">
        <f>BX196/ 'Pile Data and Eurocode Factors'!$C$19/ 'Pile Data and Eurocode Factors'!$C$20</f>
        <v>1668.6200621026783</v>
      </c>
      <c r="BZ196" s="410">
        <f t="shared" si="142"/>
        <v>2355.4552331042123</v>
      </c>
      <c r="CA196" s="410">
        <f>VLOOKUP(BO196, 'Pile Data and Eurocode Factors'!$A$34:$J$39,3, FALSE)</f>
        <v>9464.7047474031824</v>
      </c>
      <c r="CB196" s="412">
        <f t="shared" si="143"/>
        <v>2355.4552331042123</v>
      </c>
      <c r="CC196" s="411">
        <v>1050</v>
      </c>
      <c r="CD196" s="429">
        <f>PI()*CC196/1000*( Pile!$C$38- Pile!$C196)</f>
        <v>4.9480084294039095</v>
      </c>
      <c r="CE196" s="410">
        <f t="shared" si="144"/>
        <v>0.86590147514568672</v>
      </c>
      <c r="CF196" s="410">
        <f t="shared" si="177"/>
        <v>496.69132123795015</v>
      </c>
      <c r="CG196" s="410">
        <f>CD196* Pile!$S$38</f>
        <v>0</v>
      </c>
      <c r="CH196" s="410">
        <f t="shared" si="183"/>
        <v>496.69132123795015</v>
      </c>
      <c r="CI196" s="410">
        <f>IF(CH196&gt;0,+CH196)/ 'Pile Data and Eurocode Factors'!$B$19/ 'Pile Data and Eurocode Factors'!$B$20+CI$195</f>
        <v>801.30769950178944</v>
      </c>
      <c r="CJ196" s="410">
        <f t="shared" si="190"/>
        <v>5405.4019900670628</v>
      </c>
      <c r="CK196" s="410">
        <f>CE196* Pile!$U$38</f>
        <v>0</v>
      </c>
      <c r="CL196" s="410">
        <f t="shared" si="145"/>
        <v>5405.4019900670628</v>
      </c>
      <c r="CM196" s="410">
        <f>CL196/ 'Pile Data and Eurocode Factors'!$C$19/ 'Pile Data and Eurocode Factors'!$C$20</f>
        <v>2271.177306750867</v>
      </c>
      <c r="CN196" s="410">
        <f t="shared" si="146"/>
        <v>3072.4850062526566</v>
      </c>
      <c r="CO196" s="410">
        <f>VLOOKUP(CC196, 'Pile Data and Eurocode Factors'!$A$34:$J$39,3, FALSE)</f>
        <v>12882.514795076555</v>
      </c>
      <c r="CP196" s="412">
        <f t="shared" si="147"/>
        <v>3072.4850062526566</v>
      </c>
      <c r="CQ196" s="411">
        <v>1200</v>
      </c>
      <c r="CR196" s="429">
        <f>PI()*CQ196/1000*( Pile!$C$38- Pile!$C196)</f>
        <v>5.6548667764616107</v>
      </c>
      <c r="CS196" s="410">
        <f t="shared" si="148"/>
        <v>1.1309733552923256</v>
      </c>
      <c r="CT196" s="410">
        <f t="shared" si="178"/>
        <v>567.64722427194306</v>
      </c>
      <c r="CU196" s="410">
        <f>CR196* Pile!$S$38</f>
        <v>0</v>
      </c>
      <c r="CV196" s="410">
        <f t="shared" si="184"/>
        <v>567.64722427194306</v>
      </c>
      <c r="CW196" s="410">
        <f>IF(CV196&gt;0,+CV196)/ 'Pile Data and Eurocode Factors'!$B$19/ 'Pile Data and Eurocode Factors'!$B$20+CW$195</f>
        <v>915.78022800204508</v>
      </c>
      <c r="CX196" s="410">
        <f t="shared" si="191"/>
        <v>7060.1168849855521</v>
      </c>
      <c r="CY196" s="410">
        <f>CS196* Pile!$U$38</f>
        <v>0</v>
      </c>
      <c r="CZ196" s="410">
        <f t="shared" si="149"/>
        <v>7060.1168849855521</v>
      </c>
      <c r="DA196" s="410">
        <f>CZ196/ 'Pile Data and Eurocode Factors'!$C$19/ 'Pile Data and Eurocode Factors'!$C$20</f>
        <v>2966.4356659603163</v>
      </c>
      <c r="DB196" s="410">
        <f t="shared" si="150"/>
        <v>3882.2158939623614</v>
      </c>
      <c r="DC196" s="410">
        <f>VLOOKUP(CQ196, 'Pile Data and Eurocode Factors'!$A$34:$J$39,3, FALSE)</f>
        <v>16826.141773161216</v>
      </c>
      <c r="DD196" s="412">
        <f t="shared" si="151"/>
        <v>3882.2158939623614</v>
      </c>
      <c r="DE196" s="413">
        <f xml:space="preserve"> Pile!$C$23- Pile!C196</f>
        <v>13.499999999999996</v>
      </c>
      <c r="DG196" s="410">
        <f t="shared" si="152"/>
        <v>760.57260102643647</v>
      </c>
      <c r="DH196" s="410">
        <f t="shared" si="153"/>
        <v>1199.4990304911016</v>
      </c>
      <c r="DI196" s="410">
        <f t="shared" si="154"/>
        <v>1731.1265745170267</v>
      </c>
      <c r="DJ196" s="410"/>
      <c r="DK196" s="410"/>
      <c r="DL196" s="410"/>
    </row>
    <row r="197" spans="2:116" s="308" customFormat="1" ht="15">
      <c r="B197" s="400">
        <v>2</v>
      </c>
      <c r="C197" s="401">
        <f>+C196- Pile!D$38/20</f>
        <v>-8.9999999999999964</v>
      </c>
      <c r="D197" s="415" t="str">
        <f>B25</f>
        <v>Medium Sand/Gravel</v>
      </c>
      <c r="E197" s="415" t="str">
        <f>F25</f>
        <v>Granular</v>
      </c>
      <c r="F197" s="401">
        <f xml:space="preserve"> Pile!$E$38*(+C196-C197)+F196</f>
        <v>268.50000000000011</v>
      </c>
      <c r="G197" s="401">
        <f>IF(C197&gt; Pile!$C$41,0,( Pile!$C$41-C197)*9.81)</f>
        <v>0</v>
      </c>
      <c r="H197" s="401">
        <f t="shared" si="122"/>
        <v>268.50000000000011</v>
      </c>
      <c r="I197" s="401">
        <f t="shared" si="192"/>
        <v>239.25000000000011</v>
      </c>
      <c r="J197" s="401">
        <f>IF(E197="Cohesive",(( Pile!$H$38- Pile!$G$38)/20)+J196,0)</f>
        <v>0</v>
      </c>
      <c r="K197" s="401">
        <f>IF(E197="Cohesive",( Pile!$G$38+ Pile!$J197)/2,0)</f>
        <v>0</v>
      </c>
      <c r="L197" s="401" t="str">
        <f>IF( Pile!I$38="",0, Pile!I$38)</f>
        <v>0</v>
      </c>
      <c r="M197" s="401" t="str">
        <f>IF( Pile!J$38="",0, Pile!J$38)</f>
        <v>0</v>
      </c>
      <c r="N197" s="401">
        <f>IF(E197="Granular", Pile!$K$38,0)</f>
        <v>26.092012099198989</v>
      </c>
      <c r="O197" s="416">
        <f>IF(AND(E197="Granular",D197&lt;&gt;"Made Ground"), Pile!$L$38,0)</f>
        <v>0.44688733902318017</v>
      </c>
      <c r="P197" s="401">
        <f>IF(OR(D197="Low Density Chalk",D197="Medium Density Chalk"), Pile!$M$38,0)</f>
        <v>0</v>
      </c>
      <c r="Q197" s="417">
        <f>IF(D197="High Density Chalk", Pile!$N$38,0)</f>
        <v>0</v>
      </c>
      <c r="R197" s="401">
        <f>IF( Pile!O$38="",0, Pile!O$38)</f>
        <v>0</v>
      </c>
      <c r="S197" s="418">
        <f t="shared" si="124"/>
        <v>106.91779586129591</v>
      </c>
      <c r="T197" s="382">
        <f xml:space="preserve"> Pile!$T$38</f>
        <v>1200</v>
      </c>
      <c r="U197" s="382">
        <f t="shared" si="125"/>
        <v>106.91779586129591</v>
      </c>
      <c r="V197" s="382">
        <f t="shared" si="126"/>
        <v>7005.7052486349312</v>
      </c>
      <c r="W197" s="382">
        <f xml:space="preserve"> Pile!$V$38</f>
        <v>15000</v>
      </c>
      <c r="X197" s="382">
        <f t="shared" si="127"/>
        <v>7005.7052486349312</v>
      </c>
      <c r="Y197" s="419">
        <v>450</v>
      </c>
      <c r="Z197" s="430">
        <f>PI()*Y197/1000*( Pile!$C$38- Pile!$C197)</f>
        <v>4.2411500823462154</v>
      </c>
      <c r="AA197" s="382">
        <f t="shared" si="128"/>
        <v>0.15904312808798329</v>
      </c>
      <c r="AB197" s="382">
        <f t="shared" si="173"/>
        <v>453.454418721411</v>
      </c>
      <c r="AC197" s="382">
        <f>Z197* Pile!$S$38</f>
        <v>0</v>
      </c>
      <c r="AD197" s="382">
        <f t="shared" si="179"/>
        <v>453.454418721411</v>
      </c>
      <c r="AE197" s="382">
        <f>IF(AD197&gt;0,+AD197)/ 'Pile Data and Eurocode Factors'!$B$19/ 'Pile Data and Eurocode Factors'!$B$20+AE$195</f>
        <v>457.98268531954426</v>
      </c>
      <c r="AF197" s="382">
        <f t="shared" si="186"/>
        <v>1114.2092772053022</v>
      </c>
      <c r="AG197" s="382">
        <f>AA197* Pile!$U$38</f>
        <v>0</v>
      </c>
      <c r="AH197" s="382">
        <f t="shared" si="129"/>
        <v>1114.2092772053022</v>
      </c>
      <c r="AI197" s="382">
        <f>AH197/ 'Pile Data and Eurocode Factors'!$C$19/ 'Pile Data and Eurocode Factors'!$C$20</f>
        <v>468.15515848962286</v>
      </c>
      <c r="AJ197" s="382">
        <f t="shared" si="130"/>
        <v>926.13784380916718</v>
      </c>
      <c r="AK197" s="382">
        <f>VLOOKUP(Y197, 'Pile Data and Eurocode Factors'!$A$34:$J$39,3, FALSE)</f>
        <v>2366.1761868507956</v>
      </c>
      <c r="AL197" s="403">
        <f t="shared" si="131"/>
        <v>926.13784380916718</v>
      </c>
      <c r="AM197" s="419">
        <v>600</v>
      </c>
      <c r="AN197" s="430">
        <f>PI()*AM197/1000*( Pile!$C$38- Pile!$C197)</f>
        <v>5.6548667764616205</v>
      </c>
      <c r="AO197" s="382">
        <f t="shared" si="132"/>
        <v>0.28274333882308139</v>
      </c>
      <c r="AP197" s="382">
        <f t="shared" si="174"/>
        <v>604.60589162854797</v>
      </c>
      <c r="AQ197" s="382">
        <f>AN197* Pile!$S$38</f>
        <v>0</v>
      </c>
      <c r="AR197" s="382">
        <f t="shared" si="180"/>
        <v>604.60589162854797</v>
      </c>
      <c r="AS197" s="382">
        <f>IF(AR197&gt;0,+AR197)/ 'Pile Data and Eurocode Factors'!$B$19/ 'Pile Data and Eurocode Factors'!$B$20+AS$195</f>
        <v>610.64358042605897</v>
      </c>
      <c r="AT197" s="382">
        <f t="shared" si="187"/>
        <v>1980.8164928094261</v>
      </c>
      <c r="AU197" s="382">
        <f>AO197* Pile!$U$38</f>
        <v>0</v>
      </c>
      <c r="AV197" s="382">
        <f t="shared" si="133"/>
        <v>1980.8164928094261</v>
      </c>
      <c r="AW197" s="382">
        <f>AV197/ 'Pile Data and Eurocode Factors'!$C$19/ 'Pile Data and Eurocode Factors'!$C$20</f>
        <v>832.27583731488494</v>
      </c>
      <c r="AX197" s="382">
        <f t="shared" si="134"/>
        <v>1442.919417740944</v>
      </c>
      <c r="AY197" s="382">
        <f>VLOOKUP(AM197, 'Pile Data and Eurocode Factors'!$A$34:$J$39,3, FALSE)</f>
        <v>4206.5354432903041</v>
      </c>
      <c r="AZ197" s="403">
        <f t="shared" si="135"/>
        <v>1442.919417740944</v>
      </c>
      <c r="BA197" s="419">
        <v>750</v>
      </c>
      <c r="BB197" s="430">
        <f>PI()*BA197/1000*( Pile!$C$38- Pile!$C197)</f>
        <v>7.0685834705770265</v>
      </c>
      <c r="BC197" s="382">
        <f t="shared" si="136"/>
        <v>0.44178646691106466</v>
      </c>
      <c r="BD197" s="382">
        <f t="shared" si="175"/>
        <v>755.75736453568516</v>
      </c>
      <c r="BE197" s="382">
        <f>BB197* Pile!$S$38</f>
        <v>0</v>
      </c>
      <c r="BF197" s="382">
        <f t="shared" si="181"/>
        <v>755.75736453568516</v>
      </c>
      <c r="BG197" s="382">
        <f>IF(BF197&gt;0,+BF197)/ 'Pile Data and Eurocode Factors'!$B$19/ 'Pile Data and Eurocode Factors'!$B$20+BG$195</f>
        <v>763.30447553257386</v>
      </c>
      <c r="BH197" s="382">
        <f t="shared" si="188"/>
        <v>3095.0257700147281</v>
      </c>
      <c r="BI197" s="382">
        <f>BC197* Pile!$U$38</f>
        <v>0</v>
      </c>
      <c r="BJ197" s="382">
        <f t="shared" si="137"/>
        <v>3095.0257700147281</v>
      </c>
      <c r="BK197" s="382">
        <f>BJ197/ 'Pile Data and Eurocode Factors'!$C$19/ 'Pile Data and Eurocode Factors'!$C$20</f>
        <v>1300.4309958045076</v>
      </c>
      <c r="BL197" s="382">
        <f t="shared" si="138"/>
        <v>2063.7354713370814</v>
      </c>
      <c r="BM197" s="382">
        <f>VLOOKUP(BA197, 'Pile Data and Eurocode Factors'!$A$34:$J$39,3, FALSE)</f>
        <v>6572.7116301410997</v>
      </c>
      <c r="BN197" s="403">
        <f t="shared" si="139"/>
        <v>2063.7354713370814</v>
      </c>
      <c r="BO197" s="419">
        <v>900</v>
      </c>
      <c r="BP197" s="430">
        <f>PI()*BO197/1000*( Pile!$C$38- Pile!$C197)</f>
        <v>8.4823001646924308</v>
      </c>
      <c r="BQ197" s="382">
        <f t="shared" si="140"/>
        <v>0.63617251235193317</v>
      </c>
      <c r="BR197" s="382">
        <f t="shared" si="176"/>
        <v>906.908837442822</v>
      </c>
      <c r="BS197" s="382">
        <f>BP197* Pile!$S$38</f>
        <v>0</v>
      </c>
      <c r="BT197" s="382">
        <f t="shared" si="182"/>
        <v>906.908837442822</v>
      </c>
      <c r="BU197" s="382">
        <f>IF(BT197&gt;0,+BT197)/ 'Pile Data and Eurocode Factors'!$B$19/ 'Pile Data and Eurocode Factors'!$B$20+BU$195</f>
        <v>915.96537063908852</v>
      </c>
      <c r="BV197" s="382">
        <f t="shared" si="189"/>
        <v>4456.8371088212089</v>
      </c>
      <c r="BW197" s="382">
        <f>BQ197* Pile!$U$38</f>
        <v>0</v>
      </c>
      <c r="BX197" s="382">
        <f t="shared" si="141"/>
        <v>4456.8371088212089</v>
      </c>
      <c r="BY197" s="382">
        <f>BX197/ 'Pile Data and Eurocode Factors'!$C$19/ 'Pile Data and Eurocode Factors'!$C$20</f>
        <v>1872.6206339584915</v>
      </c>
      <c r="BZ197" s="382">
        <f t="shared" si="142"/>
        <v>2788.5860045975801</v>
      </c>
      <c r="CA197" s="382">
        <f>VLOOKUP(BO197, 'Pile Data and Eurocode Factors'!$A$34:$J$39,3, FALSE)</f>
        <v>9464.7047474031824</v>
      </c>
      <c r="CB197" s="403">
        <f t="shared" si="143"/>
        <v>2788.5860045975801</v>
      </c>
      <c r="CC197" s="419">
        <v>1050</v>
      </c>
      <c r="CD197" s="430">
        <f>PI()*CC197/1000*( Pile!$C$38- Pile!$C197)</f>
        <v>9.8960168588078368</v>
      </c>
      <c r="CE197" s="382">
        <f t="shared" si="144"/>
        <v>0.86590147514568672</v>
      </c>
      <c r="CF197" s="382">
        <f t="shared" si="177"/>
        <v>1058.0603103499591</v>
      </c>
      <c r="CG197" s="382">
        <f>CD197* Pile!$S$38</f>
        <v>0</v>
      </c>
      <c r="CH197" s="382">
        <f t="shared" si="183"/>
        <v>1058.0603103499591</v>
      </c>
      <c r="CI197" s="382">
        <f>IF(CH197&gt;0,+CH197)/ 'Pile Data and Eurocode Factors'!$B$19/ 'Pile Data and Eurocode Factors'!$B$20+CI$195</f>
        <v>1068.6262657456032</v>
      </c>
      <c r="CJ197" s="382">
        <f t="shared" si="190"/>
        <v>6066.2505092288666</v>
      </c>
      <c r="CK197" s="382">
        <f>CE197* Pile!$U$38</f>
        <v>0</v>
      </c>
      <c r="CL197" s="382">
        <f t="shared" si="145"/>
        <v>6066.2505092288666</v>
      </c>
      <c r="CM197" s="382">
        <f>CL197/ 'Pile Data and Eurocode Factors'!$C$19/ 'Pile Data and Eurocode Factors'!$C$20</f>
        <v>2548.844751776835</v>
      </c>
      <c r="CN197" s="382">
        <f t="shared" si="146"/>
        <v>3617.4710175224382</v>
      </c>
      <c r="CO197" s="382">
        <f>VLOOKUP(CC197, 'Pile Data and Eurocode Factors'!$A$34:$J$39,3, FALSE)</f>
        <v>12882.514795076555</v>
      </c>
      <c r="CP197" s="403">
        <f t="shared" si="147"/>
        <v>3617.4710175224382</v>
      </c>
      <c r="CQ197" s="419">
        <v>1200</v>
      </c>
      <c r="CR197" s="430">
        <f>PI()*CQ197/1000*( Pile!$C$38- Pile!$C197)</f>
        <v>11.309733552923241</v>
      </c>
      <c r="CS197" s="382">
        <f t="shared" si="148"/>
        <v>1.1309733552923256</v>
      </c>
      <c r="CT197" s="382">
        <f t="shared" si="178"/>
        <v>1209.2117832570959</v>
      </c>
      <c r="CU197" s="382">
        <f>CR197* Pile!$S$38</f>
        <v>0</v>
      </c>
      <c r="CV197" s="382">
        <f t="shared" si="184"/>
        <v>1209.2117832570959</v>
      </c>
      <c r="CW197" s="382">
        <f>IF(CV197&gt;0,+CV197)/ 'Pile Data and Eurocode Factors'!$B$19/ 'Pile Data and Eurocode Factors'!$B$20+CW$195</f>
        <v>1221.2871608521179</v>
      </c>
      <c r="CX197" s="382">
        <f t="shared" si="191"/>
        <v>7923.2659712377044</v>
      </c>
      <c r="CY197" s="382">
        <f>CS197* Pile!$U$38</f>
        <v>0</v>
      </c>
      <c r="CZ197" s="382">
        <f t="shared" si="149"/>
        <v>7923.2659712377044</v>
      </c>
      <c r="DA197" s="382">
        <f>CZ197/ 'Pile Data and Eurocode Factors'!$C$19/ 'Pile Data and Eurocode Factors'!$C$20</f>
        <v>3329.1033492595398</v>
      </c>
      <c r="DB197" s="382">
        <f t="shared" si="150"/>
        <v>4550.3905101116579</v>
      </c>
      <c r="DC197" s="382">
        <f>VLOOKUP(CQ197, 'Pile Data and Eurocode Factors'!$A$34:$J$39,3, FALSE)</f>
        <v>16826.141773161216</v>
      </c>
      <c r="DD197" s="403">
        <f t="shared" si="151"/>
        <v>4550.3905101116579</v>
      </c>
      <c r="DE197" s="420">
        <f xml:space="preserve"> Pile!$C$23- Pile!C197</f>
        <v>14.999999999999996</v>
      </c>
      <c r="DG197" s="382">
        <f t="shared" si="152"/>
        <v>926.13784380916718</v>
      </c>
      <c r="DH197" s="382">
        <f t="shared" si="153"/>
        <v>1442.919417740944</v>
      </c>
      <c r="DI197" s="382">
        <f t="shared" si="154"/>
        <v>2063.7354713370814</v>
      </c>
      <c r="DJ197" s="382"/>
      <c r="DK197" s="382"/>
      <c r="DL197" s="382"/>
    </row>
    <row r="198" spans="2:116" s="308" customFormat="1" ht="15">
      <c r="B198" s="400">
        <v>3</v>
      </c>
      <c r="C198" s="401">
        <f>+C197- Pile!D$38/20</f>
        <v>-10.499999999999996</v>
      </c>
      <c r="D198" s="415" t="str">
        <f>B25</f>
        <v>Medium Sand/Gravel</v>
      </c>
      <c r="E198" s="415" t="str">
        <f>F25</f>
        <v>Granular</v>
      </c>
      <c r="F198" s="401">
        <f xml:space="preserve"> Pile!$E$38*(+C197-C198)+F197</f>
        <v>297.75000000000011</v>
      </c>
      <c r="G198" s="401">
        <f>IF(C198&gt; Pile!$C$41,0,( Pile!$C$41-C198)*9.81)</f>
        <v>0</v>
      </c>
      <c r="H198" s="401">
        <f t="shared" si="122"/>
        <v>297.75000000000011</v>
      </c>
      <c r="I198" s="401">
        <f t="shared" si="192"/>
        <v>253.87500000000011</v>
      </c>
      <c r="J198" s="401">
        <f>IF(E198="Cohesive",(( Pile!$H$38- Pile!$G$38)/20)+J197,0)</f>
        <v>0</v>
      </c>
      <c r="K198" s="401">
        <f>IF(E198="Cohesive",( Pile!$G$38+ Pile!$J198)/2,0)</f>
        <v>0</v>
      </c>
      <c r="L198" s="401" t="str">
        <f>IF( Pile!I$38="",0, Pile!I$38)</f>
        <v>0</v>
      </c>
      <c r="M198" s="401" t="str">
        <f>IF( Pile!J$38="",0, Pile!J$38)</f>
        <v>0</v>
      </c>
      <c r="N198" s="401">
        <f>IF(E198="Granular", Pile!$K$38,0)</f>
        <v>26.092012099198989</v>
      </c>
      <c r="O198" s="416">
        <f>IF(AND(E198="Granular",D198&lt;&gt;"Made Ground"), Pile!$L$38,0)</f>
        <v>0.44688733902318017</v>
      </c>
      <c r="P198" s="401">
        <f>IF(OR(D198="Low Density Chalk",D198="Medium Density Chalk"), Pile!$M$38,0)</f>
        <v>0</v>
      </c>
      <c r="Q198" s="417">
        <f>IF(D198="High Density Chalk", Pile!$N$38,0)</f>
        <v>0</v>
      </c>
      <c r="R198" s="401">
        <f>IF( Pile!O$38="",0, Pile!O$38)</f>
        <v>0</v>
      </c>
      <c r="S198" s="418">
        <f t="shared" si="124"/>
        <v>113.45352319450991</v>
      </c>
      <c r="T198" s="382">
        <f xml:space="preserve"> Pile!$T$38</f>
        <v>1200</v>
      </c>
      <c r="U198" s="382">
        <f t="shared" si="125"/>
        <v>113.45352319450991</v>
      </c>
      <c r="V198" s="382">
        <f t="shared" si="126"/>
        <v>7768.8966025365016</v>
      </c>
      <c r="W198" s="382">
        <f xml:space="preserve"> Pile!$V$38</f>
        <v>15000</v>
      </c>
      <c r="X198" s="382">
        <f t="shared" si="127"/>
        <v>7768.8966025365016</v>
      </c>
      <c r="Y198" s="419">
        <v>450</v>
      </c>
      <c r="Z198" s="430">
        <f>PI()*Y198/1000*( Pile!$C$38- Pile!$C198)</f>
        <v>6.3617251235193262</v>
      </c>
      <c r="AA198" s="382">
        <f t="shared" si="128"/>
        <v>0.15904312808798329</v>
      </c>
      <c r="AB198" s="382">
        <f t="shared" si="173"/>
        <v>721.7601288582963</v>
      </c>
      <c r="AC198" s="382">
        <f>Z198* Pile!$S$38</f>
        <v>0</v>
      </c>
      <c r="AD198" s="382">
        <f t="shared" si="179"/>
        <v>721.7601288582963</v>
      </c>
      <c r="AE198" s="382">
        <f>IF(AD198&gt;0,+AD198)/ 'Pile Data and Eurocode Factors'!$B$19/ 'Pile Data and Eurocode Factors'!$B$20+AE$195</f>
        <v>585.74730919425156</v>
      </c>
      <c r="AF198" s="382">
        <f t="shared" si="186"/>
        <v>1235.5896174595111</v>
      </c>
      <c r="AG198" s="382">
        <f>AA198* Pile!$U$38</f>
        <v>0</v>
      </c>
      <c r="AH198" s="382">
        <f t="shared" si="129"/>
        <v>1235.5896174595111</v>
      </c>
      <c r="AI198" s="382">
        <f>AH198/ 'Pile Data and Eurocode Factors'!$C$19/ 'Pile Data and Eurocode Factors'!$C$20</f>
        <v>519.15530145357616</v>
      </c>
      <c r="AJ198" s="382">
        <f t="shared" si="130"/>
        <v>1104.9026106478277</v>
      </c>
      <c r="AK198" s="382">
        <f>VLOOKUP(Y198, 'Pile Data and Eurocode Factors'!$A$34:$J$39,3, FALSE)</f>
        <v>2366.1761868507956</v>
      </c>
      <c r="AL198" s="403">
        <f t="shared" si="131"/>
        <v>1104.9026106478277</v>
      </c>
      <c r="AM198" s="419">
        <v>600</v>
      </c>
      <c r="AN198" s="430">
        <f>PI()*AM198/1000*( Pile!$C$38- Pile!$C198)</f>
        <v>8.4823001646924343</v>
      </c>
      <c r="AO198" s="382">
        <f t="shared" si="132"/>
        <v>0.28274333882308139</v>
      </c>
      <c r="AP198" s="382">
        <f t="shared" si="174"/>
        <v>962.3468384777284</v>
      </c>
      <c r="AQ198" s="382">
        <f>AN198* Pile!$S$38</f>
        <v>0</v>
      </c>
      <c r="AR198" s="382">
        <f t="shared" si="180"/>
        <v>962.3468384777284</v>
      </c>
      <c r="AS198" s="382">
        <f>IF(AR198&gt;0,+AR198)/ 'Pile Data and Eurocode Factors'!$B$19/ 'Pile Data and Eurocode Factors'!$B$20+AS$195</f>
        <v>780.996412259002</v>
      </c>
      <c r="AT198" s="382">
        <f t="shared" si="187"/>
        <v>2196.603764372464</v>
      </c>
      <c r="AU198" s="382">
        <f>AO198* Pile!$U$38</f>
        <v>0</v>
      </c>
      <c r="AV198" s="382">
        <f t="shared" si="133"/>
        <v>2196.603764372464</v>
      </c>
      <c r="AW198" s="382">
        <f>AV198/ 'Pile Data and Eurocode Factors'!$C$19/ 'Pile Data and Eurocode Factors'!$C$20</f>
        <v>922.9427581396908</v>
      </c>
      <c r="AX198" s="382">
        <f t="shared" si="134"/>
        <v>1703.9391703986928</v>
      </c>
      <c r="AY198" s="382">
        <f>VLOOKUP(AM198, 'Pile Data and Eurocode Factors'!$A$34:$J$39,3, FALSE)</f>
        <v>4206.5354432903041</v>
      </c>
      <c r="AZ198" s="403">
        <f t="shared" si="135"/>
        <v>1703.9391703986928</v>
      </c>
      <c r="BA198" s="419">
        <v>750</v>
      </c>
      <c r="BB198" s="430">
        <f>PI()*BA198/1000*( Pile!$C$38- Pile!$C198)</f>
        <v>10.602875205865544</v>
      </c>
      <c r="BC198" s="382">
        <f t="shared" si="136"/>
        <v>0.44178646691106466</v>
      </c>
      <c r="BD198" s="382">
        <f t="shared" si="175"/>
        <v>1202.9335480971606</v>
      </c>
      <c r="BE198" s="382">
        <f>BB198* Pile!$S$38</f>
        <v>0</v>
      </c>
      <c r="BF198" s="382">
        <f t="shared" si="181"/>
        <v>1202.9335480971606</v>
      </c>
      <c r="BG198" s="382">
        <f>IF(BF198&gt;0,+BF198)/ 'Pile Data and Eurocode Factors'!$B$19/ 'Pile Data and Eurocode Factors'!$B$20+BG$195</f>
        <v>976.24551532375267</v>
      </c>
      <c r="BH198" s="382">
        <f t="shared" si="188"/>
        <v>3432.1933818319749</v>
      </c>
      <c r="BI198" s="382">
        <f>BC198* Pile!$U$38</f>
        <v>0</v>
      </c>
      <c r="BJ198" s="382">
        <f t="shared" si="137"/>
        <v>3432.1933818319749</v>
      </c>
      <c r="BK198" s="382">
        <f>BJ198/ 'Pile Data and Eurocode Factors'!$C$19/ 'Pile Data and Eurocode Factors'!$C$20</f>
        <v>1442.0980595932667</v>
      </c>
      <c r="BL198" s="382">
        <f t="shared" si="138"/>
        <v>2418.3435749170194</v>
      </c>
      <c r="BM198" s="382">
        <f>VLOOKUP(BA198, 'Pile Data and Eurocode Factors'!$A$34:$J$39,3, FALSE)</f>
        <v>6572.7116301410997</v>
      </c>
      <c r="BN198" s="403">
        <f t="shared" si="139"/>
        <v>2418.3435749170194</v>
      </c>
      <c r="BO198" s="419">
        <v>900</v>
      </c>
      <c r="BP198" s="430">
        <f>PI()*BO198/1000*( Pile!$C$38- Pile!$C198)</f>
        <v>12.723450247038652</v>
      </c>
      <c r="BQ198" s="382">
        <f t="shared" si="140"/>
        <v>0.63617251235193317</v>
      </c>
      <c r="BR198" s="382">
        <f t="shared" si="176"/>
        <v>1443.5202577165926</v>
      </c>
      <c r="BS198" s="382">
        <f>BP198* Pile!$S$38</f>
        <v>0</v>
      </c>
      <c r="BT198" s="382">
        <f t="shared" si="182"/>
        <v>1443.5202577165926</v>
      </c>
      <c r="BU198" s="382">
        <f>IF(BT198&gt;0,+BT198)/ 'Pile Data and Eurocode Factors'!$B$19/ 'Pile Data and Eurocode Factors'!$B$20+BU$195</f>
        <v>1171.4946183885031</v>
      </c>
      <c r="BV198" s="382">
        <f t="shared" si="189"/>
        <v>4942.3584698380446</v>
      </c>
      <c r="BW198" s="382">
        <f>BQ198* Pile!$U$38</f>
        <v>0</v>
      </c>
      <c r="BX198" s="382">
        <f t="shared" si="141"/>
        <v>4942.3584698380446</v>
      </c>
      <c r="BY198" s="382">
        <f>BX198/ 'Pile Data and Eurocode Factors'!$C$19/ 'Pile Data and Eurocode Factors'!$C$20</f>
        <v>2076.6212058143046</v>
      </c>
      <c r="BZ198" s="382">
        <f t="shared" si="142"/>
        <v>3248.1158242028077</v>
      </c>
      <c r="CA198" s="382">
        <f>VLOOKUP(BO198, 'Pile Data and Eurocode Factors'!$A$34:$J$39,3, FALSE)</f>
        <v>9464.7047474031824</v>
      </c>
      <c r="CB198" s="403">
        <f t="shared" si="143"/>
        <v>3248.1158242028077</v>
      </c>
      <c r="CC198" s="419">
        <v>1050</v>
      </c>
      <c r="CD198" s="430">
        <f>PI()*CC198/1000*( Pile!$C$38- Pile!$C198)</f>
        <v>14.84402528821176</v>
      </c>
      <c r="CE198" s="382">
        <f t="shared" si="144"/>
        <v>0.86590147514568672</v>
      </c>
      <c r="CF198" s="382">
        <f t="shared" si="177"/>
        <v>1684.1069673360246</v>
      </c>
      <c r="CG198" s="382">
        <f>CD198* Pile!$S$38</f>
        <v>0</v>
      </c>
      <c r="CH198" s="382">
        <f t="shared" si="183"/>
        <v>1684.1069673360246</v>
      </c>
      <c r="CI198" s="382">
        <f>IF(CH198&gt;0,+CH198)/ 'Pile Data and Eurocode Factors'!$B$19/ 'Pile Data and Eurocode Factors'!$B$20+CI$195</f>
        <v>1366.7437214532533</v>
      </c>
      <c r="CJ198" s="382">
        <f t="shared" si="190"/>
        <v>6727.0990283906704</v>
      </c>
      <c r="CK198" s="382">
        <f>CE198* Pile!$U$38</f>
        <v>0</v>
      </c>
      <c r="CL198" s="382">
        <f t="shared" si="145"/>
        <v>6727.0990283906704</v>
      </c>
      <c r="CM198" s="382">
        <f>CL198/ 'Pile Data and Eurocode Factors'!$C$19/ 'Pile Data and Eurocode Factors'!$C$20</f>
        <v>2826.5121968028029</v>
      </c>
      <c r="CN198" s="382">
        <f t="shared" si="146"/>
        <v>4193.2559182560562</v>
      </c>
      <c r="CO198" s="382">
        <f>VLOOKUP(CC198, 'Pile Data and Eurocode Factors'!$A$34:$J$39,3, FALSE)</f>
        <v>12882.514795076555</v>
      </c>
      <c r="CP198" s="403">
        <f t="shared" si="147"/>
        <v>4193.2559182560562</v>
      </c>
      <c r="CQ198" s="419">
        <v>1200</v>
      </c>
      <c r="CR198" s="430">
        <f>PI()*CQ198/1000*( Pile!$C$38- Pile!$C198)</f>
        <v>16.964600329384869</v>
      </c>
      <c r="CS198" s="382">
        <f t="shared" si="148"/>
        <v>1.1309733552923256</v>
      </c>
      <c r="CT198" s="382">
        <f t="shared" si="178"/>
        <v>1924.6936769554568</v>
      </c>
      <c r="CU198" s="382">
        <f>CR198* Pile!$S$38</f>
        <v>0</v>
      </c>
      <c r="CV198" s="382">
        <f t="shared" si="184"/>
        <v>1924.6936769554568</v>
      </c>
      <c r="CW198" s="382">
        <f>IF(CV198&gt;0,+CV198)/ 'Pile Data and Eurocode Factors'!$B$19/ 'Pile Data and Eurocode Factors'!$B$20+CW$195</f>
        <v>1561.992824518004</v>
      </c>
      <c r="CX198" s="382">
        <f t="shared" si="191"/>
        <v>8786.4150574898558</v>
      </c>
      <c r="CY198" s="382">
        <f>CS198* Pile!$U$38</f>
        <v>0</v>
      </c>
      <c r="CZ198" s="382">
        <f t="shared" si="149"/>
        <v>8786.4150574898558</v>
      </c>
      <c r="DA198" s="382">
        <f>CZ198/ 'Pile Data and Eurocode Factors'!$C$19/ 'Pile Data and Eurocode Factors'!$C$20</f>
        <v>3691.7710325587632</v>
      </c>
      <c r="DB198" s="382">
        <f t="shared" si="150"/>
        <v>5253.7638570767667</v>
      </c>
      <c r="DC198" s="382">
        <f>VLOOKUP(CQ198, 'Pile Data and Eurocode Factors'!$A$34:$J$39,3, FALSE)</f>
        <v>16826.141773161216</v>
      </c>
      <c r="DD198" s="403">
        <f t="shared" si="151"/>
        <v>5253.7638570767667</v>
      </c>
      <c r="DE198" s="420">
        <f xml:space="preserve"> Pile!$C$23- Pile!C198</f>
        <v>16.499999999999996</v>
      </c>
      <c r="DG198" s="382">
        <f t="shared" si="152"/>
        <v>1104.9026106478277</v>
      </c>
      <c r="DH198" s="382">
        <f t="shared" si="153"/>
        <v>1703.9391703986928</v>
      </c>
      <c r="DI198" s="382">
        <f t="shared" si="154"/>
        <v>2418.3435749170194</v>
      </c>
      <c r="DJ198" s="382"/>
      <c r="DK198" s="382"/>
      <c r="DL198" s="382"/>
    </row>
    <row r="199" spans="2:116" s="308" customFormat="1" ht="15">
      <c r="B199" s="400">
        <v>4</v>
      </c>
      <c r="C199" s="401">
        <f>+C198- Pile!D$38/20</f>
        <v>-11.999999999999996</v>
      </c>
      <c r="D199" s="415" t="str">
        <f>B25</f>
        <v>Medium Sand/Gravel</v>
      </c>
      <c r="E199" s="415" t="str">
        <f>F25</f>
        <v>Granular</v>
      </c>
      <c r="F199" s="401">
        <f xml:space="preserve"> Pile!$E$38*(+C198-C199)+F198</f>
        <v>327.00000000000011</v>
      </c>
      <c r="G199" s="401">
        <f>IF(C199&gt; Pile!$C$41,0,( Pile!$C$41-C199)*9.81)</f>
        <v>0</v>
      </c>
      <c r="H199" s="401">
        <f t="shared" si="122"/>
        <v>327.00000000000011</v>
      </c>
      <c r="I199" s="401">
        <f t="shared" si="192"/>
        <v>268.50000000000011</v>
      </c>
      <c r="J199" s="401">
        <f>IF(E199="Cohesive",(( Pile!$H$38- Pile!$G$38)/20)+J198,0)</f>
        <v>0</v>
      </c>
      <c r="K199" s="401">
        <f>IF(E199="Cohesive",( Pile!$G$38+ Pile!$J199)/2,0)</f>
        <v>0</v>
      </c>
      <c r="L199" s="401" t="str">
        <f>IF( Pile!I$38="",0, Pile!I$38)</f>
        <v>0</v>
      </c>
      <c r="M199" s="401" t="str">
        <f>IF( Pile!J$38="",0, Pile!J$38)</f>
        <v>0</v>
      </c>
      <c r="N199" s="401">
        <f>IF(E199="Granular", Pile!$K$38,0)</f>
        <v>26.092012099198989</v>
      </c>
      <c r="O199" s="416">
        <f>IF(AND(E199="Granular",D199&lt;&gt;"Made Ground"), Pile!$L$38,0)</f>
        <v>0.44688733902318017</v>
      </c>
      <c r="P199" s="401">
        <f>IF(OR(D199="Low Density Chalk",D199="Medium Density Chalk"), Pile!$M$38,0)</f>
        <v>0</v>
      </c>
      <c r="Q199" s="417">
        <f>IF(D199="High Density Chalk", Pile!$N$38,0)</f>
        <v>0</v>
      </c>
      <c r="R199" s="401">
        <f>IF( Pile!O$38="",0, Pile!O$38)</f>
        <v>0</v>
      </c>
      <c r="S199" s="418">
        <f t="shared" si="124"/>
        <v>119.98925052772393</v>
      </c>
      <c r="T199" s="382">
        <f xml:space="preserve"> Pile!$T$38</f>
        <v>1200</v>
      </c>
      <c r="U199" s="382">
        <f t="shared" si="125"/>
        <v>119.98925052772393</v>
      </c>
      <c r="V199" s="382">
        <f t="shared" si="126"/>
        <v>8532.0879564380721</v>
      </c>
      <c r="W199" s="382">
        <f xml:space="preserve"> Pile!$V$38</f>
        <v>15000</v>
      </c>
      <c r="X199" s="382">
        <f t="shared" si="127"/>
        <v>8532.0879564380721</v>
      </c>
      <c r="Y199" s="419">
        <v>450</v>
      </c>
      <c r="Z199" s="430">
        <f>PI()*Y199/1000*( Pile!$C$38- Pile!$C199)</f>
        <v>8.4823001646924361</v>
      </c>
      <c r="AA199" s="382">
        <f t="shared" si="128"/>
        <v>0.15904312808798329</v>
      </c>
      <c r="AB199" s="382">
        <f t="shared" si="173"/>
        <v>1017.7848395126347</v>
      </c>
      <c r="AC199" s="382">
        <f>Z199* Pile!$S$38</f>
        <v>0</v>
      </c>
      <c r="AD199" s="382">
        <f t="shared" si="179"/>
        <v>1017.7848395126347</v>
      </c>
      <c r="AE199" s="382">
        <f>IF(AD199&gt;0,+AD199)/ 'Pile Data and Eurocode Factors'!$B$19/ 'Pile Data and Eurocode Factors'!$B$20+AE$195</f>
        <v>726.71145712488885</v>
      </c>
      <c r="AF199" s="382">
        <f t="shared" si="186"/>
        <v>1356.9699577137199</v>
      </c>
      <c r="AG199" s="382">
        <f>AA199* Pile!$U$38</f>
        <v>0</v>
      </c>
      <c r="AH199" s="382">
        <f t="shared" si="129"/>
        <v>1356.9699577137199</v>
      </c>
      <c r="AI199" s="382">
        <f>AH199/ 'Pile Data and Eurocode Factors'!$C$19/ 'Pile Data and Eurocode Factors'!$C$20</f>
        <v>570.15544441752934</v>
      </c>
      <c r="AJ199" s="382">
        <f t="shared" si="130"/>
        <v>1296.8669015424182</v>
      </c>
      <c r="AK199" s="382">
        <f>VLOOKUP(Y199, 'Pile Data and Eurocode Factors'!$A$34:$J$39,3, FALSE)</f>
        <v>2366.1761868507956</v>
      </c>
      <c r="AL199" s="403">
        <f t="shared" si="131"/>
        <v>1296.8669015424182</v>
      </c>
      <c r="AM199" s="419">
        <v>600</v>
      </c>
      <c r="AN199" s="430">
        <f>PI()*AM199/1000*( Pile!$C$38- Pile!$C199)</f>
        <v>11.309733552923248</v>
      </c>
      <c r="AO199" s="382">
        <f t="shared" si="132"/>
        <v>0.28274333882308139</v>
      </c>
      <c r="AP199" s="382">
        <f t="shared" si="174"/>
        <v>1357.0464526835128</v>
      </c>
      <c r="AQ199" s="382">
        <f>AN199* Pile!$S$38</f>
        <v>0</v>
      </c>
      <c r="AR199" s="382">
        <f t="shared" si="180"/>
        <v>1357.0464526835128</v>
      </c>
      <c r="AS199" s="382">
        <f>IF(AR199&gt;0,+AR199)/ 'Pile Data and Eurocode Factors'!$B$19/ 'Pile Data and Eurocode Factors'!$B$20+AS$195</f>
        <v>968.94860949985184</v>
      </c>
      <c r="AT199" s="382">
        <f t="shared" si="187"/>
        <v>2412.3910359355018</v>
      </c>
      <c r="AU199" s="382">
        <f>AO199* Pile!$U$38</f>
        <v>0</v>
      </c>
      <c r="AV199" s="382">
        <f t="shared" si="133"/>
        <v>2412.3910359355018</v>
      </c>
      <c r="AW199" s="382">
        <f>AV199/ 'Pile Data and Eurocode Factors'!$C$19/ 'Pile Data and Eurocode Factors'!$C$20</f>
        <v>1013.6096789644967</v>
      </c>
      <c r="AX199" s="382">
        <f t="shared" si="134"/>
        <v>1982.5582884643486</v>
      </c>
      <c r="AY199" s="382">
        <f>VLOOKUP(AM199, 'Pile Data and Eurocode Factors'!$A$34:$J$39,3, FALSE)</f>
        <v>4206.5354432903041</v>
      </c>
      <c r="AZ199" s="403">
        <f t="shared" si="135"/>
        <v>1982.5582884643486</v>
      </c>
      <c r="BA199" s="419">
        <v>750</v>
      </c>
      <c r="BB199" s="430">
        <f>PI()*BA199/1000*( Pile!$C$38- Pile!$C199)</f>
        <v>14.13716694115406</v>
      </c>
      <c r="BC199" s="382">
        <f t="shared" si="136"/>
        <v>0.44178646691106466</v>
      </c>
      <c r="BD199" s="382">
        <f t="shared" si="175"/>
        <v>1696.3080658543911</v>
      </c>
      <c r="BE199" s="382">
        <f>BB199* Pile!$S$38</f>
        <v>0</v>
      </c>
      <c r="BF199" s="382">
        <f t="shared" si="181"/>
        <v>1696.3080658543911</v>
      </c>
      <c r="BG199" s="382">
        <f>IF(BF199&gt;0,+BF199)/ 'Pile Data and Eurocode Factors'!$B$19/ 'Pile Data and Eurocode Factors'!$B$20+BG$195</f>
        <v>1211.1857618748147</v>
      </c>
      <c r="BH199" s="382">
        <f t="shared" si="188"/>
        <v>3769.3609936492217</v>
      </c>
      <c r="BI199" s="382">
        <f>BC199* Pile!$U$38</f>
        <v>0</v>
      </c>
      <c r="BJ199" s="382">
        <f t="shared" si="137"/>
        <v>3769.3609936492217</v>
      </c>
      <c r="BK199" s="382">
        <f>BJ199/ 'Pile Data and Eurocode Factors'!$C$19/ 'Pile Data and Eurocode Factors'!$C$20</f>
        <v>1583.7651233820259</v>
      </c>
      <c r="BL199" s="382">
        <f t="shared" si="138"/>
        <v>2794.9508852568406</v>
      </c>
      <c r="BM199" s="382">
        <f>VLOOKUP(BA199, 'Pile Data and Eurocode Factors'!$A$34:$J$39,3, FALSE)</f>
        <v>6572.7116301410997</v>
      </c>
      <c r="BN199" s="403">
        <f t="shared" si="139"/>
        <v>2794.9508852568406</v>
      </c>
      <c r="BO199" s="419">
        <v>900</v>
      </c>
      <c r="BP199" s="430">
        <f>PI()*BO199/1000*( Pile!$C$38- Pile!$C199)</f>
        <v>16.964600329384872</v>
      </c>
      <c r="BQ199" s="382">
        <f t="shared" si="140"/>
        <v>0.63617251235193317</v>
      </c>
      <c r="BR199" s="382">
        <f t="shared" si="176"/>
        <v>2035.5696790252694</v>
      </c>
      <c r="BS199" s="382">
        <f>BP199* Pile!$S$38</f>
        <v>0</v>
      </c>
      <c r="BT199" s="382">
        <f t="shared" si="182"/>
        <v>2035.5696790252694</v>
      </c>
      <c r="BU199" s="382">
        <f>IF(BT199&gt;0,+BT199)/ 'Pile Data and Eurocode Factors'!$B$19/ 'Pile Data and Eurocode Factors'!$B$20+BU$195</f>
        <v>1453.4229142497777</v>
      </c>
      <c r="BV199" s="382">
        <f t="shared" si="189"/>
        <v>5427.8798308548794</v>
      </c>
      <c r="BW199" s="382">
        <f>BQ199* Pile!$U$38</f>
        <v>0</v>
      </c>
      <c r="BX199" s="382">
        <f t="shared" si="141"/>
        <v>5427.8798308548794</v>
      </c>
      <c r="BY199" s="382">
        <f>BX199/ 'Pile Data and Eurocode Factors'!$C$19/ 'Pile Data and Eurocode Factors'!$C$20</f>
        <v>2280.6217776701174</v>
      </c>
      <c r="BZ199" s="382">
        <f t="shared" si="142"/>
        <v>3734.0446919198948</v>
      </c>
      <c r="CA199" s="382">
        <f>VLOOKUP(BO199, 'Pile Data and Eurocode Factors'!$A$34:$J$39,3, FALSE)</f>
        <v>9464.7047474031824</v>
      </c>
      <c r="CB199" s="403">
        <f t="shared" si="143"/>
        <v>3734.0446919198948</v>
      </c>
      <c r="CC199" s="419">
        <v>1050</v>
      </c>
      <c r="CD199" s="430">
        <f>PI()*CC199/1000*( Pile!$C$38- Pile!$C199)</f>
        <v>19.792033717615684</v>
      </c>
      <c r="CE199" s="382">
        <f t="shared" si="144"/>
        <v>0.86590147514568672</v>
      </c>
      <c r="CF199" s="382">
        <f t="shared" si="177"/>
        <v>2374.8312921961474</v>
      </c>
      <c r="CG199" s="382">
        <f>CD199* Pile!$S$38</f>
        <v>0</v>
      </c>
      <c r="CH199" s="382">
        <f t="shared" si="183"/>
        <v>2374.8312921961474</v>
      </c>
      <c r="CI199" s="382">
        <f>IF(CH199&gt;0,+CH199)/ 'Pile Data and Eurocode Factors'!$B$19/ 'Pile Data and Eurocode Factors'!$B$20+CI$195</f>
        <v>1695.6600666247405</v>
      </c>
      <c r="CJ199" s="382">
        <f t="shared" si="190"/>
        <v>7387.9475475524741</v>
      </c>
      <c r="CK199" s="382">
        <f>CE199* Pile!$U$38</f>
        <v>0</v>
      </c>
      <c r="CL199" s="382">
        <f t="shared" si="145"/>
        <v>7387.9475475524741</v>
      </c>
      <c r="CM199" s="382">
        <f>CL199/ 'Pile Data and Eurocode Factors'!$C$19/ 'Pile Data and Eurocode Factors'!$C$20</f>
        <v>3104.1796418287709</v>
      </c>
      <c r="CN199" s="382">
        <f t="shared" si="146"/>
        <v>4799.8397084535118</v>
      </c>
      <c r="CO199" s="382">
        <f>VLOOKUP(CC199, 'Pile Data and Eurocode Factors'!$A$34:$J$39,3, FALSE)</f>
        <v>12882.514795076555</v>
      </c>
      <c r="CP199" s="403">
        <f t="shared" si="147"/>
        <v>4799.8397084535118</v>
      </c>
      <c r="CQ199" s="419">
        <v>1200</v>
      </c>
      <c r="CR199" s="430">
        <f>PI()*CQ199/1000*( Pile!$C$38- Pile!$C199)</f>
        <v>22.619467105846496</v>
      </c>
      <c r="CS199" s="382">
        <f t="shared" si="148"/>
        <v>1.1309733552923256</v>
      </c>
      <c r="CT199" s="382">
        <f t="shared" si="178"/>
        <v>2714.0929053670257</v>
      </c>
      <c r="CU199" s="382">
        <f>CR199* Pile!$S$38</f>
        <v>0</v>
      </c>
      <c r="CV199" s="382">
        <f t="shared" si="184"/>
        <v>2714.0929053670257</v>
      </c>
      <c r="CW199" s="382">
        <f>IF(CV199&gt;0,+CV199)/ 'Pile Data and Eurocode Factors'!$B$19/ 'Pile Data and Eurocode Factors'!$B$20+CW$195</f>
        <v>1937.8972189997037</v>
      </c>
      <c r="CX199" s="382">
        <f t="shared" si="191"/>
        <v>9649.5641437420072</v>
      </c>
      <c r="CY199" s="382">
        <f>CS199* Pile!$U$38</f>
        <v>0</v>
      </c>
      <c r="CZ199" s="382">
        <f t="shared" si="149"/>
        <v>9649.5641437420072</v>
      </c>
      <c r="DA199" s="382">
        <f>CZ199/ 'Pile Data and Eurocode Factors'!$C$19/ 'Pile Data and Eurocode Factors'!$C$20</f>
        <v>4054.4387158579866</v>
      </c>
      <c r="DB199" s="382">
        <f t="shared" si="150"/>
        <v>5992.3359348576905</v>
      </c>
      <c r="DC199" s="382">
        <f>VLOOKUP(CQ199, 'Pile Data and Eurocode Factors'!$A$34:$J$39,3, FALSE)</f>
        <v>16826.141773161216</v>
      </c>
      <c r="DD199" s="403">
        <f t="shared" si="151"/>
        <v>5992.3359348576905</v>
      </c>
      <c r="DE199" s="420">
        <f xml:space="preserve"> Pile!$C$23- Pile!C199</f>
        <v>17.999999999999996</v>
      </c>
      <c r="DG199" s="382">
        <f t="shared" si="152"/>
        <v>1296.8669015424182</v>
      </c>
      <c r="DH199" s="382">
        <f t="shared" si="153"/>
        <v>1982.5582884643486</v>
      </c>
      <c r="DI199" s="382">
        <f t="shared" si="154"/>
        <v>2794.9508852568406</v>
      </c>
      <c r="DJ199" s="382"/>
      <c r="DK199" s="382"/>
      <c r="DL199" s="382"/>
    </row>
    <row r="200" spans="2:116" s="308" customFormat="1" ht="15">
      <c r="B200" s="400">
        <v>5</v>
      </c>
      <c r="C200" s="401">
        <f>+C199- Pile!D$38/20</f>
        <v>-13.499999999999996</v>
      </c>
      <c r="D200" s="415" t="str">
        <f>B25</f>
        <v>Medium Sand/Gravel</v>
      </c>
      <c r="E200" s="415" t="str">
        <f>F25</f>
        <v>Granular</v>
      </c>
      <c r="F200" s="401">
        <f xml:space="preserve"> Pile!$E$38*(+C199-C200)+F199</f>
        <v>356.25000000000011</v>
      </c>
      <c r="G200" s="401">
        <f>IF(C200&gt; Pile!$C$41,0,( Pile!$C$41-C200)*9.81)</f>
        <v>0</v>
      </c>
      <c r="H200" s="401">
        <f t="shared" si="122"/>
        <v>356.25000000000011</v>
      </c>
      <c r="I200" s="401">
        <f t="shared" si="192"/>
        <v>283.12500000000011</v>
      </c>
      <c r="J200" s="401">
        <f>IF(E200="Cohesive",(( Pile!$H$38- Pile!$G$38)/20)+J199,0)</f>
        <v>0</v>
      </c>
      <c r="K200" s="401">
        <f>IF(E200="Cohesive",( Pile!$G$38+ Pile!$J200)/2,0)</f>
        <v>0</v>
      </c>
      <c r="L200" s="401" t="str">
        <f>IF( Pile!I$38="",0, Pile!I$38)</f>
        <v>0</v>
      </c>
      <c r="M200" s="401" t="str">
        <f>IF( Pile!J$38="",0, Pile!J$38)</f>
        <v>0</v>
      </c>
      <c r="N200" s="401">
        <f>IF(E200="Granular", Pile!$K$38,0)</f>
        <v>26.092012099198989</v>
      </c>
      <c r="O200" s="416">
        <f>IF(AND(E200="Granular",D200&lt;&gt;"Made Ground"), Pile!$L$38,0)</f>
        <v>0.44688733902318017</v>
      </c>
      <c r="P200" s="401">
        <f>IF(OR(D200="Low Density Chalk",D200="Medium Density Chalk"), Pile!$M$38,0)</f>
        <v>0</v>
      </c>
      <c r="Q200" s="417">
        <f>IF(D200="High Density Chalk", Pile!$N$38,0)</f>
        <v>0</v>
      </c>
      <c r="R200" s="401">
        <f>IF( Pile!O$38="",0, Pile!O$38)</f>
        <v>0</v>
      </c>
      <c r="S200" s="418">
        <f t="shared" si="124"/>
        <v>126.52497786093794</v>
      </c>
      <c r="T200" s="382">
        <f xml:space="preserve"> Pile!$T$38</f>
        <v>1200</v>
      </c>
      <c r="U200" s="382">
        <f t="shared" si="125"/>
        <v>126.52497786093794</v>
      </c>
      <c r="V200" s="382">
        <f t="shared" si="126"/>
        <v>9295.2793103396434</v>
      </c>
      <c r="W200" s="382">
        <f xml:space="preserve"> Pile!$V$38</f>
        <v>15000</v>
      </c>
      <c r="X200" s="382">
        <f t="shared" si="127"/>
        <v>9295.2793103396434</v>
      </c>
      <c r="Y200" s="419">
        <v>450</v>
      </c>
      <c r="Z200" s="430">
        <f>PI()*Y200/1000*( Pile!$C$38- Pile!$C200)</f>
        <v>10.602875205865546</v>
      </c>
      <c r="AA200" s="382">
        <f t="shared" si="128"/>
        <v>0.15904312808798329</v>
      </c>
      <c r="AB200" s="382">
        <f t="shared" si="173"/>
        <v>1341.5285506844259</v>
      </c>
      <c r="AC200" s="382">
        <f>Z200* Pile!$S$38</f>
        <v>0</v>
      </c>
      <c r="AD200" s="382">
        <f t="shared" si="179"/>
        <v>1341.5285506844259</v>
      </c>
      <c r="AE200" s="382">
        <f>IF(AD200&gt;0,+AD200)/ 'Pile Data and Eurocode Factors'!$B$19/ 'Pile Data and Eurocode Factors'!$B$20+AE$195</f>
        <v>880.87512911145609</v>
      </c>
      <c r="AF200" s="382">
        <f t="shared" si="186"/>
        <v>1478.350297967929</v>
      </c>
      <c r="AG200" s="382">
        <f>AA200* Pile!$U$38</f>
        <v>0</v>
      </c>
      <c r="AH200" s="382">
        <f t="shared" si="129"/>
        <v>1478.350297967929</v>
      </c>
      <c r="AI200" s="382">
        <f>AH200/ 'Pile Data and Eurocode Factors'!$C$19/ 'Pile Data and Eurocode Factors'!$C$20</f>
        <v>621.15558738148286</v>
      </c>
      <c r="AJ200" s="382">
        <f t="shared" si="130"/>
        <v>1502.0307164929391</v>
      </c>
      <c r="AK200" s="382">
        <f>VLOOKUP(Y200, 'Pile Data and Eurocode Factors'!$A$34:$J$39,3, FALSE)</f>
        <v>2366.1761868507956</v>
      </c>
      <c r="AL200" s="403">
        <f t="shared" si="131"/>
        <v>1502.0307164929391</v>
      </c>
      <c r="AM200" s="419">
        <v>600</v>
      </c>
      <c r="AN200" s="430">
        <f>PI()*AM200/1000*( Pile!$C$38- Pile!$C200)</f>
        <v>14.137166941154062</v>
      </c>
      <c r="AO200" s="382">
        <f t="shared" si="132"/>
        <v>0.28274333882308139</v>
      </c>
      <c r="AP200" s="382">
        <f t="shared" si="174"/>
        <v>1788.7047342459014</v>
      </c>
      <c r="AQ200" s="382">
        <f>AN200* Pile!$S$38</f>
        <v>0</v>
      </c>
      <c r="AR200" s="382">
        <f t="shared" si="180"/>
        <v>1788.7047342459014</v>
      </c>
      <c r="AS200" s="382">
        <f>IF(AR200&gt;0,+AR200)/ 'Pile Data and Eurocode Factors'!$B$19/ 'Pile Data and Eurocode Factors'!$B$20+AS$195</f>
        <v>1174.5001721486083</v>
      </c>
      <c r="AT200" s="382">
        <f t="shared" si="187"/>
        <v>2628.1783074985401</v>
      </c>
      <c r="AU200" s="382">
        <f>AO200* Pile!$U$38</f>
        <v>0</v>
      </c>
      <c r="AV200" s="382">
        <f t="shared" si="133"/>
        <v>2628.1783074985401</v>
      </c>
      <c r="AW200" s="382">
        <f>AV200/ 'Pile Data and Eurocode Factors'!$C$19/ 'Pile Data and Eurocode Factors'!$C$20</f>
        <v>1104.2765997893027</v>
      </c>
      <c r="AX200" s="382">
        <f t="shared" si="134"/>
        <v>2278.7767719379108</v>
      </c>
      <c r="AY200" s="382">
        <f>VLOOKUP(AM200, 'Pile Data and Eurocode Factors'!$A$34:$J$39,3, FALSE)</f>
        <v>4206.5354432903041</v>
      </c>
      <c r="AZ200" s="403">
        <f t="shared" si="135"/>
        <v>2278.7767719379108</v>
      </c>
      <c r="BA200" s="419">
        <v>750</v>
      </c>
      <c r="BB200" s="430">
        <f>PI()*BA200/1000*( Pile!$C$38- Pile!$C200)</f>
        <v>17.67145867644258</v>
      </c>
      <c r="BC200" s="382">
        <f t="shared" si="136"/>
        <v>0.44178646691106466</v>
      </c>
      <c r="BD200" s="382">
        <f t="shared" si="175"/>
        <v>2235.880917807377</v>
      </c>
      <c r="BE200" s="382">
        <f>BB200* Pile!$S$38</f>
        <v>0</v>
      </c>
      <c r="BF200" s="382">
        <f t="shared" si="181"/>
        <v>2235.880917807377</v>
      </c>
      <c r="BG200" s="382">
        <f>IF(BF200&gt;0,+BF200)/ 'Pile Data and Eurocode Factors'!$B$19/ 'Pile Data and Eurocode Factors'!$B$20+BG$195</f>
        <v>1468.1252151857605</v>
      </c>
      <c r="BH200" s="382">
        <f t="shared" si="188"/>
        <v>4106.5286054664684</v>
      </c>
      <c r="BI200" s="382">
        <f>BC200* Pile!$U$38</f>
        <v>0</v>
      </c>
      <c r="BJ200" s="382">
        <f t="shared" si="137"/>
        <v>4106.5286054664684</v>
      </c>
      <c r="BK200" s="382">
        <f>BJ200/ 'Pile Data and Eurocode Factors'!$C$19/ 'Pile Data and Eurocode Factors'!$C$20</f>
        <v>1725.432187170785</v>
      </c>
      <c r="BL200" s="382">
        <f t="shared" si="138"/>
        <v>3193.5574023565455</v>
      </c>
      <c r="BM200" s="382">
        <f>VLOOKUP(BA200, 'Pile Data and Eurocode Factors'!$A$34:$J$39,3, FALSE)</f>
        <v>6572.7116301410997</v>
      </c>
      <c r="BN200" s="403">
        <f t="shared" si="139"/>
        <v>3193.5574023565455</v>
      </c>
      <c r="BO200" s="419">
        <v>900</v>
      </c>
      <c r="BP200" s="430">
        <f>PI()*BO200/1000*( Pile!$C$38- Pile!$C200)</f>
        <v>21.205750411731092</v>
      </c>
      <c r="BQ200" s="382">
        <f t="shared" si="140"/>
        <v>0.63617251235193317</v>
      </c>
      <c r="BR200" s="382">
        <f t="shared" si="176"/>
        <v>2683.0571013688518</v>
      </c>
      <c r="BS200" s="382">
        <f>BP200* Pile!$S$38</f>
        <v>0</v>
      </c>
      <c r="BT200" s="382">
        <f t="shared" si="182"/>
        <v>2683.0571013688518</v>
      </c>
      <c r="BU200" s="382">
        <f>IF(BT200&gt;0,+BT200)/ 'Pile Data and Eurocode Factors'!$B$19/ 'Pile Data and Eurocode Factors'!$B$20+BU$195</f>
        <v>1761.7502582229122</v>
      </c>
      <c r="BV200" s="382">
        <f t="shared" si="189"/>
        <v>5913.401191871716</v>
      </c>
      <c r="BW200" s="382">
        <f>BQ200* Pile!$U$38</f>
        <v>0</v>
      </c>
      <c r="BX200" s="382">
        <f t="shared" si="141"/>
        <v>5913.401191871716</v>
      </c>
      <c r="BY200" s="382">
        <f>BX200/ 'Pile Data and Eurocode Factors'!$C$19/ 'Pile Data and Eurocode Factors'!$C$20</f>
        <v>2484.6223495259314</v>
      </c>
      <c r="BZ200" s="382">
        <f t="shared" si="142"/>
        <v>4246.3726077488436</v>
      </c>
      <c r="CA200" s="382">
        <f>VLOOKUP(BO200, 'Pile Data and Eurocode Factors'!$A$34:$J$39,3, FALSE)</f>
        <v>9464.7047474031824</v>
      </c>
      <c r="CB200" s="403">
        <f t="shared" si="143"/>
        <v>4246.3726077488436</v>
      </c>
      <c r="CC200" s="419">
        <v>1050</v>
      </c>
      <c r="CD200" s="430">
        <f>PI()*CC200/1000*( Pile!$C$38- Pile!$C200)</f>
        <v>24.740042147019608</v>
      </c>
      <c r="CE200" s="382">
        <f t="shared" si="144"/>
        <v>0.86590147514568672</v>
      </c>
      <c r="CF200" s="382">
        <f t="shared" si="177"/>
        <v>3130.2332849303275</v>
      </c>
      <c r="CG200" s="382">
        <f>CD200* Pile!$S$38</f>
        <v>0</v>
      </c>
      <c r="CH200" s="382">
        <f t="shared" si="183"/>
        <v>3130.2332849303275</v>
      </c>
      <c r="CI200" s="382">
        <f>IF(CH200&gt;0,+CH200)/ 'Pile Data and Eurocode Factors'!$B$19/ 'Pile Data and Eurocode Factors'!$B$20+CI$195</f>
        <v>2055.3753012600646</v>
      </c>
      <c r="CJ200" s="382">
        <f t="shared" si="190"/>
        <v>8048.7960667142788</v>
      </c>
      <c r="CK200" s="382">
        <f>CE200* Pile!$U$38</f>
        <v>0</v>
      </c>
      <c r="CL200" s="382">
        <f t="shared" si="145"/>
        <v>8048.7960667142788</v>
      </c>
      <c r="CM200" s="382">
        <f>CL200/ 'Pile Data and Eurocode Factors'!$C$19/ 'Pile Data and Eurocode Factors'!$C$20</f>
        <v>3381.8470868547397</v>
      </c>
      <c r="CN200" s="382">
        <f t="shared" si="146"/>
        <v>5437.2223881148038</v>
      </c>
      <c r="CO200" s="382">
        <f>VLOOKUP(CC200, 'Pile Data and Eurocode Factors'!$A$34:$J$39,3, FALSE)</f>
        <v>12882.514795076555</v>
      </c>
      <c r="CP200" s="403">
        <f t="shared" si="147"/>
        <v>5437.2223881148038</v>
      </c>
      <c r="CQ200" s="419">
        <v>1200</v>
      </c>
      <c r="CR200" s="430">
        <f>PI()*CQ200/1000*( Pile!$C$38- Pile!$C200)</f>
        <v>28.274333882308124</v>
      </c>
      <c r="CS200" s="382">
        <f t="shared" si="148"/>
        <v>1.1309733552923256</v>
      </c>
      <c r="CT200" s="382">
        <f t="shared" si="178"/>
        <v>3577.4094684918027</v>
      </c>
      <c r="CU200" s="382">
        <f>CR200* Pile!$S$38</f>
        <v>0</v>
      </c>
      <c r="CV200" s="382">
        <f t="shared" si="184"/>
        <v>3577.4094684918027</v>
      </c>
      <c r="CW200" s="382">
        <f>IF(CV200&gt;0,+CV200)/ 'Pile Data and Eurocode Factors'!$B$19/ 'Pile Data and Eurocode Factors'!$B$20+CW$195</f>
        <v>2349.0003442972165</v>
      </c>
      <c r="CX200" s="382">
        <f t="shared" si="191"/>
        <v>10512.71322999416</v>
      </c>
      <c r="CY200" s="382">
        <f>CS200* Pile!$U$38</f>
        <v>0</v>
      </c>
      <c r="CZ200" s="382">
        <f t="shared" si="149"/>
        <v>10512.71322999416</v>
      </c>
      <c r="DA200" s="382">
        <f>CZ200/ 'Pile Data and Eurocode Factors'!$C$19/ 'Pile Data and Eurocode Factors'!$C$20</f>
        <v>4417.1063991572109</v>
      </c>
      <c r="DB200" s="382">
        <f t="shared" si="150"/>
        <v>6766.1067434544275</v>
      </c>
      <c r="DC200" s="382">
        <f>VLOOKUP(CQ200, 'Pile Data and Eurocode Factors'!$A$34:$J$39,3, FALSE)</f>
        <v>16826.141773161216</v>
      </c>
      <c r="DD200" s="403">
        <f t="shared" si="151"/>
        <v>6766.1067434544275</v>
      </c>
      <c r="DE200" s="420">
        <f xml:space="preserve"> Pile!$C$23- Pile!C200</f>
        <v>19.499999999999996</v>
      </c>
      <c r="DG200" s="382">
        <f t="shared" si="152"/>
        <v>1502.0307164929391</v>
      </c>
      <c r="DH200" s="382">
        <f t="shared" si="153"/>
        <v>2278.7767719379108</v>
      </c>
      <c r="DI200" s="382">
        <f t="shared" si="154"/>
        <v>3193.5574023565455</v>
      </c>
      <c r="DJ200" s="382"/>
      <c r="DK200" s="382"/>
      <c r="DL200" s="382"/>
    </row>
    <row r="201" spans="2:116" s="308" customFormat="1" ht="15">
      <c r="B201" s="400">
        <v>6</v>
      </c>
      <c r="C201" s="401">
        <f>+C200- Pile!D$38/20</f>
        <v>-14.999999999999996</v>
      </c>
      <c r="D201" s="415" t="str">
        <f>B25</f>
        <v>Medium Sand/Gravel</v>
      </c>
      <c r="E201" s="415" t="str">
        <f>F25</f>
        <v>Granular</v>
      </c>
      <c r="F201" s="401">
        <f xml:space="preserve"> Pile!$E$38*(+C200-C201)+F200</f>
        <v>385.50000000000011</v>
      </c>
      <c r="G201" s="401">
        <f>IF(C201&gt; Pile!$C$41,0,( Pile!$C$41-C201)*9.81)</f>
        <v>-3.4852121189032916E-14</v>
      </c>
      <c r="H201" s="401">
        <f t="shared" si="122"/>
        <v>385.50000000000017</v>
      </c>
      <c r="I201" s="401">
        <f t="shared" si="192"/>
        <v>297.75000000000011</v>
      </c>
      <c r="J201" s="401">
        <f>IF(E201="Cohesive",(( Pile!$H$38- Pile!$G$38)/20)+J200,0)</f>
        <v>0</v>
      </c>
      <c r="K201" s="401">
        <f>IF(E201="Cohesive",( Pile!$G$38+ Pile!$J201)/2,0)</f>
        <v>0</v>
      </c>
      <c r="L201" s="401" t="str">
        <f>IF( Pile!I$38="",0, Pile!I$38)</f>
        <v>0</v>
      </c>
      <c r="M201" s="401" t="str">
        <f>IF( Pile!J$38="",0, Pile!J$38)</f>
        <v>0</v>
      </c>
      <c r="N201" s="401">
        <f>IF(E201="Granular", Pile!$K$38,0)</f>
        <v>26.092012099198989</v>
      </c>
      <c r="O201" s="416">
        <f>IF(AND(E201="Granular",D201&lt;&gt;"Made Ground"), Pile!$L$38,0)</f>
        <v>0.44688733902318017</v>
      </c>
      <c r="P201" s="401">
        <f>IF(OR(D201="Low Density Chalk",D201="Medium Density Chalk"), Pile!$M$38,0)</f>
        <v>0</v>
      </c>
      <c r="Q201" s="417">
        <f>IF(D201="High Density Chalk", Pile!$N$38,0)</f>
        <v>0</v>
      </c>
      <c r="R201" s="401">
        <f>IF( Pile!O$38="",0, Pile!O$38)</f>
        <v>0</v>
      </c>
      <c r="S201" s="418">
        <f t="shared" si="124"/>
        <v>133.06070519415195</v>
      </c>
      <c r="T201" s="382">
        <f xml:space="preserve"> Pile!$T$38</f>
        <v>1200</v>
      </c>
      <c r="U201" s="382">
        <f t="shared" si="125"/>
        <v>133.06070519415195</v>
      </c>
      <c r="V201" s="382">
        <f t="shared" si="126"/>
        <v>10058.470664241215</v>
      </c>
      <c r="W201" s="382">
        <f xml:space="preserve"> Pile!$V$38</f>
        <v>15000</v>
      </c>
      <c r="X201" s="382">
        <f t="shared" si="127"/>
        <v>10058.470664241215</v>
      </c>
      <c r="Y201" s="419">
        <v>450</v>
      </c>
      <c r="Z201" s="430">
        <f>PI()*Y201/1000*( Pile!$C$38- Pile!$C201)</f>
        <v>12.723450247038658</v>
      </c>
      <c r="AA201" s="382">
        <f t="shared" si="128"/>
        <v>0.15904312808798329</v>
      </c>
      <c r="AB201" s="382">
        <f t="shared" si="173"/>
        <v>1692.9912623736707</v>
      </c>
      <c r="AC201" s="382">
        <f>Z201* Pile!$S$38</f>
        <v>0</v>
      </c>
      <c r="AD201" s="382">
        <f t="shared" si="179"/>
        <v>1692.9912623736707</v>
      </c>
      <c r="AE201" s="382">
        <f>IF(AD201&gt;0,+AD201)/ 'Pile Data and Eurocode Factors'!$B$19/ 'Pile Data and Eurocode Factors'!$B$20+AE$195</f>
        <v>1048.2383251539536</v>
      </c>
      <c r="AF201" s="382">
        <f t="shared" si="186"/>
        <v>1599.7306382221379</v>
      </c>
      <c r="AG201" s="382">
        <f>AA201* Pile!$U$38</f>
        <v>0</v>
      </c>
      <c r="AH201" s="382">
        <f t="shared" si="129"/>
        <v>1599.7306382221379</v>
      </c>
      <c r="AI201" s="382">
        <f>AH201/ 'Pile Data and Eurocode Factors'!$C$19/ 'Pile Data and Eurocode Factors'!$C$20</f>
        <v>672.15573034543615</v>
      </c>
      <c r="AJ201" s="382">
        <f t="shared" si="130"/>
        <v>1720.3940554993897</v>
      </c>
      <c r="AK201" s="382">
        <f>VLOOKUP(Y201, 'Pile Data and Eurocode Factors'!$A$34:$J$39,3, FALSE)</f>
        <v>2366.1761868507956</v>
      </c>
      <c r="AL201" s="403">
        <f t="shared" si="131"/>
        <v>1720.3940554993897</v>
      </c>
      <c r="AM201" s="419">
        <v>600</v>
      </c>
      <c r="AN201" s="430">
        <f>PI()*AM201/1000*( Pile!$C$38- Pile!$C201)</f>
        <v>16.964600329384876</v>
      </c>
      <c r="AO201" s="382">
        <f t="shared" si="132"/>
        <v>0.28274333882308139</v>
      </c>
      <c r="AP201" s="382">
        <f t="shared" si="174"/>
        <v>2257.3216831648942</v>
      </c>
      <c r="AQ201" s="382">
        <f>AN201* Pile!$S$38</f>
        <v>0</v>
      </c>
      <c r="AR201" s="382">
        <f t="shared" si="180"/>
        <v>2257.3216831648942</v>
      </c>
      <c r="AS201" s="382">
        <f>IF(AR201&gt;0,+AR201)/ 'Pile Data and Eurocode Factors'!$B$19/ 'Pile Data and Eurocode Factors'!$B$20+AS$195</f>
        <v>1397.6511002052716</v>
      </c>
      <c r="AT201" s="382">
        <f t="shared" si="187"/>
        <v>2843.9655790615784</v>
      </c>
      <c r="AU201" s="382">
        <f>AO201* Pile!$U$38</f>
        <v>0</v>
      </c>
      <c r="AV201" s="382">
        <f t="shared" si="133"/>
        <v>2843.9655790615784</v>
      </c>
      <c r="AW201" s="382">
        <f>AV201/ 'Pile Data and Eurocode Factors'!$C$19/ 'Pile Data and Eurocode Factors'!$C$20</f>
        <v>1194.9435206141086</v>
      </c>
      <c r="AX201" s="382">
        <f t="shared" si="134"/>
        <v>2592.59462081938</v>
      </c>
      <c r="AY201" s="382">
        <f>VLOOKUP(AM201, 'Pile Data and Eurocode Factors'!$A$34:$J$39,3, FALSE)</f>
        <v>4206.5354432903041</v>
      </c>
      <c r="AZ201" s="403">
        <f t="shared" si="135"/>
        <v>2592.59462081938</v>
      </c>
      <c r="BA201" s="419">
        <v>750</v>
      </c>
      <c r="BB201" s="430">
        <f>PI()*BA201/1000*( Pile!$C$38- Pile!$C201)</f>
        <v>21.205750411731096</v>
      </c>
      <c r="BC201" s="382">
        <f t="shared" si="136"/>
        <v>0.44178646691106466</v>
      </c>
      <c r="BD201" s="382">
        <f t="shared" si="175"/>
        <v>2821.6521039561176</v>
      </c>
      <c r="BE201" s="382">
        <f>BB201* Pile!$S$38</f>
        <v>0</v>
      </c>
      <c r="BF201" s="382">
        <f t="shared" si="181"/>
        <v>2821.6521039561176</v>
      </c>
      <c r="BG201" s="382">
        <f>IF(BF201&gt;0,+BF201)/ 'Pile Data and Eurocode Factors'!$B$19/ 'Pile Data and Eurocode Factors'!$B$20+BG$195</f>
        <v>1747.0638752565894</v>
      </c>
      <c r="BH201" s="382">
        <f t="shared" si="188"/>
        <v>4443.6962172837157</v>
      </c>
      <c r="BI201" s="382">
        <f>BC201* Pile!$U$38</f>
        <v>0</v>
      </c>
      <c r="BJ201" s="382">
        <f t="shared" si="137"/>
        <v>4443.6962172837157</v>
      </c>
      <c r="BK201" s="382">
        <f>BJ201/ 'Pile Data and Eurocode Factors'!$C$19/ 'Pile Data and Eurocode Factors'!$C$20</f>
        <v>1867.0992509595446</v>
      </c>
      <c r="BL201" s="382">
        <f t="shared" si="138"/>
        <v>3614.1631262161341</v>
      </c>
      <c r="BM201" s="382">
        <f>VLOOKUP(BA201, 'Pile Data and Eurocode Factors'!$A$34:$J$39,3, FALSE)</f>
        <v>6572.7116301410997</v>
      </c>
      <c r="BN201" s="403">
        <f t="shared" si="139"/>
        <v>3614.1631262161341</v>
      </c>
      <c r="BO201" s="419">
        <v>900</v>
      </c>
      <c r="BP201" s="430">
        <f>PI()*BO201/1000*( Pile!$C$38- Pile!$C201)</f>
        <v>25.446900494077315</v>
      </c>
      <c r="BQ201" s="382">
        <f t="shared" si="140"/>
        <v>0.63617251235193317</v>
      </c>
      <c r="BR201" s="382">
        <f t="shared" si="176"/>
        <v>3385.9825247473414</v>
      </c>
      <c r="BS201" s="382">
        <f>BP201* Pile!$S$38</f>
        <v>0</v>
      </c>
      <c r="BT201" s="382">
        <f t="shared" si="182"/>
        <v>3385.9825247473414</v>
      </c>
      <c r="BU201" s="382">
        <f>IF(BT201&gt;0,+BT201)/ 'Pile Data and Eurocode Factors'!$B$19/ 'Pile Data and Eurocode Factors'!$B$20+BU$195</f>
        <v>2096.4766503079072</v>
      </c>
      <c r="BV201" s="382">
        <f t="shared" si="189"/>
        <v>6398.9225528885518</v>
      </c>
      <c r="BW201" s="382">
        <f>BQ201* Pile!$U$38</f>
        <v>0</v>
      </c>
      <c r="BX201" s="382">
        <f t="shared" si="141"/>
        <v>6398.9225528885518</v>
      </c>
      <c r="BY201" s="382">
        <f>BX201/ 'Pile Data and Eurocode Factors'!$C$19/ 'Pile Data and Eurocode Factors'!$C$20</f>
        <v>2688.6229213817446</v>
      </c>
      <c r="BZ201" s="382">
        <f t="shared" si="142"/>
        <v>4785.0995716896523</v>
      </c>
      <c r="CA201" s="382">
        <f>VLOOKUP(BO201, 'Pile Data and Eurocode Factors'!$A$34:$J$39,3, FALSE)</f>
        <v>9464.7047474031824</v>
      </c>
      <c r="CB201" s="403">
        <f t="shared" si="143"/>
        <v>4785.0995716896523</v>
      </c>
      <c r="CC201" s="419">
        <v>1050</v>
      </c>
      <c r="CD201" s="430">
        <f>PI()*CC201/1000*( Pile!$C$38- Pile!$C201)</f>
        <v>29.688050576423532</v>
      </c>
      <c r="CE201" s="382">
        <f t="shared" si="144"/>
        <v>0.86590147514568672</v>
      </c>
      <c r="CF201" s="382">
        <f t="shared" si="177"/>
        <v>3950.3129455385642</v>
      </c>
      <c r="CG201" s="382">
        <f>CD201* Pile!$S$38</f>
        <v>0</v>
      </c>
      <c r="CH201" s="382">
        <f t="shared" si="183"/>
        <v>3950.3129455385642</v>
      </c>
      <c r="CI201" s="382">
        <f>IF(CH201&gt;0,+CH201)/ 'Pile Data and Eurocode Factors'!$B$19/ 'Pile Data and Eurocode Factors'!$B$20+CI$195</f>
        <v>2445.8894253592248</v>
      </c>
      <c r="CJ201" s="382">
        <f t="shared" si="190"/>
        <v>8709.6445858760835</v>
      </c>
      <c r="CK201" s="382">
        <f>CE201* Pile!$U$38</f>
        <v>0</v>
      </c>
      <c r="CL201" s="382">
        <f t="shared" si="145"/>
        <v>8709.6445858760835</v>
      </c>
      <c r="CM201" s="382">
        <f>CL201/ 'Pile Data and Eurocode Factors'!$C$19/ 'Pile Data and Eurocode Factors'!$C$20</f>
        <v>3659.5145318807076</v>
      </c>
      <c r="CN201" s="382">
        <f t="shared" si="146"/>
        <v>6105.4039572399324</v>
      </c>
      <c r="CO201" s="382">
        <f>VLOOKUP(CC201, 'Pile Data and Eurocode Factors'!$A$34:$J$39,3, FALSE)</f>
        <v>12882.514795076555</v>
      </c>
      <c r="CP201" s="403">
        <f t="shared" si="147"/>
        <v>6105.4039572399324</v>
      </c>
      <c r="CQ201" s="419">
        <v>1200</v>
      </c>
      <c r="CR201" s="430">
        <f>PI()*CQ201/1000*( Pile!$C$38- Pile!$C201)</f>
        <v>33.929200658769751</v>
      </c>
      <c r="CS201" s="382">
        <f t="shared" si="148"/>
        <v>1.1309733552923256</v>
      </c>
      <c r="CT201" s="382">
        <f t="shared" si="178"/>
        <v>4514.6433663297885</v>
      </c>
      <c r="CU201" s="382">
        <f>CR201* Pile!$S$38</f>
        <v>0</v>
      </c>
      <c r="CV201" s="382">
        <f t="shared" si="184"/>
        <v>4514.6433663297885</v>
      </c>
      <c r="CW201" s="382">
        <f>IF(CV201&gt;0,+CV201)/ 'Pile Data and Eurocode Factors'!$B$19/ 'Pile Data and Eurocode Factors'!$B$20+CW$195</f>
        <v>2795.3022004105433</v>
      </c>
      <c r="CX201" s="382">
        <f t="shared" si="191"/>
        <v>11375.862316246314</v>
      </c>
      <c r="CY201" s="382">
        <f>CS201* Pile!$U$38</f>
        <v>0</v>
      </c>
      <c r="CZ201" s="382">
        <f t="shared" si="149"/>
        <v>11375.862316246314</v>
      </c>
      <c r="DA201" s="382">
        <f>CZ201/ 'Pile Data and Eurocode Factors'!$C$19/ 'Pile Data and Eurocode Factors'!$C$20</f>
        <v>4779.7740824564344</v>
      </c>
      <c r="DB201" s="382">
        <f t="shared" si="150"/>
        <v>7575.0762828669776</v>
      </c>
      <c r="DC201" s="382">
        <f>VLOOKUP(CQ201, 'Pile Data and Eurocode Factors'!$A$34:$J$39,3, FALSE)</f>
        <v>16826.141773161216</v>
      </c>
      <c r="DD201" s="403">
        <f t="shared" si="151"/>
        <v>7575.0762828669776</v>
      </c>
      <c r="DE201" s="420">
        <f xml:space="preserve"> Pile!$C$23- Pile!C201</f>
        <v>20.999999999999996</v>
      </c>
      <c r="DG201" s="382">
        <f t="shared" si="152"/>
        <v>1720.3940554993897</v>
      </c>
      <c r="DH201" s="382">
        <f t="shared" si="153"/>
        <v>2592.59462081938</v>
      </c>
      <c r="DI201" s="382">
        <f t="shared" si="154"/>
        <v>3614.1631262161341</v>
      </c>
      <c r="DJ201" s="382"/>
      <c r="DK201" s="382"/>
      <c r="DL201" s="382"/>
    </row>
    <row r="202" spans="2:116" s="308" customFormat="1" ht="15">
      <c r="B202" s="400">
        <v>7</v>
      </c>
      <c r="C202" s="401">
        <f>+C201- Pile!D$38/20</f>
        <v>-16.499999999999996</v>
      </c>
      <c r="D202" s="415" t="str">
        <f>B25</f>
        <v>Medium Sand/Gravel</v>
      </c>
      <c r="E202" s="415" t="str">
        <f>F25</f>
        <v>Granular</v>
      </c>
      <c r="F202" s="401">
        <f xml:space="preserve"> Pile!$E$38*(+C201-C202)+F201</f>
        <v>414.75000000000011</v>
      </c>
      <c r="G202" s="401">
        <f>IF(C202&gt; Pile!$C$41,0,( Pile!$C$41-C202)*9.81)</f>
        <v>14.714999999999966</v>
      </c>
      <c r="H202" s="401">
        <f t="shared" si="122"/>
        <v>400.03500000000014</v>
      </c>
      <c r="I202" s="401">
        <f t="shared" si="192"/>
        <v>305.01750000000015</v>
      </c>
      <c r="J202" s="401">
        <f>IF(E202="Cohesive",(( Pile!$H$38- Pile!$G$38)/20)+J201,0)</f>
        <v>0</v>
      </c>
      <c r="K202" s="401">
        <f>IF(E202="Cohesive",( Pile!$G$38+ Pile!$J202)/2,0)</f>
        <v>0</v>
      </c>
      <c r="L202" s="401" t="str">
        <f>IF( Pile!I$38="",0, Pile!I$38)</f>
        <v>0</v>
      </c>
      <c r="M202" s="401" t="str">
        <f>IF( Pile!J$38="",0, Pile!J$38)</f>
        <v>0</v>
      </c>
      <c r="N202" s="401">
        <f>IF(E202="Granular", Pile!$K$38,0)</f>
        <v>26.092012099198989</v>
      </c>
      <c r="O202" s="416">
        <f>IF(AND(E202="Granular",D202&lt;&gt;"Made Ground"), Pile!$L$38,0)</f>
        <v>0.44688733902318017</v>
      </c>
      <c r="P202" s="401">
        <f>IF(OR(D202="Low Density Chalk",D202="Medium Density Chalk"), Pile!$M$38,0)</f>
        <v>0</v>
      </c>
      <c r="Q202" s="417">
        <f>IF(D202="High Density Chalk", Pile!$N$38,0)</f>
        <v>0</v>
      </c>
      <c r="R202" s="401">
        <f>IF( Pile!O$38="",0, Pile!O$38)</f>
        <v>0</v>
      </c>
      <c r="S202" s="418">
        <f t="shared" si="124"/>
        <v>136.30845893050292</v>
      </c>
      <c r="T202" s="382">
        <f xml:space="preserve"> Pile!$T$38</f>
        <v>1200</v>
      </c>
      <c r="U202" s="382">
        <f t="shared" si="125"/>
        <v>136.30845893050292</v>
      </c>
      <c r="V202" s="382">
        <f t="shared" si="126"/>
        <v>10437.71806010307</v>
      </c>
      <c r="W202" s="382">
        <f xml:space="preserve"> Pile!$V$38</f>
        <v>15000</v>
      </c>
      <c r="X202" s="382">
        <f t="shared" si="127"/>
        <v>10437.71806010307</v>
      </c>
      <c r="Y202" s="419">
        <v>450</v>
      </c>
      <c r="Z202" s="430">
        <f>PI()*Y202/1000*( Pile!$C$38- Pile!$C202)</f>
        <v>14.844025288211768</v>
      </c>
      <c r="AA202" s="382">
        <f t="shared" si="128"/>
        <v>0.15904312808798329</v>
      </c>
      <c r="AB202" s="382">
        <f t="shared" si="173"/>
        <v>2023.3662113615605</v>
      </c>
      <c r="AC202" s="382">
        <f>Z202* Pile!$S$38</f>
        <v>0</v>
      </c>
      <c r="AD202" s="382">
        <f t="shared" si="179"/>
        <v>2023.3662113615605</v>
      </c>
      <c r="AE202" s="382">
        <f>IF(AD202&gt;0,+AD202)/ 'Pile Data and Eurocode Factors'!$B$19/ 'Pile Data and Eurocode Factors'!$B$20+AE$195</f>
        <v>1205.5597294339013</v>
      </c>
      <c r="AF202" s="382">
        <f t="shared" si="186"/>
        <v>1660.0473303792292</v>
      </c>
      <c r="AG202" s="382">
        <f>AA202* Pile!$U$38</f>
        <v>0</v>
      </c>
      <c r="AH202" s="382">
        <f t="shared" si="129"/>
        <v>1660.0473303792292</v>
      </c>
      <c r="AI202" s="382">
        <f>AH202/ 'Pile Data and Eurocode Factors'!$C$19/ 'Pile Data and Eurocode Factors'!$C$20</f>
        <v>697.4988783106005</v>
      </c>
      <c r="AJ202" s="382">
        <f t="shared" si="130"/>
        <v>1903.0586077445018</v>
      </c>
      <c r="AK202" s="382">
        <f>VLOOKUP(Y202, 'Pile Data and Eurocode Factors'!$A$34:$J$39,3, FALSE)</f>
        <v>2366.1761868507956</v>
      </c>
      <c r="AL202" s="403">
        <f t="shared" si="131"/>
        <v>1903.0586077445018</v>
      </c>
      <c r="AM202" s="419">
        <v>600</v>
      </c>
      <c r="AN202" s="430">
        <f>PI()*AM202/1000*( Pile!$C$38- Pile!$C202)</f>
        <v>19.792033717615691</v>
      </c>
      <c r="AO202" s="382">
        <f t="shared" si="132"/>
        <v>0.28274333882308139</v>
      </c>
      <c r="AP202" s="382">
        <f t="shared" si="174"/>
        <v>2697.8216151487477</v>
      </c>
      <c r="AQ202" s="382">
        <f>AN202* Pile!$S$38</f>
        <v>0</v>
      </c>
      <c r="AR202" s="382">
        <f t="shared" si="180"/>
        <v>2697.8216151487477</v>
      </c>
      <c r="AS202" s="382">
        <f>IF(AR202&gt;0,+AR202)/ 'Pile Data and Eurocode Factors'!$B$19/ 'Pile Data and Eurocode Factors'!$B$20+AS$195</f>
        <v>1607.4129725785351</v>
      </c>
      <c r="AT202" s="382">
        <f t="shared" si="187"/>
        <v>2951.1952540075181</v>
      </c>
      <c r="AU202" s="382">
        <f>AO202* Pile!$U$38</f>
        <v>0</v>
      </c>
      <c r="AV202" s="382">
        <f t="shared" si="133"/>
        <v>2951.1952540075181</v>
      </c>
      <c r="AW202" s="382">
        <f>AV202/ 'Pile Data and Eurocode Factors'!$C$19/ 'Pile Data and Eurocode Factors'!$C$20</f>
        <v>1239.9980058855119</v>
      </c>
      <c r="AX202" s="382">
        <f t="shared" si="134"/>
        <v>2847.4109784640468</v>
      </c>
      <c r="AY202" s="382">
        <f>VLOOKUP(AM202, 'Pile Data and Eurocode Factors'!$A$34:$J$39,3, FALSE)</f>
        <v>4206.5354432903041</v>
      </c>
      <c r="AZ202" s="403">
        <f t="shared" si="135"/>
        <v>2847.4109784640468</v>
      </c>
      <c r="BA202" s="419">
        <v>750</v>
      </c>
      <c r="BB202" s="430">
        <f>PI()*BA202/1000*( Pile!$C$38- Pile!$C202)</f>
        <v>24.740042147019611</v>
      </c>
      <c r="BC202" s="382">
        <f t="shared" si="136"/>
        <v>0.44178646691106466</v>
      </c>
      <c r="BD202" s="382">
        <f t="shared" si="175"/>
        <v>3372.2770189359339</v>
      </c>
      <c r="BE202" s="382">
        <f>BB202* Pile!$S$38</f>
        <v>0</v>
      </c>
      <c r="BF202" s="382">
        <f t="shared" si="181"/>
        <v>3372.2770189359339</v>
      </c>
      <c r="BG202" s="382">
        <f>IF(BF202&gt;0,+BF202)/ 'Pile Data and Eurocode Factors'!$B$19/ 'Pile Data and Eurocode Factors'!$B$20+BG$195</f>
        <v>2009.2662157231687</v>
      </c>
      <c r="BH202" s="382">
        <f t="shared" si="188"/>
        <v>4611.2425843867468</v>
      </c>
      <c r="BI202" s="382">
        <f>BC202* Pile!$U$38</f>
        <v>0</v>
      </c>
      <c r="BJ202" s="382">
        <f t="shared" si="137"/>
        <v>4611.2425843867468</v>
      </c>
      <c r="BK202" s="382">
        <f>BJ202/ 'Pile Data and Eurocode Factors'!$C$19/ 'Pile Data and Eurocode Factors'!$C$20</f>
        <v>1937.4968841961124</v>
      </c>
      <c r="BL202" s="382">
        <f t="shared" si="138"/>
        <v>3946.7630999192811</v>
      </c>
      <c r="BM202" s="382">
        <f>VLOOKUP(BA202, 'Pile Data and Eurocode Factors'!$A$34:$J$39,3, FALSE)</f>
        <v>6572.7116301410997</v>
      </c>
      <c r="BN202" s="403">
        <f t="shared" si="139"/>
        <v>3946.7630999192811</v>
      </c>
      <c r="BO202" s="419">
        <v>900</v>
      </c>
      <c r="BP202" s="430">
        <f>PI()*BO202/1000*( Pile!$C$38- Pile!$C202)</f>
        <v>29.688050576423535</v>
      </c>
      <c r="BQ202" s="382">
        <f t="shared" si="140"/>
        <v>0.63617251235193317</v>
      </c>
      <c r="BR202" s="382">
        <f t="shared" si="176"/>
        <v>4046.7324227231211</v>
      </c>
      <c r="BS202" s="382">
        <f>BP202* Pile!$S$38</f>
        <v>0</v>
      </c>
      <c r="BT202" s="382">
        <f t="shared" si="182"/>
        <v>4046.7324227231211</v>
      </c>
      <c r="BU202" s="382">
        <f>IF(BT202&gt;0,+BT202)/ 'Pile Data and Eurocode Factors'!$B$19/ 'Pile Data and Eurocode Factors'!$B$20+BU$195</f>
        <v>2411.1194588678027</v>
      </c>
      <c r="BV202" s="382">
        <f t="shared" si="189"/>
        <v>6640.1893215169166</v>
      </c>
      <c r="BW202" s="382">
        <f>BQ202* Pile!$U$38</f>
        <v>0</v>
      </c>
      <c r="BX202" s="382">
        <f t="shared" si="141"/>
        <v>6640.1893215169166</v>
      </c>
      <c r="BY202" s="382">
        <f>BX202/ 'Pile Data and Eurocode Factors'!$C$19/ 'Pile Data and Eurocode Factors'!$C$20</f>
        <v>2789.995513242402</v>
      </c>
      <c r="BZ202" s="382">
        <f t="shared" si="142"/>
        <v>5201.1149721102047</v>
      </c>
      <c r="CA202" s="382">
        <f>VLOOKUP(BO202, 'Pile Data and Eurocode Factors'!$A$34:$J$39,3, FALSE)</f>
        <v>9464.7047474031824</v>
      </c>
      <c r="CB202" s="403">
        <f t="shared" si="143"/>
        <v>5201.1149721102047</v>
      </c>
      <c r="CC202" s="419">
        <v>1050</v>
      </c>
      <c r="CD202" s="430">
        <f>PI()*CC202/1000*( Pile!$C$38- Pile!$C202)</f>
        <v>34.636059005827455</v>
      </c>
      <c r="CE202" s="382">
        <f t="shared" si="144"/>
        <v>0.86590147514568672</v>
      </c>
      <c r="CF202" s="382">
        <f t="shared" si="177"/>
        <v>4721.1878265103078</v>
      </c>
      <c r="CG202" s="382">
        <f>CD202* Pile!$S$38</f>
        <v>0</v>
      </c>
      <c r="CH202" s="382">
        <f t="shared" si="183"/>
        <v>4721.1878265103078</v>
      </c>
      <c r="CI202" s="382">
        <f>IF(CH202&gt;0,+CH202)/ 'Pile Data and Eurocode Factors'!$B$19/ 'Pile Data and Eurocode Factors'!$B$20+CI$195</f>
        <v>2812.9727020124365</v>
      </c>
      <c r="CJ202" s="382">
        <f t="shared" si="190"/>
        <v>9038.0354653980248</v>
      </c>
      <c r="CK202" s="382">
        <f>CE202* Pile!$U$38</f>
        <v>0</v>
      </c>
      <c r="CL202" s="382">
        <f t="shared" si="145"/>
        <v>9038.0354653980248</v>
      </c>
      <c r="CM202" s="382">
        <f>CL202/ 'Pile Data and Eurocode Factors'!$C$19/ 'Pile Data and Eurocode Factors'!$C$20</f>
        <v>3797.4938930243807</v>
      </c>
      <c r="CN202" s="382">
        <f t="shared" si="146"/>
        <v>6610.4665950368171</v>
      </c>
      <c r="CO202" s="382">
        <f>VLOOKUP(CC202, 'Pile Data and Eurocode Factors'!$A$34:$J$39,3, FALSE)</f>
        <v>12882.514795076555</v>
      </c>
      <c r="CP202" s="403">
        <f t="shared" si="147"/>
        <v>6610.4665950368171</v>
      </c>
      <c r="CQ202" s="419">
        <v>1200</v>
      </c>
      <c r="CR202" s="430">
        <f>PI()*CQ202/1000*( Pile!$C$38- Pile!$C202)</f>
        <v>39.584067435231383</v>
      </c>
      <c r="CS202" s="382">
        <f t="shared" si="148"/>
        <v>1.1309733552923256</v>
      </c>
      <c r="CT202" s="382">
        <f t="shared" si="178"/>
        <v>5395.6432302974954</v>
      </c>
      <c r="CU202" s="382">
        <f>CR202* Pile!$S$38</f>
        <v>0</v>
      </c>
      <c r="CV202" s="382">
        <f t="shared" si="184"/>
        <v>5395.6432302974954</v>
      </c>
      <c r="CW202" s="382">
        <f>IF(CV202&gt;0,+CV202)/ 'Pile Data and Eurocode Factors'!$B$19/ 'Pile Data and Eurocode Factors'!$B$20+CW$195</f>
        <v>3214.8259451570702</v>
      </c>
      <c r="CX202" s="382">
        <f t="shared" si="191"/>
        <v>11804.781016030072</v>
      </c>
      <c r="CY202" s="382">
        <f>CS202* Pile!$U$38</f>
        <v>0</v>
      </c>
      <c r="CZ202" s="382">
        <f t="shared" si="149"/>
        <v>11804.781016030072</v>
      </c>
      <c r="DA202" s="382">
        <f>CZ202/ 'Pile Data and Eurocode Factors'!$C$19/ 'Pile Data and Eurocode Factors'!$C$20</f>
        <v>4959.9920235420477</v>
      </c>
      <c r="DB202" s="382">
        <f t="shared" si="150"/>
        <v>8174.817968699118</v>
      </c>
      <c r="DC202" s="382">
        <f>VLOOKUP(CQ202, 'Pile Data and Eurocode Factors'!$A$34:$J$39,3, FALSE)</f>
        <v>16826.141773161216</v>
      </c>
      <c r="DD202" s="403">
        <f t="shared" si="151"/>
        <v>8174.817968699118</v>
      </c>
      <c r="DE202" s="420">
        <f xml:space="preserve"> Pile!$C$23- Pile!C202</f>
        <v>22.499999999999996</v>
      </c>
      <c r="DG202" s="382">
        <f t="shared" si="152"/>
        <v>1903.0586077445018</v>
      </c>
      <c r="DH202" s="382">
        <f t="shared" si="153"/>
        <v>2847.4109784640468</v>
      </c>
      <c r="DI202" s="382">
        <f t="shared" si="154"/>
        <v>3946.7630999192811</v>
      </c>
      <c r="DJ202" s="382"/>
      <c r="DK202" s="382"/>
      <c r="DL202" s="382"/>
    </row>
    <row r="203" spans="2:116" s="308" customFormat="1" ht="15">
      <c r="B203" s="400">
        <v>8</v>
      </c>
      <c r="C203" s="401">
        <f>+C202- Pile!D$38/20</f>
        <v>-17.999999999999996</v>
      </c>
      <c r="D203" s="415" t="str">
        <f>B25</f>
        <v>Medium Sand/Gravel</v>
      </c>
      <c r="E203" s="415" t="str">
        <f>F25</f>
        <v>Granular</v>
      </c>
      <c r="F203" s="401">
        <f xml:space="preserve"> Pile!$E$38*(+C202-C203)+F202</f>
        <v>444.00000000000011</v>
      </c>
      <c r="G203" s="401">
        <f>IF(C203&gt; Pile!$C$41,0,( Pile!$C$41-C203)*9.81)</f>
        <v>29.429999999999968</v>
      </c>
      <c r="H203" s="401">
        <f t="shared" si="122"/>
        <v>414.57000000000016</v>
      </c>
      <c r="I203" s="401">
        <f t="shared" si="192"/>
        <v>312.28500000000014</v>
      </c>
      <c r="J203" s="401">
        <f>IF(E203="Cohesive",(( Pile!$H$38- Pile!$G$38)/20)+J202,0)</f>
        <v>0</v>
      </c>
      <c r="K203" s="401">
        <f>IF(E203="Cohesive",( Pile!$G$38+ Pile!$J203)/2,0)</f>
        <v>0</v>
      </c>
      <c r="L203" s="401" t="str">
        <f>IF( Pile!I$38="",0, Pile!I$38)</f>
        <v>0</v>
      </c>
      <c r="M203" s="401" t="str">
        <f>IF( Pile!J$38="",0, Pile!J$38)</f>
        <v>0</v>
      </c>
      <c r="N203" s="401">
        <f>IF(E203="Granular", Pile!$K$38,0)</f>
        <v>26.092012099198989</v>
      </c>
      <c r="O203" s="416">
        <f>IF(AND(E203="Granular",D203&lt;&gt;"Made Ground"), Pile!$L$38,0)</f>
        <v>0.44688733902318017</v>
      </c>
      <c r="P203" s="401">
        <f>IF(OR(D203="Low Density Chalk",D203="Medium Density Chalk"), Pile!$M$38,0)</f>
        <v>0</v>
      </c>
      <c r="Q203" s="417">
        <f>IF(D203="High Density Chalk", Pile!$N$38,0)</f>
        <v>0</v>
      </c>
      <c r="R203" s="401">
        <f>IF( Pile!O$38="",0, Pile!O$38)</f>
        <v>0</v>
      </c>
      <c r="S203" s="418">
        <f t="shared" si="124"/>
        <v>139.5562126668539</v>
      </c>
      <c r="T203" s="382">
        <f xml:space="preserve"> Pile!$T$38</f>
        <v>1200</v>
      </c>
      <c r="U203" s="382">
        <f t="shared" si="125"/>
        <v>139.5562126668539</v>
      </c>
      <c r="V203" s="382">
        <f t="shared" si="126"/>
        <v>10816.96545596493</v>
      </c>
      <c r="W203" s="382">
        <f xml:space="preserve"> Pile!$V$38</f>
        <v>15000</v>
      </c>
      <c r="X203" s="382">
        <f t="shared" si="127"/>
        <v>10816.96545596493</v>
      </c>
      <c r="Y203" s="419">
        <v>450</v>
      </c>
      <c r="Z203" s="430">
        <f>PI()*Y203/1000*( Pile!$C$38- Pile!$C203)</f>
        <v>16.964600329384879</v>
      </c>
      <c r="AA203" s="382">
        <f t="shared" si="128"/>
        <v>0.15904312808798329</v>
      </c>
      <c r="AB203" s="382">
        <f t="shared" si="173"/>
        <v>2367.5153713758159</v>
      </c>
      <c r="AC203" s="382">
        <f>Z203* Pile!$S$38</f>
        <v>0</v>
      </c>
      <c r="AD203" s="382">
        <f t="shared" si="179"/>
        <v>2367.5153713758159</v>
      </c>
      <c r="AE203" s="382">
        <f>IF(AD203&gt;0,+AD203)/ 'Pile Data and Eurocode Factors'!$B$19/ 'Pile Data and Eurocode Factors'!$B$20+AE$195</f>
        <v>1369.4402818216417</v>
      </c>
      <c r="AF203" s="382">
        <f t="shared" si="186"/>
        <v>1720.364022536321</v>
      </c>
      <c r="AG203" s="382">
        <f>AA203* Pile!$U$38</f>
        <v>0</v>
      </c>
      <c r="AH203" s="382">
        <f t="shared" si="129"/>
        <v>1720.364022536321</v>
      </c>
      <c r="AI203" s="382">
        <f>AH203/ 'Pile Data and Eurocode Factors'!$C$19/ 'Pile Data and Eurocode Factors'!$C$20</f>
        <v>722.84202627576519</v>
      </c>
      <c r="AJ203" s="382">
        <f t="shared" si="130"/>
        <v>2092.2823080974067</v>
      </c>
      <c r="AK203" s="382">
        <f>VLOOKUP(Y203, 'Pile Data and Eurocode Factors'!$A$34:$J$39,3, FALSE)</f>
        <v>2366.1761868507956</v>
      </c>
      <c r="AL203" s="403">
        <f t="shared" si="131"/>
        <v>2092.2823080974067</v>
      </c>
      <c r="AM203" s="419">
        <v>600</v>
      </c>
      <c r="AN203" s="430">
        <f>PI()*AM203/1000*( Pile!$C$38- Pile!$C203)</f>
        <v>22.619467105846503</v>
      </c>
      <c r="AO203" s="382">
        <f t="shared" si="132"/>
        <v>0.28274333882308139</v>
      </c>
      <c r="AP203" s="382">
        <f t="shared" si="174"/>
        <v>3156.6871618344207</v>
      </c>
      <c r="AQ203" s="382">
        <f>AN203* Pile!$S$38</f>
        <v>0</v>
      </c>
      <c r="AR203" s="382">
        <f t="shared" si="180"/>
        <v>3156.6871618344207</v>
      </c>
      <c r="AS203" s="382">
        <f>IF(AR203&gt;0,+AR203)/ 'Pile Data and Eurocode Factors'!$B$19/ 'Pile Data and Eurocode Factors'!$B$20+AS$195</f>
        <v>1825.920375762189</v>
      </c>
      <c r="AT203" s="382">
        <f t="shared" si="187"/>
        <v>3058.4249289534591</v>
      </c>
      <c r="AU203" s="382">
        <f>AO203* Pile!$U$38</f>
        <v>0</v>
      </c>
      <c r="AV203" s="382">
        <f t="shared" si="133"/>
        <v>3058.4249289534591</v>
      </c>
      <c r="AW203" s="382">
        <f>AV203/ 'Pile Data and Eurocode Factors'!$C$19/ 'Pile Data and Eurocode Factors'!$C$20</f>
        <v>1285.0524911569157</v>
      </c>
      <c r="AX203" s="382">
        <f t="shared" si="134"/>
        <v>3110.9728669191045</v>
      </c>
      <c r="AY203" s="382">
        <f>VLOOKUP(AM203, 'Pile Data and Eurocode Factors'!$A$34:$J$39,3, FALSE)</f>
        <v>4206.5354432903041</v>
      </c>
      <c r="AZ203" s="403">
        <f t="shared" si="135"/>
        <v>3110.9728669191045</v>
      </c>
      <c r="BA203" s="419">
        <v>750</v>
      </c>
      <c r="BB203" s="430">
        <f>PI()*BA203/1000*( Pile!$C$38- Pile!$C203)</f>
        <v>28.274333882308131</v>
      </c>
      <c r="BC203" s="382">
        <f t="shared" si="136"/>
        <v>0.44178646691106466</v>
      </c>
      <c r="BD203" s="382">
        <f t="shared" si="175"/>
        <v>3945.8589522930261</v>
      </c>
      <c r="BE203" s="382">
        <f>BB203* Pile!$S$38</f>
        <v>0</v>
      </c>
      <c r="BF203" s="382">
        <f t="shared" si="181"/>
        <v>3945.8589522930261</v>
      </c>
      <c r="BG203" s="382">
        <f>IF(BF203&gt;0,+BF203)/ 'Pile Data and Eurocode Factors'!$B$19/ 'Pile Data and Eurocode Factors'!$B$20+BG$195</f>
        <v>2282.4004697027362</v>
      </c>
      <c r="BH203" s="382">
        <f t="shared" si="188"/>
        <v>4778.7889514897797</v>
      </c>
      <c r="BI203" s="382">
        <f>BC203* Pile!$U$38</f>
        <v>0</v>
      </c>
      <c r="BJ203" s="382">
        <f t="shared" si="137"/>
        <v>4778.7889514897797</v>
      </c>
      <c r="BK203" s="382">
        <f>BJ203/ 'Pile Data and Eurocode Factors'!$C$19/ 'Pile Data and Eurocode Factors'!$C$20</f>
        <v>2007.8945174326807</v>
      </c>
      <c r="BL203" s="382">
        <f t="shared" si="138"/>
        <v>4290.2949871354167</v>
      </c>
      <c r="BM203" s="382">
        <f>VLOOKUP(BA203, 'Pile Data and Eurocode Factors'!$A$34:$J$39,3, FALSE)</f>
        <v>6572.7116301410997</v>
      </c>
      <c r="BN203" s="403">
        <f t="shared" si="139"/>
        <v>4290.2949871354167</v>
      </c>
      <c r="BO203" s="419">
        <v>900</v>
      </c>
      <c r="BP203" s="430">
        <f>PI()*BO203/1000*( Pile!$C$38- Pile!$C203)</f>
        <v>33.929200658769759</v>
      </c>
      <c r="BQ203" s="382">
        <f t="shared" si="140"/>
        <v>0.63617251235193317</v>
      </c>
      <c r="BR203" s="382">
        <f t="shared" si="176"/>
        <v>4735.0307427516318</v>
      </c>
      <c r="BS203" s="382">
        <f>BP203* Pile!$S$38</f>
        <v>0</v>
      </c>
      <c r="BT203" s="382">
        <f t="shared" si="182"/>
        <v>4735.0307427516318</v>
      </c>
      <c r="BU203" s="382">
        <f>IF(BT203&gt;0,+BT203)/ 'Pile Data and Eurocode Factors'!$B$19/ 'Pile Data and Eurocode Factors'!$B$20+BU$195</f>
        <v>2738.8805636432835</v>
      </c>
      <c r="BV203" s="382">
        <f t="shared" si="189"/>
        <v>6881.4560901452842</v>
      </c>
      <c r="BW203" s="382">
        <f>BQ203* Pile!$U$38</f>
        <v>0</v>
      </c>
      <c r="BX203" s="382">
        <f t="shared" si="141"/>
        <v>6881.4560901452842</v>
      </c>
      <c r="BY203" s="382">
        <f>BX203/ 'Pile Data and Eurocode Factors'!$C$19/ 'Pile Data and Eurocode Factors'!$C$20</f>
        <v>2891.3681051030608</v>
      </c>
      <c r="BZ203" s="382">
        <f t="shared" si="142"/>
        <v>5630.2486687463443</v>
      </c>
      <c r="CA203" s="382">
        <f>VLOOKUP(BO203, 'Pile Data and Eurocode Factors'!$A$34:$J$39,3, FALSE)</f>
        <v>9464.7047474031824</v>
      </c>
      <c r="CB203" s="403">
        <f t="shared" si="143"/>
        <v>5630.2486687463443</v>
      </c>
      <c r="CC203" s="419">
        <v>1050</v>
      </c>
      <c r="CD203" s="430">
        <f>PI()*CC203/1000*( Pile!$C$38- Pile!$C203)</f>
        <v>39.584067435231383</v>
      </c>
      <c r="CE203" s="382">
        <f t="shared" si="144"/>
        <v>0.86590147514568672</v>
      </c>
      <c r="CF203" s="382">
        <f t="shared" si="177"/>
        <v>5524.2025332102367</v>
      </c>
      <c r="CG203" s="382">
        <f>CD203* Pile!$S$38</f>
        <v>0</v>
      </c>
      <c r="CH203" s="382">
        <f t="shared" si="183"/>
        <v>5524.2025332102367</v>
      </c>
      <c r="CI203" s="382">
        <f>IF(CH203&gt;0,+CH203)/ 'Pile Data and Eurocode Factors'!$B$19/ 'Pile Data and Eurocode Factors'!$B$20+CI$195</f>
        <v>3195.3606575838312</v>
      </c>
      <c r="CJ203" s="382">
        <f t="shared" si="190"/>
        <v>9366.426344919968</v>
      </c>
      <c r="CK203" s="382">
        <f>CE203* Pile!$U$38</f>
        <v>0</v>
      </c>
      <c r="CL203" s="382">
        <f t="shared" si="145"/>
        <v>9366.426344919968</v>
      </c>
      <c r="CM203" s="382">
        <f>CL203/ 'Pile Data and Eurocode Factors'!$C$19/ 'Pile Data and Eurocode Factors'!$C$20</f>
        <v>3935.4732541680542</v>
      </c>
      <c r="CN203" s="382">
        <f t="shared" si="146"/>
        <v>7130.8339117518854</v>
      </c>
      <c r="CO203" s="382">
        <f>VLOOKUP(CC203, 'Pile Data and Eurocode Factors'!$A$34:$J$39,3, FALSE)</f>
        <v>12882.514795076555</v>
      </c>
      <c r="CP203" s="403">
        <f t="shared" si="147"/>
        <v>7130.8339117518854</v>
      </c>
      <c r="CQ203" s="419">
        <v>1200</v>
      </c>
      <c r="CR203" s="430">
        <f>PI()*CQ203/1000*( Pile!$C$38- Pile!$C203)</f>
        <v>45.238934211693007</v>
      </c>
      <c r="CS203" s="382">
        <f t="shared" si="148"/>
        <v>1.1309733552923256</v>
      </c>
      <c r="CT203" s="382">
        <f t="shared" si="178"/>
        <v>6313.3743236688415</v>
      </c>
      <c r="CU203" s="382">
        <f>CR203* Pile!$S$38</f>
        <v>0</v>
      </c>
      <c r="CV203" s="382">
        <f t="shared" si="184"/>
        <v>6313.3743236688415</v>
      </c>
      <c r="CW203" s="382">
        <f>IF(CV203&gt;0,+CV203)/ 'Pile Data and Eurocode Factors'!$B$19/ 'Pile Data and Eurocode Factors'!$B$20+CW$195</f>
        <v>3651.840751524378</v>
      </c>
      <c r="CX203" s="382">
        <f t="shared" si="191"/>
        <v>12233.699715813837</v>
      </c>
      <c r="CY203" s="382">
        <f>CS203* Pile!$U$38</f>
        <v>0</v>
      </c>
      <c r="CZ203" s="382">
        <f t="shared" si="149"/>
        <v>12233.699715813837</v>
      </c>
      <c r="DA203" s="382">
        <f>CZ203/ 'Pile Data and Eurocode Factors'!$C$19/ 'Pile Data and Eurocode Factors'!$C$20</f>
        <v>5140.2099646276629</v>
      </c>
      <c r="DB203" s="382">
        <f t="shared" si="150"/>
        <v>8792.05071615204</v>
      </c>
      <c r="DC203" s="382">
        <f>VLOOKUP(CQ203, 'Pile Data and Eurocode Factors'!$A$34:$J$39,3, FALSE)</f>
        <v>16826.141773161216</v>
      </c>
      <c r="DD203" s="403">
        <f t="shared" si="151"/>
        <v>8792.05071615204</v>
      </c>
      <c r="DE203" s="420">
        <f xml:space="preserve"> Pile!$C$23- Pile!C203</f>
        <v>23.999999999999996</v>
      </c>
      <c r="DG203" s="382">
        <f t="shared" si="152"/>
        <v>2092.2823080974067</v>
      </c>
      <c r="DH203" s="382">
        <f t="shared" si="153"/>
        <v>3110.9728669191045</v>
      </c>
      <c r="DI203" s="382">
        <f t="shared" si="154"/>
        <v>4290.2949871354167</v>
      </c>
      <c r="DJ203" s="382"/>
      <c r="DK203" s="382"/>
      <c r="DL203" s="382"/>
    </row>
    <row r="204" spans="2:116" s="308" customFormat="1" ht="15">
      <c r="B204" s="400">
        <v>9</v>
      </c>
      <c r="C204" s="401">
        <f>+C203- Pile!D$38/20</f>
        <v>-19.499999999999996</v>
      </c>
      <c r="D204" s="415" t="str">
        <f>B25</f>
        <v>Medium Sand/Gravel</v>
      </c>
      <c r="E204" s="415" t="str">
        <f>F25</f>
        <v>Granular</v>
      </c>
      <c r="F204" s="401">
        <f xml:space="preserve"> Pile!$E$38*(+C203-C204)+F203</f>
        <v>473.25000000000011</v>
      </c>
      <c r="G204" s="401">
        <f>IF(C204&gt; Pile!$C$41,0,( Pile!$C$41-C204)*9.81)</f>
        <v>44.144999999999968</v>
      </c>
      <c r="H204" s="401">
        <f t="shared" si="122"/>
        <v>429.10500000000013</v>
      </c>
      <c r="I204" s="401">
        <f t="shared" si="192"/>
        <v>319.55250000000012</v>
      </c>
      <c r="J204" s="401">
        <f>IF(E204="Cohesive",(( Pile!$H$38- Pile!$G$38)/20)+J203,0)</f>
        <v>0</v>
      </c>
      <c r="K204" s="401">
        <f>IF(E204="Cohesive",( Pile!$G$38+ Pile!$J204)/2,0)</f>
        <v>0</v>
      </c>
      <c r="L204" s="401" t="str">
        <f>IF( Pile!I$38="",0, Pile!I$38)</f>
        <v>0</v>
      </c>
      <c r="M204" s="401" t="str">
        <f>IF( Pile!J$38="",0, Pile!J$38)</f>
        <v>0</v>
      </c>
      <c r="N204" s="401">
        <f>IF(E204="Granular", Pile!$K$38,0)</f>
        <v>26.092012099198989</v>
      </c>
      <c r="O204" s="416">
        <f>IF(AND(E204="Granular",D204&lt;&gt;"Made Ground"), Pile!$L$38,0)</f>
        <v>0.44688733902318017</v>
      </c>
      <c r="P204" s="401">
        <f>IF(OR(D204="Low Density Chalk",D204="Medium Density Chalk"), Pile!$M$38,0)</f>
        <v>0</v>
      </c>
      <c r="Q204" s="417">
        <f>IF(D204="High Density Chalk", Pile!$N$38,0)</f>
        <v>0</v>
      </c>
      <c r="R204" s="401">
        <f>IF( Pile!O$38="",0, Pile!O$38)</f>
        <v>0</v>
      </c>
      <c r="S204" s="418">
        <f t="shared" si="124"/>
        <v>142.80396640320484</v>
      </c>
      <c r="T204" s="382">
        <f xml:space="preserve"> Pile!$T$38</f>
        <v>1200</v>
      </c>
      <c r="U204" s="382">
        <f t="shared" si="125"/>
        <v>142.80396640320484</v>
      </c>
      <c r="V204" s="382">
        <f t="shared" si="126"/>
        <v>11196.212851826785</v>
      </c>
      <c r="W204" s="382">
        <f xml:space="preserve"> Pile!$V$38</f>
        <v>15000</v>
      </c>
      <c r="X204" s="382">
        <f t="shared" si="127"/>
        <v>11196.212851826785</v>
      </c>
      <c r="Y204" s="419">
        <v>450</v>
      </c>
      <c r="Z204" s="430">
        <f>PI()*Y204/1000*( Pile!$C$38- Pile!$C204)</f>
        <v>19.085175370557987</v>
      </c>
      <c r="AA204" s="382">
        <f t="shared" si="128"/>
        <v>0.15904312808798329</v>
      </c>
      <c r="AB204" s="382">
        <f t="shared" si="173"/>
        <v>2725.4387424164352</v>
      </c>
      <c r="AC204" s="382">
        <f>Z204* Pile!$S$38</f>
        <v>0</v>
      </c>
      <c r="AD204" s="382">
        <f t="shared" si="179"/>
        <v>2725.4387424164352</v>
      </c>
      <c r="AE204" s="382">
        <f>IF(AD204&gt;0,+AD204)/ 'Pile Data and Eurocode Factors'!$B$19/ 'Pile Data and Eurocode Factors'!$B$20+AE$195</f>
        <v>1539.8799823171748</v>
      </c>
      <c r="AF204" s="382">
        <f t="shared" si="186"/>
        <v>1780.6807146934123</v>
      </c>
      <c r="AG204" s="382">
        <f>AA204* Pile!$U$38</f>
        <v>0</v>
      </c>
      <c r="AH204" s="382">
        <f t="shared" si="129"/>
        <v>1780.6807146934123</v>
      </c>
      <c r="AI204" s="382">
        <f>AH204/ 'Pile Data and Eurocode Factors'!$C$19/ 'Pile Data and Eurocode Factors'!$C$20</f>
        <v>748.18517424092965</v>
      </c>
      <c r="AJ204" s="382">
        <f t="shared" si="130"/>
        <v>2288.0651565581047</v>
      </c>
      <c r="AK204" s="382">
        <f>VLOOKUP(Y204, 'Pile Data and Eurocode Factors'!$A$34:$J$39,3, FALSE)</f>
        <v>2366.1761868507956</v>
      </c>
      <c r="AL204" s="403">
        <f t="shared" si="131"/>
        <v>2288.0651565581047</v>
      </c>
      <c r="AM204" s="419">
        <v>600</v>
      </c>
      <c r="AN204" s="430">
        <f>PI()*AM204/1000*( Pile!$C$38- Pile!$C204)</f>
        <v>25.446900494077319</v>
      </c>
      <c r="AO204" s="382">
        <f t="shared" si="132"/>
        <v>0.28274333882308139</v>
      </c>
      <c r="AP204" s="382">
        <f t="shared" si="174"/>
        <v>3633.9183232219139</v>
      </c>
      <c r="AQ204" s="382">
        <f>AN204* Pile!$S$38</f>
        <v>0</v>
      </c>
      <c r="AR204" s="382">
        <f t="shared" si="180"/>
        <v>3633.9183232219139</v>
      </c>
      <c r="AS204" s="382">
        <f>IF(AR204&gt;0,+AR204)/ 'Pile Data and Eurocode Factors'!$B$19/ 'Pile Data and Eurocode Factors'!$B$20+AS$195</f>
        <v>2053.1733097562333</v>
      </c>
      <c r="AT204" s="382">
        <f t="shared" si="187"/>
        <v>3165.6546038993993</v>
      </c>
      <c r="AU204" s="382">
        <f>AO204* Pile!$U$38</f>
        <v>0</v>
      </c>
      <c r="AV204" s="382">
        <f t="shared" si="133"/>
        <v>3165.6546038993993</v>
      </c>
      <c r="AW204" s="382">
        <f>AV204/ 'Pile Data and Eurocode Factors'!$C$19/ 'Pile Data and Eurocode Factors'!$C$20</f>
        <v>1330.1069764283191</v>
      </c>
      <c r="AX204" s="382">
        <f t="shared" si="134"/>
        <v>3383.2802861845521</v>
      </c>
      <c r="AY204" s="382">
        <f>VLOOKUP(AM204, 'Pile Data and Eurocode Factors'!$A$34:$J$39,3, FALSE)</f>
        <v>4206.5354432903041</v>
      </c>
      <c r="AZ204" s="403">
        <f t="shared" si="135"/>
        <v>3383.2802861845521</v>
      </c>
      <c r="BA204" s="419">
        <v>750</v>
      </c>
      <c r="BB204" s="430">
        <f>PI()*BA204/1000*( Pile!$C$38- Pile!$C204)</f>
        <v>31.808625617596647</v>
      </c>
      <c r="BC204" s="382">
        <f t="shared" si="136"/>
        <v>0.44178646691106466</v>
      </c>
      <c r="BD204" s="382">
        <f t="shared" si="175"/>
        <v>4542.3979040273925</v>
      </c>
      <c r="BE204" s="382">
        <f>BB204* Pile!$S$38</f>
        <v>0</v>
      </c>
      <c r="BF204" s="382">
        <f t="shared" si="181"/>
        <v>4542.3979040273925</v>
      </c>
      <c r="BG204" s="382">
        <f>IF(BF204&gt;0,+BF204)/ 'Pile Data and Eurocode Factors'!$B$19/ 'Pile Data and Eurocode Factors'!$B$20+BG$195</f>
        <v>2566.4666371952917</v>
      </c>
      <c r="BH204" s="382">
        <f t="shared" si="188"/>
        <v>4946.3353185928108</v>
      </c>
      <c r="BI204" s="382">
        <f>BC204* Pile!$U$38</f>
        <v>0</v>
      </c>
      <c r="BJ204" s="382">
        <f t="shared" si="137"/>
        <v>4946.3353185928108</v>
      </c>
      <c r="BK204" s="382">
        <f>BJ204/ 'Pile Data and Eurocode Factors'!$C$19/ 'Pile Data and Eurocode Factors'!$C$20</f>
        <v>2078.2921506692483</v>
      </c>
      <c r="BL204" s="382">
        <f t="shared" si="138"/>
        <v>4644.75878786454</v>
      </c>
      <c r="BM204" s="382">
        <f>VLOOKUP(BA204, 'Pile Data and Eurocode Factors'!$A$34:$J$39,3, FALSE)</f>
        <v>6572.7116301410997</v>
      </c>
      <c r="BN204" s="403">
        <f t="shared" si="139"/>
        <v>4644.75878786454</v>
      </c>
      <c r="BO204" s="419">
        <v>900</v>
      </c>
      <c r="BP204" s="430">
        <f>PI()*BO204/1000*( Pile!$C$38- Pile!$C204)</f>
        <v>38.170350741115975</v>
      </c>
      <c r="BQ204" s="382">
        <f t="shared" si="140"/>
        <v>0.63617251235193317</v>
      </c>
      <c r="BR204" s="382">
        <f t="shared" si="176"/>
        <v>5450.8774848328703</v>
      </c>
      <c r="BS204" s="382">
        <f>BP204* Pile!$S$38</f>
        <v>0</v>
      </c>
      <c r="BT204" s="382">
        <f t="shared" si="182"/>
        <v>5450.8774848328703</v>
      </c>
      <c r="BU204" s="382">
        <f>IF(BT204&gt;0,+BT204)/ 'Pile Data and Eurocode Factors'!$B$19/ 'Pile Data and Eurocode Factors'!$B$20+BU$195</f>
        <v>3079.7599646343497</v>
      </c>
      <c r="BV204" s="382">
        <f t="shared" si="189"/>
        <v>7122.722858773649</v>
      </c>
      <c r="BW204" s="382">
        <f>BQ204* Pile!$U$38</f>
        <v>0</v>
      </c>
      <c r="BX204" s="382">
        <f t="shared" si="141"/>
        <v>7122.722858773649</v>
      </c>
      <c r="BY204" s="382">
        <f>BX204/ 'Pile Data and Eurocode Factors'!$C$19/ 'Pile Data and Eurocode Factors'!$C$20</f>
        <v>2992.7406969637186</v>
      </c>
      <c r="BZ204" s="382">
        <f t="shared" si="142"/>
        <v>6072.5006615980683</v>
      </c>
      <c r="CA204" s="382">
        <f>VLOOKUP(BO204, 'Pile Data and Eurocode Factors'!$A$34:$J$39,3, FALSE)</f>
        <v>9464.7047474031824</v>
      </c>
      <c r="CB204" s="403">
        <f t="shared" si="143"/>
        <v>6072.5006615980683</v>
      </c>
      <c r="CC204" s="419">
        <v>1050</v>
      </c>
      <c r="CD204" s="430">
        <f>PI()*CC204/1000*( Pile!$C$38- Pile!$C204)</f>
        <v>44.532075864635303</v>
      </c>
      <c r="CE204" s="382">
        <f t="shared" si="144"/>
        <v>0.86590147514568672</v>
      </c>
      <c r="CF204" s="382">
        <f t="shared" si="177"/>
        <v>6359.357065638349</v>
      </c>
      <c r="CG204" s="382">
        <f>CD204* Pile!$S$38</f>
        <v>0</v>
      </c>
      <c r="CH204" s="382">
        <f t="shared" si="183"/>
        <v>6359.357065638349</v>
      </c>
      <c r="CI204" s="382">
        <f>IF(CH204&gt;0,+CH204)/ 'Pile Data and Eurocode Factors'!$B$19/ 'Pile Data and Eurocode Factors'!$B$20+CI$195</f>
        <v>3593.0532920734086</v>
      </c>
      <c r="CJ204" s="382">
        <f t="shared" si="190"/>
        <v>9694.8172244419093</v>
      </c>
      <c r="CK204" s="382">
        <f>CE204* Pile!$U$38</f>
        <v>0</v>
      </c>
      <c r="CL204" s="382">
        <f t="shared" si="145"/>
        <v>9694.8172244419093</v>
      </c>
      <c r="CM204" s="382">
        <f>CL204/ 'Pile Data and Eurocode Factors'!$C$19/ 'Pile Data and Eurocode Factors'!$C$20</f>
        <v>4073.4526153117272</v>
      </c>
      <c r="CN204" s="382">
        <f t="shared" si="146"/>
        <v>7666.5059073851353</v>
      </c>
      <c r="CO204" s="382">
        <f>VLOOKUP(CC204, 'Pile Data and Eurocode Factors'!$A$34:$J$39,3, FALSE)</f>
        <v>12882.514795076555</v>
      </c>
      <c r="CP204" s="403">
        <f t="shared" si="147"/>
        <v>7666.5059073851353</v>
      </c>
      <c r="CQ204" s="419">
        <v>1200</v>
      </c>
      <c r="CR204" s="430">
        <f>PI()*CQ204/1000*( Pile!$C$38- Pile!$C204)</f>
        <v>50.893800988154638</v>
      </c>
      <c r="CS204" s="382">
        <f t="shared" si="148"/>
        <v>1.1309733552923256</v>
      </c>
      <c r="CT204" s="382">
        <f t="shared" si="178"/>
        <v>7267.8366464438277</v>
      </c>
      <c r="CU204" s="382">
        <f>CR204* Pile!$S$38</f>
        <v>0</v>
      </c>
      <c r="CV204" s="382">
        <f t="shared" si="184"/>
        <v>7267.8366464438277</v>
      </c>
      <c r="CW204" s="382">
        <f>IF(CV204&gt;0,+CV204)/ 'Pile Data and Eurocode Factors'!$B$19/ 'Pile Data and Eurocode Factors'!$B$20+CW$195</f>
        <v>4106.3466195124665</v>
      </c>
      <c r="CX204" s="382">
        <f t="shared" si="191"/>
        <v>12662.618415597597</v>
      </c>
      <c r="CY204" s="382">
        <f>CS204* Pile!$U$38</f>
        <v>0</v>
      </c>
      <c r="CZ204" s="382">
        <f t="shared" si="149"/>
        <v>12662.618415597597</v>
      </c>
      <c r="DA204" s="382">
        <f>CZ204/ 'Pile Data and Eurocode Factors'!$C$19/ 'Pile Data and Eurocode Factors'!$C$20</f>
        <v>5320.4279057132762</v>
      </c>
      <c r="DB204" s="382">
        <f t="shared" si="150"/>
        <v>9426.7745252257428</v>
      </c>
      <c r="DC204" s="382">
        <f>VLOOKUP(CQ204, 'Pile Data and Eurocode Factors'!$A$34:$J$39,3, FALSE)</f>
        <v>16826.141773161216</v>
      </c>
      <c r="DD204" s="403">
        <f t="shared" si="151"/>
        <v>9426.7745252257428</v>
      </c>
      <c r="DE204" s="420">
        <f xml:space="preserve"> Pile!$C$23- Pile!C204</f>
        <v>25.499999999999996</v>
      </c>
      <c r="DG204" s="382">
        <f t="shared" si="152"/>
        <v>2288.0651565581047</v>
      </c>
      <c r="DH204" s="382">
        <f t="shared" si="153"/>
        <v>3383.2802861845521</v>
      </c>
      <c r="DI204" s="382">
        <f t="shared" si="154"/>
        <v>4644.75878786454</v>
      </c>
      <c r="DJ204" s="382"/>
      <c r="DK204" s="382"/>
      <c r="DL204" s="382"/>
    </row>
    <row r="205" spans="2:116" s="308" customFormat="1" ht="15">
      <c r="B205" s="400">
        <v>10</v>
      </c>
      <c r="C205" s="401">
        <f>+C204- Pile!D$38/20</f>
        <v>-20.999999999999996</v>
      </c>
      <c r="D205" s="415" t="str">
        <f>B25</f>
        <v>Medium Sand/Gravel</v>
      </c>
      <c r="E205" s="415" t="str">
        <f>F25</f>
        <v>Granular</v>
      </c>
      <c r="F205" s="401">
        <f xml:space="preserve"> Pile!$E$38*(+C204-C205)+F204</f>
        <v>502.50000000000011</v>
      </c>
      <c r="G205" s="401">
        <f>IF(C205&gt; Pile!$C$41,0,( Pile!$C$41-C205)*9.81)</f>
        <v>58.859999999999971</v>
      </c>
      <c r="H205" s="401">
        <f t="shared" si="122"/>
        <v>443.64000000000016</v>
      </c>
      <c r="I205" s="401">
        <f t="shared" si="192"/>
        <v>326.82000000000016</v>
      </c>
      <c r="J205" s="401">
        <f>IF(E205="Cohesive",(( Pile!$H$38- Pile!$G$38)/20)+J204,0)</f>
        <v>0</v>
      </c>
      <c r="K205" s="401">
        <f>IF(E205="Cohesive",( Pile!$G$38+ Pile!$J205)/2,0)</f>
        <v>0</v>
      </c>
      <c r="L205" s="401" t="str">
        <f>IF( Pile!I$38="",0, Pile!I$38)</f>
        <v>0</v>
      </c>
      <c r="M205" s="401" t="str">
        <f>IF( Pile!J$38="",0, Pile!J$38)</f>
        <v>0</v>
      </c>
      <c r="N205" s="401">
        <f>IF(E205="Granular", Pile!$K$38,0)</f>
        <v>26.092012099198989</v>
      </c>
      <c r="O205" s="416">
        <f>IF(AND(E205="Granular",D205&lt;&gt;"Made Ground"), Pile!$L$38,0)</f>
        <v>0.44688733902318017</v>
      </c>
      <c r="P205" s="401">
        <f>IF(OR(D205="Low Density Chalk",D205="Medium Density Chalk"), Pile!$M$38,0)</f>
        <v>0</v>
      </c>
      <c r="Q205" s="417">
        <f>IF(D205="High Density Chalk", Pile!$N$38,0)</f>
        <v>0</v>
      </c>
      <c r="R205" s="401">
        <f>IF( Pile!O$38="",0, Pile!O$38)</f>
        <v>0</v>
      </c>
      <c r="S205" s="418">
        <f t="shared" si="124"/>
        <v>146.05172013955581</v>
      </c>
      <c r="T205" s="382">
        <f xml:space="preserve"> Pile!$T$38</f>
        <v>1200</v>
      </c>
      <c r="U205" s="382">
        <f t="shared" si="125"/>
        <v>146.05172013955581</v>
      </c>
      <c r="V205" s="382">
        <f t="shared" si="126"/>
        <v>11575.460247688643</v>
      </c>
      <c r="W205" s="382">
        <f xml:space="preserve"> Pile!$V$38</f>
        <v>15000</v>
      </c>
      <c r="X205" s="382">
        <f t="shared" si="127"/>
        <v>11575.460247688643</v>
      </c>
      <c r="Y205" s="419">
        <v>450</v>
      </c>
      <c r="Z205" s="430">
        <f>PI()*Y205/1000*( Pile!$C$38- Pile!$C205)</f>
        <v>21.205750411731099</v>
      </c>
      <c r="AA205" s="382">
        <f t="shared" si="128"/>
        <v>0.15904312808798329</v>
      </c>
      <c r="AB205" s="382">
        <f t="shared" si="173"/>
        <v>3097.136324483421</v>
      </c>
      <c r="AC205" s="382">
        <f>Z205* Pile!$S$38</f>
        <v>0</v>
      </c>
      <c r="AD205" s="382">
        <f t="shared" si="179"/>
        <v>3097.136324483421</v>
      </c>
      <c r="AE205" s="382">
        <f>IF(AD205&gt;0,+AD205)/ 'Pile Data and Eurocode Factors'!$B$19/ 'Pile Data and Eurocode Factors'!$B$20+AE$195</f>
        <v>1716.8788309205015</v>
      </c>
      <c r="AF205" s="382">
        <f t="shared" si="186"/>
        <v>1840.9974068505037</v>
      </c>
      <c r="AG205" s="382">
        <f>AA205* Pile!$U$38</f>
        <v>0</v>
      </c>
      <c r="AH205" s="382">
        <f t="shared" si="129"/>
        <v>1840.9974068505037</v>
      </c>
      <c r="AI205" s="382">
        <f>AH205/ 'Pile Data and Eurocode Factors'!$C$19/ 'Pile Data and Eurocode Factors'!$C$20</f>
        <v>773.52832220609412</v>
      </c>
      <c r="AJ205" s="382">
        <f t="shared" si="130"/>
        <v>2490.4071531265954</v>
      </c>
      <c r="AK205" s="382">
        <f>VLOOKUP(Y205, 'Pile Data and Eurocode Factors'!$A$34:$J$39,3, FALSE)</f>
        <v>2366.1761868507956</v>
      </c>
      <c r="AL205" s="403">
        <f t="shared" si="131"/>
        <v>2366.1761868507956</v>
      </c>
      <c r="AM205" s="419">
        <v>600</v>
      </c>
      <c r="AN205" s="430">
        <f>PI()*AM205/1000*( Pile!$C$38- Pile!$C205)</f>
        <v>28.274333882308131</v>
      </c>
      <c r="AO205" s="382">
        <f t="shared" si="132"/>
        <v>0.28274333882308139</v>
      </c>
      <c r="AP205" s="382">
        <f t="shared" si="174"/>
        <v>4129.5150993112275</v>
      </c>
      <c r="AQ205" s="382">
        <f>AN205* Pile!$S$38</f>
        <v>0</v>
      </c>
      <c r="AR205" s="382">
        <f t="shared" si="180"/>
        <v>4129.5150993112275</v>
      </c>
      <c r="AS205" s="382">
        <f>IF(AR205&gt;0,+AR205)/ 'Pile Data and Eurocode Factors'!$B$19/ 'Pile Data and Eurocode Factors'!$B$20+AS$195</f>
        <v>2289.1717745606684</v>
      </c>
      <c r="AT205" s="382">
        <f t="shared" si="187"/>
        <v>3272.8842788453398</v>
      </c>
      <c r="AU205" s="382">
        <f>AO205* Pile!$U$38</f>
        <v>0</v>
      </c>
      <c r="AV205" s="382">
        <f t="shared" si="133"/>
        <v>3272.8842788453398</v>
      </c>
      <c r="AW205" s="382">
        <f>AV205/ 'Pile Data and Eurocode Factors'!$C$19/ 'Pile Data and Eurocode Factors'!$C$20</f>
        <v>1375.1614616997228</v>
      </c>
      <c r="AX205" s="382">
        <f t="shared" si="134"/>
        <v>3664.3332362603915</v>
      </c>
      <c r="AY205" s="382">
        <f>VLOOKUP(AM205, 'Pile Data and Eurocode Factors'!$A$34:$J$39,3, FALSE)</f>
        <v>4206.5354432903041</v>
      </c>
      <c r="AZ205" s="403">
        <f t="shared" si="135"/>
        <v>3664.3332362603915</v>
      </c>
      <c r="BA205" s="419">
        <v>750</v>
      </c>
      <c r="BB205" s="430">
        <f>PI()*BA205/1000*( Pile!$C$38- Pile!$C205)</f>
        <v>35.342917352885166</v>
      </c>
      <c r="BC205" s="382">
        <f t="shared" si="136"/>
        <v>0.44178646691106466</v>
      </c>
      <c r="BD205" s="382">
        <f t="shared" si="175"/>
        <v>5161.8938741390348</v>
      </c>
      <c r="BE205" s="382">
        <f>BB205* Pile!$S$38</f>
        <v>0</v>
      </c>
      <c r="BF205" s="382">
        <f t="shared" si="181"/>
        <v>5161.8938741390348</v>
      </c>
      <c r="BG205" s="382">
        <f>IF(BF205&gt;0,+BF205)/ 'Pile Data and Eurocode Factors'!$B$19/ 'Pile Data and Eurocode Factors'!$B$20+BG$195</f>
        <v>2861.4647182008357</v>
      </c>
      <c r="BH205" s="382">
        <f t="shared" si="188"/>
        <v>5113.8816856958429</v>
      </c>
      <c r="BI205" s="382">
        <f>BC205* Pile!$U$38</f>
        <v>0</v>
      </c>
      <c r="BJ205" s="382">
        <f t="shared" si="137"/>
        <v>5113.8816856958429</v>
      </c>
      <c r="BK205" s="382">
        <f>BJ205/ 'Pile Data and Eurocode Factors'!$C$19/ 'Pile Data and Eurocode Factors'!$C$20</f>
        <v>2148.6897839058165</v>
      </c>
      <c r="BL205" s="382">
        <f t="shared" si="138"/>
        <v>5010.1545021066522</v>
      </c>
      <c r="BM205" s="382">
        <f>VLOOKUP(BA205, 'Pile Data and Eurocode Factors'!$A$34:$J$39,3, FALSE)</f>
        <v>6572.7116301410997</v>
      </c>
      <c r="BN205" s="403">
        <f t="shared" si="139"/>
        <v>5010.1545021066522</v>
      </c>
      <c r="BO205" s="419">
        <v>900</v>
      </c>
      <c r="BP205" s="430">
        <f>PI()*BO205/1000*( Pile!$C$38- Pile!$C205)</f>
        <v>42.411500823462198</v>
      </c>
      <c r="BQ205" s="382">
        <f t="shared" si="140"/>
        <v>0.63617251235193317</v>
      </c>
      <c r="BR205" s="382">
        <f t="shared" si="176"/>
        <v>6194.2726489668421</v>
      </c>
      <c r="BS205" s="382">
        <f>BP205* Pile!$S$38</f>
        <v>0</v>
      </c>
      <c r="BT205" s="382">
        <f t="shared" si="182"/>
        <v>6194.2726489668421</v>
      </c>
      <c r="BU205" s="382">
        <f>IF(BT205&gt;0,+BT205)/ 'Pile Data and Eurocode Factors'!$B$19/ 'Pile Data and Eurocode Factors'!$B$20+BU$195</f>
        <v>3433.757661841003</v>
      </c>
      <c r="BV205" s="382">
        <f t="shared" si="189"/>
        <v>7363.9896274020148</v>
      </c>
      <c r="BW205" s="382">
        <f>BQ205* Pile!$U$38</f>
        <v>0</v>
      </c>
      <c r="BX205" s="382">
        <f t="shared" si="141"/>
        <v>7363.9896274020148</v>
      </c>
      <c r="BY205" s="382">
        <f>BX205/ 'Pile Data and Eurocode Factors'!$C$19/ 'Pile Data and Eurocode Factors'!$C$20</f>
        <v>3094.1132888243765</v>
      </c>
      <c r="BZ205" s="382">
        <f t="shared" si="142"/>
        <v>6527.8709506653795</v>
      </c>
      <c r="CA205" s="382">
        <f>VLOOKUP(BO205, 'Pile Data and Eurocode Factors'!$A$34:$J$39,3, FALSE)</f>
        <v>9464.7047474031824</v>
      </c>
      <c r="CB205" s="403">
        <f t="shared" si="143"/>
        <v>6527.8709506653795</v>
      </c>
      <c r="CC205" s="419">
        <v>1050</v>
      </c>
      <c r="CD205" s="430">
        <f>PI()*CC205/1000*( Pile!$C$38- Pile!$C205)</f>
        <v>49.48008429403923</v>
      </c>
      <c r="CE205" s="382">
        <f t="shared" si="144"/>
        <v>0.86590147514568672</v>
      </c>
      <c r="CF205" s="382">
        <f t="shared" si="177"/>
        <v>7226.6514237946485</v>
      </c>
      <c r="CG205" s="382">
        <f>CD205* Pile!$S$38</f>
        <v>0</v>
      </c>
      <c r="CH205" s="382">
        <f t="shared" si="183"/>
        <v>7226.6514237946485</v>
      </c>
      <c r="CI205" s="382">
        <f>IF(CH205&gt;0,+CH205)/ 'Pile Data and Eurocode Factors'!$B$19/ 'Pile Data and Eurocode Factors'!$B$20+CI$195</f>
        <v>4006.0506054811694</v>
      </c>
      <c r="CJ205" s="382">
        <f t="shared" si="190"/>
        <v>10023.208103963852</v>
      </c>
      <c r="CK205" s="382">
        <f>CE205* Pile!$U$38</f>
        <v>0</v>
      </c>
      <c r="CL205" s="382">
        <f t="shared" si="145"/>
        <v>10023.208103963852</v>
      </c>
      <c r="CM205" s="382">
        <f>CL205/ 'Pile Data and Eurocode Factors'!$C$19/ 'Pile Data and Eurocode Factors'!$C$20</f>
        <v>4211.4319764554002</v>
      </c>
      <c r="CN205" s="382">
        <f t="shared" si="146"/>
        <v>8217.4825819365687</v>
      </c>
      <c r="CO205" s="382">
        <f>VLOOKUP(CC205, 'Pile Data and Eurocode Factors'!$A$34:$J$39,3, FALSE)</f>
        <v>12882.514795076555</v>
      </c>
      <c r="CP205" s="403">
        <f t="shared" si="147"/>
        <v>8217.4825819365687</v>
      </c>
      <c r="CQ205" s="419">
        <v>1200</v>
      </c>
      <c r="CR205" s="430">
        <f>PI()*CQ205/1000*( Pile!$C$38- Pile!$C205)</f>
        <v>56.548667764616262</v>
      </c>
      <c r="CS205" s="382">
        <f t="shared" si="148"/>
        <v>1.1309733552923256</v>
      </c>
      <c r="CT205" s="382">
        <f t="shared" si="178"/>
        <v>8259.0301986224549</v>
      </c>
      <c r="CU205" s="382">
        <f>CR205* Pile!$S$38</f>
        <v>0</v>
      </c>
      <c r="CV205" s="382">
        <f t="shared" si="184"/>
        <v>8259.0301986224549</v>
      </c>
      <c r="CW205" s="382">
        <f>IF(CV205&gt;0,+CV205)/ 'Pile Data and Eurocode Factors'!$B$19/ 'Pile Data and Eurocode Factors'!$B$20+CW$195</f>
        <v>4578.3435491213368</v>
      </c>
      <c r="CX205" s="382">
        <f t="shared" si="191"/>
        <v>13091.537115381359</v>
      </c>
      <c r="CY205" s="382">
        <f>CS205* Pile!$U$38</f>
        <v>0</v>
      </c>
      <c r="CZ205" s="382">
        <f t="shared" si="149"/>
        <v>13091.537115381359</v>
      </c>
      <c r="DA205" s="382">
        <f>CZ205/ 'Pile Data and Eurocode Factors'!$C$19/ 'Pile Data and Eurocode Factors'!$C$20</f>
        <v>5500.6458467988914</v>
      </c>
      <c r="DB205" s="382">
        <f t="shared" si="150"/>
        <v>10078.989395920227</v>
      </c>
      <c r="DC205" s="382">
        <f>VLOOKUP(CQ205, 'Pile Data and Eurocode Factors'!$A$34:$J$39,3, FALSE)</f>
        <v>16826.141773161216</v>
      </c>
      <c r="DD205" s="403">
        <f t="shared" si="151"/>
        <v>10078.989395920227</v>
      </c>
      <c r="DE205" s="420">
        <f xml:space="preserve"> Pile!$C$23- Pile!C205</f>
        <v>26.999999999999996</v>
      </c>
      <c r="DG205" s="382">
        <f t="shared" si="152"/>
        <v>2366.1761868507956</v>
      </c>
      <c r="DH205" s="382">
        <f t="shared" si="153"/>
        <v>3664.3332362603915</v>
      </c>
      <c r="DI205" s="382">
        <f t="shared" si="154"/>
        <v>5010.1545021066522</v>
      </c>
      <c r="DJ205" s="382"/>
      <c r="DK205" s="382"/>
      <c r="DL205" s="382"/>
    </row>
    <row r="206" spans="2:116" s="308" customFormat="1" ht="15">
      <c r="B206" s="400">
        <v>11</v>
      </c>
      <c r="C206" s="401">
        <f>+C205- Pile!D$38/20</f>
        <v>-22.499999999999996</v>
      </c>
      <c r="D206" s="415" t="str">
        <f>B25</f>
        <v>Medium Sand/Gravel</v>
      </c>
      <c r="E206" s="415" t="str">
        <f>F25</f>
        <v>Granular</v>
      </c>
      <c r="F206" s="401">
        <f xml:space="preserve"> Pile!$E$38*(+C205-C206)+F205</f>
        <v>531.75000000000011</v>
      </c>
      <c r="G206" s="401">
        <f>IF(C206&gt; Pile!$C$41,0,( Pile!$C$41-C206)*9.81)</f>
        <v>73.574999999999974</v>
      </c>
      <c r="H206" s="401">
        <f t="shared" si="122"/>
        <v>458.17500000000013</v>
      </c>
      <c r="I206" s="401">
        <f t="shared" si="192"/>
        <v>334.08750000000009</v>
      </c>
      <c r="J206" s="401">
        <f>IF(E206="Cohesive",(( Pile!$H$38- Pile!$G$38)/20)+J205,0)</f>
        <v>0</v>
      </c>
      <c r="K206" s="401">
        <f>IF(E206="Cohesive",( Pile!$G$38+ Pile!$J206)/2,0)</f>
        <v>0</v>
      </c>
      <c r="L206" s="401" t="str">
        <f>IF( Pile!I$38="",0, Pile!I$38)</f>
        <v>0</v>
      </c>
      <c r="M206" s="401" t="str">
        <f>IF( Pile!J$38="",0, Pile!J$38)</f>
        <v>0</v>
      </c>
      <c r="N206" s="401">
        <f>IF(E206="Granular", Pile!$K$38,0)</f>
        <v>26.092012099198989</v>
      </c>
      <c r="O206" s="416">
        <f>IF(AND(E206="Granular",D206&lt;&gt;"Made Ground"), Pile!$L$38,0)</f>
        <v>0.44688733902318017</v>
      </c>
      <c r="P206" s="401">
        <f>IF(OR(D206="Low Density Chalk",D206="Medium Density Chalk"), Pile!$M$38,0)</f>
        <v>0</v>
      </c>
      <c r="Q206" s="417">
        <f>IF(D206="High Density Chalk", Pile!$N$38,0)</f>
        <v>0</v>
      </c>
      <c r="R206" s="401">
        <f>IF( Pile!O$38="",0, Pile!O$38)</f>
        <v>0</v>
      </c>
      <c r="S206" s="418">
        <f t="shared" si="124"/>
        <v>149.29947387590676</v>
      </c>
      <c r="T206" s="382">
        <f xml:space="preserve"> Pile!$T$38</f>
        <v>1200</v>
      </c>
      <c r="U206" s="382">
        <f t="shared" si="125"/>
        <v>149.29947387590676</v>
      </c>
      <c r="V206" s="382">
        <f t="shared" si="126"/>
        <v>11954.707643550501</v>
      </c>
      <c r="W206" s="382">
        <f xml:space="preserve"> Pile!$V$38</f>
        <v>15000</v>
      </c>
      <c r="X206" s="382">
        <f t="shared" si="127"/>
        <v>11954.707643550501</v>
      </c>
      <c r="Y206" s="419">
        <v>450</v>
      </c>
      <c r="Z206" s="430">
        <f>PI()*Y206/1000*( Pile!$C$38- Pile!$C206)</f>
        <v>23.326325452904207</v>
      </c>
      <c r="AA206" s="382">
        <f t="shared" si="128"/>
        <v>0.15904312808798329</v>
      </c>
      <c r="AB206" s="382">
        <f t="shared" si="173"/>
        <v>3482.6081175767704</v>
      </c>
      <c r="AC206" s="382">
        <f>Z206* Pile!$S$38</f>
        <v>0</v>
      </c>
      <c r="AD206" s="382">
        <f t="shared" si="179"/>
        <v>3482.6081175767704</v>
      </c>
      <c r="AE206" s="382">
        <f>IF(AD206&gt;0,+AD206)/ 'Pile Data and Eurocode Factors'!$B$19/ 'Pile Data and Eurocode Factors'!$B$20+AE$195</f>
        <v>1900.4368276316202</v>
      </c>
      <c r="AF206" s="382">
        <f t="shared" si="186"/>
        <v>1901.3140990075951</v>
      </c>
      <c r="AG206" s="382">
        <f>AA206* Pile!$U$38</f>
        <v>0</v>
      </c>
      <c r="AH206" s="382">
        <f t="shared" si="129"/>
        <v>1901.3140990075951</v>
      </c>
      <c r="AI206" s="382">
        <f>AH206/ 'Pile Data and Eurocode Factors'!$C$19/ 'Pile Data and Eurocode Factors'!$C$20</f>
        <v>798.87147017125847</v>
      </c>
      <c r="AJ206" s="382">
        <f t="shared" si="130"/>
        <v>2699.3082978028788</v>
      </c>
      <c r="AK206" s="382">
        <f>VLOOKUP(Y206, 'Pile Data and Eurocode Factors'!$A$34:$J$39,3, FALSE)</f>
        <v>2366.1761868507956</v>
      </c>
      <c r="AL206" s="403">
        <f t="shared" si="131"/>
        <v>2366.1761868507956</v>
      </c>
      <c r="AM206" s="419">
        <v>600</v>
      </c>
      <c r="AN206" s="430">
        <f>PI()*AM206/1000*( Pile!$C$38- Pile!$C206)</f>
        <v>31.101767270538947</v>
      </c>
      <c r="AO206" s="382">
        <f t="shared" si="132"/>
        <v>0.28274333882308139</v>
      </c>
      <c r="AP206" s="382">
        <f t="shared" si="174"/>
        <v>4643.4774901023611</v>
      </c>
      <c r="AQ206" s="382">
        <f>AN206* Pile!$S$38</f>
        <v>0</v>
      </c>
      <c r="AR206" s="382">
        <f t="shared" si="180"/>
        <v>4643.4774901023611</v>
      </c>
      <c r="AS206" s="382">
        <f>IF(AR206&gt;0,+AR206)/ 'Pile Data and Eurocode Factors'!$B$19/ 'Pile Data and Eurocode Factors'!$B$20+AS$195</f>
        <v>2533.9157701754939</v>
      </c>
      <c r="AT206" s="382">
        <f t="shared" si="187"/>
        <v>3380.11395379128</v>
      </c>
      <c r="AU206" s="382">
        <f>AO206* Pile!$U$38</f>
        <v>0</v>
      </c>
      <c r="AV206" s="382">
        <f t="shared" si="133"/>
        <v>3380.11395379128</v>
      </c>
      <c r="AW206" s="382">
        <f>AV206/ 'Pile Data and Eurocode Factors'!$C$19/ 'Pile Data and Eurocode Factors'!$C$20</f>
        <v>1420.2159469711262</v>
      </c>
      <c r="AX206" s="382">
        <f t="shared" si="134"/>
        <v>3954.1317171466198</v>
      </c>
      <c r="AY206" s="382">
        <f>VLOOKUP(AM206, 'Pile Data and Eurocode Factors'!$A$34:$J$39,3, FALSE)</f>
        <v>4206.5354432903041</v>
      </c>
      <c r="AZ206" s="403">
        <f t="shared" si="135"/>
        <v>3954.1317171466198</v>
      </c>
      <c r="BA206" s="419">
        <v>750</v>
      </c>
      <c r="BB206" s="430">
        <f>PI()*BA206/1000*( Pile!$C$38- Pile!$C206)</f>
        <v>38.877209088173679</v>
      </c>
      <c r="BC206" s="382">
        <f t="shared" si="136"/>
        <v>0.44178646691106466</v>
      </c>
      <c r="BD206" s="382">
        <f t="shared" si="175"/>
        <v>5804.3468626279509</v>
      </c>
      <c r="BE206" s="382">
        <f>BB206* Pile!$S$38</f>
        <v>0</v>
      </c>
      <c r="BF206" s="382">
        <f t="shared" si="181"/>
        <v>5804.3468626279509</v>
      </c>
      <c r="BG206" s="382">
        <f>IF(BF206&gt;0,+BF206)/ 'Pile Data and Eurocode Factors'!$B$19/ 'Pile Data and Eurocode Factors'!$B$20+BG$195</f>
        <v>3167.3947127193674</v>
      </c>
      <c r="BH206" s="382">
        <f t="shared" si="188"/>
        <v>5281.4280527988749</v>
      </c>
      <c r="BI206" s="382">
        <f>BC206* Pile!$U$38</f>
        <v>0</v>
      </c>
      <c r="BJ206" s="382">
        <f t="shared" si="137"/>
        <v>5281.4280527988749</v>
      </c>
      <c r="BK206" s="382">
        <f>BJ206/ 'Pile Data and Eurocode Factors'!$C$19/ 'Pile Data and Eurocode Factors'!$C$20</f>
        <v>2219.0874171423843</v>
      </c>
      <c r="BL206" s="382">
        <f t="shared" si="138"/>
        <v>5386.4821298617517</v>
      </c>
      <c r="BM206" s="382">
        <f>VLOOKUP(BA206, 'Pile Data and Eurocode Factors'!$A$34:$J$39,3, FALSE)</f>
        <v>6572.7116301410997</v>
      </c>
      <c r="BN206" s="403">
        <f t="shared" si="139"/>
        <v>5386.4821298617517</v>
      </c>
      <c r="BO206" s="419">
        <v>900</v>
      </c>
      <c r="BP206" s="430">
        <f>PI()*BO206/1000*( Pile!$C$38- Pile!$C206)</f>
        <v>46.652650905808414</v>
      </c>
      <c r="BQ206" s="382">
        <f t="shared" si="140"/>
        <v>0.63617251235193317</v>
      </c>
      <c r="BR206" s="382">
        <f t="shared" si="176"/>
        <v>6965.2162351535408</v>
      </c>
      <c r="BS206" s="382">
        <f>BP206* Pile!$S$38</f>
        <v>0</v>
      </c>
      <c r="BT206" s="382">
        <f t="shared" si="182"/>
        <v>6965.2162351535408</v>
      </c>
      <c r="BU206" s="382">
        <f>IF(BT206&gt;0,+BT206)/ 'Pile Data and Eurocode Factors'!$B$19/ 'Pile Data and Eurocode Factors'!$B$20+BU$195</f>
        <v>3800.8736552632404</v>
      </c>
      <c r="BV206" s="382">
        <f t="shared" si="189"/>
        <v>7605.2563960303805</v>
      </c>
      <c r="BW206" s="382">
        <f>BQ206* Pile!$U$38</f>
        <v>0</v>
      </c>
      <c r="BX206" s="382">
        <f t="shared" si="141"/>
        <v>7605.2563960303805</v>
      </c>
      <c r="BY206" s="382">
        <f>BX206/ 'Pile Data and Eurocode Factors'!$C$19/ 'Pile Data and Eurocode Factors'!$C$20</f>
        <v>3195.4858806850339</v>
      </c>
      <c r="BZ206" s="382">
        <f t="shared" si="142"/>
        <v>6996.3595359482742</v>
      </c>
      <c r="CA206" s="382">
        <f>VLOOKUP(BO206, 'Pile Data and Eurocode Factors'!$A$34:$J$39,3, FALSE)</f>
        <v>9464.7047474031824</v>
      </c>
      <c r="CB206" s="403">
        <f t="shared" si="143"/>
        <v>6996.3595359482742</v>
      </c>
      <c r="CC206" s="419">
        <v>1050</v>
      </c>
      <c r="CD206" s="430">
        <f>PI()*CC206/1000*( Pile!$C$38- Pile!$C206)</f>
        <v>54.428092723443157</v>
      </c>
      <c r="CE206" s="382">
        <f t="shared" si="144"/>
        <v>0.86590147514568672</v>
      </c>
      <c r="CF206" s="382">
        <f t="shared" si="177"/>
        <v>8126.0856076791324</v>
      </c>
      <c r="CG206" s="382">
        <f>CD206* Pile!$S$38</f>
        <v>0</v>
      </c>
      <c r="CH206" s="382">
        <f t="shared" si="183"/>
        <v>8126.0856076791324</v>
      </c>
      <c r="CI206" s="382">
        <f>IF(CH206&gt;0,+CH206)/ 'Pile Data and Eurocode Factors'!$B$19/ 'Pile Data and Eurocode Factors'!$B$20+CI$195</f>
        <v>4434.3525978071148</v>
      </c>
      <c r="CJ206" s="382">
        <f t="shared" si="190"/>
        <v>10351.598983485796</v>
      </c>
      <c r="CK206" s="382">
        <f>CE206* Pile!$U$38</f>
        <v>0</v>
      </c>
      <c r="CL206" s="382">
        <f t="shared" si="145"/>
        <v>10351.598983485796</v>
      </c>
      <c r="CM206" s="382">
        <f>CL206/ 'Pile Data and Eurocode Factors'!$C$19/ 'Pile Data and Eurocode Factors'!$C$20</f>
        <v>4349.4113375990746</v>
      </c>
      <c r="CN206" s="382">
        <f t="shared" si="146"/>
        <v>8783.7639354061903</v>
      </c>
      <c r="CO206" s="382">
        <f>VLOOKUP(CC206, 'Pile Data and Eurocode Factors'!$A$34:$J$39,3, FALSE)</f>
        <v>12882.514795076555</v>
      </c>
      <c r="CP206" s="403">
        <f t="shared" si="147"/>
        <v>8783.7639354061903</v>
      </c>
      <c r="CQ206" s="419">
        <v>1200</v>
      </c>
      <c r="CR206" s="430">
        <f>PI()*CQ206/1000*( Pile!$C$38- Pile!$C206)</f>
        <v>62.203534541077893</v>
      </c>
      <c r="CS206" s="382">
        <f t="shared" si="148"/>
        <v>1.1309733552923256</v>
      </c>
      <c r="CT206" s="382">
        <f t="shared" si="178"/>
        <v>9286.9549802047222</v>
      </c>
      <c r="CU206" s="382">
        <f>CR206* Pile!$S$38</f>
        <v>0</v>
      </c>
      <c r="CV206" s="382">
        <f t="shared" si="184"/>
        <v>9286.9549802047222</v>
      </c>
      <c r="CW206" s="382">
        <f>IF(CV206&gt;0,+CV206)/ 'Pile Data and Eurocode Factors'!$B$19/ 'Pile Data and Eurocode Factors'!$B$20+CW$195</f>
        <v>5067.8315403509878</v>
      </c>
      <c r="CX206" s="382">
        <f t="shared" si="191"/>
        <v>13520.45581516512</v>
      </c>
      <c r="CY206" s="382">
        <f>CS206* Pile!$U$38</f>
        <v>0</v>
      </c>
      <c r="CZ206" s="382">
        <f t="shared" si="149"/>
        <v>13520.45581516512</v>
      </c>
      <c r="DA206" s="382">
        <f>CZ206/ 'Pile Data and Eurocode Factors'!$C$19/ 'Pile Data and Eurocode Factors'!$C$20</f>
        <v>5680.8637878845047</v>
      </c>
      <c r="DB206" s="382">
        <f t="shared" si="150"/>
        <v>10748.695328235492</v>
      </c>
      <c r="DC206" s="382">
        <f>VLOOKUP(CQ206, 'Pile Data and Eurocode Factors'!$A$34:$J$39,3, FALSE)</f>
        <v>16826.141773161216</v>
      </c>
      <c r="DD206" s="403">
        <f t="shared" si="151"/>
        <v>10748.695328235492</v>
      </c>
      <c r="DE206" s="420">
        <f xml:space="preserve"> Pile!$C$23- Pile!C206</f>
        <v>28.499999999999996</v>
      </c>
      <c r="DG206" s="382">
        <f t="shared" si="152"/>
        <v>2366.1761868507956</v>
      </c>
      <c r="DH206" s="382">
        <f t="shared" si="153"/>
        <v>3954.1317171466198</v>
      </c>
      <c r="DI206" s="382">
        <f t="shared" si="154"/>
        <v>5386.4821298617517</v>
      </c>
      <c r="DJ206" s="382"/>
      <c r="DK206" s="382"/>
      <c r="DL206" s="382"/>
    </row>
    <row r="207" spans="2:116" s="308" customFormat="1" ht="15">
      <c r="B207" s="400">
        <v>12</v>
      </c>
      <c r="C207" s="401">
        <f>+C206- Pile!D$38/20</f>
        <v>-23.999999999999996</v>
      </c>
      <c r="D207" s="415" t="str">
        <f>B25</f>
        <v>Medium Sand/Gravel</v>
      </c>
      <c r="E207" s="415" t="str">
        <f>F25</f>
        <v>Granular</v>
      </c>
      <c r="F207" s="401">
        <f xml:space="preserve"> Pile!$E$38*(+C206-C207)+F206</f>
        <v>561.00000000000011</v>
      </c>
      <c r="G207" s="401">
        <f>IF(C207&gt; Pile!$C$41,0,( Pile!$C$41-C207)*9.81)</f>
        <v>88.289999999999964</v>
      </c>
      <c r="H207" s="401">
        <f t="shared" si="122"/>
        <v>472.71000000000015</v>
      </c>
      <c r="I207" s="401">
        <f t="shared" si="192"/>
        <v>341.35500000000013</v>
      </c>
      <c r="J207" s="401">
        <f>IF(E207="Cohesive",(( Pile!$H$38- Pile!$G$38)/20)+J206,0)</f>
        <v>0</v>
      </c>
      <c r="K207" s="401">
        <f>IF(E207="Cohesive",( Pile!$G$38+ Pile!$J207)/2,0)</f>
        <v>0</v>
      </c>
      <c r="L207" s="401" t="str">
        <f>IF( Pile!I$38="",0, Pile!I$38)</f>
        <v>0</v>
      </c>
      <c r="M207" s="401" t="str">
        <f>IF( Pile!J$38="",0, Pile!J$38)</f>
        <v>0</v>
      </c>
      <c r="N207" s="401">
        <f>IF(E207="Granular", Pile!$K$38,0)</f>
        <v>26.092012099198989</v>
      </c>
      <c r="O207" s="416">
        <f>IF(AND(E207="Granular",D207&lt;&gt;"Made Ground"), Pile!$L$38,0)</f>
        <v>0.44688733902318017</v>
      </c>
      <c r="P207" s="401">
        <f>IF(OR(D207="Low Density Chalk",D207="Medium Density Chalk"), Pile!$M$38,0)</f>
        <v>0</v>
      </c>
      <c r="Q207" s="417">
        <f>IF(D207="High Density Chalk", Pile!$N$38,0)</f>
        <v>0</v>
      </c>
      <c r="R207" s="401">
        <f>IF( Pile!O$38="",0, Pile!O$38)</f>
        <v>0</v>
      </c>
      <c r="S207" s="418">
        <f t="shared" si="124"/>
        <v>152.54722761225773</v>
      </c>
      <c r="T207" s="382">
        <f xml:space="preserve"> Pile!$T$38</f>
        <v>1200</v>
      </c>
      <c r="U207" s="382">
        <f t="shared" si="125"/>
        <v>152.54722761225773</v>
      </c>
      <c r="V207" s="382">
        <f t="shared" si="126"/>
        <v>12333.955039412358</v>
      </c>
      <c r="W207" s="382">
        <f xml:space="preserve"> Pile!$V$38</f>
        <v>15000</v>
      </c>
      <c r="X207" s="382">
        <f t="shared" si="127"/>
        <v>12333.955039412358</v>
      </c>
      <c r="Y207" s="419">
        <v>450</v>
      </c>
      <c r="Z207" s="430">
        <f>PI()*Y207/1000*( Pile!$C$38- Pile!$C207)</f>
        <v>25.446900494077319</v>
      </c>
      <c r="AA207" s="382">
        <f t="shared" si="128"/>
        <v>0.15904312808798329</v>
      </c>
      <c r="AB207" s="382">
        <f t="shared" si="173"/>
        <v>3881.8541216964863</v>
      </c>
      <c r="AC207" s="382">
        <f>Z207* Pile!$S$38</f>
        <v>0</v>
      </c>
      <c r="AD207" s="382">
        <f t="shared" si="179"/>
        <v>3881.8541216964863</v>
      </c>
      <c r="AE207" s="382">
        <f>IF(AD207&gt;0,+AD207)/ 'Pile Data and Eurocode Factors'!$B$19/ 'Pile Data and Eurocode Factors'!$B$20+AE$195</f>
        <v>2090.5539724505329</v>
      </c>
      <c r="AF207" s="382">
        <f t="shared" si="186"/>
        <v>1961.6307911646866</v>
      </c>
      <c r="AG207" s="382">
        <f>AA207* Pile!$U$38</f>
        <v>0</v>
      </c>
      <c r="AH207" s="382">
        <f t="shared" si="129"/>
        <v>1961.6307911646866</v>
      </c>
      <c r="AI207" s="382">
        <f>AH207/ 'Pile Data and Eurocode Factors'!$C$19/ 'Pile Data and Eurocode Factors'!$C$20</f>
        <v>824.21461813642293</v>
      </c>
      <c r="AJ207" s="382">
        <f t="shared" si="130"/>
        <v>2914.7685905869557</v>
      </c>
      <c r="AK207" s="382">
        <f>VLOOKUP(Y207, 'Pile Data and Eurocode Factors'!$A$34:$J$39,3, FALSE)</f>
        <v>2366.1761868507956</v>
      </c>
      <c r="AL207" s="403">
        <f t="shared" si="131"/>
        <v>2366.1761868507956</v>
      </c>
      <c r="AM207" s="419">
        <v>600</v>
      </c>
      <c r="AN207" s="430">
        <f>PI()*AM207/1000*( Pile!$C$38- Pile!$C207)</f>
        <v>33.929200658769759</v>
      </c>
      <c r="AO207" s="382">
        <f t="shared" si="132"/>
        <v>0.28274333882308139</v>
      </c>
      <c r="AP207" s="382">
        <f t="shared" si="174"/>
        <v>5175.8054955953148</v>
      </c>
      <c r="AQ207" s="382">
        <f>AN207* Pile!$S$38</f>
        <v>0</v>
      </c>
      <c r="AR207" s="382">
        <f t="shared" si="180"/>
        <v>5175.8054955953148</v>
      </c>
      <c r="AS207" s="382">
        <f>IF(AR207&gt;0,+AR207)/ 'Pile Data and Eurocode Factors'!$B$19/ 'Pile Data and Eurocode Factors'!$B$20+AS$195</f>
        <v>2787.4052966007102</v>
      </c>
      <c r="AT207" s="382">
        <f t="shared" si="187"/>
        <v>3487.3436287372206</v>
      </c>
      <c r="AU207" s="382">
        <f>AO207* Pile!$U$38</f>
        <v>0</v>
      </c>
      <c r="AV207" s="382">
        <f t="shared" si="133"/>
        <v>3487.3436287372206</v>
      </c>
      <c r="AW207" s="382">
        <f>AV207/ 'Pile Data and Eurocode Factors'!$C$19/ 'Pile Data and Eurocode Factors'!$C$20</f>
        <v>1465.2704322425298</v>
      </c>
      <c r="AX207" s="382">
        <f t="shared" si="134"/>
        <v>4252.67572884324</v>
      </c>
      <c r="AY207" s="382">
        <f>VLOOKUP(AM207, 'Pile Data and Eurocode Factors'!$A$34:$J$39,3, FALSE)</f>
        <v>4206.5354432903041</v>
      </c>
      <c r="AZ207" s="403">
        <f t="shared" si="135"/>
        <v>4206.5354432903041</v>
      </c>
      <c r="BA207" s="419">
        <v>750</v>
      </c>
      <c r="BB207" s="430">
        <f>PI()*BA207/1000*( Pile!$C$38- Pile!$C207)</f>
        <v>42.411500823462198</v>
      </c>
      <c r="BC207" s="382">
        <f t="shared" si="136"/>
        <v>0.44178646691106466</v>
      </c>
      <c r="BD207" s="382">
        <f t="shared" si="175"/>
        <v>6469.7568694941438</v>
      </c>
      <c r="BE207" s="382">
        <f>BB207* Pile!$S$38</f>
        <v>0</v>
      </c>
      <c r="BF207" s="382">
        <f t="shared" si="181"/>
        <v>6469.7568694941438</v>
      </c>
      <c r="BG207" s="382">
        <f>IF(BF207&gt;0,+BF207)/ 'Pile Data and Eurocode Factors'!$B$19/ 'Pile Data and Eurocode Factors'!$B$20+BG$195</f>
        <v>3484.2566207508876</v>
      </c>
      <c r="BH207" s="382">
        <f t="shared" si="188"/>
        <v>5448.9744199019069</v>
      </c>
      <c r="BI207" s="382">
        <f>BC207* Pile!$U$38</f>
        <v>0</v>
      </c>
      <c r="BJ207" s="382">
        <f t="shared" si="137"/>
        <v>5448.9744199019069</v>
      </c>
      <c r="BK207" s="382">
        <f>BJ207/ 'Pile Data and Eurocode Factors'!$C$19/ 'Pile Data and Eurocode Factors'!$C$20</f>
        <v>2289.485050378953</v>
      </c>
      <c r="BL207" s="382">
        <f t="shared" si="138"/>
        <v>5773.7416711298411</v>
      </c>
      <c r="BM207" s="382">
        <f>VLOOKUP(BA207, 'Pile Data and Eurocode Factors'!$A$34:$J$39,3, FALSE)</f>
        <v>6572.7116301410997</v>
      </c>
      <c r="BN207" s="403">
        <f t="shared" si="139"/>
        <v>5773.7416711298411</v>
      </c>
      <c r="BO207" s="419">
        <v>900</v>
      </c>
      <c r="BP207" s="430">
        <f>PI()*BO207/1000*( Pile!$C$38- Pile!$C207)</f>
        <v>50.893800988154638</v>
      </c>
      <c r="BQ207" s="382">
        <f t="shared" si="140"/>
        <v>0.63617251235193317</v>
      </c>
      <c r="BR207" s="382">
        <f t="shared" si="176"/>
        <v>7763.7082433929727</v>
      </c>
      <c r="BS207" s="382">
        <f>BP207* Pile!$S$38</f>
        <v>0</v>
      </c>
      <c r="BT207" s="382">
        <f t="shared" si="182"/>
        <v>7763.7082433929727</v>
      </c>
      <c r="BU207" s="382">
        <f>IF(BT207&gt;0,+BT207)/ 'Pile Data and Eurocode Factors'!$B$19/ 'Pile Data and Eurocode Factors'!$B$20+BU$195</f>
        <v>4181.1079449010658</v>
      </c>
      <c r="BV207" s="382">
        <f t="shared" si="189"/>
        <v>7846.5231646587463</v>
      </c>
      <c r="BW207" s="382">
        <f>BQ207* Pile!$U$38</f>
        <v>0</v>
      </c>
      <c r="BX207" s="382">
        <f t="shared" si="141"/>
        <v>7846.5231646587463</v>
      </c>
      <c r="BY207" s="382">
        <f>BX207/ 'Pile Data and Eurocode Factors'!$C$19/ 'Pile Data and Eurocode Factors'!$C$20</f>
        <v>3296.8584725456917</v>
      </c>
      <c r="BZ207" s="382">
        <f t="shared" si="142"/>
        <v>7477.966417446758</v>
      </c>
      <c r="CA207" s="382">
        <f>VLOOKUP(BO207, 'Pile Data and Eurocode Factors'!$A$34:$J$39,3, FALSE)</f>
        <v>9464.7047474031824</v>
      </c>
      <c r="CB207" s="403">
        <f t="shared" si="143"/>
        <v>7477.966417446758</v>
      </c>
      <c r="CC207" s="419">
        <v>1050</v>
      </c>
      <c r="CD207" s="430">
        <f>PI()*CC207/1000*( Pile!$C$38- Pile!$C207)</f>
        <v>59.376101152847077</v>
      </c>
      <c r="CE207" s="382">
        <f t="shared" si="144"/>
        <v>0.86590147514568672</v>
      </c>
      <c r="CF207" s="382">
        <f t="shared" si="177"/>
        <v>9057.6596172918016</v>
      </c>
      <c r="CG207" s="382">
        <f>CD207* Pile!$S$38</f>
        <v>0</v>
      </c>
      <c r="CH207" s="382">
        <f t="shared" si="183"/>
        <v>9057.6596172918016</v>
      </c>
      <c r="CI207" s="382">
        <f>IF(CH207&gt;0,+CH207)/ 'Pile Data and Eurocode Factors'!$B$19/ 'Pile Data and Eurocode Factors'!$B$20+CI$195</f>
        <v>4877.9592690512427</v>
      </c>
      <c r="CJ207" s="382">
        <f t="shared" si="190"/>
        <v>10679.989863007737</v>
      </c>
      <c r="CK207" s="382">
        <f>CE207* Pile!$U$38</f>
        <v>0</v>
      </c>
      <c r="CL207" s="382">
        <f t="shared" si="145"/>
        <v>10679.989863007737</v>
      </c>
      <c r="CM207" s="382">
        <f>CL207/ 'Pile Data and Eurocode Factors'!$C$19/ 'Pile Data and Eurocode Factors'!$C$20</f>
        <v>4487.3906987427472</v>
      </c>
      <c r="CN207" s="382">
        <f t="shared" si="146"/>
        <v>9365.3499677939908</v>
      </c>
      <c r="CO207" s="382">
        <f>VLOOKUP(CC207, 'Pile Data and Eurocode Factors'!$A$34:$J$39,3, FALSE)</f>
        <v>12882.514795076555</v>
      </c>
      <c r="CP207" s="403">
        <f t="shared" si="147"/>
        <v>9365.3499677939908</v>
      </c>
      <c r="CQ207" s="419">
        <v>1200</v>
      </c>
      <c r="CR207" s="430">
        <f>PI()*CQ207/1000*( Pile!$C$38- Pile!$C207)</f>
        <v>67.858401317539517</v>
      </c>
      <c r="CS207" s="382">
        <f t="shared" si="148"/>
        <v>1.1309733552923256</v>
      </c>
      <c r="CT207" s="382">
        <f t="shared" si="178"/>
        <v>10351.61099119063</v>
      </c>
      <c r="CU207" s="382">
        <f>CR207* Pile!$S$38</f>
        <v>0</v>
      </c>
      <c r="CV207" s="382">
        <f t="shared" si="184"/>
        <v>10351.61099119063</v>
      </c>
      <c r="CW207" s="382">
        <f>IF(CV207&gt;0,+CV207)/ 'Pile Data and Eurocode Factors'!$B$19/ 'Pile Data and Eurocode Factors'!$B$20+CW$195</f>
        <v>5574.8105932014205</v>
      </c>
      <c r="CX207" s="382">
        <f t="shared" si="191"/>
        <v>13949.374514948882</v>
      </c>
      <c r="CY207" s="382">
        <f>CS207* Pile!$U$38</f>
        <v>0</v>
      </c>
      <c r="CZ207" s="382">
        <f t="shared" si="149"/>
        <v>13949.374514948882</v>
      </c>
      <c r="DA207" s="382">
        <f>CZ207/ 'Pile Data and Eurocode Factors'!$C$19/ 'Pile Data and Eurocode Factors'!$C$20</f>
        <v>5861.081728970119</v>
      </c>
      <c r="DB207" s="382">
        <f t="shared" si="150"/>
        <v>11435.892322171539</v>
      </c>
      <c r="DC207" s="382">
        <f>VLOOKUP(CQ207, 'Pile Data and Eurocode Factors'!$A$34:$J$39,3, FALSE)</f>
        <v>16826.141773161216</v>
      </c>
      <c r="DD207" s="403">
        <f t="shared" si="151"/>
        <v>11435.892322171539</v>
      </c>
      <c r="DE207" s="420">
        <f xml:space="preserve"> Pile!$C$23- Pile!C207</f>
        <v>29.999999999999996</v>
      </c>
      <c r="DG207" s="382">
        <f t="shared" si="152"/>
        <v>2366.1761868507956</v>
      </c>
      <c r="DH207" s="382">
        <f t="shared" si="153"/>
        <v>4206.5354432903041</v>
      </c>
      <c r="DI207" s="382">
        <f t="shared" si="154"/>
        <v>5773.7416711298411</v>
      </c>
      <c r="DJ207" s="382"/>
      <c r="DK207" s="382"/>
      <c r="DL207" s="382"/>
    </row>
    <row r="208" spans="2:116" s="308" customFormat="1" ht="15">
      <c r="B208" s="400">
        <v>13</v>
      </c>
      <c r="C208" s="401">
        <f>+C207- Pile!D$38/20</f>
        <v>-25.499999999999996</v>
      </c>
      <c r="D208" s="415" t="str">
        <f>B25</f>
        <v>Medium Sand/Gravel</v>
      </c>
      <c r="E208" s="415" t="str">
        <f>F25</f>
        <v>Granular</v>
      </c>
      <c r="F208" s="401">
        <f xml:space="preserve"> Pile!$E$38*(+C207-C208)+F207</f>
        <v>590.25000000000011</v>
      </c>
      <c r="G208" s="401">
        <f>IF(C208&gt; Pile!$C$41,0,( Pile!$C$41-C208)*9.81)</f>
        <v>103.00499999999997</v>
      </c>
      <c r="H208" s="401">
        <f t="shared" si="122"/>
        <v>487.24500000000012</v>
      </c>
      <c r="I208" s="401">
        <f t="shared" si="192"/>
        <v>348.62250000000012</v>
      </c>
      <c r="J208" s="401">
        <f>IF(E208="Cohesive",(( Pile!$H$38- Pile!$G$38)/20)+J207,0)</f>
        <v>0</v>
      </c>
      <c r="K208" s="401">
        <f>IF(E208="Cohesive",( Pile!$G$38+ Pile!$J208)/2,0)</f>
        <v>0</v>
      </c>
      <c r="L208" s="401" t="str">
        <f>IF( Pile!I$38="",0, Pile!I$38)</f>
        <v>0</v>
      </c>
      <c r="M208" s="401" t="str">
        <f>IF( Pile!J$38="",0, Pile!J$38)</f>
        <v>0</v>
      </c>
      <c r="N208" s="401">
        <f>IF(E208="Granular", Pile!$K$38,0)</f>
        <v>26.092012099198989</v>
      </c>
      <c r="O208" s="416">
        <f>IF(AND(E208="Granular",D208&lt;&gt;"Made Ground"), Pile!$L$38,0)</f>
        <v>0.44688733902318017</v>
      </c>
      <c r="P208" s="401">
        <f>IF(OR(D208="Low Density Chalk",D208="Medium Density Chalk"), Pile!$M$38,0)</f>
        <v>0</v>
      </c>
      <c r="Q208" s="417">
        <f>IF(D208="High Density Chalk", Pile!$N$38,0)</f>
        <v>0</v>
      </c>
      <c r="R208" s="401">
        <f>IF( Pile!O$38="",0, Pile!O$38)</f>
        <v>0</v>
      </c>
      <c r="S208" s="418">
        <f t="shared" si="124"/>
        <v>155.79498134860867</v>
      </c>
      <c r="T208" s="382">
        <f xml:space="preserve"> Pile!$T$38</f>
        <v>1200</v>
      </c>
      <c r="U208" s="382">
        <f t="shared" si="125"/>
        <v>155.79498134860867</v>
      </c>
      <c r="V208" s="382">
        <f t="shared" si="126"/>
        <v>12713.202435274214</v>
      </c>
      <c r="W208" s="382">
        <f xml:space="preserve"> Pile!$V$38</f>
        <v>15000</v>
      </c>
      <c r="X208" s="382">
        <f t="shared" si="127"/>
        <v>12713.202435274214</v>
      </c>
      <c r="Y208" s="419">
        <v>450</v>
      </c>
      <c r="Z208" s="430">
        <f>PI()*Y208/1000*( Pile!$C$38- Pile!$C208)</f>
        <v>27.567475535250431</v>
      </c>
      <c r="AA208" s="382">
        <f t="shared" si="128"/>
        <v>0.15904312808798329</v>
      </c>
      <c r="AB208" s="382">
        <f t="shared" si="173"/>
        <v>4294.8743368425667</v>
      </c>
      <c r="AC208" s="382">
        <f>Z208* Pile!$S$38</f>
        <v>0</v>
      </c>
      <c r="AD208" s="382">
        <f t="shared" si="179"/>
        <v>4294.8743368425667</v>
      </c>
      <c r="AE208" s="382">
        <f>IF(AD208&gt;0,+AD208)/ 'Pile Data and Eurocode Factors'!$B$19/ 'Pile Data and Eurocode Factors'!$B$20+AE$195</f>
        <v>2287.2302653772376</v>
      </c>
      <c r="AF208" s="382">
        <f t="shared" si="186"/>
        <v>2021.947483321778</v>
      </c>
      <c r="AG208" s="382">
        <f>AA208* Pile!$U$38</f>
        <v>0</v>
      </c>
      <c r="AH208" s="382">
        <f t="shared" si="129"/>
        <v>2021.947483321778</v>
      </c>
      <c r="AI208" s="382">
        <f>AH208/ 'Pile Data and Eurocode Factors'!$C$19/ 'Pile Data and Eurocode Factors'!$C$20</f>
        <v>849.5577661015875</v>
      </c>
      <c r="AJ208" s="382">
        <f t="shared" si="130"/>
        <v>3136.7880314788254</v>
      </c>
      <c r="AK208" s="382">
        <f>VLOOKUP(Y208, 'Pile Data and Eurocode Factors'!$A$34:$J$39,3, FALSE)</f>
        <v>2366.1761868507956</v>
      </c>
      <c r="AL208" s="403">
        <f t="shared" si="131"/>
        <v>2366.1761868507956</v>
      </c>
      <c r="AM208" s="419">
        <v>600</v>
      </c>
      <c r="AN208" s="430">
        <f>PI()*AM208/1000*( Pile!$C$38- Pile!$C208)</f>
        <v>36.756634047000574</v>
      </c>
      <c r="AO208" s="382">
        <f t="shared" si="132"/>
        <v>0.28274333882308139</v>
      </c>
      <c r="AP208" s="382">
        <f t="shared" si="174"/>
        <v>5726.4991157900886</v>
      </c>
      <c r="AQ208" s="382">
        <f>AN208* Pile!$S$38</f>
        <v>0</v>
      </c>
      <c r="AR208" s="382">
        <f t="shared" si="180"/>
        <v>5726.4991157900886</v>
      </c>
      <c r="AS208" s="382">
        <f>IF(AR208&gt;0,+AR208)/ 'Pile Data and Eurocode Factors'!$B$19/ 'Pile Data and Eurocode Factors'!$B$20+AS$195</f>
        <v>3049.6403538363165</v>
      </c>
      <c r="AT208" s="382">
        <f t="shared" si="187"/>
        <v>3594.5733036831607</v>
      </c>
      <c r="AU208" s="382">
        <f>AO208* Pile!$U$38</f>
        <v>0</v>
      </c>
      <c r="AV208" s="382">
        <f t="shared" si="133"/>
        <v>3594.5733036831607</v>
      </c>
      <c r="AW208" s="382">
        <f>AV208/ 'Pile Data and Eurocode Factors'!$C$19/ 'Pile Data and Eurocode Factors'!$C$20</f>
        <v>1510.3249175139333</v>
      </c>
      <c r="AX208" s="382">
        <f t="shared" si="134"/>
        <v>4559.9652713502501</v>
      </c>
      <c r="AY208" s="382">
        <f>VLOOKUP(AM208, 'Pile Data and Eurocode Factors'!$A$34:$J$39,3, FALSE)</f>
        <v>4206.5354432903041</v>
      </c>
      <c r="AZ208" s="403">
        <f t="shared" si="135"/>
        <v>4206.5354432903041</v>
      </c>
      <c r="BA208" s="419">
        <v>750</v>
      </c>
      <c r="BB208" s="430">
        <f>PI()*BA208/1000*( Pile!$C$38- Pile!$C208)</f>
        <v>45.945792558750718</v>
      </c>
      <c r="BC208" s="382">
        <f t="shared" si="136"/>
        <v>0.44178646691106466</v>
      </c>
      <c r="BD208" s="382">
        <f t="shared" si="175"/>
        <v>7158.1238947376114</v>
      </c>
      <c r="BE208" s="382">
        <f>BB208* Pile!$S$38</f>
        <v>0</v>
      </c>
      <c r="BF208" s="382">
        <f t="shared" si="181"/>
        <v>7158.1238947376114</v>
      </c>
      <c r="BG208" s="382">
        <f>IF(BF208&gt;0,+BF208)/ 'Pile Data and Eurocode Factors'!$B$19/ 'Pile Data and Eurocode Factors'!$B$20+BG$195</f>
        <v>3812.0504422953959</v>
      </c>
      <c r="BH208" s="382">
        <f t="shared" si="188"/>
        <v>5616.520787004938</v>
      </c>
      <c r="BI208" s="382">
        <f>BC208* Pile!$U$38</f>
        <v>0</v>
      </c>
      <c r="BJ208" s="382">
        <f t="shared" si="137"/>
        <v>5616.520787004938</v>
      </c>
      <c r="BK208" s="382">
        <f>BJ208/ 'Pile Data and Eurocode Factors'!$C$19/ 'Pile Data and Eurocode Factors'!$C$20</f>
        <v>2359.8826836155204</v>
      </c>
      <c r="BL208" s="382">
        <f t="shared" si="138"/>
        <v>6171.9331259109167</v>
      </c>
      <c r="BM208" s="382">
        <f>VLOOKUP(BA208, 'Pile Data and Eurocode Factors'!$A$34:$J$39,3, FALSE)</f>
        <v>6572.7116301410997</v>
      </c>
      <c r="BN208" s="403">
        <f t="shared" si="139"/>
        <v>6171.9331259109167</v>
      </c>
      <c r="BO208" s="419">
        <v>900</v>
      </c>
      <c r="BP208" s="430">
        <f>PI()*BO208/1000*( Pile!$C$38- Pile!$C208)</f>
        <v>55.134951070500861</v>
      </c>
      <c r="BQ208" s="382">
        <f t="shared" si="140"/>
        <v>0.63617251235193317</v>
      </c>
      <c r="BR208" s="382">
        <f t="shared" si="176"/>
        <v>8589.7486736851333</v>
      </c>
      <c r="BS208" s="382">
        <f>BP208* Pile!$S$38</f>
        <v>0</v>
      </c>
      <c r="BT208" s="382">
        <f t="shared" si="182"/>
        <v>8589.7486736851333</v>
      </c>
      <c r="BU208" s="382">
        <f>IF(BT208&gt;0,+BT208)/ 'Pile Data and Eurocode Factors'!$B$19/ 'Pile Data and Eurocode Factors'!$B$20+BU$195</f>
        <v>4574.4605307544753</v>
      </c>
      <c r="BV208" s="382">
        <f t="shared" si="189"/>
        <v>8087.789933287112</v>
      </c>
      <c r="BW208" s="382">
        <f>BQ208* Pile!$U$38</f>
        <v>0</v>
      </c>
      <c r="BX208" s="382">
        <f t="shared" si="141"/>
        <v>8087.789933287112</v>
      </c>
      <c r="BY208" s="382">
        <f>BX208/ 'Pile Data and Eurocode Factors'!$C$19/ 'Pile Data and Eurocode Factors'!$C$20</f>
        <v>3398.23106440635</v>
      </c>
      <c r="BZ208" s="382">
        <f t="shared" si="142"/>
        <v>7972.6915951608253</v>
      </c>
      <c r="CA208" s="382">
        <f>VLOOKUP(BO208, 'Pile Data and Eurocode Factors'!$A$34:$J$39,3, FALSE)</f>
        <v>9464.7047474031824</v>
      </c>
      <c r="CB208" s="403">
        <f t="shared" si="143"/>
        <v>7972.6915951608253</v>
      </c>
      <c r="CC208" s="419">
        <v>1050</v>
      </c>
      <c r="CD208" s="430">
        <f>PI()*CC208/1000*( Pile!$C$38- Pile!$C208)</f>
        <v>64.324109582250998</v>
      </c>
      <c r="CE208" s="382">
        <f t="shared" si="144"/>
        <v>0.86590147514568672</v>
      </c>
      <c r="CF208" s="382">
        <f t="shared" si="177"/>
        <v>10021.373452632655</v>
      </c>
      <c r="CG208" s="382">
        <f>CD208* Pile!$S$38</f>
        <v>0</v>
      </c>
      <c r="CH208" s="382">
        <f t="shared" si="183"/>
        <v>10021.373452632655</v>
      </c>
      <c r="CI208" s="382">
        <f>IF(CH208&gt;0,+CH208)/ 'Pile Data and Eurocode Factors'!$B$19/ 'Pile Data and Eurocode Factors'!$B$20+CI$195</f>
        <v>5336.8706192135542</v>
      </c>
      <c r="CJ208" s="382">
        <f t="shared" si="190"/>
        <v>11008.380742529678</v>
      </c>
      <c r="CK208" s="382">
        <f>CE208* Pile!$U$38</f>
        <v>0</v>
      </c>
      <c r="CL208" s="382">
        <f t="shared" si="145"/>
        <v>11008.380742529678</v>
      </c>
      <c r="CM208" s="382">
        <f>CL208/ 'Pile Data and Eurocode Factors'!$C$19/ 'Pile Data and Eurocode Factors'!$C$20</f>
        <v>4625.3700598864198</v>
      </c>
      <c r="CN208" s="382">
        <f t="shared" si="146"/>
        <v>9962.2406790999739</v>
      </c>
      <c r="CO208" s="382">
        <f>VLOOKUP(CC208, 'Pile Data and Eurocode Factors'!$A$34:$J$39,3, FALSE)</f>
        <v>12882.514795076555</v>
      </c>
      <c r="CP208" s="403">
        <f t="shared" si="147"/>
        <v>9962.2406790999739</v>
      </c>
      <c r="CQ208" s="419">
        <v>1200</v>
      </c>
      <c r="CR208" s="430">
        <f>PI()*CQ208/1000*( Pile!$C$38- Pile!$C208)</f>
        <v>73.513268094001148</v>
      </c>
      <c r="CS208" s="382">
        <f t="shared" si="148"/>
        <v>1.1309733552923256</v>
      </c>
      <c r="CT208" s="382">
        <f t="shared" si="178"/>
        <v>11452.998231580177</v>
      </c>
      <c r="CU208" s="382">
        <f>CR208* Pile!$S$38</f>
        <v>0</v>
      </c>
      <c r="CV208" s="382">
        <f t="shared" si="184"/>
        <v>11452.998231580177</v>
      </c>
      <c r="CW208" s="382">
        <f>IF(CV208&gt;0,+CV208)/ 'Pile Data and Eurocode Factors'!$B$19/ 'Pile Data and Eurocode Factors'!$B$20+CW$195</f>
        <v>6099.2807076726331</v>
      </c>
      <c r="CX208" s="382">
        <f t="shared" si="191"/>
        <v>14378.293214732643</v>
      </c>
      <c r="CY208" s="382">
        <f>CS208* Pile!$U$38</f>
        <v>0</v>
      </c>
      <c r="CZ208" s="382">
        <f t="shared" si="149"/>
        <v>14378.293214732643</v>
      </c>
      <c r="DA208" s="382">
        <f>CZ208/ 'Pile Data and Eurocode Factors'!$C$19/ 'Pile Data and Eurocode Factors'!$C$20</f>
        <v>6041.2996700557333</v>
      </c>
      <c r="DB208" s="382">
        <f t="shared" si="150"/>
        <v>12140.580377728365</v>
      </c>
      <c r="DC208" s="382">
        <f>VLOOKUP(CQ208, 'Pile Data and Eurocode Factors'!$A$34:$J$39,3, FALSE)</f>
        <v>16826.141773161216</v>
      </c>
      <c r="DD208" s="403">
        <f t="shared" si="151"/>
        <v>12140.580377728365</v>
      </c>
      <c r="DE208" s="420">
        <f xml:space="preserve"> Pile!$C$23- Pile!C208</f>
        <v>31.499999999999996</v>
      </c>
      <c r="DG208" s="382">
        <f t="shared" si="152"/>
        <v>2366.1761868507956</v>
      </c>
      <c r="DH208" s="382">
        <f t="shared" si="153"/>
        <v>4206.5354432903041</v>
      </c>
      <c r="DI208" s="382">
        <f t="shared" si="154"/>
        <v>6171.9331259109167</v>
      </c>
      <c r="DJ208" s="382"/>
      <c r="DK208" s="382"/>
      <c r="DL208" s="382"/>
    </row>
    <row r="209" spans="2:116" s="308" customFormat="1" ht="15">
      <c r="B209" s="400">
        <v>14</v>
      </c>
      <c r="C209" s="401">
        <f>+C208- Pile!D$38/20</f>
        <v>-26.999999999999996</v>
      </c>
      <c r="D209" s="415" t="str">
        <f>B25</f>
        <v>Medium Sand/Gravel</v>
      </c>
      <c r="E209" s="415" t="str">
        <f>F25</f>
        <v>Granular</v>
      </c>
      <c r="F209" s="401">
        <f xml:space="preserve"> Pile!$E$38*(+C208-C209)+F208</f>
        <v>619.50000000000011</v>
      </c>
      <c r="G209" s="401">
        <f>IF(C209&gt; Pile!$C$41,0,( Pile!$C$41-C209)*9.81)</f>
        <v>117.71999999999997</v>
      </c>
      <c r="H209" s="401">
        <f t="shared" si="122"/>
        <v>501.78000000000014</v>
      </c>
      <c r="I209" s="401">
        <f t="shared" si="192"/>
        <v>355.8900000000001</v>
      </c>
      <c r="J209" s="401">
        <f>IF(E209="Cohesive",(( Pile!$H$38- Pile!$G$38)/20)+J208,0)</f>
        <v>0</v>
      </c>
      <c r="K209" s="401">
        <f>IF(E209="Cohesive",( Pile!$G$38+ Pile!$J209)/2,0)</f>
        <v>0</v>
      </c>
      <c r="L209" s="401" t="str">
        <f>IF( Pile!I$38="",0, Pile!I$38)</f>
        <v>0</v>
      </c>
      <c r="M209" s="401" t="str">
        <f>IF( Pile!J$38="",0, Pile!J$38)</f>
        <v>0</v>
      </c>
      <c r="N209" s="401">
        <f>IF(E209="Granular", Pile!$K$38,0)</f>
        <v>26.092012099198989</v>
      </c>
      <c r="O209" s="416">
        <f>IF(AND(E209="Granular",D209&lt;&gt;"Made Ground"), Pile!$L$38,0)</f>
        <v>0.44688733902318017</v>
      </c>
      <c r="P209" s="401">
        <f>IF(OR(D209="Low Density Chalk",D209="Medium Density Chalk"), Pile!$M$38,0)</f>
        <v>0</v>
      </c>
      <c r="Q209" s="417">
        <f>IF(D209="High Density Chalk", Pile!$N$38,0)</f>
        <v>0</v>
      </c>
      <c r="R209" s="401">
        <f>IF( Pile!O$38="",0, Pile!O$38)</f>
        <v>0</v>
      </c>
      <c r="S209" s="418">
        <f t="shared" si="124"/>
        <v>159.04273508495965</v>
      </c>
      <c r="T209" s="382">
        <f xml:space="preserve"> Pile!$T$38</f>
        <v>1200</v>
      </c>
      <c r="U209" s="382">
        <f t="shared" si="125"/>
        <v>159.04273508495965</v>
      </c>
      <c r="V209" s="382">
        <f t="shared" si="126"/>
        <v>13092.449831136073</v>
      </c>
      <c r="W209" s="382">
        <f xml:space="preserve"> Pile!$V$38</f>
        <v>15000</v>
      </c>
      <c r="X209" s="382">
        <f t="shared" si="127"/>
        <v>13092.449831136073</v>
      </c>
      <c r="Y209" s="419">
        <v>450</v>
      </c>
      <c r="Z209" s="430">
        <f>PI()*Y209/1000*( Pile!$C$38- Pile!$C209)</f>
        <v>29.688050576423539</v>
      </c>
      <c r="AA209" s="382">
        <f t="shared" si="128"/>
        <v>0.15904312808798329</v>
      </c>
      <c r="AB209" s="382">
        <f t="shared" si="173"/>
        <v>4721.6687630150127</v>
      </c>
      <c r="AC209" s="382">
        <f>Z209* Pile!$S$38</f>
        <v>0</v>
      </c>
      <c r="AD209" s="382">
        <f t="shared" si="179"/>
        <v>4721.6687630150127</v>
      </c>
      <c r="AE209" s="382">
        <f>IF(AD209&gt;0,+AD209)/ 'Pile Data and Eurocode Factors'!$B$19/ 'Pile Data and Eurocode Factors'!$B$20+AE$195</f>
        <v>2490.4657064117355</v>
      </c>
      <c r="AF209" s="382">
        <f t="shared" si="186"/>
        <v>2082.2641754788697</v>
      </c>
      <c r="AG209" s="382">
        <f>AA209* Pile!$U$38</f>
        <v>0</v>
      </c>
      <c r="AH209" s="382">
        <f t="shared" si="129"/>
        <v>2082.2641754788697</v>
      </c>
      <c r="AI209" s="382">
        <f>AH209/ 'Pile Data and Eurocode Factors'!$C$19/ 'Pile Data and Eurocode Factors'!$C$20</f>
        <v>874.90091406675208</v>
      </c>
      <c r="AJ209" s="382">
        <f t="shared" si="130"/>
        <v>3365.3666204784877</v>
      </c>
      <c r="AK209" s="382">
        <f>VLOOKUP(Y209, 'Pile Data and Eurocode Factors'!$A$34:$J$39,3, FALSE)</f>
        <v>2366.1761868507956</v>
      </c>
      <c r="AL209" s="403">
        <f t="shared" si="131"/>
        <v>2366.1761868507956</v>
      </c>
      <c r="AM209" s="419">
        <v>600</v>
      </c>
      <c r="AN209" s="430">
        <f>PI()*AM209/1000*( Pile!$C$38- Pile!$C209)</f>
        <v>39.58406743523139</v>
      </c>
      <c r="AO209" s="382">
        <f t="shared" si="132"/>
        <v>0.28274333882308139</v>
      </c>
      <c r="AP209" s="382">
        <f t="shared" si="174"/>
        <v>6295.5583506866842</v>
      </c>
      <c r="AQ209" s="382">
        <f>AN209* Pile!$S$38</f>
        <v>0</v>
      </c>
      <c r="AR209" s="382">
        <f t="shared" si="180"/>
        <v>6295.5583506866842</v>
      </c>
      <c r="AS209" s="382">
        <f>IF(AR209&gt;0,+AR209)/ 'Pile Data and Eurocode Factors'!$B$19/ 'Pile Data and Eurocode Factors'!$B$20+AS$195</f>
        <v>3320.6209418823146</v>
      </c>
      <c r="AT209" s="382">
        <f t="shared" si="187"/>
        <v>3701.8029786291013</v>
      </c>
      <c r="AU209" s="382">
        <f>AO209* Pile!$U$38</f>
        <v>0</v>
      </c>
      <c r="AV209" s="382">
        <f t="shared" si="133"/>
        <v>3701.8029786291013</v>
      </c>
      <c r="AW209" s="382">
        <f>AV209/ 'Pile Data and Eurocode Factors'!$C$19/ 'Pile Data and Eurocode Factors'!$C$20</f>
        <v>1555.3794027853369</v>
      </c>
      <c r="AX209" s="382">
        <f t="shared" si="134"/>
        <v>4876.000344667651</v>
      </c>
      <c r="AY209" s="382">
        <f>VLOOKUP(AM209, 'Pile Data and Eurocode Factors'!$A$34:$J$39,3, FALSE)</f>
        <v>4206.5354432903041</v>
      </c>
      <c r="AZ209" s="403">
        <f t="shared" si="135"/>
        <v>4206.5354432903041</v>
      </c>
      <c r="BA209" s="419">
        <v>750</v>
      </c>
      <c r="BB209" s="430">
        <f>PI()*BA209/1000*( Pile!$C$38- Pile!$C209)</f>
        <v>49.48008429403923</v>
      </c>
      <c r="BC209" s="382">
        <f t="shared" si="136"/>
        <v>0.44178646691106466</v>
      </c>
      <c r="BD209" s="382">
        <f t="shared" si="175"/>
        <v>7869.4479383583539</v>
      </c>
      <c r="BE209" s="382">
        <f>BB209* Pile!$S$38</f>
        <v>0</v>
      </c>
      <c r="BF209" s="382">
        <f t="shared" si="181"/>
        <v>7869.4479383583539</v>
      </c>
      <c r="BG209" s="382">
        <f>IF(BF209&gt;0,+BF209)/ 'Pile Data and Eurocode Factors'!$B$19/ 'Pile Data and Eurocode Factors'!$B$20+BG$195</f>
        <v>4150.7761773528919</v>
      </c>
      <c r="BH209" s="382">
        <f t="shared" si="188"/>
        <v>5784.067154107971</v>
      </c>
      <c r="BI209" s="382">
        <f>BC209* Pile!$U$38</f>
        <v>0</v>
      </c>
      <c r="BJ209" s="382">
        <f t="shared" si="137"/>
        <v>5784.067154107971</v>
      </c>
      <c r="BK209" s="382">
        <f>BJ209/ 'Pile Data and Eurocode Factors'!$C$19/ 'Pile Data and Eurocode Factors'!$C$20</f>
        <v>2430.2803168520886</v>
      </c>
      <c r="BL209" s="382">
        <f t="shared" si="138"/>
        <v>6581.0564942049805</v>
      </c>
      <c r="BM209" s="382">
        <f>VLOOKUP(BA209, 'Pile Data and Eurocode Factors'!$A$34:$J$39,3, FALSE)</f>
        <v>6572.7116301410997</v>
      </c>
      <c r="BN209" s="403">
        <f t="shared" si="139"/>
        <v>6572.7116301410997</v>
      </c>
      <c r="BO209" s="419">
        <v>900</v>
      </c>
      <c r="BP209" s="430">
        <f>PI()*BO209/1000*( Pile!$C$38- Pile!$C209)</f>
        <v>59.376101152847077</v>
      </c>
      <c r="BQ209" s="382">
        <f t="shared" si="140"/>
        <v>0.63617251235193317</v>
      </c>
      <c r="BR209" s="382">
        <f t="shared" si="176"/>
        <v>9443.3375260300254</v>
      </c>
      <c r="BS209" s="382">
        <f>BP209* Pile!$S$38</f>
        <v>0</v>
      </c>
      <c r="BT209" s="382">
        <f t="shared" si="182"/>
        <v>9443.3375260300254</v>
      </c>
      <c r="BU209" s="382">
        <f>IF(BT209&gt;0,+BT209)/ 'Pile Data and Eurocode Factors'!$B$19/ 'Pile Data and Eurocode Factors'!$B$20+BU$195</f>
        <v>4980.931412823471</v>
      </c>
      <c r="BV209" s="382">
        <f t="shared" si="189"/>
        <v>8329.0567019154787</v>
      </c>
      <c r="BW209" s="382">
        <f>BQ209* Pile!$U$38</f>
        <v>0</v>
      </c>
      <c r="BX209" s="382">
        <f t="shared" si="141"/>
        <v>8329.0567019154787</v>
      </c>
      <c r="BY209" s="382">
        <f>BX209/ 'Pile Data and Eurocode Factors'!$C$19/ 'Pile Data and Eurocode Factors'!$C$20</f>
        <v>3499.6036562670083</v>
      </c>
      <c r="BZ209" s="382">
        <f t="shared" si="142"/>
        <v>8480.5350690904797</v>
      </c>
      <c r="CA209" s="382">
        <f>VLOOKUP(BO209, 'Pile Data and Eurocode Factors'!$A$34:$J$39,3, FALSE)</f>
        <v>9464.7047474031824</v>
      </c>
      <c r="CB209" s="403">
        <f t="shared" si="143"/>
        <v>8480.5350690904797</v>
      </c>
      <c r="CC209" s="419">
        <v>1050</v>
      </c>
      <c r="CD209" s="430">
        <f>PI()*CC209/1000*( Pile!$C$38- Pile!$C209)</f>
        <v>69.272118011654925</v>
      </c>
      <c r="CE209" s="382">
        <f t="shared" si="144"/>
        <v>0.86590147514568672</v>
      </c>
      <c r="CF209" s="382">
        <f t="shared" si="177"/>
        <v>11017.227113701696</v>
      </c>
      <c r="CG209" s="382">
        <f>CD209* Pile!$S$38</f>
        <v>0</v>
      </c>
      <c r="CH209" s="382">
        <f t="shared" si="183"/>
        <v>11017.227113701696</v>
      </c>
      <c r="CI209" s="382">
        <f>IF(CH209&gt;0,+CH209)/ 'Pile Data and Eurocode Factors'!$B$19/ 'Pile Data and Eurocode Factors'!$B$20+CI$195</f>
        <v>5811.0866482940492</v>
      </c>
      <c r="CJ209" s="382">
        <f t="shared" si="190"/>
        <v>11336.771622051623</v>
      </c>
      <c r="CK209" s="382">
        <f>CE209* Pile!$U$38</f>
        <v>0</v>
      </c>
      <c r="CL209" s="382">
        <f t="shared" si="145"/>
        <v>11336.771622051623</v>
      </c>
      <c r="CM209" s="382">
        <f>CL209/ 'Pile Data and Eurocode Factors'!$C$19/ 'Pile Data and Eurocode Factors'!$C$20</f>
        <v>4763.3494210300942</v>
      </c>
      <c r="CN209" s="382">
        <f t="shared" si="146"/>
        <v>10574.436069324143</v>
      </c>
      <c r="CO209" s="382">
        <f>VLOOKUP(CC209, 'Pile Data and Eurocode Factors'!$A$34:$J$39,3, FALSE)</f>
        <v>12882.514795076555</v>
      </c>
      <c r="CP209" s="403">
        <f t="shared" si="147"/>
        <v>10574.436069324143</v>
      </c>
      <c r="CQ209" s="419">
        <v>1200</v>
      </c>
      <c r="CR209" s="430">
        <f>PI()*CQ209/1000*( Pile!$C$38- Pile!$C209)</f>
        <v>79.168134870462779</v>
      </c>
      <c r="CS209" s="382">
        <f t="shared" si="148"/>
        <v>1.1309733552923256</v>
      </c>
      <c r="CT209" s="382">
        <f t="shared" si="178"/>
        <v>12591.116701373368</v>
      </c>
      <c r="CU209" s="382">
        <f>CR209* Pile!$S$38</f>
        <v>0</v>
      </c>
      <c r="CV209" s="382">
        <f t="shared" si="184"/>
        <v>12591.116701373368</v>
      </c>
      <c r="CW209" s="382">
        <f>IF(CV209&gt;0,+CV209)/ 'Pile Data and Eurocode Factors'!$B$19/ 'Pile Data and Eurocode Factors'!$B$20+CW$195</f>
        <v>6641.2418837646292</v>
      </c>
      <c r="CX209" s="382">
        <f t="shared" si="191"/>
        <v>14807.211914516405</v>
      </c>
      <c r="CY209" s="382">
        <f>CS209* Pile!$U$38</f>
        <v>0</v>
      </c>
      <c r="CZ209" s="382">
        <f t="shared" si="149"/>
        <v>14807.211914516405</v>
      </c>
      <c r="DA209" s="382">
        <f>CZ209/ 'Pile Data and Eurocode Factors'!$C$19/ 'Pile Data and Eurocode Factors'!$C$20</f>
        <v>6221.5176111413475</v>
      </c>
      <c r="DB209" s="382">
        <f t="shared" si="150"/>
        <v>12862.759494905977</v>
      </c>
      <c r="DC209" s="382">
        <f>VLOOKUP(CQ209, 'Pile Data and Eurocode Factors'!$A$34:$J$39,3, FALSE)</f>
        <v>16826.141773161216</v>
      </c>
      <c r="DD209" s="403">
        <f t="shared" si="151"/>
        <v>12862.759494905977</v>
      </c>
      <c r="DE209" s="420">
        <f xml:space="preserve"> Pile!$C$23- Pile!C209</f>
        <v>33</v>
      </c>
      <c r="DG209" s="382">
        <f t="shared" si="152"/>
        <v>2366.1761868507956</v>
      </c>
      <c r="DH209" s="382">
        <f t="shared" si="153"/>
        <v>4206.5354432903041</v>
      </c>
      <c r="DI209" s="382">
        <f t="shared" si="154"/>
        <v>6572.7116301410997</v>
      </c>
      <c r="DJ209" s="382"/>
      <c r="DK209" s="382"/>
      <c r="DL209" s="382"/>
    </row>
    <row r="210" spans="2:116" s="308" customFormat="1" ht="15">
      <c r="B210" s="400">
        <v>15</v>
      </c>
      <c r="C210" s="401">
        <f>+C209- Pile!D$38/20</f>
        <v>-28.499999999999996</v>
      </c>
      <c r="D210" s="415" t="str">
        <f>B25</f>
        <v>Medium Sand/Gravel</v>
      </c>
      <c r="E210" s="415" t="str">
        <f>F25</f>
        <v>Granular</v>
      </c>
      <c r="F210" s="401">
        <f xml:space="preserve"> Pile!$E$38*(+C209-C210)+F209</f>
        <v>648.75000000000011</v>
      </c>
      <c r="G210" s="401">
        <f>IF(C210&gt; Pile!$C$41,0,( Pile!$C$41-C210)*9.81)</f>
        <v>132.43499999999997</v>
      </c>
      <c r="H210" s="401">
        <f t="shared" si="122"/>
        <v>516.31500000000017</v>
      </c>
      <c r="I210" s="401">
        <f t="shared" si="192"/>
        <v>363.15750000000014</v>
      </c>
      <c r="J210" s="401">
        <f>IF(E210="Cohesive",(( Pile!$H$38- Pile!$G$38)/20)+J209,0)</f>
        <v>0</v>
      </c>
      <c r="K210" s="401">
        <f>IF(E210="Cohesive",( Pile!$G$38+ Pile!$J210)/2,0)</f>
        <v>0</v>
      </c>
      <c r="L210" s="401" t="str">
        <f>IF( Pile!I$38="",0, Pile!I$38)</f>
        <v>0</v>
      </c>
      <c r="M210" s="401" t="str">
        <f>IF( Pile!J$38="",0, Pile!J$38)</f>
        <v>0</v>
      </c>
      <c r="N210" s="401">
        <f>IF(E210="Granular", Pile!$K$38,0)</f>
        <v>26.092012099198989</v>
      </c>
      <c r="O210" s="416">
        <f>IF(AND(E210="Granular",D210&lt;&gt;"Made Ground"), Pile!$L$38,0)</f>
        <v>0.44688733902318017</v>
      </c>
      <c r="P210" s="401">
        <f>IF(OR(D210="Low Density Chalk",D210="Medium Density Chalk"), Pile!$M$38,0)</f>
        <v>0</v>
      </c>
      <c r="Q210" s="417">
        <f>IF(D210="High Density Chalk", Pile!$N$38,0)</f>
        <v>0</v>
      </c>
      <c r="R210" s="401">
        <f>IF( Pile!O$38="",0, Pile!O$38)</f>
        <v>0</v>
      </c>
      <c r="S210" s="418">
        <f t="shared" si="124"/>
        <v>162.29048882131062</v>
      </c>
      <c r="T210" s="382">
        <f xml:space="preserve"> Pile!$T$38</f>
        <v>1200</v>
      </c>
      <c r="U210" s="382">
        <f t="shared" si="125"/>
        <v>162.29048882131062</v>
      </c>
      <c r="V210" s="382">
        <f t="shared" si="126"/>
        <v>13471.697226997931</v>
      </c>
      <c r="W210" s="382">
        <f xml:space="preserve"> Pile!$V$38</f>
        <v>15000</v>
      </c>
      <c r="X210" s="382">
        <f t="shared" si="127"/>
        <v>13471.697226997931</v>
      </c>
      <c r="Y210" s="419">
        <v>450</v>
      </c>
      <c r="Z210" s="430">
        <f>PI()*Y210/1000*( Pile!$C$38- Pile!$C210)</f>
        <v>31.80862561759665</v>
      </c>
      <c r="AA210" s="382">
        <f t="shared" si="128"/>
        <v>0.15904312808798329</v>
      </c>
      <c r="AB210" s="382">
        <f t="shared" si="173"/>
        <v>5162.237400213824</v>
      </c>
      <c r="AC210" s="382">
        <f>Z210* Pile!$S$38</f>
        <v>0</v>
      </c>
      <c r="AD210" s="382">
        <f t="shared" si="179"/>
        <v>5162.237400213824</v>
      </c>
      <c r="AE210" s="382">
        <f>IF(AD210&gt;0,+AD210)/ 'Pile Data and Eurocode Factors'!$B$19/ 'Pile Data and Eurocode Factors'!$B$20+AE$195</f>
        <v>2700.2602955540269</v>
      </c>
      <c r="AF210" s="382">
        <f t="shared" si="186"/>
        <v>2142.5808676359611</v>
      </c>
      <c r="AG210" s="382">
        <f>AA210* Pile!$U$38</f>
        <v>0</v>
      </c>
      <c r="AH210" s="382">
        <f t="shared" si="129"/>
        <v>2142.5808676359611</v>
      </c>
      <c r="AI210" s="382">
        <f>AH210/ 'Pile Data and Eurocode Factors'!$C$19/ 'Pile Data and Eurocode Factors'!$C$20</f>
        <v>900.24406203191654</v>
      </c>
      <c r="AJ210" s="382">
        <f t="shared" si="130"/>
        <v>3600.5043575859436</v>
      </c>
      <c r="AK210" s="382">
        <f>VLOOKUP(Y210, 'Pile Data and Eurocode Factors'!$A$34:$J$39,3, FALSE)</f>
        <v>2366.1761868507956</v>
      </c>
      <c r="AL210" s="403">
        <f t="shared" si="131"/>
        <v>2366.1761868507956</v>
      </c>
      <c r="AM210" s="419">
        <v>600</v>
      </c>
      <c r="AN210" s="430">
        <f>PI()*AM210/1000*( Pile!$C$38- Pile!$C210)</f>
        <v>42.411500823462198</v>
      </c>
      <c r="AO210" s="382">
        <f t="shared" si="132"/>
        <v>0.28274333882308139</v>
      </c>
      <c r="AP210" s="382">
        <f t="shared" si="174"/>
        <v>6882.9832002850981</v>
      </c>
      <c r="AQ210" s="382">
        <f>AN210* Pile!$S$38</f>
        <v>0</v>
      </c>
      <c r="AR210" s="382">
        <f t="shared" si="180"/>
        <v>6882.9832002850981</v>
      </c>
      <c r="AS210" s="382">
        <f>IF(AR210&gt;0,+AR210)/ 'Pile Data and Eurocode Factors'!$B$19/ 'Pile Data and Eurocode Factors'!$B$20+AS$195</f>
        <v>3600.3470607387017</v>
      </c>
      <c r="AT210" s="382">
        <f t="shared" si="187"/>
        <v>3809.0326535750419</v>
      </c>
      <c r="AU210" s="382">
        <f>AO210* Pile!$U$38</f>
        <v>0</v>
      </c>
      <c r="AV210" s="382">
        <f t="shared" si="133"/>
        <v>3809.0326535750419</v>
      </c>
      <c r="AW210" s="382">
        <f>AV210/ 'Pile Data and Eurocode Factors'!$C$19/ 'Pile Data and Eurocode Factors'!$C$20</f>
        <v>1600.4338880567404</v>
      </c>
      <c r="AX210" s="382">
        <f t="shared" si="134"/>
        <v>5200.7809487954419</v>
      </c>
      <c r="AY210" s="382">
        <f>VLOOKUP(AM210, 'Pile Data and Eurocode Factors'!$A$34:$J$39,3, FALSE)</f>
        <v>4206.5354432903041</v>
      </c>
      <c r="AZ210" s="403">
        <f t="shared" si="135"/>
        <v>4206.5354432903041</v>
      </c>
      <c r="BA210" s="419">
        <v>750</v>
      </c>
      <c r="BB210" s="430">
        <f>PI()*BA210/1000*( Pile!$C$38- Pile!$C210)</f>
        <v>53.01437602932775</v>
      </c>
      <c r="BC210" s="382">
        <f t="shared" si="136"/>
        <v>0.44178646691106466</v>
      </c>
      <c r="BD210" s="382">
        <f t="shared" si="175"/>
        <v>8603.7290003563721</v>
      </c>
      <c r="BE210" s="382">
        <f>BB210* Pile!$S$38</f>
        <v>0</v>
      </c>
      <c r="BF210" s="382">
        <f t="shared" si="181"/>
        <v>8603.7290003563721</v>
      </c>
      <c r="BG210" s="382">
        <f>IF(BF210&gt;0,+BF210)/ 'Pile Data and Eurocode Factors'!$B$19/ 'Pile Data and Eurocode Factors'!$B$20+BG$195</f>
        <v>4500.4338259233773</v>
      </c>
      <c r="BH210" s="382">
        <f t="shared" si="188"/>
        <v>5951.613521211003</v>
      </c>
      <c r="BI210" s="382">
        <f>BC210* Pile!$U$38</f>
        <v>0</v>
      </c>
      <c r="BJ210" s="382">
        <f t="shared" si="137"/>
        <v>5951.613521211003</v>
      </c>
      <c r="BK210" s="382">
        <f>BJ210/ 'Pile Data and Eurocode Factors'!$C$19/ 'Pile Data and Eurocode Factors'!$C$20</f>
        <v>2500.6779500886569</v>
      </c>
      <c r="BL210" s="382">
        <f t="shared" si="138"/>
        <v>7001.1117760120342</v>
      </c>
      <c r="BM210" s="382">
        <f>VLOOKUP(BA210, 'Pile Data and Eurocode Factors'!$A$34:$J$39,3, FALSE)</f>
        <v>6572.7116301410997</v>
      </c>
      <c r="BN210" s="403">
        <f t="shared" si="139"/>
        <v>6572.7116301410997</v>
      </c>
      <c r="BO210" s="419">
        <v>900</v>
      </c>
      <c r="BP210" s="430">
        <f>PI()*BO210/1000*( Pile!$C$38- Pile!$C210)</f>
        <v>63.617251235193301</v>
      </c>
      <c r="BQ210" s="382">
        <f t="shared" si="140"/>
        <v>0.63617251235193317</v>
      </c>
      <c r="BR210" s="382">
        <f t="shared" si="176"/>
        <v>10324.474800427648</v>
      </c>
      <c r="BS210" s="382">
        <f>BP210* Pile!$S$38</f>
        <v>0</v>
      </c>
      <c r="BT210" s="382">
        <f t="shared" si="182"/>
        <v>10324.474800427648</v>
      </c>
      <c r="BU210" s="382">
        <f>IF(BT210&gt;0,+BT210)/ 'Pile Data and Eurocode Factors'!$B$19/ 'Pile Data and Eurocode Factors'!$B$20+BU$195</f>
        <v>5400.5205911080538</v>
      </c>
      <c r="BV210" s="382">
        <f t="shared" si="189"/>
        <v>8570.3234705438445</v>
      </c>
      <c r="BW210" s="382">
        <f>BQ210* Pile!$U$38</f>
        <v>0</v>
      </c>
      <c r="BX210" s="382">
        <f t="shared" si="141"/>
        <v>8570.3234705438445</v>
      </c>
      <c r="BY210" s="382">
        <f>BX210/ 'Pile Data and Eurocode Factors'!$C$19/ 'Pile Data and Eurocode Factors'!$C$20</f>
        <v>3600.9762481276662</v>
      </c>
      <c r="BZ210" s="382">
        <f t="shared" si="142"/>
        <v>9001.4968392357205</v>
      </c>
      <c r="CA210" s="382">
        <f>VLOOKUP(BO210, 'Pile Data and Eurocode Factors'!$A$34:$J$39,3, FALSE)</f>
        <v>9464.7047474031824</v>
      </c>
      <c r="CB210" s="403">
        <f t="shared" si="143"/>
        <v>9001.4968392357205</v>
      </c>
      <c r="CC210" s="419">
        <v>1050</v>
      </c>
      <c r="CD210" s="430">
        <f>PI()*CC210/1000*( Pile!$C$38- Pile!$C210)</f>
        <v>74.220126441058852</v>
      </c>
      <c r="CE210" s="382">
        <f t="shared" si="144"/>
        <v>0.86590147514568672</v>
      </c>
      <c r="CF210" s="382">
        <f t="shared" si="177"/>
        <v>12045.220600498922</v>
      </c>
      <c r="CG210" s="382">
        <f>CD210* Pile!$S$38</f>
        <v>0</v>
      </c>
      <c r="CH210" s="382">
        <f t="shared" si="183"/>
        <v>12045.220600498922</v>
      </c>
      <c r="CI210" s="382">
        <f>IF(CH210&gt;0,+CH210)/ 'Pile Data and Eurocode Factors'!$B$19/ 'Pile Data and Eurocode Factors'!$B$20+CI$195</f>
        <v>6300.6073562927286</v>
      </c>
      <c r="CJ210" s="382">
        <f t="shared" si="190"/>
        <v>11665.162501573564</v>
      </c>
      <c r="CK210" s="382">
        <f>CE210* Pile!$U$38</f>
        <v>0</v>
      </c>
      <c r="CL210" s="382">
        <f t="shared" si="145"/>
        <v>11665.162501573564</v>
      </c>
      <c r="CM210" s="382">
        <f>CL210/ 'Pile Data and Eurocode Factors'!$C$19/ 'Pile Data and Eurocode Factors'!$C$20</f>
        <v>4901.3287821737667</v>
      </c>
      <c r="CN210" s="382">
        <f t="shared" si="146"/>
        <v>11201.936138466495</v>
      </c>
      <c r="CO210" s="382">
        <f>VLOOKUP(CC210, 'Pile Data and Eurocode Factors'!$A$34:$J$39,3, FALSE)</f>
        <v>12882.514795076555</v>
      </c>
      <c r="CP210" s="403">
        <f t="shared" si="147"/>
        <v>11201.936138466495</v>
      </c>
      <c r="CQ210" s="419">
        <v>1200</v>
      </c>
      <c r="CR210" s="430">
        <f>PI()*CQ210/1000*( Pile!$C$38- Pile!$C210)</f>
        <v>84.823001646924396</v>
      </c>
      <c r="CS210" s="382">
        <f t="shared" si="148"/>
        <v>1.1309733552923256</v>
      </c>
      <c r="CT210" s="382">
        <f t="shared" si="178"/>
        <v>13765.966400570196</v>
      </c>
      <c r="CU210" s="382">
        <f>CR210* Pile!$S$38</f>
        <v>0</v>
      </c>
      <c r="CV210" s="382">
        <f t="shared" si="184"/>
        <v>13765.966400570196</v>
      </c>
      <c r="CW210" s="382">
        <f>IF(CV210&gt;0,+CV210)/ 'Pile Data and Eurocode Factors'!$B$19/ 'Pile Data and Eurocode Factors'!$B$20+CW$195</f>
        <v>7200.6941214774033</v>
      </c>
      <c r="CX210" s="382">
        <f t="shared" si="191"/>
        <v>15236.130614300168</v>
      </c>
      <c r="CY210" s="382">
        <f>CS210* Pile!$U$38</f>
        <v>0</v>
      </c>
      <c r="CZ210" s="382">
        <f t="shared" si="149"/>
        <v>15236.130614300168</v>
      </c>
      <c r="DA210" s="382">
        <f>CZ210/ 'Pile Data and Eurocode Factors'!$C$19/ 'Pile Data and Eurocode Factors'!$C$20</f>
        <v>6401.7355522269618</v>
      </c>
      <c r="DB210" s="382">
        <f t="shared" si="150"/>
        <v>13602.429673704366</v>
      </c>
      <c r="DC210" s="382">
        <f>VLOOKUP(CQ210, 'Pile Data and Eurocode Factors'!$A$34:$J$39,3, FALSE)</f>
        <v>16826.141773161216</v>
      </c>
      <c r="DD210" s="403">
        <f t="shared" si="151"/>
        <v>13602.429673704366</v>
      </c>
      <c r="DE210" s="420">
        <f xml:space="preserve"> Pile!$C$23- Pile!C210</f>
        <v>34.5</v>
      </c>
      <c r="DG210" s="382">
        <f t="shared" si="152"/>
        <v>2366.1761868507956</v>
      </c>
      <c r="DH210" s="382">
        <f t="shared" si="153"/>
        <v>4206.5354432903041</v>
      </c>
      <c r="DI210" s="382">
        <f t="shared" si="154"/>
        <v>6572.7116301410997</v>
      </c>
      <c r="DJ210" s="382"/>
      <c r="DK210" s="382"/>
      <c r="DL210" s="382"/>
    </row>
    <row r="211" spans="2:116" s="308" customFormat="1" ht="15">
      <c r="B211" s="400">
        <v>16</v>
      </c>
      <c r="C211" s="401">
        <f>+C210- Pile!D$38/20</f>
        <v>-29.999999999999996</v>
      </c>
      <c r="D211" s="415" t="str">
        <f>B25</f>
        <v>Medium Sand/Gravel</v>
      </c>
      <c r="E211" s="415" t="str">
        <f>F25</f>
        <v>Granular</v>
      </c>
      <c r="F211" s="401">
        <f xml:space="preserve"> Pile!$E$38*(+C210-C211)+F210</f>
        <v>678.00000000000011</v>
      </c>
      <c r="G211" s="401">
        <f>IF(C211&gt; Pile!$C$41,0,( Pile!$C$41-C211)*9.81)</f>
        <v>147.14999999999998</v>
      </c>
      <c r="H211" s="401">
        <f t="shared" si="122"/>
        <v>530.85000000000014</v>
      </c>
      <c r="I211" s="401">
        <f t="shared" si="192"/>
        <v>370.42500000000013</v>
      </c>
      <c r="J211" s="401">
        <f>IF(E211="Cohesive",(( Pile!$H$38- Pile!$G$38)/20)+J210,0)</f>
        <v>0</v>
      </c>
      <c r="K211" s="401">
        <f>IF(E211="Cohesive",( Pile!$G$38+ Pile!$J211)/2,0)</f>
        <v>0</v>
      </c>
      <c r="L211" s="401" t="str">
        <f>IF( Pile!I$38="",0, Pile!I$38)</f>
        <v>0</v>
      </c>
      <c r="M211" s="401" t="str">
        <f>IF( Pile!J$38="",0, Pile!J$38)</f>
        <v>0</v>
      </c>
      <c r="N211" s="401">
        <f>IF(E211="Granular", Pile!$K$38,0)</f>
        <v>26.092012099198989</v>
      </c>
      <c r="O211" s="416">
        <f>IF(AND(E211="Granular",D211&lt;&gt;"Made Ground"), Pile!$L$38,0)</f>
        <v>0.44688733902318017</v>
      </c>
      <c r="P211" s="401">
        <f>IF(OR(D211="Low Density Chalk",D211="Medium Density Chalk"), Pile!$M$38,0)</f>
        <v>0</v>
      </c>
      <c r="Q211" s="417">
        <f>IF(D211="High Density Chalk", Pile!$N$38,0)</f>
        <v>0</v>
      </c>
      <c r="R211" s="401">
        <f>IF( Pile!O$38="",0, Pile!O$38)</f>
        <v>0</v>
      </c>
      <c r="S211" s="418">
        <f t="shared" si="124"/>
        <v>165.53824255766156</v>
      </c>
      <c r="T211" s="382">
        <f xml:space="preserve"> Pile!$T$38</f>
        <v>1200</v>
      </c>
      <c r="U211" s="382">
        <f t="shared" si="125"/>
        <v>165.53824255766156</v>
      </c>
      <c r="V211" s="382">
        <f t="shared" si="126"/>
        <v>13850.944622859786</v>
      </c>
      <c r="W211" s="382">
        <f xml:space="preserve"> Pile!$V$38</f>
        <v>15000</v>
      </c>
      <c r="X211" s="382">
        <f t="shared" si="127"/>
        <v>13850.944622859786</v>
      </c>
      <c r="Y211" s="419">
        <v>450</v>
      </c>
      <c r="Z211" s="430">
        <f>PI()*Y211/1000*( Pile!$C$38- Pile!$C211)</f>
        <v>33.929200658769759</v>
      </c>
      <c r="AA211" s="382">
        <f t="shared" si="128"/>
        <v>0.15904312808798329</v>
      </c>
      <c r="AB211" s="382">
        <f t="shared" si="173"/>
        <v>5616.5802484389988</v>
      </c>
      <c r="AC211" s="382">
        <f>Z211* Pile!$S$38</f>
        <v>0</v>
      </c>
      <c r="AD211" s="382">
        <f t="shared" si="179"/>
        <v>5616.5802484389988</v>
      </c>
      <c r="AE211" s="382">
        <f>IF(AD211&gt;0,+AD211)/ 'Pile Data and Eurocode Factors'!$B$19/ 'Pile Data and Eurocode Factors'!$B$20+AE$195</f>
        <v>2916.6140328041101</v>
      </c>
      <c r="AF211" s="382">
        <f t="shared" si="186"/>
        <v>2202.8975597930526</v>
      </c>
      <c r="AG211" s="382">
        <f>AA211* Pile!$U$38</f>
        <v>0</v>
      </c>
      <c r="AH211" s="382">
        <f t="shared" si="129"/>
        <v>2202.8975597930526</v>
      </c>
      <c r="AI211" s="382">
        <f>AH211/ 'Pile Data and Eurocode Factors'!$C$19/ 'Pile Data and Eurocode Factors'!$C$20</f>
        <v>925.58720999708089</v>
      </c>
      <c r="AJ211" s="382">
        <f t="shared" si="130"/>
        <v>3842.2012428011913</v>
      </c>
      <c r="AK211" s="382">
        <f>VLOOKUP(Y211, 'Pile Data and Eurocode Factors'!$A$34:$J$39,3, FALSE)</f>
        <v>2366.1761868507956</v>
      </c>
      <c r="AL211" s="403">
        <f t="shared" si="131"/>
        <v>2366.1761868507956</v>
      </c>
      <c r="AM211" s="419">
        <v>600</v>
      </c>
      <c r="AN211" s="430">
        <f>PI()*AM211/1000*( Pile!$C$38- Pile!$C211)</f>
        <v>45.238934211693014</v>
      </c>
      <c r="AO211" s="382">
        <f t="shared" si="132"/>
        <v>0.28274333882308139</v>
      </c>
      <c r="AP211" s="382">
        <f t="shared" si="174"/>
        <v>7488.773664585332</v>
      </c>
      <c r="AQ211" s="382">
        <f>AN211* Pile!$S$38</f>
        <v>0</v>
      </c>
      <c r="AR211" s="382">
        <f t="shared" si="180"/>
        <v>7488.773664585332</v>
      </c>
      <c r="AS211" s="382">
        <f>IF(AR211&gt;0,+AR211)/ 'Pile Data and Eurocode Factors'!$B$19/ 'Pile Data and Eurocode Factors'!$B$20+AS$195</f>
        <v>3888.8187104054805</v>
      </c>
      <c r="AT211" s="382">
        <f t="shared" si="187"/>
        <v>3916.262328520982</v>
      </c>
      <c r="AU211" s="382">
        <f>AO211* Pile!$U$38</f>
        <v>0</v>
      </c>
      <c r="AV211" s="382">
        <f t="shared" si="133"/>
        <v>3916.262328520982</v>
      </c>
      <c r="AW211" s="382">
        <f>AV211/ 'Pile Data and Eurocode Factors'!$C$19/ 'Pile Data and Eurocode Factors'!$C$20</f>
        <v>1645.4883733281438</v>
      </c>
      <c r="AX211" s="382">
        <f t="shared" si="134"/>
        <v>5534.3070837336245</v>
      </c>
      <c r="AY211" s="382">
        <f>VLOOKUP(AM211, 'Pile Data and Eurocode Factors'!$A$34:$J$39,3, FALSE)</f>
        <v>4206.5354432903041</v>
      </c>
      <c r="AZ211" s="403">
        <f t="shared" si="135"/>
        <v>4206.5354432903041</v>
      </c>
      <c r="BA211" s="419">
        <v>750</v>
      </c>
      <c r="BB211" s="430">
        <f>PI()*BA211/1000*( Pile!$C$38- Pile!$C211)</f>
        <v>56.548667764616269</v>
      </c>
      <c r="BC211" s="382">
        <f t="shared" si="136"/>
        <v>0.44178646691106466</v>
      </c>
      <c r="BD211" s="382">
        <f t="shared" si="175"/>
        <v>9360.9670807316652</v>
      </c>
      <c r="BE211" s="382">
        <f>BB211* Pile!$S$38</f>
        <v>0</v>
      </c>
      <c r="BF211" s="382">
        <f t="shared" si="181"/>
        <v>9360.9670807316652</v>
      </c>
      <c r="BG211" s="382">
        <f>IF(BF211&gt;0,+BF211)/ 'Pile Data and Eurocode Factors'!$B$19/ 'Pile Data and Eurocode Factors'!$B$20+BG$195</f>
        <v>4861.0233880068499</v>
      </c>
      <c r="BH211" s="382">
        <f t="shared" si="188"/>
        <v>6119.1598883140341</v>
      </c>
      <c r="BI211" s="382">
        <f>BC211* Pile!$U$38</f>
        <v>0</v>
      </c>
      <c r="BJ211" s="382">
        <f t="shared" si="137"/>
        <v>6119.1598883140341</v>
      </c>
      <c r="BK211" s="382">
        <f>BJ211/ 'Pile Data and Eurocode Factors'!$C$19/ 'Pile Data and Eurocode Factors'!$C$20</f>
        <v>2571.0755833252247</v>
      </c>
      <c r="BL211" s="382">
        <f t="shared" si="138"/>
        <v>7432.0989713320741</v>
      </c>
      <c r="BM211" s="382">
        <f>VLOOKUP(BA211, 'Pile Data and Eurocode Factors'!$A$34:$J$39,3, FALSE)</f>
        <v>6572.7116301410997</v>
      </c>
      <c r="BN211" s="403">
        <f t="shared" si="139"/>
        <v>6572.7116301410997</v>
      </c>
      <c r="BO211" s="419">
        <v>900</v>
      </c>
      <c r="BP211" s="430">
        <f>PI()*BO211/1000*( Pile!$C$38- Pile!$C211)</f>
        <v>67.858401317539517</v>
      </c>
      <c r="BQ211" s="382">
        <f t="shared" si="140"/>
        <v>0.63617251235193317</v>
      </c>
      <c r="BR211" s="382">
        <f t="shared" si="176"/>
        <v>11233.160496877998</v>
      </c>
      <c r="BS211" s="382">
        <f>BP211* Pile!$S$38</f>
        <v>0</v>
      </c>
      <c r="BT211" s="382">
        <f t="shared" si="182"/>
        <v>11233.160496877998</v>
      </c>
      <c r="BU211" s="382">
        <f>IF(BT211&gt;0,+BT211)/ 'Pile Data and Eurocode Factors'!$B$19/ 'Pile Data and Eurocode Factors'!$B$20+BU$195</f>
        <v>5833.2280656082203</v>
      </c>
      <c r="BV211" s="382">
        <f t="shared" si="189"/>
        <v>8811.5902391722102</v>
      </c>
      <c r="BW211" s="382">
        <f>BQ211* Pile!$U$38</f>
        <v>0</v>
      </c>
      <c r="BX211" s="382">
        <f t="shared" si="141"/>
        <v>8811.5902391722102</v>
      </c>
      <c r="BY211" s="382">
        <f>BX211/ 'Pile Data and Eurocode Factors'!$C$19/ 'Pile Data and Eurocode Factors'!$C$20</f>
        <v>3702.3488399883236</v>
      </c>
      <c r="BZ211" s="382">
        <f t="shared" si="142"/>
        <v>9535.5769055965429</v>
      </c>
      <c r="CA211" s="382">
        <f>VLOOKUP(BO211, 'Pile Data and Eurocode Factors'!$A$34:$J$39,3, FALSE)</f>
        <v>9464.7047474031824</v>
      </c>
      <c r="CB211" s="403">
        <f t="shared" si="143"/>
        <v>9464.7047474031824</v>
      </c>
      <c r="CC211" s="419">
        <v>1050</v>
      </c>
      <c r="CD211" s="430">
        <f>PI()*CC211/1000*( Pile!$C$38- Pile!$C211)</f>
        <v>79.168134870462779</v>
      </c>
      <c r="CE211" s="382">
        <f t="shared" si="144"/>
        <v>0.86590147514568672</v>
      </c>
      <c r="CF211" s="382">
        <f t="shared" si="177"/>
        <v>13105.353913024332</v>
      </c>
      <c r="CG211" s="382">
        <f>CD211* Pile!$S$38</f>
        <v>0</v>
      </c>
      <c r="CH211" s="382">
        <f t="shared" si="183"/>
        <v>13105.353913024332</v>
      </c>
      <c r="CI211" s="382">
        <f>IF(CH211&gt;0,+CH211)/ 'Pile Data and Eurocode Factors'!$B$19/ 'Pile Data and Eurocode Factors'!$B$20+CI$195</f>
        <v>6805.4327432095897</v>
      </c>
      <c r="CJ211" s="382">
        <f t="shared" si="190"/>
        <v>11993.553381095506</v>
      </c>
      <c r="CK211" s="382">
        <f>CE211* Pile!$U$38</f>
        <v>0</v>
      </c>
      <c r="CL211" s="382">
        <f t="shared" si="145"/>
        <v>11993.553381095506</v>
      </c>
      <c r="CM211" s="382">
        <f>CL211/ 'Pile Data and Eurocode Factors'!$C$19/ 'Pile Data and Eurocode Factors'!$C$20</f>
        <v>5039.3081433174402</v>
      </c>
      <c r="CN211" s="382">
        <f t="shared" si="146"/>
        <v>11844.74088652703</v>
      </c>
      <c r="CO211" s="382">
        <f>VLOOKUP(CC211, 'Pile Data and Eurocode Factors'!$A$34:$J$39,3, FALSE)</f>
        <v>12882.514795076555</v>
      </c>
      <c r="CP211" s="403">
        <f t="shared" si="147"/>
        <v>11844.74088652703</v>
      </c>
      <c r="CQ211" s="419">
        <v>1200</v>
      </c>
      <c r="CR211" s="430">
        <f>PI()*CQ211/1000*( Pile!$C$38- Pile!$C211)</f>
        <v>90.477868423386028</v>
      </c>
      <c r="CS211" s="382">
        <f t="shared" si="148"/>
        <v>1.1309733552923256</v>
      </c>
      <c r="CT211" s="382">
        <f t="shared" si="178"/>
        <v>14977.547329170664</v>
      </c>
      <c r="CU211" s="382">
        <f>CR211* Pile!$S$38</f>
        <v>0</v>
      </c>
      <c r="CV211" s="382">
        <f t="shared" si="184"/>
        <v>14977.547329170664</v>
      </c>
      <c r="CW211" s="382">
        <f>IF(CV211&gt;0,+CV211)/ 'Pile Data and Eurocode Factors'!$B$19/ 'Pile Data and Eurocode Factors'!$B$20+CW$195</f>
        <v>7777.637420810961</v>
      </c>
      <c r="CX211" s="382">
        <f t="shared" si="191"/>
        <v>15665.049314083928</v>
      </c>
      <c r="CY211" s="382">
        <f>CS211* Pile!$U$38</f>
        <v>0</v>
      </c>
      <c r="CZ211" s="382">
        <f t="shared" si="149"/>
        <v>15665.049314083928</v>
      </c>
      <c r="DA211" s="382">
        <f>CZ211/ 'Pile Data and Eurocode Factors'!$C$19/ 'Pile Data and Eurocode Factors'!$C$20</f>
        <v>6581.9534933125751</v>
      </c>
      <c r="DB211" s="382">
        <f t="shared" si="150"/>
        <v>14359.590914123535</v>
      </c>
      <c r="DC211" s="382">
        <f>VLOOKUP(CQ211, 'Pile Data and Eurocode Factors'!$A$34:$J$39,3, FALSE)</f>
        <v>16826.141773161216</v>
      </c>
      <c r="DD211" s="403">
        <f t="shared" si="151"/>
        <v>14359.590914123535</v>
      </c>
      <c r="DE211" s="420">
        <f xml:space="preserve"> Pile!$C$23- Pile!C211</f>
        <v>36</v>
      </c>
      <c r="DG211" s="382">
        <f t="shared" si="152"/>
        <v>2366.1761868507956</v>
      </c>
      <c r="DH211" s="382">
        <f t="shared" si="153"/>
        <v>4206.5354432903041</v>
      </c>
      <c r="DI211" s="382">
        <f t="shared" si="154"/>
        <v>6572.7116301410997</v>
      </c>
      <c r="DJ211" s="382"/>
      <c r="DK211" s="382"/>
      <c r="DL211" s="382"/>
    </row>
    <row r="212" spans="2:116" s="308" customFormat="1" ht="15">
      <c r="B212" s="400">
        <v>17</v>
      </c>
      <c r="C212" s="401">
        <f>+C211- Pile!D$38/20</f>
        <v>-31.499999999999996</v>
      </c>
      <c r="D212" s="415" t="str">
        <f>B25</f>
        <v>Medium Sand/Gravel</v>
      </c>
      <c r="E212" s="415" t="str">
        <f>F25</f>
        <v>Granular</v>
      </c>
      <c r="F212" s="401">
        <f xml:space="preserve"> Pile!$E$38*(+C211-C212)+F211</f>
        <v>707.25000000000011</v>
      </c>
      <c r="G212" s="401">
        <f>IF(C212&gt; Pile!$C$41,0,( Pile!$C$41-C212)*9.81)</f>
        <v>161.86499999999998</v>
      </c>
      <c r="H212" s="401">
        <f t="shared" si="122"/>
        <v>545.3850000000001</v>
      </c>
      <c r="I212" s="401">
        <f t="shared" si="192"/>
        <v>377.69250000000011</v>
      </c>
      <c r="J212" s="401">
        <f>IF(E212="Cohesive",(( Pile!$H$38- Pile!$G$38)/20)+J211,0)</f>
        <v>0</v>
      </c>
      <c r="K212" s="401">
        <f>IF(E212="Cohesive",( Pile!$G$38+ Pile!$J212)/2,0)</f>
        <v>0</v>
      </c>
      <c r="L212" s="401" t="str">
        <f>IF( Pile!I$38="",0, Pile!I$38)</f>
        <v>0</v>
      </c>
      <c r="M212" s="401" t="str">
        <f>IF( Pile!J$38="",0, Pile!J$38)</f>
        <v>0</v>
      </c>
      <c r="N212" s="401">
        <f>IF(E212="Granular", Pile!$K$38,0)</f>
        <v>26.092012099198989</v>
      </c>
      <c r="O212" s="416">
        <f>IF(AND(E212="Granular",D212&lt;&gt;"Made Ground"), Pile!$L$38,0)</f>
        <v>0.44688733902318017</v>
      </c>
      <c r="P212" s="401">
        <f>IF(OR(D212="Low Density Chalk",D212="Medium Density Chalk"), Pile!$M$38,0)</f>
        <v>0</v>
      </c>
      <c r="Q212" s="417">
        <f>IF(D212="High Density Chalk", Pile!$N$38,0)</f>
        <v>0</v>
      </c>
      <c r="R212" s="401">
        <f>IF( Pile!O$38="",0, Pile!O$38)</f>
        <v>0</v>
      </c>
      <c r="S212" s="418">
        <f t="shared" si="124"/>
        <v>168.78599629401253</v>
      </c>
      <c r="T212" s="382">
        <f xml:space="preserve"> Pile!$T$38</f>
        <v>1200</v>
      </c>
      <c r="U212" s="382">
        <f t="shared" si="125"/>
        <v>168.78599629401253</v>
      </c>
      <c r="V212" s="382">
        <f t="shared" si="126"/>
        <v>14230.192018721644</v>
      </c>
      <c r="W212" s="382">
        <f xml:space="preserve"> Pile!$V$38</f>
        <v>15000</v>
      </c>
      <c r="X212" s="382">
        <f t="shared" si="127"/>
        <v>14230.192018721644</v>
      </c>
      <c r="Y212" s="419">
        <v>450</v>
      </c>
      <c r="Z212" s="430">
        <f>PI()*Y212/1000*( Pile!$C$38- Pile!$C212)</f>
        <v>36.04977569994287</v>
      </c>
      <c r="AA212" s="382">
        <f t="shared" si="128"/>
        <v>0.15904312808798329</v>
      </c>
      <c r="AB212" s="382">
        <f t="shared" si="173"/>
        <v>6084.6973076905406</v>
      </c>
      <c r="AC212" s="382">
        <f>Z212* Pile!$S$38</f>
        <v>0</v>
      </c>
      <c r="AD212" s="382">
        <f t="shared" si="179"/>
        <v>6084.6973076905406</v>
      </c>
      <c r="AE212" s="382">
        <f>IF(AD212&gt;0,+AD212)/ 'Pile Data and Eurocode Factors'!$B$19/ 'Pile Data and Eurocode Factors'!$B$20+AE$195</f>
        <v>3139.5269181619869</v>
      </c>
      <c r="AF212" s="382">
        <f t="shared" si="186"/>
        <v>2263.214251950144</v>
      </c>
      <c r="AG212" s="382">
        <f>AA212* Pile!$U$38</f>
        <v>0</v>
      </c>
      <c r="AH212" s="382">
        <f t="shared" si="129"/>
        <v>2263.214251950144</v>
      </c>
      <c r="AI212" s="382">
        <f>AH212/ 'Pile Data and Eurocode Factors'!$C$19/ 'Pile Data and Eurocode Factors'!$C$20</f>
        <v>950.93035796224547</v>
      </c>
      <c r="AJ212" s="382">
        <f t="shared" si="130"/>
        <v>4090.4572761242325</v>
      </c>
      <c r="AK212" s="382">
        <f>VLOOKUP(Y212, 'Pile Data and Eurocode Factors'!$A$34:$J$39,3, FALSE)</f>
        <v>2366.1761868507956</v>
      </c>
      <c r="AL212" s="403">
        <f t="shared" si="131"/>
        <v>2366.1761868507956</v>
      </c>
      <c r="AM212" s="419">
        <v>600</v>
      </c>
      <c r="AN212" s="430">
        <f>PI()*AM212/1000*( Pile!$C$38- Pile!$C212)</f>
        <v>48.066367599923829</v>
      </c>
      <c r="AO212" s="382">
        <f t="shared" si="132"/>
        <v>0.28274333882308139</v>
      </c>
      <c r="AP212" s="382">
        <f t="shared" si="174"/>
        <v>8112.9297435873877</v>
      </c>
      <c r="AQ212" s="382">
        <f>AN212* Pile!$S$38</f>
        <v>0</v>
      </c>
      <c r="AR212" s="382">
        <f t="shared" si="180"/>
        <v>8112.9297435873877</v>
      </c>
      <c r="AS212" s="382">
        <f>IF(AR212&gt;0,+AR212)/ 'Pile Data and Eurocode Factors'!$B$19/ 'Pile Data and Eurocode Factors'!$B$20+AS$195</f>
        <v>4186.0358908826493</v>
      </c>
      <c r="AT212" s="382">
        <f t="shared" si="187"/>
        <v>4023.4920034669221</v>
      </c>
      <c r="AU212" s="382">
        <f>AO212* Pile!$U$38</f>
        <v>0</v>
      </c>
      <c r="AV212" s="382">
        <f t="shared" si="133"/>
        <v>4023.4920034669221</v>
      </c>
      <c r="AW212" s="382">
        <f>AV212/ 'Pile Data and Eurocode Factors'!$C$19/ 'Pile Data and Eurocode Factors'!$C$20</f>
        <v>1690.5428585995471</v>
      </c>
      <c r="AX212" s="382">
        <f t="shared" si="134"/>
        <v>5876.5787494821961</v>
      </c>
      <c r="AY212" s="382">
        <f>VLOOKUP(AM212, 'Pile Data and Eurocode Factors'!$A$34:$J$39,3, FALSE)</f>
        <v>4206.5354432903041</v>
      </c>
      <c r="AZ212" s="403">
        <f t="shared" si="135"/>
        <v>4206.5354432903041</v>
      </c>
      <c r="BA212" s="419">
        <v>750</v>
      </c>
      <c r="BB212" s="430">
        <f>PI()*BA212/1000*( Pile!$C$38- Pile!$C212)</f>
        <v>60.082959499904788</v>
      </c>
      <c r="BC212" s="382">
        <f t="shared" si="136"/>
        <v>0.44178646691106466</v>
      </c>
      <c r="BD212" s="382">
        <f t="shared" si="175"/>
        <v>10141.162179484234</v>
      </c>
      <c r="BE212" s="382">
        <f>BB212* Pile!$S$38</f>
        <v>0</v>
      </c>
      <c r="BF212" s="382">
        <f t="shared" si="181"/>
        <v>10141.162179484234</v>
      </c>
      <c r="BG212" s="382">
        <f>IF(BF212&gt;0,+BF212)/ 'Pile Data and Eurocode Factors'!$B$19/ 'Pile Data and Eurocode Factors'!$B$20+BG$195</f>
        <v>5232.5448636033116</v>
      </c>
      <c r="BH212" s="382">
        <f t="shared" si="188"/>
        <v>6286.7062554170661</v>
      </c>
      <c r="BI212" s="382">
        <f>BC212* Pile!$U$38</f>
        <v>0</v>
      </c>
      <c r="BJ212" s="382">
        <f t="shared" si="137"/>
        <v>6286.7062554170661</v>
      </c>
      <c r="BK212" s="382">
        <f>BJ212/ 'Pile Data and Eurocode Factors'!$C$19/ 'Pile Data and Eurocode Factors'!$C$20</f>
        <v>2641.4732165617925</v>
      </c>
      <c r="BL212" s="382">
        <f t="shared" si="138"/>
        <v>7874.018080165104</v>
      </c>
      <c r="BM212" s="382">
        <f>VLOOKUP(BA212, 'Pile Data and Eurocode Factors'!$A$34:$J$39,3, FALSE)</f>
        <v>6572.7116301410997</v>
      </c>
      <c r="BN212" s="403">
        <f t="shared" si="139"/>
        <v>6572.7116301410997</v>
      </c>
      <c r="BO212" s="419">
        <v>900</v>
      </c>
      <c r="BP212" s="430">
        <f>PI()*BO212/1000*( Pile!$C$38- Pile!$C212)</f>
        <v>72.09955139988574</v>
      </c>
      <c r="BQ212" s="382">
        <f t="shared" si="140"/>
        <v>0.63617251235193317</v>
      </c>
      <c r="BR212" s="382">
        <f t="shared" si="176"/>
        <v>12169.394615381081</v>
      </c>
      <c r="BS212" s="382">
        <f>BP212* Pile!$S$38</f>
        <v>0</v>
      </c>
      <c r="BT212" s="382">
        <f t="shared" si="182"/>
        <v>12169.394615381081</v>
      </c>
      <c r="BU212" s="382">
        <f>IF(BT212&gt;0,+BT212)/ 'Pile Data and Eurocode Factors'!$B$19/ 'Pile Data and Eurocode Factors'!$B$20+BU$195</f>
        <v>6279.0538363239739</v>
      </c>
      <c r="BV212" s="382">
        <f t="shared" si="189"/>
        <v>9052.857007800576</v>
      </c>
      <c r="BW212" s="382">
        <f>BQ212* Pile!$U$38</f>
        <v>0</v>
      </c>
      <c r="BX212" s="382">
        <f t="shared" si="141"/>
        <v>9052.857007800576</v>
      </c>
      <c r="BY212" s="382">
        <f>BX212/ 'Pile Data and Eurocode Factors'!$C$19/ 'Pile Data and Eurocode Factors'!$C$20</f>
        <v>3803.7214318489819</v>
      </c>
      <c r="BZ212" s="382">
        <f t="shared" si="142"/>
        <v>10082.775268172956</v>
      </c>
      <c r="CA212" s="382">
        <f>VLOOKUP(BO212, 'Pile Data and Eurocode Factors'!$A$34:$J$39,3, FALSE)</f>
        <v>9464.7047474031824</v>
      </c>
      <c r="CB212" s="403">
        <f t="shared" si="143"/>
        <v>9464.7047474031824</v>
      </c>
      <c r="CC212" s="419">
        <v>1050</v>
      </c>
      <c r="CD212" s="430">
        <f>PI()*CC212/1000*( Pile!$C$38- Pile!$C212)</f>
        <v>84.116143299866692</v>
      </c>
      <c r="CE212" s="382">
        <f t="shared" si="144"/>
        <v>0.86590147514568672</v>
      </c>
      <c r="CF212" s="382">
        <f t="shared" si="177"/>
        <v>14197.627051277927</v>
      </c>
      <c r="CG212" s="382">
        <f>CD212* Pile!$S$38</f>
        <v>0</v>
      </c>
      <c r="CH212" s="382">
        <f t="shared" si="183"/>
        <v>14197.627051277927</v>
      </c>
      <c r="CI212" s="382">
        <f>IF(CH212&gt;0,+CH212)/ 'Pile Data and Eurocode Factors'!$B$19/ 'Pile Data and Eurocode Factors'!$B$20+CI$195</f>
        <v>7325.5628090446353</v>
      </c>
      <c r="CJ212" s="382">
        <f t="shared" si="190"/>
        <v>12321.944260617449</v>
      </c>
      <c r="CK212" s="382">
        <f>CE212* Pile!$U$38</f>
        <v>0</v>
      </c>
      <c r="CL212" s="382">
        <f t="shared" si="145"/>
        <v>12321.944260617449</v>
      </c>
      <c r="CM212" s="382">
        <f>CL212/ 'Pile Data and Eurocode Factors'!$C$19/ 'Pile Data and Eurocode Factors'!$C$20</f>
        <v>5177.2875044611137</v>
      </c>
      <c r="CN212" s="382">
        <f t="shared" si="146"/>
        <v>12502.850313505749</v>
      </c>
      <c r="CO212" s="382">
        <f>VLOOKUP(CC212, 'Pile Data and Eurocode Factors'!$A$34:$J$39,3, FALSE)</f>
        <v>12882.514795076555</v>
      </c>
      <c r="CP212" s="403">
        <f t="shared" si="147"/>
        <v>12502.850313505749</v>
      </c>
      <c r="CQ212" s="419">
        <v>1200</v>
      </c>
      <c r="CR212" s="430">
        <f>PI()*CQ212/1000*( Pile!$C$38- Pile!$C212)</f>
        <v>96.132735199847659</v>
      </c>
      <c r="CS212" s="382">
        <f t="shared" si="148"/>
        <v>1.1309733552923256</v>
      </c>
      <c r="CT212" s="382">
        <f t="shared" si="178"/>
        <v>16225.859487174775</v>
      </c>
      <c r="CU212" s="382">
        <f>CR212* Pile!$S$38</f>
        <v>0</v>
      </c>
      <c r="CV212" s="382">
        <f t="shared" si="184"/>
        <v>16225.859487174775</v>
      </c>
      <c r="CW212" s="382">
        <f>IF(CV212&gt;0,+CV212)/ 'Pile Data and Eurocode Factors'!$B$19/ 'Pile Data and Eurocode Factors'!$B$20+CW$195</f>
        <v>8372.0717817652985</v>
      </c>
      <c r="CX212" s="382">
        <f t="shared" si="191"/>
        <v>16093.968013867689</v>
      </c>
      <c r="CY212" s="382">
        <f>CS212* Pile!$U$38</f>
        <v>0</v>
      </c>
      <c r="CZ212" s="382">
        <f t="shared" si="149"/>
        <v>16093.968013867689</v>
      </c>
      <c r="DA212" s="382">
        <f>CZ212/ 'Pile Data and Eurocode Factors'!$C$19/ 'Pile Data and Eurocode Factors'!$C$20</f>
        <v>6762.1714343981885</v>
      </c>
      <c r="DB212" s="382">
        <f t="shared" si="150"/>
        <v>15134.243216163486</v>
      </c>
      <c r="DC212" s="382">
        <f>VLOOKUP(CQ212, 'Pile Data and Eurocode Factors'!$A$34:$J$39,3, FALSE)</f>
        <v>16826.141773161216</v>
      </c>
      <c r="DD212" s="403">
        <f t="shared" si="151"/>
        <v>15134.243216163486</v>
      </c>
      <c r="DE212" s="420">
        <f xml:space="preserve"> Pile!$C$23- Pile!C212</f>
        <v>37.5</v>
      </c>
      <c r="DG212" s="382">
        <f t="shared" si="152"/>
        <v>2366.1761868507956</v>
      </c>
      <c r="DH212" s="382">
        <f t="shared" si="153"/>
        <v>4206.5354432903041</v>
      </c>
      <c r="DI212" s="382">
        <f t="shared" si="154"/>
        <v>6572.7116301410997</v>
      </c>
      <c r="DJ212" s="382"/>
      <c r="DK212" s="382"/>
      <c r="DL212" s="382"/>
    </row>
    <row r="213" spans="2:116" s="308" customFormat="1" ht="15">
      <c r="B213" s="400">
        <v>18</v>
      </c>
      <c r="C213" s="401">
        <f>+C212- Pile!D$38/20</f>
        <v>-33</v>
      </c>
      <c r="D213" s="415" t="str">
        <f>B25</f>
        <v>Medium Sand/Gravel</v>
      </c>
      <c r="E213" s="415" t="str">
        <f>F25</f>
        <v>Granular</v>
      </c>
      <c r="F213" s="401">
        <f xml:space="preserve"> Pile!$E$38*(+C212-C213)+F212</f>
        <v>736.50000000000023</v>
      </c>
      <c r="G213" s="401">
        <f>IF(C213&gt; Pile!$C$41,0,( Pile!$C$41-C213)*9.81)</f>
        <v>176.58</v>
      </c>
      <c r="H213" s="401">
        <f t="shared" si="122"/>
        <v>559.92000000000019</v>
      </c>
      <c r="I213" s="401">
        <f t="shared" si="192"/>
        <v>384.96000000000015</v>
      </c>
      <c r="J213" s="401">
        <f>IF(E213="Cohesive",(( Pile!$H$38- Pile!$G$38)/20)+J212,0)</f>
        <v>0</v>
      </c>
      <c r="K213" s="401">
        <f>IF(E213="Cohesive",( Pile!$G$38+ Pile!$J213)/2,0)</f>
        <v>0</v>
      </c>
      <c r="L213" s="401" t="str">
        <f>IF( Pile!I$38="",0, Pile!I$38)</f>
        <v>0</v>
      </c>
      <c r="M213" s="401" t="str">
        <f>IF( Pile!J$38="",0, Pile!J$38)</f>
        <v>0</v>
      </c>
      <c r="N213" s="401">
        <f>IF(E213="Granular", Pile!$K$38,0)</f>
        <v>26.092012099198989</v>
      </c>
      <c r="O213" s="416">
        <f>IF(AND(E213="Granular",D213&lt;&gt;"Made Ground"), Pile!$L$38,0)</f>
        <v>0.44688733902318017</v>
      </c>
      <c r="P213" s="401">
        <f>IF(OR(D213="Low Density Chalk",D213="Medium Density Chalk"), Pile!$M$38,0)</f>
        <v>0</v>
      </c>
      <c r="Q213" s="417">
        <f>IF(D213="High Density Chalk", Pile!$N$38,0)</f>
        <v>0</v>
      </c>
      <c r="R213" s="401">
        <f>IF( Pile!O$38="",0, Pile!O$38)</f>
        <v>0</v>
      </c>
      <c r="S213" s="418">
        <f t="shared" si="124"/>
        <v>172.03375003036351</v>
      </c>
      <c r="T213" s="382">
        <f xml:space="preserve"> Pile!$T$38</f>
        <v>1200</v>
      </c>
      <c r="U213" s="382">
        <f t="shared" si="125"/>
        <v>172.03375003036351</v>
      </c>
      <c r="V213" s="382">
        <f t="shared" si="126"/>
        <v>14609.439414583503</v>
      </c>
      <c r="W213" s="382">
        <f xml:space="preserve"> Pile!$V$38</f>
        <v>15000</v>
      </c>
      <c r="X213" s="382">
        <f t="shared" si="127"/>
        <v>14609.439414583503</v>
      </c>
      <c r="Y213" s="419">
        <v>450</v>
      </c>
      <c r="Z213" s="430">
        <f>PI()*Y213/1000*( Pile!$C$38- Pile!$C213)</f>
        <v>38.170350741115989</v>
      </c>
      <c r="AA213" s="382">
        <f t="shared" si="128"/>
        <v>0.15904312808798329</v>
      </c>
      <c r="AB213" s="382">
        <f t="shared" si="173"/>
        <v>6566.5885779684486</v>
      </c>
      <c r="AC213" s="382">
        <f>Z213* Pile!$S$38</f>
        <v>0</v>
      </c>
      <c r="AD213" s="382">
        <f t="shared" si="179"/>
        <v>6566.5885779684486</v>
      </c>
      <c r="AE213" s="382">
        <f>IF(AD213&gt;0,+AD213)/ 'Pile Data and Eurocode Factors'!$B$19/ 'Pile Data and Eurocode Factors'!$B$20+AE$195</f>
        <v>3368.9989516276573</v>
      </c>
      <c r="AF213" s="382">
        <f t="shared" si="186"/>
        <v>2323.5309441072359</v>
      </c>
      <c r="AG213" s="382">
        <f>AA213* Pile!$U$38</f>
        <v>0</v>
      </c>
      <c r="AH213" s="382">
        <f t="shared" si="129"/>
        <v>2323.5309441072359</v>
      </c>
      <c r="AI213" s="382">
        <f>AH213/ 'Pile Data and Eurocode Factors'!$C$19/ 'Pile Data and Eurocode Factors'!$C$20</f>
        <v>976.27350592741016</v>
      </c>
      <c r="AJ213" s="382">
        <f t="shared" si="130"/>
        <v>4345.2724575550674</v>
      </c>
      <c r="AK213" s="382">
        <f>VLOOKUP(Y213, 'Pile Data and Eurocode Factors'!$A$34:$J$39,3, FALSE)</f>
        <v>2366.1761868507956</v>
      </c>
      <c r="AL213" s="403">
        <f t="shared" si="131"/>
        <v>2366.1761868507956</v>
      </c>
      <c r="AM213" s="419">
        <v>600</v>
      </c>
      <c r="AN213" s="430">
        <f>PI()*AM213/1000*( Pile!$C$38- Pile!$C213)</f>
        <v>50.893800988154652</v>
      </c>
      <c r="AO213" s="382">
        <f t="shared" si="132"/>
        <v>0.28274333882308139</v>
      </c>
      <c r="AP213" s="382">
        <f t="shared" si="174"/>
        <v>8755.4514372912654</v>
      </c>
      <c r="AQ213" s="382">
        <f>AN213* Pile!$S$38</f>
        <v>0</v>
      </c>
      <c r="AR213" s="382">
        <f t="shared" si="180"/>
        <v>8755.4514372912654</v>
      </c>
      <c r="AS213" s="382">
        <f>IF(AR213&gt;0,+AR213)/ 'Pile Data and Eurocode Factors'!$B$19/ 'Pile Data and Eurocode Factors'!$B$20+AS$195</f>
        <v>4491.9986021702107</v>
      </c>
      <c r="AT213" s="382">
        <f t="shared" si="187"/>
        <v>4130.7216784128632</v>
      </c>
      <c r="AU213" s="382">
        <f>AO213* Pile!$U$38</f>
        <v>0</v>
      </c>
      <c r="AV213" s="382">
        <f t="shared" si="133"/>
        <v>4130.7216784128632</v>
      </c>
      <c r="AW213" s="382">
        <f>AV213/ 'Pile Data and Eurocode Factors'!$C$19/ 'Pile Data and Eurocode Factors'!$C$20</f>
        <v>1735.5973438709511</v>
      </c>
      <c r="AX213" s="382">
        <f t="shared" si="134"/>
        <v>6227.5959460411614</v>
      </c>
      <c r="AY213" s="382">
        <f>VLOOKUP(AM213, 'Pile Data and Eurocode Factors'!$A$34:$J$39,3, FALSE)</f>
        <v>4206.5354432903041</v>
      </c>
      <c r="AZ213" s="403">
        <f t="shared" si="135"/>
        <v>4206.5354432903041</v>
      </c>
      <c r="BA213" s="419">
        <v>750</v>
      </c>
      <c r="BB213" s="430">
        <f>PI()*BA213/1000*( Pile!$C$38- Pile!$C213)</f>
        <v>63.617251235193308</v>
      </c>
      <c r="BC213" s="382">
        <f t="shared" si="136"/>
        <v>0.44178646691106466</v>
      </c>
      <c r="BD213" s="382">
        <f t="shared" si="175"/>
        <v>10944.31429661408</v>
      </c>
      <c r="BE213" s="382">
        <f>BB213* Pile!$S$38</f>
        <v>0</v>
      </c>
      <c r="BF213" s="382">
        <f t="shared" si="181"/>
        <v>10944.31429661408</v>
      </c>
      <c r="BG213" s="382">
        <f>IF(BF213&gt;0,+BF213)/ 'Pile Data and Eurocode Factors'!$B$19/ 'Pile Data and Eurocode Factors'!$B$20+BG$195</f>
        <v>5614.9982527127622</v>
      </c>
      <c r="BH213" s="382">
        <f t="shared" si="188"/>
        <v>6454.2526225200982</v>
      </c>
      <c r="BI213" s="382">
        <f>BC213* Pile!$U$38</f>
        <v>0</v>
      </c>
      <c r="BJ213" s="382">
        <f t="shared" si="137"/>
        <v>6454.2526225200982</v>
      </c>
      <c r="BK213" s="382">
        <f>BJ213/ 'Pile Data and Eurocode Factors'!$C$19/ 'Pile Data and Eurocode Factors'!$C$20</f>
        <v>2711.8708497983607</v>
      </c>
      <c r="BL213" s="382">
        <f t="shared" si="138"/>
        <v>8326.869102511122</v>
      </c>
      <c r="BM213" s="382">
        <f>VLOOKUP(BA213, 'Pile Data and Eurocode Factors'!$A$34:$J$39,3, FALSE)</f>
        <v>6572.7116301410997</v>
      </c>
      <c r="BN213" s="403">
        <f t="shared" si="139"/>
        <v>6572.7116301410997</v>
      </c>
      <c r="BO213" s="419">
        <v>900</v>
      </c>
      <c r="BP213" s="430">
        <f>PI()*BO213/1000*( Pile!$C$38- Pile!$C213)</f>
        <v>76.340701482231978</v>
      </c>
      <c r="BQ213" s="382">
        <f t="shared" si="140"/>
        <v>0.63617251235193317</v>
      </c>
      <c r="BR213" s="382">
        <f t="shared" si="176"/>
        <v>13133.177155936897</v>
      </c>
      <c r="BS213" s="382">
        <f>BP213* Pile!$S$38</f>
        <v>0</v>
      </c>
      <c r="BT213" s="382">
        <f t="shared" si="182"/>
        <v>13133.177155936897</v>
      </c>
      <c r="BU213" s="382">
        <f>IF(BT213&gt;0,+BT213)/ 'Pile Data and Eurocode Factors'!$B$19/ 'Pile Data and Eurocode Factors'!$B$20+BU$195</f>
        <v>6737.9979032553147</v>
      </c>
      <c r="BV213" s="382">
        <f t="shared" si="189"/>
        <v>9294.1237764289435</v>
      </c>
      <c r="BW213" s="382">
        <f>BQ213* Pile!$U$38</f>
        <v>0</v>
      </c>
      <c r="BX213" s="382">
        <f t="shared" si="141"/>
        <v>9294.1237764289435</v>
      </c>
      <c r="BY213" s="382">
        <f>BX213/ 'Pile Data and Eurocode Factors'!$C$19/ 'Pile Data and Eurocode Factors'!$C$20</f>
        <v>3905.0940237096406</v>
      </c>
      <c r="BZ213" s="382">
        <f t="shared" si="142"/>
        <v>10643.091926964955</v>
      </c>
      <c r="CA213" s="382">
        <f>VLOOKUP(BO213, 'Pile Data and Eurocode Factors'!$A$34:$J$39,3, FALSE)</f>
        <v>9464.7047474031824</v>
      </c>
      <c r="CB213" s="403">
        <f t="shared" si="143"/>
        <v>9464.7047474031824</v>
      </c>
      <c r="CC213" s="419">
        <v>1050</v>
      </c>
      <c r="CD213" s="430">
        <f>PI()*CC213/1000*( Pile!$C$38- Pile!$C213)</f>
        <v>89.064151729270634</v>
      </c>
      <c r="CE213" s="382">
        <f t="shared" si="144"/>
        <v>0.86590147514568672</v>
      </c>
      <c r="CF213" s="382">
        <f t="shared" si="177"/>
        <v>15322.040015259712</v>
      </c>
      <c r="CG213" s="382">
        <f>CD213* Pile!$S$38</f>
        <v>0</v>
      </c>
      <c r="CH213" s="382">
        <f t="shared" si="183"/>
        <v>15322.040015259712</v>
      </c>
      <c r="CI213" s="382">
        <f>IF(CH213&gt;0,+CH213)/ 'Pile Data and Eurocode Factors'!$B$19/ 'Pile Data and Eurocode Factors'!$B$20+CI$195</f>
        <v>7860.9975537978662</v>
      </c>
      <c r="CJ213" s="382">
        <f t="shared" si="190"/>
        <v>12650.335140139394</v>
      </c>
      <c r="CK213" s="382">
        <f>CE213* Pile!$U$38</f>
        <v>0</v>
      </c>
      <c r="CL213" s="382">
        <f t="shared" si="145"/>
        <v>12650.335140139394</v>
      </c>
      <c r="CM213" s="382">
        <f>CL213/ 'Pile Data and Eurocode Factors'!$C$19/ 'Pile Data and Eurocode Factors'!$C$20</f>
        <v>5315.2668656047881</v>
      </c>
      <c r="CN213" s="382">
        <f t="shared" si="146"/>
        <v>13176.264419402654</v>
      </c>
      <c r="CO213" s="382">
        <f>VLOOKUP(CC213, 'Pile Data and Eurocode Factors'!$A$34:$J$39,3, FALSE)</f>
        <v>12882.514795076555</v>
      </c>
      <c r="CP213" s="403">
        <f t="shared" si="147"/>
        <v>12882.514795076555</v>
      </c>
      <c r="CQ213" s="419">
        <v>1200</v>
      </c>
      <c r="CR213" s="430">
        <f>PI()*CQ213/1000*( Pile!$C$38- Pile!$C213)</f>
        <v>101.7876019763093</v>
      </c>
      <c r="CS213" s="382">
        <f t="shared" si="148"/>
        <v>1.1309733552923256</v>
      </c>
      <c r="CT213" s="382">
        <f t="shared" si="178"/>
        <v>17510.902874582531</v>
      </c>
      <c r="CU213" s="382">
        <f>CR213* Pile!$S$38</f>
        <v>0</v>
      </c>
      <c r="CV213" s="382">
        <f t="shared" si="184"/>
        <v>17510.902874582531</v>
      </c>
      <c r="CW213" s="382">
        <f>IF(CV213&gt;0,+CV213)/ 'Pile Data and Eurocode Factors'!$B$19/ 'Pile Data and Eurocode Factors'!$B$20+CW$195</f>
        <v>8983.9972043404214</v>
      </c>
      <c r="CX213" s="382">
        <f t="shared" si="191"/>
        <v>16522.886713651453</v>
      </c>
      <c r="CY213" s="382">
        <f>CS213* Pile!$U$38</f>
        <v>0</v>
      </c>
      <c r="CZ213" s="382">
        <f t="shared" si="149"/>
        <v>16522.886713651453</v>
      </c>
      <c r="DA213" s="382">
        <f>CZ213/ 'Pile Data and Eurocode Factors'!$C$19/ 'Pile Data and Eurocode Factors'!$C$20</f>
        <v>6942.3893754838045</v>
      </c>
      <c r="DB213" s="382">
        <f t="shared" si="150"/>
        <v>15926.386579824226</v>
      </c>
      <c r="DC213" s="382">
        <f>VLOOKUP(CQ213, 'Pile Data and Eurocode Factors'!$A$34:$J$39,3, FALSE)</f>
        <v>16826.141773161216</v>
      </c>
      <c r="DD213" s="403">
        <f t="shared" si="151"/>
        <v>15926.386579824226</v>
      </c>
      <c r="DE213" s="420">
        <f xml:space="preserve"> Pile!$C$23- Pile!C213</f>
        <v>39</v>
      </c>
      <c r="DG213" s="382">
        <f t="shared" si="152"/>
        <v>2366.1761868507956</v>
      </c>
      <c r="DH213" s="382">
        <f t="shared" si="153"/>
        <v>4206.5354432903041</v>
      </c>
      <c r="DI213" s="382">
        <f t="shared" si="154"/>
        <v>6572.7116301410997</v>
      </c>
      <c r="DJ213" s="382"/>
      <c r="DK213" s="382"/>
      <c r="DL213" s="382"/>
    </row>
    <row r="214" spans="2:116" s="308" customFormat="1" ht="15">
      <c r="B214" s="400">
        <v>19</v>
      </c>
      <c r="C214" s="401">
        <f>+C213- Pile!D$38/20</f>
        <v>-34.5</v>
      </c>
      <c r="D214" s="415" t="str">
        <f>B25</f>
        <v>Medium Sand/Gravel</v>
      </c>
      <c r="E214" s="415" t="str">
        <f>F25</f>
        <v>Granular</v>
      </c>
      <c r="F214" s="401">
        <f xml:space="preserve"> Pile!$E$38*(+C213-C214)+F213</f>
        <v>765.75000000000023</v>
      </c>
      <c r="G214" s="401">
        <f>IF(C214&gt; Pile!$C$41,0,( Pile!$C$41-C214)*9.81)</f>
        <v>191.29500000000002</v>
      </c>
      <c r="H214" s="401">
        <f t="shared" si="122"/>
        <v>574.45500000000015</v>
      </c>
      <c r="I214" s="401">
        <f t="shared" si="192"/>
        <v>392.22750000000013</v>
      </c>
      <c r="J214" s="401">
        <f>IF(E214="Cohesive",(( Pile!$H$38- Pile!$G$38)/20)+J213,0)</f>
        <v>0</v>
      </c>
      <c r="K214" s="401">
        <f>IF(E214="Cohesive",( Pile!$G$38+ Pile!$J214)/2,0)</f>
        <v>0</v>
      </c>
      <c r="L214" s="401" t="str">
        <f>IF( Pile!I$38="",0, Pile!I$38)</f>
        <v>0</v>
      </c>
      <c r="M214" s="401" t="str">
        <f>IF( Pile!J$38="",0, Pile!J$38)</f>
        <v>0</v>
      </c>
      <c r="N214" s="401">
        <f>IF(E214="Granular", Pile!$K$38,0)</f>
        <v>26.092012099198989</v>
      </c>
      <c r="O214" s="416">
        <f>IF(AND(E214="Granular",D214&lt;&gt;"Made Ground"), Pile!$L$38,0)</f>
        <v>0.44688733902318017</v>
      </c>
      <c r="P214" s="401">
        <f>IF(OR(D214="Low Density Chalk",D214="Medium Density Chalk"), Pile!$M$38,0)</f>
        <v>0</v>
      </c>
      <c r="Q214" s="417">
        <f>IF(D214="High Density Chalk", Pile!$N$38,0)</f>
        <v>0</v>
      </c>
      <c r="R214" s="401">
        <f>IF( Pile!O$38="",0, Pile!O$38)</f>
        <v>0</v>
      </c>
      <c r="S214" s="418">
        <f t="shared" si="124"/>
        <v>175.28150376671445</v>
      </c>
      <c r="T214" s="382">
        <f xml:space="preserve"> Pile!$T$38</f>
        <v>1200</v>
      </c>
      <c r="U214" s="382">
        <f t="shared" si="125"/>
        <v>175.28150376671445</v>
      </c>
      <c r="V214" s="382">
        <f t="shared" si="126"/>
        <v>14988.686810445359</v>
      </c>
      <c r="W214" s="382">
        <f xml:space="preserve"> Pile!$V$38</f>
        <v>15000</v>
      </c>
      <c r="X214" s="382">
        <f t="shared" si="127"/>
        <v>14988.686810445359</v>
      </c>
      <c r="Y214" s="419">
        <v>450</v>
      </c>
      <c r="Z214" s="430">
        <f>PI()*Y214/1000*( Pile!$C$38- Pile!$C214)</f>
        <v>40.290925782289094</v>
      </c>
      <c r="AA214" s="382">
        <f t="shared" si="128"/>
        <v>0.15904312808798329</v>
      </c>
      <c r="AB214" s="382">
        <f t="shared" si="173"/>
        <v>7062.2540592727182</v>
      </c>
      <c r="AC214" s="382">
        <f>Z214* Pile!$S$38</f>
        <v>0</v>
      </c>
      <c r="AD214" s="382">
        <f t="shared" si="179"/>
        <v>7062.2540592727182</v>
      </c>
      <c r="AE214" s="382">
        <f>IF(AD214&gt;0,+AD214)/ 'Pile Data and Eurocode Factors'!$B$19/ 'Pile Data and Eurocode Factors'!$B$20+AE$195</f>
        <v>3605.030133201119</v>
      </c>
      <c r="AF214" s="382">
        <f t="shared" si="186"/>
        <v>2383.8476362643269</v>
      </c>
      <c r="AG214" s="382">
        <f>AA214* Pile!$U$38</f>
        <v>0</v>
      </c>
      <c r="AH214" s="382">
        <f t="shared" si="129"/>
        <v>2383.8476362643269</v>
      </c>
      <c r="AI214" s="382">
        <f>AH214/ 'Pile Data and Eurocode Factors'!$C$19/ 'Pile Data and Eurocode Factors'!$C$20</f>
        <v>1001.6166538925744</v>
      </c>
      <c r="AJ214" s="382">
        <f t="shared" si="130"/>
        <v>4606.6467870936931</v>
      </c>
      <c r="AK214" s="382">
        <f>VLOOKUP(Y214, 'Pile Data and Eurocode Factors'!$A$34:$J$39,3, FALSE)</f>
        <v>2366.1761868507956</v>
      </c>
      <c r="AL214" s="403">
        <f t="shared" si="131"/>
        <v>2366.1761868507956</v>
      </c>
      <c r="AM214" s="419">
        <v>600</v>
      </c>
      <c r="AN214" s="430">
        <f>PI()*AM214/1000*( Pile!$C$38- Pile!$C214)</f>
        <v>53.721234376385461</v>
      </c>
      <c r="AO214" s="382">
        <f t="shared" si="132"/>
        <v>0.28274333882308139</v>
      </c>
      <c r="AP214" s="382">
        <f t="shared" si="174"/>
        <v>9416.3387456969576</v>
      </c>
      <c r="AQ214" s="382">
        <f>AN214* Pile!$S$38</f>
        <v>0</v>
      </c>
      <c r="AR214" s="382">
        <f t="shared" si="180"/>
        <v>9416.3387456969576</v>
      </c>
      <c r="AS214" s="382">
        <f>IF(AR214&gt;0,+AR214)/ 'Pile Data and Eurocode Factors'!$B$19/ 'Pile Data and Eurocode Factors'!$B$20+AS$195</f>
        <v>4806.7068442681593</v>
      </c>
      <c r="AT214" s="382">
        <f t="shared" si="187"/>
        <v>4237.9513533588033</v>
      </c>
      <c r="AU214" s="382">
        <f>AO214* Pile!$U$38</f>
        <v>0</v>
      </c>
      <c r="AV214" s="382">
        <f t="shared" si="133"/>
        <v>4237.9513533588033</v>
      </c>
      <c r="AW214" s="382">
        <f>AV214/ 'Pile Data and Eurocode Factors'!$C$19/ 'Pile Data and Eurocode Factors'!$C$20</f>
        <v>1780.6518291423545</v>
      </c>
      <c r="AX214" s="382">
        <f t="shared" si="134"/>
        <v>6587.3586734105138</v>
      </c>
      <c r="AY214" s="382">
        <f>VLOOKUP(AM214, 'Pile Data and Eurocode Factors'!$A$34:$J$39,3, FALSE)</f>
        <v>4206.5354432903041</v>
      </c>
      <c r="AZ214" s="403">
        <f t="shared" si="135"/>
        <v>4206.5354432903041</v>
      </c>
      <c r="BA214" s="419">
        <v>750</v>
      </c>
      <c r="BB214" s="430">
        <f>PI()*BA214/1000*( Pile!$C$38- Pile!$C214)</f>
        <v>67.151542970481827</v>
      </c>
      <c r="BC214" s="382">
        <f t="shared" si="136"/>
        <v>0.44178646691106466</v>
      </c>
      <c r="BD214" s="382">
        <f t="shared" si="175"/>
        <v>11770.423432121197</v>
      </c>
      <c r="BE214" s="382">
        <f>BB214* Pile!$S$38</f>
        <v>0</v>
      </c>
      <c r="BF214" s="382">
        <f t="shared" si="181"/>
        <v>11770.423432121197</v>
      </c>
      <c r="BG214" s="382">
        <f>IF(BF214&gt;0,+BF214)/ 'Pile Data and Eurocode Factors'!$B$19/ 'Pile Data and Eurocode Factors'!$B$20+BG$195</f>
        <v>6008.3835553351983</v>
      </c>
      <c r="BH214" s="382">
        <f t="shared" si="188"/>
        <v>6621.7989896231302</v>
      </c>
      <c r="BI214" s="382">
        <f>BC214* Pile!$U$38</f>
        <v>0</v>
      </c>
      <c r="BJ214" s="382">
        <f t="shared" si="137"/>
        <v>6621.7989896231302</v>
      </c>
      <c r="BK214" s="382">
        <f>BJ214/ 'Pile Data and Eurocode Factors'!$C$19/ 'Pile Data and Eurocode Factors'!$C$20</f>
        <v>2782.268483034929</v>
      </c>
      <c r="BL214" s="382">
        <f t="shared" si="138"/>
        <v>8790.6520383701281</v>
      </c>
      <c r="BM214" s="382">
        <f>VLOOKUP(BA214, 'Pile Data and Eurocode Factors'!$A$34:$J$39,3, FALSE)</f>
        <v>6572.7116301410997</v>
      </c>
      <c r="BN214" s="403">
        <f t="shared" si="139"/>
        <v>6572.7116301410997</v>
      </c>
      <c r="BO214" s="419">
        <v>900</v>
      </c>
      <c r="BP214" s="430">
        <f>PI()*BO214/1000*( Pile!$C$38- Pile!$C214)</f>
        <v>80.581851564578187</v>
      </c>
      <c r="BQ214" s="382">
        <f t="shared" si="140"/>
        <v>0.63617251235193317</v>
      </c>
      <c r="BR214" s="382">
        <f t="shared" si="176"/>
        <v>14124.508118545436</v>
      </c>
      <c r="BS214" s="382">
        <f>BP214* Pile!$S$38</f>
        <v>0</v>
      </c>
      <c r="BT214" s="382">
        <f t="shared" si="182"/>
        <v>14124.508118545436</v>
      </c>
      <c r="BU214" s="382">
        <f>IF(BT214&gt;0,+BT214)/ 'Pile Data and Eurocode Factors'!$B$19/ 'Pile Data and Eurocode Factors'!$B$20+BU$195</f>
        <v>7210.0602664022381</v>
      </c>
      <c r="BV214" s="382">
        <f t="shared" si="189"/>
        <v>9535.3905450573075</v>
      </c>
      <c r="BW214" s="382">
        <f>BQ214* Pile!$U$38</f>
        <v>0</v>
      </c>
      <c r="BX214" s="382">
        <f t="shared" si="141"/>
        <v>9535.3905450573075</v>
      </c>
      <c r="BY214" s="382">
        <f>BX214/ 'Pile Data and Eurocode Factors'!$C$19/ 'Pile Data and Eurocode Factors'!$C$20</f>
        <v>4006.4666155702976</v>
      </c>
      <c r="BZ214" s="382">
        <f t="shared" si="142"/>
        <v>11216.526881972535</v>
      </c>
      <c r="CA214" s="382">
        <f>VLOOKUP(BO214, 'Pile Data and Eurocode Factors'!$A$34:$J$39,3, FALSE)</f>
        <v>9464.7047474031824</v>
      </c>
      <c r="CB214" s="403">
        <f t="shared" si="143"/>
        <v>9464.7047474031824</v>
      </c>
      <c r="CC214" s="419">
        <v>1050</v>
      </c>
      <c r="CD214" s="430">
        <f>PI()*CC214/1000*( Pile!$C$38- Pile!$C214)</f>
        <v>94.012160158674561</v>
      </c>
      <c r="CE214" s="382">
        <f t="shared" si="144"/>
        <v>0.86590147514568672</v>
      </c>
      <c r="CF214" s="382">
        <f t="shared" si="177"/>
        <v>16478.592804969678</v>
      </c>
      <c r="CG214" s="382">
        <f>CD214* Pile!$S$38</f>
        <v>0</v>
      </c>
      <c r="CH214" s="382">
        <f t="shared" si="183"/>
        <v>16478.592804969678</v>
      </c>
      <c r="CI214" s="382">
        <f>IF(CH214&gt;0,+CH214)/ 'Pile Data and Eurocode Factors'!$B$19/ 'Pile Data and Eurocode Factors'!$B$20+CI$195</f>
        <v>8411.7369774692797</v>
      </c>
      <c r="CJ214" s="382">
        <f t="shared" si="190"/>
        <v>12978.726019661333</v>
      </c>
      <c r="CK214" s="382">
        <f>CE214* Pile!$U$38</f>
        <v>0</v>
      </c>
      <c r="CL214" s="382">
        <f t="shared" si="145"/>
        <v>12978.726019661333</v>
      </c>
      <c r="CM214" s="382">
        <f>CL214/ 'Pile Data and Eurocode Factors'!$C$19/ 'Pile Data and Eurocode Factors'!$C$20</f>
        <v>5453.2462267484607</v>
      </c>
      <c r="CN214" s="382">
        <f t="shared" si="146"/>
        <v>13864.98320421774</v>
      </c>
      <c r="CO214" s="382">
        <f>VLOOKUP(CC214, 'Pile Data and Eurocode Factors'!$A$34:$J$39,3, FALSE)</f>
        <v>12882.514795076555</v>
      </c>
      <c r="CP214" s="403">
        <f t="shared" si="147"/>
        <v>12882.514795076555</v>
      </c>
      <c r="CQ214" s="419">
        <v>1200</v>
      </c>
      <c r="CR214" s="430">
        <f>PI()*CQ214/1000*( Pile!$C$38- Pile!$C214)</f>
        <v>107.44246875277092</v>
      </c>
      <c r="CS214" s="382">
        <f t="shared" si="148"/>
        <v>1.1309733552923256</v>
      </c>
      <c r="CT214" s="382">
        <f t="shared" si="178"/>
        <v>18832.677491393915</v>
      </c>
      <c r="CU214" s="382">
        <f>CR214* Pile!$S$38</f>
        <v>0</v>
      </c>
      <c r="CV214" s="382">
        <f t="shared" si="184"/>
        <v>18832.677491393915</v>
      </c>
      <c r="CW214" s="382">
        <f>IF(CV214&gt;0,+CV214)/ 'Pile Data and Eurocode Factors'!$B$19/ 'Pile Data and Eurocode Factors'!$B$20+CW$195</f>
        <v>9613.4136885363187</v>
      </c>
      <c r="CX214" s="382">
        <f t="shared" si="191"/>
        <v>16951.805413435213</v>
      </c>
      <c r="CY214" s="382">
        <f>CS214* Pile!$U$38</f>
        <v>0</v>
      </c>
      <c r="CZ214" s="382">
        <f t="shared" si="149"/>
        <v>16951.805413435213</v>
      </c>
      <c r="DA214" s="382">
        <f>CZ214/ 'Pile Data and Eurocode Factors'!$C$19/ 'Pile Data and Eurocode Factors'!$C$20</f>
        <v>7122.6073165694179</v>
      </c>
      <c r="DB214" s="382">
        <f t="shared" si="150"/>
        <v>16736.021005105737</v>
      </c>
      <c r="DC214" s="382">
        <f>VLOOKUP(CQ214, 'Pile Data and Eurocode Factors'!$A$34:$J$39,3, FALSE)</f>
        <v>16826.141773161216</v>
      </c>
      <c r="DD214" s="403">
        <f t="shared" si="151"/>
        <v>16736.021005105737</v>
      </c>
      <c r="DE214" s="420">
        <f xml:space="preserve"> Pile!$C$23- Pile!C214</f>
        <v>40.5</v>
      </c>
      <c r="DG214" s="382">
        <f t="shared" si="152"/>
        <v>2366.1761868507956</v>
      </c>
      <c r="DH214" s="382">
        <f t="shared" si="153"/>
        <v>4206.5354432903041</v>
      </c>
      <c r="DI214" s="382">
        <f t="shared" si="154"/>
        <v>6572.7116301410997</v>
      </c>
      <c r="DJ214" s="382"/>
      <c r="DK214" s="382"/>
      <c r="DL214" s="382"/>
    </row>
    <row r="215" spans="2:116" s="308" customFormat="1" ht="15">
      <c r="B215" s="400">
        <v>20</v>
      </c>
      <c r="C215" s="401">
        <f>+C214- Pile!D$38/20</f>
        <v>-36</v>
      </c>
      <c r="D215" s="415" t="str">
        <f>B25</f>
        <v>Medium Sand/Gravel</v>
      </c>
      <c r="E215" s="415" t="str">
        <f>F25</f>
        <v>Granular</v>
      </c>
      <c r="F215" s="401">
        <f xml:space="preserve"> Pile!$E$38*(+C214-C215)+F214</f>
        <v>795.00000000000023</v>
      </c>
      <c r="G215" s="401">
        <f>IF(C215&gt; Pile!$C$41,0,( Pile!$C$41-C215)*9.81)</f>
        <v>206.01000000000002</v>
      </c>
      <c r="H215" s="401">
        <f t="shared" si="122"/>
        <v>588.99000000000024</v>
      </c>
      <c r="I215" s="401">
        <f t="shared" si="192"/>
        <v>399.49500000000018</v>
      </c>
      <c r="J215" s="401">
        <f>IF(E215="Cohesive",(( Pile!$H$38- Pile!$G$38)/20)+J214,0)</f>
        <v>0</v>
      </c>
      <c r="K215" s="401">
        <f>IF(E215="Cohesive",( Pile!$G$38+ Pile!$J215)/2,0)</f>
        <v>0</v>
      </c>
      <c r="L215" s="401" t="str">
        <f>IF( Pile!I$38="",0, Pile!I$38)</f>
        <v>0</v>
      </c>
      <c r="M215" s="401" t="str">
        <f>IF( Pile!J$38="",0, Pile!J$38)</f>
        <v>0</v>
      </c>
      <c r="N215" s="401">
        <f>IF(E215="Granular", Pile!$K$38,0)</f>
        <v>26.092012099198989</v>
      </c>
      <c r="O215" s="416">
        <f>IF(AND(E215="Granular",D215&lt;&gt;"Made Ground"), Pile!$L$38,0)</f>
        <v>0.44688733902318017</v>
      </c>
      <c r="P215" s="401">
        <f>IF(OR(D215="Low Density Chalk",D215="Medium Density Chalk"), Pile!$M$38,0)</f>
        <v>0</v>
      </c>
      <c r="Q215" s="417">
        <f>IF(D215="High Density Chalk", Pile!$N$38,0)</f>
        <v>0</v>
      </c>
      <c r="R215" s="401">
        <f>IF( Pile!O$38="",0, Pile!O$38)</f>
        <v>0</v>
      </c>
      <c r="S215" s="418">
        <f t="shared" si="124"/>
        <v>178.52925750306545</v>
      </c>
      <c r="T215" s="382">
        <f xml:space="preserve"> Pile!$T$38</f>
        <v>1200</v>
      </c>
      <c r="U215" s="382">
        <f t="shared" si="125"/>
        <v>178.52925750306545</v>
      </c>
      <c r="V215" s="382">
        <f t="shared" si="126"/>
        <v>15367.934206307218</v>
      </c>
      <c r="W215" s="382">
        <f xml:space="preserve"> Pile!$V$38</f>
        <v>15000</v>
      </c>
      <c r="X215" s="382">
        <f t="shared" si="127"/>
        <v>15000</v>
      </c>
      <c r="Y215" s="419">
        <v>450</v>
      </c>
      <c r="Z215" s="430">
        <f>PI()*Y215/1000*( Pile!$C$38- Pile!$C215)</f>
        <v>42.411500823462205</v>
      </c>
      <c r="AA215" s="382">
        <f t="shared" si="128"/>
        <v>0.15904312808798329</v>
      </c>
      <c r="AB215" s="382">
        <f t="shared" si="173"/>
        <v>7571.6937516033568</v>
      </c>
      <c r="AC215" s="382">
        <f>Z215* Pile!$S$38</f>
        <v>0</v>
      </c>
      <c r="AD215" s="382">
        <f t="shared" si="179"/>
        <v>7571.6937516033568</v>
      </c>
      <c r="AE215" s="382">
        <f>IF(AD215&gt;0,+AD215)/ 'Pile Data and Eurocode Factors'!$B$19/ 'Pile Data and Eurocode Factors'!$B$20+AE$195</f>
        <v>3847.6204628823762</v>
      </c>
      <c r="AF215" s="382">
        <f t="shared" si="186"/>
        <v>2385.6469213197493</v>
      </c>
      <c r="AG215" s="382">
        <f>AA215* Pile!$U$38</f>
        <v>0</v>
      </c>
      <c r="AH215" s="382">
        <f t="shared" si="129"/>
        <v>2385.6469213197493</v>
      </c>
      <c r="AI215" s="382">
        <f>AH215/ 'Pile Data and Eurocode Factors'!$C$19/ 'Pile Data and Eurocode Factors'!$C$20</f>
        <v>1002.3726560167014</v>
      </c>
      <c r="AJ215" s="382">
        <f t="shared" si="130"/>
        <v>4849.9931188990777</v>
      </c>
      <c r="AK215" s="382">
        <f>VLOOKUP(Y215, 'Pile Data and Eurocode Factors'!$A$34:$J$39,3, FALSE)</f>
        <v>2366.1761868507956</v>
      </c>
      <c r="AL215" s="403">
        <f t="shared" si="131"/>
        <v>2366.1761868507956</v>
      </c>
      <c r="AM215" s="419">
        <v>600</v>
      </c>
      <c r="AN215" s="430">
        <f>PI()*AM215/1000*( Pile!$C$38- Pile!$C215)</f>
        <v>56.548667764616276</v>
      </c>
      <c r="AO215" s="382">
        <f t="shared" si="132"/>
        <v>0.28274333882308139</v>
      </c>
      <c r="AP215" s="382">
        <f t="shared" si="174"/>
        <v>10095.591668804476</v>
      </c>
      <c r="AQ215" s="382">
        <f>AN215* Pile!$S$38</f>
        <v>0</v>
      </c>
      <c r="AR215" s="382">
        <f t="shared" si="180"/>
        <v>10095.591668804476</v>
      </c>
      <c r="AS215" s="382">
        <f>IF(AR215&gt;0,+AR215)/ 'Pile Data and Eurocode Factors'!$B$19/ 'Pile Data and Eurocode Factors'!$B$20+AS$195</f>
        <v>5130.1606171765015</v>
      </c>
      <c r="AT215" s="382">
        <f t="shared" si="187"/>
        <v>4241.1500823462211</v>
      </c>
      <c r="AU215" s="382">
        <f>AO215* Pile!$U$38</f>
        <v>0</v>
      </c>
      <c r="AV215" s="382">
        <f t="shared" si="133"/>
        <v>4241.1500823462211</v>
      </c>
      <c r="AW215" s="382">
        <f>AV215/ 'Pile Data and Eurocode Factors'!$C$19/ 'Pile Data and Eurocode Factors'!$C$20</f>
        <v>1781.9958329185806</v>
      </c>
      <c r="AX215" s="382">
        <f t="shared" si="134"/>
        <v>6912.1564500950826</v>
      </c>
      <c r="AY215" s="382">
        <f>VLOOKUP(AM215, 'Pile Data and Eurocode Factors'!$A$34:$J$39,3, FALSE)</f>
        <v>4206.5354432903041</v>
      </c>
      <c r="AZ215" s="403">
        <f t="shared" si="135"/>
        <v>4206.5354432903041</v>
      </c>
      <c r="BA215" s="419">
        <v>750</v>
      </c>
      <c r="BB215" s="430">
        <f>PI()*BA215/1000*( Pile!$C$38- Pile!$C215)</f>
        <v>70.685834705770347</v>
      </c>
      <c r="BC215" s="382">
        <f t="shared" si="136"/>
        <v>0.44178646691106466</v>
      </c>
      <c r="BD215" s="382">
        <f t="shared" si="175"/>
        <v>12619.489586005595</v>
      </c>
      <c r="BE215" s="382">
        <f>BB215* Pile!$S$38</f>
        <v>0</v>
      </c>
      <c r="BF215" s="382">
        <f t="shared" si="181"/>
        <v>12619.489586005595</v>
      </c>
      <c r="BG215" s="382">
        <f>IF(BF215&gt;0,+BF215)/ 'Pile Data and Eurocode Factors'!$B$19/ 'Pile Data and Eurocode Factors'!$B$20+BG$195</f>
        <v>6412.7007714706269</v>
      </c>
      <c r="BH215" s="382">
        <f t="shared" si="188"/>
        <v>6626.7970036659699</v>
      </c>
      <c r="BI215" s="382">
        <f>BC215* Pile!$U$38</f>
        <v>0</v>
      </c>
      <c r="BJ215" s="382">
        <f t="shared" si="137"/>
        <v>6626.7970036659699</v>
      </c>
      <c r="BK215" s="382">
        <f>BJ215/ 'Pile Data and Eurocode Factors'!$C$19/ 'Pile Data and Eurocode Factors'!$C$20</f>
        <v>2784.3684889352817</v>
      </c>
      <c r="BL215" s="382">
        <f t="shared" si="138"/>
        <v>9197.0692604059077</v>
      </c>
      <c r="BM215" s="382">
        <f>VLOOKUP(BA215, 'Pile Data and Eurocode Factors'!$A$34:$J$39,3, FALSE)</f>
        <v>6572.7116301410997</v>
      </c>
      <c r="BN215" s="403">
        <f t="shared" si="139"/>
        <v>6572.7116301410997</v>
      </c>
      <c r="BO215" s="419">
        <v>900</v>
      </c>
      <c r="BP215" s="430">
        <f>PI()*BO215/1000*( Pile!$C$38- Pile!$C215)</f>
        <v>84.823001646924411</v>
      </c>
      <c r="BQ215" s="382">
        <f t="shared" si="140"/>
        <v>0.63617251235193317</v>
      </c>
      <c r="BR215" s="382">
        <f t="shared" si="176"/>
        <v>15143.387503206714</v>
      </c>
      <c r="BS215" s="382">
        <f>BP215* Pile!$S$38</f>
        <v>0</v>
      </c>
      <c r="BT215" s="382">
        <f t="shared" si="182"/>
        <v>15143.387503206714</v>
      </c>
      <c r="BU215" s="382">
        <f>IF(BT215&gt;0,+BT215)/ 'Pile Data and Eurocode Factors'!$B$19/ 'Pile Data and Eurocode Factors'!$B$20+BU$195</f>
        <v>7695.2409257647523</v>
      </c>
      <c r="BV215" s="382">
        <f t="shared" si="189"/>
        <v>9542.587685278997</v>
      </c>
      <c r="BW215" s="382">
        <f>BQ215* Pile!$U$38</f>
        <v>0</v>
      </c>
      <c r="BX215" s="382">
        <f t="shared" si="141"/>
        <v>9542.587685278997</v>
      </c>
      <c r="BY215" s="382">
        <f>BX215/ 'Pile Data and Eurocode Factors'!$C$19/ 'Pile Data and Eurocode Factors'!$C$20</f>
        <v>4009.4906240668056</v>
      </c>
      <c r="BZ215" s="382">
        <f t="shared" si="142"/>
        <v>11704.731549831558</v>
      </c>
      <c r="CA215" s="382">
        <f>VLOOKUP(BO215, 'Pile Data and Eurocode Factors'!$A$34:$J$39,3, FALSE)</f>
        <v>9464.7047474031824</v>
      </c>
      <c r="CB215" s="403">
        <f t="shared" si="143"/>
        <v>9464.7047474031824</v>
      </c>
      <c r="CC215" s="419">
        <v>1050</v>
      </c>
      <c r="CD215" s="430">
        <f>PI()*CC215/1000*( Pile!$C$38- Pile!$C215)</f>
        <v>98.960168588078488</v>
      </c>
      <c r="CE215" s="382">
        <f t="shared" si="144"/>
        <v>0.86590147514568672</v>
      </c>
      <c r="CF215" s="382">
        <f t="shared" si="177"/>
        <v>17667.285420407832</v>
      </c>
      <c r="CG215" s="382">
        <f>CD215* Pile!$S$38</f>
        <v>0</v>
      </c>
      <c r="CH215" s="382">
        <f t="shared" si="183"/>
        <v>17667.285420407832</v>
      </c>
      <c r="CI215" s="382">
        <f>IF(CH215&gt;0,+CH215)/ 'Pile Data and Eurocode Factors'!$B$19/ 'Pile Data and Eurocode Factors'!$B$20+CI$195</f>
        <v>8977.7810800588777</v>
      </c>
      <c r="CJ215" s="382">
        <f t="shared" si="190"/>
        <v>12988.522127185301</v>
      </c>
      <c r="CK215" s="382">
        <f>CE215* Pile!$U$38</f>
        <v>0</v>
      </c>
      <c r="CL215" s="382">
        <f t="shared" si="145"/>
        <v>12988.522127185301</v>
      </c>
      <c r="CM215" s="382">
        <f>CL215/ 'Pile Data and Eurocode Factors'!$C$19/ 'Pile Data and Eurocode Factors'!$C$20</f>
        <v>5457.3622383131515</v>
      </c>
      <c r="CN215" s="382">
        <f t="shared" si="146"/>
        <v>14435.143318372029</v>
      </c>
      <c r="CO215" s="382">
        <f>VLOOKUP(CC215, 'Pile Data and Eurocode Factors'!$A$34:$J$39,3, FALSE)</f>
        <v>12882.514795076555</v>
      </c>
      <c r="CP215" s="403">
        <f t="shared" si="147"/>
        <v>12882.514795076555</v>
      </c>
      <c r="CQ215" s="419">
        <v>1200</v>
      </c>
      <c r="CR215" s="430">
        <f>PI()*CQ215/1000*( Pile!$C$38- Pile!$C215)</f>
        <v>113.09733552923255</v>
      </c>
      <c r="CS215" s="382">
        <f t="shared" si="148"/>
        <v>1.1309733552923256</v>
      </c>
      <c r="CT215" s="382">
        <f t="shared" si="178"/>
        <v>20191.183337608953</v>
      </c>
      <c r="CU215" s="382">
        <f>CR215* Pile!$S$38</f>
        <v>0</v>
      </c>
      <c r="CV215" s="382">
        <f t="shared" si="184"/>
        <v>20191.183337608953</v>
      </c>
      <c r="CW215" s="382">
        <f>IF(CV215&gt;0,+CV215)/ 'Pile Data and Eurocode Factors'!$B$19/ 'Pile Data and Eurocode Factors'!$B$20+CW$195</f>
        <v>10260.321234353003</v>
      </c>
      <c r="CX215" s="382">
        <f t="shared" si="191"/>
        <v>16964.600329384884</v>
      </c>
      <c r="CY215" s="382">
        <f>CS215* Pile!$U$38</f>
        <v>0</v>
      </c>
      <c r="CZ215" s="382">
        <f t="shared" si="149"/>
        <v>16964.600329384884</v>
      </c>
      <c r="DA215" s="382">
        <f>CZ215/ 'Pile Data and Eurocode Factors'!$C$19/ 'Pile Data and Eurocode Factors'!$C$20</f>
        <v>7127.9833316743225</v>
      </c>
      <c r="DB215" s="382">
        <f t="shared" si="150"/>
        <v>17388.304566027327</v>
      </c>
      <c r="DC215" s="382">
        <f>VLOOKUP(CQ215, 'Pile Data and Eurocode Factors'!$A$34:$J$39,3, FALSE)</f>
        <v>16826.141773161216</v>
      </c>
      <c r="DD215" s="403">
        <f t="shared" si="151"/>
        <v>16826.141773161216</v>
      </c>
      <c r="DE215" s="420">
        <f xml:space="preserve"> Pile!$C$23- Pile!C215</f>
        <v>42</v>
      </c>
      <c r="DG215" s="382">
        <f t="shared" si="152"/>
        <v>2366.1761868507956</v>
      </c>
      <c r="DH215" s="382">
        <f t="shared" si="153"/>
        <v>4206.5354432903041</v>
      </c>
      <c r="DI215" s="382">
        <f t="shared" si="154"/>
        <v>6572.7116301410997</v>
      </c>
      <c r="DJ215" s="382"/>
      <c r="DK215" s="382"/>
      <c r="DL215" s="382"/>
    </row>
    <row r="216" spans="2:116" s="414" customFormat="1" ht="15">
      <c r="B216" s="404">
        <v>1</v>
      </c>
      <c r="C216" s="405">
        <f>+C215- Pile!D$39/20</f>
        <v>-36.299999999999997</v>
      </c>
      <c r="D216" s="406" t="str">
        <f>B26</f>
        <v>Medium Density Chalk</v>
      </c>
      <c r="E216" s="406" t="str">
        <f>F26</f>
        <v>Chalk</v>
      </c>
      <c r="F216" s="405">
        <f xml:space="preserve"> Pile!$E$39*(+C215-C216)+F215</f>
        <v>801.06993750000015</v>
      </c>
      <c r="G216" s="405">
        <f>IF(C216&gt; Pile!$C$41,0,( Pile!$C$41-C216)*9.81)</f>
        <v>208.95299999999997</v>
      </c>
      <c r="H216" s="405">
        <f t="shared" si="122"/>
        <v>592.11693750000018</v>
      </c>
      <c r="I216" s="405">
        <f t="shared" ref="I216:I235" si="193">($H$215+H216)/2</f>
        <v>590.55346875000021</v>
      </c>
      <c r="J216" s="405">
        <f>IF(E216="Cohesive", Pile!$G$39+(( Pile!$H$39- Pile!$G$39)/20),0)</f>
        <v>0</v>
      </c>
      <c r="K216" s="405">
        <f>IF(E216="Cohesive",( Pile!$G$39+ Pile!$J216)/2,0)</f>
        <v>0</v>
      </c>
      <c r="L216" s="405" t="str">
        <f>IF( Pile!I$39="",0, Pile!I$39)</f>
        <v>0</v>
      </c>
      <c r="M216" s="405" t="str">
        <f>IF( Pile!J$39="",0, Pile!J$39)</f>
        <v>0</v>
      </c>
      <c r="N216" s="405">
        <f>IF(E216="Granular", Pile!$K$39,0)</f>
        <v>0</v>
      </c>
      <c r="O216" s="407">
        <f>IF(AND(E216="Granular",D216&lt;&gt;"Made Ground"), Pile!$L$39,0)</f>
        <v>0</v>
      </c>
      <c r="P216" s="405">
        <f>IF(OR(D216="Low Density Chalk",D216="Medium Density Chalk"), Pile!$M$39,0)</f>
        <v>0.8</v>
      </c>
      <c r="Q216" s="408">
        <f>IF(D216="High Density Chalk", Pile!$N$39,0)</f>
        <v>0</v>
      </c>
      <c r="R216" s="405">
        <f>IF( Pile!O$39="",0, Pile!O$39)</f>
        <v>9000</v>
      </c>
      <c r="S216" s="409">
        <f t="shared" si="124"/>
        <v>472.44277500000021</v>
      </c>
      <c r="T216" s="410">
        <f xml:space="preserve"> Pile!$T$39</f>
        <v>30</v>
      </c>
      <c r="U216" s="410">
        <f t="shared" si="125"/>
        <v>30</v>
      </c>
      <c r="V216" s="410">
        <f t="shared" si="126"/>
        <v>9000</v>
      </c>
      <c r="W216" s="410">
        <f xml:space="preserve"> Pile!$V$39</f>
        <v>1000</v>
      </c>
      <c r="X216" s="410">
        <f t="shared" si="127"/>
        <v>1000</v>
      </c>
      <c r="Y216" s="411">
        <v>450</v>
      </c>
      <c r="Z216" s="429">
        <f>PI()*Y216/1000*( Pile!$C$39- Pile!$C216)</f>
        <v>0.42411500823461806</v>
      </c>
      <c r="AA216" s="410">
        <f t="shared" si="128"/>
        <v>0.15904312808798329</v>
      </c>
      <c r="AB216" s="410">
        <f t="shared" si="173"/>
        <v>12.723450247038542</v>
      </c>
      <c r="AC216" s="410">
        <f>Z216* Pile!$S$39</f>
        <v>12.723450247038542</v>
      </c>
      <c r="AD216" s="410">
        <f t="shared" si="179"/>
        <v>12.723450247038542</v>
      </c>
      <c r="AE216" s="410">
        <f>IF(AD216&gt;0,+AD216)/ 'Pile Data and Eurocode Factors'!$B$19/ 'Pile Data and Eurocode Factors'!$B$20+AE$215</f>
        <v>3853.6792487142993</v>
      </c>
      <c r="AF216" s="410">
        <f t="shared" si="186"/>
        <v>159.04312808798329</v>
      </c>
      <c r="AG216" s="410">
        <f>AA216* Pile!$U$39</f>
        <v>0</v>
      </c>
      <c r="AH216" s="410">
        <f t="shared" si="129"/>
        <v>159.04312808798329</v>
      </c>
      <c r="AI216" s="410">
        <f>AH216/ 'Pile Data and Eurocode Factors'!$C$19/ 'Pile Data and Eurocode Factors'!$C$20</f>
        <v>66.824843734446773</v>
      </c>
      <c r="AJ216" s="410">
        <f t="shared" si="130"/>
        <v>3920.5040924487462</v>
      </c>
      <c r="AK216" s="410">
        <f>VLOOKUP(Y216, 'Pile Data and Eurocode Factors'!$A$34:$J$39,3, FALSE)</f>
        <v>2366.1761868507956</v>
      </c>
      <c r="AL216" s="412">
        <f t="shared" si="131"/>
        <v>2366.1761868507956</v>
      </c>
      <c r="AM216" s="411">
        <v>600</v>
      </c>
      <c r="AN216" s="429">
        <f>PI()*AM216/1000*( Pile!$C$39- Pile!$C216)</f>
        <v>0.56548667764615745</v>
      </c>
      <c r="AO216" s="410">
        <f t="shared" si="132"/>
        <v>0.28274333882308139</v>
      </c>
      <c r="AP216" s="410">
        <f t="shared" si="174"/>
        <v>16.964600329384723</v>
      </c>
      <c r="AQ216" s="410">
        <f>AN216* Pile!$S$39</f>
        <v>16.964600329384723</v>
      </c>
      <c r="AR216" s="410">
        <f t="shared" si="180"/>
        <v>16.964600329384723</v>
      </c>
      <c r="AS216" s="410">
        <f>IF(AR216&gt;0,+AR216)/ 'Pile Data and Eurocode Factors'!$B$19/ 'Pile Data and Eurocode Factors'!$B$20+AS$215</f>
        <v>5138.2389982857321</v>
      </c>
      <c r="AT216" s="410">
        <f t="shared" si="187"/>
        <v>282.74333882308139</v>
      </c>
      <c r="AU216" s="410">
        <f>AO216* Pile!$U$39</f>
        <v>0</v>
      </c>
      <c r="AV216" s="410">
        <f t="shared" si="133"/>
        <v>282.74333882308139</v>
      </c>
      <c r="AW216" s="410">
        <f>AV216/ 'Pile Data and Eurocode Factors'!$C$19/ 'Pile Data and Eurocode Factors'!$C$20</f>
        <v>118.79972219457203</v>
      </c>
      <c r="AX216" s="410">
        <f t="shared" si="134"/>
        <v>5257.0387204803037</v>
      </c>
      <c r="AY216" s="410">
        <f>VLOOKUP(AM216, 'Pile Data and Eurocode Factors'!$A$34:$J$39,3, FALSE)</f>
        <v>4206.5354432903041</v>
      </c>
      <c r="AZ216" s="412">
        <f t="shared" si="135"/>
        <v>4206.5354432903041</v>
      </c>
      <c r="BA216" s="411">
        <v>750</v>
      </c>
      <c r="BB216" s="429">
        <f>PI()*BA216/1000*( Pile!$C$39- Pile!$C216)</f>
        <v>0.70685834705769679</v>
      </c>
      <c r="BC216" s="410">
        <f t="shared" si="136"/>
        <v>0.44178646691106466</v>
      </c>
      <c r="BD216" s="410">
        <f t="shared" si="175"/>
        <v>21.205750411730904</v>
      </c>
      <c r="BE216" s="410">
        <f>BB216* Pile!$S$39</f>
        <v>21.205750411730904</v>
      </c>
      <c r="BF216" s="410">
        <f t="shared" si="181"/>
        <v>21.205750411730904</v>
      </c>
      <c r="BG216" s="410">
        <f>IF(BF216&gt;0,+BF216)/ 'Pile Data and Eurocode Factors'!$B$19/ 'Pile Data and Eurocode Factors'!$B$20+BG$215</f>
        <v>6422.7987478571658</v>
      </c>
      <c r="BH216" s="410">
        <f t="shared" si="188"/>
        <v>441.78646691106468</v>
      </c>
      <c r="BI216" s="410">
        <f>BC216* Pile!$U$39</f>
        <v>0</v>
      </c>
      <c r="BJ216" s="410">
        <f t="shared" si="137"/>
        <v>441.78646691106468</v>
      </c>
      <c r="BK216" s="410">
        <f>BJ216/ 'Pile Data and Eurocode Factors'!$C$19/ 'Pile Data and Eurocode Factors'!$C$20</f>
        <v>185.62456592901879</v>
      </c>
      <c r="BL216" s="410">
        <f t="shared" si="138"/>
        <v>6608.4233137861847</v>
      </c>
      <c r="BM216" s="410">
        <f>VLOOKUP(BA216, 'Pile Data and Eurocode Factors'!$A$34:$J$39,3, FALSE)</f>
        <v>6572.7116301410997</v>
      </c>
      <c r="BN216" s="412">
        <f t="shared" si="139"/>
        <v>6572.7116301410997</v>
      </c>
      <c r="BO216" s="411">
        <v>900</v>
      </c>
      <c r="BP216" s="429">
        <f>PI()*BO216/1000*( Pile!$C$39- Pile!$C216)</f>
        <v>0.84823001646923613</v>
      </c>
      <c r="BQ216" s="410">
        <f t="shared" si="140"/>
        <v>0.63617251235193317</v>
      </c>
      <c r="BR216" s="410">
        <f t="shared" si="176"/>
        <v>25.446900494077084</v>
      </c>
      <c r="BS216" s="410">
        <f>BP216* Pile!$S$39</f>
        <v>25.446900494077084</v>
      </c>
      <c r="BT216" s="410">
        <f t="shared" si="182"/>
        <v>25.446900494077084</v>
      </c>
      <c r="BU216" s="410">
        <f>IF(BT216&gt;0,+BT216)/ 'Pile Data and Eurocode Factors'!$B$19/ 'Pile Data and Eurocode Factors'!$B$20+BU$215</f>
        <v>7707.3584974285986</v>
      </c>
      <c r="BV216" s="410">
        <f t="shared" si="189"/>
        <v>636.17251235193316</v>
      </c>
      <c r="BW216" s="410">
        <f>BQ216* Pile!$U$39</f>
        <v>0</v>
      </c>
      <c r="BX216" s="410">
        <f t="shared" si="141"/>
        <v>636.17251235193316</v>
      </c>
      <c r="BY216" s="410">
        <f>BX216/ 'Pile Data and Eurocode Factors'!$C$19/ 'Pile Data and Eurocode Factors'!$C$20</f>
        <v>267.29937493778709</v>
      </c>
      <c r="BZ216" s="410">
        <f t="shared" si="142"/>
        <v>7974.6578723663861</v>
      </c>
      <c r="CA216" s="410">
        <f>VLOOKUP(BO216, 'Pile Data and Eurocode Factors'!$A$34:$J$39,3, FALSE)</f>
        <v>9464.7047474031824</v>
      </c>
      <c r="CB216" s="412">
        <f t="shared" si="143"/>
        <v>7974.6578723663861</v>
      </c>
      <c r="CC216" s="411">
        <v>1050</v>
      </c>
      <c r="CD216" s="429">
        <f>PI()*CC216/1000*( Pile!$C$39- Pile!$C216)</f>
        <v>0.98960168588077546</v>
      </c>
      <c r="CE216" s="410">
        <f t="shared" si="144"/>
        <v>0.86590147514568672</v>
      </c>
      <c r="CF216" s="410">
        <f t="shared" si="177"/>
        <v>29.688050576423265</v>
      </c>
      <c r="CG216" s="410">
        <f>CD216* Pile!$S$39</f>
        <v>29.688050576423265</v>
      </c>
      <c r="CH216" s="410">
        <f t="shared" si="183"/>
        <v>29.688050576423265</v>
      </c>
      <c r="CI216" s="410">
        <f>IF(CH216&gt;0,+CH216)/ 'Pile Data and Eurocode Factors'!$B$19/ 'Pile Data and Eurocode Factors'!$B$20+CI$215</f>
        <v>8991.9182470000324</v>
      </c>
      <c r="CJ216" s="410">
        <f t="shared" si="190"/>
        <v>865.90147514568673</v>
      </c>
      <c r="CK216" s="410">
        <f>CE216* Pile!$U$39</f>
        <v>0</v>
      </c>
      <c r="CL216" s="410">
        <f t="shared" si="145"/>
        <v>865.90147514568673</v>
      </c>
      <c r="CM216" s="410">
        <f>CL216/ 'Pile Data and Eurocode Factors'!$C$19/ 'Pile Data and Eurocode Factors'!$C$20</f>
        <v>363.82414922087679</v>
      </c>
      <c r="CN216" s="410">
        <f t="shared" si="146"/>
        <v>9355.7423962209086</v>
      </c>
      <c r="CO216" s="410">
        <f>VLOOKUP(CC216, 'Pile Data and Eurocode Factors'!$A$34:$J$39,3, FALSE)</f>
        <v>12882.514795076555</v>
      </c>
      <c r="CP216" s="412">
        <f t="shared" si="147"/>
        <v>9355.7423962209086</v>
      </c>
      <c r="CQ216" s="411">
        <v>1200</v>
      </c>
      <c r="CR216" s="429">
        <f>PI()*CQ216/1000*( Pile!$C$39- Pile!$C216)</f>
        <v>1.1309733552923149</v>
      </c>
      <c r="CS216" s="410">
        <f t="shared" si="148"/>
        <v>1.1309733552923256</v>
      </c>
      <c r="CT216" s="410">
        <f t="shared" si="178"/>
        <v>33.929200658769446</v>
      </c>
      <c r="CU216" s="410">
        <f>CR216* Pile!$S$39</f>
        <v>33.929200658769446</v>
      </c>
      <c r="CV216" s="410">
        <f t="shared" si="184"/>
        <v>33.929200658769446</v>
      </c>
      <c r="CW216" s="410">
        <f>IF(CV216&gt;0,+CV216)/ 'Pile Data and Eurocode Factors'!$B$19/ 'Pile Data and Eurocode Factors'!$B$20+CW$215</f>
        <v>10276.477996571464</v>
      </c>
      <c r="CX216" s="410">
        <f t="shared" si="191"/>
        <v>1130.9733552923256</v>
      </c>
      <c r="CY216" s="410">
        <f>CS216* Pile!$U$39</f>
        <v>0</v>
      </c>
      <c r="CZ216" s="410">
        <f t="shared" si="149"/>
        <v>1130.9733552923256</v>
      </c>
      <c r="DA216" s="410">
        <f>CZ216/ 'Pile Data and Eurocode Factors'!$C$19/ 'Pile Data and Eurocode Factors'!$C$20</f>
        <v>475.19888877828811</v>
      </c>
      <c r="DB216" s="410">
        <f t="shared" si="150"/>
        <v>10751.676885349752</v>
      </c>
      <c r="DC216" s="410">
        <f>VLOOKUP(CQ216, 'Pile Data and Eurocode Factors'!$A$34:$J$39,3, FALSE)</f>
        <v>16826.141773161216</v>
      </c>
      <c r="DD216" s="412">
        <f t="shared" si="151"/>
        <v>10751.676885349752</v>
      </c>
      <c r="DE216" s="413">
        <f xml:space="preserve"> Pile!$C$23- Pile!C216</f>
        <v>42.3</v>
      </c>
      <c r="DG216" s="410">
        <f t="shared" si="152"/>
        <v>2366.1761868507956</v>
      </c>
      <c r="DH216" s="410">
        <f t="shared" si="153"/>
        <v>4206.5354432903041</v>
      </c>
      <c r="DI216" s="410">
        <f t="shared" si="154"/>
        <v>6572.7116301410997</v>
      </c>
      <c r="DJ216" s="410"/>
      <c r="DK216" s="410"/>
      <c r="DL216" s="410"/>
    </row>
    <row r="217" spans="2:116" s="308" customFormat="1" ht="15">
      <c r="B217" s="400">
        <v>2</v>
      </c>
      <c r="C217" s="401">
        <f>+C216- Pile!D$39/20</f>
        <v>-36.599999999999994</v>
      </c>
      <c r="D217" s="415" t="str">
        <f>B26</f>
        <v>Medium Density Chalk</v>
      </c>
      <c r="E217" s="415" t="str">
        <f>F26</f>
        <v>Chalk</v>
      </c>
      <c r="F217" s="401">
        <f xml:space="preserve"> Pile!$E$39*(+C216-C217)+F216</f>
        <v>807.13987500000007</v>
      </c>
      <c r="G217" s="401">
        <f>IF(C217&gt; Pile!$C$41,0,( Pile!$C$41-C217)*9.81)</f>
        <v>211.89599999999996</v>
      </c>
      <c r="H217" s="401">
        <f t="shared" si="122"/>
        <v>595.24387500000012</v>
      </c>
      <c r="I217" s="401">
        <f t="shared" si="193"/>
        <v>592.11693750000018</v>
      </c>
      <c r="J217" s="401">
        <f>IF(E217="Cohesive",(( Pile!$H$39- Pile!$G$39)/20)+J216,0)</f>
        <v>0</v>
      </c>
      <c r="K217" s="401">
        <f>IF(E217="Cohesive",( Pile!$G$39+ Pile!$J217)/2,0)</f>
        <v>0</v>
      </c>
      <c r="L217" s="401" t="str">
        <f>IF( Pile!I$39="",0, Pile!I$39)</f>
        <v>0</v>
      </c>
      <c r="M217" s="401" t="str">
        <f>IF( Pile!J$39="",0, Pile!J$39)</f>
        <v>0</v>
      </c>
      <c r="N217" s="401">
        <f>IF(E217="Granular", Pile!$K$39,0)</f>
        <v>0</v>
      </c>
      <c r="O217" s="416">
        <f>IF(AND(E217="Granular",D217&lt;&gt;"Made Ground"), Pile!$L$39,0)</f>
        <v>0</v>
      </c>
      <c r="P217" s="401">
        <f>IF(OR(D217="Low Density Chalk",D217="Medium Density Chalk"), Pile!$M$39,0)</f>
        <v>0.8</v>
      </c>
      <c r="Q217" s="417">
        <f>IF(D217="High Density Chalk", Pile!$N$39,0)</f>
        <v>0</v>
      </c>
      <c r="R217" s="401">
        <f>IF( Pile!O$39="",0, Pile!O$39)</f>
        <v>9000</v>
      </c>
      <c r="S217" s="418">
        <f t="shared" si="124"/>
        <v>473.69355000000019</v>
      </c>
      <c r="T217" s="382">
        <f xml:space="preserve"> Pile!$T$39</f>
        <v>30</v>
      </c>
      <c r="U217" s="382">
        <f t="shared" si="125"/>
        <v>30</v>
      </c>
      <c r="V217" s="382">
        <f t="shared" si="126"/>
        <v>9000</v>
      </c>
      <c r="W217" s="382">
        <f xml:space="preserve"> Pile!$V$39</f>
        <v>1000</v>
      </c>
      <c r="X217" s="382">
        <f t="shared" si="127"/>
        <v>1000</v>
      </c>
      <c r="Y217" s="419">
        <v>450</v>
      </c>
      <c r="Z217" s="430">
        <f>PI()*Y217/1000*( Pile!$C$39- Pile!$C217)</f>
        <v>0.84823001646923613</v>
      </c>
      <c r="AA217" s="382">
        <f t="shared" si="128"/>
        <v>0.15904312808798329</v>
      </c>
      <c r="AB217" s="382">
        <f t="shared" si="173"/>
        <v>25.446900494077084</v>
      </c>
      <c r="AC217" s="382">
        <f>Z217* Pile!$S$39</f>
        <v>25.446900494077084</v>
      </c>
      <c r="AD217" s="382">
        <f t="shared" si="179"/>
        <v>25.446900494077084</v>
      </c>
      <c r="AE217" s="382">
        <f>IF(AD217&gt;0,+AD217)/ 'Pile Data and Eurocode Factors'!$B$19/ 'Pile Data and Eurocode Factors'!$B$20+AE$215</f>
        <v>3859.7380345462225</v>
      </c>
      <c r="AF217" s="382">
        <f t="shared" si="186"/>
        <v>159.04312808798329</v>
      </c>
      <c r="AG217" s="382">
        <f>AA217* Pile!$U$39</f>
        <v>0</v>
      </c>
      <c r="AH217" s="382">
        <f t="shared" si="129"/>
        <v>159.04312808798329</v>
      </c>
      <c r="AI217" s="382">
        <f>AH217/ 'Pile Data and Eurocode Factors'!$C$19/ 'Pile Data and Eurocode Factors'!$C$20</f>
        <v>66.824843734446773</v>
      </c>
      <c r="AJ217" s="382">
        <f t="shared" si="130"/>
        <v>3926.5628782806693</v>
      </c>
      <c r="AK217" s="382">
        <f>VLOOKUP(Y217, 'Pile Data and Eurocode Factors'!$A$34:$J$39,3, FALSE)</f>
        <v>2366.1761868507956</v>
      </c>
      <c r="AL217" s="403">
        <f t="shared" si="131"/>
        <v>2366.1761868507956</v>
      </c>
      <c r="AM217" s="419">
        <v>600</v>
      </c>
      <c r="AN217" s="430">
        <f>PI()*AM217/1000*( Pile!$C$39- Pile!$C217)</f>
        <v>1.1309733552923149</v>
      </c>
      <c r="AO217" s="382">
        <f t="shared" si="132"/>
        <v>0.28274333882308139</v>
      </c>
      <c r="AP217" s="382">
        <f t="shared" si="174"/>
        <v>33.929200658769446</v>
      </c>
      <c r="AQ217" s="382">
        <f>AN217* Pile!$S$39</f>
        <v>33.929200658769446</v>
      </c>
      <c r="AR217" s="382">
        <f t="shared" si="180"/>
        <v>33.929200658769446</v>
      </c>
      <c r="AS217" s="382">
        <f>IF(AR217&gt;0,+AR217)/ 'Pile Data and Eurocode Factors'!$B$19/ 'Pile Data and Eurocode Factors'!$B$20+AS$215</f>
        <v>5146.3173793949636</v>
      </c>
      <c r="AT217" s="382">
        <f t="shared" si="187"/>
        <v>282.74333882308139</v>
      </c>
      <c r="AU217" s="382">
        <f>AO217* Pile!$U$39</f>
        <v>0</v>
      </c>
      <c r="AV217" s="382">
        <f t="shared" si="133"/>
        <v>282.74333882308139</v>
      </c>
      <c r="AW217" s="382">
        <f>AV217/ 'Pile Data and Eurocode Factors'!$C$19/ 'Pile Data and Eurocode Factors'!$C$20</f>
        <v>118.79972219457203</v>
      </c>
      <c r="AX217" s="382">
        <f t="shared" si="134"/>
        <v>5265.1171015895352</v>
      </c>
      <c r="AY217" s="382">
        <f>VLOOKUP(AM217, 'Pile Data and Eurocode Factors'!$A$34:$J$39,3, FALSE)</f>
        <v>4206.5354432903041</v>
      </c>
      <c r="AZ217" s="403">
        <f t="shared" si="135"/>
        <v>4206.5354432903041</v>
      </c>
      <c r="BA217" s="419">
        <v>750</v>
      </c>
      <c r="BB217" s="430">
        <f>PI()*BA217/1000*( Pile!$C$39- Pile!$C217)</f>
        <v>1.4137166941153936</v>
      </c>
      <c r="BC217" s="382">
        <f t="shared" si="136"/>
        <v>0.44178646691106466</v>
      </c>
      <c r="BD217" s="382">
        <f t="shared" si="175"/>
        <v>42.411500823461807</v>
      </c>
      <c r="BE217" s="382">
        <f>BB217* Pile!$S$39</f>
        <v>42.411500823461807</v>
      </c>
      <c r="BF217" s="382">
        <f t="shared" si="181"/>
        <v>42.411500823461807</v>
      </c>
      <c r="BG217" s="382">
        <f>IF(BF217&gt;0,+BF217)/ 'Pile Data and Eurocode Factors'!$B$19/ 'Pile Data and Eurocode Factors'!$B$20+BG$215</f>
        <v>6432.8967242437038</v>
      </c>
      <c r="BH217" s="382">
        <f t="shared" si="188"/>
        <v>441.78646691106468</v>
      </c>
      <c r="BI217" s="382">
        <f>BC217* Pile!$U$39</f>
        <v>0</v>
      </c>
      <c r="BJ217" s="382">
        <f t="shared" si="137"/>
        <v>441.78646691106468</v>
      </c>
      <c r="BK217" s="382">
        <f>BJ217/ 'Pile Data and Eurocode Factors'!$C$19/ 'Pile Data and Eurocode Factors'!$C$20</f>
        <v>185.62456592901879</v>
      </c>
      <c r="BL217" s="382">
        <f t="shared" si="138"/>
        <v>6618.5212901727227</v>
      </c>
      <c r="BM217" s="382">
        <f>VLOOKUP(BA217, 'Pile Data and Eurocode Factors'!$A$34:$J$39,3, FALSE)</f>
        <v>6572.7116301410997</v>
      </c>
      <c r="BN217" s="403">
        <f t="shared" si="139"/>
        <v>6572.7116301410997</v>
      </c>
      <c r="BO217" s="419">
        <v>900</v>
      </c>
      <c r="BP217" s="430">
        <f>PI()*BO217/1000*( Pile!$C$39- Pile!$C217)</f>
        <v>1.6964600329384723</v>
      </c>
      <c r="BQ217" s="382">
        <f t="shared" si="140"/>
        <v>0.63617251235193317</v>
      </c>
      <c r="BR217" s="382">
        <f t="shared" si="176"/>
        <v>50.893800988154169</v>
      </c>
      <c r="BS217" s="382">
        <f>BP217* Pile!$S$39</f>
        <v>50.893800988154169</v>
      </c>
      <c r="BT217" s="382">
        <f t="shared" si="182"/>
        <v>50.893800988154169</v>
      </c>
      <c r="BU217" s="382">
        <f>IF(BT217&gt;0,+BT217)/ 'Pile Data and Eurocode Factors'!$B$19/ 'Pile Data and Eurocode Factors'!$B$20+BU$215</f>
        <v>7719.476069092445</v>
      </c>
      <c r="BV217" s="382">
        <f t="shared" si="189"/>
        <v>636.17251235193316</v>
      </c>
      <c r="BW217" s="382">
        <f>BQ217* Pile!$U$39</f>
        <v>0</v>
      </c>
      <c r="BX217" s="382">
        <f t="shared" si="141"/>
        <v>636.17251235193316</v>
      </c>
      <c r="BY217" s="382">
        <f>BX217/ 'Pile Data and Eurocode Factors'!$C$19/ 'Pile Data and Eurocode Factors'!$C$20</f>
        <v>267.29937493778709</v>
      </c>
      <c r="BZ217" s="382">
        <f t="shared" si="142"/>
        <v>7986.7754440302324</v>
      </c>
      <c r="CA217" s="382">
        <f>VLOOKUP(BO217, 'Pile Data and Eurocode Factors'!$A$34:$J$39,3, FALSE)</f>
        <v>9464.7047474031824</v>
      </c>
      <c r="CB217" s="403">
        <f t="shared" si="143"/>
        <v>7986.7754440302324</v>
      </c>
      <c r="CC217" s="419">
        <v>1050</v>
      </c>
      <c r="CD217" s="430">
        <f>PI()*CC217/1000*( Pile!$C$39- Pile!$C217)</f>
        <v>1.9792033717615509</v>
      </c>
      <c r="CE217" s="382">
        <f t="shared" si="144"/>
        <v>0.86590147514568672</v>
      </c>
      <c r="CF217" s="382">
        <f t="shared" si="177"/>
        <v>59.37610115284653</v>
      </c>
      <c r="CG217" s="382">
        <f>CD217* Pile!$S$39</f>
        <v>59.37610115284653</v>
      </c>
      <c r="CH217" s="382">
        <f t="shared" si="183"/>
        <v>59.37610115284653</v>
      </c>
      <c r="CI217" s="382">
        <f>IF(CH217&gt;0,+CH217)/ 'Pile Data and Eurocode Factors'!$B$19/ 'Pile Data and Eurocode Factors'!$B$20+CI$215</f>
        <v>9006.0554139411852</v>
      </c>
      <c r="CJ217" s="382">
        <f t="shared" si="190"/>
        <v>865.90147514568673</v>
      </c>
      <c r="CK217" s="382">
        <f>CE217* Pile!$U$39</f>
        <v>0</v>
      </c>
      <c r="CL217" s="382">
        <f t="shared" si="145"/>
        <v>865.90147514568673</v>
      </c>
      <c r="CM217" s="382">
        <f>CL217/ 'Pile Data and Eurocode Factors'!$C$19/ 'Pile Data and Eurocode Factors'!$C$20</f>
        <v>363.82414922087679</v>
      </c>
      <c r="CN217" s="382">
        <f t="shared" si="146"/>
        <v>9369.8795631620615</v>
      </c>
      <c r="CO217" s="382">
        <f>VLOOKUP(CC217, 'Pile Data and Eurocode Factors'!$A$34:$J$39,3, FALSE)</f>
        <v>12882.514795076555</v>
      </c>
      <c r="CP217" s="403">
        <f t="shared" si="147"/>
        <v>9369.8795631620615</v>
      </c>
      <c r="CQ217" s="419">
        <v>1200</v>
      </c>
      <c r="CR217" s="430">
        <f>PI()*CQ217/1000*( Pile!$C$39- Pile!$C217)</f>
        <v>2.2619467105846298</v>
      </c>
      <c r="CS217" s="382">
        <f t="shared" si="148"/>
        <v>1.1309733552923256</v>
      </c>
      <c r="CT217" s="382">
        <f t="shared" si="178"/>
        <v>67.858401317538892</v>
      </c>
      <c r="CU217" s="382">
        <f>CR217* Pile!$S$39</f>
        <v>67.858401317538892</v>
      </c>
      <c r="CV217" s="382">
        <f t="shared" si="184"/>
        <v>67.858401317538892</v>
      </c>
      <c r="CW217" s="382">
        <f>IF(CV217&gt;0,+CV217)/ 'Pile Data and Eurocode Factors'!$B$19/ 'Pile Data and Eurocode Factors'!$B$20+CW$215</f>
        <v>10292.634758789927</v>
      </c>
      <c r="CX217" s="382">
        <f t="shared" si="191"/>
        <v>1130.9733552923256</v>
      </c>
      <c r="CY217" s="382">
        <f>CS217* Pile!$U$39</f>
        <v>0</v>
      </c>
      <c r="CZ217" s="382">
        <f t="shared" si="149"/>
        <v>1130.9733552923256</v>
      </c>
      <c r="DA217" s="382">
        <f>CZ217/ 'Pile Data and Eurocode Factors'!$C$19/ 'Pile Data and Eurocode Factors'!$C$20</f>
        <v>475.19888877828811</v>
      </c>
      <c r="DB217" s="382">
        <f t="shared" si="150"/>
        <v>10767.833647568215</v>
      </c>
      <c r="DC217" s="382">
        <f>VLOOKUP(CQ217, 'Pile Data and Eurocode Factors'!$A$34:$J$39,3, FALSE)</f>
        <v>16826.141773161216</v>
      </c>
      <c r="DD217" s="403">
        <f t="shared" si="151"/>
        <v>10767.833647568215</v>
      </c>
      <c r="DE217" s="420">
        <f xml:space="preserve"> Pile!$C$23- Pile!C217</f>
        <v>42.599999999999994</v>
      </c>
      <c r="DG217" s="382">
        <f t="shared" si="152"/>
        <v>2366.1761868507956</v>
      </c>
      <c r="DH217" s="382">
        <f t="shared" si="153"/>
        <v>4206.5354432903041</v>
      </c>
      <c r="DI217" s="382">
        <f t="shared" si="154"/>
        <v>6572.7116301410997</v>
      </c>
      <c r="DJ217" s="382"/>
      <c r="DK217" s="382"/>
      <c r="DL217" s="382"/>
    </row>
    <row r="218" spans="2:116" s="308" customFormat="1" ht="15">
      <c r="B218" s="400">
        <v>3</v>
      </c>
      <c r="C218" s="401">
        <f>+C217- Pile!D$39/20</f>
        <v>-36.899999999999991</v>
      </c>
      <c r="D218" s="415" t="str">
        <f>B26</f>
        <v>Medium Density Chalk</v>
      </c>
      <c r="E218" s="415" t="str">
        <f>F26</f>
        <v>Chalk</v>
      </c>
      <c r="F218" s="401">
        <f xml:space="preserve"> Pile!$E$39*(+C217-C218)+F217</f>
        <v>813.2098125</v>
      </c>
      <c r="G218" s="401">
        <f>IF(C218&gt; Pile!$C$41,0,( Pile!$C$41-C218)*9.81)</f>
        <v>214.83899999999991</v>
      </c>
      <c r="H218" s="401">
        <f t="shared" si="122"/>
        <v>598.37081250000006</v>
      </c>
      <c r="I218" s="401">
        <f t="shared" si="193"/>
        <v>593.68040625000015</v>
      </c>
      <c r="J218" s="401">
        <f>IF(E218="Cohesive",(( Pile!$H$39- Pile!$G$39)/20)+J217,0)</f>
        <v>0</v>
      </c>
      <c r="K218" s="401">
        <f>IF(E218="Cohesive",( Pile!$G$39+ Pile!$J218)/2,0)</f>
        <v>0</v>
      </c>
      <c r="L218" s="401" t="str">
        <f>IF( Pile!I$39="",0, Pile!I$39)</f>
        <v>0</v>
      </c>
      <c r="M218" s="401" t="str">
        <f>IF( Pile!J$39="",0, Pile!J$39)</f>
        <v>0</v>
      </c>
      <c r="N218" s="401">
        <f>IF(E218="Granular", Pile!$K$39,0)</f>
        <v>0</v>
      </c>
      <c r="O218" s="416">
        <f>IF(AND(E218="Granular",D218&lt;&gt;"Made Ground"), Pile!$L$39,0)</f>
        <v>0</v>
      </c>
      <c r="P218" s="401">
        <f>IF(OR(D218="Low Density Chalk",D218="Medium Density Chalk"), Pile!$M$39,0)</f>
        <v>0.8</v>
      </c>
      <c r="Q218" s="417">
        <f>IF(D218="High Density Chalk", Pile!$N$39,0)</f>
        <v>0</v>
      </c>
      <c r="R218" s="401">
        <f>IF( Pile!O$39="",0, Pile!O$39)</f>
        <v>9000</v>
      </c>
      <c r="S218" s="418">
        <f t="shared" si="124"/>
        <v>474.94432500000016</v>
      </c>
      <c r="T218" s="382">
        <f xml:space="preserve"> Pile!$T$39</f>
        <v>30</v>
      </c>
      <c r="U218" s="382">
        <f t="shared" si="125"/>
        <v>30</v>
      </c>
      <c r="V218" s="382">
        <f t="shared" si="126"/>
        <v>9000</v>
      </c>
      <c r="W218" s="382">
        <f xml:space="preserve"> Pile!$V$39</f>
        <v>1000</v>
      </c>
      <c r="X218" s="382">
        <f t="shared" si="127"/>
        <v>1000</v>
      </c>
      <c r="Y218" s="419">
        <v>450</v>
      </c>
      <c r="Z218" s="430">
        <f>PI()*Y218/1000*( Pile!$C$39- Pile!$C218)</f>
        <v>1.2723450247038541</v>
      </c>
      <c r="AA218" s="382">
        <f t="shared" si="128"/>
        <v>0.15904312808798329</v>
      </c>
      <c r="AB218" s="382">
        <f t="shared" si="173"/>
        <v>38.170350741115627</v>
      </c>
      <c r="AC218" s="382">
        <f>Z218* Pile!$S$39</f>
        <v>38.170350741115627</v>
      </c>
      <c r="AD218" s="382">
        <f t="shared" si="179"/>
        <v>38.170350741115627</v>
      </c>
      <c r="AE218" s="382">
        <f>IF(AD218&gt;0,+AD218)/ 'Pile Data and Eurocode Factors'!$B$19/ 'Pile Data and Eurocode Factors'!$B$20+AE$215</f>
        <v>3865.7968203781456</v>
      </c>
      <c r="AF218" s="382">
        <f t="shared" si="186"/>
        <v>159.04312808798329</v>
      </c>
      <c r="AG218" s="382">
        <f>AA218* Pile!$U$39</f>
        <v>0</v>
      </c>
      <c r="AH218" s="382">
        <f t="shared" si="129"/>
        <v>159.04312808798329</v>
      </c>
      <c r="AI218" s="382">
        <f>AH218/ 'Pile Data and Eurocode Factors'!$C$19/ 'Pile Data and Eurocode Factors'!$C$20</f>
        <v>66.824843734446773</v>
      </c>
      <c r="AJ218" s="382">
        <f t="shared" si="130"/>
        <v>3932.6216641125925</v>
      </c>
      <c r="AK218" s="382">
        <f>VLOOKUP(Y218, 'Pile Data and Eurocode Factors'!$A$34:$J$39,3, FALSE)</f>
        <v>2366.1761868507956</v>
      </c>
      <c r="AL218" s="403">
        <f t="shared" si="131"/>
        <v>2366.1761868507956</v>
      </c>
      <c r="AM218" s="419">
        <v>600</v>
      </c>
      <c r="AN218" s="430">
        <f>PI()*AM218/1000*( Pile!$C$39- Pile!$C218)</f>
        <v>1.6964600329384723</v>
      </c>
      <c r="AO218" s="382">
        <f t="shared" si="132"/>
        <v>0.28274333882308139</v>
      </c>
      <c r="AP218" s="382">
        <f t="shared" si="174"/>
        <v>50.893800988154169</v>
      </c>
      <c r="AQ218" s="382">
        <f>AN218* Pile!$S$39</f>
        <v>50.893800988154169</v>
      </c>
      <c r="AR218" s="382">
        <f t="shared" si="180"/>
        <v>50.893800988154169</v>
      </c>
      <c r="AS218" s="382">
        <f>IF(AR218&gt;0,+AR218)/ 'Pile Data and Eurocode Factors'!$B$19/ 'Pile Data and Eurocode Factors'!$B$20+AS$215</f>
        <v>5154.3957605041942</v>
      </c>
      <c r="AT218" s="382">
        <f t="shared" si="187"/>
        <v>282.74333882308139</v>
      </c>
      <c r="AU218" s="382">
        <f>AO218* Pile!$U$39</f>
        <v>0</v>
      </c>
      <c r="AV218" s="382">
        <f t="shared" si="133"/>
        <v>282.74333882308139</v>
      </c>
      <c r="AW218" s="382">
        <f>AV218/ 'Pile Data and Eurocode Factors'!$C$19/ 'Pile Data and Eurocode Factors'!$C$20</f>
        <v>118.79972219457203</v>
      </c>
      <c r="AX218" s="382">
        <f t="shared" si="134"/>
        <v>5273.1954826987658</v>
      </c>
      <c r="AY218" s="382">
        <f>VLOOKUP(AM218, 'Pile Data and Eurocode Factors'!$A$34:$J$39,3, FALSE)</f>
        <v>4206.5354432903041</v>
      </c>
      <c r="AZ218" s="403">
        <f t="shared" si="135"/>
        <v>4206.5354432903041</v>
      </c>
      <c r="BA218" s="419">
        <v>750</v>
      </c>
      <c r="BB218" s="430">
        <f>PI()*BA218/1000*( Pile!$C$39- Pile!$C218)</f>
        <v>2.1205750411730904</v>
      </c>
      <c r="BC218" s="382">
        <f t="shared" si="136"/>
        <v>0.44178646691106466</v>
      </c>
      <c r="BD218" s="382">
        <f t="shared" si="175"/>
        <v>63.617251235192711</v>
      </c>
      <c r="BE218" s="382">
        <f>BB218* Pile!$S$39</f>
        <v>63.617251235192711</v>
      </c>
      <c r="BF218" s="382">
        <f t="shared" si="181"/>
        <v>63.617251235192711</v>
      </c>
      <c r="BG218" s="382">
        <f>IF(BF218&gt;0,+BF218)/ 'Pile Data and Eurocode Factors'!$B$19/ 'Pile Data and Eurocode Factors'!$B$20+BG$215</f>
        <v>6442.9947006302427</v>
      </c>
      <c r="BH218" s="382">
        <f t="shared" si="188"/>
        <v>441.78646691106468</v>
      </c>
      <c r="BI218" s="382">
        <f>BC218* Pile!$U$39</f>
        <v>0</v>
      </c>
      <c r="BJ218" s="382">
        <f t="shared" si="137"/>
        <v>441.78646691106468</v>
      </c>
      <c r="BK218" s="382">
        <f>BJ218/ 'Pile Data and Eurocode Factors'!$C$19/ 'Pile Data and Eurocode Factors'!$C$20</f>
        <v>185.62456592901879</v>
      </c>
      <c r="BL218" s="382">
        <f t="shared" si="138"/>
        <v>6628.6192665592616</v>
      </c>
      <c r="BM218" s="382">
        <f>VLOOKUP(BA218, 'Pile Data and Eurocode Factors'!$A$34:$J$39,3, FALSE)</f>
        <v>6572.7116301410997</v>
      </c>
      <c r="BN218" s="403">
        <f t="shared" si="139"/>
        <v>6572.7116301410997</v>
      </c>
      <c r="BO218" s="419">
        <v>900</v>
      </c>
      <c r="BP218" s="430">
        <f>PI()*BO218/1000*( Pile!$C$39- Pile!$C218)</f>
        <v>2.5446900494077083</v>
      </c>
      <c r="BQ218" s="382">
        <f t="shared" si="140"/>
        <v>0.63617251235193317</v>
      </c>
      <c r="BR218" s="382">
        <f t="shared" si="176"/>
        <v>76.340701482231253</v>
      </c>
      <c r="BS218" s="382">
        <f>BP218* Pile!$S$39</f>
        <v>76.340701482231253</v>
      </c>
      <c r="BT218" s="382">
        <f t="shared" si="182"/>
        <v>76.340701482231253</v>
      </c>
      <c r="BU218" s="382">
        <f>IF(BT218&gt;0,+BT218)/ 'Pile Data and Eurocode Factors'!$B$19/ 'Pile Data and Eurocode Factors'!$B$20+BU$215</f>
        <v>7731.5936407562913</v>
      </c>
      <c r="BV218" s="382">
        <f t="shared" si="189"/>
        <v>636.17251235193316</v>
      </c>
      <c r="BW218" s="382">
        <f>BQ218* Pile!$U$39</f>
        <v>0</v>
      </c>
      <c r="BX218" s="382">
        <f t="shared" si="141"/>
        <v>636.17251235193316</v>
      </c>
      <c r="BY218" s="382">
        <f>BX218/ 'Pile Data and Eurocode Factors'!$C$19/ 'Pile Data and Eurocode Factors'!$C$20</f>
        <v>267.29937493778709</v>
      </c>
      <c r="BZ218" s="382">
        <f t="shared" si="142"/>
        <v>7998.8930156940787</v>
      </c>
      <c r="CA218" s="382">
        <f>VLOOKUP(BO218, 'Pile Data and Eurocode Factors'!$A$34:$J$39,3, FALSE)</f>
        <v>9464.7047474031824</v>
      </c>
      <c r="CB218" s="403">
        <f t="shared" si="143"/>
        <v>7998.8930156940787</v>
      </c>
      <c r="CC218" s="419">
        <v>1050</v>
      </c>
      <c r="CD218" s="430">
        <f>PI()*CC218/1000*( Pile!$C$39- Pile!$C218)</f>
        <v>2.9688050576423262</v>
      </c>
      <c r="CE218" s="382">
        <f t="shared" si="144"/>
        <v>0.86590147514568672</v>
      </c>
      <c r="CF218" s="382">
        <f t="shared" si="177"/>
        <v>89.064151729269781</v>
      </c>
      <c r="CG218" s="382">
        <f>CD218* Pile!$S$39</f>
        <v>89.064151729269781</v>
      </c>
      <c r="CH218" s="382">
        <f t="shared" si="183"/>
        <v>89.064151729269781</v>
      </c>
      <c r="CI218" s="382">
        <f>IF(CH218&gt;0,+CH218)/ 'Pile Data and Eurocode Factors'!$B$19/ 'Pile Data and Eurocode Factors'!$B$20+CI$215</f>
        <v>9020.1925808823398</v>
      </c>
      <c r="CJ218" s="382">
        <f t="shared" si="190"/>
        <v>865.90147514568673</v>
      </c>
      <c r="CK218" s="382">
        <f>CE218* Pile!$U$39</f>
        <v>0</v>
      </c>
      <c r="CL218" s="382">
        <f t="shared" si="145"/>
        <v>865.90147514568673</v>
      </c>
      <c r="CM218" s="382">
        <f>CL218/ 'Pile Data and Eurocode Factors'!$C$19/ 'Pile Data and Eurocode Factors'!$C$20</f>
        <v>363.82414922087679</v>
      </c>
      <c r="CN218" s="382">
        <f t="shared" si="146"/>
        <v>9384.0167301032161</v>
      </c>
      <c r="CO218" s="382">
        <f>VLOOKUP(CC218, 'Pile Data and Eurocode Factors'!$A$34:$J$39,3, FALSE)</f>
        <v>12882.514795076555</v>
      </c>
      <c r="CP218" s="403">
        <f t="shared" si="147"/>
        <v>9384.0167301032161</v>
      </c>
      <c r="CQ218" s="419">
        <v>1200</v>
      </c>
      <c r="CR218" s="430">
        <f>PI()*CQ218/1000*( Pile!$C$39- Pile!$C218)</f>
        <v>3.3929200658769445</v>
      </c>
      <c r="CS218" s="382">
        <f t="shared" si="148"/>
        <v>1.1309733552923256</v>
      </c>
      <c r="CT218" s="382">
        <f t="shared" si="178"/>
        <v>101.78760197630834</v>
      </c>
      <c r="CU218" s="382">
        <f>CR218* Pile!$S$39</f>
        <v>101.78760197630834</v>
      </c>
      <c r="CV218" s="382">
        <f t="shared" si="184"/>
        <v>101.78760197630834</v>
      </c>
      <c r="CW218" s="382">
        <f>IF(CV218&gt;0,+CV218)/ 'Pile Data and Eurocode Factors'!$B$19/ 'Pile Data and Eurocode Factors'!$B$20+CW$215</f>
        <v>10308.791521008388</v>
      </c>
      <c r="CX218" s="382">
        <f t="shared" si="191"/>
        <v>1130.9733552923256</v>
      </c>
      <c r="CY218" s="382">
        <f>CS218* Pile!$U$39</f>
        <v>0</v>
      </c>
      <c r="CZ218" s="382">
        <f t="shared" si="149"/>
        <v>1130.9733552923256</v>
      </c>
      <c r="DA218" s="382">
        <f>CZ218/ 'Pile Data and Eurocode Factors'!$C$19/ 'Pile Data and Eurocode Factors'!$C$20</f>
        <v>475.19888877828811</v>
      </c>
      <c r="DB218" s="382">
        <f t="shared" si="150"/>
        <v>10783.990409786677</v>
      </c>
      <c r="DC218" s="382">
        <f>VLOOKUP(CQ218, 'Pile Data and Eurocode Factors'!$A$34:$J$39,3, FALSE)</f>
        <v>16826.141773161216</v>
      </c>
      <c r="DD218" s="403">
        <f t="shared" si="151"/>
        <v>10783.990409786677</v>
      </c>
      <c r="DE218" s="420">
        <f xml:space="preserve"> Pile!$C$23- Pile!C218</f>
        <v>42.899999999999991</v>
      </c>
      <c r="DG218" s="382">
        <f t="shared" si="152"/>
        <v>2366.1761868507956</v>
      </c>
      <c r="DH218" s="382">
        <f t="shared" si="153"/>
        <v>4206.5354432903041</v>
      </c>
      <c r="DI218" s="382">
        <f t="shared" si="154"/>
        <v>6572.7116301410997</v>
      </c>
      <c r="DJ218" s="382"/>
      <c r="DK218" s="382"/>
      <c r="DL218" s="382"/>
    </row>
    <row r="219" spans="2:116" s="308" customFormat="1" ht="15">
      <c r="B219" s="400">
        <v>4</v>
      </c>
      <c r="C219" s="401">
        <f>+C218- Pile!D$39/20</f>
        <v>-37.199999999999989</v>
      </c>
      <c r="D219" s="415" t="str">
        <f>B26</f>
        <v>Medium Density Chalk</v>
      </c>
      <c r="E219" s="415" t="str">
        <f>F26</f>
        <v>Chalk</v>
      </c>
      <c r="F219" s="401">
        <f xml:space="preserve"> Pile!$E$39*(+C218-C219)+F218</f>
        <v>819.27974999999992</v>
      </c>
      <c r="G219" s="401">
        <f>IF(C219&gt; Pile!$C$41,0,( Pile!$C$41-C219)*9.81)</f>
        <v>217.7819999999999</v>
      </c>
      <c r="H219" s="401">
        <f t="shared" si="122"/>
        <v>601.49775</v>
      </c>
      <c r="I219" s="401">
        <f t="shared" si="193"/>
        <v>595.24387500000012</v>
      </c>
      <c r="J219" s="401">
        <f>IF(E219="Cohesive",(( Pile!$H$39- Pile!$G$39)/20)+J218,0)</f>
        <v>0</v>
      </c>
      <c r="K219" s="401">
        <f>IF(E219="Cohesive",( Pile!$G$39+ Pile!$J219)/2,0)</f>
        <v>0</v>
      </c>
      <c r="L219" s="401" t="str">
        <f>IF( Pile!I$39="",0, Pile!I$39)</f>
        <v>0</v>
      </c>
      <c r="M219" s="401" t="str">
        <f>IF( Pile!J$39="",0, Pile!J$39)</f>
        <v>0</v>
      </c>
      <c r="N219" s="401">
        <f>IF(E219="Granular", Pile!$K$39,0)</f>
        <v>0</v>
      </c>
      <c r="O219" s="416">
        <f>IF(AND(E219="Granular",D219&lt;&gt;"Made Ground"), Pile!$L$39,0)</f>
        <v>0</v>
      </c>
      <c r="P219" s="401">
        <f>IF(OR(D219="Low Density Chalk",D219="Medium Density Chalk"), Pile!$M$39,0)</f>
        <v>0.8</v>
      </c>
      <c r="Q219" s="417">
        <f>IF(D219="High Density Chalk", Pile!$N$39,0)</f>
        <v>0</v>
      </c>
      <c r="R219" s="401">
        <f>IF( Pile!O$39="",0, Pile!O$39)</f>
        <v>9000</v>
      </c>
      <c r="S219" s="418">
        <f t="shared" si="124"/>
        <v>476.19510000000014</v>
      </c>
      <c r="T219" s="382">
        <f xml:space="preserve"> Pile!$T$39</f>
        <v>30</v>
      </c>
      <c r="U219" s="382">
        <f t="shared" si="125"/>
        <v>30</v>
      </c>
      <c r="V219" s="382">
        <f t="shared" si="126"/>
        <v>9000</v>
      </c>
      <c r="W219" s="382">
        <f xml:space="preserve"> Pile!$V$39</f>
        <v>1000</v>
      </c>
      <c r="X219" s="382">
        <f t="shared" si="127"/>
        <v>1000</v>
      </c>
      <c r="Y219" s="419">
        <v>450</v>
      </c>
      <c r="Z219" s="430">
        <f>PI()*Y219/1000*( Pile!$C$39- Pile!$C219)</f>
        <v>1.6964600329384723</v>
      </c>
      <c r="AA219" s="382">
        <f t="shared" si="128"/>
        <v>0.15904312808798329</v>
      </c>
      <c r="AB219" s="382">
        <f t="shared" si="173"/>
        <v>50.893800988154169</v>
      </c>
      <c r="AC219" s="382">
        <f>Z219* Pile!$S$39</f>
        <v>50.893800988154169</v>
      </c>
      <c r="AD219" s="382">
        <f t="shared" si="179"/>
        <v>50.893800988154169</v>
      </c>
      <c r="AE219" s="382">
        <f>IF(AD219&gt;0,+AD219)/ 'Pile Data and Eurocode Factors'!$B$19/ 'Pile Data and Eurocode Factors'!$B$20+AE$215</f>
        <v>3871.8556062100688</v>
      </c>
      <c r="AF219" s="382">
        <f t="shared" si="186"/>
        <v>159.04312808798329</v>
      </c>
      <c r="AG219" s="382">
        <f>AA219* Pile!$U$39</f>
        <v>0</v>
      </c>
      <c r="AH219" s="382">
        <f t="shared" si="129"/>
        <v>159.04312808798329</v>
      </c>
      <c r="AI219" s="382">
        <f>AH219/ 'Pile Data and Eurocode Factors'!$C$19/ 'Pile Data and Eurocode Factors'!$C$20</f>
        <v>66.824843734446773</v>
      </c>
      <c r="AJ219" s="382">
        <f t="shared" si="130"/>
        <v>3938.6804499445157</v>
      </c>
      <c r="AK219" s="382">
        <f>VLOOKUP(Y219, 'Pile Data and Eurocode Factors'!$A$34:$J$39,3, FALSE)</f>
        <v>2366.1761868507956</v>
      </c>
      <c r="AL219" s="403">
        <f t="shared" si="131"/>
        <v>2366.1761868507956</v>
      </c>
      <c r="AM219" s="419">
        <v>600</v>
      </c>
      <c r="AN219" s="430">
        <f>PI()*AM219/1000*( Pile!$C$39- Pile!$C219)</f>
        <v>2.2619467105846298</v>
      </c>
      <c r="AO219" s="382">
        <f t="shared" si="132"/>
        <v>0.28274333882308139</v>
      </c>
      <c r="AP219" s="382">
        <f t="shared" si="174"/>
        <v>67.858401317538892</v>
      </c>
      <c r="AQ219" s="382">
        <f>AN219* Pile!$S$39</f>
        <v>67.858401317538892</v>
      </c>
      <c r="AR219" s="382">
        <f t="shared" si="180"/>
        <v>67.858401317538892</v>
      </c>
      <c r="AS219" s="382">
        <f>IF(AR219&gt;0,+AR219)/ 'Pile Data and Eurocode Factors'!$B$19/ 'Pile Data and Eurocode Factors'!$B$20+AS$215</f>
        <v>5162.4741416134248</v>
      </c>
      <c r="AT219" s="382">
        <f t="shared" si="187"/>
        <v>282.74333882308139</v>
      </c>
      <c r="AU219" s="382">
        <f>AO219* Pile!$U$39</f>
        <v>0</v>
      </c>
      <c r="AV219" s="382">
        <f t="shared" si="133"/>
        <v>282.74333882308139</v>
      </c>
      <c r="AW219" s="382">
        <f>AV219/ 'Pile Data and Eurocode Factors'!$C$19/ 'Pile Data and Eurocode Factors'!$C$20</f>
        <v>118.79972219457203</v>
      </c>
      <c r="AX219" s="382">
        <f t="shared" si="134"/>
        <v>5281.2738638079963</v>
      </c>
      <c r="AY219" s="382">
        <f>VLOOKUP(AM219, 'Pile Data and Eurocode Factors'!$A$34:$J$39,3, FALSE)</f>
        <v>4206.5354432903041</v>
      </c>
      <c r="AZ219" s="403">
        <f t="shared" si="135"/>
        <v>4206.5354432903041</v>
      </c>
      <c r="BA219" s="419">
        <v>750</v>
      </c>
      <c r="BB219" s="430">
        <f>PI()*BA219/1000*( Pile!$C$39- Pile!$C219)</f>
        <v>2.8274333882307872</v>
      </c>
      <c r="BC219" s="382">
        <f t="shared" si="136"/>
        <v>0.44178646691106466</v>
      </c>
      <c r="BD219" s="382">
        <f t="shared" si="175"/>
        <v>84.823001646923615</v>
      </c>
      <c r="BE219" s="382">
        <f>BB219* Pile!$S$39</f>
        <v>84.823001646923615</v>
      </c>
      <c r="BF219" s="382">
        <f t="shared" si="181"/>
        <v>84.823001646923615</v>
      </c>
      <c r="BG219" s="382">
        <f>IF(BF219&gt;0,+BF219)/ 'Pile Data and Eurocode Factors'!$B$19/ 'Pile Data and Eurocode Factors'!$B$20+BG$215</f>
        <v>6453.0926770167807</v>
      </c>
      <c r="BH219" s="382">
        <f t="shared" si="188"/>
        <v>441.78646691106468</v>
      </c>
      <c r="BI219" s="382">
        <f>BC219* Pile!$U$39</f>
        <v>0</v>
      </c>
      <c r="BJ219" s="382">
        <f t="shared" si="137"/>
        <v>441.78646691106468</v>
      </c>
      <c r="BK219" s="382">
        <f>BJ219/ 'Pile Data and Eurocode Factors'!$C$19/ 'Pile Data and Eurocode Factors'!$C$20</f>
        <v>185.62456592901879</v>
      </c>
      <c r="BL219" s="382">
        <f t="shared" si="138"/>
        <v>6638.7172429457996</v>
      </c>
      <c r="BM219" s="382">
        <f>VLOOKUP(BA219, 'Pile Data and Eurocode Factors'!$A$34:$J$39,3, FALSE)</f>
        <v>6572.7116301410997</v>
      </c>
      <c r="BN219" s="403">
        <f t="shared" si="139"/>
        <v>6572.7116301410997</v>
      </c>
      <c r="BO219" s="419">
        <v>900</v>
      </c>
      <c r="BP219" s="430">
        <f>PI()*BO219/1000*( Pile!$C$39- Pile!$C219)</f>
        <v>3.3929200658769445</v>
      </c>
      <c r="BQ219" s="382">
        <f t="shared" si="140"/>
        <v>0.63617251235193317</v>
      </c>
      <c r="BR219" s="382">
        <f t="shared" si="176"/>
        <v>101.78760197630834</v>
      </c>
      <c r="BS219" s="382">
        <f>BP219* Pile!$S$39</f>
        <v>101.78760197630834</v>
      </c>
      <c r="BT219" s="382">
        <f t="shared" si="182"/>
        <v>101.78760197630834</v>
      </c>
      <c r="BU219" s="382">
        <f>IF(BT219&gt;0,+BT219)/ 'Pile Data and Eurocode Factors'!$B$19/ 'Pile Data and Eurocode Factors'!$B$20+BU$215</f>
        <v>7743.7112124201376</v>
      </c>
      <c r="BV219" s="382">
        <f t="shared" si="189"/>
        <v>636.17251235193316</v>
      </c>
      <c r="BW219" s="382">
        <f>BQ219* Pile!$U$39</f>
        <v>0</v>
      </c>
      <c r="BX219" s="382">
        <f t="shared" si="141"/>
        <v>636.17251235193316</v>
      </c>
      <c r="BY219" s="382">
        <f>BX219/ 'Pile Data and Eurocode Factors'!$C$19/ 'Pile Data and Eurocode Factors'!$C$20</f>
        <v>267.29937493778709</v>
      </c>
      <c r="BZ219" s="382">
        <f t="shared" si="142"/>
        <v>8011.010587357925</v>
      </c>
      <c r="CA219" s="382">
        <f>VLOOKUP(BO219, 'Pile Data and Eurocode Factors'!$A$34:$J$39,3, FALSE)</f>
        <v>9464.7047474031824</v>
      </c>
      <c r="CB219" s="403">
        <f t="shared" si="143"/>
        <v>8011.010587357925</v>
      </c>
      <c r="CC219" s="419">
        <v>1050</v>
      </c>
      <c r="CD219" s="430">
        <f>PI()*CC219/1000*( Pile!$C$39- Pile!$C219)</f>
        <v>3.9584067435231018</v>
      </c>
      <c r="CE219" s="382">
        <f t="shared" si="144"/>
        <v>0.86590147514568672</v>
      </c>
      <c r="CF219" s="382">
        <f t="shared" si="177"/>
        <v>118.75220230569306</v>
      </c>
      <c r="CG219" s="382">
        <f>CD219* Pile!$S$39</f>
        <v>118.75220230569306</v>
      </c>
      <c r="CH219" s="382">
        <f t="shared" si="183"/>
        <v>118.75220230569306</v>
      </c>
      <c r="CI219" s="382">
        <f>IF(CH219&gt;0,+CH219)/ 'Pile Data and Eurocode Factors'!$B$19/ 'Pile Data and Eurocode Factors'!$B$20+CI$215</f>
        <v>9034.3297478234927</v>
      </c>
      <c r="CJ219" s="382">
        <f t="shared" si="190"/>
        <v>865.90147514568673</v>
      </c>
      <c r="CK219" s="382">
        <f>CE219* Pile!$U$39</f>
        <v>0</v>
      </c>
      <c r="CL219" s="382">
        <f t="shared" si="145"/>
        <v>865.90147514568673</v>
      </c>
      <c r="CM219" s="382">
        <f>CL219/ 'Pile Data and Eurocode Factors'!$C$19/ 'Pile Data and Eurocode Factors'!$C$20</f>
        <v>363.82414922087679</v>
      </c>
      <c r="CN219" s="382">
        <f t="shared" si="146"/>
        <v>9398.1538970443689</v>
      </c>
      <c r="CO219" s="382">
        <f>VLOOKUP(CC219, 'Pile Data and Eurocode Factors'!$A$34:$J$39,3, FALSE)</f>
        <v>12882.514795076555</v>
      </c>
      <c r="CP219" s="403">
        <f t="shared" si="147"/>
        <v>9398.1538970443689</v>
      </c>
      <c r="CQ219" s="419">
        <v>1200</v>
      </c>
      <c r="CR219" s="430">
        <f>PI()*CQ219/1000*( Pile!$C$39- Pile!$C219)</f>
        <v>4.5238934211692596</v>
      </c>
      <c r="CS219" s="382">
        <f t="shared" si="148"/>
        <v>1.1309733552923256</v>
      </c>
      <c r="CT219" s="382">
        <f t="shared" si="178"/>
        <v>135.71680263507778</v>
      </c>
      <c r="CU219" s="382">
        <f>CR219* Pile!$S$39</f>
        <v>135.71680263507778</v>
      </c>
      <c r="CV219" s="382">
        <f t="shared" si="184"/>
        <v>135.71680263507778</v>
      </c>
      <c r="CW219" s="382">
        <f>IF(CV219&gt;0,+CV219)/ 'Pile Data and Eurocode Factors'!$B$19/ 'Pile Data and Eurocode Factors'!$B$20+CW$215</f>
        <v>10324.94828322685</v>
      </c>
      <c r="CX219" s="382">
        <f t="shared" si="191"/>
        <v>1130.9733552923256</v>
      </c>
      <c r="CY219" s="382">
        <f>CS219* Pile!$U$39</f>
        <v>0</v>
      </c>
      <c r="CZ219" s="382">
        <f t="shared" si="149"/>
        <v>1130.9733552923256</v>
      </c>
      <c r="DA219" s="382">
        <f>CZ219/ 'Pile Data and Eurocode Factors'!$C$19/ 'Pile Data and Eurocode Factors'!$C$20</f>
        <v>475.19888877828811</v>
      </c>
      <c r="DB219" s="382">
        <f t="shared" si="150"/>
        <v>10800.147172005138</v>
      </c>
      <c r="DC219" s="382">
        <f>VLOOKUP(CQ219, 'Pile Data and Eurocode Factors'!$A$34:$J$39,3, FALSE)</f>
        <v>16826.141773161216</v>
      </c>
      <c r="DD219" s="403">
        <f t="shared" si="151"/>
        <v>10800.147172005138</v>
      </c>
      <c r="DE219" s="420">
        <f xml:space="preserve"> Pile!$C$23- Pile!C219</f>
        <v>43.199999999999989</v>
      </c>
      <c r="DG219" s="382">
        <f t="shared" si="152"/>
        <v>2366.1761868507956</v>
      </c>
      <c r="DH219" s="382">
        <f t="shared" si="153"/>
        <v>4206.5354432903041</v>
      </c>
      <c r="DI219" s="382">
        <f t="shared" si="154"/>
        <v>6572.7116301410997</v>
      </c>
      <c r="DJ219" s="382"/>
      <c r="DK219" s="382"/>
      <c r="DL219" s="382"/>
    </row>
    <row r="220" spans="2:116" s="308" customFormat="1" ht="15">
      <c r="B220" s="400">
        <v>5</v>
      </c>
      <c r="C220" s="401">
        <f>+C219- Pile!D$39/20</f>
        <v>-37.499999999999986</v>
      </c>
      <c r="D220" s="415" t="str">
        <f>B26</f>
        <v>Medium Density Chalk</v>
      </c>
      <c r="E220" s="415" t="str">
        <f>F26</f>
        <v>Chalk</v>
      </c>
      <c r="F220" s="401">
        <f xml:space="preserve"> Pile!$E$39*(+C219-C220)+F219</f>
        <v>825.34968749999985</v>
      </c>
      <c r="G220" s="401">
        <f>IF(C220&gt; Pile!$C$41,0,( Pile!$C$41-C220)*9.81)</f>
        <v>220.72499999999988</v>
      </c>
      <c r="H220" s="401">
        <f t="shared" ref="H220:H235" si="194">F220-G220</f>
        <v>604.62468749999994</v>
      </c>
      <c r="I220" s="401">
        <f t="shared" si="193"/>
        <v>596.80734375000009</v>
      </c>
      <c r="J220" s="401">
        <f>IF(E220="Cohesive",(( Pile!$H$39- Pile!$G$39)/20)+J219,0)</f>
        <v>0</v>
      </c>
      <c r="K220" s="401">
        <f>IF(E220="Cohesive",( Pile!$G$39+ Pile!$J220)/2,0)</f>
        <v>0</v>
      </c>
      <c r="L220" s="401" t="str">
        <f>IF( Pile!I$39="",0, Pile!I$39)</f>
        <v>0</v>
      </c>
      <c r="M220" s="401" t="str">
        <f>IF( Pile!J$39="",0, Pile!J$39)</f>
        <v>0</v>
      </c>
      <c r="N220" s="401">
        <f>IF(E220="Granular", Pile!$K$39,0)</f>
        <v>0</v>
      </c>
      <c r="O220" s="416">
        <f>IF(AND(E220="Granular",D220&lt;&gt;"Made Ground"), Pile!$L$39,0)</f>
        <v>0</v>
      </c>
      <c r="P220" s="401">
        <f>IF(OR(D220="Low Density Chalk",D220="Medium Density Chalk"), Pile!$M$39,0)</f>
        <v>0.8</v>
      </c>
      <c r="Q220" s="417">
        <f>IF(D220="High Density Chalk", Pile!$N$39,0)</f>
        <v>0</v>
      </c>
      <c r="R220" s="401">
        <f>IF( Pile!O$39="",0, Pile!O$39)</f>
        <v>9000</v>
      </c>
      <c r="S220" s="418">
        <f t="shared" ref="S220:S235" si="195">P220*I220+L220*K220+O220*I220+Q220*I220</f>
        <v>477.44587500000011</v>
      </c>
      <c r="T220" s="382">
        <f xml:space="preserve"> Pile!$T$39</f>
        <v>30</v>
      </c>
      <c r="U220" s="382">
        <f t="shared" ref="U220:U235" si="196">IF(T220&gt;0,MIN(S220:T220),S220)</f>
        <v>30</v>
      </c>
      <c r="V220" s="382">
        <f t="shared" ref="V220:V235" si="197">R220+M220*J220+N220*H220</f>
        <v>9000</v>
      </c>
      <c r="W220" s="382">
        <f xml:space="preserve"> Pile!$V$39</f>
        <v>1000</v>
      </c>
      <c r="X220" s="382">
        <f t="shared" ref="X220:X235" si="198">IF(W220&gt;0,MIN(V220:W220),V220)</f>
        <v>1000</v>
      </c>
      <c r="Y220" s="419">
        <v>450</v>
      </c>
      <c r="Z220" s="430">
        <f>PI()*Y220/1000*( Pile!$C$39- Pile!$C220)</f>
        <v>2.1205750411730904</v>
      </c>
      <c r="AA220" s="382">
        <f t="shared" ref="AA220:AA235" si="199">PI()*(Y220/2000)^2</f>
        <v>0.15904312808798329</v>
      </c>
      <c r="AB220" s="382">
        <f t="shared" si="173"/>
        <v>63.617251235192711</v>
      </c>
      <c r="AC220" s="382">
        <f>Z220* Pile!$S$39</f>
        <v>63.617251235192711</v>
      </c>
      <c r="AD220" s="382">
        <f t="shared" si="179"/>
        <v>63.617251235192711</v>
      </c>
      <c r="AE220" s="382">
        <f>IF(AD220&gt;0,+AD220)/ 'Pile Data and Eurocode Factors'!$B$19/ 'Pile Data and Eurocode Factors'!$B$20+AE$215</f>
        <v>3877.914392041992</v>
      </c>
      <c r="AF220" s="382">
        <f t="shared" si="186"/>
        <v>159.04312808798329</v>
      </c>
      <c r="AG220" s="382">
        <f>AA220* Pile!$U$39</f>
        <v>0</v>
      </c>
      <c r="AH220" s="382">
        <f t="shared" ref="AH220:AH235" si="200">IF(AG220&gt;0,MIN(AF220:AG220),AF220)</f>
        <v>159.04312808798329</v>
      </c>
      <c r="AI220" s="382">
        <f>AH220/ 'Pile Data and Eurocode Factors'!$C$19/ 'Pile Data and Eurocode Factors'!$C$20</f>
        <v>66.824843734446773</v>
      </c>
      <c r="AJ220" s="382">
        <f t="shared" ref="AJ220:AJ235" si="201">AI220+AE220</f>
        <v>3944.7392357764388</v>
      </c>
      <c r="AK220" s="382">
        <f>VLOOKUP(Y220, 'Pile Data and Eurocode Factors'!$A$34:$J$39,3, FALSE)</f>
        <v>2366.1761868507956</v>
      </c>
      <c r="AL220" s="403">
        <f t="shared" ref="AL220:AL235" si="202">MIN(AJ220:AK220)</f>
        <v>2366.1761868507956</v>
      </c>
      <c r="AM220" s="419">
        <v>600</v>
      </c>
      <c r="AN220" s="430">
        <f>PI()*AM220/1000*( Pile!$C$39- Pile!$C220)</f>
        <v>2.8274333882307872</v>
      </c>
      <c r="AO220" s="382">
        <f t="shared" ref="AO220:AO235" si="203">PI()*(AM220/2000)^2</f>
        <v>0.28274333882308139</v>
      </c>
      <c r="AP220" s="382">
        <f t="shared" si="174"/>
        <v>84.823001646923615</v>
      </c>
      <c r="AQ220" s="382">
        <f>AN220* Pile!$S$39</f>
        <v>84.823001646923615</v>
      </c>
      <c r="AR220" s="382">
        <f t="shared" si="180"/>
        <v>84.823001646923615</v>
      </c>
      <c r="AS220" s="382">
        <f>IF(AR220&gt;0,+AR220)/ 'Pile Data and Eurocode Factors'!$B$19/ 'Pile Data and Eurocode Factors'!$B$20+AS$215</f>
        <v>5170.5525227226553</v>
      </c>
      <c r="AT220" s="382">
        <f t="shared" si="187"/>
        <v>282.74333882308139</v>
      </c>
      <c r="AU220" s="382">
        <f>AO220* Pile!$U$39</f>
        <v>0</v>
      </c>
      <c r="AV220" s="382">
        <f t="shared" ref="AV220:AV235" si="204">IF(AU220&gt;0,MIN(AT220:AU220),AT220)</f>
        <v>282.74333882308139</v>
      </c>
      <c r="AW220" s="382">
        <f>AV220/ 'Pile Data and Eurocode Factors'!$C$19/ 'Pile Data and Eurocode Factors'!$C$20</f>
        <v>118.79972219457203</v>
      </c>
      <c r="AX220" s="382">
        <f t="shared" ref="AX220:AX235" si="205">AW220+AS220</f>
        <v>5289.3522449172269</v>
      </c>
      <c r="AY220" s="382">
        <f>VLOOKUP(AM220, 'Pile Data and Eurocode Factors'!$A$34:$J$39,3, FALSE)</f>
        <v>4206.5354432903041</v>
      </c>
      <c r="AZ220" s="403">
        <f t="shared" ref="AZ220:AZ235" si="206">MIN(AX220:AY220)</f>
        <v>4206.5354432903041</v>
      </c>
      <c r="BA220" s="419">
        <v>750</v>
      </c>
      <c r="BB220" s="430">
        <f>PI()*BA220/1000*( Pile!$C$39- Pile!$C220)</f>
        <v>3.5342917352884839</v>
      </c>
      <c r="BC220" s="382">
        <f t="shared" ref="BC220:BC235" si="207">PI()*(BA220/2000)^2</f>
        <v>0.44178646691106466</v>
      </c>
      <c r="BD220" s="382">
        <f t="shared" si="175"/>
        <v>106.02875205865452</v>
      </c>
      <c r="BE220" s="382">
        <f>BB220* Pile!$S$39</f>
        <v>106.02875205865452</v>
      </c>
      <c r="BF220" s="382">
        <f t="shared" si="181"/>
        <v>106.02875205865452</v>
      </c>
      <c r="BG220" s="382">
        <f>IF(BF220&gt;0,+BF220)/ 'Pile Data and Eurocode Factors'!$B$19/ 'Pile Data and Eurocode Factors'!$B$20+BG$215</f>
        <v>6463.1906534033196</v>
      </c>
      <c r="BH220" s="382">
        <f t="shared" si="188"/>
        <v>441.78646691106468</v>
      </c>
      <c r="BI220" s="382">
        <f>BC220* Pile!$U$39</f>
        <v>0</v>
      </c>
      <c r="BJ220" s="382">
        <f t="shared" ref="BJ220:BJ235" si="208">IF(BI220&gt;0,MIN(BH220:BI220),BH220)</f>
        <v>441.78646691106468</v>
      </c>
      <c r="BK220" s="382">
        <f>BJ220/ 'Pile Data and Eurocode Factors'!$C$19/ 'Pile Data and Eurocode Factors'!$C$20</f>
        <v>185.62456592901879</v>
      </c>
      <c r="BL220" s="382">
        <f t="shared" ref="BL220:BL235" si="209">BK220+BG220</f>
        <v>6648.8152193323385</v>
      </c>
      <c r="BM220" s="382">
        <f>VLOOKUP(BA220, 'Pile Data and Eurocode Factors'!$A$34:$J$39,3, FALSE)</f>
        <v>6572.7116301410997</v>
      </c>
      <c r="BN220" s="403">
        <f t="shared" ref="BN220:BN235" si="210">MIN(BL220:BM220)</f>
        <v>6572.7116301410997</v>
      </c>
      <c r="BO220" s="419">
        <v>900</v>
      </c>
      <c r="BP220" s="430">
        <f>PI()*BO220/1000*( Pile!$C$39- Pile!$C220)</f>
        <v>4.2411500823461807</v>
      </c>
      <c r="BQ220" s="382">
        <f t="shared" ref="BQ220:BQ235" si="211">PI()*(BO220/2000)^2</f>
        <v>0.63617251235193317</v>
      </c>
      <c r="BR220" s="382">
        <f t="shared" si="176"/>
        <v>127.23450247038542</v>
      </c>
      <c r="BS220" s="382">
        <f>BP220* Pile!$S$39</f>
        <v>127.23450247038542</v>
      </c>
      <c r="BT220" s="382">
        <f t="shared" si="182"/>
        <v>127.23450247038542</v>
      </c>
      <c r="BU220" s="382">
        <f>IF(BT220&gt;0,+BT220)/ 'Pile Data and Eurocode Factors'!$B$19/ 'Pile Data and Eurocode Factors'!$B$20+BU$215</f>
        <v>7755.8287840839839</v>
      </c>
      <c r="BV220" s="382">
        <f t="shared" si="189"/>
        <v>636.17251235193316</v>
      </c>
      <c r="BW220" s="382">
        <f>BQ220* Pile!$U$39</f>
        <v>0</v>
      </c>
      <c r="BX220" s="382">
        <f t="shared" ref="BX220:BX235" si="212">IF(BW220&gt;0,MIN(BV220:BW220),BV220)</f>
        <v>636.17251235193316</v>
      </c>
      <c r="BY220" s="382">
        <f>BX220/ 'Pile Data and Eurocode Factors'!$C$19/ 'Pile Data and Eurocode Factors'!$C$20</f>
        <v>267.29937493778709</v>
      </c>
      <c r="BZ220" s="382">
        <f t="shared" ref="BZ220:BZ235" si="213">BY220+BU220</f>
        <v>8023.1281590217714</v>
      </c>
      <c r="CA220" s="382">
        <f>VLOOKUP(BO220, 'Pile Data and Eurocode Factors'!$A$34:$J$39,3, FALSE)</f>
        <v>9464.7047474031824</v>
      </c>
      <c r="CB220" s="403">
        <f t="shared" ref="CB220:CB235" si="214">MIN(BZ220:CA220)</f>
        <v>8023.1281590217714</v>
      </c>
      <c r="CC220" s="419">
        <v>1050</v>
      </c>
      <c r="CD220" s="430">
        <f>PI()*CC220/1000*( Pile!$C$39- Pile!$C220)</f>
        <v>4.9480084294038775</v>
      </c>
      <c r="CE220" s="382">
        <f t="shared" ref="CE220:CE235" si="215">PI()*(CC220/2000)^2</f>
        <v>0.86590147514568672</v>
      </c>
      <c r="CF220" s="382">
        <f t="shared" si="177"/>
        <v>148.44025288211634</v>
      </c>
      <c r="CG220" s="382">
        <f>CD220* Pile!$S$39</f>
        <v>148.44025288211634</v>
      </c>
      <c r="CH220" s="382">
        <f t="shared" si="183"/>
        <v>148.44025288211634</v>
      </c>
      <c r="CI220" s="382">
        <f>IF(CH220&gt;0,+CH220)/ 'Pile Data and Eurocode Factors'!$B$19/ 'Pile Data and Eurocode Factors'!$B$20+CI$215</f>
        <v>9048.4669147646473</v>
      </c>
      <c r="CJ220" s="382">
        <f t="shared" si="190"/>
        <v>865.90147514568673</v>
      </c>
      <c r="CK220" s="382">
        <f>CE220* Pile!$U$39</f>
        <v>0</v>
      </c>
      <c r="CL220" s="382">
        <f t="shared" ref="CL220:CL235" si="216">IF(CK220&gt;0,MIN(CJ220:CK220),CJ220)</f>
        <v>865.90147514568673</v>
      </c>
      <c r="CM220" s="382">
        <f>CL220/ 'Pile Data and Eurocode Factors'!$C$19/ 'Pile Data and Eurocode Factors'!$C$20</f>
        <v>363.82414922087679</v>
      </c>
      <c r="CN220" s="382">
        <f t="shared" ref="CN220:CN235" si="217">CM220+CI220</f>
        <v>9412.2910639855236</v>
      </c>
      <c r="CO220" s="382">
        <f>VLOOKUP(CC220, 'Pile Data and Eurocode Factors'!$A$34:$J$39,3, FALSE)</f>
        <v>12882.514795076555</v>
      </c>
      <c r="CP220" s="403">
        <f t="shared" ref="CP220:CP235" si="218">MIN(CN220:CO220)</f>
        <v>9412.2910639855236</v>
      </c>
      <c r="CQ220" s="419">
        <v>1200</v>
      </c>
      <c r="CR220" s="430">
        <f>PI()*CQ220/1000*( Pile!$C$39- Pile!$C220)</f>
        <v>5.6548667764615743</v>
      </c>
      <c r="CS220" s="382">
        <f t="shared" ref="CS220:CS235" si="219">PI()*(CQ220/2000)^2</f>
        <v>1.1309733552923256</v>
      </c>
      <c r="CT220" s="382">
        <f t="shared" si="178"/>
        <v>169.64600329384723</v>
      </c>
      <c r="CU220" s="382">
        <f>CR220* Pile!$S$39</f>
        <v>169.64600329384723</v>
      </c>
      <c r="CV220" s="382">
        <f t="shared" si="184"/>
        <v>169.64600329384723</v>
      </c>
      <c r="CW220" s="382">
        <f>IF(CV220&gt;0,+CV220)/ 'Pile Data and Eurocode Factors'!$B$19/ 'Pile Data and Eurocode Factors'!$B$20+CW$215</f>
        <v>10341.105045445311</v>
      </c>
      <c r="CX220" s="382">
        <f t="shared" si="191"/>
        <v>1130.9733552923256</v>
      </c>
      <c r="CY220" s="382">
        <f>CS220* Pile!$U$39</f>
        <v>0</v>
      </c>
      <c r="CZ220" s="382">
        <f t="shared" ref="CZ220:CZ235" si="220">IF(CY220&gt;0,MIN(CX220:CY220),CX220)</f>
        <v>1130.9733552923256</v>
      </c>
      <c r="DA220" s="382">
        <f>CZ220/ 'Pile Data and Eurocode Factors'!$C$19/ 'Pile Data and Eurocode Factors'!$C$20</f>
        <v>475.19888877828811</v>
      </c>
      <c r="DB220" s="382">
        <f t="shared" ref="DB220:DB235" si="221">DA220+CW220</f>
        <v>10816.303934223599</v>
      </c>
      <c r="DC220" s="382">
        <f>VLOOKUP(CQ220, 'Pile Data and Eurocode Factors'!$A$34:$J$39,3, FALSE)</f>
        <v>16826.141773161216</v>
      </c>
      <c r="DD220" s="403">
        <f t="shared" ref="DD220:DD235" si="222">MIN(DB220:DC220)</f>
        <v>10816.303934223599</v>
      </c>
      <c r="DE220" s="420">
        <f xml:space="preserve"> Pile!$C$23- Pile!C220</f>
        <v>43.499999999999986</v>
      </c>
      <c r="DG220" s="382">
        <f t="shared" ref="DG220:DG235" si="223">$AL220</f>
        <v>2366.1761868507956</v>
      </c>
      <c r="DH220" s="382">
        <f t="shared" ref="DH220:DH235" si="224">$AZ220</f>
        <v>4206.5354432903041</v>
      </c>
      <c r="DI220" s="382">
        <f t="shared" ref="DI220:DI235" si="225">$BN220</f>
        <v>6572.7116301410997</v>
      </c>
      <c r="DJ220" s="382"/>
      <c r="DK220" s="382"/>
      <c r="DL220" s="382"/>
    </row>
    <row r="221" spans="2:116" s="308" customFormat="1" ht="15">
      <c r="B221" s="400">
        <v>6</v>
      </c>
      <c r="C221" s="401">
        <f>+C220- Pile!D$39/20</f>
        <v>-37.799999999999983</v>
      </c>
      <c r="D221" s="415" t="str">
        <f>B26</f>
        <v>Medium Density Chalk</v>
      </c>
      <c r="E221" s="415" t="str">
        <f>F26</f>
        <v>Chalk</v>
      </c>
      <c r="F221" s="401">
        <f xml:space="preserve"> Pile!$E$39*(+C220-C221)+F220</f>
        <v>831.41962499999977</v>
      </c>
      <c r="G221" s="401">
        <f>IF(C221&gt; Pile!$C$41,0,( Pile!$C$41-C221)*9.81)</f>
        <v>223.66799999999984</v>
      </c>
      <c r="H221" s="401">
        <f t="shared" si="194"/>
        <v>607.75162499999988</v>
      </c>
      <c r="I221" s="401">
        <f t="shared" si="193"/>
        <v>598.37081250000006</v>
      </c>
      <c r="J221" s="401">
        <f>IF(E221="Cohesive",(( Pile!$H$39- Pile!$G$39)/20)+J220,0)</f>
        <v>0</v>
      </c>
      <c r="K221" s="401">
        <f>IF(E221="Cohesive",( Pile!$G$39+ Pile!$J221)/2,0)</f>
        <v>0</v>
      </c>
      <c r="L221" s="401" t="str">
        <f>IF( Pile!I$39="",0, Pile!I$39)</f>
        <v>0</v>
      </c>
      <c r="M221" s="401" t="str">
        <f>IF( Pile!J$39="",0, Pile!J$39)</f>
        <v>0</v>
      </c>
      <c r="N221" s="401">
        <f>IF(E221="Granular", Pile!$K$39,0)</f>
        <v>0</v>
      </c>
      <c r="O221" s="416">
        <f>IF(AND(E221="Granular",D221&lt;&gt;"Made Ground"), Pile!$L$39,0)</f>
        <v>0</v>
      </c>
      <c r="P221" s="401">
        <f>IF(OR(D221="Low Density Chalk",D221="Medium Density Chalk"), Pile!$M$39,0)</f>
        <v>0.8</v>
      </c>
      <c r="Q221" s="417">
        <f>IF(D221="High Density Chalk", Pile!$N$39,0)</f>
        <v>0</v>
      </c>
      <c r="R221" s="401">
        <f>IF( Pile!O$39="",0, Pile!O$39)</f>
        <v>9000</v>
      </c>
      <c r="S221" s="418">
        <f t="shared" si="195"/>
        <v>478.69665000000009</v>
      </c>
      <c r="T221" s="382">
        <f xml:space="preserve"> Pile!$T$39</f>
        <v>30</v>
      </c>
      <c r="U221" s="382">
        <f t="shared" si="196"/>
        <v>30</v>
      </c>
      <c r="V221" s="382">
        <f t="shared" si="197"/>
        <v>9000</v>
      </c>
      <c r="W221" s="382">
        <f xml:space="preserve"> Pile!$V$39</f>
        <v>1000</v>
      </c>
      <c r="X221" s="382">
        <f t="shared" si="198"/>
        <v>1000</v>
      </c>
      <c r="Y221" s="419">
        <v>450</v>
      </c>
      <c r="Z221" s="430">
        <f>PI()*Y221/1000*( Pile!$C$39- Pile!$C221)</f>
        <v>2.5446900494077083</v>
      </c>
      <c r="AA221" s="382">
        <f t="shared" si="199"/>
        <v>0.15904312808798329</v>
      </c>
      <c r="AB221" s="382">
        <f t="shared" si="173"/>
        <v>76.340701482231253</v>
      </c>
      <c r="AC221" s="382">
        <f>Z221* Pile!$S$39</f>
        <v>76.340701482231253</v>
      </c>
      <c r="AD221" s="382">
        <f t="shared" si="179"/>
        <v>76.340701482231253</v>
      </c>
      <c r="AE221" s="382">
        <f>IF(AD221&gt;0,+AD221)/ 'Pile Data and Eurocode Factors'!$B$19/ 'Pile Data and Eurocode Factors'!$B$20+AE$215</f>
        <v>3883.9731778739147</v>
      </c>
      <c r="AF221" s="382">
        <f t="shared" si="186"/>
        <v>159.04312808798329</v>
      </c>
      <c r="AG221" s="382">
        <f>AA221* Pile!$U$39</f>
        <v>0</v>
      </c>
      <c r="AH221" s="382">
        <f t="shared" si="200"/>
        <v>159.04312808798329</v>
      </c>
      <c r="AI221" s="382">
        <f>AH221/ 'Pile Data and Eurocode Factors'!$C$19/ 'Pile Data and Eurocode Factors'!$C$20</f>
        <v>66.824843734446773</v>
      </c>
      <c r="AJ221" s="382">
        <f t="shared" si="201"/>
        <v>3950.7980216083615</v>
      </c>
      <c r="AK221" s="382">
        <f>VLOOKUP(Y221, 'Pile Data and Eurocode Factors'!$A$34:$J$39,3, FALSE)</f>
        <v>2366.1761868507956</v>
      </c>
      <c r="AL221" s="403">
        <f t="shared" si="202"/>
        <v>2366.1761868507956</v>
      </c>
      <c r="AM221" s="419">
        <v>600</v>
      </c>
      <c r="AN221" s="430">
        <f>PI()*AM221/1000*( Pile!$C$39- Pile!$C221)</f>
        <v>3.3929200658769445</v>
      </c>
      <c r="AO221" s="382">
        <f t="shared" si="203"/>
        <v>0.28274333882308139</v>
      </c>
      <c r="AP221" s="382">
        <f t="shared" si="174"/>
        <v>101.78760197630834</v>
      </c>
      <c r="AQ221" s="382">
        <f>AN221* Pile!$S$39</f>
        <v>101.78760197630834</v>
      </c>
      <c r="AR221" s="382">
        <f t="shared" si="180"/>
        <v>101.78760197630834</v>
      </c>
      <c r="AS221" s="382">
        <f>IF(AR221&gt;0,+AR221)/ 'Pile Data and Eurocode Factors'!$B$19/ 'Pile Data and Eurocode Factors'!$B$20+AS$215</f>
        <v>5178.6309038318868</v>
      </c>
      <c r="AT221" s="382">
        <f t="shared" si="187"/>
        <v>282.74333882308139</v>
      </c>
      <c r="AU221" s="382">
        <f>AO221* Pile!$U$39</f>
        <v>0</v>
      </c>
      <c r="AV221" s="382">
        <f t="shared" si="204"/>
        <v>282.74333882308139</v>
      </c>
      <c r="AW221" s="382">
        <f>AV221/ 'Pile Data and Eurocode Factors'!$C$19/ 'Pile Data and Eurocode Factors'!$C$20</f>
        <v>118.79972219457203</v>
      </c>
      <c r="AX221" s="382">
        <f t="shared" si="205"/>
        <v>5297.4306260264584</v>
      </c>
      <c r="AY221" s="382">
        <f>VLOOKUP(AM221, 'Pile Data and Eurocode Factors'!$A$34:$J$39,3, FALSE)</f>
        <v>4206.5354432903041</v>
      </c>
      <c r="AZ221" s="403">
        <f t="shared" si="206"/>
        <v>4206.5354432903041</v>
      </c>
      <c r="BA221" s="419">
        <v>750</v>
      </c>
      <c r="BB221" s="430">
        <f>PI()*BA221/1000*( Pile!$C$39- Pile!$C221)</f>
        <v>4.2411500823461807</v>
      </c>
      <c r="BC221" s="382">
        <f t="shared" si="207"/>
        <v>0.44178646691106466</v>
      </c>
      <c r="BD221" s="382">
        <f t="shared" si="175"/>
        <v>127.23450247038542</v>
      </c>
      <c r="BE221" s="382">
        <f>BB221* Pile!$S$39</f>
        <v>127.23450247038542</v>
      </c>
      <c r="BF221" s="382">
        <f t="shared" si="181"/>
        <v>127.23450247038542</v>
      </c>
      <c r="BG221" s="382">
        <f>IF(BF221&gt;0,+BF221)/ 'Pile Data and Eurocode Factors'!$B$19/ 'Pile Data and Eurocode Factors'!$B$20+BG$215</f>
        <v>6473.2886297898585</v>
      </c>
      <c r="BH221" s="382">
        <f t="shared" si="188"/>
        <v>441.78646691106468</v>
      </c>
      <c r="BI221" s="382">
        <f>BC221* Pile!$U$39</f>
        <v>0</v>
      </c>
      <c r="BJ221" s="382">
        <f t="shared" si="208"/>
        <v>441.78646691106468</v>
      </c>
      <c r="BK221" s="382">
        <f>BJ221/ 'Pile Data and Eurocode Factors'!$C$19/ 'Pile Data and Eurocode Factors'!$C$20</f>
        <v>185.62456592901879</v>
      </c>
      <c r="BL221" s="382">
        <f t="shared" si="209"/>
        <v>6658.9131957188774</v>
      </c>
      <c r="BM221" s="382">
        <f>VLOOKUP(BA221, 'Pile Data and Eurocode Factors'!$A$34:$J$39,3, FALSE)</f>
        <v>6572.7116301410997</v>
      </c>
      <c r="BN221" s="403">
        <f t="shared" si="210"/>
        <v>6572.7116301410997</v>
      </c>
      <c r="BO221" s="419">
        <v>900</v>
      </c>
      <c r="BP221" s="430">
        <f>PI()*BO221/1000*( Pile!$C$39- Pile!$C221)</f>
        <v>5.0893800988154165</v>
      </c>
      <c r="BQ221" s="382">
        <f t="shared" si="211"/>
        <v>0.63617251235193317</v>
      </c>
      <c r="BR221" s="382">
        <f t="shared" si="176"/>
        <v>152.68140296446251</v>
      </c>
      <c r="BS221" s="382">
        <f>BP221* Pile!$S$39</f>
        <v>152.68140296446251</v>
      </c>
      <c r="BT221" s="382">
        <f t="shared" si="182"/>
        <v>152.68140296446251</v>
      </c>
      <c r="BU221" s="382">
        <f>IF(BT221&gt;0,+BT221)/ 'Pile Data and Eurocode Factors'!$B$19/ 'Pile Data and Eurocode Factors'!$B$20+BU$215</f>
        <v>7767.9463557478293</v>
      </c>
      <c r="BV221" s="382">
        <f t="shared" si="189"/>
        <v>636.17251235193316</v>
      </c>
      <c r="BW221" s="382">
        <f>BQ221* Pile!$U$39</f>
        <v>0</v>
      </c>
      <c r="BX221" s="382">
        <f t="shared" si="212"/>
        <v>636.17251235193316</v>
      </c>
      <c r="BY221" s="382">
        <f>BX221/ 'Pile Data and Eurocode Factors'!$C$19/ 'Pile Data and Eurocode Factors'!$C$20</f>
        <v>267.29937493778709</v>
      </c>
      <c r="BZ221" s="382">
        <f t="shared" si="213"/>
        <v>8035.2457306856168</v>
      </c>
      <c r="CA221" s="382">
        <f>VLOOKUP(BO221, 'Pile Data and Eurocode Factors'!$A$34:$J$39,3, FALSE)</f>
        <v>9464.7047474031824</v>
      </c>
      <c r="CB221" s="403">
        <f t="shared" si="214"/>
        <v>8035.2457306856168</v>
      </c>
      <c r="CC221" s="419">
        <v>1050</v>
      </c>
      <c r="CD221" s="430">
        <f>PI()*CC221/1000*( Pile!$C$39- Pile!$C221)</f>
        <v>5.9376101152846523</v>
      </c>
      <c r="CE221" s="382">
        <f t="shared" si="215"/>
        <v>0.86590147514568672</v>
      </c>
      <c r="CF221" s="382">
        <f t="shared" si="177"/>
        <v>178.12830345853956</v>
      </c>
      <c r="CG221" s="382">
        <f>CD221* Pile!$S$39</f>
        <v>178.12830345853956</v>
      </c>
      <c r="CH221" s="382">
        <f t="shared" si="183"/>
        <v>178.12830345853956</v>
      </c>
      <c r="CI221" s="382">
        <f>IF(CH221&gt;0,+CH221)/ 'Pile Data and Eurocode Factors'!$B$19/ 'Pile Data and Eurocode Factors'!$B$20+CI$215</f>
        <v>9062.6040817058019</v>
      </c>
      <c r="CJ221" s="382">
        <f t="shared" si="190"/>
        <v>865.90147514568673</v>
      </c>
      <c r="CK221" s="382">
        <f>CE221* Pile!$U$39</f>
        <v>0</v>
      </c>
      <c r="CL221" s="382">
        <f t="shared" si="216"/>
        <v>865.90147514568673</v>
      </c>
      <c r="CM221" s="382">
        <f>CL221/ 'Pile Data and Eurocode Factors'!$C$19/ 'Pile Data and Eurocode Factors'!$C$20</f>
        <v>363.82414922087679</v>
      </c>
      <c r="CN221" s="382">
        <f t="shared" si="217"/>
        <v>9426.4282309266782</v>
      </c>
      <c r="CO221" s="382">
        <f>VLOOKUP(CC221, 'Pile Data and Eurocode Factors'!$A$34:$J$39,3, FALSE)</f>
        <v>12882.514795076555</v>
      </c>
      <c r="CP221" s="403">
        <f t="shared" si="218"/>
        <v>9426.4282309266782</v>
      </c>
      <c r="CQ221" s="419">
        <v>1200</v>
      </c>
      <c r="CR221" s="430">
        <f>PI()*CQ221/1000*( Pile!$C$39- Pile!$C221)</f>
        <v>6.785840131753889</v>
      </c>
      <c r="CS221" s="382">
        <f t="shared" si="219"/>
        <v>1.1309733552923256</v>
      </c>
      <c r="CT221" s="382">
        <f t="shared" si="178"/>
        <v>203.57520395261668</v>
      </c>
      <c r="CU221" s="382">
        <f>CR221* Pile!$S$39</f>
        <v>203.57520395261668</v>
      </c>
      <c r="CV221" s="382">
        <f t="shared" si="184"/>
        <v>203.57520395261668</v>
      </c>
      <c r="CW221" s="382">
        <f>IF(CV221&gt;0,+CV221)/ 'Pile Data and Eurocode Factors'!$B$19/ 'Pile Data and Eurocode Factors'!$B$20+CW$215</f>
        <v>10357.261807663774</v>
      </c>
      <c r="CX221" s="382">
        <f t="shared" si="191"/>
        <v>1130.9733552923256</v>
      </c>
      <c r="CY221" s="382">
        <f>CS221* Pile!$U$39</f>
        <v>0</v>
      </c>
      <c r="CZ221" s="382">
        <f t="shared" si="220"/>
        <v>1130.9733552923256</v>
      </c>
      <c r="DA221" s="382">
        <f>CZ221/ 'Pile Data and Eurocode Factors'!$C$19/ 'Pile Data and Eurocode Factors'!$C$20</f>
        <v>475.19888877828811</v>
      </c>
      <c r="DB221" s="382">
        <f t="shared" si="221"/>
        <v>10832.460696442062</v>
      </c>
      <c r="DC221" s="382">
        <f>VLOOKUP(CQ221, 'Pile Data and Eurocode Factors'!$A$34:$J$39,3, FALSE)</f>
        <v>16826.141773161216</v>
      </c>
      <c r="DD221" s="403">
        <f t="shared" si="222"/>
        <v>10832.460696442062</v>
      </c>
      <c r="DE221" s="420">
        <f xml:space="preserve"> Pile!$C$23- Pile!C221</f>
        <v>43.799999999999983</v>
      </c>
      <c r="DG221" s="382">
        <f t="shared" si="223"/>
        <v>2366.1761868507956</v>
      </c>
      <c r="DH221" s="382">
        <f t="shared" si="224"/>
        <v>4206.5354432903041</v>
      </c>
      <c r="DI221" s="382">
        <f t="shared" si="225"/>
        <v>6572.7116301410997</v>
      </c>
      <c r="DJ221" s="382"/>
      <c r="DK221" s="382"/>
      <c r="DL221" s="382"/>
    </row>
    <row r="222" spans="2:116" s="308" customFormat="1" ht="15">
      <c r="B222" s="400">
        <v>7</v>
      </c>
      <c r="C222" s="401">
        <f>+C221- Pile!D$39/20</f>
        <v>-38.09999999999998</v>
      </c>
      <c r="D222" s="415" t="str">
        <f>B26</f>
        <v>Medium Density Chalk</v>
      </c>
      <c r="E222" s="415" t="str">
        <f>F26</f>
        <v>Chalk</v>
      </c>
      <c r="F222" s="401">
        <f xml:space="preserve"> Pile!$E$39*(+C221-C222)+F221</f>
        <v>837.48956249999969</v>
      </c>
      <c r="G222" s="401">
        <f>IF(C222&gt; Pile!$C$41,0,( Pile!$C$41-C222)*9.81)</f>
        <v>226.61099999999982</v>
      </c>
      <c r="H222" s="401">
        <f t="shared" si="194"/>
        <v>610.87856249999982</v>
      </c>
      <c r="I222" s="401">
        <f t="shared" si="193"/>
        <v>599.93428125000003</v>
      </c>
      <c r="J222" s="401">
        <f>IF(E222="Cohesive",(( Pile!$H$39- Pile!$G$39)/20)+J221,0)</f>
        <v>0</v>
      </c>
      <c r="K222" s="401">
        <f>IF(E222="Cohesive",( Pile!$G$39+ Pile!$J222)/2,0)</f>
        <v>0</v>
      </c>
      <c r="L222" s="401" t="str">
        <f>IF( Pile!I$39="",0, Pile!I$39)</f>
        <v>0</v>
      </c>
      <c r="M222" s="401" t="str">
        <f>IF( Pile!J$39="",0, Pile!J$39)</f>
        <v>0</v>
      </c>
      <c r="N222" s="401">
        <f>IF(E222="Granular", Pile!$K$39,0)</f>
        <v>0</v>
      </c>
      <c r="O222" s="416">
        <f>IF(AND(E222="Granular",D222&lt;&gt;"Made Ground"), Pile!$L$39,0)</f>
        <v>0</v>
      </c>
      <c r="P222" s="401">
        <f>IF(OR(D222="Low Density Chalk",D222="Medium Density Chalk"), Pile!$M$39,0)</f>
        <v>0.8</v>
      </c>
      <c r="Q222" s="417">
        <f>IF(D222="High Density Chalk", Pile!$N$39,0)</f>
        <v>0</v>
      </c>
      <c r="R222" s="401">
        <f>IF( Pile!O$39="",0, Pile!O$39)</f>
        <v>9000</v>
      </c>
      <c r="S222" s="418">
        <f t="shared" si="195"/>
        <v>479.94742500000007</v>
      </c>
      <c r="T222" s="382">
        <f xml:space="preserve"> Pile!$T$39</f>
        <v>30</v>
      </c>
      <c r="U222" s="382">
        <f t="shared" si="196"/>
        <v>30</v>
      </c>
      <c r="V222" s="382">
        <f t="shared" si="197"/>
        <v>9000</v>
      </c>
      <c r="W222" s="382">
        <f xml:space="preserve"> Pile!$V$39</f>
        <v>1000</v>
      </c>
      <c r="X222" s="382">
        <f t="shared" si="198"/>
        <v>1000</v>
      </c>
      <c r="Y222" s="419">
        <v>450</v>
      </c>
      <c r="Z222" s="430">
        <f>PI()*Y222/1000*( Pile!$C$39- Pile!$C222)</f>
        <v>2.9688050576423262</v>
      </c>
      <c r="AA222" s="382">
        <f t="shared" si="199"/>
        <v>0.15904312808798329</v>
      </c>
      <c r="AB222" s="382">
        <f t="shared" si="173"/>
        <v>89.064151729269781</v>
      </c>
      <c r="AC222" s="382">
        <f>Z222* Pile!$S$39</f>
        <v>89.064151729269781</v>
      </c>
      <c r="AD222" s="382">
        <f t="shared" si="179"/>
        <v>89.064151729269781</v>
      </c>
      <c r="AE222" s="382">
        <f>IF(AD222&gt;0,+AD222)/ 'Pile Data and Eurocode Factors'!$B$19/ 'Pile Data and Eurocode Factors'!$B$20+AE$215</f>
        <v>3890.0319637058378</v>
      </c>
      <c r="AF222" s="382">
        <f t="shared" si="186"/>
        <v>159.04312808798329</v>
      </c>
      <c r="AG222" s="382">
        <f>AA222* Pile!$U$39</f>
        <v>0</v>
      </c>
      <c r="AH222" s="382">
        <f t="shared" si="200"/>
        <v>159.04312808798329</v>
      </c>
      <c r="AI222" s="382">
        <f>AH222/ 'Pile Data and Eurocode Factors'!$C$19/ 'Pile Data and Eurocode Factors'!$C$20</f>
        <v>66.824843734446773</v>
      </c>
      <c r="AJ222" s="382">
        <f t="shared" si="201"/>
        <v>3956.8568074402847</v>
      </c>
      <c r="AK222" s="382">
        <f>VLOOKUP(Y222, 'Pile Data and Eurocode Factors'!$A$34:$J$39,3, FALSE)</f>
        <v>2366.1761868507956</v>
      </c>
      <c r="AL222" s="403">
        <f t="shared" si="202"/>
        <v>2366.1761868507956</v>
      </c>
      <c r="AM222" s="419">
        <v>600</v>
      </c>
      <c r="AN222" s="430">
        <f>PI()*AM222/1000*( Pile!$C$39- Pile!$C222)</f>
        <v>3.9584067435231018</v>
      </c>
      <c r="AO222" s="382">
        <f t="shared" si="203"/>
        <v>0.28274333882308139</v>
      </c>
      <c r="AP222" s="382">
        <f t="shared" si="174"/>
        <v>118.75220230569306</v>
      </c>
      <c r="AQ222" s="382">
        <f>AN222* Pile!$S$39</f>
        <v>118.75220230569306</v>
      </c>
      <c r="AR222" s="382">
        <f t="shared" si="180"/>
        <v>118.75220230569306</v>
      </c>
      <c r="AS222" s="382">
        <f>IF(AR222&gt;0,+AR222)/ 'Pile Data and Eurocode Factors'!$B$19/ 'Pile Data and Eurocode Factors'!$B$20+AS$215</f>
        <v>5186.7092849411174</v>
      </c>
      <c r="AT222" s="382">
        <f t="shared" si="187"/>
        <v>282.74333882308139</v>
      </c>
      <c r="AU222" s="382">
        <f>AO222* Pile!$U$39</f>
        <v>0</v>
      </c>
      <c r="AV222" s="382">
        <f t="shared" si="204"/>
        <v>282.74333882308139</v>
      </c>
      <c r="AW222" s="382">
        <f>AV222/ 'Pile Data and Eurocode Factors'!$C$19/ 'Pile Data and Eurocode Factors'!$C$20</f>
        <v>118.79972219457203</v>
      </c>
      <c r="AX222" s="382">
        <f t="shared" si="205"/>
        <v>5305.509007135689</v>
      </c>
      <c r="AY222" s="382">
        <f>VLOOKUP(AM222, 'Pile Data and Eurocode Factors'!$A$34:$J$39,3, FALSE)</f>
        <v>4206.5354432903041</v>
      </c>
      <c r="AZ222" s="403">
        <f t="shared" si="206"/>
        <v>4206.5354432903041</v>
      </c>
      <c r="BA222" s="419">
        <v>750</v>
      </c>
      <c r="BB222" s="430">
        <f>PI()*BA222/1000*( Pile!$C$39- Pile!$C222)</f>
        <v>4.9480084294038775</v>
      </c>
      <c r="BC222" s="382">
        <f t="shared" si="207"/>
        <v>0.44178646691106466</v>
      </c>
      <c r="BD222" s="382">
        <f t="shared" si="175"/>
        <v>148.44025288211634</v>
      </c>
      <c r="BE222" s="382">
        <f>BB222* Pile!$S$39</f>
        <v>148.44025288211634</v>
      </c>
      <c r="BF222" s="382">
        <f t="shared" si="181"/>
        <v>148.44025288211634</v>
      </c>
      <c r="BG222" s="382">
        <f>IF(BF222&gt;0,+BF222)/ 'Pile Data and Eurocode Factors'!$B$19/ 'Pile Data and Eurocode Factors'!$B$20+BG$215</f>
        <v>6483.3866061763965</v>
      </c>
      <c r="BH222" s="382">
        <f t="shared" si="188"/>
        <v>441.78646691106468</v>
      </c>
      <c r="BI222" s="382">
        <f>BC222* Pile!$U$39</f>
        <v>0</v>
      </c>
      <c r="BJ222" s="382">
        <f t="shared" si="208"/>
        <v>441.78646691106468</v>
      </c>
      <c r="BK222" s="382">
        <f>BJ222/ 'Pile Data and Eurocode Factors'!$C$19/ 'Pile Data and Eurocode Factors'!$C$20</f>
        <v>185.62456592901879</v>
      </c>
      <c r="BL222" s="382">
        <f t="shared" si="209"/>
        <v>6669.0111721054154</v>
      </c>
      <c r="BM222" s="382">
        <f>VLOOKUP(BA222, 'Pile Data and Eurocode Factors'!$A$34:$J$39,3, FALSE)</f>
        <v>6572.7116301410997</v>
      </c>
      <c r="BN222" s="403">
        <f t="shared" si="210"/>
        <v>6572.7116301410997</v>
      </c>
      <c r="BO222" s="419">
        <v>900</v>
      </c>
      <c r="BP222" s="430">
        <f>PI()*BO222/1000*( Pile!$C$39- Pile!$C222)</f>
        <v>5.9376101152846523</v>
      </c>
      <c r="BQ222" s="382">
        <f t="shared" si="211"/>
        <v>0.63617251235193317</v>
      </c>
      <c r="BR222" s="382">
        <f t="shared" si="176"/>
        <v>178.12830345853956</v>
      </c>
      <c r="BS222" s="382">
        <f>BP222* Pile!$S$39</f>
        <v>178.12830345853956</v>
      </c>
      <c r="BT222" s="382">
        <f t="shared" si="182"/>
        <v>178.12830345853956</v>
      </c>
      <c r="BU222" s="382">
        <f>IF(BT222&gt;0,+BT222)/ 'Pile Data and Eurocode Factors'!$B$19/ 'Pile Data and Eurocode Factors'!$B$20+BU$215</f>
        <v>7780.0639274116756</v>
      </c>
      <c r="BV222" s="382">
        <f t="shared" si="189"/>
        <v>636.17251235193316</v>
      </c>
      <c r="BW222" s="382">
        <f>BQ222* Pile!$U$39</f>
        <v>0</v>
      </c>
      <c r="BX222" s="382">
        <f t="shared" si="212"/>
        <v>636.17251235193316</v>
      </c>
      <c r="BY222" s="382">
        <f>BX222/ 'Pile Data and Eurocode Factors'!$C$19/ 'Pile Data and Eurocode Factors'!$C$20</f>
        <v>267.29937493778709</v>
      </c>
      <c r="BZ222" s="382">
        <f t="shared" si="213"/>
        <v>8047.3633023494631</v>
      </c>
      <c r="CA222" s="382">
        <f>VLOOKUP(BO222, 'Pile Data and Eurocode Factors'!$A$34:$J$39,3, FALSE)</f>
        <v>9464.7047474031824</v>
      </c>
      <c r="CB222" s="403">
        <f t="shared" si="214"/>
        <v>8047.3633023494631</v>
      </c>
      <c r="CC222" s="419">
        <v>1050</v>
      </c>
      <c r="CD222" s="430">
        <f>PI()*CC222/1000*( Pile!$C$39- Pile!$C222)</f>
        <v>6.927211801165428</v>
      </c>
      <c r="CE222" s="382">
        <f t="shared" si="215"/>
        <v>0.86590147514568672</v>
      </c>
      <c r="CF222" s="382">
        <f t="shared" si="177"/>
        <v>207.81635403496284</v>
      </c>
      <c r="CG222" s="382">
        <f>CD222* Pile!$S$39</f>
        <v>207.81635403496284</v>
      </c>
      <c r="CH222" s="382">
        <f t="shared" si="183"/>
        <v>207.81635403496284</v>
      </c>
      <c r="CI222" s="382">
        <f>IF(CH222&gt;0,+CH222)/ 'Pile Data and Eurocode Factors'!$B$19/ 'Pile Data and Eurocode Factors'!$B$20+CI$215</f>
        <v>9076.7412486469548</v>
      </c>
      <c r="CJ222" s="382">
        <f t="shared" si="190"/>
        <v>865.90147514568673</v>
      </c>
      <c r="CK222" s="382">
        <f>CE222* Pile!$U$39</f>
        <v>0</v>
      </c>
      <c r="CL222" s="382">
        <f t="shared" si="216"/>
        <v>865.90147514568673</v>
      </c>
      <c r="CM222" s="382">
        <f>CL222/ 'Pile Data and Eurocode Factors'!$C$19/ 'Pile Data and Eurocode Factors'!$C$20</f>
        <v>363.82414922087679</v>
      </c>
      <c r="CN222" s="382">
        <f t="shared" si="217"/>
        <v>9440.5653978678311</v>
      </c>
      <c r="CO222" s="382">
        <f>VLOOKUP(CC222, 'Pile Data and Eurocode Factors'!$A$34:$J$39,3, FALSE)</f>
        <v>12882.514795076555</v>
      </c>
      <c r="CP222" s="403">
        <f t="shared" si="218"/>
        <v>9440.5653978678311</v>
      </c>
      <c r="CQ222" s="419">
        <v>1200</v>
      </c>
      <c r="CR222" s="430">
        <f>PI()*CQ222/1000*( Pile!$C$39- Pile!$C222)</f>
        <v>7.9168134870462037</v>
      </c>
      <c r="CS222" s="382">
        <f t="shared" si="219"/>
        <v>1.1309733552923256</v>
      </c>
      <c r="CT222" s="382">
        <f t="shared" si="178"/>
        <v>237.50440461138612</v>
      </c>
      <c r="CU222" s="382">
        <f>CR222* Pile!$S$39</f>
        <v>237.50440461138612</v>
      </c>
      <c r="CV222" s="382">
        <f t="shared" si="184"/>
        <v>237.50440461138612</v>
      </c>
      <c r="CW222" s="382">
        <f>IF(CV222&gt;0,+CV222)/ 'Pile Data and Eurocode Factors'!$B$19/ 'Pile Data and Eurocode Factors'!$B$20+CW$215</f>
        <v>10373.418569882235</v>
      </c>
      <c r="CX222" s="382">
        <f t="shared" si="191"/>
        <v>1130.9733552923256</v>
      </c>
      <c r="CY222" s="382">
        <f>CS222* Pile!$U$39</f>
        <v>0</v>
      </c>
      <c r="CZ222" s="382">
        <f t="shared" si="220"/>
        <v>1130.9733552923256</v>
      </c>
      <c r="DA222" s="382">
        <f>CZ222/ 'Pile Data and Eurocode Factors'!$C$19/ 'Pile Data and Eurocode Factors'!$C$20</f>
        <v>475.19888877828811</v>
      </c>
      <c r="DB222" s="382">
        <f t="shared" si="221"/>
        <v>10848.617458660523</v>
      </c>
      <c r="DC222" s="382">
        <f>VLOOKUP(CQ222, 'Pile Data and Eurocode Factors'!$A$34:$J$39,3, FALSE)</f>
        <v>16826.141773161216</v>
      </c>
      <c r="DD222" s="403">
        <f t="shared" si="222"/>
        <v>10848.617458660523</v>
      </c>
      <c r="DE222" s="420">
        <f xml:space="preserve"> Pile!$C$23- Pile!C222</f>
        <v>44.09999999999998</v>
      </c>
      <c r="DG222" s="382">
        <f t="shared" si="223"/>
        <v>2366.1761868507956</v>
      </c>
      <c r="DH222" s="382">
        <f t="shared" si="224"/>
        <v>4206.5354432903041</v>
      </c>
      <c r="DI222" s="382">
        <f t="shared" si="225"/>
        <v>6572.7116301410997</v>
      </c>
      <c r="DJ222" s="382"/>
      <c r="DK222" s="382"/>
      <c r="DL222" s="382"/>
    </row>
    <row r="223" spans="2:116" s="308" customFormat="1" ht="15">
      <c r="B223" s="400">
        <v>8</v>
      </c>
      <c r="C223" s="401">
        <f>+C222- Pile!D$39/20</f>
        <v>-38.399999999999977</v>
      </c>
      <c r="D223" s="415" t="str">
        <f>B26</f>
        <v>Medium Density Chalk</v>
      </c>
      <c r="E223" s="415" t="str">
        <f>F26</f>
        <v>Chalk</v>
      </c>
      <c r="F223" s="401">
        <f xml:space="preserve"> Pile!$E$39*(+C222-C223)+F222</f>
        <v>843.55949999999962</v>
      </c>
      <c r="G223" s="401">
        <f>IF(C223&gt; Pile!$C$41,0,( Pile!$C$41-C223)*9.81)</f>
        <v>229.55399999999977</v>
      </c>
      <c r="H223" s="401">
        <f t="shared" si="194"/>
        <v>614.00549999999987</v>
      </c>
      <c r="I223" s="401">
        <f t="shared" si="193"/>
        <v>601.49775</v>
      </c>
      <c r="J223" s="401">
        <f>IF(E223="Cohesive",(( Pile!$H$39- Pile!$G$39)/20)+J222,0)</f>
        <v>0</v>
      </c>
      <c r="K223" s="401">
        <f>IF(E223="Cohesive",( Pile!$G$39+ Pile!$J223)/2,0)</f>
        <v>0</v>
      </c>
      <c r="L223" s="401" t="str">
        <f>IF( Pile!I$39="",0, Pile!I$39)</f>
        <v>0</v>
      </c>
      <c r="M223" s="401" t="str">
        <f>IF( Pile!J$39="",0, Pile!J$39)</f>
        <v>0</v>
      </c>
      <c r="N223" s="401">
        <f>IF(E223="Granular", Pile!$K$39,0)</f>
        <v>0</v>
      </c>
      <c r="O223" s="416">
        <f>IF(AND(E223="Granular",D223&lt;&gt;"Made Ground"), Pile!$L$39,0)</f>
        <v>0</v>
      </c>
      <c r="P223" s="401">
        <f>IF(OR(D223="Low Density Chalk",D223="Medium Density Chalk"), Pile!$M$39,0)</f>
        <v>0.8</v>
      </c>
      <c r="Q223" s="417">
        <f>IF(D223="High Density Chalk", Pile!$N$39,0)</f>
        <v>0</v>
      </c>
      <c r="R223" s="401">
        <f>IF( Pile!O$39="",0, Pile!O$39)</f>
        <v>9000</v>
      </c>
      <c r="S223" s="418">
        <f t="shared" si="195"/>
        <v>481.19820000000004</v>
      </c>
      <c r="T223" s="382">
        <f xml:space="preserve"> Pile!$T$39</f>
        <v>30</v>
      </c>
      <c r="U223" s="382">
        <f t="shared" si="196"/>
        <v>30</v>
      </c>
      <c r="V223" s="382">
        <f t="shared" si="197"/>
        <v>9000</v>
      </c>
      <c r="W223" s="382">
        <f xml:space="preserve"> Pile!$V$39</f>
        <v>1000</v>
      </c>
      <c r="X223" s="382">
        <f t="shared" si="198"/>
        <v>1000</v>
      </c>
      <c r="Y223" s="419">
        <v>450</v>
      </c>
      <c r="Z223" s="430">
        <f>PI()*Y223/1000*( Pile!$C$39- Pile!$C223)</f>
        <v>3.3929200658769445</v>
      </c>
      <c r="AA223" s="382">
        <f t="shared" si="199"/>
        <v>0.15904312808798329</v>
      </c>
      <c r="AB223" s="382">
        <f t="shared" si="173"/>
        <v>101.78760197630834</v>
      </c>
      <c r="AC223" s="382">
        <f>Z223* Pile!$S$39</f>
        <v>101.78760197630834</v>
      </c>
      <c r="AD223" s="382">
        <f t="shared" si="179"/>
        <v>101.78760197630834</v>
      </c>
      <c r="AE223" s="382">
        <f>IF(AD223&gt;0,+AD223)/ 'Pile Data and Eurocode Factors'!$B$19/ 'Pile Data and Eurocode Factors'!$B$20+AE$215</f>
        <v>3896.090749537761</v>
      </c>
      <c r="AF223" s="382">
        <f t="shared" si="186"/>
        <v>159.04312808798329</v>
      </c>
      <c r="AG223" s="382">
        <f>AA223* Pile!$U$39</f>
        <v>0</v>
      </c>
      <c r="AH223" s="382">
        <f t="shared" si="200"/>
        <v>159.04312808798329</v>
      </c>
      <c r="AI223" s="382">
        <f>AH223/ 'Pile Data and Eurocode Factors'!$C$19/ 'Pile Data and Eurocode Factors'!$C$20</f>
        <v>66.824843734446773</v>
      </c>
      <c r="AJ223" s="382">
        <f t="shared" si="201"/>
        <v>3962.9155932722078</v>
      </c>
      <c r="AK223" s="382">
        <f>VLOOKUP(Y223, 'Pile Data and Eurocode Factors'!$A$34:$J$39,3, FALSE)</f>
        <v>2366.1761868507956</v>
      </c>
      <c r="AL223" s="403">
        <f t="shared" si="202"/>
        <v>2366.1761868507956</v>
      </c>
      <c r="AM223" s="419">
        <v>600</v>
      </c>
      <c r="AN223" s="430">
        <f>PI()*AM223/1000*( Pile!$C$39- Pile!$C223)</f>
        <v>4.5238934211692596</v>
      </c>
      <c r="AO223" s="382">
        <f t="shared" si="203"/>
        <v>0.28274333882308139</v>
      </c>
      <c r="AP223" s="382">
        <f t="shared" si="174"/>
        <v>135.71680263507778</v>
      </c>
      <c r="AQ223" s="382">
        <f>AN223* Pile!$S$39</f>
        <v>135.71680263507778</v>
      </c>
      <c r="AR223" s="382">
        <f t="shared" si="180"/>
        <v>135.71680263507778</v>
      </c>
      <c r="AS223" s="382">
        <f>IF(AR223&gt;0,+AR223)/ 'Pile Data and Eurocode Factors'!$B$19/ 'Pile Data and Eurocode Factors'!$B$20+AS$215</f>
        <v>5194.787666050348</v>
      </c>
      <c r="AT223" s="382">
        <f t="shared" si="187"/>
        <v>282.74333882308139</v>
      </c>
      <c r="AU223" s="382">
        <f>AO223* Pile!$U$39</f>
        <v>0</v>
      </c>
      <c r="AV223" s="382">
        <f t="shared" si="204"/>
        <v>282.74333882308139</v>
      </c>
      <c r="AW223" s="382">
        <f>AV223/ 'Pile Data and Eurocode Factors'!$C$19/ 'Pile Data and Eurocode Factors'!$C$20</f>
        <v>118.79972219457203</v>
      </c>
      <c r="AX223" s="382">
        <f t="shared" si="205"/>
        <v>5313.5873882449196</v>
      </c>
      <c r="AY223" s="382">
        <f>VLOOKUP(AM223, 'Pile Data and Eurocode Factors'!$A$34:$J$39,3, FALSE)</f>
        <v>4206.5354432903041</v>
      </c>
      <c r="AZ223" s="403">
        <f t="shared" si="206"/>
        <v>4206.5354432903041</v>
      </c>
      <c r="BA223" s="419">
        <v>750</v>
      </c>
      <c r="BB223" s="430">
        <f>PI()*BA223/1000*( Pile!$C$39- Pile!$C223)</f>
        <v>5.6548667764615743</v>
      </c>
      <c r="BC223" s="382">
        <f t="shared" si="207"/>
        <v>0.44178646691106466</v>
      </c>
      <c r="BD223" s="382">
        <f t="shared" si="175"/>
        <v>169.64600329384723</v>
      </c>
      <c r="BE223" s="382">
        <f>BB223* Pile!$S$39</f>
        <v>169.64600329384723</v>
      </c>
      <c r="BF223" s="382">
        <f t="shared" si="181"/>
        <v>169.64600329384723</v>
      </c>
      <c r="BG223" s="382">
        <f>IF(BF223&gt;0,+BF223)/ 'Pile Data and Eurocode Factors'!$B$19/ 'Pile Data and Eurocode Factors'!$B$20+BG$215</f>
        <v>6493.4845825629354</v>
      </c>
      <c r="BH223" s="382">
        <f t="shared" si="188"/>
        <v>441.78646691106468</v>
      </c>
      <c r="BI223" s="382">
        <f>BC223* Pile!$U$39</f>
        <v>0</v>
      </c>
      <c r="BJ223" s="382">
        <f t="shared" si="208"/>
        <v>441.78646691106468</v>
      </c>
      <c r="BK223" s="382">
        <f>BJ223/ 'Pile Data and Eurocode Factors'!$C$19/ 'Pile Data and Eurocode Factors'!$C$20</f>
        <v>185.62456592901879</v>
      </c>
      <c r="BL223" s="382">
        <f t="shared" si="209"/>
        <v>6679.1091484919543</v>
      </c>
      <c r="BM223" s="382">
        <f>VLOOKUP(BA223, 'Pile Data and Eurocode Factors'!$A$34:$J$39,3, FALSE)</f>
        <v>6572.7116301410997</v>
      </c>
      <c r="BN223" s="403">
        <f t="shared" si="210"/>
        <v>6572.7116301410997</v>
      </c>
      <c r="BO223" s="419">
        <v>900</v>
      </c>
      <c r="BP223" s="430">
        <f>PI()*BO223/1000*( Pile!$C$39- Pile!$C223)</f>
        <v>6.785840131753889</v>
      </c>
      <c r="BQ223" s="382">
        <f t="shared" si="211"/>
        <v>0.63617251235193317</v>
      </c>
      <c r="BR223" s="382">
        <f t="shared" si="176"/>
        <v>203.57520395261668</v>
      </c>
      <c r="BS223" s="382">
        <f>BP223* Pile!$S$39</f>
        <v>203.57520395261668</v>
      </c>
      <c r="BT223" s="382">
        <f t="shared" si="182"/>
        <v>203.57520395261668</v>
      </c>
      <c r="BU223" s="382">
        <f>IF(BT223&gt;0,+BT223)/ 'Pile Data and Eurocode Factors'!$B$19/ 'Pile Data and Eurocode Factors'!$B$20+BU$215</f>
        <v>7792.181499075522</v>
      </c>
      <c r="BV223" s="382">
        <f t="shared" si="189"/>
        <v>636.17251235193316</v>
      </c>
      <c r="BW223" s="382">
        <f>BQ223* Pile!$U$39</f>
        <v>0</v>
      </c>
      <c r="BX223" s="382">
        <f t="shared" si="212"/>
        <v>636.17251235193316</v>
      </c>
      <c r="BY223" s="382">
        <f>BX223/ 'Pile Data and Eurocode Factors'!$C$19/ 'Pile Data and Eurocode Factors'!$C$20</f>
        <v>267.29937493778709</v>
      </c>
      <c r="BZ223" s="382">
        <f t="shared" si="213"/>
        <v>8059.4808740133094</v>
      </c>
      <c r="CA223" s="382">
        <f>VLOOKUP(BO223, 'Pile Data and Eurocode Factors'!$A$34:$J$39,3, FALSE)</f>
        <v>9464.7047474031824</v>
      </c>
      <c r="CB223" s="403">
        <f t="shared" si="214"/>
        <v>8059.4808740133094</v>
      </c>
      <c r="CC223" s="419">
        <v>1050</v>
      </c>
      <c r="CD223" s="430">
        <f>PI()*CC223/1000*( Pile!$C$39- Pile!$C223)</f>
        <v>7.9168134870462037</v>
      </c>
      <c r="CE223" s="382">
        <f t="shared" si="215"/>
        <v>0.86590147514568672</v>
      </c>
      <c r="CF223" s="382">
        <f t="shared" si="177"/>
        <v>237.50440461138612</v>
      </c>
      <c r="CG223" s="382">
        <f>CD223* Pile!$S$39</f>
        <v>237.50440461138612</v>
      </c>
      <c r="CH223" s="382">
        <f t="shared" si="183"/>
        <v>237.50440461138612</v>
      </c>
      <c r="CI223" s="382">
        <f>IF(CH223&gt;0,+CH223)/ 'Pile Data and Eurocode Factors'!$B$19/ 'Pile Data and Eurocode Factors'!$B$20+CI$215</f>
        <v>9090.8784155881094</v>
      </c>
      <c r="CJ223" s="382">
        <f t="shared" si="190"/>
        <v>865.90147514568673</v>
      </c>
      <c r="CK223" s="382">
        <f>CE223* Pile!$U$39</f>
        <v>0</v>
      </c>
      <c r="CL223" s="382">
        <f t="shared" si="216"/>
        <v>865.90147514568673</v>
      </c>
      <c r="CM223" s="382">
        <f>CL223/ 'Pile Data and Eurocode Factors'!$C$19/ 'Pile Data and Eurocode Factors'!$C$20</f>
        <v>363.82414922087679</v>
      </c>
      <c r="CN223" s="382">
        <f t="shared" si="217"/>
        <v>9454.7025648089857</v>
      </c>
      <c r="CO223" s="382">
        <f>VLOOKUP(CC223, 'Pile Data and Eurocode Factors'!$A$34:$J$39,3, FALSE)</f>
        <v>12882.514795076555</v>
      </c>
      <c r="CP223" s="403">
        <f t="shared" si="218"/>
        <v>9454.7025648089857</v>
      </c>
      <c r="CQ223" s="419">
        <v>1200</v>
      </c>
      <c r="CR223" s="430">
        <f>PI()*CQ223/1000*( Pile!$C$39- Pile!$C223)</f>
        <v>9.0477868423385193</v>
      </c>
      <c r="CS223" s="382">
        <f t="shared" si="219"/>
        <v>1.1309733552923256</v>
      </c>
      <c r="CT223" s="382">
        <f t="shared" si="178"/>
        <v>271.43360527015557</v>
      </c>
      <c r="CU223" s="382">
        <f>CR223* Pile!$S$39</f>
        <v>271.43360527015557</v>
      </c>
      <c r="CV223" s="382">
        <f t="shared" si="184"/>
        <v>271.43360527015557</v>
      </c>
      <c r="CW223" s="382">
        <f>IF(CV223&gt;0,+CV223)/ 'Pile Data and Eurocode Factors'!$B$19/ 'Pile Data and Eurocode Factors'!$B$20+CW$215</f>
        <v>10389.575332100696</v>
      </c>
      <c r="CX223" s="382">
        <f t="shared" si="191"/>
        <v>1130.9733552923256</v>
      </c>
      <c r="CY223" s="382">
        <f>CS223* Pile!$U$39</f>
        <v>0</v>
      </c>
      <c r="CZ223" s="382">
        <f t="shared" si="220"/>
        <v>1130.9733552923256</v>
      </c>
      <c r="DA223" s="382">
        <f>CZ223/ 'Pile Data and Eurocode Factors'!$C$19/ 'Pile Data and Eurocode Factors'!$C$20</f>
        <v>475.19888877828811</v>
      </c>
      <c r="DB223" s="382">
        <f t="shared" si="221"/>
        <v>10864.774220878984</v>
      </c>
      <c r="DC223" s="382">
        <f>VLOOKUP(CQ223, 'Pile Data and Eurocode Factors'!$A$34:$J$39,3, FALSE)</f>
        <v>16826.141773161216</v>
      </c>
      <c r="DD223" s="403">
        <f t="shared" si="222"/>
        <v>10864.774220878984</v>
      </c>
      <c r="DE223" s="420">
        <f xml:space="preserve"> Pile!$C$23- Pile!C223</f>
        <v>44.399999999999977</v>
      </c>
      <c r="DG223" s="382">
        <f t="shared" si="223"/>
        <v>2366.1761868507956</v>
      </c>
      <c r="DH223" s="382">
        <f t="shared" si="224"/>
        <v>4206.5354432903041</v>
      </c>
      <c r="DI223" s="382">
        <f t="shared" si="225"/>
        <v>6572.7116301410997</v>
      </c>
      <c r="DJ223" s="382"/>
      <c r="DK223" s="382"/>
      <c r="DL223" s="382"/>
    </row>
    <row r="224" spans="2:116" s="308" customFormat="1" ht="15">
      <c r="B224" s="400">
        <v>9</v>
      </c>
      <c r="C224" s="401">
        <f>+C223- Pile!D$39/20</f>
        <v>-38.699999999999974</v>
      </c>
      <c r="D224" s="415" t="str">
        <f>B26</f>
        <v>Medium Density Chalk</v>
      </c>
      <c r="E224" s="415" t="str">
        <f>F26</f>
        <v>Chalk</v>
      </c>
      <c r="F224" s="401">
        <f xml:space="preserve"> Pile!$E$39*(+C223-C224)+F223</f>
        <v>849.62943749999954</v>
      </c>
      <c r="G224" s="401">
        <f>IF(C224&gt; Pile!$C$41,0,( Pile!$C$41-C224)*9.81)</f>
        <v>232.49699999999976</v>
      </c>
      <c r="H224" s="401">
        <f t="shared" si="194"/>
        <v>617.13243749999981</v>
      </c>
      <c r="I224" s="401">
        <f t="shared" si="193"/>
        <v>603.06121875000008</v>
      </c>
      <c r="J224" s="401">
        <f>IF(E224="Cohesive",(( Pile!$H$39- Pile!$G$39)/20)+J223,0)</f>
        <v>0</v>
      </c>
      <c r="K224" s="401">
        <f>IF(E224="Cohesive",( Pile!$G$39+ Pile!$J224)/2,0)</f>
        <v>0</v>
      </c>
      <c r="L224" s="401" t="str">
        <f>IF( Pile!I$39="",0, Pile!I$39)</f>
        <v>0</v>
      </c>
      <c r="M224" s="401" t="str">
        <f>IF( Pile!J$39="",0, Pile!J$39)</f>
        <v>0</v>
      </c>
      <c r="N224" s="401">
        <f>IF(E224="Granular", Pile!$K$39,0)</f>
        <v>0</v>
      </c>
      <c r="O224" s="416">
        <f>IF(AND(E224="Granular",D224&lt;&gt;"Made Ground"), Pile!$L$39,0)</f>
        <v>0</v>
      </c>
      <c r="P224" s="401">
        <f>IF(OR(D224="Low Density Chalk",D224="Medium Density Chalk"), Pile!$M$39,0)</f>
        <v>0.8</v>
      </c>
      <c r="Q224" s="417">
        <f>IF(D224="High Density Chalk", Pile!$N$39,0)</f>
        <v>0</v>
      </c>
      <c r="R224" s="401">
        <f>IF( Pile!O$39="",0, Pile!O$39)</f>
        <v>9000</v>
      </c>
      <c r="S224" s="418">
        <f t="shared" si="195"/>
        <v>482.44897500000008</v>
      </c>
      <c r="T224" s="382">
        <f xml:space="preserve"> Pile!$T$39</f>
        <v>30</v>
      </c>
      <c r="U224" s="382">
        <f t="shared" si="196"/>
        <v>30</v>
      </c>
      <c r="V224" s="382">
        <f t="shared" si="197"/>
        <v>9000</v>
      </c>
      <c r="W224" s="382">
        <f xml:space="preserve"> Pile!$V$39</f>
        <v>1000</v>
      </c>
      <c r="X224" s="382">
        <f t="shared" si="198"/>
        <v>1000</v>
      </c>
      <c r="Y224" s="419">
        <v>450</v>
      </c>
      <c r="Z224" s="430">
        <f>PI()*Y224/1000*( Pile!$C$39- Pile!$C224)</f>
        <v>3.8170350741115624</v>
      </c>
      <c r="AA224" s="382">
        <f t="shared" si="199"/>
        <v>0.15904312808798329</v>
      </c>
      <c r="AB224" s="382">
        <f t="shared" si="173"/>
        <v>114.51105222334687</v>
      </c>
      <c r="AC224" s="382">
        <f>Z224* Pile!$S$39</f>
        <v>114.51105222334687</v>
      </c>
      <c r="AD224" s="382">
        <f t="shared" si="179"/>
        <v>114.51105222334687</v>
      </c>
      <c r="AE224" s="382">
        <f>IF(AD224&gt;0,+AD224)/ 'Pile Data and Eurocode Factors'!$B$19/ 'Pile Data and Eurocode Factors'!$B$20+AE$215</f>
        <v>3902.1495353696841</v>
      </c>
      <c r="AF224" s="382">
        <f t="shared" si="186"/>
        <v>159.04312808798329</v>
      </c>
      <c r="AG224" s="382">
        <f>AA224* Pile!$U$39</f>
        <v>0</v>
      </c>
      <c r="AH224" s="382">
        <f t="shared" si="200"/>
        <v>159.04312808798329</v>
      </c>
      <c r="AI224" s="382">
        <f>AH224/ 'Pile Data and Eurocode Factors'!$C$19/ 'Pile Data and Eurocode Factors'!$C$20</f>
        <v>66.824843734446773</v>
      </c>
      <c r="AJ224" s="382">
        <f t="shared" si="201"/>
        <v>3968.974379104131</v>
      </c>
      <c r="AK224" s="382">
        <f>VLOOKUP(Y224, 'Pile Data and Eurocode Factors'!$A$34:$J$39,3, FALSE)</f>
        <v>2366.1761868507956</v>
      </c>
      <c r="AL224" s="403">
        <f t="shared" si="202"/>
        <v>2366.1761868507956</v>
      </c>
      <c r="AM224" s="419">
        <v>600</v>
      </c>
      <c r="AN224" s="430">
        <f>PI()*AM224/1000*( Pile!$C$39- Pile!$C224)</f>
        <v>5.0893800988154165</v>
      </c>
      <c r="AO224" s="382">
        <f t="shared" si="203"/>
        <v>0.28274333882308139</v>
      </c>
      <c r="AP224" s="382">
        <f t="shared" si="174"/>
        <v>152.68140296446251</v>
      </c>
      <c r="AQ224" s="382">
        <f>AN224* Pile!$S$39</f>
        <v>152.68140296446251</v>
      </c>
      <c r="AR224" s="382">
        <f t="shared" si="180"/>
        <v>152.68140296446251</v>
      </c>
      <c r="AS224" s="382">
        <f>IF(AR224&gt;0,+AR224)/ 'Pile Data and Eurocode Factors'!$B$19/ 'Pile Data and Eurocode Factors'!$B$20+AS$215</f>
        <v>5202.8660471595786</v>
      </c>
      <c r="AT224" s="382">
        <f t="shared" si="187"/>
        <v>282.74333882308139</v>
      </c>
      <c r="AU224" s="382">
        <f>AO224* Pile!$U$39</f>
        <v>0</v>
      </c>
      <c r="AV224" s="382">
        <f t="shared" si="204"/>
        <v>282.74333882308139</v>
      </c>
      <c r="AW224" s="382">
        <f>AV224/ 'Pile Data and Eurocode Factors'!$C$19/ 'Pile Data and Eurocode Factors'!$C$20</f>
        <v>118.79972219457203</v>
      </c>
      <c r="AX224" s="382">
        <f t="shared" si="205"/>
        <v>5321.6657693541501</v>
      </c>
      <c r="AY224" s="382">
        <f>VLOOKUP(AM224, 'Pile Data and Eurocode Factors'!$A$34:$J$39,3, FALSE)</f>
        <v>4206.5354432903041</v>
      </c>
      <c r="AZ224" s="403">
        <f t="shared" si="206"/>
        <v>4206.5354432903041</v>
      </c>
      <c r="BA224" s="419">
        <v>750</v>
      </c>
      <c r="BB224" s="430">
        <f>PI()*BA224/1000*( Pile!$C$39- Pile!$C224)</f>
        <v>6.3617251235192711</v>
      </c>
      <c r="BC224" s="382">
        <f t="shared" si="207"/>
        <v>0.44178646691106466</v>
      </c>
      <c r="BD224" s="382">
        <f t="shared" si="175"/>
        <v>190.85175370557812</v>
      </c>
      <c r="BE224" s="382">
        <f>BB224* Pile!$S$39</f>
        <v>190.85175370557812</v>
      </c>
      <c r="BF224" s="382">
        <f t="shared" si="181"/>
        <v>190.85175370557812</v>
      </c>
      <c r="BG224" s="382">
        <f>IF(BF224&gt;0,+BF224)/ 'Pile Data and Eurocode Factors'!$B$19/ 'Pile Data and Eurocode Factors'!$B$20+BG$215</f>
        <v>6503.5825589494734</v>
      </c>
      <c r="BH224" s="382">
        <f t="shared" si="188"/>
        <v>441.78646691106468</v>
      </c>
      <c r="BI224" s="382">
        <f>BC224* Pile!$U$39</f>
        <v>0</v>
      </c>
      <c r="BJ224" s="382">
        <f t="shared" si="208"/>
        <v>441.78646691106468</v>
      </c>
      <c r="BK224" s="382">
        <f>BJ224/ 'Pile Data and Eurocode Factors'!$C$19/ 'Pile Data and Eurocode Factors'!$C$20</f>
        <v>185.62456592901879</v>
      </c>
      <c r="BL224" s="382">
        <f t="shared" si="209"/>
        <v>6689.2071248784923</v>
      </c>
      <c r="BM224" s="382">
        <f>VLOOKUP(BA224, 'Pile Data and Eurocode Factors'!$A$34:$J$39,3, FALSE)</f>
        <v>6572.7116301410997</v>
      </c>
      <c r="BN224" s="403">
        <f t="shared" si="210"/>
        <v>6572.7116301410997</v>
      </c>
      <c r="BO224" s="419">
        <v>900</v>
      </c>
      <c r="BP224" s="430">
        <f>PI()*BO224/1000*( Pile!$C$39- Pile!$C224)</f>
        <v>7.6340701482231248</v>
      </c>
      <c r="BQ224" s="382">
        <f t="shared" si="211"/>
        <v>0.63617251235193317</v>
      </c>
      <c r="BR224" s="382">
        <f t="shared" si="176"/>
        <v>229.02210444669373</v>
      </c>
      <c r="BS224" s="382">
        <f>BP224* Pile!$S$39</f>
        <v>229.02210444669373</v>
      </c>
      <c r="BT224" s="382">
        <f t="shared" si="182"/>
        <v>229.02210444669373</v>
      </c>
      <c r="BU224" s="382">
        <f>IF(BT224&gt;0,+BT224)/ 'Pile Data and Eurocode Factors'!$B$19/ 'Pile Data and Eurocode Factors'!$B$20+BU$215</f>
        <v>7804.2990707393683</v>
      </c>
      <c r="BV224" s="382">
        <f t="shared" si="189"/>
        <v>636.17251235193316</v>
      </c>
      <c r="BW224" s="382">
        <f>BQ224* Pile!$U$39</f>
        <v>0</v>
      </c>
      <c r="BX224" s="382">
        <f t="shared" si="212"/>
        <v>636.17251235193316</v>
      </c>
      <c r="BY224" s="382">
        <f>BX224/ 'Pile Data and Eurocode Factors'!$C$19/ 'Pile Data and Eurocode Factors'!$C$20</f>
        <v>267.29937493778709</v>
      </c>
      <c r="BZ224" s="382">
        <f t="shared" si="213"/>
        <v>8071.5984456771557</v>
      </c>
      <c r="CA224" s="382">
        <f>VLOOKUP(BO224, 'Pile Data and Eurocode Factors'!$A$34:$J$39,3, FALSE)</f>
        <v>9464.7047474031824</v>
      </c>
      <c r="CB224" s="403">
        <f t="shared" si="214"/>
        <v>8071.5984456771557</v>
      </c>
      <c r="CC224" s="419">
        <v>1050</v>
      </c>
      <c r="CD224" s="430">
        <f>PI()*CC224/1000*( Pile!$C$39- Pile!$C224)</f>
        <v>8.9064151729269785</v>
      </c>
      <c r="CE224" s="382">
        <f t="shared" si="215"/>
        <v>0.86590147514568672</v>
      </c>
      <c r="CF224" s="382">
        <f t="shared" si="177"/>
        <v>267.19245518780934</v>
      </c>
      <c r="CG224" s="382">
        <f>CD224* Pile!$S$39</f>
        <v>267.19245518780934</v>
      </c>
      <c r="CH224" s="382">
        <f t="shared" si="183"/>
        <v>267.19245518780934</v>
      </c>
      <c r="CI224" s="382">
        <f>IF(CH224&gt;0,+CH224)/ 'Pile Data and Eurocode Factors'!$B$19/ 'Pile Data and Eurocode Factors'!$B$20+CI$215</f>
        <v>9105.0155825292622</v>
      </c>
      <c r="CJ224" s="382">
        <f t="shared" si="190"/>
        <v>865.90147514568673</v>
      </c>
      <c r="CK224" s="382">
        <f>CE224* Pile!$U$39</f>
        <v>0</v>
      </c>
      <c r="CL224" s="382">
        <f t="shared" si="216"/>
        <v>865.90147514568673</v>
      </c>
      <c r="CM224" s="382">
        <f>CL224/ 'Pile Data and Eurocode Factors'!$C$19/ 'Pile Data and Eurocode Factors'!$C$20</f>
        <v>363.82414922087679</v>
      </c>
      <c r="CN224" s="382">
        <f t="shared" si="217"/>
        <v>9468.8397317501385</v>
      </c>
      <c r="CO224" s="382">
        <f>VLOOKUP(CC224, 'Pile Data and Eurocode Factors'!$A$34:$J$39,3, FALSE)</f>
        <v>12882.514795076555</v>
      </c>
      <c r="CP224" s="403">
        <f t="shared" si="218"/>
        <v>9468.8397317501385</v>
      </c>
      <c r="CQ224" s="419">
        <v>1200</v>
      </c>
      <c r="CR224" s="430">
        <f>PI()*CQ224/1000*( Pile!$C$39- Pile!$C224)</f>
        <v>10.178760197630833</v>
      </c>
      <c r="CS224" s="382">
        <f t="shared" si="219"/>
        <v>1.1309733552923256</v>
      </c>
      <c r="CT224" s="382">
        <f t="shared" si="178"/>
        <v>305.36280592892501</v>
      </c>
      <c r="CU224" s="382">
        <f>CR224* Pile!$S$39</f>
        <v>305.36280592892501</v>
      </c>
      <c r="CV224" s="382">
        <f t="shared" si="184"/>
        <v>305.36280592892501</v>
      </c>
      <c r="CW224" s="382">
        <f>IF(CV224&gt;0,+CV224)/ 'Pile Data and Eurocode Factors'!$B$19/ 'Pile Data and Eurocode Factors'!$B$20+CW$215</f>
        <v>10405.732094319157</v>
      </c>
      <c r="CX224" s="382">
        <f t="shared" si="191"/>
        <v>1130.9733552923256</v>
      </c>
      <c r="CY224" s="382">
        <f>CS224* Pile!$U$39</f>
        <v>0</v>
      </c>
      <c r="CZ224" s="382">
        <f t="shared" si="220"/>
        <v>1130.9733552923256</v>
      </c>
      <c r="DA224" s="382">
        <f>CZ224/ 'Pile Data and Eurocode Factors'!$C$19/ 'Pile Data and Eurocode Factors'!$C$20</f>
        <v>475.19888877828811</v>
      </c>
      <c r="DB224" s="382">
        <f t="shared" si="221"/>
        <v>10880.930983097445</v>
      </c>
      <c r="DC224" s="382">
        <f>VLOOKUP(CQ224, 'Pile Data and Eurocode Factors'!$A$34:$J$39,3, FALSE)</f>
        <v>16826.141773161216</v>
      </c>
      <c r="DD224" s="403">
        <f t="shared" si="222"/>
        <v>10880.930983097445</v>
      </c>
      <c r="DE224" s="420">
        <f xml:space="preserve"> Pile!$C$23- Pile!C224</f>
        <v>44.699999999999974</v>
      </c>
      <c r="DG224" s="382">
        <f t="shared" si="223"/>
        <v>2366.1761868507956</v>
      </c>
      <c r="DH224" s="382">
        <f t="shared" si="224"/>
        <v>4206.5354432903041</v>
      </c>
      <c r="DI224" s="382">
        <f t="shared" si="225"/>
        <v>6572.7116301410997</v>
      </c>
      <c r="DJ224" s="382"/>
      <c r="DK224" s="382"/>
      <c r="DL224" s="382"/>
    </row>
    <row r="225" spans="1:116" s="308" customFormat="1" ht="15">
      <c r="B225" s="400">
        <v>10</v>
      </c>
      <c r="C225" s="401">
        <f>+C224- Pile!D$39/20</f>
        <v>-38.999999999999972</v>
      </c>
      <c r="D225" s="415" t="str">
        <f>B26</f>
        <v>Medium Density Chalk</v>
      </c>
      <c r="E225" s="415" t="str">
        <f>F26</f>
        <v>Chalk</v>
      </c>
      <c r="F225" s="401">
        <f xml:space="preserve"> Pile!$E$39*(+C224-C225)+F224</f>
        <v>855.69937499999946</v>
      </c>
      <c r="G225" s="401">
        <f>IF(C225&gt; Pile!$C$41,0,( Pile!$C$41-C225)*9.81)</f>
        <v>235.43999999999974</v>
      </c>
      <c r="H225" s="401">
        <f t="shared" si="194"/>
        <v>620.25937499999975</v>
      </c>
      <c r="I225" s="401">
        <f t="shared" si="193"/>
        <v>604.62468749999994</v>
      </c>
      <c r="J225" s="401">
        <f>IF(E225="Cohesive",(( Pile!$H$39- Pile!$G$39)/20)+J224,0)</f>
        <v>0</v>
      </c>
      <c r="K225" s="401">
        <f>IF(E225="Cohesive",( Pile!$G$39+ Pile!$J225)/2,0)</f>
        <v>0</v>
      </c>
      <c r="L225" s="401" t="str">
        <f>IF( Pile!I$39="",0, Pile!I$39)</f>
        <v>0</v>
      </c>
      <c r="M225" s="401" t="str">
        <f>IF( Pile!J$39="",0, Pile!J$39)</f>
        <v>0</v>
      </c>
      <c r="N225" s="401">
        <f>IF(E225="Granular", Pile!$K$39,0)</f>
        <v>0</v>
      </c>
      <c r="O225" s="416">
        <f>IF(AND(E225="Granular",D225&lt;&gt;"Made Ground"), Pile!$L$39,0)</f>
        <v>0</v>
      </c>
      <c r="P225" s="401">
        <f>IF(OR(D225="Low Density Chalk",D225="Medium Density Chalk"), Pile!$M$39,0)</f>
        <v>0.8</v>
      </c>
      <c r="Q225" s="417">
        <f>IF(D225="High Density Chalk", Pile!$N$39,0)</f>
        <v>0</v>
      </c>
      <c r="R225" s="401">
        <f>IF( Pile!O$39="",0, Pile!O$39)</f>
        <v>9000</v>
      </c>
      <c r="S225" s="418">
        <f t="shared" si="195"/>
        <v>483.69974999999999</v>
      </c>
      <c r="T225" s="382">
        <f xml:space="preserve"> Pile!$T$39</f>
        <v>30</v>
      </c>
      <c r="U225" s="382">
        <f t="shared" si="196"/>
        <v>30</v>
      </c>
      <c r="V225" s="382">
        <f t="shared" si="197"/>
        <v>9000</v>
      </c>
      <c r="W225" s="382">
        <f xml:space="preserve"> Pile!$V$39</f>
        <v>1000</v>
      </c>
      <c r="X225" s="382">
        <f t="shared" si="198"/>
        <v>1000</v>
      </c>
      <c r="Y225" s="419">
        <v>450</v>
      </c>
      <c r="Z225" s="430">
        <f>PI()*Y225/1000*( Pile!$C$39- Pile!$C225)</f>
        <v>4.2411500823461807</v>
      </c>
      <c r="AA225" s="382">
        <f t="shared" si="199"/>
        <v>0.15904312808798329</v>
      </c>
      <c r="AB225" s="382">
        <f t="shared" si="173"/>
        <v>127.23450247038542</v>
      </c>
      <c r="AC225" s="382">
        <f>Z225* Pile!$S$39</f>
        <v>127.23450247038542</v>
      </c>
      <c r="AD225" s="382">
        <f t="shared" si="179"/>
        <v>127.23450247038542</v>
      </c>
      <c r="AE225" s="382">
        <f>IF(AD225&gt;0,+AD225)/ 'Pile Data and Eurocode Factors'!$B$19/ 'Pile Data and Eurocode Factors'!$B$20+AE$215</f>
        <v>3908.2083212016073</v>
      </c>
      <c r="AF225" s="382">
        <f t="shared" si="186"/>
        <v>159.04312808798329</v>
      </c>
      <c r="AG225" s="382">
        <f>AA225* Pile!$U$39</f>
        <v>0</v>
      </c>
      <c r="AH225" s="382">
        <f t="shared" si="200"/>
        <v>159.04312808798329</v>
      </c>
      <c r="AI225" s="382">
        <f>AH225/ 'Pile Data and Eurocode Factors'!$C$19/ 'Pile Data and Eurocode Factors'!$C$20</f>
        <v>66.824843734446773</v>
      </c>
      <c r="AJ225" s="382">
        <f t="shared" si="201"/>
        <v>3975.0331649360542</v>
      </c>
      <c r="AK225" s="382">
        <f>VLOOKUP(Y225, 'Pile Data and Eurocode Factors'!$A$34:$J$39,3, FALSE)</f>
        <v>2366.1761868507956</v>
      </c>
      <c r="AL225" s="403">
        <f t="shared" si="202"/>
        <v>2366.1761868507956</v>
      </c>
      <c r="AM225" s="419">
        <v>600</v>
      </c>
      <c r="AN225" s="430">
        <f>PI()*AM225/1000*( Pile!$C$39- Pile!$C225)</f>
        <v>5.6548667764615743</v>
      </c>
      <c r="AO225" s="382">
        <f t="shared" si="203"/>
        <v>0.28274333882308139</v>
      </c>
      <c r="AP225" s="382">
        <f t="shared" si="174"/>
        <v>169.64600329384723</v>
      </c>
      <c r="AQ225" s="382">
        <f>AN225* Pile!$S$39</f>
        <v>169.64600329384723</v>
      </c>
      <c r="AR225" s="382">
        <f t="shared" si="180"/>
        <v>169.64600329384723</v>
      </c>
      <c r="AS225" s="382">
        <f>IF(AR225&gt;0,+AR225)/ 'Pile Data and Eurocode Factors'!$B$19/ 'Pile Data and Eurocode Factors'!$B$20+AS$215</f>
        <v>5210.94442826881</v>
      </c>
      <c r="AT225" s="382">
        <f t="shared" si="187"/>
        <v>282.74333882308139</v>
      </c>
      <c r="AU225" s="382">
        <f>AO225* Pile!$U$39</f>
        <v>0</v>
      </c>
      <c r="AV225" s="382">
        <f t="shared" si="204"/>
        <v>282.74333882308139</v>
      </c>
      <c r="AW225" s="382">
        <f>AV225/ 'Pile Data and Eurocode Factors'!$C$19/ 'Pile Data and Eurocode Factors'!$C$20</f>
        <v>118.79972219457203</v>
      </c>
      <c r="AX225" s="382">
        <f t="shared" si="205"/>
        <v>5329.7441504633816</v>
      </c>
      <c r="AY225" s="382">
        <f>VLOOKUP(AM225, 'Pile Data and Eurocode Factors'!$A$34:$J$39,3, FALSE)</f>
        <v>4206.5354432903041</v>
      </c>
      <c r="AZ225" s="403">
        <f t="shared" si="206"/>
        <v>4206.5354432903041</v>
      </c>
      <c r="BA225" s="419">
        <v>750</v>
      </c>
      <c r="BB225" s="430">
        <f>PI()*BA225/1000*( Pile!$C$39- Pile!$C225)</f>
        <v>7.0685834705769679</v>
      </c>
      <c r="BC225" s="382">
        <f t="shared" si="207"/>
        <v>0.44178646691106466</v>
      </c>
      <c r="BD225" s="382">
        <f t="shared" si="175"/>
        <v>212.05750411730904</v>
      </c>
      <c r="BE225" s="382">
        <f>BB225* Pile!$S$39</f>
        <v>212.05750411730904</v>
      </c>
      <c r="BF225" s="382">
        <f t="shared" si="181"/>
        <v>212.05750411730904</v>
      </c>
      <c r="BG225" s="382">
        <f>IF(BF225&gt;0,+BF225)/ 'Pile Data and Eurocode Factors'!$B$19/ 'Pile Data and Eurocode Factors'!$B$20+BG$215</f>
        <v>6513.6805353360123</v>
      </c>
      <c r="BH225" s="382">
        <f t="shared" si="188"/>
        <v>441.78646691106468</v>
      </c>
      <c r="BI225" s="382">
        <f>BC225* Pile!$U$39</f>
        <v>0</v>
      </c>
      <c r="BJ225" s="382">
        <f t="shared" si="208"/>
        <v>441.78646691106468</v>
      </c>
      <c r="BK225" s="382">
        <f>BJ225/ 'Pile Data and Eurocode Factors'!$C$19/ 'Pile Data and Eurocode Factors'!$C$20</f>
        <v>185.62456592901879</v>
      </c>
      <c r="BL225" s="382">
        <f t="shared" si="209"/>
        <v>6699.3051012650312</v>
      </c>
      <c r="BM225" s="382">
        <f>VLOOKUP(BA225, 'Pile Data and Eurocode Factors'!$A$34:$J$39,3, FALSE)</f>
        <v>6572.7116301410997</v>
      </c>
      <c r="BN225" s="403">
        <f t="shared" si="210"/>
        <v>6572.7116301410997</v>
      </c>
      <c r="BO225" s="419">
        <v>900</v>
      </c>
      <c r="BP225" s="430">
        <f>PI()*BO225/1000*( Pile!$C$39- Pile!$C225)</f>
        <v>8.4823001646923615</v>
      </c>
      <c r="BQ225" s="382">
        <f t="shared" si="211"/>
        <v>0.63617251235193317</v>
      </c>
      <c r="BR225" s="382">
        <f t="shared" si="176"/>
        <v>254.46900494077084</v>
      </c>
      <c r="BS225" s="382">
        <f>BP225* Pile!$S$39</f>
        <v>254.46900494077084</v>
      </c>
      <c r="BT225" s="382">
        <f t="shared" si="182"/>
        <v>254.46900494077084</v>
      </c>
      <c r="BU225" s="382">
        <f>IF(BT225&gt;0,+BT225)/ 'Pile Data and Eurocode Factors'!$B$19/ 'Pile Data and Eurocode Factors'!$B$20+BU$215</f>
        <v>7816.4166424032146</v>
      </c>
      <c r="BV225" s="382">
        <f t="shared" si="189"/>
        <v>636.17251235193316</v>
      </c>
      <c r="BW225" s="382">
        <f>BQ225* Pile!$U$39</f>
        <v>0</v>
      </c>
      <c r="BX225" s="382">
        <f t="shared" si="212"/>
        <v>636.17251235193316</v>
      </c>
      <c r="BY225" s="382">
        <f>BX225/ 'Pile Data and Eurocode Factors'!$C$19/ 'Pile Data and Eurocode Factors'!$C$20</f>
        <v>267.29937493778709</v>
      </c>
      <c r="BZ225" s="382">
        <f t="shared" si="213"/>
        <v>8083.716017341002</v>
      </c>
      <c r="CA225" s="382">
        <f>VLOOKUP(BO225, 'Pile Data and Eurocode Factors'!$A$34:$J$39,3, FALSE)</f>
        <v>9464.7047474031824</v>
      </c>
      <c r="CB225" s="403">
        <f t="shared" si="214"/>
        <v>8083.716017341002</v>
      </c>
      <c r="CC225" s="419">
        <v>1050</v>
      </c>
      <c r="CD225" s="430">
        <f>PI()*CC225/1000*( Pile!$C$39- Pile!$C225)</f>
        <v>9.8960168588077551</v>
      </c>
      <c r="CE225" s="382">
        <f t="shared" si="215"/>
        <v>0.86590147514568672</v>
      </c>
      <c r="CF225" s="382">
        <f t="shared" si="177"/>
        <v>296.88050576423268</v>
      </c>
      <c r="CG225" s="382">
        <f>CD225* Pile!$S$39</f>
        <v>296.88050576423268</v>
      </c>
      <c r="CH225" s="382">
        <f t="shared" si="183"/>
        <v>296.88050576423268</v>
      </c>
      <c r="CI225" s="382">
        <f>IF(CH225&gt;0,+CH225)/ 'Pile Data and Eurocode Factors'!$B$19/ 'Pile Data and Eurocode Factors'!$B$20+CI$215</f>
        <v>9119.1527494704169</v>
      </c>
      <c r="CJ225" s="382">
        <f t="shared" si="190"/>
        <v>865.90147514568673</v>
      </c>
      <c r="CK225" s="382">
        <f>CE225* Pile!$U$39</f>
        <v>0</v>
      </c>
      <c r="CL225" s="382">
        <f t="shared" si="216"/>
        <v>865.90147514568673</v>
      </c>
      <c r="CM225" s="382">
        <f>CL225/ 'Pile Data and Eurocode Factors'!$C$19/ 'Pile Data and Eurocode Factors'!$C$20</f>
        <v>363.82414922087679</v>
      </c>
      <c r="CN225" s="382">
        <f t="shared" si="217"/>
        <v>9482.9768986912932</v>
      </c>
      <c r="CO225" s="382">
        <f>VLOOKUP(CC225, 'Pile Data and Eurocode Factors'!$A$34:$J$39,3, FALSE)</f>
        <v>12882.514795076555</v>
      </c>
      <c r="CP225" s="403">
        <f t="shared" si="218"/>
        <v>9482.9768986912932</v>
      </c>
      <c r="CQ225" s="419">
        <v>1200</v>
      </c>
      <c r="CR225" s="430">
        <f>PI()*CQ225/1000*( Pile!$C$39- Pile!$C225)</f>
        <v>11.309733552923149</v>
      </c>
      <c r="CS225" s="382">
        <f t="shared" si="219"/>
        <v>1.1309733552923256</v>
      </c>
      <c r="CT225" s="382">
        <f t="shared" si="178"/>
        <v>339.29200658769446</v>
      </c>
      <c r="CU225" s="382">
        <f>CR225* Pile!$S$39</f>
        <v>339.29200658769446</v>
      </c>
      <c r="CV225" s="382">
        <f t="shared" si="184"/>
        <v>339.29200658769446</v>
      </c>
      <c r="CW225" s="382">
        <f>IF(CV225&gt;0,+CV225)/ 'Pile Data and Eurocode Factors'!$B$19/ 'Pile Data and Eurocode Factors'!$B$20+CW$215</f>
        <v>10421.88885653762</v>
      </c>
      <c r="CX225" s="382">
        <f t="shared" si="191"/>
        <v>1130.9733552923256</v>
      </c>
      <c r="CY225" s="382">
        <f>CS225* Pile!$U$39</f>
        <v>0</v>
      </c>
      <c r="CZ225" s="382">
        <f t="shared" si="220"/>
        <v>1130.9733552923256</v>
      </c>
      <c r="DA225" s="382">
        <f>CZ225/ 'Pile Data and Eurocode Factors'!$C$19/ 'Pile Data and Eurocode Factors'!$C$20</f>
        <v>475.19888877828811</v>
      </c>
      <c r="DB225" s="382">
        <f t="shared" si="221"/>
        <v>10897.087745315908</v>
      </c>
      <c r="DC225" s="382">
        <f>VLOOKUP(CQ225, 'Pile Data and Eurocode Factors'!$A$34:$J$39,3, FALSE)</f>
        <v>16826.141773161216</v>
      </c>
      <c r="DD225" s="403">
        <f t="shared" si="222"/>
        <v>10897.087745315908</v>
      </c>
      <c r="DE225" s="420">
        <f xml:space="preserve"> Pile!$C$23- Pile!C225</f>
        <v>44.999999999999972</v>
      </c>
      <c r="DG225" s="382">
        <f t="shared" si="223"/>
        <v>2366.1761868507956</v>
      </c>
      <c r="DH225" s="382">
        <f t="shared" si="224"/>
        <v>4206.5354432903041</v>
      </c>
      <c r="DI225" s="382">
        <f t="shared" si="225"/>
        <v>6572.7116301410997</v>
      </c>
      <c r="DJ225" s="382"/>
      <c r="DK225" s="382"/>
      <c r="DL225" s="382"/>
    </row>
    <row r="226" spans="1:116" s="308" customFormat="1" ht="15">
      <c r="B226" s="400">
        <v>11</v>
      </c>
      <c r="C226" s="401">
        <f>+C225- Pile!D$39/20</f>
        <v>-39.299999999999969</v>
      </c>
      <c r="D226" s="415" t="str">
        <f>B26</f>
        <v>Medium Density Chalk</v>
      </c>
      <c r="E226" s="415" t="str">
        <f>F26</f>
        <v>Chalk</v>
      </c>
      <c r="F226" s="401">
        <f xml:space="preserve"> Pile!$E$39*(+C225-C226)+F225</f>
        <v>861.76931249999939</v>
      </c>
      <c r="G226" s="401">
        <f>IF(C226&gt; Pile!$C$41,0,( Pile!$C$41-C226)*9.81)</f>
        <v>238.3829999999997</v>
      </c>
      <c r="H226" s="401">
        <f t="shared" si="194"/>
        <v>623.38631249999969</v>
      </c>
      <c r="I226" s="401">
        <f t="shared" si="193"/>
        <v>606.18815625000002</v>
      </c>
      <c r="J226" s="401">
        <f>IF(E226="Cohesive",(( Pile!$H$39- Pile!$G$39)/20)+J225,0)</f>
        <v>0</v>
      </c>
      <c r="K226" s="401">
        <f>IF(E226="Cohesive",( Pile!$G$39+ Pile!$J226)/2,0)</f>
        <v>0</v>
      </c>
      <c r="L226" s="401" t="str">
        <f>IF( Pile!I$39="",0, Pile!I$39)</f>
        <v>0</v>
      </c>
      <c r="M226" s="401" t="str">
        <f>IF( Pile!J$39="",0, Pile!J$39)</f>
        <v>0</v>
      </c>
      <c r="N226" s="401">
        <f>IF(E226="Granular", Pile!$K$39,0)</f>
        <v>0</v>
      </c>
      <c r="O226" s="416">
        <f>IF(AND(E226="Granular",D226&lt;&gt;"Made Ground"), Pile!$L$39,0)</f>
        <v>0</v>
      </c>
      <c r="P226" s="401">
        <f>IF(OR(D226="Low Density Chalk",D226="Medium Density Chalk"), Pile!$M$39,0)</f>
        <v>0.8</v>
      </c>
      <c r="Q226" s="417">
        <f>IF(D226="High Density Chalk", Pile!$N$39,0)</f>
        <v>0</v>
      </c>
      <c r="R226" s="401">
        <f>IF( Pile!O$39="",0, Pile!O$39)</f>
        <v>9000</v>
      </c>
      <c r="S226" s="418">
        <f t="shared" si="195"/>
        <v>484.95052500000003</v>
      </c>
      <c r="T226" s="382">
        <f xml:space="preserve"> Pile!$T$39</f>
        <v>30</v>
      </c>
      <c r="U226" s="382">
        <f t="shared" si="196"/>
        <v>30</v>
      </c>
      <c r="V226" s="382">
        <f t="shared" si="197"/>
        <v>9000</v>
      </c>
      <c r="W226" s="382">
        <f xml:space="preserve"> Pile!$V$39</f>
        <v>1000</v>
      </c>
      <c r="X226" s="382">
        <f t="shared" si="198"/>
        <v>1000</v>
      </c>
      <c r="Y226" s="419">
        <v>450</v>
      </c>
      <c r="Z226" s="430">
        <f>PI()*Y226/1000*( Pile!$C$39- Pile!$C226)</f>
        <v>4.6652650905807986</v>
      </c>
      <c r="AA226" s="382">
        <f t="shared" si="199"/>
        <v>0.15904312808798329</v>
      </c>
      <c r="AB226" s="382">
        <f t="shared" ref="AB226:AB235" si="226">+$U226*Z226</f>
        <v>139.95795271742395</v>
      </c>
      <c r="AC226" s="382">
        <f>Z226* Pile!$S$39</f>
        <v>139.95795271742395</v>
      </c>
      <c r="AD226" s="382">
        <f t="shared" si="179"/>
        <v>139.95795271742395</v>
      </c>
      <c r="AE226" s="382">
        <f>IF(AD226&gt;0,+AD226)/ 'Pile Data and Eurocode Factors'!$B$19/ 'Pile Data and Eurocode Factors'!$B$20+AE$215</f>
        <v>3914.2671070335305</v>
      </c>
      <c r="AF226" s="382">
        <f t="shared" si="186"/>
        <v>159.04312808798329</v>
      </c>
      <c r="AG226" s="382">
        <f>AA226* Pile!$U$39</f>
        <v>0</v>
      </c>
      <c r="AH226" s="382">
        <f t="shared" si="200"/>
        <v>159.04312808798329</v>
      </c>
      <c r="AI226" s="382">
        <f>AH226/ 'Pile Data and Eurocode Factors'!$C$19/ 'Pile Data and Eurocode Factors'!$C$20</f>
        <v>66.824843734446773</v>
      </c>
      <c r="AJ226" s="382">
        <f t="shared" si="201"/>
        <v>3981.0919507679773</v>
      </c>
      <c r="AK226" s="382">
        <f>VLOOKUP(Y226, 'Pile Data and Eurocode Factors'!$A$34:$J$39,3, FALSE)</f>
        <v>2366.1761868507956</v>
      </c>
      <c r="AL226" s="403">
        <f t="shared" si="202"/>
        <v>2366.1761868507956</v>
      </c>
      <c r="AM226" s="419">
        <v>600</v>
      </c>
      <c r="AN226" s="430">
        <f>PI()*AM226/1000*( Pile!$C$39- Pile!$C226)</f>
        <v>6.2203534541077312</v>
      </c>
      <c r="AO226" s="382">
        <f t="shared" si="203"/>
        <v>0.28274333882308139</v>
      </c>
      <c r="AP226" s="382">
        <f t="shared" ref="AP226:AP235" si="227">+$U226*AN226</f>
        <v>186.61060362323192</v>
      </c>
      <c r="AQ226" s="382">
        <f>AN226* Pile!$S$39</f>
        <v>186.61060362323192</v>
      </c>
      <c r="AR226" s="382">
        <f t="shared" si="180"/>
        <v>186.61060362323192</v>
      </c>
      <c r="AS226" s="382">
        <f>IF(AR226&gt;0,+AR226)/ 'Pile Data and Eurocode Factors'!$B$19/ 'Pile Data and Eurocode Factors'!$B$20+AS$215</f>
        <v>5219.0228093780406</v>
      </c>
      <c r="AT226" s="382">
        <f t="shared" si="187"/>
        <v>282.74333882308139</v>
      </c>
      <c r="AU226" s="382">
        <f>AO226* Pile!$U$39</f>
        <v>0</v>
      </c>
      <c r="AV226" s="382">
        <f t="shared" si="204"/>
        <v>282.74333882308139</v>
      </c>
      <c r="AW226" s="382">
        <f>AV226/ 'Pile Data and Eurocode Factors'!$C$19/ 'Pile Data and Eurocode Factors'!$C$20</f>
        <v>118.79972219457203</v>
      </c>
      <c r="AX226" s="382">
        <f t="shared" si="205"/>
        <v>5337.8225315726122</v>
      </c>
      <c r="AY226" s="382">
        <f>VLOOKUP(AM226, 'Pile Data and Eurocode Factors'!$A$34:$J$39,3, FALSE)</f>
        <v>4206.5354432903041</v>
      </c>
      <c r="AZ226" s="403">
        <f t="shared" si="206"/>
        <v>4206.5354432903041</v>
      </c>
      <c r="BA226" s="419">
        <v>750</v>
      </c>
      <c r="BB226" s="430">
        <f>PI()*BA226/1000*( Pile!$C$39- Pile!$C226)</f>
        <v>7.7754418176346647</v>
      </c>
      <c r="BC226" s="382">
        <f t="shared" si="207"/>
        <v>0.44178646691106466</v>
      </c>
      <c r="BD226" s="382">
        <f t="shared" ref="BD226:BD235" si="228">+$U226*BB226</f>
        <v>233.26325452903995</v>
      </c>
      <c r="BE226" s="382">
        <f>BB226* Pile!$S$39</f>
        <v>233.26325452903995</v>
      </c>
      <c r="BF226" s="382">
        <f t="shared" si="181"/>
        <v>233.26325452903995</v>
      </c>
      <c r="BG226" s="382">
        <f>IF(BF226&gt;0,+BF226)/ 'Pile Data and Eurocode Factors'!$B$19/ 'Pile Data and Eurocode Factors'!$B$20+BG$215</f>
        <v>6523.7785117225503</v>
      </c>
      <c r="BH226" s="382">
        <f t="shared" si="188"/>
        <v>441.78646691106468</v>
      </c>
      <c r="BI226" s="382">
        <f>BC226* Pile!$U$39</f>
        <v>0</v>
      </c>
      <c r="BJ226" s="382">
        <f t="shared" si="208"/>
        <v>441.78646691106468</v>
      </c>
      <c r="BK226" s="382">
        <f>BJ226/ 'Pile Data and Eurocode Factors'!$C$19/ 'Pile Data and Eurocode Factors'!$C$20</f>
        <v>185.62456592901879</v>
      </c>
      <c r="BL226" s="382">
        <f t="shared" si="209"/>
        <v>6709.4030776515692</v>
      </c>
      <c r="BM226" s="382">
        <f>VLOOKUP(BA226, 'Pile Data and Eurocode Factors'!$A$34:$J$39,3, FALSE)</f>
        <v>6572.7116301410997</v>
      </c>
      <c r="BN226" s="403">
        <f t="shared" si="210"/>
        <v>6572.7116301410997</v>
      </c>
      <c r="BO226" s="419">
        <v>900</v>
      </c>
      <c r="BP226" s="430">
        <f>PI()*BO226/1000*( Pile!$C$39- Pile!$C226)</f>
        <v>9.3305301811615973</v>
      </c>
      <c r="BQ226" s="382">
        <f t="shared" si="211"/>
        <v>0.63617251235193317</v>
      </c>
      <c r="BR226" s="382">
        <f t="shared" ref="BR226:BR235" si="229">+$U226*BP226</f>
        <v>279.9159054348479</v>
      </c>
      <c r="BS226" s="382">
        <f>BP226* Pile!$S$39</f>
        <v>279.9159054348479</v>
      </c>
      <c r="BT226" s="382">
        <f t="shared" si="182"/>
        <v>279.9159054348479</v>
      </c>
      <c r="BU226" s="382">
        <f>IF(BT226&gt;0,+BT226)/ 'Pile Data and Eurocode Factors'!$B$19/ 'Pile Data and Eurocode Factors'!$B$20+BU$215</f>
        <v>7828.5342140670609</v>
      </c>
      <c r="BV226" s="382">
        <f t="shared" si="189"/>
        <v>636.17251235193316</v>
      </c>
      <c r="BW226" s="382">
        <f>BQ226* Pile!$U$39</f>
        <v>0</v>
      </c>
      <c r="BX226" s="382">
        <f t="shared" si="212"/>
        <v>636.17251235193316</v>
      </c>
      <c r="BY226" s="382">
        <f>BX226/ 'Pile Data and Eurocode Factors'!$C$19/ 'Pile Data and Eurocode Factors'!$C$20</f>
        <v>267.29937493778709</v>
      </c>
      <c r="BZ226" s="382">
        <f t="shared" si="213"/>
        <v>8095.8335890048484</v>
      </c>
      <c r="CA226" s="382">
        <f>VLOOKUP(BO226, 'Pile Data and Eurocode Factors'!$A$34:$J$39,3, FALSE)</f>
        <v>9464.7047474031824</v>
      </c>
      <c r="CB226" s="403">
        <f t="shared" si="214"/>
        <v>8095.8335890048484</v>
      </c>
      <c r="CC226" s="419">
        <v>1050</v>
      </c>
      <c r="CD226" s="430">
        <f>PI()*CC226/1000*( Pile!$C$39- Pile!$C226)</f>
        <v>10.88561854468853</v>
      </c>
      <c r="CE226" s="382">
        <f t="shared" si="215"/>
        <v>0.86590147514568672</v>
      </c>
      <c r="CF226" s="382">
        <f t="shared" ref="CF226:CF235" si="230">+$U226*CD226</f>
        <v>326.5685563406559</v>
      </c>
      <c r="CG226" s="382">
        <f>CD226* Pile!$S$39</f>
        <v>326.5685563406559</v>
      </c>
      <c r="CH226" s="382">
        <f t="shared" si="183"/>
        <v>326.5685563406559</v>
      </c>
      <c r="CI226" s="382">
        <f>IF(CH226&gt;0,+CH226)/ 'Pile Data and Eurocode Factors'!$B$19/ 'Pile Data and Eurocode Factors'!$B$20+CI$215</f>
        <v>9133.2899164115715</v>
      </c>
      <c r="CJ226" s="382">
        <f t="shared" si="190"/>
        <v>865.90147514568673</v>
      </c>
      <c r="CK226" s="382">
        <f>CE226* Pile!$U$39</f>
        <v>0</v>
      </c>
      <c r="CL226" s="382">
        <f t="shared" si="216"/>
        <v>865.90147514568673</v>
      </c>
      <c r="CM226" s="382">
        <f>CL226/ 'Pile Data and Eurocode Factors'!$C$19/ 'Pile Data and Eurocode Factors'!$C$20</f>
        <v>363.82414922087679</v>
      </c>
      <c r="CN226" s="382">
        <f t="shared" si="217"/>
        <v>9497.1140656324478</v>
      </c>
      <c r="CO226" s="382">
        <f>VLOOKUP(CC226, 'Pile Data and Eurocode Factors'!$A$34:$J$39,3, FALSE)</f>
        <v>12882.514795076555</v>
      </c>
      <c r="CP226" s="403">
        <f t="shared" si="218"/>
        <v>9497.1140656324478</v>
      </c>
      <c r="CQ226" s="419">
        <v>1200</v>
      </c>
      <c r="CR226" s="430">
        <f>PI()*CQ226/1000*( Pile!$C$39- Pile!$C226)</f>
        <v>12.440706908215462</v>
      </c>
      <c r="CS226" s="382">
        <f t="shared" si="219"/>
        <v>1.1309733552923256</v>
      </c>
      <c r="CT226" s="382">
        <f t="shared" ref="CT226:CT235" si="231">+$U226*CR226</f>
        <v>373.22120724646385</v>
      </c>
      <c r="CU226" s="382">
        <f>CR226* Pile!$S$39</f>
        <v>373.22120724646385</v>
      </c>
      <c r="CV226" s="382">
        <f t="shared" si="184"/>
        <v>373.22120724646385</v>
      </c>
      <c r="CW226" s="382">
        <f>IF(CV226&gt;0,+CV226)/ 'Pile Data and Eurocode Factors'!$B$19/ 'Pile Data and Eurocode Factors'!$B$20+CW$215</f>
        <v>10438.045618756081</v>
      </c>
      <c r="CX226" s="382">
        <f t="shared" si="191"/>
        <v>1130.9733552923256</v>
      </c>
      <c r="CY226" s="382">
        <f>CS226* Pile!$U$39</f>
        <v>0</v>
      </c>
      <c r="CZ226" s="382">
        <f t="shared" si="220"/>
        <v>1130.9733552923256</v>
      </c>
      <c r="DA226" s="382">
        <f>CZ226/ 'Pile Data and Eurocode Factors'!$C$19/ 'Pile Data and Eurocode Factors'!$C$20</f>
        <v>475.19888877828811</v>
      </c>
      <c r="DB226" s="382">
        <f t="shared" si="221"/>
        <v>10913.244507534369</v>
      </c>
      <c r="DC226" s="382">
        <f>VLOOKUP(CQ226, 'Pile Data and Eurocode Factors'!$A$34:$J$39,3, FALSE)</f>
        <v>16826.141773161216</v>
      </c>
      <c r="DD226" s="403">
        <f t="shared" si="222"/>
        <v>10913.244507534369</v>
      </c>
      <c r="DE226" s="420">
        <f xml:space="preserve"> Pile!$C$23- Pile!C226</f>
        <v>45.299999999999969</v>
      </c>
      <c r="DG226" s="382">
        <f t="shared" si="223"/>
        <v>2366.1761868507956</v>
      </c>
      <c r="DH226" s="382">
        <f t="shared" si="224"/>
        <v>4206.5354432903041</v>
      </c>
      <c r="DI226" s="382">
        <f t="shared" si="225"/>
        <v>6572.7116301410997</v>
      </c>
      <c r="DJ226" s="382"/>
      <c r="DK226" s="382"/>
      <c r="DL226" s="382"/>
    </row>
    <row r="227" spans="1:116" s="308" customFormat="1" ht="15">
      <c r="B227" s="400">
        <v>12</v>
      </c>
      <c r="C227" s="401">
        <f>+C226- Pile!D$39/20</f>
        <v>-39.599999999999966</v>
      </c>
      <c r="D227" s="415" t="str">
        <f>B26</f>
        <v>Medium Density Chalk</v>
      </c>
      <c r="E227" s="415" t="str">
        <f>F26</f>
        <v>Chalk</v>
      </c>
      <c r="F227" s="401">
        <f xml:space="preserve"> Pile!$E$39*(+C226-C227)+F226</f>
        <v>867.83924999999931</v>
      </c>
      <c r="G227" s="401">
        <f>IF(C227&gt; Pile!$C$41,0,( Pile!$C$41-C227)*9.81)</f>
        <v>241.32599999999968</v>
      </c>
      <c r="H227" s="401">
        <f t="shared" si="194"/>
        <v>626.51324999999963</v>
      </c>
      <c r="I227" s="401">
        <f t="shared" si="193"/>
        <v>607.75162499999988</v>
      </c>
      <c r="J227" s="401">
        <f>IF(E227="Cohesive",(( Pile!$H$39- Pile!$G$39)/20)+J226,0)</f>
        <v>0</v>
      </c>
      <c r="K227" s="401">
        <f>IF(E227="Cohesive",( Pile!$G$39+ Pile!$J227)/2,0)</f>
        <v>0</v>
      </c>
      <c r="L227" s="401" t="str">
        <f>IF( Pile!I$39="",0, Pile!I$39)</f>
        <v>0</v>
      </c>
      <c r="M227" s="401" t="str">
        <f>IF( Pile!J$39="",0, Pile!J$39)</f>
        <v>0</v>
      </c>
      <c r="N227" s="401">
        <f>IF(E227="Granular", Pile!$K$39,0)</f>
        <v>0</v>
      </c>
      <c r="O227" s="416">
        <f>IF(AND(E227="Granular",D227&lt;&gt;"Made Ground"), Pile!$L$39,0)</f>
        <v>0</v>
      </c>
      <c r="P227" s="401">
        <f>IF(OR(D227="Low Density Chalk",D227="Medium Density Chalk"), Pile!$M$39,0)</f>
        <v>0.8</v>
      </c>
      <c r="Q227" s="417">
        <f>IF(D227="High Density Chalk", Pile!$N$39,0)</f>
        <v>0</v>
      </c>
      <c r="R227" s="401">
        <f>IF( Pile!O$39="",0, Pile!O$39)</f>
        <v>9000</v>
      </c>
      <c r="S227" s="418">
        <f t="shared" si="195"/>
        <v>486.20129999999995</v>
      </c>
      <c r="T227" s="382">
        <f xml:space="preserve"> Pile!$T$39</f>
        <v>30</v>
      </c>
      <c r="U227" s="382">
        <f t="shared" si="196"/>
        <v>30</v>
      </c>
      <c r="V227" s="382">
        <f t="shared" si="197"/>
        <v>9000</v>
      </c>
      <c r="W227" s="382">
        <f xml:space="preserve"> Pile!$V$39</f>
        <v>1000</v>
      </c>
      <c r="X227" s="382">
        <f t="shared" si="198"/>
        <v>1000</v>
      </c>
      <c r="Y227" s="419">
        <v>450</v>
      </c>
      <c r="Z227" s="430">
        <f>PI()*Y227/1000*( Pile!$C$39- Pile!$C227)</f>
        <v>5.0893800988154165</v>
      </c>
      <c r="AA227" s="382">
        <f t="shared" si="199"/>
        <v>0.15904312808798329</v>
      </c>
      <c r="AB227" s="382">
        <f t="shared" si="226"/>
        <v>152.68140296446251</v>
      </c>
      <c r="AC227" s="382">
        <f>Z227* Pile!$S$39</f>
        <v>152.68140296446251</v>
      </c>
      <c r="AD227" s="382">
        <f t="shared" si="179"/>
        <v>152.68140296446251</v>
      </c>
      <c r="AE227" s="382">
        <f>IF(AD227&gt;0,+AD227)/ 'Pile Data and Eurocode Factors'!$B$19/ 'Pile Data and Eurocode Factors'!$B$20+AE$215</f>
        <v>3920.3258928654536</v>
      </c>
      <c r="AF227" s="382">
        <f t="shared" si="186"/>
        <v>159.04312808798329</v>
      </c>
      <c r="AG227" s="382">
        <f>AA227* Pile!$U$39</f>
        <v>0</v>
      </c>
      <c r="AH227" s="382">
        <f t="shared" si="200"/>
        <v>159.04312808798329</v>
      </c>
      <c r="AI227" s="382">
        <f>AH227/ 'Pile Data and Eurocode Factors'!$C$19/ 'Pile Data and Eurocode Factors'!$C$20</f>
        <v>66.824843734446773</v>
      </c>
      <c r="AJ227" s="382">
        <f t="shared" si="201"/>
        <v>3987.1507365999005</v>
      </c>
      <c r="AK227" s="382">
        <f>VLOOKUP(Y227, 'Pile Data and Eurocode Factors'!$A$34:$J$39,3, FALSE)</f>
        <v>2366.1761868507956</v>
      </c>
      <c r="AL227" s="403">
        <f t="shared" si="202"/>
        <v>2366.1761868507956</v>
      </c>
      <c r="AM227" s="419">
        <v>600</v>
      </c>
      <c r="AN227" s="430">
        <f>PI()*AM227/1000*( Pile!$C$39- Pile!$C227)</f>
        <v>6.785840131753889</v>
      </c>
      <c r="AO227" s="382">
        <f t="shared" si="203"/>
        <v>0.28274333882308139</v>
      </c>
      <c r="AP227" s="382">
        <f t="shared" si="227"/>
        <v>203.57520395261668</v>
      </c>
      <c r="AQ227" s="382">
        <f>AN227* Pile!$S$39</f>
        <v>203.57520395261668</v>
      </c>
      <c r="AR227" s="382">
        <f t="shared" si="180"/>
        <v>203.57520395261668</v>
      </c>
      <c r="AS227" s="382">
        <f>IF(AR227&gt;0,+AR227)/ 'Pile Data and Eurocode Factors'!$B$19/ 'Pile Data and Eurocode Factors'!$B$20+AS$215</f>
        <v>5227.1011904872712</v>
      </c>
      <c r="AT227" s="382">
        <f t="shared" si="187"/>
        <v>282.74333882308139</v>
      </c>
      <c r="AU227" s="382">
        <f>AO227* Pile!$U$39</f>
        <v>0</v>
      </c>
      <c r="AV227" s="382">
        <f t="shared" si="204"/>
        <v>282.74333882308139</v>
      </c>
      <c r="AW227" s="382">
        <f>AV227/ 'Pile Data and Eurocode Factors'!$C$19/ 'Pile Data and Eurocode Factors'!$C$20</f>
        <v>118.79972219457203</v>
      </c>
      <c r="AX227" s="382">
        <f t="shared" si="205"/>
        <v>5345.9009126818428</v>
      </c>
      <c r="AY227" s="382">
        <f>VLOOKUP(AM227, 'Pile Data and Eurocode Factors'!$A$34:$J$39,3, FALSE)</f>
        <v>4206.5354432903041</v>
      </c>
      <c r="AZ227" s="403">
        <f t="shared" si="206"/>
        <v>4206.5354432903041</v>
      </c>
      <c r="BA227" s="419">
        <v>750</v>
      </c>
      <c r="BB227" s="430">
        <f>PI()*BA227/1000*( Pile!$C$39- Pile!$C227)</f>
        <v>8.4823001646923615</v>
      </c>
      <c r="BC227" s="382">
        <f t="shared" si="207"/>
        <v>0.44178646691106466</v>
      </c>
      <c r="BD227" s="382">
        <f t="shared" si="228"/>
        <v>254.46900494077084</v>
      </c>
      <c r="BE227" s="382">
        <f>BB227* Pile!$S$39</f>
        <v>254.46900494077084</v>
      </c>
      <c r="BF227" s="382">
        <f t="shared" si="181"/>
        <v>254.46900494077084</v>
      </c>
      <c r="BG227" s="382">
        <f>IF(BF227&gt;0,+BF227)/ 'Pile Data and Eurocode Factors'!$B$19/ 'Pile Data and Eurocode Factors'!$B$20+BG$215</f>
        <v>6533.8764881090892</v>
      </c>
      <c r="BH227" s="382">
        <f t="shared" si="188"/>
        <v>441.78646691106468</v>
      </c>
      <c r="BI227" s="382">
        <f>BC227* Pile!$U$39</f>
        <v>0</v>
      </c>
      <c r="BJ227" s="382">
        <f t="shared" si="208"/>
        <v>441.78646691106468</v>
      </c>
      <c r="BK227" s="382">
        <f>BJ227/ 'Pile Data and Eurocode Factors'!$C$19/ 'Pile Data and Eurocode Factors'!$C$20</f>
        <v>185.62456592901879</v>
      </c>
      <c r="BL227" s="382">
        <f t="shared" si="209"/>
        <v>6719.5010540381081</v>
      </c>
      <c r="BM227" s="382">
        <f>VLOOKUP(BA227, 'Pile Data and Eurocode Factors'!$A$34:$J$39,3, FALSE)</f>
        <v>6572.7116301410997</v>
      </c>
      <c r="BN227" s="403">
        <f t="shared" si="210"/>
        <v>6572.7116301410997</v>
      </c>
      <c r="BO227" s="419">
        <v>900</v>
      </c>
      <c r="BP227" s="430">
        <f>PI()*BO227/1000*( Pile!$C$39- Pile!$C227)</f>
        <v>10.178760197630833</v>
      </c>
      <c r="BQ227" s="382">
        <f t="shared" si="211"/>
        <v>0.63617251235193317</v>
      </c>
      <c r="BR227" s="382">
        <f t="shared" si="229"/>
        <v>305.36280592892501</v>
      </c>
      <c r="BS227" s="382">
        <f>BP227* Pile!$S$39</f>
        <v>305.36280592892501</v>
      </c>
      <c r="BT227" s="382">
        <f t="shared" si="182"/>
        <v>305.36280592892501</v>
      </c>
      <c r="BU227" s="382">
        <f>IF(BT227&gt;0,+BT227)/ 'Pile Data and Eurocode Factors'!$B$19/ 'Pile Data and Eurocode Factors'!$B$20+BU$215</f>
        <v>7840.6517857309072</v>
      </c>
      <c r="BV227" s="382">
        <f t="shared" si="189"/>
        <v>636.17251235193316</v>
      </c>
      <c r="BW227" s="382">
        <f>BQ227* Pile!$U$39</f>
        <v>0</v>
      </c>
      <c r="BX227" s="382">
        <f t="shared" si="212"/>
        <v>636.17251235193316</v>
      </c>
      <c r="BY227" s="382">
        <f>BX227/ 'Pile Data and Eurocode Factors'!$C$19/ 'Pile Data and Eurocode Factors'!$C$20</f>
        <v>267.29937493778709</v>
      </c>
      <c r="BZ227" s="382">
        <f t="shared" si="213"/>
        <v>8107.9511606686947</v>
      </c>
      <c r="CA227" s="382">
        <f>VLOOKUP(BO227, 'Pile Data and Eurocode Factors'!$A$34:$J$39,3, FALSE)</f>
        <v>9464.7047474031824</v>
      </c>
      <c r="CB227" s="403">
        <f t="shared" si="214"/>
        <v>8107.9511606686947</v>
      </c>
      <c r="CC227" s="419">
        <v>1050</v>
      </c>
      <c r="CD227" s="430">
        <f>PI()*CC227/1000*( Pile!$C$39- Pile!$C227)</f>
        <v>11.875220230569305</v>
      </c>
      <c r="CE227" s="382">
        <f t="shared" si="215"/>
        <v>0.86590147514568672</v>
      </c>
      <c r="CF227" s="382">
        <f t="shared" si="230"/>
        <v>356.25660691707913</v>
      </c>
      <c r="CG227" s="382">
        <f>CD227* Pile!$S$39</f>
        <v>356.25660691707913</v>
      </c>
      <c r="CH227" s="382">
        <f t="shared" si="183"/>
        <v>356.25660691707913</v>
      </c>
      <c r="CI227" s="382">
        <f>IF(CH227&gt;0,+CH227)/ 'Pile Data and Eurocode Factors'!$B$19/ 'Pile Data and Eurocode Factors'!$B$20+CI$215</f>
        <v>9147.4270833527244</v>
      </c>
      <c r="CJ227" s="382">
        <f t="shared" si="190"/>
        <v>865.90147514568673</v>
      </c>
      <c r="CK227" s="382">
        <f>CE227* Pile!$U$39</f>
        <v>0</v>
      </c>
      <c r="CL227" s="382">
        <f t="shared" si="216"/>
        <v>865.90147514568673</v>
      </c>
      <c r="CM227" s="382">
        <f>CL227/ 'Pile Data and Eurocode Factors'!$C$19/ 'Pile Data and Eurocode Factors'!$C$20</f>
        <v>363.82414922087679</v>
      </c>
      <c r="CN227" s="382">
        <f t="shared" si="217"/>
        <v>9511.2512325736006</v>
      </c>
      <c r="CO227" s="382">
        <f>VLOOKUP(CC227, 'Pile Data and Eurocode Factors'!$A$34:$J$39,3, FALSE)</f>
        <v>12882.514795076555</v>
      </c>
      <c r="CP227" s="403">
        <f t="shared" si="218"/>
        <v>9511.2512325736006</v>
      </c>
      <c r="CQ227" s="419">
        <v>1200</v>
      </c>
      <c r="CR227" s="430">
        <f>PI()*CQ227/1000*( Pile!$C$39- Pile!$C227)</f>
        <v>13.571680263507778</v>
      </c>
      <c r="CS227" s="382">
        <f t="shared" si="219"/>
        <v>1.1309733552923256</v>
      </c>
      <c r="CT227" s="382">
        <f t="shared" si="231"/>
        <v>407.15040790523335</v>
      </c>
      <c r="CU227" s="382">
        <f>CR227* Pile!$S$39</f>
        <v>407.15040790523335</v>
      </c>
      <c r="CV227" s="382">
        <f t="shared" si="184"/>
        <v>407.15040790523335</v>
      </c>
      <c r="CW227" s="382">
        <f>IF(CV227&gt;0,+CV227)/ 'Pile Data and Eurocode Factors'!$B$19/ 'Pile Data and Eurocode Factors'!$B$20+CW$215</f>
        <v>10454.202380974542</v>
      </c>
      <c r="CX227" s="382">
        <f t="shared" si="191"/>
        <v>1130.9733552923256</v>
      </c>
      <c r="CY227" s="382">
        <f>CS227* Pile!$U$39</f>
        <v>0</v>
      </c>
      <c r="CZ227" s="382">
        <f t="shared" si="220"/>
        <v>1130.9733552923256</v>
      </c>
      <c r="DA227" s="382">
        <f>CZ227/ 'Pile Data and Eurocode Factors'!$C$19/ 'Pile Data and Eurocode Factors'!$C$20</f>
        <v>475.19888877828811</v>
      </c>
      <c r="DB227" s="382">
        <f t="shared" si="221"/>
        <v>10929.401269752831</v>
      </c>
      <c r="DC227" s="382">
        <f>VLOOKUP(CQ227, 'Pile Data and Eurocode Factors'!$A$34:$J$39,3, FALSE)</f>
        <v>16826.141773161216</v>
      </c>
      <c r="DD227" s="403">
        <f t="shared" si="222"/>
        <v>10929.401269752831</v>
      </c>
      <c r="DE227" s="420">
        <f xml:space="preserve"> Pile!$C$23- Pile!C227</f>
        <v>45.599999999999966</v>
      </c>
      <c r="DG227" s="382">
        <f t="shared" si="223"/>
        <v>2366.1761868507956</v>
      </c>
      <c r="DH227" s="382">
        <f t="shared" si="224"/>
        <v>4206.5354432903041</v>
      </c>
      <c r="DI227" s="382">
        <f t="shared" si="225"/>
        <v>6572.7116301410997</v>
      </c>
      <c r="DJ227" s="382"/>
      <c r="DK227" s="382"/>
      <c r="DL227" s="382"/>
    </row>
    <row r="228" spans="1:116" s="308" customFormat="1" ht="15">
      <c r="B228" s="400">
        <v>13</v>
      </c>
      <c r="C228" s="401">
        <f>+C227- Pile!D$39/20</f>
        <v>-39.899999999999963</v>
      </c>
      <c r="D228" s="415" t="str">
        <f>B26</f>
        <v>Medium Density Chalk</v>
      </c>
      <c r="E228" s="415" t="str">
        <f>F26</f>
        <v>Chalk</v>
      </c>
      <c r="F228" s="401">
        <f xml:space="preserve"> Pile!$E$39*(+C227-C228)+F227</f>
        <v>873.90918749999923</v>
      </c>
      <c r="G228" s="401">
        <f>IF(C228&gt; Pile!$C$41,0,( Pile!$C$41-C228)*9.81)</f>
        <v>244.26899999999964</v>
      </c>
      <c r="H228" s="401">
        <f t="shared" si="194"/>
        <v>629.64018749999957</v>
      </c>
      <c r="I228" s="401">
        <f t="shared" si="193"/>
        <v>609.31509374999996</v>
      </c>
      <c r="J228" s="401">
        <f>IF(E228="Cohesive",(( Pile!$H$39- Pile!$G$39)/20)+J227,0)</f>
        <v>0</v>
      </c>
      <c r="K228" s="401">
        <f>IF(E228="Cohesive",( Pile!$G$39+ Pile!$J228)/2,0)</f>
        <v>0</v>
      </c>
      <c r="L228" s="401" t="str">
        <f>IF( Pile!I$39="",0, Pile!I$39)</f>
        <v>0</v>
      </c>
      <c r="M228" s="401" t="str">
        <f>IF( Pile!J$39="",0, Pile!J$39)</f>
        <v>0</v>
      </c>
      <c r="N228" s="401">
        <f>IF(E228="Granular", Pile!$K$39,0)</f>
        <v>0</v>
      </c>
      <c r="O228" s="416">
        <f>IF(AND(E228="Granular",D228&lt;&gt;"Made Ground"), Pile!$L$39,0)</f>
        <v>0</v>
      </c>
      <c r="P228" s="401">
        <f>IF(OR(D228="Low Density Chalk",D228="Medium Density Chalk"), Pile!$M$39,0)</f>
        <v>0.8</v>
      </c>
      <c r="Q228" s="417">
        <f>IF(D228="High Density Chalk", Pile!$N$39,0)</f>
        <v>0</v>
      </c>
      <c r="R228" s="401">
        <f>IF( Pile!O$39="",0, Pile!O$39)</f>
        <v>9000</v>
      </c>
      <c r="S228" s="418">
        <f t="shared" si="195"/>
        <v>487.45207499999998</v>
      </c>
      <c r="T228" s="382">
        <f xml:space="preserve"> Pile!$T$39</f>
        <v>30</v>
      </c>
      <c r="U228" s="382">
        <f t="shared" si="196"/>
        <v>30</v>
      </c>
      <c r="V228" s="382">
        <f t="shared" si="197"/>
        <v>9000</v>
      </c>
      <c r="W228" s="382">
        <f xml:space="preserve"> Pile!$V$39</f>
        <v>1000</v>
      </c>
      <c r="X228" s="382">
        <f t="shared" si="198"/>
        <v>1000</v>
      </c>
      <c r="Y228" s="419">
        <v>450</v>
      </c>
      <c r="Z228" s="430">
        <f>PI()*Y228/1000*( Pile!$C$39- Pile!$C228)</f>
        <v>5.5134951070500344</v>
      </c>
      <c r="AA228" s="382">
        <f t="shared" si="199"/>
        <v>0.15904312808798329</v>
      </c>
      <c r="AB228" s="382">
        <f t="shared" si="226"/>
        <v>165.40485321150103</v>
      </c>
      <c r="AC228" s="382">
        <f>Z228* Pile!$S$39</f>
        <v>165.40485321150103</v>
      </c>
      <c r="AD228" s="382">
        <f t="shared" ref="AD228:AD235" si="232">IF(AC228&gt;0,MIN(AB228:AC228),AB228)</f>
        <v>165.40485321150103</v>
      </c>
      <c r="AE228" s="382">
        <f>IF(AD228&gt;0,+AD228)/ 'Pile Data and Eurocode Factors'!$B$19/ 'Pile Data and Eurocode Factors'!$B$20+AE$215</f>
        <v>3926.3846786973768</v>
      </c>
      <c r="AF228" s="382">
        <f t="shared" si="186"/>
        <v>159.04312808798329</v>
      </c>
      <c r="AG228" s="382">
        <f>AA228* Pile!$U$39</f>
        <v>0</v>
      </c>
      <c r="AH228" s="382">
        <f t="shared" si="200"/>
        <v>159.04312808798329</v>
      </c>
      <c r="AI228" s="382">
        <f>AH228/ 'Pile Data and Eurocode Factors'!$C$19/ 'Pile Data and Eurocode Factors'!$C$20</f>
        <v>66.824843734446773</v>
      </c>
      <c r="AJ228" s="382">
        <f t="shared" si="201"/>
        <v>3993.2095224318236</v>
      </c>
      <c r="AK228" s="382">
        <f>VLOOKUP(Y228, 'Pile Data and Eurocode Factors'!$A$34:$J$39,3, FALSE)</f>
        <v>2366.1761868507956</v>
      </c>
      <c r="AL228" s="403">
        <f t="shared" si="202"/>
        <v>2366.1761868507956</v>
      </c>
      <c r="AM228" s="419">
        <v>600</v>
      </c>
      <c r="AN228" s="430">
        <f>PI()*AM228/1000*( Pile!$C$39- Pile!$C228)</f>
        <v>7.3513268094000459</v>
      </c>
      <c r="AO228" s="382">
        <f t="shared" si="203"/>
        <v>0.28274333882308139</v>
      </c>
      <c r="AP228" s="382">
        <f t="shared" si="227"/>
        <v>220.53980428200137</v>
      </c>
      <c r="AQ228" s="382">
        <f>AN228* Pile!$S$39</f>
        <v>220.53980428200137</v>
      </c>
      <c r="AR228" s="382">
        <f t="shared" ref="AR228:AR235" si="233">IF(AQ228&gt;0,MIN(AP228:AQ228),AP228)</f>
        <v>220.53980428200137</v>
      </c>
      <c r="AS228" s="382">
        <f>IF(AR228&gt;0,+AR228)/ 'Pile Data and Eurocode Factors'!$B$19/ 'Pile Data and Eurocode Factors'!$B$20+AS$215</f>
        <v>5235.1795715965018</v>
      </c>
      <c r="AT228" s="382">
        <f t="shared" si="187"/>
        <v>282.74333882308139</v>
      </c>
      <c r="AU228" s="382">
        <f>AO228* Pile!$U$39</f>
        <v>0</v>
      </c>
      <c r="AV228" s="382">
        <f t="shared" si="204"/>
        <v>282.74333882308139</v>
      </c>
      <c r="AW228" s="382">
        <f>AV228/ 'Pile Data and Eurocode Factors'!$C$19/ 'Pile Data and Eurocode Factors'!$C$20</f>
        <v>118.79972219457203</v>
      </c>
      <c r="AX228" s="382">
        <f t="shared" si="205"/>
        <v>5353.9792937910734</v>
      </c>
      <c r="AY228" s="382">
        <f>VLOOKUP(AM228, 'Pile Data and Eurocode Factors'!$A$34:$J$39,3, FALSE)</f>
        <v>4206.5354432903041</v>
      </c>
      <c r="AZ228" s="403">
        <f t="shared" si="206"/>
        <v>4206.5354432903041</v>
      </c>
      <c r="BA228" s="419">
        <v>750</v>
      </c>
      <c r="BB228" s="430">
        <f>PI()*BA228/1000*( Pile!$C$39- Pile!$C228)</f>
        <v>9.1891585117500583</v>
      </c>
      <c r="BC228" s="382">
        <f t="shared" si="207"/>
        <v>0.44178646691106466</v>
      </c>
      <c r="BD228" s="382">
        <f t="shared" si="228"/>
        <v>275.67475535250173</v>
      </c>
      <c r="BE228" s="382">
        <f>BB228* Pile!$S$39</f>
        <v>275.67475535250173</v>
      </c>
      <c r="BF228" s="382">
        <f t="shared" ref="BF228:BF235" si="234">IF(BE228&gt;0,MIN(BD228:BE228),BD228)</f>
        <v>275.67475535250173</v>
      </c>
      <c r="BG228" s="382">
        <f>IF(BF228&gt;0,+BF228)/ 'Pile Data and Eurocode Factors'!$B$19/ 'Pile Data and Eurocode Factors'!$B$20+BG$215</f>
        <v>6543.9744644956281</v>
      </c>
      <c r="BH228" s="382">
        <f t="shared" si="188"/>
        <v>441.78646691106468</v>
      </c>
      <c r="BI228" s="382">
        <f>BC228* Pile!$U$39</f>
        <v>0</v>
      </c>
      <c r="BJ228" s="382">
        <f t="shared" si="208"/>
        <v>441.78646691106468</v>
      </c>
      <c r="BK228" s="382">
        <f>BJ228/ 'Pile Data and Eurocode Factors'!$C$19/ 'Pile Data and Eurocode Factors'!$C$20</f>
        <v>185.62456592901879</v>
      </c>
      <c r="BL228" s="382">
        <f t="shared" si="209"/>
        <v>6729.599030424647</v>
      </c>
      <c r="BM228" s="382">
        <f>VLOOKUP(BA228, 'Pile Data and Eurocode Factors'!$A$34:$J$39,3, FALSE)</f>
        <v>6572.7116301410997</v>
      </c>
      <c r="BN228" s="403">
        <f t="shared" si="210"/>
        <v>6572.7116301410997</v>
      </c>
      <c r="BO228" s="419">
        <v>900</v>
      </c>
      <c r="BP228" s="430">
        <f>PI()*BO228/1000*( Pile!$C$39- Pile!$C228)</f>
        <v>11.026990214100069</v>
      </c>
      <c r="BQ228" s="382">
        <f t="shared" si="211"/>
        <v>0.63617251235193317</v>
      </c>
      <c r="BR228" s="382">
        <f t="shared" si="229"/>
        <v>330.80970642300207</v>
      </c>
      <c r="BS228" s="382">
        <f>BP228* Pile!$S$39</f>
        <v>330.80970642300207</v>
      </c>
      <c r="BT228" s="382">
        <f t="shared" ref="BT228:BT235" si="235">IF(BS228&gt;0,MIN(BR228:BS228),BR228)</f>
        <v>330.80970642300207</v>
      </c>
      <c r="BU228" s="382">
        <f>IF(BT228&gt;0,+BT228)/ 'Pile Data and Eurocode Factors'!$B$19/ 'Pile Data and Eurocode Factors'!$B$20+BU$215</f>
        <v>7852.7693573947536</v>
      </c>
      <c r="BV228" s="382">
        <f t="shared" si="189"/>
        <v>636.17251235193316</v>
      </c>
      <c r="BW228" s="382">
        <f>BQ228* Pile!$U$39</f>
        <v>0</v>
      </c>
      <c r="BX228" s="382">
        <f t="shared" si="212"/>
        <v>636.17251235193316</v>
      </c>
      <c r="BY228" s="382">
        <f>BX228/ 'Pile Data and Eurocode Factors'!$C$19/ 'Pile Data and Eurocode Factors'!$C$20</f>
        <v>267.29937493778709</v>
      </c>
      <c r="BZ228" s="382">
        <f t="shared" si="213"/>
        <v>8120.068732332541</v>
      </c>
      <c r="CA228" s="382">
        <f>VLOOKUP(BO228, 'Pile Data and Eurocode Factors'!$A$34:$J$39,3, FALSE)</f>
        <v>9464.7047474031824</v>
      </c>
      <c r="CB228" s="403">
        <f t="shared" si="214"/>
        <v>8120.068732332541</v>
      </c>
      <c r="CC228" s="419">
        <v>1050</v>
      </c>
      <c r="CD228" s="430">
        <f>PI()*CC228/1000*( Pile!$C$39- Pile!$C228)</f>
        <v>12.864821916450081</v>
      </c>
      <c r="CE228" s="382">
        <f t="shared" si="215"/>
        <v>0.86590147514568672</v>
      </c>
      <c r="CF228" s="382">
        <f t="shared" si="230"/>
        <v>385.94465749350246</v>
      </c>
      <c r="CG228" s="382">
        <f>CD228* Pile!$S$39</f>
        <v>385.94465749350246</v>
      </c>
      <c r="CH228" s="382">
        <f t="shared" ref="CH228:CH235" si="236">IF(CG228&gt;0,MIN(CF228:CG228),CF228)</f>
        <v>385.94465749350246</v>
      </c>
      <c r="CI228" s="382">
        <f>IF(CH228&gt;0,+CH228)/ 'Pile Data and Eurocode Factors'!$B$19/ 'Pile Data and Eurocode Factors'!$B$20+CI$215</f>
        <v>9161.564250293879</v>
      </c>
      <c r="CJ228" s="382">
        <f t="shared" si="190"/>
        <v>865.90147514568673</v>
      </c>
      <c r="CK228" s="382">
        <f>CE228* Pile!$U$39</f>
        <v>0</v>
      </c>
      <c r="CL228" s="382">
        <f t="shared" si="216"/>
        <v>865.90147514568673</v>
      </c>
      <c r="CM228" s="382">
        <f>CL228/ 'Pile Data and Eurocode Factors'!$C$19/ 'Pile Data and Eurocode Factors'!$C$20</f>
        <v>363.82414922087679</v>
      </c>
      <c r="CN228" s="382">
        <f t="shared" si="217"/>
        <v>9525.3883995147553</v>
      </c>
      <c r="CO228" s="382">
        <f>VLOOKUP(CC228, 'Pile Data and Eurocode Factors'!$A$34:$J$39,3, FALSE)</f>
        <v>12882.514795076555</v>
      </c>
      <c r="CP228" s="403">
        <f t="shared" si="218"/>
        <v>9525.3883995147553</v>
      </c>
      <c r="CQ228" s="419">
        <v>1200</v>
      </c>
      <c r="CR228" s="430">
        <f>PI()*CQ228/1000*( Pile!$C$39- Pile!$C228)</f>
        <v>14.702653618800092</v>
      </c>
      <c r="CS228" s="382">
        <f t="shared" si="219"/>
        <v>1.1309733552923256</v>
      </c>
      <c r="CT228" s="382">
        <f t="shared" si="231"/>
        <v>441.07960856400274</v>
      </c>
      <c r="CU228" s="382">
        <f>CR228* Pile!$S$39</f>
        <v>441.07960856400274</v>
      </c>
      <c r="CV228" s="382">
        <f t="shared" ref="CV228:CV235" si="237">IF(CU228&gt;0,MIN(CT228:CU228),CT228)</f>
        <v>441.07960856400274</v>
      </c>
      <c r="CW228" s="382">
        <f>IF(CV228&gt;0,+CV228)/ 'Pile Data and Eurocode Factors'!$B$19/ 'Pile Data and Eurocode Factors'!$B$20+CW$215</f>
        <v>10470.359143193004</v>
      </c>
      <c r="CX228" s="382">
        <f t="shared" si="191"/>
        <v>1130.9733552923256</v>
      </c>
      <c r="CY228" s="382">
        <f>CS228* Pile!$U$39</f>
        <v>0</v>
      </c>
      <c r="CZ228" s="382">
        <f t="shared" si="220"/>
        <v>1130.9733552923256</v>
      </c>
      <c r="DA228" s="382">
        <f>CZ228/ 'Pile Data and Eurocode Factors'!$C$19/ 'Pile Data and Eurocode Factors'!$C$20</f>
        <v>475.19888877828811</v>
      </c>
      <c r="DB228" s="382">
        <f t="shared" si="221"/>
        <v>10945.558031971292</v>
      </c>
      <c r="DC228" s="382">
        <f>VLOOKUP(CQ228, 'Pile Data and Eurocode Factors'!$A$34:$J$39,3, FALSE)</f>
        <v>16826.141773161216</v>
      </c>
      <c r="DD228" s="403">
        <f t="shared" si="222"/>
        <v>10945.558031971292</v>
      </c>
      <c r="DE228" s="420">
        <f xml:space="preserve"> Pile!$C$23- Pile!C228</f>
        <v>45.899999999999963</v>
      </c>
      <c r="DG228" s="382">
        <f t="shared" si="223"/>
        <v>2366.1761868507956</v>
      </c>
      <c r="DH228" s="382">
        <f t="shared" si="224"/>
        <v>4206.5354432903041</v>
      </c>
      <c r="DI228" s="382">
        <f t="shared" si="225"/>
        <v>6572.7116301410997</v>
      </c>
      <c r="DJ228" s="382"/>
      <c r="DK228" s="382"/>
      <c r="DL228" s="382"/>
    </row>
    <row r="229" spans="1:116" s="308" customFormat="1" ht="15">
      <c r="B229" s="400">
        <v>14</v>
      </c>
      <c r="C229" s="401">
        <f>+C228- Pile!D$39/20</f>
        <v>-40.19999999999996</v>
      </c>
      <c r="D229" s="415" t="str">
        <f>B26</f>
        <v>Medium Density Chalk</v>
      </c>
      <c r="E229" s="415" t="str">
        <f>F26</f>
        <v>Chalk</v>
      </c>
      <c r="F229" s="401">
        <f xml:space="preserve"> Pile!$E$39*(+C228-C229)+F228</f>
        <v>879.97912499999916</v>
      </c>
      <c r="G229" s="401">
        <f>IF(C229&gt; Pile!$C$41,0,( Pile!$C$41-C229)*9.81)</f>
        <v>247.21199999999962</v>
      </c>
      <c r="H229" s="401">
        <f t="shared" si="194"/>
        <v>632.76712499999951</v>
      </c>
      <c r="I229" s="401">
        <f t="shared" si="193"/>
        <v>610.87856249999982</v>
      </c>
      <c r="J229" s="401">
        <f>IF(E229="Cohesive",(( Pile!$H$39- Pile!$G$39)/20)+J228,0)</f>
        <v>0</v>
      </c>
      <c r="K229" s="401">
        <f>IF(E229="Cohesive",( Pile!$G$39+ Pile!$J229)/2,0)</f>
        <v>0</v>
      </c>
      <c r="L229" s="401" t="str">
        <f>IF( Pile!I$39="",0, Pile!I$39)</f>
        <v>0</v>
      </c>
      <c r="M229" s="401" t="str">
        <f>IF( Pile!J$39="",0, Pile!J$39)</f>
        <v>0</v>
      </c>
      <c r="N229" s="401">
        <f>IF(E229="Granular", Pile!$K$39,0)</f>
        <v>0</v>
      </c>
      <c r="O229" s="416">
        <f>IF(AND(E229="Granular",D229&lt;&gt;"Made Ground"), Pile!$L$39,0)</f>
        <v>0</v>
      </c>
      <c r="P229" s="401">
        <f>IF(OR(D229="Low Density Chalk",D229="Medium Density Chalk"), Pile!$M$39,0)</f>
        <v>0.8</v>
      </c>
      <c r="Q229" s="417">
        <f>IF(D229="High Density Chalk", Pile!$N$39,0)</f>
        <v>0</v>
      </c>
      <c r="R229" s="401">
        <f>IF( Pile!O$39="",0, Pile!O$39)</f>
        <v>9000</v>
      </c>
      <c r="S229" s="418">
        <f t="shared" si="195"/>
        <v>488.7028499999999</v>
      </c>
      <c r="T229" s="382">
        <f xml:space="preserve"> Pile!$T$39</f>
        <v>30</v>
      </c>
      <c r="U229" s="382">
        <f t="shared" si="196"/>
        <v>30</v>
      </c>
      <c r="V229" s="382">
        <f t="shared" si="197"/>
        <v>9000</v>
      </c>
      <c r="W229" s="382">
        <f xml:space="preserve"> Pile!$V$39</f>
        <v>1000</v>
      </c>
      <c r="X229" s="382">
        <f t="shared" si="198"/>
        <v>1000</v>
      </c>
      <c r="Y229" s="419">
        <v>450</v>
      </c>
      <c r="Z229" s="430">
        <f>PI()*Y229/1000*( Pile!$C$39- Pile!$C229)</f>
        <v>5.9376101152846523</v>
      </c>
      <c r="AA229" s="382">
        <f t="shared" si="199"/>
        <v>0.15904312808798329</v>
      </c>
      <c r="AB229" s="382">
        <f t="shared" si="226"/>
        <v>178.12830345853956</v>
      </c>
      <c r="AC229" s="382">
        <f>Z229* Pile!$S$39</f>
        <v>178.12830345853956</v>
      </c>
      <c r="AD229" s="382">
        <f t="shared" si="232"/>
        <v>178.12830345853956</v>
      </c>
      <c r="AE229" s="382">
        <f>IF(AD229&gt;0,+AD229)/ 'Pile Data and Eurocode Factors'!$B$19/ 'Pile Data and Eurocode Factors'!$B$20+AE$215</f>
        <v>3932.4434645292999</v>
      </c>
      <c r="AF229" s="382">
        <f t="shared" si="186"/>
        <v>159.04312808798329</v>
      </c>
      <c r="AG229" s="382">
        <f>AA229* Pile!$U$39</f>
        <v>0</v>
      </c>
      <c r="AH229" s="382">
        <f t="shared" si="200"/>
        <v>159.04312808798329</v>
      </c>
      <c r="AI229" s="382">
        <f>AH229/ 'Pile Data and Eurocode Factors'!$C$19/ 'Pile Data and Eurocode Factors'!$C$20</f>
        <v>66.824843734446773</v>
      </c>
      <c r="AJ229" s="382">
        <f t="shared" si="201"/>
        <v>3999.2683082637468</v>
      </c>
      <c r="AK229" s="382">
        <f>VLOOKUP(Y229, 'Pile Data and Eurocode Factors'!$A$34:$J$39,3, FALSE)</f>
        <v>2366.1761868507956</v>
      </c>
      <c r="AL229" s="403">
        <f t="shared" si="202"/>
        <v>2366.1761868507956</v>
      </c>
      <c r="AM229" s="419">
        <v>600</v>
      </c>
      <c r="AN229" s="430">
        <f>PI()*AM229/1000*( Pile!$C$39- Pile!$C229)</f>
        <v>7.9168134870462037</v>
      </c>
      <c r="AO229" s="382">
        <f t="shared" si="203"/>
        <v>0.28274333882308139</v>
      </c>
      <c r="AP229" s="382">
        <f t="shared" si="227"/>
        <v>237.50440461138612</v>
      </c>
      <c r="AQ229" s="382">
        <f>AN229* Pile!$S$39</f>
        <v>237.50440461138612</v>
      </c>
      <c r="AR229" s="382">
        <f t="shared" si="233"/>
        <v>237.50440461138612</v>
      </c>
      <c r="AS229" s="382">
        <f>IF(AR229&gt;0,+AR229)/ 'Pile Data and Eurocode Factors'!$B$19/ 'Pile Data and Eurocode Factors'!$B$20+AS$215</f>
        <v>5243.2579527057333</v>
      </c>
      <c r="AT229" s="382">
        <f t="shared" si="187"/>
        <v>282.74333882308139</v>
      </c>
      <c r="AU229" s="382">
        <f>AO229* Pile!$U$39</f>
        <v>0</v>
      </c>
      <c r="AV229" s="382">
        <f t="shared" si="204"/>
        <v>282.74333882308139</v>
      </c>
      <c r="AW229" s="382">
        <f>AV229/ 'Pile Data and Eurocode Factors'!$C$19/ 'Pile Data and Eurocode Factors'!$C$20</f>
        <v>118.79972219457203</v>
      </c>
      <c r="AX229" s="382">
        <f t="shared" si="205"/>
        <v>5362.0576749003048</v>
      </c>
      <c r="AY229" s="382">
        <f>VLOOKUP(AM229, 'Pile Data and Eurocode Factors'!$A$34:$J$39,3, FALSE)</f>
        <v>4206.5354432903041</v>
      </c>
      <c r="AZ229" s="403">
        <f t="shared" si="206"/>
        <v>4206.5354432903041</v>
      </c>
      <c r="BA229" s="419">
        <v>750</v>
      </c>
      <c r="BB229" s="430">
        <f>PI()*BA229/1000*( Pile!$C$39- Pile!$C229)</f>
        <v>9.8960168588077551</v>
      </c>
      <c r="BC229" s="382">
        <f t="shared" si="207"/>
        <v>0.44178646691106466</v>
      </c>
      <c r="BD229" s="382">
        <f t="shared" si="228"/>
        <v>296.88050576423268</v>
      </c>
      <c r="BE229" s="382">
        <f>BB229* Pile!$S$39</f>
        <v>296.88050576423268</v>
      </c>
      <c r="BF229" s="382">
        <f t="shared" si="234"/>
        <v>296.88050576423268</v>
      </c>
      <c r="BG229" s="382">
        <f>IF(BF229&gt;0,+BF229)/ 'Pile Data and Eurocode Factors'!$B$19/ 'Pile Data and Eurocode Factors'!$B$20+BG$215</f>
        <v>6554.0724408821661</v>
      </c>
      <c r="BH229" s="382">
        <f t="shared" si="188"/>
        <v>441.78646691106468</v>
      </c>
      <c r="BI229" s="382">
        <f>BC229* Pile!$U$39</f>
        <v>0</v>
      </c>
      <c r="BJ229" s="382">
        <f t="shared" si="208"/>
        <v>441.78646691106468</v>
      </c>
      <c r="BK229" s="382">
        <f>BJ229/ 'Pile Data and Eurocode Factors'!$C$19/ 'Pile Data and Eurocode Factors'!$C$20</f>
        <v>185.62456592901879</v>
      </c>
      <c r="BL229" s="382">
        <f t="shared" si="209"/>
        <v>6739.697006811185</v>
      </c>
      <c r="BM229" s="382">
        <f>VLOOKUP(BA229, 'Pile Data and Eurocode Factors'!$A$34:$J$39,3, FALSE)</f>
        <v>6572.7116301410997</v>
      </c>
      <c r="BN229" s="403">
        <f t="shared" si="210"/>
        <v>6572.7116301410997</v>
      </c>
      <c r="BO229" s="419">
        <v>900</v>
      </c>
      <c r="BP229" s="430">
        <f>PI()*BO229/1000*( Pile!$C$39- Pile!$C229)</f>
        <v>11.875220230569305</v>
      </c>
      <c r="BQ229" s="382">
        <f t="shared" si="211"/>
        <v>0.63617251235193317</v>
      </c>
      <c r="BR229" s="382">
        <f t="shared" si="229"/>
        <v>356.25660691707913</v>
      </c>
      <c r="BS229" s="382">
        <f>BP229* Pile!$S$39</f>
        <v>356.25660691707913</v>
      </c>
      <c r="BT229" s="382">
        <f t="shared" si="235"/>
        <v>356.25660691707913</v>
      </c>
      <c r="BU229" s="382">
        <f>IF(BT229&gt;0,+BT229)/ 'Pile Data and Eurocode Factors'!$B$19/ 'Pile Data and Eurocode Factors'!$B$20+BU$215</f>
        <v>7864.8869290585999</v>
      </c>
      <c r="BV229" s="382">
        <f t="shared" si="189"/>
        <v>636.17251235193316</v>
      </c>
      <c r="BW229" s="382">
        <f>BQ229* Pile!$U$39</f>
        <v>0</v>
      </c>
      <c r="BX229" s="382">
        <f t="shared" si="212"/>
        <v>636.17251235193316</v>
      </c>
      <c r="BY229" s="382">
        <f>BX229/ 'Pile Data and Eurocode Factors'!$C$19/ 'Pile Data and Eurocode Factors'!$C$20</f>
        <v>267.29937493778709</v>
      </c>
      <c r="BZ229" s="382">
        <f t="shared" si="213"/>
        <v>8132.1863039963873</v>
      </c>
      <c r="CA229" s="382">
        <f>VLOOKUP(BO229, 'Pile Data and Eurocode Factors'!$A$34:$J$39,3, FALSE)</f>
        <v>9464.7047474031824</v>
      </c>
      <c r="CB229" s="403">
        <f t="shared" si="214"/>
        <v>8132.1863039963873</v>
      </c>
      <c r="CC229" s="419">
        <v>1050</v>
      </c>
      <c r="CD229" s="430">
        <f>PI()*CC229/1000*( Pile!$C$39- Pile!$C229)</f>
        <v>13.854423602330856</v>
      </c>
      <c r="CE229" s="382">
        <f t="shared" si="215"/>
        <v>0.86590147514568672</v>
      </c>
      <c r="CF229" s="382">
        <f t="shared" si="230"/>
        <v>415.63270806992568</v>
      </c>
      <c r="CG229" s="382">
        <f>CD229* Pile!$S$39</f>
        <v>415.63270806992568</v>
      </c>
      <c r="CH229" s="382">
        <f t="shared" si="236"/>
        <v>415.63270806992568</v>
      </c>
      <c r="CI229" s="382">
        <f>IF(CH229&gt;0,+CH229)/ 'Pile Data and Eurocode Factors'!$B$19/ 'Pile Data and Eurocode Factors'!$B$20+CI$215</f>
        <v>9175.7014172350337</v>
      </c>
      <c r="CJ229" s="382">
        <f t="shared" si="190"/>
        <v>865.90147514568673</v>
      </c>
      <c r="CK229" s="382">
        <f>CE229* Pile!$U$39</f>
        <v>0</v>
      </c>
      <c r="CL229" s="382">
        <f t="shared" si="216"/>
        <v>865.90147514568673</v>
      </c>
      <c r="CM229" s="382">
        <f>CL229/ 'Pile Data and Eurocode Factors'!$C$19/ 'Pile Data and Eurocode Factors'!$C$20</f>
        <v>363.82414922087679</v>
      </c>
      <c r="CN229" s="382">
        <f t="shared" si="217"/>
        <v>9539.5255664559099</v>
      </c>
      <c r="CO229" s="382">
        <f>VLOOKUP(CC229, 'Pile Data and Eurocode Factors'!$A$34:$J$39,3, FALSE)</f>
        <v>12882.514795076555</v>
      </c>
      <c r="CP229" s="403">
        <f t="shared" si="218"/>
        <v>9539.5255664559099</v>
      </c>
      <c r="CQ229" s="419">
        <v>1200</v>
      </c>
      <c r="CR229" s="430">
        <f>PI()*CQ229/1000*( Pile!$C$39- Pile!$C229)</f>
        <v>15.833626974092407</v>
      </c>
      <c r="CS229" s="382">
        <f t="shared" si="219"/>
        <v>1.1309733552923256</v>
      </c>
      <c r="CT229" s="382">
        <f t="shared" si="231"/>
        <v>475.00880922277224</v>
      </c>
      <c r="CU229" s="382">
        <f>CR229* Pile!$S$39</f>
        <v>475.00880922277224</v>
      </c>
      <c r="CV229" s="382">
        <f t="shared" si="237"/>
        <v>475.00880922277224</v>
      </c>
      <c r="CW229" s="382">
        <f>IF(CV229&gt;0,+CV229)/ 'Pile Data and Eurocode Factors'!$B$19/ 'Pile Data and Eurocode Factors'!$B$20+CW$215</f>
        <v>10486.515905411467</v>
      </c>
      <c r="CX229" s="382">
        <f t="shared" si="191"/>
        <v>1130.9733552923256</v>
      </c>
      <c r="CY229" s="382">
        <f>CS229* Pile!$U$39</f>
        <v>0</v>
      </c>
      <c r="CZ229" s="382">
        <f t="shared" si="220"/>
        <v>1130.9733552923256</v>
      </c>
      <c r="DA229" s="382">
        <f>CZ229/ 'Pile Data and Eurocode Factors'!$C$19/ 'Pile Data and Eurocode Factors'!$C$20</f>
        <v>475.19888877828811</v>
      </c>
      <c r="DB229" s="382">
        <f t="shared" si="221"/>
        <v>10961.714794189755</v>
      </c>
      <c r="DC229" s="382">
        <f>VLOOKUP(CQ229, 'Pile Data and Eurocode Factors'!$A$34:$J$39,3, FALSE)</f>
        <v>16826.141773161216</v>
      </c>
      <c r="DD229" s="403">
        <f t="shared" si="222"/>
        <v>10961.714794189755</v>
      </c>
      <c r="DE229" s="420">
        <f xml:space="preserve"> Pile!$C$23- Pile!C229</f>
        <v>46.19999999999996</v>
      </c>
      <c r="DG229" s="382">
        <f t="shared" si="223"/>
        <v>2366.1761868507956</v>
      </c>
      <c r="DH229" s="382">
        <f t="shared" si="224"/>
        <v>4206.5354432903041</v>
      </c>
      <c r="DI229" s="382">
        <f t="shared" si="225"/>
        <v>6572.7116301410997</v>
      </c>
      <c r="DJ229" s="382"/>
      <c r="DK229" s="382"/>
      <c r="DL229" s="382"/>
    </row>
    <row r="230" spans="1:116" s="308" customFormat="1" ht="15">
      <c r="B230" s="400">
        <v>15</v>
      </c>
      <c r="C230" s="401">
        <f>+C229- Pile!D$39/20</f>
        <v>-40.499999999999957</v>
      </c>
      <c r="D230" s="415" t="str">
        <f>B26</f>
        <v>Medium Density Chalk</v>
      </c>
      <c r="E230" s="415" t="str">
        <f>F26</f>
        <v>Chalk</v>
      </c>
      <c r="F230" s="401">
        <f xml:space="preserve"> Pile!$E$39*(+C229-C230)+F229</f>
        <v>886.04906249999908</v>
      </c>
      <c r="G230" s="401">
        <f>IF(C230&gt; Pile!$C$41,0,( Pile!$C$41-C230)*9.81)</f>
        <v>250.1549999999996</v>
      </c>
      <c r="H230" s="401">
        <f t="shared" si="194"/>
        <v>635.89406249999945</v>
      </c>
      <c r="I230" s="401">
        <f t="shared" si="193"/>
        <v>612.4420312499999</v>
      </c>
      <c r="J230" s="401">
        <f>IF(E230="Cohesive",(( Pile!$H$39- Pile!$G$39)/20)+J229,0)</f>
        <v>0</v>
      </c>
      <c r="K230" s="401">
        <f>IF(E230="Cohesive",( Pile!$G$39+ Pile!$J230)/2,0)</f>
        <v>0</v>
      </c>
      <c r="L230" s="401" t="str">
        <f>IF( Pile!I$39="",0, Pile!I$39)</f>
        <v>0</v>
      </c>
      <c r="M230" s="401" t="str">
        <f>IF( Pile!J$39="",0, Pile!J$39)</f>
        <v>0</v>
      </c>
      <c r="N230" s="401">
        <f>IF(E230="Granular", Pile!$K$39,0)</f>
        <v>0</v>
      </c>
      <c r="O230" s="416">
        <f>IF(AND(E230="Granular",D230&lt;&gt;"Made Ground"), Pile!$L$39,0)</f>
        <v>0</v>
      </c>
      <c r="P230" s="401">
        <f>IF(OR(D230="Low Density Chalk",D230="Medium Density Chalk"), Pile!$M$39,0)</f>
        <v>0.8</v>
      </c>
      <c r="Q230" s="417">
        <f>IF(D230="High Density Chalk", Pile!$N$39,0)</f>
        <v>0</v>
      </c>
      <c r="R230" s="401">
        <f>IF( Pile!O$39="",0, Pile!O$39)</f>
        <v>9000</v>
      </c>
      <c r="S230" s="418">
        <f t="shared" si="195"/>
        <v>489.95362499999993</v>
      </c>
      <c r="T230" s="382">
        <f xml:space="preserve"> Pile!$T$39</f>
        <v>30</v>
      </c>
      <c r="U230" s="382">
        <f t="shared" si="196"/>
        <v>30</v>
      </c>
      <c r="V230" s="382">
        <f t="shared" si="197"/>
        <v>9000</v>
      </c>
      <c r="W230" s="382">
        <f xml:space="preserve"> Pile!$V$39</f>
        <v>1000</v>
      </c>
      <c r="X230" s="382">
        <f t="shared" si="198"/>
        <v>1000</v>
      </c>
      <c r="Y230" s="419">
        <v>450</v>
      </c>
      <c r="Z230" s="430">
        <f>PI()*Y230/1000*( Pile!$C$39- Pile!$C230)</f>
        <v>6.3617251235192711</v>
      </c>
      <c r="AA230" s="382">
        <f t="shared" si="199"/>
        <v>0.15904312808798329</v>
      </c>
      <c r="AB230" s="382">
        <f t="shared" si="226"/>
        <v>190.85175370557812</v>
      </c>
      <c r="AC230" s="382">
        <f>Z230* Pile!$S$39</f>
        <v>190.85175370557812</v>
      </c>
      <c r="AD230" s="382">
        <f t="shared" si="232"/>
        <v>190.85175370557812</v>
      </c>
      <c r="AE230" s="382">
        <f>IF(AD230&gt;0,+AD230)/ 'Pile Data and Eurocode Factors'!$B$19/ 'Pile Data and Eurocode Factors'!$B$20+AE$215</f>
        <v>3938.5022503612231</v>
      </c>
      <c r="AF230" s="382">
        <f t="shared" si="186"/>
        <v>159.04312808798329</v>
      </c>
      <c r="AG230" s="382">
        <f>AA230* Pile!$U$39</f>
        <v>0</v>
      </c>
      <c r="AH230" s="382">
        <f t="shared" si="200"/>
        <v>159.04312808798329</v>
      </c>
      <c r="AI230" s="382">
        <f>AH230/ 'Pile Data and Eurocode Factors'!$C$19/ 'Pile Data and Eurocode Factors'!$C$20</f>
        <v>66.824843734446773</v>
      </c>
      <c r="AJ230" s="382">
        <f t="shared" si="201"/>
        <v>4005.32709409567</v>
      </c>
      <c r="AK230" s="382">
        <f>VLOOKUP(Y230, 'Pile Data and Eurocode Factors'!$A$34:$J$39,3, FALSE)</f>
        <v>2366.1761868507956</v>
      </c>
      <c r="AL230" s="403">
        <f t="shared" si="202"/>
        <v>2366.1761868507956</v>
      </c>
      <c r="AM230" s="419">
        <v>600</v>
      </c>
      <c r="AN230" s="430">
        <f>PI()*AM230/1000*( Pile!$C$39- Pile!$C230)</f>
        <v>8.4823001646923615</v>
      </c>
      <c r="AO230" s="382">
        <f t="shared" si="203"/>
        <v>0.28274333882308139</v>
      </c>
      <c r="AP230" s="382">
        <f t="shared" si="227"/>
        <v>254.46900494077084</v>
      </c>
      <c r="AQ230" s="382">
        <f>AN230* Pile!$S$39</f>
        <v>254.46900494077084</v>
      </c>
      <c r="AR230" s="382">
        <f t="shared" si="233"/>
        <v>254.46900494077084</v>
      </c>
      <c r="AS230" s="382">
        <f>IF(AR230&gt;0,+AR230)/ 'Pile Data and Eurocode Factors'!$B$19/ 'Pile Data and Eurocode Factors'!$B$20+AS$215</f>
        <v>5251.3363338149638</v>
      </c>
      <c r="AT230" s="382">
        <f t="shared" si="187"/>
        <v>282.74333882308139</v>
      </c>
      <c r="AU230" s="382">
        <f>AO230* Pile!$U$39</f>
        <v>0</v>
      </c>
      <c r="AV230" s="382">
        <f t="shared" si="204"/>
        <v>282.74333882308139</v>
      </c>
      <c r="AW230" s="382">
        <f>AV230/ 'Pile Data and Eurocode Factors'!$C$19/ 'Pile Data and Eurocode Factors'!$C$20</f>
        <v>118.79972219457203</v>
      </c>
      <c r="AX230" s="382">
        <f t="shared" si="205"/>
        <v>5370.1360560095354</v>
      </c>
      <c r="AY230" s="382">
        <f>VLOOKUP(AM230, 'Pile Data and Eurocode Factors'!$A$34:$J$39,3, FALSE)</f>
        <v>4206.5354432903041</v>
      </c>
      <c r="AZ230" s="403">
        <f t="shared" si="206"/>
        <v>4206.5354432903041</v>
      </c>
      <c r="BA230" s="419">
        <v>750</v>
      </c>
      <c r="BB230" s="430">
        <f>PI()*BA230/1000*( Pile!$C$39- Pile!$C230)</f>
        <v>10.602875205865452</v>
      </c>
      <c r="BC230" s="382">
        <f t="shared" si="207"/>
        <v>0.44178646691106466</v>
      </c>
      <c r="BD230" s="382">
        <f t="shared" si="228"/>
        <v>318.08625617596357</v>
      </c>
      <c r="BE230" s="382">
        <f>BB230* Pile!$S$39</f>
        <v>318.08625617596357</v>
      </c>
      <c r="BF230" s="382">
        <f t="shared" si="234"/>
        <v>318.08625617596357</v>
      </c>
      <c r="BG230" s="382">
        <f>IF(BF230&gt;0,+BF230)/ 'Pile Data and Eurocode Factors'!$B$19/ 'Pile Data and Eurocode Factors'!$B$20+BG$215</f>
        <v>6564.170417268705</v>
      </c>
      <c r="BH230" s="382">
        <f t="shared" si="188"/>
        <v>441.78646691106468</v>
      </c>
      <c r="BI230" s="382">
        <f>BC230* Pile!$U$39</f>
        <v>0</v>
      </c>
      <c r="BJ230" s="382">
        <f t="shared" si="208"/>
        <v>441.78646691106468</v>
      </c>
      <c r="BK230" s="382">
        <f>BJ230/ 'Pile Data and Eurocode Factors'!$C$19/ 'Pile Data and Eurocode Factors'!$C$20</f>
        <v>185.62456592901879</v>
      </c>
      <c r="BL230" s="382">
        <f t="shared" si="209"/>
        <v>6749.7949831977239</v>
      </c>
      <c r="BM230" s="382">
        <f>VLOOKUP(BA230, 'Pile Data and Eurocode Factors'!$A$34:$J$39,3, FALSE)</f>
        <v>6572.7116301410997</v>
      </c>
      <c r="BN230" s="403">
        <f t="shared" si="210"/>
        <v>6572.7116301410997</v>
      </c>
      <c r="BO230" s="419">
        <v>900</v>
      </c>
      <c r="BP230" s="430">
        <f>PI()*BO230/1000*( Pile!$C$39- Pile!$C230)</f>
        <v>12.723450247038542</v>
      </c>
      <c r="BQ230" s="382">
        <f t="shared" si="211"/>
        <v>0.63617251235193317</v>
      </c>
      <c r="BR230" s="382">
        <f t="shared" si="229"/>
        <v>381.70350741115624</v>
      </c>
      <c r="BS230" s="382">
        <f>BP230* Pile!$S$39</f>
        <v>381.70350741115624</v>
      </c>
      <c r="BT230" s="382">
        <f t="shared" si="235"/>
        <v>381.70350741115624</v>
      </c>
      <c r="BU230" s="382">
        <f>IF(BT230&gt;0,+BT230)/ 'Pile Data and Eurocode Factors'!$B$19/ 'Pile Data and Eurocode Factors'!$B$20+BU$215</f>
        <v>7877.0045007224462</v>
      </c>
      <c r="BV230" s="382">
        <f t="shared" si="189"/>
        <v>636.17251235193316</v>
      </c>
      <c r="BW230" s="382">
        <f>BQ230* Pile!$U$39</f>
        <v>0</v>
      </c>
      <c r="BX230" s="382">
        <f t="shared" si="212"/>
        <v>636.17251235193316</v>
      </c>
      <c r="BY230" s="382">
        <f>BX230/ 'Pile Data and Eurocode Factors'!$C$19/ 'Pile Data and Eurocode Factors'!$C$20</f>
        <v>267.29937493778709</v>
      </c>
      <c r="BZ230" s="382">
        <f t="shared" si="213"/>
        <v>8144.3038756602336</v>
      </c>
      <c r="CA230" s="382">
        <f>VLOOKUP(BO230, 'Pile Data and Eurocode Factors'!$A$34:$J$39,3, FALSE)</f>
        <v>9464.7047474031824</v>
      </c>
      <c r="CB230" s="403">
        <f t="shared" si="214"/>
        <v>8144.3038756602336</v>
      </c>
      <c r="CC230" s="419">
        <v>1050</v>
      </c>
      <c r="CD230" s="430">
        <f>PI()*CC230/1000*( Pile!$C$39- Pile!$C230)</f>
        <v>14.844025288211633</v>
      </c>
      <c r="CE230" s="382">
        <f t="shared" si="215"/>
        <v>0.86590147514568672</v>
      </c>
      <c r="CF230" s="382">
        <f t="shared" si="230"/>
        <v>445.32075864634896</v>
      </c>
      <c r="CG230" s="382">
        <f>CD230* Pile!$S$39</f>
        <v>445.32075864634896</v>
      </c>
      <c r="CH230" s="382">
        <f t="shared" si="236"/>
        <v>445.32075864634896</v>
      </c>
      <c r="CI230" s="382">
        <f>IF(CH230&gt;0,+CH230)/ 'Pile Data and Eurocode Factors'!$B$19/ 'Pile Data and Eurocode Factors'!$B$20+CI$215</f>
        <v>9189.8385841761865</v>
      </c>
      <c r="CJ230" s="382">
        <f t="shared" si="190"/>
        <v>865.90147514568673</v>
      </c>
      <c r="CK230" s="382">
        <f>CE230* Pile!$U$39</f>
        <v>0</v>
      </c>
      <c r="CL230" s="382">
        <f t="shared" si="216"/>
        <v>865.90147514568673</v>
      </c>
      <c r="CM230" s="382">
        <f>CL230/ 'Pile Data and Eurocode Factors'!$C$19/ 'Pile Data and Eurocode Factors'!$C$20</f>
        <v>363.82414922087679</v>
      </c>
      <c r="CN230" s="382">
        <f t="shared" si="217"/>
        <v>9553.6627333970628</v>
      </c>
      <c r="CO230" s="382">
        <f>VLOOKUP(CC230, 'Pile Data and Eurocode Factors'!$A$34:$J$39,3, FALSE)</f>
        <v>12882.514795076555</v>
      </c>
      <c r="CP230" s="403">
        <f t="shared" si="218"/>
        <v>9553.6627333970628</v>
      </c>
      <c r="CQ230" s="419">
        <v>1200</v>
      </c>
      <c r="CR230" s="430">
        <f>PI()*CQ230/1000*( Pile!$C$39- Pile!$C230)</f>
        <v>16.964600329384723</v>
      </c>
      <c r="CS230" s="382">
        <f t="shared" si="219"/>
        <v>1.1309733552923256</v>
      </c>
      <c r="CT230" s="382">
        <f t="shared" si="231"/>
        <v>508.93800988154169</v>
      </c>
      <c r="CU230" s="382">
        <f>CR230* Pile!$S$39</f>
        <v>508.93800988154169</v>
      </c>
      <c r="CV230" s="382">
        <f t="shared" si="237"/>
        <v>508.93800988154169</v>
      </c>
      <c r="CW230" s="382">
        <f>IF(CV230&gt;0,+CV230)/ 'Pile Data and Eurocode Factors'!$B$19/ 'Pile Data and Eurocode Factors'!$B$20+CW$215</f>
        <v>10502.672667629928</v>
      </c>
      <c r="CX230" s="382">
        <f t="shared" si="191"/>
        <v>1130.9733552923256</v>
      </c>
      <c r="CY230" s="382">
        <f>CS230* Pile!$U$39</f>
        <v>0</v>
      </c>
      <c r="CZ230" s="382">
        <f t="shared" si="220"/>
        <v>1130.9733552923256</v>
      </c>
      <c r="DA230" s="382">
        <f>CZ230/ 'Pile Data and Eurocode Factors'!$C$19/ 'Pile Data and Eurocode Factors'!$C$20</f>
        <v>475.19888877828811</v>
      </c>
      <c r="DB230" s="382">
        <f t="shared" si="221"/>
        <v>10977.871556408216</v>
      </c>
      <c r="DC230" s="382">
        <f>VLOOKUP(CQ230, 'Pile Data and Eurocode Factors'!$A$34:$J$39,3, FALSE)</f>
        <v>16826.141773161216</v>
      </c>
      <c r="DD230" s="403">
        <f t="shared" si="222"/>
        <v>10977.871556408216</v>
      </c>
      <c r="DE230" s="420">
        <f xml:space="preserve"> Pile!$C$23- Pile!C230</f>
        <v>46.499999999999957</v>
      </c>
      <c r="DG230" s="382">
        <f t="shared" si="223"/>
        <v>2366.1761868507956</v>
      </c>
      <c r="DH230" s="382">
        <f t="shared" si="224"/>
        <v>4206.5354432903041</v>
      </c>
      <c r="DI230" s="382">
        <f t="shared" si="225"/>
        <v>6572.7116301410997</v>
      </c>
      <c r="DJ230" s="382"/>
      <c r="DK230" s="382"/>
      <c r="DL230" s="382"/>
    </row>
    <row r="231" spans="1:116" s="308" customFormat="1" ht="15">
      <c r="B231" s="400">
        <v>16</v>
      </c>
      <c r="C231" s="401">
        <f>+C230- Pile!D$39/20</f>
        <v>-40.799999999999955</v>
      </c>
      <c r="D231" s="415" t="str">
        <f>B26</f>
        <v>Medium Density Chalk</v>
      </c>
      <c r="E231" s="415" t="str">
        <f>F26</f>
        <v>Chalk</v>
      </c>
      <c r="F231" s="401">
        <f xml:space="preserve"> Pile!$E$39*(+C230-C231)+F230</f>
        <v>892.11899999999901</v>
      </c>
      <c r="G231" s="401">
        <f>IF(C231&gt; Pile!$C$41,0,( Pile!$C$41-C231)*9.81)</f>
        <v>253.09799999999956</v>
      </c>
      <c r="H231" s="401">
        <f t="shared" si="194"/>
        <v>639.0209999999995</v>
      </c>
      <c r="I231" s="401">
        <f t="shared" si="193"/>
        <v>614.00549999999987</v>
      </c>
      <c r="J231" s="401">
        <f>IF(E231="Cohesive",(( Pile!$H$39- Pile!$G$39)/20)+J230,0)</f>
        <v>0</v>
      </c>
      <c r="K231" s="401">
        <f>IF(E231="Cohesive",( Pile!$G$39+ Pile!$J231)/2,0)</f>
        <v>0</v>
      </c>
      <c r="L231" s="401" t="str">
        <f>IF( Pile!I$39="",0, Pile!I$39)</f>
        <v>0</v>
      </c>
      <c r="M231" s="401" t="str">
        <f>IF( Pile!J$39="",0, Pile!J$39)</f>
        <v>0</v>
      </c>
      <c r="N231" s="401">
        <f>IF(E231="Granular", Pile!$K$39,0)</f>
        <v>0</v>
      </c>
      <c r="O231" s="416">
        <f>IF(AND(E231="Granular",D231&lt;&gt;"Made Ground"), Pile!$L$39,0)</f>
        <v>0</v>
      </c>
      <c r="P231" s="401">
        <f>IF(OR(D231="Low Density Chalk",D231="Medium Density Chalk"), Pile!$M$39,0)</f>
        <v>0.8</v>
      </c>
      <c r="Q231" s="417">
        <f>IF(D231="High Density Chalk", Pile!$N$39,0)</f>
        <v>0</v>
      </c>
      <c r="R231" s="401">
        <f>IF( Pile!O$39="",0, Pile!O$39)</f>
        <v>9000</v>
      </c>
      <c r="S231" s="418">
        <f t="shared" si="195"/>
        <v>491.20439999999991</v>
      </c>
      <c r="T231" s="382">
        <f xml:space="preserve"> Pile!$T$39</f>
        <v>30</v>
      </c>
      <c r="U231" s="382">
        <f t="shared" si="196"/>
        <v>30</v>
      </c>
      <c r="V231" s="382">
        <f t="shared" si="197"/>
        <v>9000</v>
      </c>
      <c r="W231" s="382">
        <f xml:space="preserve"> Pile!$V$39</f>
        <v>1000</v>
      </c>
      <c r="X231" s="382">
        <f t="shared" si="198"/>
        <v>1000</v>
      </c>
      <c r="Y231" s="419">
        <v>450</v>
      </c>
      <c r="Z231" s="430">
        <f>PI()*Y231/1000*( Pile!$C$39- Pile!$C231)</f>
        <v>6.785840131753889</v>
      </c>
      <c r="AA231" s="382">
        <f t="shared" si="199"/>
        <v>0.15904312808798329</v>
      </c>
      <c r="AB231" s="382">
        <f t="shared" si="226"/>
        <v>203.57520395261668</v>
      </c>
      <c r="AC231" s="382">
        <f>Z231* Pile!$S$39</f>
        <v>203.57520395261668</v>
      </c>
      <c r="AD231" s="382">
        <f t="shared" si="232"/>
        <v>203.57520395261668</v>
      </c>
      <c r="AE231" s="382">
        <f>IF(AD231&gt;0,+AD231)/ 'Pile Data and Eurocode Factors'!$B$19/ 'Pile Data and Eurocode Factors'!$B$20+AE$215</f>
        <v>3944.5610361931458</v>
      </c>
      <c r="AF231" s="382">
        <f t="shared" si="186"/>
        <v>159.04312808798329</v>
      </c>
      <c r="AG231" s="382">
        <f>AA231* Pile!$U$39</f>
        <v>0</v>
      </c>
      <c r="AH231" s="382">
        <f t="shared" si="200"/>
        <v>159.04312808798329</v>
      </c>
      <c r="AI231" s="382">
        <f>AH231/ 'Pile Data and Eurocode Factors'!$C$19/ 'Pile Data and Eurocode Factors'!$C$20</f>
        <v>66.824843734446773</v>
      </c>
      <c r="AJ231" s="382">
        <f t="shared" si="201"/>
        <v>4011.3858799275927</v>
      </c>
      <c r="AK231" s="382">
        <f>VLOOKUP(Y231, 'Pile Data and Eurocode Factors'!$A$34:$J$39,3, FALSE)</f>
        <v>2366.1761868507956</v>
      </c>
      <c r="AL231" s="403">
        <f t="shared" si="202"/>
        <v>2366.1761868507956</v>
      </c>
      <c r="AM231" s="419">
        <v>600</v>
      </c>
      <c r="AN231" s="430">
        <f>PI()*AM231/1000*( Pile!$C$39- Pile!$C231)</f>
        <v>9.0477868423385193</v>
      </c>
      <c r="AO231" s="382">
        <f t="shared" si="203"/>
        <v>0.28274333882308139</v>
      </c>
      <c r="AP231" s="382">
        <f t="shared" si="227"/>
        <v>271.43360527015557</v>
      </c>
      <c r="AQ231" s="382">
        <f>AN231* Pile!$S$39</f>
        <v>271.43360527015557</v>
      </c>
      <c r="AR231" s="382">
        <f t="shared" si="233"/>
        <v>271.43360527015557</v>
      </c>
      <c r="AS231" s="382">
        <f>IF(AR231&gt;0,+AR231)/ 'Pile Data and Eurocode Factors'!$B$19/ 'Pile Data and Eurocode Factors'!$B$20+AS$215</f>
        <v>5259.4147149241944</v>
      </c>
      <c r="AT231" s="382">
        <f t="shared" si="187"/>
        <v>282.74333882308139</v>
      </c>
      <c r="AU231" s="382">
        <f>AO231* Pile!$U$39</f>
        <v>0</v>
      </c>
      <c r="AV231" s="382">
        <f t="shared" si="204"/>
        <v>282.74333882308139</v>
      </c>
      <c r="AW231" s="382">
        <f>AV231/ 'Pile Data and Eurocode Factors'!$C$19/ 'Pile Data and Eurocode Factors'!$C$20</f>
        <v>118.79972219457203</v>
      </c>
      <c r="AX231" s="382">
        <f t="shared" si="205"/>
        <v>5378.214437118766</v>
      </c>
      <c r="AY231" s="382">
        <f>VLOOKUP(AM231, 'Pile Data and Eurocode Factors'!$A$34:$J$39,3, FALSE)</f>
        <v>4206.5354432903041</v>
      </c>
      <c r="AZ231" s="403">
        <f t="shared" si="206"/>
        <v>4206.5354432903041</v>
      </c>
      <c r="BA231" s="419">
        <v>750</v>
      </c>
      <c r="BB231" s="430">
        <f>PI()*BA231/1000*( Pile!$C$39- Pile!$C231)</f>
        <v>11.309733552923149</v>
      </c>
      <c r="BC231" s="382">
        <f t="shared" si="207"/>
        <v>0.44178646691106466</v>
      </c>
      <c r="BD231" s="382">
        <f t="shared" si="228"/>
        <v>339.29200658769446</v>
      </c>
      <c r="BE231" s="382">
        <f>BB231* Pile!$S$39</f>
        <v>339.29200658769446</v>
      </c>
      <c r="BF231" s="382">
        <f t="shared" si="234"/>
        <v>339.29200658769446</v>
      </c>
      <c r="BG231" s="382">
        <f>IF(BF231&gt;0,+BF231)/ 'Pile Data and Eurocode Factors'!$B$19/ 'Pile Data and Eurocode Factors'!$B$20+BG$215</f>
        <v>6574.268393655243</v>
      </c>
      <c r="BH231" s="382">
        <f t="shared" si="188"/>
        <v>441.78646691106468</v>
      </c>
      <c r="BI231" s="382">
        <f>BC231* Pile!$U$39</f>
        <v>0</v>
      </c>
      <c r="BJ231" s="382">
        <f t="shared" si="208"/>
        <v>441.78646691106468</v>
      </c>
      <c r="BK231" s="382">
        <f>BJ231/ 'Pile Data and Eurocode Factors'!$C$19/ 'Pile Data and Eurocode Factors'!$C$20</f>
        <v>185.62456592901879</v>
      </c>
      <c r="BL231" s="382">
        <f t="shared" si="209"/>
        <v>6759.8929595842619</v>
      </c>
      <c r="BM231" s="382">
        <f>VLOOKUP(BA231, 'Pile Data and Eurocode Factors'!$A$34:$J$39,3, FALSE)</f>
        <v>6572.7116301410997</v>
      </c>
      <c r="BN231" s="403">
        <f t="shared" si="210"/>
        <v>6572.7116301410997</v>
      </c>
      <c r="BO231" s="419">
        <v>900</v>
      </c>
      <c r="BP231" s="430">
        <f>PI()*BO231/1000*( Pile!$C$39- Pile!$C231)</f>
        <v>13.571680263507778</v>
      </c>
      <c r="BQ231" s="382">
        <f t="shared" si="211"/>
        <v>0.63617251235193317</v>
      </c>
      <c r="BR231" s="382">
        <f t="shared" si="229"/>
        <v>407.15040790523335</v>
      </c>
      <c r="BS231" s="382">
        <f>BP231* Pile!$S$39</f>
        <v>407.15040790523335</v>
      </c>
      <c r="BT231" s="382">
        <f t="shared" si="235"/>
        <v>407.15040790523335</v>
      </c>
      <c r="BU231" s="382">
        <f>IF(BT231&gt;0,+BT231)/ 'Pile Data and Eurocode Factors'!$B$19/ 'Pile Data and Eurocode Factors'!$B$20+BU$215</f>
        <v>7889.1220723862916</v>
      </c>
      <c r="BV231" s="382">
        <f t="shared" si="189"/>
        <v>636.17251235193316</v>
      </c>
      <c r="BW231" s="382">
        <f>BQ231* Pile!$U$39</f>
        <v>0</v>
      </c>
      <c r="BX231" s="382">
        <f t="shared" si="212"/>
        <v>636.17251235193316</v>
      </c>
      <c r="BY231" s="382">
        <f>BX231/ 'Pile Data and Eurocode Factors'!$C$19/ 'Pile Data and Eurocode Factors'!$C$20</f>
        <v>267.29937493778709</v>
      </c>
      <c r="BZ231" s="382">
        <f t="shared" si="213"/>
        <v>8156.4214473240791</v>
      </c>
      <c r="CA231" s="382">
        <f>VLOOKUP(BO231, 'Pile Data and Eurocode Factors'!$A$34:$J$39,3, FALSE)</f>
        <v>9464.7047474031824</v>
      </c>
      <c r="CB231" s="403">
        <f t="shared" si="214"/>
        <v>8156.4214473240791</v>
      </c>
      <c r="CC231" s="419">
        <v>1050</v>
      </c>
      <c r="CD231" s="430">
        <f>PI()*CC231/1000*( Pile!$C$39- Pile!$C231)</f>
        <v>15.833626974092407</v>
      </c>
      <c r="CE231" s="382">
        <f t="shared" si="215"/>
        <v>0.86590147514568672</v>
      </c>
      <c r="CF231" s="382">
        <f t="shared" si="230"/>
        <v>475.00880922277224</v>
      </c>
      <c r="CG231" s="382">
        <f>CD231* Pile!$S$39</f>
        <v>475.00880922277224</v>
      </c>
      <c r="CH231" s="382">
        <f t="shared" si="236"/>
        <v>475.00880922277224</v>
      </c>
      <c r="CI231" s="382">
        <f>IF(CH231&gt;0,+CH231)/ 'Pile Data and Eurocode Factors'!$B$19/ 'Pile Data and Eurocode Factors'!$B$20+CI$215</f>
        <v>9203.9757511173411</v>
      </c>
      <c r="CJ231" s="382">
        <f t="shared" si="190"/>
        <v>865.90147514568673</v>
      </c>
      <c r="CK231" s="382">
        <f>CE231* Pile!$U$39</f>
        <v>0</v>
      </c>
      <c r="CL231" s="382">
        <f t="shared" si="216"/>
        <v>865.90147514568673</v>
      </c>
      <c r="CM231" s="382">
        <f>CL231/ 'Pile Data and Eurocode Factors'!$C$19/ 'Pile Data and Eurocode Factors'!$C$20</f>
        <v>363.82414922087679</v>
      </c>
      <c r="CN231" s="382">
        <f t="shared" si="217"/>
        <v>9567.7999003382174</v>
      </c>
      <c r="CO231" s="382">
        <f>VLOOKUP(CC231, 'Pile Data and Eurocode Factors'!$A$34:$J$39,3, FALSE)</f>
        <v>12882.514795076555</v>
      </c>
      <c r="CP231" s="403">
        <f t="shared" si="218"/>
        <v>9567.7999003382174</v>
      </c>
      <c r="CQ231" s="419">
        <v>1200</v>
      </c>
      <c r="CR231" s="430">
        <f>PI()*CQ231/1000*( Pile!$C$39- Pile!$C231)</f>
        <v>18.095573684677039</v>
      </c>
      <c r="CS231" s="382">
        <f t="shared" si="219"/>
        <v>1.1309733552923256</v>
      </c>
      <c r="CT231" s="382">
        <f t="shared" si="231"/>
        <v>542.86721054031113</v>
      </c>
      <c r="CU231" s="382">
        <f>CR231* Pile!$S$39</f>
        <v>542.86721054031113</v>
      </c>
      <c r="CV231" s="382">
        <f t="shared" si="237"/>
        <v>542.86721054031113</v>
      </c>
      <c r="CW231" s="382">
        <f>IF(CV231&gt;0,+CV231)/ 'Pile Data and Eurocode Factors'!$B$19/ 'Pile Data and Eurocode Factors'!$B$20+CW$215</f>
        <v>10518.829429848389</v>
      </c>
      <c r="CX231" s="382">
        <f t="shared" si="191"/>
        <v>1130.9733552923256</v>
      </c>
      <c r="CY231" s="382">
        <f>CS231* Pile!$U$39</f>
        <v>0</v>
      </c>
      <c r="CZ231" s="382">
        <f t="shared" si="220"/>
        <v>1130.9733552923256</v>
      </c>
      <c r="DA231" s="382">
        <f>CZ231/ 'Pile Data and Eurocode Factors'!$C$19/ 'Pile Data and Eurocode Factors'!$C$20</f>
        <v>475.19888877828811</v>
      </c>
      <c r="DB231" s="382">
        <f t="shared" si="221"/>
        <v>10994.028318626677</v>
      </c>
      <c r="DC231" s="382">
        <f>VLOOKUP(CQ231, 'Pile Data and Eurocode Factors'!$A$34:$J$39,3, FALSE)</f>
        <v>16826.141773161216</v>
      </c>
      <c r="DD231" s="403">
        <f t="shared" si="222"/>
        <v>10994.028318626677</v>
      </c>
      <c r="DE231" s="420">
        <f xml:space="preserve"> Pile!$C$23- Pile!C231</f>
        <v>46.799999999999955</v>
      </c>
      <c r="DG231" s="382">
        <f t="shared" si="223"/>
        <v>2366.1761868507956</v>
      </c>
      <c r="DH231" s="382">
        <f t="shared" si="224"/>
        <v>4206.5354432903041</v>
      </c>
      <c r="DI231" s="382">
        <f t="shared" si="225"/>
        <v>6572.7116301410997</v>
      </c>
      <c r="DJ231" s="382"/>
      <c r="DK231" s="382"/>
      <c r="DL231" s="382"/>
    </row>
    <row r="232" spans="1:116" s="308" customFormat="1" ht="15">
      <c r="B232" s="400">
        <v>17</v>
      </c>
      <c r="C232" s="401">
        <f>+C231- Pile!D$39/20</f>
        <v>-41.099999999999952</v>
      </c>
      <c r="D232" s="415" t="str">
        <f>B26</f>
        <v>Medium Density Chalk</v>
      </c>
      <c r="E232" s="415" t="str">
        <f>F26</f>
        <v>Chalk</v>
      </c>
      <c r="F232" s="401">
        <f xml:space="preserve"> Pile!$E$39*(+C231-C232)+F231</f>
        <v>898.18893749999893</v>
      </c>
      <c r="G232" s="401">
        <f>IF(C232&gt; Pile!$C$41,0,( Pile!$C$41-C232)*9.81)</f>
        <v>256.04099999999954</v>
      </c>
      <c r="H232" s="401">
        <f t="shared" si="194"/>
        <v>642.14793749999944</v>
      </c>
      <c r="I232" s="401">
        <f t="shared" si="193"/>
        <v>615.56896874999984</v>
      </c>
      <c r="J232" s="401">
        <f>IF(E232="Cohesive",(( Pile!$H$39- Pile!$G$39)/20)+J231,0)</f>
        <v>0</v>
      </c>
      <c r="K232" s="401">
        <f>IF(E232="Cohesive",( Pile!$G$39+ Pile!$J232)/2,0)</f>
        <v>0</v>
      </c>
      <c r="L232" s="401" t="str">
        <f>IF( Pile!I$39="",0, Pile!I$39)</f>
        <v>0</v>
      </c>
      <c r="M232" s="401" t="str">
        <f>IF( Pile!J$39="",0, Pile!J$39)</f>
        <v>0</v>
      </c>
      <c r="N232" s="401">
        <f>IF(E232="Granular", Pile!$K$39,0)</f>
        <v>0</v>
      </c>
      <c r="O232" s="416">
        <f>IF(AND(E232="Granular",D232&lt;&gt;"Made Ground"), Pile!$L$39,0)</f>
        <v>0</v>
      </c>
      <c r="P232" s="401">
        <f>IF(OR(D232="Low Density Chalk",D232="Medium Density Chalk"), Pile!$M$39,0)</f>
        <v>0.8</v>
      </c>
      <c r="Q232" s="417">
        <f>IF(D232="High Density Chalk", Pile!$N$39,0)</f>
        <v>0</v>
      </c>
      <c r="R232" s="401">
        <f>IF( Pile!O$39="",0, Pile!O$39)</f>
        <v>9000</v>
      </c>
      <c r="S232" s="418">
        <f t="shared" si="195"/>
        <v>492.45517499999988</v>
      </c>
      <c r="T232" s="382">
        <f xml:space="preserve"> Pile!$T$39</f>
        <v>30</v>
      </c>
      <c r="U232" s="382">
        <f t="shared" si="196"/>
        <v>30</v>
      </c>
      <c r="V232" s="382">
        <f t="shared" si="197"/>
        <v>9000</v>
      </c>
      <c r="W232" s="382">
        <f xml:space="preserve"> Pile!$V$39</f>
        <v>1000</v>
      </c>
      <c r="X232" s="382">
        <f t="shared" si="198"/>
        <v>1000</v>
      </c>
      <c r="Y232" s="419">
        <v>450</v>
      </c>
      <c r="Z232" s="430">
        <f>PI()*Y232/1000*( Pile!$C$39- Pile!$C232)</f>
        <v>7.2099551399885069</v>
      </c>
      <c r="AA232" s="382">
        <f t="shared" si="199"/>
        <v>0.15904312808798329</v>
      </c>
      <c r="AB232" s="382">
        <f t="shared" si="226"/>
        <v>216.2986541996552</v>
      </c>
      <c r="AC232" s="382">
        <f>Z232* Pile!$S$39</f>
        <v>216.2986541996552</v>
      </c>
      <c r="AD232" s="382">
        <f t="shared" si="232"/>
        <v>216.2986541996552</v>
      </c>
      <c r="AE232" s="382">
        <f>IF(AD232&gt;0,+AD232)/ 'Pile Data and Eurocode Factors'!$B$19/ 'Pile Data and Eurocode Factors'!$B$20+AE$215</f>
        <v>3950.619822025069</v>
      </c>
      <c r="AF232" s="382">
        <f t="shared" si="186"/>
        <v>159.04312808798329</v>
      </c>
      <c r="AG232" s="382">
        <f>AA232* Pile!$U$39</f>
        <v>0</v>
      </c>
      <c r="AH232" s="382">
        <f t="shared" si="200"/>
        <v>159.04312808798329</v>
      </c>
      <c r="AI232" s="382">
        <f>AH232/ 'Pile Data and Eurocode Factors'!$C$19/ 'Pile Data and Eurocode Factors'!$C$20</f>
        <v>66.824843734446773</v>
      </c>
      <c r="AJ232" s="382">
        <f t="shared" si="201"/>
        <v>4017.4446657595158</v>
      </c>
      <c r="AK232" s="382">
        <f>VLOOKUP(Y232, 'Pile Data and Eurocode Factors'!$A$34:$J$39,3, FALSE)</f>
        <v>2366.1761868507956</v>
      </c>
      <c r="AL232" s="403">
        <f t="shared" si="202"/>
        <v>2366.1761868507956</v>
      </c>
      <c r="AM232" s="419">
        <v>600</v>
      </c>
      <c r="AN232" s="430">
        <f>PI()*AM232/1000*( Pile!$C$39- Pile!$C232)</f>
        <v>9.6132735199846753</v>
      </c>
      <c r="AO232" s="382">
        <f t="shared" si="203"/>
        <v>0.28274333882308139</v>
      </c>
      <c r="AP232" s="382">
        <f t="shared" si="227"/>
        <v>288.39820559954023</v>
      </c>
      <c r="AQ232" s="382">
        <f>AN232* Pile!$S$39</f>
        <v>288.39820559954023</v>
      </c>
      <c r="AR232" s="382">
        <f t="shared" si="233"/>
        <v>288.39820559954023</v>
      </c>
      <c r="AS232" s="382">
        <f>IF(AR232&gt;0,+AR232)/ 'Pile Data and Eurocode Factors'!$B$19/ 'Pile Data and Eurocode Factors'!$B$20+AS$215</f>
        <v>5267.4930960334259</v>
      </c>
      <c r="AT232" s="382">
        <f t="shared" si="187"/>
        <v>282.74333882308139</v>
      </c>
      <c r="AU232" s="382">
        <f>AO232* Pile!$U$39</f>
        <v>0</v>
      </c>
      <c r="AV232" s="382">
        <f t="shared" si="204"/>
        <v>282.74333882308139</v>
      </c>
      <c r="AW232" s="382">
        <f>AV232/ 'Pile Data and Eurocode Factors'!$C$19/ 'Pile Data and Eurocode Factors'!$C$20</f>
        <v>118.79972219457203</v>
      </c>
      <c r="AX232" s="382">
        <f t="shared" si="205"/>
        <v>5386.2928182279975</v>
      </c>
      <c r="AY232" s="382">
        <f>VLOOKUP(AM232, 'Pile Data and Eurocode Factors'!$A$34:$J$39,3, FALSE)</f>
        <v>4206.5354432903041</v>
      </c>
      <c r="AZ232" s="403">
        <f t="shared" si="206"/>
        <v>4206.5354432903041</v>
      </c>
      <c r="BA232" s="419">
        <v>750</v>
      </c>
      <c r="BB232" s="430">
        <f>PI()*BA232/1000*( Pile!$C$39- Pile!$C232)</f>
        <v>12.016591899980845</v>
      </c>
      <c r="BC232" s="382">
        <f t="shared" si="207"/>
        <v>0.44178646691106466</v>
      </c>
      <c r="BD232" s="382">
        <f t="shared" si="228"/>
        <v>360.49775699942535</v>
      </c>
      <c r="BE232" s="382">
        <f>BB232* Pile!$S$39</f>
        <v>360.49775699942535</v>
      </c>
      <c r="BF232" s="382">
        <f t="shared" si="234"/>
        <v>360.49775699942535</v>
      </c>
      <c r="BG232" s="382">
        <f>IF(BF232&gt;0,+BF232)/ 'Pile Data and Eurocode Factors'!$B$19/ 'Pile Data and Eurocode Factors'!$B$20+BG$215</f>
        <v>6584.3663700417819</v>
      </c>
      <c r="BH232" s="382">
        <f t="shared" si="188"/>
        <v>441.78646691106468</v>
      </c>
      <c r="BI232" s="382">
        <f>BC232* Pile!$U$39</f>
        <v>0</v>
      </c>
      <c r="BJ232" s="382">
        <f t="shared" si="208"/>
        <v>441.78646691106468</v>
      </c>
      <c r="BK232" s="382">
        <f>BJ232/ 'Pile Data and Eurocode Factors'!$C$19/ 'Pile Data and Eurocode Factors'!$C$20</f>
        <v>185.62456592901879</v>
      </c>
      <c r="BL232" s="382">
        <f t="shared" si="209"/>
        <v>6769.9909359708008</v>
      </c>
      <c r="BM232" s="382">
        <f>VLOOKUP(BA232, 'Pile Data and Eurocode Factors'!$A$34:$J$39,3, FALSE)</f>
        <v>6572.7116301410997</v>
      </c>
      <c r="BN232" s="403">
        <f t="shared" si="210"/>
        <v>6572.7116301410997</v>
      </c>
      <c r="BO232" s="419">
        <v>900</v>
      </c>
      <c r="BP232" s="430">
        <f>PI()*BO232/1000*( Pile!$C$39- Pile!$C232)</f>
        <v>14.419910279977014</v>
      </c>
      <c r="BQ232" s="382">
        <f t="shared" si="211"/>
        <v>0.63617251235193317</v>
      </c>
      <c r="BR232" s="382">
        <f t="shared" si="229"/>
        <v>432.59730839931041</v>
      </c>
      <c r="BS232" s="382">
        <f>BP232* Pile!$S$39</f>
        <v>432.59730839931041</v>
      </c>
      <c r="BT232" s="382">
        <f t="shared" si="235"/>
        <v>432.59730839931041</v>
      </c>
      <c r="BU232" s="382">
        <f>IF(BT232&gt;0,+BT232)/ 'Pile Data and Eurocode Factors'!$B$19/ 'Pile Data and Eurocode Factors'!$B$20+BU$215</f>
        <v>7901.2396440501379</v>
      </c>
      <c r="BV232" s="382">
        <f t="shared" si="189"/>
        <v>636.17251235193316</v>
      </c>
      <c r="BW232" s="382">
        <f>BQ232* Pile!$U$39</f>
        <v>0</v>
      </c>
      <c r="BX232" s="382">
        <f t="shared" si="212"/>
        <v>636.17251235193316</v>
      </c>
      <c r="BY232" s="382">
        <f>BX232/ 'Pile Data and Eurocode Factors'!$C$19/ 'Pile Data and Eurocode Factors'!$C$20</f>
        <v>267.29937493778709</v>
      </c>
      <c r="BZ232" s="382">
        <f t="shared" si="213"/>
        <v>8168.5390189879254</v>
      </c>
      <c r="CA232" s="382">
        <f>VLOOKUP(BO232, 'Pile Data and Eurocode Factors'!$A$34:$J$39,3, FALSE)</f>
        <v>9464.7047474031824</v>
      </c>
      <c r="CB232" s="403">
        <f t="shared" si="214"/>
        <v>8168.5390189879254</v>
      </c>
      <c r="CC232" s="419">
        <v>1050</v>
      </c>
      <c r="CD232" s="430">
        <f>PI()*CC232/1000*( Pile!$C$39- Pile!$C232)</f>
        <v>16.823228659973182</v>
      </c>
      <c r="CE232" s="382">
        <f t="shared" si="215"/>
        <v>0.86590147514568672</v>
      </c>
      <c r="CF232" s="382">
        <f t="shared" si="230"/>
        <v>504.69685979919547</v>
      </c>
      <c r="CG232" s="382">
        <f>CD232* Pile!$S$39</f>
        <v>504.69685979919547</v>
      </c>
      <c r="CH232" s="382">
        <f t="shared" si="236"/>
        <v>504.69685979919547</v>
      </c>
      <c r="CI232" s="382">
        <f>IF(CH232&gt;0,+CH232)/ 'Pile Data and Eurocode Factors'!$B$19/ 'Pile Data and Eurocode Factors'!$B$20+CI$215</f>
        <v>9218.112918058494</v>
      </c>
      <c r="CJ232" s="382">
        <f t="shared" si="190"/>
        <v>865.90147514568673</v>
      </c>
      <c r="CK232" s="382">
        <f>CE232* Pile!$U$39</f>
        <v>0</v>
      </c>
      <c r="CL232" s="382">
        <f t="shared" si="216"/>
        <v>865.90147514568673</v>
      </c>
      <c r="CM232" s="382">
        <f>CL232/ 'Pile Data and Eurocode Factors'!$C$19/ 'Pile Data and Eurocode Factors'!$C$20</f>
        <v>363.82414922087679</v>
      </c>
      <c r="CN232" s="382">
        <f t="shared" si="217"/>
        <v>9581.9370672793702</v>
      </c>
      <c r="CO232" s="382">
        <f>VLOOKUP(CC232, 'Pile Data and Eurocode Factors'!$A$34:$J$39,3, FALSE)</f>
        <v>12882.514795076555</v>
      </c>
      <c r="CP232" s="403">
        <f t="shared" si="218"/>
        <v>9581.9370672793702</v>
      </c>
      <c r="CQ232" s="419">
        <v>1200</v>
      </c>
      <c r="CR232" s="430">
        <f>PI()*CQ232/1000*( Pile!$C$39- Pile!$C232)</f>
        <v>19.226547039969351</v>
      </c>
      <c r="CS232" s="382">
        <f t="shared" si="219"/>
        <v>1.1309733552923256</v>
      </c>
      <c r="CT232" s="382">
        <f t="shared" si="231"/>
        <v>576.79641119908047</v>
      </c>
      <c r="CU232" s="382">
        <f>CR232* Pile!$S$39</f>
        <v>576.79641119908047</v>
      </c>
      <c r="CV232" s="382">
        <f t="shared" si="237"/>
        <v>576.79641119908047</v>
      </c>
      <c r="CW232" s="382">
        <f>IF(CV232&gt;0,+CV232)/ 'Pile Data and Eurocode Factors'!$B$19/ 'Pile Data and Eurocode Factors'!$B$20+CW$215</f>
        <v>10534.986192066852</v>
      </c>
      <c r="CX232" s="382">
        <f t="shared" si="191"/>
        <v>1130.9733552923256</v>
      </c>
      <c r="CY232" s="382">
        <f>CS232* Pile!$U$39</f>
        <v>0</v>
      </c>
      <c r="CZ232" s="382">
        <f t="shared" si="220"/>
        <v>1130.9733552923256</v>
      </c>
      <c r="DA232" s="382">
        <f>CZ232/ 'Pile Data and Eurocode Factors'!$C$19/ 'Pile Data and Eurocode Factors'!$C$20</f>
        <v>475.19888877828811</v>
      </c>
      <c r="DB232" s="382">
        <f t="shared" si="221"/>
        <v>11010.18508084514</v>
      </c>
      <c r="DC232" s="382">
        <f>VLOOKUP(CQ232, 'Pile Data and Eurocode Factors'!$A$34:$J$39,3, FALSE)</f>
        <v>16826.141773161216</v>
      </c>
      <c r="DD232" s="403">
        <f t="shared" si="222"/>
        <v>11010.18508084514</v>
      </c>
      <c r="DE232" s="420">
        <f xml:space="preserve"> Pile!$C$23- Pile!C232</f>
        <v>47.099999999999952</v>
      </c>
      <c r="DG232" s="382">
        <f t="shared" si="223"/>
        <v>2366.1761868507956</v>
      </c>
      <c r="DH232" s="382">
        <f t="shared" si="224"/>
        <v>4206.5354432903041</v>
      </c>
      <c r="DI232" s="382">
        <f t="shared" si="225"/>
        <v>6572.7116301410997</v>
      </c>
      <c r="DJ232" s="382"/>
      <c r="DK232" s="382"/>
      <c r="DL232" s="382"/>
    </row>
    <row r="233" spans="1:116" s="308" customFormat="1" ht="15">
      <c r="B233" s="400">
        <v>18</v>
      </c>
      <c r="C233" s="401">
        <f>+C232- Pile!D$39/20</f>
        <v>-41.399999999999949</v>
      </c>
      <c r="D233" s="415" t="str">
        <f>B26</f>
        <v>Medium Density Chalk</v>
      </c>
      <c r="E233" s="415" t="str">
        <f>F26</f>
        <v>Chalk</v>
      </c>
      <c r="F233" s="401">
        <f xml:space="preserve"> Pile!$E$39*(+C232-C233)+F232</f>
        <v>904.25887499999885</v>
      </c>
      <c r="G233" s="401">
        <f>IF(C233&gt; Pile!$C$41,0,( Pile!$C$41-C233)*9.81)</f>
        <v>258.98399999999953</v>
      </c>
      <c r="H233" s="401">
        <f t="shared" si="194"/>
        <v>645.27487499999938</v>
      </c>
      <c r="I233" s="401">
        <f t="shared" si="193"/>
        <v>617.13243749999981</v>
      </c>
      <c r="J233" s="401">
        <f>IF(E233="Cohesive",(( Pile!$H$39- Pile!$G$39)/20)+J232,0)</f>
        <v>0</v>
      </c>
      <c r="K233" s="401">
        <f>IF(E233="Cohesive",( Pile!$G$39+ Pile!$J233)/2,0)</f>
        <v>0</v>
      </c>
      <c r="L233" s="401" t="str">
        <f>IF( Pile!I$39="",0, Pile!I$39)</f>
        <v>0</v>
      </c>
      <c r="M233" s="401" t="str">
        <f>IF( Pile!J$39="",0, Pile!J$39)</f>
        <v>0</v>
      </c>
      <c r="N233" s="401">
        <f>IF(E233="Granular", Pile!$K$39,0)</f>
        <v>0</v>
      </c>
      <c r="O233" s="416">
        <f>IF(AND(E233="Granular",D233&lt;&gt;"Made Ground"), Pile!$L$39,0)</f>
        <v>0</v>
      </c>
      <c r="P233" s="401">
        <f>IF(OR(D233="Low Density Chalk",D233="Medium Density Chalk"), Pile!$M$39,0)</f>
        <v>0.8</v>
      </c>
      <c r="Q233" s="417">
        <f>IF(D233="High Density Chalk", Pile!$N$39,0)</f>
        <v>0</v>
      </c>
      <c r="R233" s="401">
        <f>IF( Pile!O$39="",0, Pile!O$39)</f>
        <v>9000</v>
      </c>
      <c r="S233" s="418">
        <f t="shared" si="195"/>
        <v>493.70594999999986</v>
      </c>
      <c r="T233" s="382">
        <f xml:space="preserve"> Pile!$T$39</f>
        <v>30</v>
      </c>
      <c r="U233" s="382">
        <f t="shared" si="196"/>
        <v>30</v>
      </c>
      <c r="V233" s="382">
        <f t="shared" si="197"/>
        <v>9000</v>
      </c>
      <c r="W233" s="382">
        <f xml:space="preserve"> Pile!$V$39</f>
        <v>1000</v>
      </c>
      <c r="X233" s="382">
        <f t="shared" si="198"/>
        <v>1000</v>
      </c>
      <c r="Y233" s="419">
        <v>450</v>
      </c>
      <c r="Z233" s="430">
        <f>PI()*Y233/1000*( Pile!$C$39- Pile!$C233)</f>
        <v>7.6340701482231248</v>
      </c>
      <c r="AA233" s="382">
        <f t="shared" si="199"/>
        <v>0.15904312808798329</v>
      </c>
      <c r="AB233" s="382">
        <f t="shared" si="226"/>
        <v>229.02210444669373</v>
      </c>
      <c r="AC233" s="382">
        <f>Z233* Pile!$S$39</f>
        <v>229.02210444669373</v>
      </c>
      <c r="AD233" s="382">
        <f t="shared" si="232"/>
        <v>229.02210444669373</v>
      </c>
      <c r="AE233" s="382">
        <f>IF(AD233&gt;0,+AD233)/ 'Pile Data and Eurocode Factors'!$B$19/ 'Pile Data and Eurocode Factors'!$B$20+AE$215</f>
        <v>3956.6786078569921</v>
      </c>
      <c r="AF233" s="382">
        <f t="shared" si="186"/>
        <v>159.04312808798329</v>
      </c>
      <c r="AG233" s="382">
        <f>AA233* Pile!$U$39</f>
        <v>0</v>
      </c>
      <c r="AH233" s="382">
        <f t="shared" si="200"/>
        <v>159.04312808798329</v>
      </c>
      <c r="AI233" s="382">
        <f>AH233/ 'Pile Data and Eurocode Factors'!$C$19/ 'Pile Data and Eurocode Factors'!$C$20</f>
        <v>66.824843734446773</v>
      </c>
      <c r="AJ233" s="382">
        <f t="shared" si="201"/>
        <v>4023.503451591439</v>
      </c>
      <c r="AK233" s="382">
        <f>VLOOKUP(Y233, 'Pile Data and Eurocode Factors'!$A$34:$J$39,3, FALSE)</f>
        <v>2366.1761868507956</v>
      </c>
      <c r="AL233" s="403">
        <f t="shared" si="202"/>
        <v>2366.1761868507956</v>
      </c>
      <c r="AM233" s="419">
        <v>600</v>
      </c>
      <c r="AN233" s="430">
        <f>PI()*AM233/1000*( Pile!$C$39- Pile!$C233)</f>
        <v>10.178760197630833</v>
      </c>
      <c r="AO233" s="382">
        <f t="shared" si="203"/>
        <v>0.28274333882308139</v>
      </c>
      <c r="AP233" s="382">
        <f t="shared" si="227"/>
        <v>305.36280592892501</v>
      </c>
      <c r="AQ233" s="382">
        <f>AN233* Pile!$S$39</f>
        <v>305.36280592892501</v>
      </c>
      <c r="AR233" s="382">
        <f t="shared" si="233"/>
        <v>305.36280592892501</v>
      </c>
      <c r="AS233" s="382">
        <f>IF(AR233&gt;0,+AR233)/ 'Pile Data and Eurocode Factors'!$B$19/ 'Pile Data and Eurocode Factors'!$B$20+AS$215</f>
        <v>5275.5714771426565</v>
      </c>
      <c r="AT233" s="382">
        <f t="shared" si="187"/>
        <v>282.74333882308139</v>
      </c>
      <c r="AU233" s="382">
        <f>AO233* Pile!$U$39</f>
        <v>0</v>
      </c>
      <c r="AV233" s="382">
        <f t="shared" si="204"/>
        <v>282.74333882308139</v>
      </c>
      <c r="AW233" s="382">
        <f>AV233/ 'Pile Data and Eurocode Factors'!$C$19/ 'Pile Data and Eurocode Factors'!$C$20</f>
        <v>118.79972219457203</v>
      </c>
      <c r="AX233" s="382">
        <f t="shared" si="205"/>
        <v>5394.3711993372281</v>
      </c>
      <c r="AY233" s="382">
        <f>VLOOKUP(AM233, 'Pile Data and Eurocode Factors'!$A$34:$J$39,3, FALSE)</f>
        <v>4206.5354432903041</v>
      </c>
      <c r="AZ233" s="403">
        <f t="shared" si="206"/>
        <v>4206.5354432903041</v>
      </c>
      <c r="BA233" s="419">
        <v>750</v>
      </c>
      <c r="BB233" s="430">
        <f>PI()*BA233/1000*( Pile!$C$39- Pile!$C233)</f>
        <v>12.723450247038542</v>
      </c>
      <c r="BC233" s="382">
        <f t="shared" si="207"/>
        <v>0.44178646691106466</v>
      </c>
      <c r="BD233" s="382">
        <f t="shared" si="228"/>
        <v>381.70350741115624</v>
      </c>
      <c r="BE233" s="382">
        <f>BB233* Pile!$S$39</f>
        <v>381.70350741115624</v>
      </c>
      <c r="BF233" s="382">
        <f t="shared" si="234"/>
        <v>381.70350741115624</v>
      </c>
      <c r="BG233" s="382">
        <f>IF(BF233&gt;0,+BF233)/ 'Pile Data and Eurocode Factors'!$B$19/ 'Pile Data and Eurocode Factors'!$B$20+BG$215</f>
        <v>6594.4643464283208</v>
      </c>
      <c r="BH233" s="382">
        <f t="shared" si="188"/>
        <v>441.78646691106468</v>
      </c>
      <c r="BI233" s="382">
        <f>BC233* Pile!$U$39</f>
        <v>0</v>
      </c>
      <c r="BJ233" s="382">
        <f t="shared" si="208"/>
        <v>441.78646691106468</v>
      </c>
      <c r="BK233" s="382">
        <f>BJ233/ 'Pile Data and Eurocode Factors'!$C$19/ 'Pile Data and Eurocode Factors'!$C$20</f>
        <v>185.62456592901879</v>
      </c>
      <c r="BL233" s="382">
        <f t="shared" si="209"/>
        <v>6780.0889123573397</v>
      </c>
      <c r="BM233" s="382">
        <f>VLOOKUP(BA233, 'Pile Data and Eurocode Factors'!$A$34:$J$39,3, FALSE)</f>
        <v>6572.7116301410997</v>
      </c>
      <c r="BN233" s="403">
        <f t="shared" si="210"/>
        <v>6572.7116301410997</v>
      </c>
      <c r="BO233" s="419">
        <v>900</v>
      </c>
      <c r="BP233" s="430">
        <f>PI()*BO233/1000*( Pile!$C$39- Pile!$C233)</f>
        <v>15.26814029644625</v>
      </c>
      <c r="BQ233" s="382">
        <f t="shared" si="211"/>
        <v>0.63617251235193317</v>
      </c>
      <c r="BR233" s="382">
        <f t="shared" si="229"/>
        <v>458.04420889338746</v>
      </c>
      <c r="BS233" s="382">
        <f>BP233* Pile!$S$39</f>
        <v>458.04420889338746</v>
      </c>
      <c r="BT233" s="382">
        <f t="shared" si="235"/>
        <v>458.04420889338746</v>
      </c>
      <c r="BU233" s="382">
        <f>IF(BT233&gt;0,+BT233)/ 'Pile Data and Eurocode Factors'!$B$19/ 'Pile Data and Eurocode Factors'!$B$20+BU$215</f>
        <v>7913.3572157139843</v>
      </c>
      <c r="BV233" s="382">
        <f t="shared" si="189"/>
        <v>636.17251235193316</v>
      </c>
      <c r="BW233" s="382">
        <f>BQ233* Pile!$U$39</f>
        <v>0</v>
      </c>
      <c r="BX233" s="382">
        <f t="shared" si="212"/>
        <v>636.17251235193316</v>
      </c>
      <c r="BY233" s="382">
        <f>BX233/ 'Pile Data and Eurocode Factors'!$C$19/ 'Pile Data and Eurocode Factors'!$C$20</f>
        <v>267.29937493778709</v>
      </c>
      <c r="BZ233" s="382">
        <f t="shared" si="213"/>
        <v>8180.6565906517717</v>
      </c>
      <c r="CA233" s="382">
        <f>VLOOKUP(BO233, 'Pile Data and Eurocode Factors'!$A$34:$J$39,3, FALSE)</f>
        <v>9464.7047474031824</v>
      </c>
      <c r="CB233" s="403">
        <f t="shared" si="214"/>
        <v>8180.6565906517717</v>
      </c>
      <c r="CC233" s="419">
        <v>1050</v>
      </c>
      <c r="CD233" s="430">
        <f>PI()*CC233/1000*( Pile!$C$39- Pile!$C233)</f>
        <v>17.812830345853957</v>
      </c>
      <c r="CE233" s="382">
        <f t="shared" si="215"/>
        <v>0.86590147514568672</v>
      </c>
      <c r="CF233" s="382">
        <f t="shared" si="230"/>
        <v>534.38491037561869</v>
      </c>
      <c r="CG233" s="382">
        <f>CD233* Pile!$S$39</f>
        <v>534.38491037561869</v>
      </c>
      <c r="CH233" s="382">
        <f t="shared" si="236"/>
        <v>534.38491037561869</v>
      </c>
      <c r="CI233" s="382">
        <f>IF(CH233&gt;0,+CH233)/ 'Pile Data and Eurocode Factors'!$B$19/ 'Pile Data and Eurocode Factors'!$B$20+CI$215</f>
        <v>9232.2500849996486</v>
      </c>
      <c r="CJ233" s="382">
        <f t="shared" si="190"/>
        <v>865.90147514568673</v>
      </c>
      <c r="CK233" s="382">
        <f>CE233* Pile!$U$39</f>
        <v>0</v>
      </c>
      <c r="CL233" s="382">
        <f t="shared" si="216"/>
        <v>865.90147514568673</v>
      </c>
      <c r="CM233" s="382">
        <f>CL233/ 'Pile Data and Eurocode Factors'!$C$19/ 'Pile Data and Eurocode Factors'!$C$20</f>
        <v>363.82414922087679</v>
      </c>
      <c r="CN233" s="382">
        <f t="shared" si="217"/>
        <v>9596.0742342205249</v>
      </c>
      <c r="CO233" s="382">
        <f>VLOOKUP(CC233, 'Pile Data and Eurocode Factors'!$A$34:$J$39,3, FALSE)</f>
        <v>12882.514795076555</v>
      </c>
      <c r="CP233" s="403">
        <f t="shared" si="218"/>
        <v>9596.0742342205249</v>
      </c>
      <c r="CQ233" s="419">
        <v>1200</v>
      </c>
      <c r="CR233" s="430">
        <f>PI()*CQ233/1000*( Pile!$C$39- Pile!$C233)</f>
        <v>20.357520395261666</v>
      </c>
      <c r="CS233" s="382">
        <f t="shared" si="219"/>
        <v>1.1309733552923256</v>
      </c>
      <c r="CT233" s="382">
        <f t="shared" si="231"/>
        <v>610.72561185785003</v>
      </c>
      <c r="CU233" s="382">
        <f>CR233* Pile!$S$39</f>
        <v>610.72561185785003</v>
      </c>
      <c r="CV233" s="382">
        <f t="shared" si="237"/>
        <v>610.72561185785003</v>
      </c>
      <c r="CW233" s="382">
        <f>IF(CV233&gt;0,+CV233)/ 'Pile Data and Eurocode Factors'!$B$19/ 'Pile Data and Eurocode Factors'!$B$20+CW$215</f>
        <v>10551.142954285313</v>
      </c>
      <c r="CX233" s="382">
        <f t="shared" si="191"/>
        <v>1130.9733552923256</v>
      </c>
      <c r="CY233" s="382">
        <f>CS233* Pile!$U$39</f>
        <v>0</v>
      </c>
      <c r="CZ233" s="382">
        <f t="shared" si="220"/>
        <v>1130.9733552923256</v>
      </c>
      <c r="DA233" s="382">
        <f>CZ233/ 'Pile Data and Eurocode Factors'!$C$19/ 'Pile Data and Eurocode Factors'!$C$20</f>
        <v>475.19888877828811</v>
      </c>
      <c r="DB233" s="382">
        <f t="shared" si="221"/>
        <v>11026.341843063601</v>
      </c>
      <c r="DC233" s="382">
        <f>VLOOKUP(CQ233, 'Pile Data and Eurocode Factors'!$A$34:$J$39,3, FALSE)</f>
        <v>16826.141773161216</v>
      </c>
      <c r="DD233" s="403">
        <f t="shared" si="222"/>
        <v>11026.341843063601</v>
      </c>
      <c r="DE233" s="420">
        <f xml:space="preserve"> Pile!$C$23- Pile!C233</f>
        <v>47.399999999999949</v>
      </c>
      <c r="DG233" s="382">
        <f t="shared" si="223"/>
        <v>2366.1761868507956</v>
      </c>
      <c r="DH233" s="382">
        <f t="shared" si="224"/>
        <v>4206.5354432903041</v>
      </c>
      <c r="DI233" s="382">
        <f t="shared" si="225"/>
        <v>6572.7116301410997</v>
      </c>
      <c r="DJ233" s="382"/>
      <c r="DK233" s="382"/>
      <c r="DL233" s="382"/>
    </row>
    <row r="234" spans="1:116" s="308" customFormat="1" ht="15">
      <c r="B234" s="400">
        <v>19</v>
      </c>
      <c r="C234" s="401">
        <f>+C233- Pile!D$39/20</f>
        <v>-41.699999999999946</v>
      </c>
      <c r="D234" s="415" t="str">
        <f>B26</f>
        <v>Medium Density Chalk</v>
      </c>
      <c r="E234" s="415" t="str">
        <f>F26</f>
        <v>Chalk</v>
      </c>
      <c r="F234" s="401">
        <f xml:space="preserve"> Pile!$E$39*(+C233-C234)+F233</f>
        <v>910.32881249999878</v>
      </c>
      <c r="G234" s="401">
        <f>IF(C234&gt; Pile!$C$41,0,( Pile!$C$41-C234)*9.81)</f>
        <v>261.92699999999951</v>
      </c>
      <c r="H234" s="401">
        <f t="shared" si="194"/>
        <v>648.40181249999932</v>
      </c>
      <c r="I234" s="401">
        <f t="shared" si="193"/>
        <v>618.69590624999978</v>
      </c>
      <c r="J234" s="401">
        <f>IF(E234="Cohesive",(( Pile!$H$39- Pile!$G$39)/20)+J233,0)</f>
        <v>0</v>
      </c>
      <c r="K234" s="401">
        <f>IF(E234="Cohesive",( Pile!$G$39+ Pile!$J234)/2,0)</f>
        <v>0</v>
      </c>
      <c r="L234" s="401" t="str">
        <f>IF( Pile!I$39="",0, Pile!I$39)</f>
        <v>0</v>
      </c>
      <c r="M234" s="401" t="str">
        <f>IF( Pile!J$39="",0, Pile!J$39)</f>
        <v>0</v>
      </c>
      <c r="N234" s="401">
        <f>IF(E234="Granular", Pile!$K$39,0)</f>
        <v>0</v>
      </c>
      <c r="O234" s="416">
        <f>IF(AND(E234="Granular",D234&lt;&gt;"Made Ground"), Pile!$L$39,0)</f>
        <v>0</v>
      </c>
      <c r="P234" s="401">
        <f>IF(OR(D234="Low Density Chalk",D234="Medium Density Chalk"), Pile!$M$39,0)</f>
        <v>0.8</v>
      </c>
      <c r="Q234" s="417">
        <f>IF(D234="High Density Chalk", Pile!$N$39,0)</f>
        <v>0</v>
      </c>
      <c r="R234" s="401">
        <f>IF( Pile!O$39="",0, Pile!O$39)</f>
        <v>9000</v>
      </c>
      <c r="S234" s="418">
        <f t="shared" si="195"/>
        <v>494.95672499999984</v>
      </c>
      <c r="T234" s="382">
        <f xml:space="preserve"> Pile!$T$39</f>
        <v>30</v>
      </c>
      <c r="U234" s="382">
        <f t="shared" si="196"/>
        <v>30</v>
      </c>
      <c r="V234" s="382">
        <f t="shared" si="197"/>
        <v>9000</v>
      </c>
      <c r="W234" s="382">
        <f xml:space="preserve"> Pile!$V$39</f>
        <v>1000</v>
      </c>
      <c r="X234" s="382">
        <f t="shared" si="198"/>
        <v>1000</v>
      </c>
      <c r="Y234" s="419">
        <v>450</v>
      </c>
      <c r="Z234" s="430">
        <f>PI()*Y234/1000*( Pile!$C$39- Pile!$C234)</f>
        <v>8.0581851564577427</v>
      </c>
      <c r="AA234" s="382">
        <f t="shared" si="199"/>
        <v>0.15904312808798329</v>
      </c>
      <c r="AB234" s="382">
        <f t="shared" si="226"/>
        <v>241.74555469373229</v>
      </c>
      <c r="AC234" s="382">
        <f>Z234* Pile!$S$39</f>
        <v>241.74555469373229</v>
      </c>
      <c r="AD234" s="382">
        <f t="shared" si="232"/>
        <v>241.74555469373229</v>
      </c>
      <c r="AE234" s="382">
        <f>IF(AD234&gt;0,+AD234)/ 'Pile Data and Eurocode Factors'!$B$19/ 'Pile Data and Eurocode Factors'!$B$20+AE$215</f>
        <v>3962.7373936889153</v>
      </c>
      <c r="AF234" s="382">
        <f t="shared" si="186"/>
        <v>159.04312808798329</v>
      </c>
      <c r="AG234" s="382">
        <f>AA234* Pile!$U$39</f>
        <v>0</v>
      </c>
      <c r="AH234" s="382">
        <f t="shared" si="200"/>
        <v>159.04312808798329</v>
      </c>
      <c r="AI234" s="382">
        <f>AH234/ 'Pile Data and Eurocode Factors'!$C$19/ 'Pile Data and Eurocode Factors'!$C$20</f>
        <v>66.824843734446773</v>
      </c>
      <c r="AJ234" s="382">
        <f t="shared" si="201"/>
        <v>4029.5622374233621</v>
      </c>
      <c r="AK234" s="382">
        <f>VLOOKUP(Y234, 'Pile Data and Eurocode Factors'!$A$34:$J$39,3, FALSE)</f>
        <v>2366.1761868507956</v>
      </c>
      <c r="AL234" s="403">
        <f t="shared" si="202"/>
        <v>2366.1761868507956</v>
      </c>
      <c r="AM234" s="419">
        <v>600</v>
      </c>
      <c r="AN234" s="430">
        <f>PI()*AM234/1000*( Pile!$C$39- Pile!$C234)</f>
        <v>10.744246875276991</v>
      </c>
      <c r="AO234" s="382">
        <f t="shared" si="203"/>
        <v>0.28274333882308139</v>
      </c>
      <c r="AP234" s="382">
        <f t="shared" si="227"/>
        <v>322.32740625830974</v>
      </c>
      <c r="AQ234" s="382">
        <f>AN234* Pile!$S$39</f>
        <v>322.32740625830974</v>
      </c>
      <c r="AR234" s="382">
        <f t="shared" si="233"/>
        <v>322.32740625830974</v>
      </c>
      <c r="AS234" s="382">
        <f>IF(AR234&gt;0,+AR234)/ 'Pile Data and Eurocode Factors'!$B$19/ 'Pile Data and Eurocode Factors'!$B$20+AS$215</f>
        <v>5283.6498582518871</v>
      </c>
      <c r="AT234" s="382">
        <f t="shared" si="187"/>
        <v>282.74333882308139</v>
      </c>
      <c r="AU234" s="382">
        <f>AO234* Pile!$U$39</f>
        <v>0</v>
      </c>
      <c r="AV234" s="382">
        <f t="shared" si="204"/>
        <v>282.74333882308139</v>
      </c>
      <c r="AW234" s="382">
        <f>AV234/ 'Pile Data and Eurocode Factors'!$C$19/ 'Pile Data and Eurocode Factors'!$C$20</f>
        <v>118.79972219457203</v>
      </c>
      <c r="AX234" s="382">
        <f t="shared" si="205"/>
        <v>5402.4495804464586</v>
      </c>
      <c r="AY234" s="382">
        <f>VLOOKUP(AM234, 'Pile Data and Eurocode Factors'!$A$34:$J$39,3, FALSE)</f>
        <v>4206.5354432903041</v>
      </c>
      <c r="AZ234" s="403">
        <f t="shared" si="206"/>
        <v>4206.5354432903041</v>
      </c>
      <c r="BA234" s="419">
        <v>750</v>
      </c>
      <c r="BB234" s="430">
        <f>PI()*BA234/1000*( Pile!$C$39- Pile!$C234)</f>
        <v>13.430308594096239</v>
      </c>
      <c r="BC234" s="382">
        <f t="shared" si="207"/>
        <v>0.44178646691106466</v>
      </c>
      <c r="BD234" s="382">
        <f t="shared" si="228"/>
        <v>402.90925782288718</v>
      </c>
      <c r="BE234" s="382">
        <f>BB234* Pile!$S$39</f>
        <v>402.90925782288718</v>
      </c>
      <c r="BF234" s="382">
        <f t="shared" si="234"/>
        <v>402.90925782288718</v>
      </c>
      <c r="BG234" s="382">
        <f>IF(BF234&gt;0,+BF234)/ 'Pile Data and Eurocode Factors'!$B$19/ 'Pile Data and Eurocode Factors'!$B$20+BG$215</f>
        <v>6604.5623228148588</v>
      </c>
      <c r="BH234" s="382">
        <f t="shared" si="188"/>
        <v>441.78646691106468</v>
      </c>
      <c r="BI234" s="382">
        <f>BC234* Pile!$U$39</f>
        <v>0</v>
      </c>
      <c r="BJ234" s="382">
        <f t="shared" si="208"/>
        <v>441.78646691106468</v>
      </c>
      <c r="BK234" s="382">
        <f>BJ234/ 'Pile Data and Eurocode Factors'!$C$19/ 'Pile Data and Eurocode Factors'!$C$20</f>
        <v>185.62456592901879</v>
      </c>
      <c r="BL234" s="382">
        <f t="shared" si="209"/>
        <v>6790.1868887438777</v>
      </c>
      <c r="BM234" s="382">
        <f>VLOOKUP(BA234, 'Pile Data and Eurocode Factors'!$A$34:$J$39,3, FALSE)</f>
        <v>6572.7116301410997</v>
      </c>
      <c r="BN234" s="403">
        <f t="shared" si="210"/>
        <v>6572.7116301410997</v>
      </c>
      <c r="BO234" s="419">
        <v>900</v>
      </c>
      <c r="BP234" s="430">
        <f>PI()*BO234/1000*( Pile!$C$39- Pile!$C234)</f>
        <v>16.116370312915485</v>
      </c>
      <c r="BQ234" s="382">
        <f t="shared" si="211"/>
        <v>0.63617251235193317</v>
      </c>
      <c r="BR234" s="382">
        <f t="shared" si="229"/>
        <v>483.49110938746458</v>
      </c>
      <c r="BS234" s="382">
        <f>BP234* Pile!$S$39</f>
        <v>483.49110938746458</v>
      </c>
      <c r="BT234" s="382">
        <f t="shared" si="235"/>
        <v>483.49110938746458</v>
      </c>
      <c r="BU234" s="382">
        <f>IF(BT234&gt;0,+BT234)/ 'Pile Data and Eurocode Factors'!$B$19/ 'Pile Data and Eurocode Factors'!$B$20+BU$215</f>
        <v>7925.4747873778306</v>
      </c>
      <c r="BV234" s="382">
        <f t="shared" si="189"/>
        <v>636.17251235193316</v>
      </c>
      <c r="BW234" s="382">
        <f>BQ234* Pile!$U$39</f>
        <v>0</v>
      </c>
      <c r="BX234" s="382">
        <f t="shared" si="212"/>
        <v>636.17251235193316</v>
      </c>
      <c r="BY234" s="382">
        <f>BX234/ 'Pile Data and Eurocode Factors'!$C$19/ 'Pile Data and Eurocode Factors'!$C$20</f>
        <v>267.29937493778709</v>
      </c>
      <c r="BZ234" s="382">
        <f t="shared" si="213"/>
        <v>8192.774162315618</v>
      </c>
      <c r="CA234" s="382">
        <f>VLOOKUP(BO234, 'Pile Data and Eurocode Factors'!$A$34:$J$39,3, FALSE)</f>
        <v>9464.7047474031824</v>
      </c>
      <c r="CB234" s="403">
        <f t="shared" si="214"/>
        <v>8192.774162315618</v>
      </c>
      <c r="CC234" s="419">
        <v>1050</v>
      </c>
      <c r="CD234" s="430">
        <f>PI()*CC234/1000*( Pile!$C$39- Pile!$C234)</f>
        <v>18.802432031734735</v>
      </c>
      <c r="CE234" s="382">
        <f t="shared" si="215"/>
        <v>0.86590147514568672</v>
      </c>
      <c r="CF234" s="382">
        <f t="shared" si="230"/>
        <v>564.07296095204208</v>
      </c>
      <c r="CG234" s="382">
        <f>CD234* Pile!$S$39</f>
        <v>564.07296095204208</v>
      </c>
      <c r="CH234" s="382">
        <f t="shared" si="236"/>
        <v>564.07296095204208</v>
      </c>
      <c r="CI234" s="382">
        <f>IF(CH234&gt;0,+CH234)/ 'Pile Data and Eurocode Factors'!$B$19/ 'Pile Data and Eurocode Factors'!$B$20+CI$215</f>
        <v>9246.3872519408033</v>
      </c>
      <c r="CJ234" s="382">
        <f t="shared" si="190"/>
        <v>865.90147514568673</v>
      </c>
      <c r="CK234" s="382">
        <f>CE234* Pile!$U$39</f>
        <v>0</v>
      </c>
      <c r="CL234" s="382">
        <f t="shared" si="216"/>
        <v>865.90147514568673</v>
      </c>
      <c r="CM234" s="382">
        <f>CL234/ 'Pile Data and Eurocode Factors'!$C$19/ 'Pile Data and Eurocode Factors'!$C$20</f>
        <v>363.82414922087679</v>
      </c>
      <c r="CN234" s="382">
        <f t="shared" si="217"/>
        <v>9610.2114011616795</v>
      </c>
      <c r="CO234" s="382">
        <f>VLOOKUP(CC234, 'Pile Data and Eurocode Factors'!$A$34:$J$39,3, FALSE)</f>
        <v>12882.514795076555</v>
      </c>
      <c r="CP234" s="403">
        <f t="shared" si="218"/>
        <v>9610.2114011616795</v>
      </c>
      <c r="CQ234" s="419">
        <v>1200</v>
      </c>
      <c r="CR234" s="430">
        <f>PI()*CQ234/1000*( Pile!$C$39- Pile!$C234)</f>
        <v>21.488493750553982</v>
      </c>
      <c r="CS234" s="382">
        <f t="shared" si="219"/>
        <v>1.1309733552923256</v>
      </c>
      <c r="CT234" s="382">
        <f t="shared" si="231"/>
        <v>644.65481251661947</v>
      </c>
      <c r="CU234" s="382">
        <f>CR234* Pile!$S$39</f>
        <v>644.65481251661947</v>
      </c>
      <c r="CV234" s="382">
        <f t="shared" si="237"/>
        <v>644.65481251661947</v>
      </c>
      <c r="CW234" s="382">
        <f>IF(CV234&gt;0,+CV234)/ 'Pile Data and Eurocode Factors'!$B$19/ 'Pile Data and Eurocode Factors'!$B$20+CW$215</f>
        <v>10567.299716503774</v>
      </c>
      <c r="CX234" s="382">
        <f t="shared" si="191"/>
        <v>1130.9733552923256</v>
      </c>
      <c r="CY234" s="382">
        <f>CS234* Pile!$U$39</f>
        <v>0</v>
      </c>
      <c r="CZ234" s="382">
        <f t="shared" si="220"/>
        <v>1130.9733552923256</v>
      </c>
      <c r="DA234" s="382">
        <f>CZ234/ 'Pile Data and Eurocode Factors'!$C$19/ 'Pile Data and Eurocode Factors'!$C$20</f>
        <v>475.19888877828811</v>
      </c>
      <c r="DB234" s="382">
        <f t="shared" si="221"/>
        <v>11042.498605282062</v>
      </c>
      <c r="DC234" s="382">
        <f>VLOOKUP(CQ234, 'Pile Data and Eurocode Factors'!$A$34:$J$39,3, FALSE)</f>
        <v>16826.141773161216</v>
      </c>
      <c r="DD234" s="403">
        <f t="shared" si="222"/>
        <v>11042.498605282062</v>
      </c>
      <c r="DE234" s="420">
        <f xml:space="preserve"> Pile!$C$23- Pile!C234</f>
        <v>47.699999999999946</v>
      </c>
      <c r="DG234" s="382">
        <f t="shared" si="223"/>
        <v>2366.1761868507956</v>
      </c>
      <c r="DH234" s="382">
        <f t="shared" si="224"/>
        <v>4206.5354432903041</v>
      </c>
      <c r="DI234" s="382">
        <f t="shared" si="225"/>
        <v>6572.7116301410997</v>
      </c>
      <c r="DJ234" s="382"/>
      <c r="DK234" s="382"/>
      <c r="DL234" s="382"/>
    </row>
    <row r="235" spans="1:116" s="308" customFormat="1" ht="15.75" thickBot="1">
      <c r="B235" s="400">
        <v>20</v>
      </c>
      <c r="C235" s="401">
        <f>+C234- Pile!D$39/20</f>
        <v>-41.999999999999943</v>
      </c>
      <c r="D235" s="415" t="str">
        <f>B26</f>
        <v>Medium Density Chalk</v>
      </c>
      <c r="E235" s="415" t="str">
        <f>F26</f>
        <v>Chalk</v>
      </c>
      <c r="F235" s="401">
        <f xml:space="preserve"> Pile!$E$39*(+C234-C235)+F234</f>
        <v>916.3987499999987</v>
      </c>
      <c r="G235" s="401">
        <f>IF(C235&gt; Pile!$C$41,0,( Pile!$C$41-C235)*9.81)</f>
        <v>264.86999999999944</v>
      </c>
      <c r="H235" s="401">
        <f t="shared" si="194"/>
        <v>651.52874999999926</v>
      </c>
      <c r="I235" s="401">
        <f t="shared" si="193"/>
        <v>620.25937499999975</v>
      </c>
      <c r="J235" s="401">
        <f>IF(E235="Cohesive",(( Pile!$H$39- Pile!$G$39)/20)+J234,0)</f>
        <v>0</v>
      </c>
      <c r="K235" s="401">
        <f>IF(E235="Cohesive",( Pile!$G$39+ Pile!$J235)/2,0)</f>
        <v>0</v>
      </c>
      <c r="L235" s="401" t="str">
        <f>IF( Pile!I$39="",0, Pile!I$39)</f>
        <v>0</v>
      </c>
      <c r="M235" s="401" t="str">
        <f>IF( Pile!J$39="",0, Pile!J$39)</f>
        <v>0</v>
      </c>
      <c r="N235" s="401">
        <f>IF(E235="Granular", Pile!$K$39,0)</f>
        <v>0</v>
      </c>
      <c r="O235" s="416">
        <f>IF(AND(E235="Granular",D235&lt;&gt;"Made Ground"), Pile!$L$39,0)</f>
        <v>0</v>
      </c>
      <c r="P235" s="401">
        <f>IF(OR(D235="Low Density Chalk",D235="Medium Density Chalk"), Pile!$M$39,0)</f>
        <v>0.8</v>
      </c>
      <c r="Q235" s="417">
        <f>IF(D235="High Density Chalk", Pile!$N$39,0)</f>
        <v>0</v>
      </c>
      <c r="R235" s="401">
        <f>IF( Pile!O$39="",0, Pile!O$39)</f>
        <v>9000</v>
      </c>
      <c r="S235" s="418">
        <f t="shared" si="195"/>
        <v>496.20749999999981</v>
      </c>
      <c r="T235" s="382">
        <f xml:space="preserve"> Pile!$T$39</f>
        <v>30</v>
      </c>
      <c r="U235" s="382">
        <f t="shared" si="196"/>
        <v>30</v>
      </c>
      <c r="V235" s="382">
        <f t="shared" si="197"/>
        <v>9000</v>
      </c>
      <c r="W235" s="382">
        <f xml:space="preserve"> Pile!$V$39</f>
        <v>1000</v>
      </c>
      <c r="X235" s="382">
        <f t="shared" si="198"/>
        <v>1000</v>
      </c>
      <c r="Y235" s="422">
        <v>450</v>
      </c>
      <c r="Z235" s="431">
        <f>PI()*Y235/1000*( Pile!$C$39- Pile!$C235)</f>
        <v>8.4823001646923615</v>
      </c>
      <c r="AA235" s="423">
        <f t="shared" si="199"/>
        <v>0.15904312808798329</v>
      </c>
      <c r="AB235" s="423">
        <f t="shared" si="226"/>
        <v>254.46900494077084</v>
      </c>
      <c r="AC235" s="423">
        <f>Z235* Pile!$S$39</f>
        <v>254.46900494077084</v>
      </c>
      <c r="AD235" s="423">
        <f t="shared" si="232"/>
        <v>254.46900494077084</v>
      </c>
      <c r="AE235" s="423">
        <f>IF(AD235&gt;0,+AD235)/ 'Pile Data and Eurocode Factors'!$B$19/ 'Pile Data and Eurocode Factors'!$B$20+AE$215</f>
        <v>3968.7961795208385</v>
      </c>
      <c r="AF235" s="423">
        <f t="shared" si="186"/>
        <v>159.04312808798329</v>
      </c>
      <c r="AG235" s="423">
        <f>AA235* Pile!$U$39</f>
        <v>0</v>
      </c>
      <c r="AH235" s="423">
        <f t="shared" si="200"/>
        <v>159.04312808798329</v>
      </c>
      <c r="AI235" s="423">
        <f>AH235/ 'Pile Data and Eurocode Factors'!$C$19/ 'Pile Data and Eurocode Factors'!$C$20</f>
        <v>66.824843734446773</v>
      </c>
      <c r="AJ235" s="423">
        <f t="shared" si="201"/>
        <v>4035.6210232552853</v>
      </c>
      <c r="AK235" s="423">
        <f>VLOOKUP(Y235, 'Pile Data and Eurocode Factors'!$A$34:$J$39,3, FALSE)</f>
        <v>2366.1761868507956</v>
      </c>
      <c r="AL235" s="424">
        <f t="shared" si="202"/>
        <v>2366.1761868507956</v>
      </c>
      <c r="AM235" s="422">
        <v>600</v>
      </c>
      <c r="AN235" s="431">
        <f>PI()*AM235/1000*( Pile!$C$39- Pile!$C235)</f>
        <v>11.309733552923149</v>
      </c>
      <c r="AO235" s="423">
        <f t="shared" si="203"/>
        <v>0.28274333882308139</v>
      </c>
      <c r="AP235" s="423">
        <f t="shared" si="227"/>
        <v>339.29200658769446</v>
      </c>
      <c r="AQ235" s="423">
        <f>AN235* Pile!$S$39</f>
        <v>339.29200658769446</v>
      </c>
      <c r="AR235" s="423">
        <f t="shared" si="233"/>
        <v>339.29200658769446</v>
      </c>
      <c r="AS235" s="423">
        <f>IF(AR235&gt;0,+AR235)/ 'Pile Data and Eurocode Factors'!$B$19/ 'Pile Data and Eurocode Factors'!$B$20+AS$215</f>
        <v>5291.7282393611176</v>
      </c>
      <c r="AT235" s="423">
        <f t="shared" si="187"/>
        <v>282.74333882308139</v>
      </c>
      <c r="AU235" s="423">
        <f>AO235* Pile!$U$39</f>
        <v>0</v>
      </c>
      <c r="AV235" s="423">
        <f t="shared" si="204"/>
        <v>282.74333882308139</v>
      </c>
      <c r="AW235" s="423">
        <f>AV235/ 'Pile Data and Eurocode Factors'!$C$19/ 'Pile Data and Eurocode Factors'!$C$20</f>
        <v>118.79972219457203</v>
      </c>
      <c r="AX235" s="423">
        <f t="shared" si="205"/>
        <v>5410.5279615556892</v>
      </c>
      <c r="AY235" s="423">
        <f>VLOOKUP(AM235, 'Pile Data and Eurocode Factors'!$A$34:$J$39,3, FALSE)</f>
        <v>4206.5354432903041</v>
      </c>
      <c r="AZ235" s="424">
        <f t="shared" si="206"/>
        <v>4206.5354432903041</v>
      </c>
      <c r="BA235" s="422">
        <v>750</v>
      </c>
      <c r="BB235" s="431">
        <f>PI()*BA235/1000*( Pile!$C$39- Pile!$C235)</f>
        <v>14.137166941153936</v>
      </c>
      <c r="BC235" s="423">
        <f t="shared" si="207"/>
        <v>0.44178646691106466</v>
      </c>
      <c r="BD235" s="423">
        <f t="shared" si="228"/>
        <v>424.11500823461807</v>
      </c>
      <c r="BE235" s="423">
        <f>BB235* Pile!$S$39</f>
        <v>424.11500823461807</v>
      </c>
      <c r="BF235" s="423">
        <f t="shared" si="234"/>
        <v>424.11500823461807</v>
      </c>
      <c r="BG235" s="423">
        <f>IF(BF235&gt;0,+BF235)/ 'Pile Data and Eurocode Factors'!$B$19/ 'Pile Data and Eurocode Factors'!$B$20+BG$215</f>
        <v>6614.6602992013977</v>
      </c>
      <c r="BH235" s="423">
        <f t="shared" si="188"/>
        <v>441.78646691106468</v>
      </c>
      <c r="BI235" s="423">
        <f>BC235* Pile!$U$39</f>
        <v>0</v>
      </c>
      <c r="BJ235" s="423">
        <f t="shared" si="208"/>
        <v>441.78646691106468</v>
      </c>
      <c r="BK235" s="423">
        <f>BJ235/ 'Pile Data and Eurocode Factors'!$C$19/ 'Pile Data and Eurocode Factors'!$C$20</f>
        <v>185.62456592901879</v>
      </c>
      <c r="BL235" s="423">
        <f t="shared" si="209"/>
        <v>6800.2848651304166</v>
      </c>
      <c r="BM235" s="423">
        <f>VLOOKUP(BA235, 'Pile Data and Eurocode Factors'!$A$34:$J$39,3, FALSE)</f>
        <v>6572.7116301410997</v>
      </c>
      <c r="BN235" s="424">
        <f t="shared" si="210"/>
        <v>6572.7116301410997</v>
      </c>
      <c r="BO235" s="422">
        <v>900</v>
      </c>
      <c r="BP235" s="431">
        <f>PI()*BO235/1000*( Pile!$C$39- Pile!$C235)</f>
        <v>16.964600329384723</v>
      </c>
      <c r="BQ235" s="423">
        <f t="shared" si="211"/>
        <v>0.63617251235193317</v>
      </c>
      <c r="BR235" s="423">
        <f t="shared" si="229"/>
        <v>508.93800988154169</v>
      </c>
      <c r="BS235" s="423">
        <f>BP235* Pile!$S$39</f>
        <v>508.93800988154169</v>
      </c>
      <c r="BT235" s="423">
        <f t="shared" si="235"/>
        <v>508.93800988154169</v>
      </c>
      <c r="BU235" s="423">
        <f>IF(BT235&gt;0,+BT235)/ 'Pile Data and Eurocode Factors'!$B$19/ 'Pile Data and Eurocode Factors'!$B$20+BU$215</f>
        <v>7937.5923590416769</v>
      </c>
      <c r="BV235" s="423">
        <f t="shared" si="189"/>
        <v>636.17251235193316</v>
      </c>
      <c r="BW235" s="423">
        <f>BQ235* Pile!$U$39</f>
        <v>0</v>
      </c>
      <c r="BX235" s="423">
        <f t="shared" si="212"/>
        <v>636.17251235193316</v>
      </c>
      <c r="BY235" s="423">
        <f>BX235/ 'Pile Data and Eurocode Factors'!$C$19/ 'Pile Data and Eurocode Factors'!$C$20</f>
        <v>267.29937493778709</v>
      </c>
      <c r="BZ235" s="423">
        <f t="shared" si="213"/>
        <v>8204.8917339794643</v>
      </c>
      <c r="CA235" s="423">
        <f>VLOOKUP(BO235, 'Pile Data and Eurocode Factors'!$A$34:$J$39,3, FALSE)</f>
        <v>9464.7047474031824</v>
      </c>
      <c r="CB235" s="424">
        <f t="shared" si="214"/>
        <v>8204.8917339794643</v>
      </c>
      <c r="CC235" s="422">
        <v>1050</v>
      </c>
      <c r="CD235" s="431">
        <f>PI()*CC235/1000*( Pile!$C$39- Pile!$C235)</f>
        <v>19.79203371761551</v>
      </c>
      <c r="CE235" s="423">
        <f t="shared" si="215"/>
        <v>0.86590147514568672</v>
      </c>
      <c r="CF235" s="423">
        <f t="shared" si="230"/>
        <v>593.76101152846536</v>
      </c>
      <c r="CG235" s="423">
        <f>CD235* Pile!$S$39</f>
        <v>593.76101152846536</v>
      </c>
      <c r="CH235" s="423">
        <f t="shared" si="236"/>
        <v>593.76101152846536</v>
      </c>
      <c r="CI235" s="423">
        <f>IF(CH235&gt;0,+CH235)/ 'Pile Data and Eurocode Factors'!$B$19/ 'Pile Data and Eurocode Factors'!$B$20+CI$215</f>
        <v>9260.5244188819561</v>
      </c>
      <c r="CJ235" s="423">
        <f t="shared" si="190"/>
        <v>865.90147514568673</v>
      </c>
      <c r="CK235" s="423">
        <f>CE235* Pile!$U$39</f>
        <v>0</v>
      </c>
      <c r="CL235" s="423">
        <f t="shared" si="216"/>
        <v>865.90147514568673</v>
      </c>
      <c r="CM235" s="423">
        <f>CL235/ 'Pile Data and Eurocode Factors'!$C$19/ 'Pile Data and Eurocode Factors'!$C$20</f>
        <v>363.82414922087679</v>
      </c>
      <c r="CN235" s="423">
        <f t="shared" si="217"/>
        <v>9624.3485681028324</v>
      </c>
      <c r="CO235" s="423">
        <f>VLOOKUP(CC235, 'Pile Data and Eurocode Factors'!$A$34:$J$39,3, FALSE)</f>
        <v>12882.514795076555</v>
      </c>
      <c r="CP235" s="424">
        <f t="shared" si="218"/>
        <v>9624.3485681028324</v>
      </c>
      <c r="CQ235" s="422">
        <v>1200</v>
      </c>
      <c r="CR235" s="431">
        <f>PI()*CQ235/1000*( Pile!$C$39- Pile!$C235)</f>
        <v>22.619467105846297</v>
      </c>
      <c r="CS235" s="423">
        <f t="shared" si="219"/>
        <v>1.1309733552923256</v>
      </c>
      <c r="CT235" s="423">
        <f t="shared" si="231"/>
        <v>678.58401317538892</v>
      </c>
      <c r="CU235" s="423">
        <f>CR235* Pile!$S$39</f>
        <v>678.58401317538892</v>
      </c>
      <c r="CV235" s="423">
        <f t="shared" si="237"/>
        <v>678.58401317538892</v>
      </c>
      <c r="CW235" s="423">
        <f>IF(CV235&gt;0,+CV235)/ 'Pile Data and Eurocode Factors'!$B$19/ 'Pile Data and Eurocode Factors'!$B$20+CW$215</f>
        <v>10583.456478722235</v>
      </c>
      <c r="CX235" s="423">
        <f t="shared" si="191"/>
        <v>1130.9733552923256</v>
      </c>
      <c r="CY235" s="423">
        <f>CS235* Pile!$U$39</f>
        <v>0</v>
      </c>
      <c r="CZ235" s="423">
        <f t="shared" si="220"/>
        <v>1130.9733552923256</v>
      </c>
      <c r="DA235" s="423">
        <f>CZ235/ 'Pile Data and Eurocode Factors'!$C$19/ 'Pile Data and Eurocode Factors'!$C$20</f>
        <v>475.19888877828811</v>
      </c>
      <c r="DB235" s="423">
        <f t="shared" si="221"/>
        <v>11058.655367500523</v>
      </c>
      <c r="DC235" s="423">
        <f>VLOOKUP(CQ235, 'Pile Data and Eurocode Factors'!$A$34:$J$39,3, FALSE)</f>
        <v>16826.141773161216</v>
      </c>
      <c r="DD235" s="424">
        <f t="shared" si="222"/>
        <v>11058.655367500523</v>
      </c>
      <c r="DE235" s="420">
        <f xml:space="preserve"> Pile!$C$23- Pile!C235</f>
        <v>47.999999999999943</v>
      </c>
      <c r="DG235" s="382">
        <f t="shared" si="223"/>
        <v>2366.1761868507956</v>
      </c>
      <c r="DH235" s="382">
        <f t="shared" si="224"/>
        <v>4206.5354432903041</v>
      </c>
      <c r="DI235" s="382">
        <f t="shared" si="225"/>
        <v>6572.7116301410997</v>
      </c>
      <c r="DJ235" s="382"/>
      <c r="DK235" s="382"/>
      <c r="DL235" s="382"/>
    </row>
    <row r="236" spans="1:116" s="308" customFormat="1" ht="15">
      <c r="B236" s="400"/>
      <c r="C236" s="401"/>
      <c r="D236" s="401"/>
      <c r="E236" s="401"/>
      <c r="F236" s="401"/>
      <c r="G236" s="401"/>
      <c r="H236" s="401"/>
      <c r="I236" s="401"/>
      <c r="J236" s="401"/>
      <c r="K236" s="401"/>
      <c r="L236" s="401"/>
      <c r="M236" s="401"/>
      <c r="N236" s="401"/>
      <c r="O236" s="416"/>
      <c r="P236" s="401"/>
      <c r="Q236" s="417"/>
      <c r="R236" s="417"/>
      <c r="S236" s="418"/>
      <c r="T236" s="382"/>
      <c r="U236" s="382"/>
      <c r="V236" s="382"/>
      <c r="W236" s="382"/>
      <c r="X236" s="382"/>
      <c r="Y236" s="382"/>
      <c r="Z236" s="382"/>
      <c r="AA236" s="382"/>
      <c r="AB236" s="382"/>
      <c r="AC236" s="382"/>
      <c r="AD236" s="382"/>
      <c r="AE236" s="382"/>
      <c r="AF236" s="382"/>
      <c r="AG236" s="382"/>
      <c r="AH236" s="382"/>
      <c r="AI236" s="382"/>
      <c r="AJ236" s="382"/>
      <c r="AK236" s="382"/>
      <c r="AL236" s="382"/>
      <c r="AM236" s="382"/>
      <c r="AN236" s="382"/>
      <c r="AO236" s="382"/>
      <c r="AP236" s="382"/>
      <c r="AQ236" s="382"/>
      <c r="AR236" s="382"/>
      <c r="AS236" s="382"/>
      <c r="AT236" s="382"/>
      <c r="AU236" s="382"/>
      <c r="AV236" s="382"/>
      <c r="AW236" s="382"/>
      <c r="AX236" s="382"/>
      <c r="AY236" s="382"/>
      <c r="AZ236" s="382"/>
      <c r="BA236" s="382"/>
      <c r="BB236" s="382"/>
      <c r="BC236" s="382"/>
      <c r="BD236" s="382"/>
      <c r="BE236" s="382"/>
      <c r="BF236" s="382"/>
      <c r="BG236" s="382"/>
      <c r="BH236" s="382"/>
      <c r="BI236" s="382"/>
      <c r="BJ236" s="382"/>
      <c r="BK236" s="382"/>
      <c r="BL236" s="382"/>
      <c r="BM236" s="382"/>
      <c r="BN236" s="382"/>
      <c r="BO236" s="382"/>
      <c r="BP236" s="382"/>
      <c r="BQ236" s="382"/>
      <c r="BR236" s="382"/>
      <c r="BS236" s="382"/>
      <c r="BT236" s="382"/>
      <c r="BU236" s="382"/>
      <c r="BV236" s="382"/>
      <c r="BW236" s="382"/>
      <c r="BX236" s="382"/>
      <c r="BY236" s="382"/>
      <c r="BZ236" s="382"/>
      <c r="CA236" s="382"/>
      <c r="CB236" s="382"/>
      <c r="CC236" s="382"/>
      <c r="CD236" s="382"/>
      <c r="CE236" s="382"/>
      <c r="CF236" s="382"/>
      <c r="CG236" s="382"/>
      <c r="CH236" s="382"/>
      <c r="CI236" s="382"/>
      <c r="CJ236" s="382"/>
      <c r="CK236" s="382"/>
      <c r="CL236" s="382"/>
      <c r="CM236" s="382"/>
      <c r="CN236" s="382"/>
      <c r="CO236" s="382"/>
      <c r="CP236" s="382"/>
      <c r="CQ236" s="382"/>
      <c r="CR236" s="382"/>
      <c r="CS236" s="382"/>
      <c r="CT236" s="382"/>
      <c r="CU236" s="382"/>
      <c r="CV236" s="382"/>
      <c r="CW236" s="382"/>
      <c r="CX236" s="382"/>
      <c r="CY236" s="382"/>
      <c r="CZ236" s="382"/>
      <c r="DA236" s="382"/>
      <c r="DB236" s="382"/>
      <c r="DC236" s="382"/>
      <c r="DD236" s="382"/>
      <c r="DG236" s="382"/>
      <c r="DH236" s="382"/>
      <c r="DI236" s="382"/>
      <c r="DJ236" s="382"/>
      <c r="DK236" s="382"/>
      <c r="DL236" s="382"/>
    </row>
    <row r="237" spans="1:116" s="308" customFormat="1" ht="15">
      <c r="C237" s="400"/>
      <c r="D237" s="401"/>
      <c r="E237" s="401"/>
      <c r="F237" s="401"/>
      <c r="G237" s="401"/>
      <c r="H237" s="401"/>
      <c r="I237" s="401"/>
      <c r="J237" s="401"/>
      <c r="K237" s="401"/>
      <c r="L237" s="401"/>
      <c r="M237" s="401"/>
      <c r="N237" s="401"/>
      <c r="O237" s="401"/>
      <c r="P237" s="401"/>
      <c r="Q237" s="401"/>
      <c r="R237" s="401"/>
      <c r="S237" s="401"/>
      <c r="T237" s="401"/>
      <c r="U237" s="401"/>
      <c r="V237" s="401"/>
      <c r="W237" s="401"/>
      <c r="X237" s="401"/>
      <c r="Y237" s="416"/>
      <c r="Z237" s="416"/>
      <c r="AA237" s="416"/>
      <c r="AB237" s="416"/>
      <c r="AC237" s="416"/>
      <c r="AD237" s="416"/>
      <c r="AE237" s="416"/>
      <c r="AF237" s="416"/>
      <c r="AG237" s="416"/>
      <c r="AH237" s="416"/>
      <c r="AI237" s="416"/>
      <c r="AJ237" s="416"/>
      <c r="AK237" s="416"/>
      <c r="AL237" s="416"/>
      <c r="AM237" s="401"/>
      <c r="AN237" s="401"/>
      <c r="AO237" s="401"/>
      <c r="AP237" s="401"/>
      <c r="AQ237" s="401"/>
      <c r="AR237" s="401"/>
      <c r="AS237" s="401"/>
      <c r="AT237" s="401"/>
      <c r="AU237" s="401"/>
      <c r="AV237" s="401"/>
      <c r="AW237" s="401"/>
      <c r="AX237" s="401"/>
      <c r="AY237" s="401"/>
      <c r="AZ237" s="401"/>
      <c r="BA237" s="401"/>
      <c r="BB237" s="401"/>
      <c r="BC237" s="401"/>
      <c r="BD237" s="401"/>
      <c r="BE237" s="401"/>
      <c r="BF237" s="401"/>
      <c r="BG237" s="401"/>
      <c r="BH237" s="401"/>
      <c r="BI237" s="401"/>
      <c r="BJ237" s="401"/>
      <c r="BK237" s="401"/>
      <c r="BL237" s="401"/>
      <c r="BM237" s="401"/>
      <c r="BN237" s="401"/>
      <c r="BO237" s="401"/>
      <c r="BP237" s="401"/>
      <c r="BQ237" s="401"/>
      <c r="BR237" s="401"/>
      <c r="BS237" s="401"/>
      <c r="BT237" s="401"/>
      <c r="BU237" s="401"/>
      <c r="BV237" s="401"/>
      <c r="BW237" s="401"/>
      <c r="BX237" s="401"/>
      <c r="BY237" s="401"/>
      <c r="BZ237" s="401"/>
      <c r="CA237" s="401"/>
      <c r="CB237" s="401"/>
      <c r="CC237" s="401"/>
      <c r="CD237" s="401"/>
      <c r="CE237" s="401"/>
      <c r="CF237" s="401"/>
      <c r="CG237" s="401"/>
      <c r="CH237" s="401"/>
      <c r="CI237" s="401"/>
      <c r="CJ237" s="401"/>
      <c r="CK237" s="401"/>
      <c r="CL237" s="401"/>
      <c r="CM237" s="401"/>
      <c r="CN237" s="401"/>
      <c r="CO237" s="401"/>
      <c r="CP237" s="401"/>
      <c r="CQ237" s="401"/>
      <c r="CR237" s="401"/>
      <c r="CS237" s="401"/>
      <c r="CT237" s="401"/>
      <c r="CU237" s="401"/>
      <c r="CV237" s="401"/>
      <c r="CW237" s="401"/>
      <c r="CX237" s="417"/>
      <c r="CY237" s="417"/>
    </row>
    <row r="238" spans="1:116" s="308" customFormat="1" ht="35.450000000000003" customHeight="1" thickBot="1">
      <c r="A238" s="432"/>
      <c r="B238" s="433" t="s">
        <v>850</v>
      </c>
      <c r="C238" s="380"/>
      <c r="D238" s="380"/>
      <c r="I238" s="401"/>
      <c r="N238" s="400"/>
      <c r="S238" s="381"/>
      <c r="T238" s="381"/>
      <c r="U238" s="381"/>
      <c r="V238" s="381"/>
      <c r="W238" s="381"/>
      <c r="X238" s="381"/>
      <c r="Y238" s="382"/>
      <c r="Z238" s="382"/>
      <c r="AA238" s="382"/>
      <c r="AB238" s="382"/>
      <c r="AC238" s="382"/>
      <c r="AD238" s="382"/>
      <c r="AE238" s="382"/>
      <c r="AF238" s="382"/>
      <c r="AG238" s="382"/>
      <c r="AH238" s="382"/>
      <c r="AI238" s="382"/>
      <c r="AJ238" s="382"/>
      <c r="AK238" s="382"/>
      <c r="AL238" s="382"/>
    </row>
    <row r="239" spans="1:116" s="308" customFormat="1" ht="24.75" customHeight="1" thickBot="1">
      <c r="B239" s="383" t="s">
        <v>792</v>
      </c>
      <c r="C239" s="384"/>
      <c r="D239" s="385"/>
      <c r="E239" s="386"/>
      <c r="F239" s="383" t="s">
        <v>793</v>
      </c>
      <c r="G239" s="384"/>
      <c r="H239" s="385"/>
      <c r="I239" s="386"/>
      <c r="J239" s="383" t="s">
        <v>794</v>
      </c>
      <c r="K239" s="384"/>
      <c r="L239" s="385"/>
      <c r="M239" s="386"/>
      <c r="N239" s="385" t="s">
        <v>795</v>
      </c>
      <c r="O239" s="384"/>
      <c r="P239" s="383" t="s">
        <v>796</v>
      </c>
      <c r="Q239" s="384"/>
      <c r="R239" s="386"/>
      <c r="S239" s="383" t="s">
        <v>797</v>
      </c>
      <c r="T239" s="387"/>
      <c r="U239" s="387"/>
      <c r="V239" s="387"/>
      <c r="W239" s="387"/>
      <c r="X239" s="388"/>
      <c r="Y239" s="389" t="s">
        <v>798</v>
      </c>
      <c r="Z239" s="390"/>
      <c r="AA239" s="390"/>
      <c r="AB239" s="390"/>
      <c r="AC239" s="390"/>
      <c r="AD239" s="390"/>
      <c r="AE239" s="390"/>
      <c r="AF239" s="390"/>
      <c r="AG239" s="390"/>
      <c r="AH239" s="390"/>
      <c r="AI239" s="390"/>
      <c r="AJ239" s="390"/>
      <c r="AK239" s="390"/>
      <c r="AL239" s="391"/>
      <c r="AM239" s="389" t="s">
        <v>799</v>
      </c>
      <c r="AN239" s="390"/>
      <c r="AO239" s="390"/>
      <c r="AP239" s="390"/>
      <c r="AQ239" s="390"/>
      <c r="AR239" s="390"/>
      <c r="AS239" s="390"/>
      <c r="AT239" s="390"/>
      <c r="AU239" s="390"/>
      <c r="AV239" s="390"/>
      <c r="AW239" s="390"/>
      <c r="AX239" s="390"/>
      <c r="AY239" s="390"/>
      <c r="AZ239" s="391"/>
      <c r="BA239" s="389" t="s">
        <v>800</v>
      </c>
      <c r="BB239" s="390"/>
      <c r="BC239" s="390"/>
      <c r="BD239" s="390"/>
      <c r="BE239" s="390"/>
      <c r="BF239" s="390"/>
      <c r="BG239" s="390"/>
      <c r="BH239" s="390"/>
      <c r="BI239" s="390"/>
      <c r="BJ239" s="390"/>
      <c r="BK239" s="390"/>
      <c r="BL239" s="390"/>
      <c r="BM239" s="390"/>
      <c r="BN239" s="391"/>
      <c r="BO239" s="389" t="s">
        <v>801</v>
      </c>
      <c r="BP239" s="392"/>
      <c r="BQ239" s="392"/>
      <c r="BR239" s="392"/>
      <c r="BS239" s="392"/>
      <c r="BT239" s="392"/>
      <c r="BU239" s="392"/>
      <c r="BV239" s="392"/>
      <c r="BW239" s="392"/>
      <c r="BX239" s="392"/>
      <c r="BY239" s="392"/>
      <c r="BZ239" s="392"/>
      <c r="CA239" s="392"/>
      <c r="CB239" s="393"/>
      <c r="CC239" s="389" t="s">
        <v>802</v>
      </c>
      <c r="CD239" s="392"/>
      <c r="CE239" s="392"/>
      <c r="CF239" s="392"/>
      <c r="CG239" s="392"/>
      <c r="CH239" s="392"/>
      <c r="CI239" s="392"/>
      <c r="CJ239" s="392"/>
      <c r="CK239" s="392"/>
      <c r="CL239" s="392"/>
      <c r="CM239" s="392"/>
      <c r="CN239" s="392"/>
      <c r="CO239" s="392"/>
      <c r="CP239" s="393"/>
      <c r="CQ239" s="389" t="s">
        <v>803</v>
      </c>
      <c r="CR239" s="392"/>
      <c r="CS239" s="392"/>
      <c r="CT239" s="392"/>
      <c r="CU239" s="392"/>
      <c r="CV239" s="392"/>
      <c r="CW239" s="392"/>
      <c r="CX239" s="392"/>
      <c r="CY239" s="392"/>
      <c r="CZ239" s="392"/>
      <c r="DA239" s="392"/>
      <c r="DB239" s="392"/>
      <c r="DC239" s="392"/>
      <c r="DD239" s="393"/>
    </row>
    <row r="240" spans="1:116" s="308" customFormat="1" ht="106.5">
      <c r="B240" s="394"/>
      <c r="C240" s="395" t="s">
        <v>804</v>
      </c>
      <c r="D240" s="395" t="s">
        <v>761</v>
      </c>
      <c r="E240" s="395" t="s">
        <v>103</v>
      </c>
      <c r="F240" s="395" t="s">
        <v>805</v>
      </c>
      <c r="G240" s="395" t="s">
        <v>806</v>
      </c>
      <c r="H240" s="395" t="s">
        <v>807</v>
      </c>
      <c r="I240" s="395" t="s">
        <v>808</v>
      </c>
      <c r="J240" s="395" t="s">
        <v>809</v>
      </c>
      <c r="K240" s="395" t="s">
        <v>810</v>
      </c>
      <c r="L240" s="395" t="s">
        <v>811</v>
      </c>
      <c r="M240" s="395" t="s">
        <v>775</v>
      </c>
      <c r="N240" s="395" t="s">
        <v>776</v>
      </c>
      <c r="O240" s="395" t="s">
        <v>812</v>
      </c>
      <c r="P240" s="395" t="s">
        <v>787</v>
      </c>
      <c r="Q240" s="395" t="s">
        <v>813</v>
      </c>
      <c r="R240" s="395" t="s">
        <v>814</v>
      </c>
      <c r="S240" s="395" t="s">
        <v>815</v>
      </c>
      <c r="T240" s="395" t="s">
        <v>816</v>
      </c>
      <c r="U240" s="395" t="s">
        <v>817</v>
      </c>
      <c r="V240" s="395" t="s">
        <v>818</v>
      </c>
      <c r="W240" s="395" t="s">
        <v>819</v>
      </c>
      <c r="X240" s="395" t="s">
        <v>820</v>
      </c>
      <c r="Y240" s="427" t="s">
        <v>821</v>
      </c>
      <c r="Z240" s="399" t="s">
        <v>822</v>
      </c>
      <c r="AA240" s="399" t="s">
        <v>823</v>
      </c>
      <c r="AB240" s="399" t="s">
        <v>824</v>
      </c>
      <c r="AC240" s="399" t="s">
        <v>825</v>
      </c>
      <c r="AD240" s="399" t="s">
        <v>826</v>
      </c>
      <c r="AE240" s="399" t="s">
        <v>827</v>
      </c>
      <c r="AF240" s="399" t="s">
        <v>828</v>
      </c>
      <c r="AG240" s="399" t="s">
        <v>829</v>
      </c>
      <c r="AH240" s="399" t="s">
        <v>830</v>
      </c>
      <c r="AI240" s="399" t="s">
        <v>831</v>
      </c>
      <c r="AJ240" s="399" t="s">
        <v>832</v>
      </c>
      <c r="AK240" s="399" t="s">
        <v>833</v>
      </c>
      <c r="AL240" s="428" t="s">
        <v>834</v>
      </c>
      <c r="AM240" s="427" t="s">
        <v>821</v>
      </c>
      <c r="AN240" s="399" t="s">
        <v>822</v>
      </c>
      <c r="AO240" s="399" t="s">
        <v>823</v>
      </c>
      <c r="AP240" s="399" t="s">
        <v>824</v>
      </c>
      <c r="AQ240" s="399" t="s">
        <v>825</v>
      </c>
      <c r="AR240" s="399" t="s">
        <v>826</v>
      </c>
      <c r="AS240" s="399" t="s">
        <v>827</v>
      </c>
      <c r="AT240" s="399" t="s">
        <v>828</v>
      </c>
      <c r="AU240" s="399" t="s">
        <v>829</v>
      </c>
      <c r="AV240" s="399" t="s">
        <v>830</v>
      </c>
      <c r="AW240" s="399" t="s">
        <v>831</v>
      </c>
      <c r="AX240" s="399" t="s">
        <v>832</v>
      </c>
      <c r="AY240" s="399" t="s">
        <v>833</v>
      </c>
      <c r="AZ240" s="428" t="s">
        <v>834</v>
      </c>
      <c r="BA240" s="427" t="s">
        <v>821</v>
      </c>
      <c r="BB240" s="399" t="s">
        <v>822</v>
      </c>
      <c r="BC240" s="399" t="s">
        <v>823</v>
      </c>
      <c r="BD240" s="399" t="s">
        <v>824</v>
      </c>
      <c r="BE240" s="399" t="s">
        <v>825</v>
      </c>
      <c r="BF240" s="399" t="s">
        <v>826</v>
      </c>
      <c r="BG240" s="399" t="s">
        <v>827</v>
      </c>
      <c r="BH240" s="399" t="s">
        <v>828</v>
      </c>
      <c r="BI240" s="399" t="s">
        <v>829</v>
      </c>
      <c r="BJ240" s="399" t="s">
        <v>830</v>
      </c>
      <c r="BK240" s="399" t="s">
        <v>831</v>
      </c>
      <c r="BL240" s="399" t="s">
        <v>832</v>
      </c>
      <c r="BM240" s="399" t="s">
        <v>833</v>
      </c>
      <c r="BN240" s="428" t="s">
        <v>834</v>
      </c>
      <c r="BO240" s="427" t="s">
        <v>821</v>
      </c>
      <c r="BP240" s="399" t="s">
        <v>822</v>
      </c>
      <c r="BQ240" s="399" t="s">
        <v>823</v>
      </c>
      <c r="BR240" s="399" t="s">
        <v>824</v>
      </c>
      <c r="BS240" s="399" t="s">
        <v>825</v>
      </c>
      <c r="BT240" s="399" t="s">
        <v>826</v>
      </c>
      <c r="BU240" s="399" t="s">
        <v>827</v>
      </c>
      <c r="BV240" s="399" t="s">
        <v>828</v>
      </c>
      <c r="BW240" s="399" t="s">
        <v>829</v>
      </c>
      <c r="BX240" s="399" t="s">
        <v>830</v>
      </c>
      <c r="BY240" s="399" t="s">
        <v>831</v>
      </c>
      <c r="BZ240" s="399" t="s">
        <v>832</v>
      </c>
      <c r="CA240" s="399" t="s">
        <v>833</v>
      </c>
      <c r="CB240" s="428" t="s">
        <v>834</v>
      </c>
      <c r="CC240" s="427" t="s">
        <v>821</v>
      </c>
      <c r="CD240" s="399" t="s">
        <v>822</v>
      </c>
      <c r="CE240" s="399" t="s">
        <v>823</v>
      </c>
      <c r="CF240" s="399" t="s">
        <v>824</v>
      </c>
      <c r="CG240" s="399" t="s">
        <v>825</v>
      </c>
      <c r="CH240" s="399" t="s">
        <v>826</v>
      </c>
      <c r="CI240" s="399" t="s">
        <v>827</v>
      </c>
      <c r="CJ240" s="399" t="s">
        <v>828</v>
      </c>
      <c r="CK240" s="399" t="s">
        <v>829</v>
      </c>
      <c r="CL240" s="399" t="s">
        <v>830</v>
      </c>
      <c r="CM240" s="399" t="s">
        <v>831</v>
      </c>
      <c r="CN240" s="399" t="s">
        <v>832</v>
      </c>
      <c r="CO240" s="399" t="s">
        <v>833</v>
      </c>
      <c r="CP240" s="428" t="s">
        <v>834</v>
      </c>
      <c r="CQ240" s="427" t="s">
        <v>821</v>
      </c>
      <c r="CR240" s="399" t="s">
        <v>822</v>
      </c>
      <c r="CS240" s="399" t="s">
        <v>823</v>
      </c>
      <c r="CT240" s="399" t="s">
        <v>824</v>
      </c>
      <c r="CU240" s="399" t="s">
        <v>825</v>
      </c>
      <c r="CV240" s="399" t="s">
        <v>826</v>
      </c>
      <c r="CW240" s="399" t="s">
        <v>827</v>
      </c>
      <c r="CX240" s="399" t="s">
        <v>828</v>
      </c>
      <c r="CY240" s="399" t="s">
        <v>829</v>
      </c>
      <c r="CZ240" s="399" t="s">
        <v>830</v>
      </c>
      <c r="DA240" s="399" t="s">
        <v>831</v>
      </c>
      <c r="DB240" s="399" t="s">
        <v>832</v>
      </c>
      <c r="DC240" s="399" t="s">
        <v>833</v>
      </c>
      <c r="DD240" s="428" t="s">
        <v>834</v>
      </c>
      <c r="DE240" s="399" t="s">
        <v>847</v>
      </c>
      <c r="DG240" s="399" t="s">
        <v>836</v>
      </c>
      <c r="DH240" s="399" t="s">
        <v>837</v>
      </c>
      <c r="DI240" s="399" t="s">
        <v>838</v>
      </c>
      <c r="DJ240" s="399" t="s">
        <v>839</v>
      </c>
      <c r="DK240" s="399" t="s">
        <v>840</v>
      </c>
      <c r="DL240" s="399" t="s">
        <v>841</v>
      </c>
    </row>
    <row r="241" spans="2:116" s="308" customFormat="1" ht="15.75">
      <c r="B241" s="400"/>
      <c r="C241" s="401" t="s">
        <v>67</v>
      </c>
      <c r="D241" s="401"/>
      <c r="E241" s="401"/>
      <c r="F241" s="401" t="s">
        <v>842</v>
      </c>
      <c r="G241" s="401" t="s">
        <v>842</v>
      </c>
      <c r="H241" s="401" t="s">
        <v>842</v>
      </c>
      <c r="I241" s="401" t="s">
        <v>842</v>
      </c>
      <c r="J241" s="401" t="s">
        <v>842</v>
      </c>
      <c r="K241" s="401" t="s">
        <v>842</v>
      </c>
      <c r="M241" s="401"/>
      <c r="N241" s="400"/>
      <c r="S241" s="401" t="s">
        <v>842</v>
      </c>
      <c r="T241" s="401" t="s">
        <v>842</v>
      </c>
      <c r="U241" s="401" t="s">
        <v>842</v>
      </c>
      <c r="V241" s="401" t="s">
        <v>842</v>
      </c>
      <c r="W241" s="401" t="s">
        <v>842</v>
      </c>
      <c r="X241" s="401" t="s">
        <v>842</v>
      </c>
      <c r="Y241" s="402" t="s">
        <v>843</v>
      </c>
      <c r="Z241" s="382"/>
      <c r="AA241" s="382"/>
      <c r="AB241" s="382"/>
      <c r="AC241" s="382"/>
      <c r="AD241" s="382"/>
      <c r="AE241" s="382"/>
      <c r="AF241" s="382"/>
      <c r="AG241" s="382"/>
      <c r="AH241" s="382"/>
      <c r="AI241" s="382"/>
      <c r="AJ241" s="382"/>
      <c r="AK241" s="382"/>
      <c r="AL241" s="403"/>
      <c r="AM241" s="402" t="s">
        <v>843</v>
      </c>
      <c r="AN241" s="382"/>
      <c r="AO241" s="382"/>
      <c r="AP241" s="382"/>
      <c r="AQ241" s="382"/>
      <c r="AR241" s="382"/>
      <c r="AS241" s="382"/>
      <c r="AT241" s="382"/>
      <c r="AU241" s="382"/>
      <c r="AV241" s="382"/>
      <c r="AW241" s="382"/>
      <c r="AX241" s="382"/>
      <c r="AY241" s="382"/>
      <c r="AZ241" s="403"/>
      <c r="BA241" s="402" t="s">
        <v>843</v>
      </c>
      <c r="BB241" s="382"/>
      <c r="BC241" s="382"/>
      <c r="BD241" s="382"/>
      <c r="BE241" s="382"/>
      <c r="BF241" s="382"/>
      <c r="BG241" s="382"/>
      <c r="BH241" s="382"/>
      <c r="BI241" s="382"/>
      <c r="BJ241" s="382"/>
      <c r="BK241" s="382"/>
      <c r="BL241" s="382"/>
      <c r="BM241" s="382"/>
      <c r="BN241" s="403"/>
      <c r="BO241" s="402" t="s">
        <v>843</v>
      </c>
      <c r="BP241" s="382"/>
      <c r="BQ241" s="382"/>
      <c r="BR241" s="382"/>
      <c r="BS241" s="382"/>
      <c r="BT241" s="382"/>
      <c r="BU241" s="382"/>
      <c r="BV241" s="382"/>
      <c r="BW241" s="382"/>
      <c r="BX241" s="382"/>
      <c r="BY241" s="382"/>
      <c r="BZ241" s="382"/>
      <c r="CA241" s="382"/>
      <c r="CB241" s="403"/>
      <c r="CC241" s="402" t="s">
        <v>843</v>
      </c>
      <c r="CD241" s="382"/>
      <c r="CE241" s="382"/>
      <c r="CF241" s="382"/>
      <c r="CG241" s="382"/>
      <c r="CH241" s="382"/>
      <c r="CI241" s="382"/>
      <c r="CJ241" s="382"/>
      <c r="CK241" s="382"/>
      <c r="CL241" s="382"/>
      <c r="CM241" s="382"/>
      <c r="CN241" s="382"/>
      <c r="CO241" s="382"/>
      <c r="CP241" s="403"/>
      <c r="CQ241" s="402" t="s">
        <v>843</v>
      </c>
      <c r="CR241" s="382"/>
      <c r="CS241" s="382"/>
      <c r="CT241" s="382"/>
      <c r="CU241" s="382"/>
      <c r="CV241" s="382"/>
      <c r="CW241" s="382"/>
      <c r="CX241" s="382"/>
      <c r="CY241" s="382"/>
      <c r="CZ241" s="382"/>
      <c r="DA241" s="382"/>
      <c r="DB241" s="382"/>
      <c r="DC241" s="382"/>
      <c r="DD241" s="403"/>
    </row>
    <row r="242" spans="2:116" s="414" customFormat="1" ht="15">
      <c r="B242" s="404">
        <v>1</v>
      </c>
      <c r="C242" s="405">
        <f xml:space="preserve"> Pile!C49- Pile!D49/20</f>
        <v>5.7</v>
      </c>
      <c r="D242" s="406" t="str">
        <f>B23</f>
        <v>Loose Sand/Gravel</v>
      </c>
      <c r="E242" s="406" t="str">
        <f>F23</f>
        <v>Granular</v>
      </c>
      <c r="F242" s="405">
        <f xml:space="preserve"> Pile!$E$49*( Pile!$C$49- Pile!C242)</f>
        <v>4.9499999999999975</v>
      </c>
      <c r="G242" s="405">
        <f>IF(C242&gt; Pile!$C$54,0,( Pile!$C$54-C242)*9.81)</f>
        <v>0</v>
      </c>
      <c r="H242" s="405">
        <f t="shared" ref="H242:H305" si="238">F242-G242</f>
        <v>4.9499999999999975</v>
      </c>
      <c r="I242" s="405">
        <f t="shared" ref="I242:I261" si="239">H242/2</f>
        <v>2.4749999999999988</v>
      </c>
      <c r="J242" s="405">
        <f>IF(E242="Cohesive", Pile!$G$49+(( Pile!$H$49- Pile!$G$49)/20),0)</f>
        <v>0</v>
      </c>
      <c r="K242" s="405">
        <f>IF(E242="Cohesive",( Pile!$G$49+ Pile!$J242)/2,0)</f>
        <v>0</v>
      </c>
      <c r="L242" s="405" t="str">
        <f>IF( Pile!I$49="",0, Pile!I$49)</f>
        <v>0</v>
      </c>
      <c r="M242" s="405" t="str">
        <f>IF( Pile!J$49="",0, Pile!J$49)</f>
        <v>0</v>
      </c>
      <c r="N242" s="405">
        <f>IF(E242="Granular", Pile!$K$49,0)</f>
        <v>18.401122218708668</v>
      </c>
      <c r="O242" s="407">
        <f>IF(AND(E242="Granular",D242&lt;&gt;"Made Ground"), Pile!$L$49,0)</f>
        <v>0.51961524227066314</v>
      </c>
      <c r="P242" s="405">
        <f>IF(OR(D242="Low Density Chalk",D242="Medium Density Chalk"), Pile!$M$49,0)</f>
        <v>0</v>
      </c>
      <c r="Q242" s="408">
        <f>IF(D242="High Density Chalk", Pile!$N$49,0)</f>
        <v>0</v>
      </c>
      <c r="R242" s="405">
        <f>IF( Pile!O$49="",0, Pile!O$49)</f>
        <v>0</v>
      </c>
      <c r="S242" s="409">
        <f t="shared" ref="S242:S305" si="240">P242*I242+L242*K242+O242*I242+Q242*I242</f>
        <v>1.2860477246198907</v>
      </c>
      <c r="T242" s="410">
        <f xml:space="preserve"> Pile!$T$49</f>
        <v>1200</v>
      </c>
      <c r="U242" s="410">
        <f t="shared" ref="U242:U305" si="241">IF(T242&gt;0,MIN(S242:T242),S242)</f>
        <v>1.2860477246198907</v>
      </c>
      <c r="V242" s="410">
        <f t="shared" ref="V242:V305" si="242">R242+M242*J242+N242*H242</f>
        <v>91.08555498260786</v>
      </c>
      <c r="W242" s="410">
        <f xml:space="preserve"> Pile!$V$49</f>
        <v>15000</v>
      </c>
      <c r="X242" s="410">
        <f t="shared" ref="X242:X305" si="243">IF(W242&gt;0,MIN(V242:W242),V242)</f>
        <v>91.08555498260786</v>
      </c>
      <c r="Y242" s="411">
        <v>450</v>
      </c>
      <c r="Z242" s="410">
        <f>PI()*Y242/1000*( Pile!$C$49- Pile!$C242)</f>
        <v>0.42411500823462184</v>
      </c>
      <c r="AA242" s="410">
        <f t="shared" ref="AA242:AA305" si="244">PI()*(Y242/2000)^2</f>
        <v>0.15904312808798329</v>
      </c>
      <c r="AB242" s="410">
        <f>+$U242*Z242</f>
        <v>0.54543214131728157</v>
      </c>
      <c r="AC242" s="410">
        <f>Z242* Pile!$S$49</f>
        <v>0</v>
      </c>
      <c r="AD242" s="410">
        <f>IF(AC242&gt;0,MIN(AB242:AC242),AB242)</f>
        <v>0.54543214131728157</v>
      </c>
      <c r="AE242" s="410">
        <f>IF(AD242&gt;0,+AD242)/ 'Pile Data and Eurocode Factors'!$B$14/ 'Pile Data and Eurocode Factors'!$B$15</f>
        <v>0.24349649165950069</v>
      </c>
      <c r="AF242" s="410">
        <f>AA242*$X242</f>
        <v>14.486531588063947</v>
      </c>
      <c r="AG242" s="410">
        <f>AA242* Pile!$U$49</f>
        <v>0</v>
      </c>
      <c r="AH242" s="410">
        <f t="shared" ref="AH242:AH305" si="245">IF(AG242&gt;0,MIN(AF242:AG242),AF242)</f>
        <v>14.486531588063947</v>
      </c>
      <c r="AI242" s="410">
        <f>AH242/ 'Pile Data and Eurocode Factors'!$C$14/ 'Pile Data and Eurocode Factors'!$C$15</f>
        <v>5.1737612814514105</v>
      </c>
      <c r="AJ242" s="410">
        <f t="shared" ref="AJ242:AJ305" si="246">AI242+AE242</f>
        <v>5.4172577731109115</v>
      </c>
      <c r="AK242" s="410">
        <f>VLOOKUP(Y242, 'Pile Data and Eurocode Factors'!$A$34:$J$39,3, FALSE)</f>
        <v>2366.1761868507956</v>
      </c>
      <c r="AL242" s="412">
        <f t="shared" ref="AL242:AL305" si="247">MIN(AJ242:AK242)</f>
        <v>5.4172577731109115</v>
      </c>
      <c r="AM242" s="411">
        <v>600</v>
      </c>
      <c r="AN242" s="410">
        <f>PI()*AM242/1000*( Pile!$C$49- Pile!$C242)</f>
        <v>0.56548667764616245</v>
      </c>
      <c r="AO242" s="410">
        <f t="shared" ref="AO242:AO305" si="248">PI()*(AM242/2000)^2</f>
        <v>0.28274333882308139</v>
      </c>
      <c r="AP242" s="410">
        <f>+$U242*AN242</f>
        <v>0.72724285508970887</v>
      </c>
      <c r="AQ242" s="410">
        <f>AN242* Pile!$S$49</f>
        <v>0</v>
      </c>
      <c r="AR242" s="410">
        <f>IF(AQ242&gt;0,MIN(AP242:AQ242),AP242)</f>
        <v>0.72724285508970887</v>
      </c>
      <c r="AS242" s="410">
        <f>IF(AR242&gt;0,+AR242)/ 'Pile Data and Eurocode Factors'!$B$14/ 'Pile Data and Eurocode Factors'!$B$15</f>
        <v>0.32466198887933434</v>
      </c>
      <c r="AT242" s="410">
        <f>AO242*$X242</f>
        <v>25.753833934335905</v>
      </c>
      <c r="AU242" s="410">
        <f>AO242* Pile!$U$49</f>
        <v>0</v>
      </c>
      <c r="AV242" s="410">
        <f t="shared" ref="AV242:AV305" si="249">IF(AU242&gt;0,MIN(AT242:AU242),AT242)</f>
        <v>25.753833934335905</v>
      </c>
      <c r="AW242" s="410">
        <f>AV242/ 'Pile Data and Eurocode Factors'!$C$14/ 'Pile Data and Eurocode Factors'!$C$15</f>
        <v>9.1977978336913946</v>
      </c>
      <c r="AX242" s="410">
        <f t="shared" ref="AX242:AX305" si="250">AW242+AS242</f>
        <v>9.5224598225707293</v>
      </c>
      <c r="AY242" s="410">
        <f>VLOOKUP(AM242, 'Pile Data and Eurocode Factors'!$A$34:$J$39,3, FALSE)</f>
        <v>4206.5354432903041</v>
      </c>
      <c r="AZ242" s="412">
        <f t="shared" ref="AZ242:AZ305" si="251">MIN(AX242:AY242)</f>
        <v>9.5224598225707293</v>
      </c>
      <c r="BA242" s="411">
        <v>750</v>
      </c>
      <c r="BB242" s="410">
        <f>PI()*BA242/1000*( Pile!$C$49- Pile!$C242)</f>
        <v>0.70685834705770301</v>
      </c>
      <c r="BC242" s="410">
        <f t="shared" ref="BC242:BC305" si="252">PI()*(BA242/2000)^2</f>
        <v>0.44178646691106466</v>
      </c>
      <c r="BD242" s="410">
        <f>+$U242*BB242</f>
        <v>0.90905356886213595</v>
      </c>
      <c r="BE242" s="410">
        <f>BB242* Pile!$S$49</f>
        <v>0</v>
      </c>
      <c r="BF242" s="410">
        <f>IF(BE242&gt;0,MIN(BD242:BE242),BD242)</f>
        <v>0.90905356886213595</v>
      </c>
      <c r="BG242" s="410">
        <f>IF(BF242&gt;0,+BF242)/ 'Pile Data and Eurocode Factors'!$B$14/ 'Pile Data and Eurocode Factors'!$B$15</f>
        <v>0.40582748609916786</v>
      </c>
      <c r="BH242" s="410">
        <f>BC242*$X242</f>
        <v>40.240365522399848</v>
      </c>
      <c r="BI242" s="410">
        <f>BC242* Pile!$U$49</f>
        <v>0</v>
      </c>
      <c r="BJ242" s="410">
        <f t="shared" ref="BJ242:BJ305" si="253">IF(BI242&gt;0,MIN(BH242:BI242),BH242)</f>
        <v>40.240365522399848</v>
      </c>
      <c r="BK242" s="410">
        <f>BJ242/ 'Pile Data and Eurocode Factors'!$C$14/ 'Pile Data and Eurocode Factors'!$C$15</f>
        <v>14.371559115142803</v>
      </c>
      <c r="BL242" s="410">
        <f t="shared" ref="BL242:BL305" si="254">BK242+BG242</f>
        <v>14.777386601241972</v>
      </c>
      <c r="BM242" s="410">
        <f>VLOOKUP(BA242, 'Pile Data and Eurocode Factors'!$A$34:$J$39,3, FALSE)</f>
        <v>6572.7116301410997</v>
      </c>
      <c r="BN242" s="412">
        <f t="shared" ref="BN242:BN305" si="255">MIN(BL242:BM242)</f>
        <v>14.777386601241972</v>
      </c>
      <c r="BO242" s="411">
        <v>900</v>
      </c>
      <c r="BP242" s="410">
        <f>PI()*BO242/1000*( Pile!$C$49- Pile!$C242)</f>
        <v>0.84823001646924368</v>
      </c>
      <c r="BQ242" s="410">
        <f t="shared" ref="BQ242:BQ305" si="256">PI()*(BO242/2000)^2</f>
        <v>0.63617251235193317</v>
      </c>
      <c r="BR242" s="410">
        <f>+$U242*BP242</f>
        <v>1.0908642826345631</v>
      </c>
      <c r="BS242" s="410">
        <f>BP242* Pile!$S$49</f>
        <v>0</v>
      </c>
      <c r="BT242" s="410">
        <f>IF(BS242&gt;0,MIN(BR242:BS242),BR242)</f>
        <v>1.0908642826345631</v>
      </c>
      <c r="BU242" s="410">
        <f>IF(BT242&gt;0,+BT242)/ 'Pile Data and Eurocode Factors'!$B$14/ 'Pile Data and Eurocode Factors'!$B$15</f>
        <v>0.48699298331900137</v>
      </c>
      <c r="BV242" s="410">
        <f>BQ242*$X242</f>
        <v>57.946126352255789</v>
      </c>
      <c r="BW242" s="410">
        <f>BQ242* Pile!$U$49</f>
        <v>0</v>
      </c>
      <c r="BX242" s="410">
        <f t="shared" ref="BX242:BX305" si="257">IF(BW242&gt;0,MIN(BV242:BW242),BV242)</f>
        <v>57.946126352255789</v>
      </c>
      <c r="BY242" s="410">
        <f>BX242/ 'Pile Data and Eurocode Factors'!$C$14/ 'Pile Data and Eurocode Factors'!$C$15</f>
        <v>20.695045125805642</v>
      </c>
      <c r="BZ242" s="410">
        <f t="shared" ref="BZ242:BZ305" si="258">BY242+BU242</f>
        <v>21.182038109124644</v>
      </c>
      <c r="CA242" s="410">
        <f>VLOOKUP(BO242, 'Pile Data and Eurocode Factors'!$A$34:$J$39,3, FALSE)</f>
        <v>9464.7047474031824</v>
      </c>
      <c r="CB242" s="412">
        <f t="shared" ref="CB242:CB305" si="259">MIN(BZ242:CA242)</f>
        <v>21.182038109124644</v>
      </c>
      <c r="CC242" s="411">
        <v>1050</v>
      </c>
      <c r="CD242" s="410">
        <f>PI()*CC242/1000*( Pile!$C$49- Pile!$C242)</f>
        <v>0.98960168588078423</v>
      </c>
      <c r="CE242" s="410">
        <f t="shared" ref="CE242:CE305" si="260">PI()*(CC242/2000)^2</f>
        <v>0.86590147514568672</v>
      </c>
      <c r="CF242" s="410">
        <f>+$U242*CD242</f>
        <v>1.2726749964069903</v>
      </c>
      <c r="CG242" s="410">
        <f>CD242* Pile!$S$49</f>
        <v>0</v>
      </c>
      <c r="CH242" s="410">
        <f>IF(CG242&gt;0,MIN(CF242:CG242),CF242)</f>
        <v>1.2726749964069903</v>
      </c>
      <c r="CI242" s="410">
        <f>IF(CH242&gt;0,+CH242)/ 'Pile Data and Eurocode Factors'!$B$14/ 'Pile Data and Eurocode Factors'!$B$15</f>
        <v>0.568158480538835</v>
      </c>
      <c r="CJ242" s="410">
        <f>CE242*$X242</f>
        <v>78.8711164239037</v>
      </c>
      <c r="CK242" s="410">
        <f>CE242* Pile!$U$49</f>
        <v>0</v>
      </c>
      <c r="CL242" s="410">
        <f t="shared" ref="CL242:CL305" si="261">IF(CK242&gt;0,MIN(CJ242:CK242),CJ242)</f>
        <v>78.8711164239037</v>
      </c>
      <c r="CM242" s="410">
        <f>CL242/ 'Pile Data and Eurocode Factors'!$C$14/ 'Pile Data and Eurocode Factors'!$C$15</f>
        <v>28.168255865679896</v>
      </c>
      <c r="CN242" s="410">
        <f t="shared" ref="CN242:CN305" si="262">CM242+CI242</f>
        <v>28.73641434621873</v>
      </c>
      <c r="CO242" s="410">
        <f>VLOOKUP(CC242, 'Pile Data and Eurocode Factors'!$A$34:$J$39,3, FALSE)</f>
        <v>12882.514795076555</v>
      </c>
      <c r="CP242" s="412">
        <f t="shared" ref="CP242:CP305" si="263">MIN(CN242:CO242)</f>
        <v>28.73641434621873</v>
      </c>
      <c r="CQ242" s="411">
        <v>1200</v>
      </c>
      <c r="CR242" s="410">
        <f>PI()*CQ242/1000*( Pile!$C$49- Pile!$C242)</f>
        <v>1.1309733552923249</v>
      </c>
      <c r="CS242" s="410">
        <f t="shared" ref="CS242:CS305" si="264">PI()*(CQ242/2000)^2</f>
        <v>1.1309733552923256</v>
      </c>
      <c r="CT242" s="410">
        <f>+$U242*CR242</f>
        <v>1.4544857101794177</v>
      </c>
      <c r="CU242" s="410">
        <f>CR242* Pile!$S$49</f>
        <v>0</v>
      </c>
      <c r="CV242" s="410">
        <f>IF(CU242&gt;0,MIN(CT242:CU242),CT242)</f>
        <v>1.4544857101794177</v>
      </c>
      <c r="CW242" s="410">
        <f>IF(CV242&gt;0,+CV242)/ 'Pile Data and Eurocode Factors'!$B$14/ 'Pile Data and Eurocode Factors'!$B$15</f>
        <v>0.64932397775866868</v>
      </c>
      <c r="CX242" s="410">
        <f>CS242*$X242</f>
        <v>103.01533573734362</v>
      </c>
      <c r="CY242" s="410">
        <f>CS242* Pile!$U$49</f>
        <v>0</v>
      </c>
      <c r="CZ242" s="410">
        <f t="shared" ref="CZ242:CZ305" si="265">IF(CY242&gt;0,MIN(CX242:CY242),CX242)</f>
        <v>103.01533573734362</v>
      </c>
      <c r="DA242" s="410">
        <f>CZ242/ 'Pile Data and Eurocode Factors'!$C$14/ 'Pile Data and Eurocode Factors'!$C$15</f>
        <v>36.791191334765578</v>
      </c>
      <c r="DB242" s="410">
        <f t="shared" ref="DB242:DB305" si="266">DA242+CW242</f>
        <v>37.440515312524248</v>
      </c>
      <c r="DC242" s="410">
        <f>VLOOKUP(CQ242, 'Pile Data and Eurocode Factors'!$A$34:$J$39,3, FALSE)</f>
        <v>16826.141773161216</v>
      </c>
      <c r="DD242" s="412">
        <f t="shared" ref="DD242:DD305" si="267">MIN(DB242:DC242)</f>
        <v>37.440515312524248</v>
      </c>
      <c r="DE242" s="413">
        <f xml:space="preserve"> Pile!$C$23- Pile!C242</f>
        <v>0.29999999999999982</v>
      </c>
      <c r="DG242" s="410">
        <f t="shared" ref="DG242:DG305" si="268">$AL242</f>
        <v>5.4172577731109115</v>
      </c>
      <c r="DH242" s="410">
        <f t="shared" ref="DH242:DH305" si="269">$AZ242</f>
        <v>9.5224598225707293</v>
      </c>
      <c r="DI242" s="410">
        <f t="shared" ref="DI242:DI305" si="270">$BN242</f>
        <v>14.777386601241972</v>
      </c>
      <c r="DJ242" s="410">
        <f t="shared" ref="DJ242:DJ305" si="271">$CB242</f>
        <v>21.182038109124644</v>
      </c>
      <c r="DK242" s="410">
        <f t="shared" ref="DK242:DK305" si="272">$CP242</f>
        <v>28.73641434621873</v>
      </c>
      <c r="DL242" s="410">
        <f>$DD242</f>
        <v>37.440515312524248</v>
      </c>
    </row>
    <row r="243" spans="2:116" s="308" customFormat="1" ht="15">
      <c r="B243" s="400">
        <v>2</v>
      </c>
      <c r="C243" s="401">
        <f>+C242- Pile!D$49/20</f>
        <v>5.4</v>
      </c>
      <c r="D243" s="415" t="str">
        <f>B23</f>
        <v>Loose Sand/Gravel</v>
      </c>
      <c r="E243" s="415" t="str">
        <f>F23</f>
        <v>Granular</v>
      </c>
      <c r="F243" s="401">
        <f xml:space="preserve"> Pile!$E$49*(+C242-C243)+F242</f>
        <v>9.899999999999995</v>
      </c>
      <c r="G243" s="401">
        <f>IF(C243&gt; Pile!$C$54,0,( Pile!$C$54-C243)*9.81)</f>
        <v>0</v>
      </c>
      <c r="H243" s="401">
        <f t="shared" si="238"/>
        <v>9.899999999999995</v>
      </c>
      <c r="I243" s="401">
        <f t="shared" si="239"/>
        <v>4.9499999999999975</v>
      </c>
      <c r="J243" s="401">
        <f>IF(E243="Cohesive",(( Pile!$H$49- Pile!$G$49)/20)+J242,0)</f>
        <v>0</v>
      </c>
      <c r="K243" s="401">
        <f>IF(E243="Cohesive",( Pile!$G$49+ Pile!$J243)/2,0)</f>
        <v>0</v>
      </c>
      <c r="L243" s="401" t="str">
        <f>IF( Pile!I$49="",0, Pile!I$49)</f>
        <v>0</v>
      </c>
      <c r="M243" s="401" t="str">
        <f>IF( Pile!J$49="",0, Pile!J$49)</f>
        <v>0</v>
      </c>
      <c r="N243" s="401">
        <f>IF(E243="Granular", Pile!$K$49,0)</f>
        <v>18.401122218708668</v>
      </c>
      <c r="O243" s="416">
        <f>IF(AND(E243="Granular",D243&lt;&gt;"Made Ground"), Pile!$L$49,0)</f>
        <v>0.51961524227066314</v>
      </c>
      <c r="P243" s="401">
        <f>IF(OR(D243="Low Density Chalk",D243="Medium Density Chalk"), Pile!$M$49,0)</f>
        <v>0</v>
      </c>
      <c r="Q243" s="417">
        <f>IF(D243="High Density Chalk", Pile!$N$49,0)</f>
        <v>0</v>
      </c>
      <c r="R243" s="401">
        <f>IF( Pile!O$49="",0, Pile!O$49)</f>
        <v>0</v>
      </c>
      <c r="S243" s="418">
        <f t="shared" si="240"/>
        <v>2.5720954492397814</v>
      </c>
      <c r="T243" s="382">
        <f xml:space="preserve"> Pile!$T$49</f>
        <v>1200</v>
      </c>
      <c r="U243" s="382">
        <f t="shared" si="241"/>
        <v>2.5720954492397814</v>
      </c>
      <c r="V243" s="382">
        <f t="shared" si="242"/>
        <v>182.17110996521572</v>
      </c>
      <c r="W243" s="382">
        <f xml:space="preserve"> Pile!$V$49</f>
        <v>15000</v>
      </c>
      <c r="X243" s="382">
        <f t="shared" si="243"/>
        <v>182.17110996521572</v>
      </c>
      <c r="Y243" s="419">
        <v>450</v>
      </c>
      <c r="Z243" s="382">
        <f>PI()*Y243/1000*( Pile!$C$49- Pile!$C243)</f>
        <v>0.84823001646924368</v>
      </c>
      <c r="AA243" s="382">
        <f t="shared" si="244"/>
        <v>0.15904312808798329</v>
      </c>
      <c r="AB243" s="382">
        <f t="shared" ref="AB243:AB246" si="273">+$U243*Z243</f>
        <v>2.1817285652691263</v>
      </c>
      <c r="AC243" s="382">
        <f>Z243* Pile!$S$49</f>
        <v>0</v>
      </c>
      <c r="AD243" s="382">
        <f t="shared" ref="AD243:AD248" si="274">IF(AC243&gt;0,MIN(AB243:AC243),AB243)</f>
        <v>2.1817285652691263</v>
      </c>
      <c r="AE243" s="382">
        <f>IF(AD243&gt;0,+AD243)/ 'Pile Data and Eurocode Factors'!$B$14/ 'Pile Data and Eurocode Factors'!$B$15</f>
        <v>0.97398596663800274</v>
      </c>
      <c r="AF243" s="382">
        <f t="shared" ref="AF243:AF261" si="275">AA243*$X243</f>
        <v>28.973063176127894</v>
      </c>
      <c r="AG243" s="382">
        <f>AA243* Pile!$U$49</f>
        <v>0</v>
      </c>
      <c r="AH243" s="382">
        <f t="shared" si="245"/>
        <v>28.973063176127894</v>
      </c>
      <c r="AI243" s="382">
        <f>AH243/ 'Pile Data and Eurocode Factors'!$C$14/ 'Pile Data and Eurocode Factors'!$C$15</f>
        <v>10.347522562902821</v>
      </c>
      <c r="AJ243" s="382">
        <f t="shared" si="246"/>
        <v>11.321508529540823</v>
      </c>
      <c r="AK243" s="382">
        <f>VLOOKUP(Y243, 'Pile Data and Eurocode Factors'!$A$34:$J$39,3, FALSE)</f>
        <v>2366.1761868507956</v>
      </c>
      <c r="AL243" s="403">
        <f t="shared" si="247"/>
        <v>11.321508529540823</v>
      </c>
      <c r="AM243" s="419">
        <v>600</v>
      </c>
      <c r="AN243" s="382">
        <f>PI()*AM243/1000*( Pile!$C$49- Pile!$C243)</f>
        <v>1.1309733552923249</v>
      </c>
      <c r="AO243" s="382">
        <f t="shared" si="248"/>
        <v>0.28274333882308139</v>
      </c>
      <c r="AP243" s="382">
        <f t="shared" ref="AP243:AP246" si="276">+$U243*AN243</f>
        <v>2.9089714203588355</v>
      </c>
      <c r="AQ243" s="382">
        <f>AN243* Pile!$S$49</f>
        <v>0</v>
      </c>
      <c r="AR243" s="382">
        <f t="shared" ref="AR243:AR248" si="277">IF(AQ243&gt;0,MIN(AP243:AQ243),AP243)</f>
        <v>2.9089714203588355</v>
      </c>
      <c r="AS243" s="382">
        <f>IF(AR243&gt;0,+AR243)/ 'Pile Data and Eurocode Factors'!$B$14/ 'Pile Data and Eurocode Factors'!$B$15</f>
        <v>1.2986479555173374</v>
      </c>
      <c r="AT243" s="382">
        <f t="shared" ref="AT243:AT261" si="278">AO243*$X243</f>
        <v>51.50766786867181</v>
      </c>
      <c r="AU243" s="382">
        <f>AO243* Pile!$U$49</f>
        <v>0</v>
      </c>
      <c r="AV243" s="382">
        <f t="shared" si="249"/>
        <v>51.50766786867181</v>
      </c>
      <c r="AW243" s="382">
        <f>AV243/ 'Pile Data and Eurocode Factors'!$C$14/ 'Pile Data and Eurocode Factors'!$C$15</f>
        <v>18.395595667382789</v>
      </c>
      <c r="AX243" s="382">
        <f t="shared" si="250"/>
        <v>19.694243622900128</v>
      </c>
      <c r="AY243" s="382">
        <f>VLOOKUP(AM243, 'Pile Data and Eurocode Factors'!$A$34:$J$39,3, FALSE)</f>
        <v>4206.5354432903041</v>
      </c>
      <c r="AZ243" s="403">
        <f t="shared" si="251"/>
        <v>19.694243622900128</v>
      </c>
      <c r="BA243" s="419">
        <v>750</v>
      </c>
      <c r="BB243" s="382">
        <f>PI()*BA243/1000*( Pile!$C$49- Pile!$C243)</f>
        <v>1.413716694115406</v>
      </c>
      <c r="BC243" s="382">
        <f t="shared" si="252"/>
        <v>0.44178646691106466</v>
      </c>
      <c r="BD243" s="382">
        <f t="shared" ref="BD243:BD246" si="279">+$U243*BB243</f>
        <v>3.6362142754485438</v>
      </c>
      <c r="BE243" s="382">
        <f>BB243* Pile!$S$49</f>
        <v>0</v>
      </c>
      <c r="BF243" s="382">
        <f t="shared" ref="BF243:BF248" si="280">IF(BE243&gt;0,MIN(BD243:BE243),BD243)</f>
        <v>3.6362142754485438</v>
      </c>
      <c r="BG243" s="382">
        <f>IF(BF243&gt;0,+BF243)/ 'Pile Data and Eurocode Factors'!$B$14/ 'Pile Data and Eurocode Factors'!$B$15</f>
        <v>1.6233099443966714</v>
      </c>
      <c r="BH243" s="382">
        <f t="shared" ref="BH243:BH261" si="281">BC243*$X243</f>
        <v>80.480731044799697</v>
      </c>
      <c r="BI243" s="382">
        <f>BC243* Pile!$U$49</f>
        <v>0</v>
      </c>
      <c r="BJ243" s="382">
        <f t="shared" si="253"/>
        <v>80.480731044799697</v>
      </c>
      <c r="BK243" s="382">
        <f>BJ243/ 'Pile Data and Eurocode Factors'!$C$14/ 'Pile Data and Eurocode Factors'!$C$15</f>
        <v>28.743118230285607</v>
      </c>
      <c r="BL243" s="382">
        <f t="shared" si="254"/>
        <v>30.366428174682277</v>
      </c>
      <c r="BM243" s="382">
        <f>VLOOKUP(BA243, 'Pile Data and Eurocode Factors'!$A$34:$J$39,3, FALSE)</f>
        <v>6572.7116301410997</v>
      </c>
      <c r="BN243" s="403">
        <f t="shared" si="255"/>
        <v>30.366428174682277</v>
      </c>
      <c r="BO243" s="419">
        <v>900</v>
      </c>
      <c r="BP243" s="382">
        <f>PI()*BO243/1000*( Pile!$C$49- Pile!$C243)</f>
        <v>1.6964600329384874</v>
      </c>
      <c r="BQ243" s="382">
        <f t="shared" si="256"/>
        <v>0.63617251235193317</v>
      </c>
      <c r="BR243" s="382">
        <f t="shared" ref="BR243:BR246" si="282">+$U243*BP243</f>
        <v>4.3634571305382526</v>
      </c>
      <c r="BS243" s="382">
        <f>BP243* Pile!$S$49</f>
        <v>0</v>
      </c>
      <c r="BT243" s="382">
        <f t="shared" ref="BT243:BT248" si="283">IF(BS243&gt;0,MIN(BR243:BS243),BR243)</f>
        <v>4.3634571305382526</v>
      </c>
      <c r="BU243" s="382">
        <f>IF(BT243&gt;0,+BT243)/ 'Pile Data and Eurocode Factors'!$B$14/ 'Pile Data and Eurocode Factors'!$B$15</f>
        <v>1.9479719332760055</v>
      </c>
      <c r="BV243" s="382">
        <f t="shared" ref="BV243:BV261" si="284">BQ243*$X243</f>
        <v>115.89225270451158</v>
      </c>
      <c r="BW243" s="382">
        <f>BQ243* Pile!$U$49</f>
        <v>0</v>
      </c>
      <c r="BX243" s="382">
        <f t="shared" si="257"/>
        <v>115.89225270451158</v>
      </c>
      <c r="BY243" s="382">
        <f>BX243/ 'Pile Data and Eurocode Factors'!$C$14/ 'Pile Data and Eurocode Factors'!$C$15</f>
        <v>41.390090251611284</v>
      </c>
      <c r="BZ243" s="382">
        <f t="shared" si="258"/>
        <v>43.338062184887292</v>
      </c>
      <c r="CA243" s="382">
        <f>VLOOKUP(BO243, 'Pile Data and Eurocode Factors'!$A$34:$J$39,3, FALSE)</f>
        <v>9464.7047474031824</v>
      </c>
      <c r="CB243" s="403">
        <f t="shared" si="259"/>
        <v>43.338062184887292</v>
      </c>
      <c r="CC243" s="419">
        <v>1050</v>
      </c>
      <c r="CD243" s="382">
        <f>PI()*CC243/1000*( Pile!$C$49- Pile!$C243)</f>
        <v>1.9792033717615685</v>
      </c>
      <c r="CE243" s="382">
        <f t="shared" si="260"/>
        <v>0.86590147514568672</v>
      </c>
      <c r="CF243" s="382">
        <f t="shared" ref="CF243:CF246" si="285">+$U243*CD243</f>
        <v>5.0906999856279613</v>
      </c>
      <c r="CG243" s="382">
        <f>CD243* Pile!$S$49</f>
        <v>0</v>
      </c>
      <c r="CH243" s="382">
        <f t="shared" ref="CH243:CH248" si="286">IF(CG243&gt;0,MIN(CF243:CG243),CF243)</f>
        <v>5.0906999856279613</v>
      </c>
      <c r="CI243" s="382">
        <f>IF(CH243&gt;0,+CH243)/ 'Pile Data and Eurocode Factors'!$B$14/ 'Pile Data and Eurocode Factors'!$B$15</f>
        <v>2.27263392215534</v>
      </c>
      <c r="CJ243" s="382">
        <f t="shared" ref="CJ243:CJ261" si="287">CE243*$X243</f>
        <v>157.7422328478074</v>
      </c>
      <c r="CK243" s="382">
        <f>CE243* Pile!$U$49</f>
        <v>0</v>
      </c>
      <c r="CL243" s="382">
        <f t="shared" si="261"/>
        <v>157.7422328478074</v>
      </c>
      <c r="CM243" s="382">
        <f>CL243/ 'Pile Data and Eurocode Factors'!$C$14/ 'Pile Data and Eurocode Factors'!$C$15</f>
        <v>56.336511731359792</v>
      </c>
      <c r="CN243" s="382">
        <f t="shared" si="262"/>
        <v>58.609145653515135</v>
      </c>
      <c r="CO243" s="382">
        <f>VLOOKUP(CC243, 'Pile Data and Eurocode Factors'!$A$34:$J$39,3, FALSE)</f>
        <v>12882.514795076555</v>
      </c>
      <c r="CP243" s="403">
        <f t="shared" si="263"/>
        <v>58.609145653515135</v>
      </c>
      <c r="CQ243" s="419">
        <v>1200</v>
      </c>
      <c r="CR243" s="382">
        <f>PI()*CQ243/1000*( Pile!$C$49- Pile!$C243)</f>
        <v>2.2619467105846498</v>
      </c>
      <c r="CS243" s="382">
        <f t="shared" si="264"/>
        <v>1.1309733552923256</v>
      </c>
      <c r="CT243" s="382">
        <f t="shared" ref="CT243:CT246" si="288">+$U243*CR243</f>
        <v>5.817942840717671</v>
      </c>
      <c r="CU243" s="382">
        <f>CR243* Pile!$S$49</f>
        <v>0</v>
      </c>
      <c r="CV243" s="382">
        <f t="shared" ref="CV243:CV248" si="289">IF(CU243&gt;0,MIN(CT243:CU243),CT243)</f>
        <v>5.817942840717671</v>
      </c>
      <c r="CW243" s="382">
        <f>IF(CV243&gt;0,+CV243)/ 'Pile Data and Eurocode Factors'!$B$14/ 'Pile Data and Eurocode Factors'!$B$15</f>
        <v>2.5972959110346747</v>
      </c>
      <c r="CX243" s="382">
        <f t="shared" ref="CX243:CX261" si="290">CS243*$X243</f>
        <v>206.03067147468724</v>
      </c>
      <c r="CY243" s="382">
        <f>CS243* Pile!$U$49</f>
        <v>0</v>
      </c>
      <c r="CZ243" s="382">
        <f t="shared" si="265"/>
        <v>206.03067147468724</v>
      </c>
      <c r="DA243" s="382">
        <f>CZ243/ 'Pile Data and Eurocode Factors'!$C$14/ 'Pile Data and Eurocode Factors'!$C$15</f>
        <v>73.582382669531157</v>
      </c>
      <c r="DB243" s="382">
        <f t="shared" si="266"/>
        <v>76.179678580565835</v>
      </c>
      <c r="DC243" s="382">
        <f>VLOOKUP(CQ243, 'Pile Data and Eurocode Factors'!$A$34:$J$39,3, FALSE)</f>
        <v>16826.141773161216</v>
      </c>
      <c r="DD243" s="403">
        <f t="shared" si="267"/>
        <v>76.179678580565835</v>
      </c>
      <c r="DE243" s="420">
        <f xml:space="preserve"> Pile!$C$23- Pile!C243</f>
        <v>0.59999999999999964</v>
      </c>
      <c r="DG243" s="382">
        <f t="shared" si="268"/>
        <v>11.321508529540823</v>
      </c>
      <c r="DH243" s="382">
        <f t="shared" si="269"/>
        <v>19.694243622900128</v>
      </c>
      <c r="DI243" s="382">
        <f t="shared" si="270"/>
        <v>30.366428174682277</v>
      </c>
      <c r="DJ243" s="382">
        <f t="shared" si="271"/>
        <v>43.338062184887292</v>
      </c>
      <c r="DK243" s="382">
        <f t="shared" si="272"/>
        <v>58.609145653515135</v>
      </c>
      <c r="DL243" s="382">
        <f t="shared" ref="DL243:DL306" si="291">DD243</f>
        <v>76.179678580565835</v>
      </c>
    </row>
    <row r="244" spans="2:116" s="308" customFormat="1" ht="15">
      <c r="B244" s="400">
        <v>3</v>
      </c>
      <c r="C244" s="401">
        <f>+C243- Pile!D$49/20</f>
        <v>5.1000000000000005</v>
      </c>
      <c r="D244" s="415" t="str">
        <f>B23</f>
        <v>Loose Sand/Gravel</v>
      </c>
      <c r="E244" s="415" t="str">
        <f>F23</f>
        <v>Granular</v>
      </c>
      <c r="F244" s="401">
        <f xml:space="preserve"> Pile!$E$49*(+C243-C244)+F243</f>
        <v>14.849999999999993</v>
      </c>
      <c r="G244" s="401">
        <f>IF(C244&gt; Pile!$C$54,0,( Pile!$C$54-C244)*9.81)</f>
        <v>0</v>
      </c>
      <c r="H244" s="401">
        <f t="shared" si="238"/>
        <v>14.849999999999993</v>
      </c>
      <c r="I244" s="401">
        <f t="shared" si="239"/>
        <v>7.4249999999999963</v>
      </c>
      <c r="J244" s="401">
        <f>IF(E244="Cohesive",(( Pile!$H$49- Pile!$G$49)/20)+J243,0)</f>
        <v>0</v>
      </c>
      <c r="K244" s="401">
        <f>IF(E244="Cohesive",( Pile!$G$49+ Pile!$J244)/2,0)</f>
        <v>0</v>
      </c>
      <c r="L244" s="401" t="str">
        <f>IF( Pile!I$49="",0, Pile!I$49)</f>
        <v>0</v>
      </c>
      <c r="M244" s="401" t="str">
        <f>IF( Pile!J$49="",0, Pile!J$49)</f>
        <v>0</v>
      </c>
      <c r="N244" s="401">
        <f>IF(E244="Granular", Pile!$K$49,0)</f>
        <v>18.401122218708668</v>
      </c>
      <c r="O244" s="416">
        <f>IF(AND(E244="Granular",D244&lt;&gt;"Made Ground"), Pile!$L$49,0)</f>
        <v>0.51961524227066314</v>
      </c>
      <c r="P244" s="401">
        <f>IF(OR(D244="Low Density Chalk",D244="Medium Density Chalk"), Pile!$M$49,0)</f>
        <v>0</v>
      </c>
      <c r="Q244" s="417">
        <f>IF(D244="High Density Chalk", Pile!$N$49,0)</f>
        <v>0</v>
      </c>
      <c r="R244" s="401">
        <f>IF( Pile!O$49="",0, Pile!O$49)</f>
        <v>0</v>
      </c>
      <c r="S244" s="418">
        <f t="shared" si="240"/>
        <v>3.8581431738596716</v>
      </c>
      <c r="T244" s="382">
        <f xml:space="preserve"> Pile!$T$49</f>
        <v>1200</v>
      </c>
      <c r="U244" s="382">
        <f t="shared" si="241"/>
        <v>3.8581431738596716</v>
      </c>
      <c r="V244" s="382">
        <f t="shared" si="242"/>
        <v>273.25666494782359</v>
      </c>
      <c r="W244" s="382">
        <f xml:space="preserve"> Pile!$V$49</f>
        <v>15000</v>
      </c>
      <c r="X244" s="382">
        <f t="shared" si="243"/>
        <v>273.25666494782359</v>
      </c>
      <c r="Y244" s="419">
        <v>450</v>
      </c>
      <c r="Z244" s="382">
        <f>PI()*Y244/1000*( Pile!$C$49- Pile!$C244)</f>
        <v>1.2723450247038655</v>
      </c>
      <c r="AA244" s="382">
        <f t="shared" si="244"/>
        <v>0.15904312808798329</v>
      </c>
      <c r="AB244" s="382">
        <f t="shared" si="273"/>
        <v>4.9088892718555339</v>
      </c>
      <c r="AC244" s="382">
        <f>Z244* Pile!$S$49</f>
        <v>0</v>
      </c>
      <c r="AD244" s="382">
        <f t="shared" si="274"/>
        <v>4.9088892718555339</v>
      </c>
      <c r="AE244" s="382">
        <f>IF(AD244&gt;0,+AD244)/ 'Pile Data and Eurocode Factors'!$B$14/ 'Pile Data and Eurocode Factors'!$B$15</f>
        <v>2.1914684249355063</v>
      </c>
      <c r="AF244" s="382">
        <f t="shared" si="275"/>
        <v>43.459594764191841</v>
      </c>
      <c r="AG244" s="382">
        <f>AA244* Pile!$U$49</f>
        <v>0</v>
      </c>
      <c r="AH244" s="382">
        <f t="shared" si="245"/>
        <v>43.459594764191841</v>
      </c>
      <c r="AI244" s="382">
        <f>AH244/ 'Pile Data and Eurocode Factors'!$C$14/ 'Pile Data and Eurocode Factors'!$C$15</f>
        <v>15.52128384435423</v>
      </c>
      <c r="AJ244" s="382">
        <f t="shared" si="246"/>
        <v>17.712752269289737</v>
      </c>
      <c r="AK244" s="382">
        <f>VLOOKUP(Y244, 'Pile Data and Eurocode Factors'!$A$34:$J$39,3, FALSE)</f>
        <v>2366.1761868507956</v>
      </c>
      <c r="AL244" s="403">
        <f t="shared" si="247"/>
        <v>17.712752269289737</v>
      </c>
      <c r="AM244" s="419">
        <v>600</v>
      </c>
      <c r="AN244" s="382">
        <f>PI()*AM244/1000*( Pile!$C$49- Pile!$C244)</f>
        <v>1.6964600329384874</v>
      </c>
      <c r="AO244" s="382">
        <f t="shared" si="248"/>
        <v>0.28274333882308139</v>
      </c>
      <c r="AP244" s="382">
        <f t="shared" si="276"/>
        <v>6.5451856958073789</v>
      </c>
      <c r="AQ244" s="382">
        <f>AN244* Pile!$S$49</f>
        <v>0</v>
      </c>
      <c r="AR244" s="382">
        <f t="shared" si="277"/>
        <v>6.5451856958073789</v>
      </c>
      <c r="AS244" s="382">
        <f>IF(AR244&gt;0,+AR244)/ 'Pile Data and Eurocode Factors'!$B$14/ 'Pile Data and Eurocode Factors'!$B$15</f>
        <v>2.9219578999140081</v>
      </c>
      <c r="AT244" s="382">
        <f t="shared" si="278"/>
        <v>77.261501803007718</v>
      </c>
      <c r="AU244" s="382">
        <f>AO244* Pile!$U$49</f>
        <v>0</v>
      </c>
      <c r="AV244" s="382">
        <f t="shared" si="249"/>
        <v>77.261501803007718</v>
      </c>
      <c r="AW244" s="382">
        <f>AV244/ 'Pile Data and Eurocode Factors'!$C$14/ 'Pile Data and Eurocode Factors'!$C$15</f>
        <v>27.593393501074186</v>
      </c>
      <c r="AX244" s="382">
        <f t="shared" si="250"/>
        <v>30.515351400988195</v>
      </c>
      <c r="AY244" s="382">
        <f>VLOOKUP(AM244, 'Pile Data and Eurocode Factors'!$A$34:$J$39,3, FALSE)</f>
        <v>4206.5354432903041</v>
      </c>
      <c r="AZ244" s="403">
        <f t="shared" si="251"/>
        <v>30.515351400988195</v>
      </c>
      <c r="BA244" s="419">
        <v>750</v>
      </c>
      <c r="BB244" s="382">
        <f>PI()*BA244/1000*( Pile!$C$49- Pile!$C244)</f>
        <v>2.120575041173109</v>
      </c>
      <c r="BC244" s="382">
        <f t="shared" si="252"/>
        <v>0.44178646691106466</v>
      </c>
      <c r="BD244" s="382">
        <f t="shared" si="279"/>
        <v>8.181482119759222</v>
      </c>
      <c r="BE244" s="382">
        <f>BB244* Pile!$S$49</f>
        <v>0</v>
      </c>
      <c r="BF244" s="382">
        <f t="shared" si="280"/>
        <v>8.181482119759222</v>
      </c>
      <c r="BG244" s="382">
        <f>IF(BF244&gt;0,+BF244)/ 'Pile Data and Eurocode Factors'!$B$14/ 'Pile Data and Eurocode Factors'!$B$15</f>
        <v>3.6524473748925099</v>
      </c>
      <c r="BH244" s="382">
        <f t="shared" si="281"/>
        <v>120.72109656719955</v>
      </c>
      <c r="BI244" s="382">
        <f>BC244* Pile!$U$49</f>
        <v>0</v>
      </c>
      <c r="BJ244" s="382">
        <f t="shared" si="253"/>
        <v>120.72109656719955</v>
      </c>
      <c r="BK244" s="382">
        <f>BJ244/ 'Pile Data and Eurocode Factors'!$C$14/ 'Pile Data and Eurocode Factors'!$C$15</f>
        <v>43.114677345428412</v>
      </c>
      <c r="BL244" s="382">
        <f t="shared" si="254"/>
        <v>46.767124720320922</v>
      </c>
      <c r="BM244" s="382">
        <f>VLOOKUP(BA244, 'Pile Data and Eurocode Factors'!$A$34:$J$39,3, FALSE)</f>
        <v>6572.7116301410997</v>
      </c>
      <c r="BN244" s="403">
        <f t="shared" si="255"/>
        <v>46.767124720320922</v>
      </c>
      <c r="BO244" s="419">
        <v>900</v>
      </c>
      <c r="BP244" s="382">
        <f>PI()*BO244/1000*( Pile!$C$49- Pile!$C244)</f>
        <v>2.5446900494077309</v>
      </c>
      <c r="BQ244" s="382">
        <f t="shared" si="256"/>
        <v>0.63617251235193317</v>
      </c>
      <c r="BR244" s="382">
        <f t="shared" si="282"/>
        <v>9.8177785437110678</v>
      </c>
      <c r="BS244" s="382">
        <f>BP244* Pile!$S$49</f>
        <v>0</v>
      </c>
      <c r="BT244" s="382">
        <f t="shared" si="283"/>
        <v>9.8177785437110678</v>
      </c>
      <c r="BU244" s="382">
        <f>IF(BT244&gt;0,+BT244)/ 'Pile Data and Eurocode Factors'!$B$14/ 'Pile Data and Eurocode Factors'!$B$15</f>
        <v>4.3829368498710126</v>
      </c>
      <c r="BV244" s="382">
        <f t="shared" si="284"/>
        <v>173.83837905676737</v>
      </c>
      <c r="BW244" s="382">
        <f>BQ244* Pile!$U$49</f>
        <v>0</v>
      </c>
      <c r="BX244" s="382">
        <f t="shared" si="257"/>
        <v>173.83837905676737</v>
      </c>
      <c r="BY244" s="382">
        <f>BX244/ 'Pile Data and Eurocode Factors'!$C$14/ 'Pile Data and Eurocode Factors'!$C$15</f>
        <v>62.085135377416918</v>
      </c>
      <c r="BZ244" s="382">
        <f t="shared" si="258"/>
        <v>66.468072227287934</v>
      </c>
      <c r="CA244" s="382">
        <f>VLOOKUP(BO244, 'Pile Data and Eurocode Factors'!$A$34:$J$39,3, FALSE)</f>
        <v>9464.7047474031824</v>
      </c>
      <c r="CB244" s="403">
        <f t="shared" si="259"/>
        <v>66.468072227287934</v>
      </c>
      <c r="CC244" s="419">
        <v>1050</v>
      </c>
      <c r="CD244" s="382">
        <f>PI()*CC244/1000*( Pile!$C$49- Pile!$C244)</f>
        <v>2.9688050576423528</v>
      </c>
      <c r="CE244" s="382">
        <f t="shared" si="260"/>
        <v>0.86590147514568672</v>
      </c>
      <c r="CF244" s="382">
        <f t="shared" si="285"/>
        <v>11.454074967662912</v>
      </c>
      <c r="CG244" s="382">
        <f>CD244* Pile!$S$49</f>
        <v>0</v>
      </c>
      <c r="CH244" s="382">
        <f t="shared" si="286"/>
        <v>11.454074967662912</v>
      </c>
      <c r="CI244" s="382">
        <f>IF(CH244&gt;0,+CH244)/ 'Pile Data and Eurocode Factors'!$B$14/ 'Pile Data and Eurocode Factors'!$B$15</f>
        <v>5.1134263248495149</v>
      </c>
      <c r="CJ244" s="382">
        <f t="shared" si="287"/>
        <v>236.61334927171112</v>
      </c>
      <c r="CK244" s="382">
        <f>CE244* Pile!$U$49</f>
        <v>0</v>
      </c>
      <c r="CL244" s="382">
        <f t="shared" si="261"/>
        <v>236.61334927171112</v>
      </c>
      <c r="CM244" s="382">
        <f>CL244/ 'Pile Data and Eurocode Factors'!$C$14/ 'Pile Data and Eurocode Factors'!$C$15</f>
        <v>84.504767597039688</v>
      </c>
      <c r="CN244" s="382">
        <f t="shared" si="262"/>
        <v>89.618193921889201</v>
      </c>
      <c r="CO244" s="382">
        <f>VLOOKUP(CC244, 'Pile Data and Eurocode Factors'!$A$34:$J$39,3, FALSE)</f>
        <v>12882.514795076555</v>
      </c>
      <c r="CP244" s="403">
        <f t="shared" si="263"/>
        <v>89.618193921889201</v>
      </c>
      <c r="CQ244" s="419">
        <v>1200</v>
      </c>
      <c r="CR244" s="382">
        <f>PI()*CQ244/1000*( Pile!$C$49- Pile!$C244)</f>
        <v>3.3929200658769747</v>
      </c>
      <c r="CS244" s="382">
        <f t="shared" si="264"/>
        <v>1.1309733552923256</v>
      </c>
      <c r="CT244" s="382">
        <f t="shared" si="288"/>
        <v>13.090371391614758</v>
      </c>
      <c r="CU244" s="382">
        <f>CR244* Pile!$S$49</f>
        <v>0</v>
      </c>
      <c r="CV244" s="382">
        <f t="shared" si="289"/>
        <v>13.090371391614758</v>
      </c>
      <c r="CW244" s="382">
        <f>IF(CV244&gt;0,+CV244)/ 'Pile Data and Eurocode Factors'!$B$14/ 'Pile Data and Eurocode Factors'!$B$15</f>
        <v>5.8439157998280162</v>
      </c>
      <c r="CX244" s="382">
        <f t="shared" si="290"/>
        <v>309.04600721203087</v>
      </c>
      <c r="CY244" s="382">
        <f>CS244* Pile!$U$49</f>
        <v>0</v>
      </c>
      <c r="CZ244" s="382">
        <f t="shared" si="265"/>
        <v>309.04600721203087</v>
      </c>
      <c r="DA244" s="382">
        <f>CZ244/ 'Pile Data and Eurocode Factors'!$C$14/ 'Pile Data and Eurocode Factors'!$C$15</f>
        <v>110.37357400429674</v>
      </c>
      <c r="DB244" s="382">
        <f t="shared" si="266"/>
        <v>116.21748980412475</v>
      </c>
      <c r="DC244" s="382">
        <f>VLOOKUP(CQ244, 'Pile Data and Eurocode Factors'!$A$34:$J$39,3, FALSE)</f>
        <v>16826.141773161216</v>
      </c>
      <c r="DD244" s="403">
        <f t="shared" si="267"/>
        <v>116.21748980412475</v>
      </c>
      <c r="DE244" s="420">
        <f xml:space="preserve"> Pile!$C$23- Pile!C244</f>
        <v>0.89999999999999947</v>
      </c>
      <c r="DG244" s="382">
        <f t="shared" si="268"/>
        <v>17.712752269289737</v>
      </c>
      <c r="DH244" s="382">
        <f t="shared" si="269"/>
        <v>30.515351400988195</v>
      </c>
      <c r="DI244" s="382">
        <f t="shared" si="270"/>
        <v>46.767124720320922</v>
      </c>
      <c r="DJ244" s="382">
        <f t="shared" si="271"/>
        <v>66.468072227287934</v>
      </c>
      <c r="DK244" s="382">
        <f t="shared" si="272"/>
        <v>89.618193921889201</v>
      </c>
      <c r="DL244" s="382">
        <f t="shared" si="291"/>
        <v>116.21748980412475</v>
      </c>
    </row>
    <row r="245" spans="2:116" s="308" customFormat="1" ht="15">
      <c r="B245" s="400">
        <v>4</v>
      </c>
      <c r="C245" s="401">
        <f>+C244- Pile!D$49/20</f>
        <v>4.8000000000000007</v>
      </c>
      <c r="D245" s="415" t="str">
        <f>B23</f>
        <v>Loose Sand/Gravel</v>
      </c>
      <c r="E245" s="415" t="str">
        <f>F23</f>
        <v>Granular</v>
      </c>
      <c r="F245" s="401">
        <f xml:space="preserve"> Pile!$E$49*(+C244-C245)+F244</f>
        <v>19.79999999999999</v>
      </c>
      <c r="G245" s="401">
        <f>IF(C245&gt; Pile!$C$54,0,( Pile!$C$54-C245)*9.81)</f>
        <v>0</v>
      </c>
      <c r="H245" s="401">
        <f t="shared" si="238"/>
        <v>19.79999999999999</v>
      </c>
      <c r="I245" s="401">
        <f t="shared" si="239"/>
        <v>9.899999999999995</v>
      </c>
      <c r="J245" s="401">
        <f>IF(E245="Cohesive",(( Pile!$H$49- Pile!$G$49)/20)+J244,0)</f>
        <v>0</v>
      </c>
      <c r="K245" s="401">
        <f>IF(E245="Cohesive",( Pile!$G$49+ Pile!$J245)/2,0)</f>
        <v>0</v>
      </c>
      <c r="L245" s="401" t="str">
        <f>IF( Pile!I$49="",0, Pile!I$49)</f>
        <v>0</v>
      </c>
      <c r="M245" s="401" t="str">
        <f>IF( Pile!J$49="",0, Pile!J$49)</f>
        <v>0</v>
      </c>
      <c r="N245" s="401">
        <f>IF(E245="Granular", Pile!$K$49,0)</f>
        <v>18.401122218708668</v>
      </c>
      <c r="O245" s="416">
        <f>IF(AND(E245="Granular",D245&lt;&gt;"Made Ground"), Pile!$L$49,0)</f>
        <v>0.51961524227066314</v>
      </c>
      <c r="P245" s="401">
        <f>IF(OR(D245="Low Density Chalk",D245="Medium Density Chalk"), Pile!$M$49,0)</f>
        <v>0</v>
      </c>
      <c r="Q245" s="417">
        <f>IF(D245="High Density Chalk", Pile!$N$49,0)</f>
        <v>0</v>
      </c>
      <c r="R245" s="401">
        <f>IF( Pile!O$49="",0, Pile!O$49)</f>
        <v>0</v>
      </c>
      <c r="S245" s="418">
        <f t="shared" si="240"/>
        <v>5.1441908984795628</v>
      </c>
      <c r="T245" s="382">
        <f xml:space="preserve"> Pile!$T$49</f>
        <v>1200</v>
      </c>
      <c r="U245" s="382">
        <f t="shared" si="241"/>
        <v>5.1441908984795628</v>
      </c>
      <c r="V245" s="382">
        <f t="shared" si="242"/>
        <v>364.34221993043144</v>
      </c>
      <c r="W245" s="382">
        <f xml:space="preserve"> Pile!$V$49</f>
        <v>15000</v>
      </c>
      <c r="X245" s="382">
        <f t="shared" si="243"/>
        <v>364.34221993043144</v>
      </c>
      <c r="Y245" s="419">
        <v>450</v>
      </c>
      <c r="Z245" s="382">
        <f>PI()*Y245/1000*( Pile!$C$49- Pile!$C245)</f>
        <v>1.6964600329384874</v>
      </c>
      <c r="AA245" s="382">
        <f t="shared" si="244"/>
        <v>0.15904312808798329</v>
      </c>
      <c r="AB245" s="382">
        <f t="shared" si="273"/>
        <v>8.7269142610765051</v>
      </c>
      <c r="AC245" s="382">
        <f>Z245* Pile!$S$49</f>
        <v>0</v>
      </c>
      <c r="AD245" s="382">
        <f t="shared" si="274"/>
        <v>8.7269142610765051</v>
      </c>
      <c r="AE245" s="382">
        <f>IF(AD245&gt;0,+AD245)/ 'Pile Data and Eurocode Factors'!$B$14/ 'Pile Data and Eurocode Factors'!$B$15</f>
        <v>3.895943866552011</v>
      </c>
      <c r="AF245" s="382">
        <f t="shared" si="275"/>
        <v>57.946126352255789</v>
      </c>
      <c r="AG245" s="382">
        <f>AA245* Pile!$U$49</f>
        <v>0</v>
      </c>
      <c r="AH245" s="382">
        <f t="shared" si="245"/>
        <v>57.946126352255789</v>
      </c>
      <c r="AI245" s="382">
        <f>AH245/ 'Pile Data and Eurocode Factors'!$C$14/ 'Pile Data and Eurocode Factors'!$C$15</f>
        <v>20.695045125805642</v>
      </c>
      <c r="AJ245" s="382">
        <f t="shared" si="246"/>
        <v>24.590988992357651</v>
      </c>
      <c r="AK245" s="382">
        <f>VLOOKUP(Y245, 'Pile Data and Eurocode Factors'!$A$34:$J$39,3, FALSE)</f>
        <v>2366.1761868507956</v>
      </c>
      <c r="AL245" s="403">
        <f t="shared" si="247"/>
        <v>24.590988992357651</v>
      </c>
      <c r="AM245" s="419">
        <v>600</v>
      </c>
      <c r="AN245" s="382">
        <f>PI()*AM245/1000*( Pile!$C$49- Pile!$C245)</f>
        <v>2.2619467105846498</v>
      </c>
      <c r="AO245" s="382">
        <f t="shared" si="248"/>
        <v>0.28274333882308139</v>
      </c>
      <c r="AP245" s="382">
        <f t="shared" si="276"/>
        <v>11.635885681435342</v>
      </c>
      <c r="AQ245" s="382">
        <f>AN245* Pile!$S$49</f>
        <v>0</v>
      </c>
      <c r="AR245" s="382">
        <f t="shared" si="277"/>
        <v>11.635885681435342</v>
      </c>
      <c r="AS245" s="382">
        <f>IF(AR245&gt;0,+AR245)/ 'Pile Data and Eurocode Factors'!$B$14/ 'Pile Data and Eurocode Factors'!$B$15</f>
        <v>5.1945918220693494</v>
      </c>
      <c r="AT245" s="382">
        <f t="shared" si="278"/>
        <v>103.01533573734362</v>
      </c>
      <c r="AU245" s="382">
        <f>AO245* Pile!$U$49</f>
        <v>0</v>
      </c>
      <c r="AV245" s="382">
        <f t="shared" si="249"/>
        <v>103.01533573734362</v>
      </c>
      <c r="AW245" s="382">
        <f>AV245/ 'Pile Data and Eurocode Factors'!$C$14/ 'Pile Data and Eurocode Factors'!$C$15</f>
        <v>36.791191334765578</v>
      </c>
      <c r="AX245" s="382">
        <f t="shared" si="250"/>
        <v>41.985783156834927</v>
      </c>
      <c r="AY245" s="382">
        <f>VLOOKUP(AM245, 'Pile Data and Eurocode Factors'!$A$34:$J$39,3, FALSE)</f>
        <v>4206.5354432903041</v>
      </c>
      <c r="AZ245" s="403">
        <f t="shared" si="251"/>
        <v>41.985783156834927</v>
      </c>
      <c r="BA245" s="419">
        <v>750</v>
      </c>
      <c r="BB245" s="382">
        <f>PI()*BA245/1000*( Pile!$C$49- Pile!$C245)</f>
        <v>2.827433388230812</v>
      </c>
      <c r="BC245" s="382">
        <f t="shared" si="252"/>
        <v>0.44178646691106466</v>
      </c>
      <c r="BD245" s="382">
        <f t="shared" si="279"/>
        <v>14.544857101794175</v>
      </c>
      <c r="BE245" s="382">
        <f>BB245* Pile!$S$49</f>
        <v>0</v>
      </c>
      <c r="BF245" s="382">
        <f t="shared" si="280"/>
        <v>14.544857101794175</v>
      </c>
      <c r="BG245" s="382">
        <f>IF(BF245&gt;0,+BF245)/ 'Pile Data and Eurocode Factors'!$B$14/ 'Pile Data and Eurocode Factors'!$B$15</f>
        <v>6.4932397775866857</v>
      </c>
      <c r="BH245" s="382">
        <f t="shared" si="281"/>
        <v>160.96146208959939</v>
      </c>
      <c r="BI245" s="382">
        <f>BC245* Pile!$U$49</f>
        <v>0</v>
      </c>
      <c r="BJ245" s="382">
        <f t="shared" si="253"/>
        <v>160.96146208959939</v>
      </c>
      <c r="BK245" s="382">
        <f>BJ245/ 'Pile Data and Eurocode Factors'!$C$14/ 'Pile Data and Eurocode Factors'!$C$15</f>
        <v>57.486236460571213</v>
      </c>
      <c r="BL245" s="382">
        <f t="shared" si="254"/>
        <v>63.979476238157901</v>
      </c>
      <c r="BM245" s="382">
        <f>VLOOKUP(BA245, 'Pile Data and Eurocode Factors'!$A$34:$J$39,3, FALSE)</f>
        <v>6572.7116301410997</v>
      </c>
      <c r="BN245" s="403">
        <f t="shared" si="255"/>
        <v>63.979476238157901</v>
      </c>
      <c r="BO245" s="419">
        <v>900</v>
      </c>
      <c r="BP245" s="382">
        <f>PI()*BO245/1000*( Pile!$C$49- Pile!$C245)</f>
        <v>3.3929200658769747</v>
      </c>
      <c r="BQ245" s="382">
        <f t="shared" si="256"/>
        <v>0.63617251235193317</v>
      </c>
      <c r="BR245" s="382">
        <f t="shared" si="282"/>
        <v>17.45382852215301</v>
      </c>
      <c r="BS245" s="382">
        <f>BP245* Pile!$S$49</f>
        <v>0</v>
      </c>
      <c r="BT245" s="382">
        <f t="shared" si="283"/>
        <v>17.45382852215301</v>
      </c>
      <c r="BU245" s="382">
        <f>IF(BT245&gt;0,+BT245)/ 'Pile Data and Eurocode Factors'!$B$14/ 'Pile Data and Eurocode Factors'!$B$15</f>
        <v>7.7918877331040219</v>
      </c>
      <c r="BV245" s="382">
        <f t="shared" si="284"/>
        <v>231.78450540902315</v>
      </c>
      <c r="BW245" s="382">
        <f>BQ245* Pile!$U$49</f>
        <v>0</v>
      </c>
      <c r="BX245" s="382">
        <f t="shared" si="257"/>
        <v>231.78450540902315</v>
      </c>
      <c r="BY245" s="382">
        <f>BX245/ 'Pile Data and Eurocode Factors'!$C$14/ 'Pile Data and Eurocode Factors'!$C$15</f>
        <v>82.780180503222567</v>
      </c>
      <c r="BZ245" s="382">
        <f t="shared" si="258"/>
        <v>90.572068236326587</v>
      </c>
      <c r="CA245" s="382">
        <f>VLOOKUP(BO245, 'Pile Data and Eurocode Factors'!$A$34:$J$39,3, FALSE)</f>
        <v>9464.7047474031824</v>
      </c>
      <c r="CB245" s="403">
        <f t="shared" si="259"/>
        <v>90.572068236326587</v>
      </c>
      <c r="CC245" s="419">
        <v>1050</v>
      </c>
      <c r="CD245" s="382">
        <f>PI()*CC245/1000*( Pile!$C$49- Pile!$C245)</f>
        <v>3.9584067435231369</v>
      </c>
      <c r="CE245" s="382">
        <f t="shared" si="260"/>
        <v>0.86590147514568672</v>
      </c>
      <c r="CF245" s="382">
        <f t="shared" si="285"/>
        <v>20.362799942511845</v>
      </c>
      <c r="CG245" s="382">
        <f>CD245* Pile!$S$49</f>
        <v>0</v>
      </c>
      <c r="CH245" s="382">
        <f t="shared" si="286"/>
        <v>20.362799942511845</v>
      </c>
      <c r="CI245" s="382">
        <f>IF(CH245&gt;0,+CH245)/ 'Pile Data and Eurocode Factors'!$B$14/ 'Pile Data and Eurocode Factors'!$B$15</f>
        <v>9.09053568862136</v>
      </c>
      <c r="CJ245" s="382">
        <f t="shared" si="287"/>
        <v>315.4844656956148</v>
      </c>
      <c r="CK245" s="382">
        <f>CE245* Pile!$U$49</f>
        <v>0</v>
      </c>
      <c r="CL245" s="382">
        <f t="shared" si="261"/>
        <v>315.4844656956148</v>
      </c>
      <c r="CM245" s="382">
        <f>CL245/ 'Pile Data and Eurocode Factors'!$C$14/ 'Pile Data and Eurocode Factors'!$C$15</f>
        <v>112.67302346271958</v>
      </c>
      <c r="CN245" s="382">
        <f t="shared" si="262"/>
        <v>121.76355915134094</v>
      </c>
      <c r="CO245" s="382">
        <f>VLOOKUP(CC245, 'Pile Data and Eurocode Factors'!$A$34:$J$39,3, FALSE)</f>
        <v>12882.514795076555</v>
      </c>
      <c r="CP245" s="403">
        <f t="shared" si="263"/>
        <v>121.76355915134094</v>
      </c>
      <c r="CQ245" s="419">
        <v>1200</v>
      </c>
      <c r="CR245" s="382">
        <f>PI()*CQ245/1000*( Pile!$C$49- Pile!$C245)</f>
        <v>4.5238934211692996</v>
      </c>
      <c r="CS245" s="382">
        <f t="shared" si="264"/>
        <v>1.1309733552923256</v>
      </c>
      <c r="CT245" s="382">
        <f t="shared" si="288"/>
        <v>23.271771362870684</v>
      </c>
      <c r="CU245" s="382">
        <f>CR245* Pile!$S$49</f>
        <v>0</v>
      </c>
      <c r="CV245" s="382">
        <f t="shared" si="289"/>
        <v>23.271771362870684</v>
      </c>
      <c r="CW245" s="382">
        <f>IF(CV245&gt;0,+CV245)/ 'Pile Data and Eurocode Factors'!$B$14/ 'Pile Data and Eurocode Factors'!$B$15</f>
        <v>10.389183644138699</v>
      </c>
      <c r="CX245" s="382">
        <f t="shared" si="290"/>
        <v>412.06134294937448</v>
      </c>
      <c r="CY245" s="382">
        <f>CS245* Pile!$U$49</f>
        <v>0</v>
      </c>
      <c r="CZ245" s="382">
        <f t="shared" si="265"/>
        <v>412.06134294937448</v>
      </c>
      <c r="DA245" s="382">
        <f>CZ245/ 'Pile Data and Eurocode Factors'!$C$14/ 'Pile Data and Eurocode Factors'!$C$15</f>
        <v>147.16476533906231</v>
      </c>
      <c r="DB245" s="382">
        <f t="shared" si="266"/>
        <v>157.55394898320102</v>
      </c>
      <c r="DC245" s="382">
        <f>VLOOKUP(CQ245, 'Pile Data and Eurocode Factors'!$A$34:$J$39,3, FALSE)</f>
        <v>16826.141773161216</v>
      </c>
      <c r="DD245" s="403">
        <f t="shared" si="267"/>
        <v>157.55394898320102</v>
      </c>
      <c r="DE245" s="420">
        <f xml:space="preserve"> Pile!$C$23- Pile!C245</f>
        <v>1.1999999999999993</v>
      </c>
      <c r="DG245" s="382">
        <f t="shared" si="268"/>
        <v>24.590988992357651</v>
      </c>
      <c r="DH245" s="382">
        <f t="shared" si="269"/>
        <v>41.985783156834927</v>
      </c>
      <c r="DI245" s="382">
        <f t="shared" si="270"/>
        <v>63.979476238157901</v>
      </c>
      <c r="DJ245" s="382">
        <f t="shared" si="271"/>
        <v>90.572068236326587</v>
      </c>
      <c r="DK245" s="382">
        <f t="shared" si="272"/>
        <v>121.76355915134094</v>
      </c>
      <c r="DL245" s="382">
        <f t="shared" si="291"/>
        <v>157.55394898320102</v>
      </c>
    </row>
    <row r="246" spans="2:116" s="308" customFormat="1" ht="15">
      <c r="B246" s="400">
        <v>5</v>
      </c>
      <c r="C246" s="401">
        <f>+C245- Pile!D$49/20</f>
        <v>4.5000000000000009</v>
      </c>
      <c r="D246" s="415" t="str">
        <f>B23</f>
        <v>Loose Sand/Gravel</v>
      </c>
      <c r="E246" s="415" t="str">
        <f>F23</f>
        <v>Granular</v>
      </c>
      <c r="F246" s="401">
        <f xml:space="preserve"> Pile!$E$49*(+C245-C246)+F245</f>
        <v>24.749999999999986</v>
      </c>
      <c r="G246" s="401">
        <f>IF(C246&gt; Pile!$C$54,0,( Pile!$C$54-C246)*9.81)</f>
        <v>0</v>
      </c>
      <c r="H246" s="401">
        <f t="shared" si="238"/>
        <v>24.749999999999986</v>
      </c>
      <c r="I246" s="401">
        <f t="shared" si="239"/>
        <v>12.374999999999993</v>
      </c>
      <c r="J246" s="401">
        <f>IF(E246="Cohesive",(( Pile!$H$49- Pile!$G$49)/20)+J245,0)</f>
        <v>0</v>
      </c>
      <c r="K246" s="401">
        <f>IF(E246="Cohesive",( Pile!$G$49+ Pile!$J246)/2,0)</f>
        <v>0</v>
      </c>
      <c r="L246" s="401" t="str">
        <f>IF( Pile!I$49="",0, Pile!I$49)</f>
        <v>0</v>
      </c>
      <c r="M246" s="401" t="str">
        <f>IF( Pile!J$49="",0, Pile!J$49)</f>
        <v>0</v>
      </c>
      <c r="N246" s="401">
        <f>IF(E246="Granular", Pile!$K$49,0)</f>
        <v>18.401122218708668</v>
      </c>
      <c r="O246" s="416">
        <f>IF(AND(E246="Granular",D246&lt;&gt;"Made Ground"), Pile!$L$49,0)</f>
        <v>0.51961524227066314</v>
      </c>
      <c r="P246" s="401">
        <f>IF(OR(D246="Low Density Chalk",D246="Medium Density Chalk"), Pile!$M$49,0)</f>
        <v>0</v>
      </c>
      <c r="Q246" s="417">
        <f>IF(D246="High Density Chalk", Pile!$N$49,0)</f>
        <v>0</v>
      </c>
      <c r="R246" s="401">
        <f>IF( Pile!O$49="",0, Pile!O$49)</f>
        <v>0</v>
      </c>
      <c r="S246" s="418">
        <f t="shared" si="240"/>
        <v>6.430238623099453</v>
      </c>
      <c r="T246" s="382">
        <f xml:space="preserve"> Pile!$T$49</f>
        <v>1200</v>
      </c>
      <c r="U246" s="382">
        <f t="shared" si="241"/>
        <v>6.430238623099453</v>
      </c>
      <c r="V246" s="382">
        <f t="shared" si="242"/>
        <v>455.42777491303929</v>
      </c>
      <c r="W246" s="382">
        <f xml:space="preserve"> Pile!$V$49</f>
        <v>15000</v>
      </c>
      <c r="X246" s="382">
        <f t="shared" si="243"/>
        <v>455.42777491303929</v>
      </c>
      <c r="Y246" s="419">
        <v>450</v>
      </c>
      <c r="Z246" s="382">
        <f>PI()*Y246/1000*( Pile!$C$49- Pile!$C246)</f>
        <v>2.120575041173109</v>
      </c>
      <c r="AA246" s="382">
        <f t="shared" si="244"/>
        <v>0.15904312808798329</v>
      </c>
      <c r="AB246" s="382">
        <f t="shared" si="273"/>
        <v>13.635803532932039</v>
      </c>
      <c r="AC246" s="382">
        <f>Z246* Pile!$S$49</f>
        <v>0</v>
      </c>
      <c r="AD246" s="382">
        <f t="shared" si="274"/>
        <v>13.635803532932039</v>
      </c>
      <c r="AE246" s="382">
        <f>IF(AD246&gt;0,+AD246)/ 'Pile Data and Eurocode Factors'!$B$14/ 'Pile Data and Eurocode Factors'!$B$15</f>
        <v>6.0874122914875173</v>
      </c>
      <c r="AF246" s="382">
        <f t="shared" si="275"/>
        <v>72.432657940319729</v>
      </c>
      <c r="AG246" s="382">
        <f>AA246* Pile!$U$49</f>
        <v>0</v>
      </c>
      <c r="AH246" s="382">
        <f t="shared" si="245"/>
        <v>72.432657940319729</v>
      </c>
      <c r="AI246" s="382">
        <f>AH246/ 'Pile Data and Eurocode Factors'!$C$14/ 'Pile Data and Eurocode Factors'!$C$15</f>
        <v>25.868806407257047</v>
      </c>
      <c r="AJ246" s="382">
        <f t="shared" si="246"/>
        <v>31.956218698744564</v>
      </c>
      <c r="AK246" s="382">
        <f>VLOOKUP(Y246, 'Pile Data and Eurocode Factors'!$A$34:$J$39,3, FALSE)</f>
        <v>2366.1761868507956</v>
      </c>
      <c r="AL246" s="403">
        <f t="shared" si="247"/>
        <v>31.956218698744564</v>
      </c>
      <c r="AM246" s="419">
        <v>600</v>
      </c>
      <c r="AN246" s="382">
        <f>PI()*AM246/1000*( Pile!$C$49- Pile!$C246)</f>
        <v>2.827433388230812</v>
      </c>
      <c r="AO246" s="382">
        <f t="shared" si="248"/>
        <v>0.28274333882308139</v>
      </c>
      <c r="AP246" s="382">
        <f t="shared" si="276"/>
        <v>18.181071377242716</v>
      </c>
      <c r="AQ246" s="382">
        <f>AN246* Pile!$S$49</f>
        <v>0</v>
      </c>
      <c r="AR246" s="382">
        <f t="shared" si="277"/>
        <v>18.181071377242716</v>
      </c>
      <c r="AS246" s="382">
        <f>IF(AR246&gt;0,+AR246)/ 'Pile Data and Eurocode Factors'!$B$14/ 'Pile Data and Eurocode Factors'!$B$15</f>
        <v>8.1165497219833558</v>
      </c>
      <c r="AT246" s="382">
        <f t="shared" si="278"/>
        <v>128.76916967167952</v>
      </c>
      <c r="AU246" s="382">
        <f>AO246* Pile!$U$49</f>
        <v>0</v>
      </c>
      <c r="AV246" s="382">
        <f t="shared" si="249"/>
        <v>128.76916967167952</v>
      </c>
      <c r="AW246" s="382">
        <f>AV246/ 'Pile Data and Eurocode Factors'!$C$14/ 'Pile Data and Eurocode Factors'!$C$15</f>
        <v>45.988989168456975</v>
      </c>
      <c r="AX246" s="382">
        <f t="shared" si="250"/>
        <v>54.105538890440329</v>
      </c>
      <c r="AY246" s="382">
        <f>VLOOKUP(AM246, 'Pile Data and Eurocode Factors'!$A$34:$J$39,3, FALSE)</f>
        <v>4206.5354432903041</v>
      </c>
      <c r="AZ246" s="403">
        <f t="shared" si="251"/>
        <v>54.105538890440329</v>
      </c>
      <c r="BA246" s="419">
        <v>750</v>
      </c>
      <c r="BB246" s="382">
        <f>PI()*BA246/1000*( Pile!$C$49- Pile!$C246)</f>
        <v>3.534291735288515</v>
      </c>
      <c r="BC246" s="382">
        <f t="shared" si="252"/>
        <v>0.44178646691106466</v>
      </c>
      <c r="BD246" s="382">
        <f t="shared" si="279"/>
        <v>22.726339221553399</v>
      </c>
      <c r="BE246" s="382">
        <f>BB246* Pile!$S$49</f>
        <v>0</v>
      </c>
      <c r="BF246" s="382">
        <f t="shared" si="280"/>
        <v>22.726339221553399</v>
      </c>
      <c r="BG246" s="382">
        <f>IF(BF246&gt;0,+BF246)/ 'Pile Data and Eurocode Factors'!$B$14/ 'Pile Data and Eurocode Factors'!$B$15</f>
        <v>10.145687152479196</v>
      </c>
      <c r="BH246" s="382">
        <f t="shared" si="281"/>
        <v>201.20182761199922</v>
      </c>
      <c r="BI246" s="382">
        <f>BC246* Pile!$U$49</f>
        <v>0</v>
      </c>
      <c r="BJ246" s="382">
        <f t="shared" si="253"/>
        <v>201.20182761199922</v>
      </c>
      <c r="BK246" s="382">
        <f>BJ246/ 'Pile Data and Eurocode Factors'!$C$14/ 'Pile Data and Eurocode Factors'!$C$15</f>
        <v>71.857795575714007</v>
      </c>
      <c r="BL246" s="382">
        <f t="shared" si="254"/>
        <v>82.003482728193205</v>
      </c>
      <c r="BM246" s="382">
        <f>VLOOKUP(BA246, 'Pile Data and Eurocode Factors'!$A$34:$J$39,3, FALSE)</f>
        <v>6572.7116301410997</v>
      </c>
      <c r="BN246" s="403">
        <f t="shared" si="255"/>
        <v>82.003482728193205</v>
      </c>
      <c r="BO246" s="419">
        <v>900</v>
      </c>
      <c r="BP246" s="382">
        <f>PI()*BO246/1000*( Pile!$C$49- Pile!$C246)</f>
        <v>4.241150082346218</v>
      </c>
      <c r="BQ246" s="382">
        <f t="shared" si="256"/>
        <v>0.63617251235193317</v>
      </c>
      <c r="BR246" s="382">
        <f t="shared" si="282"/>
        <v>27.271607065864078</v>
      </c>
      <c r="BS246" s="382">
        <f>BP246* Pile!$S$49</f>
        <v>0</v>
      </c>
      <c r="BT246" s="382">
        <f t="shared" si="283"/>
        <v>27.271607065864078</v>
      </c>
      <c r="BU246" s="382">
        <f>IF(BT246&gt;0,+BT246)/ 'Pile Data and Eurocode Factors'!$B$14/ 'Pile Data and Eurocode Factors'!$B$15</f>
        <v>12.174824582975035</v>
      </c>
      <c r="BV246" s="382">
        <f t="shared" si="284"/>
        <v>289.73063176127891</v>
      </c>
      <c r="BW246" s="382">
        <f>BQ246* Pile!$U$49</f>
        <v>0</v>
      </c>
      <c r="BX246" s="382">
        <f t="shared" si="257"/>
        <v>289.73063176127891</v>
      </c>
      <c r="BY246" s="382">
        <f>BX246/ 'Pile Data and Eurocode Factors'!$C$14/ 'Pile Data and Eurocode Factors'!$C$15</f>
        <v>103.47522562902819</v>
      </c>
      <c r="BZ246" s="382">
        <f t="shared" si="258"/>
        <v>115.65005021200322</v>
      </c>
      <c r="CA246" s="382">
        <f>VLOOKUP(BO246, 'Pile Data and Eurocode Factors'!$A$34:$J$39,3, FALSE)</f>
        <v>9464.7047474031824</v>
      </c>
      <c r="CB246" s="403">
        <f t="shared" si="259"/>
        <v>115.65005021200322</v>
      </c>
      <c r="CC246" s="419">
        <v>1050</v>
      </c>
      <c r="CD246" s="382">
        <f>PI()*CC246/1000*( Pile!$C$49- Pile!$C246)</f>
        <v>4.948008429403921</v>
      </c>
      <c r="CE246" s="382">
        <f t="shared" si="260"/>
        <v>0.86590147514568672</v>
      </c>
      <c r="CF246" s="382">
        <f t="shared" si="285"/>
        <v>31.816874910174757</v>
      </c>
      <c r="CG246" s="382">
        <f>CD246* Pile!$S$49</f>
        <v>0</v>
      </c>
      <c r="CH246" s="382">
        <f t="shared" si="286"/>
        <v>31.816874910174757</v>
      </c>
      <c r="CI246" s="382">
        <f>IF(CH246&gt;0,+CH246)/ 'Pile Data and Eurocode Factors'!$B$14/ 'Pile Data and Eurocode Factors'!$B$15</f>
        <v>14.203962013470873</v>
      </c>
      <c r="CJ246" s="382">
        <f t="shared" si="287"/>
        <v>394.35558211951849</v>
      </c>
      <c r="CK246" s="382">
        <f>CE246* Pile!$U$49</f>
        <v>0</v>
      </c>
      <c r="CL246" s="382">
        <f t="shared" si="261"/>
        <v>394.35558211951849</v>
      </c>
      <c r="CM246" s="382">
        <f>CL246/ 'Pile Data and Eurocode Factors'!$C$14/ 'Pile Data and Eurocode Factors'!$C$15</f>
        <v>140.84127932839948</v>
      </c>
      <c r="CN246" s="382">
        <f t="shared" si="262"/>
        <v>155.04524134187037</v>
      </c>
      <c r="CO246" s="382">
        <f>VLOOKUP(CC246, 'Pile Data and Eurocode Factors'!$A$34:$J$39,3, FALSE)</f>
        <v>12882.514795076555</v>
      </c>
      <c r="CP246" s="403">
        <f t="shared" si="263"/>
        <v>155.04524134187037</v>
      </c>
      <c r="CQ246" s="419">
        <v>1200</v>
      </c>
      <c r="CR246" s="382">
        <f>PI()*CQ246/1000*( Pile!$C$49- Pile!$C246)</f>
        <v>5.6548667764616241</v>
      </c>
      <c r="CS246" s="382">
        <f t="shared" si="264"/>
        <v>1.1309733552923256</v>
      </c>
      <c r="CT246" s="382">
        <f t="shared" si="288"/>
        <v>36.362142754485433</v>
      </c>
      <c r="CU246" s="382">
        <f>CR246* Pile!$S$49</f>
        <v>0</v>
      </c>
      <c r="CV246" s="382">
        <f t="shared" si="289"/>
        <v>36.362142754485433</v>
      </c>
      <c r="CW246" s="382">
        <f>IF(CV246&gt;0,+CV246)/ 'Pile Data and Eurocode Factors'!$B$14/ 'Pile Data and Eurocode Factors'!$B$15</f>
        <v>16.233099443966712</v>
      </c>
      <c r="CX246" s="382">
        <f t="shared" si="290"/>
        <v>515.07667868671808</v>
      </c>
      <c r="CY246" s="382">
        <f>CS246* Pile!$U$49</f>
        <v>0</v>
      </c>
      <c r="CZ246" s="382">
        <f t="shared" si="265"/>
        <v>515.07667868671808</v>
      </c>
      <c r="DA246" s="382">
        <f>CZ246/ 'Pile Data and Eurocode Factors'!$C$14/ 'Pile Data and Eurocode Factors'!$C$15</f>
        <v>183.9559566738279</v>
      </c>
      <c r="DB246" s="382">
        <f t="shared" si="266"/>
        <v>200.18905611779462</v>
      </c>
      <c r="DC246" s="382">
        <f>VLOOKUP(CQ246, 'Pile Data and Eurocode Factors'!$A$34:$J$39,3, FALSE)</f>
        <v>16826.141773161216</v>
      </c>
      <c r="DD246" s="403">
        <f t="shared" si="267"/>
        <v>200.18905611779462</v>
      </c>
      <c r="DE246" s="420">
        <f xml:space="preserve"> Pile!$C$23- Pile!C246</f>
        <v>1.4999999999999991</v>
      </c>
      <c r="DG246" s="382">
        <f t="shared" si="268"/>
        <v>31.956218698744564</v>
      </c>
      <c r="DH246" s="382">
        <f t="shared" si="269"/>
        <v>54.105538890440329</v>
      </c>
      <c r="DI246" s="382">
        <f t="shared" si="270"/>
        <v>82.003482728193205</v>
      </c>
      <c r="DJ246" s="382">
        <f t="shared" si="271"/>
        <v>115.65005021200322</v>
      </c>
      <c r="DK246" s="382">
        <f t="shared" si="272"/>
        <v>155.04524134187037</v>
      </c>
      <c r="DL246" s="382">
        <f t="shared" si="291"/>
        <v>200.18905611779462</v>
      </c>
    </row>
    <row r="247" spans="2:116" s="308" customFormat="1" ht="15">
      <c r="B247" s="400">
        <v>6</v>
      </c>
      <c r="C247" s="401">
        <f>+C246- Pile!D$49/20</f>
        <v>4.2000000000000011</v>
      </c>
      <c r="D247" s="415" t="str">
        <f>B23</f>
        <v>Loose Sand/Gravel</v>
      </c>
      <c r="E247" s="415" t="str">
        <f>F23</f>
        <v>Granular</v>
      </c>
      <c r="F247" s="401">
        <f xml:space="preserve"> Pile!$E$49*(+C246-C247)+F246</f>
        <v>29.699999999999982</v>
      </c>
      <c r="G247" s="401">
        <f>IF(C247&gt; Pile!$C$54,0,( Pile!$C$54-C247)*9.81)</f>
        <v>0</v>
      </c>
      <c r="H247" s="401">
        <f t="shared" si="238"/>
        <v>29.699999999999982</v>
      </c>
      <c r="I247" s="401">
        <f t="shared" si="239"/>
        <v>14.849999999999991</v>
      </c>
      <c r="J247" s="401">
        <f>IF(E247="Cohesive",(( Pile!$H$49- Pile!$G$49)/20)+J246,0)</f>
        <v>0</v>
      </c>
      <c r="K247" s="401">
        <f>IF(E247="Cohesive",( Pile!$G$49+ Pile!$J247)/2,0)</f>
        <v>0</v>
      </c>
      <c r="L247" s="401" t="str">
        <f>IF( Pile!I$49="",0, Pile!I$49)</f>
        <v>0</v>
      </c>
      <c r="M247" s="401" t="str">
        <f>IF( Pile!J$49="",0, Pile!J$49)</f>
        <v>0</v>
      </c>
      <c r="N247" s="401">
        <f>IF(E247="Granular", Pile!$K$49,0)</f>
        <v>18.401122218708668</v>
      </c>
      <c r="O247" s="416">
        <f>IF(AND(E247="Granular",D247&lt;&gt;"Made Ground"), Pile!$L$49,0)</f>
        <v>0.51961524227066314</v>
      </c>
      <c r="P247" s="401">
        <f>IF(OR(D247="Low Density Chalk",D247="Medium Density Chalk"), Pile!$M$49,0)</f>
        <v>0</v>
      </c>
      <c r="Q247" s="417">
        <f>IF(D247="High Density Chalk", Pile!$N$49,0)</f>
        <v>0</v>
      </c>
      <c r="R247" s="401">
        <f>IF( Pile!O$49="",0, Pile!O$49)</f>
        <v>0</v>
      </c>
      <c r="S247" s="418">
        <f t="shared" si="240"/>
        <v>7.7162863477193424</v>
      </c>
      <c r="T247" s="382">
        <f xml:space="preserve"> Pile!$T$49</f>
        <v>1200</v>
      </c>
      <c r="U247" s="382">
        <f t="shared" si="241"/>
        <v>7.7162863477193424</v>
      </c>
      <c r="V247" s="382">
        <f t="shared" si="242"/>
        <v>546.51332989564708</v>
      </c>
      <c r="W247" s="382">
        <f xml:space="preserve"> Pile!$V$49</f>
        <v>15000</v>
      </c>
      <c r="X247" s="382">
        <f t="shared" si="243"/>
        <v>546.51332989564708</v>
      </c>
      <c r="Y247" s="419">
        <v>450</v>
      </c>
      <c r="Z247" s="382">
        <f>PI()*Y247/1000*( Pile!$C$49- Pile!$C247)</f>
        <v>2.5446900494077309</v>
      </c>
      <c r="AA247" s="382">
        <f t="shared" si="244"/>
        <v>0.15904312808798329</v>
      </c>
      <c r="AB247" s="382">
        <f>+$U247*Z247</f>
        <v>19.635557087422132</v>
      </c>
      <c r="AC247" s="382">
        <f>Z247* Pile!$S$49</f>
        <v>0</v>
      </c>
      <c r="AD247" s="382">
        <f t="shared" si="274"/>
        <v>19.635557087422132</v>
      </c>
      <c r="AE247" s="382">
        <f>IF(AD247&gt;0,+AD247)/ 'Pile Data and Eurocode Factors'!$B$14/ 'Pile Data and Eurocode Factors'!$B$15</f>
        <v>8.7658736997420235</v>
      </c>
      <c r="AF247" s="382">
        <f t="shared" si="275"/>
        <v>86.919189528383669</v>
      </c>
      <c r="AG247" s="382">
        <f>AA247* Pile!$U$49</f>
        <v>0</v>
      </c>
      <c r="AH247" s="382">
        <f t="shared" si="245"/>
        <v>86.919189528383669</v>
      </c>
      <c r="AI247" s="382">
        <f>AH247/ 'Pile Data and Eurocode Factors'!$C$14/ 'Pile Data and Eurocode Factors'!$C$15</f>
        <v>31.042567688708456</v>
      </c>
      <c r="AJ247" s="382">
        <f t="shared" si="246"/>
        <v>39.808441388450476</v>
      </c>
      <c r="AK247" s="382">
        <f>VLOOKUP(Y247, 'Pile Data and Eurocode Factors'!$A$34:$J$39,3, FALSE)</f>
        <v>2366.1761868507956</v>
      </c>
      <c r="AL247" s="403">
        <f t="shared" si="247"/>
        <v>39.808441388450476</v>
      </c>
      <c r="AM247" s="419">
        <v>600</v>
      </c>
      <c r="AN247" s="382">
        <f>PI()*AM247/1000*( Pile!$C$49- Pile!$C247)</f>
        <v>3.3929200658769747</v>
      </c>
      <c r="AO247" s="382">
        <f t="shared" si="248"/>
        <v>0.28274333882308139</v>
      </c>
      <c r="AP247" s="382">
        <f>+$U247*AN247</f>
        <v>26.180742783229512</v>
      </c>
      <c r="AQ247" s="382">
        <f>AN247* Pile!$S$49</f>
        <v>0</v>
      </c>
      <c r="AR247" s="382">
        <f t="shared" si="277"/>
        <v>26.180742783229512</v>
      </c>
      <c r="AS247" s="382">
        <f>IF(AR247&gt;0,+AR247)/ 'Pile Data and Eurocode Factors'!$B$14/ 'Pile Data and Eurocode Factors'!$B$15</f>
        <v>11.687831599656032</v>
      </c>
      <c r="AT247" s="382">
        <f t="shared" si="278"/>
        <v>154.52300360601541</v>
      </c>
      <c r="AU247" s="382">
        <f>AO247* Pile!$U$49</f>
        <v>0</v>
      </c>
      <c r="AV247" s="382">
        <f t="shared" si="249"/>
        <v>154.52300360601541</v>
      </c>
      <c r="AW247" s="382">
        <f>AV247/ 'Pile Data and Eurocode Factors'!$C$14/ 'Pile Data and Eurocode Factors'!$C$15</f>
        <v>55.186787002148364</v>
      </c>
      <c r="AX247" s="382">
        <f t="shared" si="250"/>
        <v>66.8746186018044</v>
      </c>
      <c r="AY247" s="382">
        <f>VLOOKUP(AM247, 'Pile Data and Eurocode Factors'!$A$34:$J$39,3, FALSE)</f>
        <v>4206.5354432903041</v>
      </c>
      <c r="AZ247" s="403">
        <f t="shared" si="251"/>
        <v>66.8746186018044</v>
      </c>
      <c r="BA247" s="419">
        <v>750</v>
      </c>
      <c r="BB247" s="382">
        <f>PI()*BA247/1000*( Pile!$C$49- Pile!$C247)</f>
        <v>4.241150082346218</v>
      </c>
      <c r="BC247" s="382">
        <f t="shared" si="252"/>
        <v>0.44178646691106466</v>
      </c>
      <c r="BD247" s="382">
        <f>+$U247*BB247</f>
        <v>32.725928479036888</v>
      </c>
      <c r="BE247" s="382">
        <f>BB247* Pile!$S$49</f>
        <v>0</v>
      </c>
      <c r="BF247" s="382">
        <f t="shared" si="280"/>
        <v>32.725928479036888</v>
      </c>
      <c r="BG247" s="382">
        <f>IF(BF247&gt;0,+BF247)/ 'Pile Data and Eurocode Factors'!$B$14/ 'Pile Data and Eurocode Factors'!$B$15</f>
        <v>14.60978949957004</v>
      </c>
      <c r="BH247" s="382">
        <f t="shared" si="281"/>
        <v>241.44219313439905</v>
      </c>
      <c r="BI247" s="382">
        <f>BC247* Pile!$U$49</f>
        <v>0</v>
      </c>
      <c r="BJ247" s="382">
        <f t="shared" si="253"/>
        <v>241.44219313439905</v>
      </c>
      <c r="BK247" s="382">
        <f>BJ247/ 'Pile Data and Eurocode Factors'!$C$14/ 'Pile Data and Eurocode Factors'!$C$15</f>
        <v>86.229354690856809</v>
      </c>
      <c r="BL247" s="382">
        <f t="shared" si="254"/>
        <v>100.83914419042685</v>
      </c>
      <c r="BM247" s="382">
        <f>VLOOKUP(BA247, 'Pile Data and Eurocode Factors'!$A$34:$J$39,3, FALSE)</f>
        <v>6572.7116301410997</v>
      </c>
      <c r="BN247" s="403">
        <f t="shared" si="255"/>
        <v>100.83914419042685</v>
      </c>
      <c r="BO247" s="419">
        <v>900</v>
      </c>
      <c r="BP247" s="382">
        <f>PI()*BO247/1000*( Pile!$C$49- Pile!$C247)</f>
        <v>5.0893800988154618</v>
      </c>
      <c r="BQ247" s="382">
        <f t="shared" si="256"/>
        <v>0.63617251235193317</v>
      </c>
      <c r="BR247" s="382">
        <f>+$U247*BP247</f>
        <v>39.271114174844264</v>
      </c>
      <c r="BS247" s="382">
        <f>BP247* Pile!$S$49</f>
        <v>0</v>
      </c>
      <c r="BT247" s="382">
        <f t="shared" si="283"/>
        <v>39.271114174844264</v>
      </c>
      <c r="BU247" s="382">
        <f>IF(BT247&gt;0,+BT247)/ 'Pile Data and Eurocode Factors'!$B$14/ 'Pile Data and Eurocode Factors'!$B$15</f>
        <v>17.531747399484047</v>
      </c>
      <c r="BV247" s="382">
        <f t="shared" si="284"/>
        <v>347.67675811353467</v>
      </c>
      <c r="BW247" s="382">
        <f>BQ247* Pile!$U$49</f>
        <v>0</v>
      </c>
      <c r="BX247" s="382">
        <f t="shared" si="257"/>
        <v>347.67675811353467</v>
      </c>
      <c r="BY247" s="382">
        <f>BX247/ 'Pile Data and Eurocode Factors'!$C$14/ 'Pile Data and Eurocode Factors'!$C$15</f>
        <v>124.17027075483382</v>
      </c>
      <c r="BZ247" s="382">
        <f t="shared" si="258"/>
        <v>141.70201815431787</v>
      </c>
      <c r="CA247" s="382">
        <f>VLOOKUP(BO247, 'Pile Data and Eurocode Factors'!$A$34:$J$39,3, FALSE)</f>
        <v>9464.7047474031824</v>
      </c>
      <c r="CB247" s="403">
        <f t="shared" si="259"/>
        <v>141.70201815431787</v>
      </c>
      <c r="CC247" s="419">
        <v>1050</v>
      </c>
      <c r="CD247" s="382">
        <f>PI()*CC247/1000*( Pile!$C$49- Pile!$C247)</f>
        <v>5.9376101152847056</v>
      </c>
      <c r="CE247" s="382">
        <f t="shared" si="260"/>
        <v>0.86590147514568672</v>
      </c>
      <c r="CF247" s="382">
        <f>+$U247*CD247</f>
        <v>45.816299870651648</v>
      </c>
      <c r="CG247" s="382">
        <f>CD247* Pile!$S$49</f>
        <v>0</v>
      </c>
      <c r="CH247" s="382">
        <f t="shared" si="286"/>
        <v>45.816299870651648</v>
      </c>
      <c r="CI247" s="382">
        <f>IF(CH247&gt;0,+CH247)/ 'Pile Data and Eurocode Factors'!$B$14/ 'Pile Data and Eurocode Factors'!$B$15</f>
        <v>20.453705299398059</v>
      </c>
      <c r="CJ247" s="382">
        <f t="shared" si="287"/>
        <v>473.22669854342212</v>
      </c>
      <c r="CK247" s="382">
        <f>CE247* Pile!$U$49</f>
        <v>0</v>
      </c>
      <c r="CL247" s="382">
        <f t="shared" si="261"/>
        <v>473.22669854342212</v>
      </c>
      <c r="CM247" s="382">
        <f>CL247/ 'Pile Data and Eurocode Factors'!$C$14/ 'Pile Data and Eurocode Factors'!$C$15</f>
        <v>169.00953519407935</v>
      </c>
      <c r="CN247" s="382">
        <f t="shared" si="262"/>
        <v>189.4632404934774</v>
      </c>
      <c r="CO247" s="382">
        <f>VLOOKUP(CC247, 'Pile Data and Eurocode Factors'!$A$34:$J$39,3, FALSE)</f>
        <v>12882.514795076555</v>
      </c>
      <c r="CP247" s="403">
        <f t="shared" si="263"/>
        <v>189.4632404934774</v>
      </c>
      <c r="CQ247" s="419">
        <v>1200</v>
      </c>
      <c r="CR247" s="382">
        <f>PI()*CQ247/1000*( Pile!$C$49- Pile!$C247)</f>
        <v>6.7858401317539494</v>
      </c>
      <c r="CS247" s="382">
        <f t="shared" si="264"/>
        <v>1.1309733552923256</v>
      </c>
      <c r="CT247" s="382">
        <f>+$U247*CR247</f>
        <v>52.361485566459024</v>
      </c>
      <c r="CU247" s="382">
        <f>CR247* Pile!$S$49</f>
        <v>0</v>
      </c>
      <c r="CV247" s="382">
        <f t="shared" si="289"/>
        <v>52.361485566459024</v>
      </c>
      <c r="CW247" s="382">
        <f>IF(CV247&gt;0,+CV247)/ 'Pile Data and Eurocode Factors'!$B$14/ 'Pile Data and Eurocode Factors'!$B$15</f>
        <v>23.375663199312065</v>
      </c>
      <c r="CX247" s="382">
        <f t="shared" si="290"/>
        <v>618.09201442406163</v>
      </c>
      <c r="CY247" s="382">
        <f>CS247* Pile!$U$49</f>
        <v>0</v>
      </c>
      <c r="CZ247" s="382">
        <f t="shared" si="265"/>
        <v>618.09201442406163</v>
      </c>
      <c r="DA247" s="382">
        <f>CZ247/ 'Pile Data and Eurocode Factors'!$C$14/ 'Pile Data and Eurocode Factors'!$C$15</f>
        <v>220.74714800859346</v>
      </c>
      <c r="DB247" s="382">
        <f t="shared" si="266"/>
        <v>244.12281120790553</v>
      </c>
      <c r="DC247" s="382">
        <f>VLOOKUP(CQ247, 'Pile Data and Eurocode Factors'!$A$34:$J$39,3, FALSE)</f>
        <v>16826.141773161216</v>
      </c>
      <c r="DD247" s="403">
        <f t="shared" si="267"/>
        <v>244.12281120790553</v>
      </c>
      <c r="DE247" s="420">
        <f xml:space="preserve"> Pile!$C$23- Pile!C247</f>
        <v>1.7999999999999989</v>
      </c>
      <c r="DG247" s="382">
        <f t="shared" si="268"/>
        <v>39.808441388450476</v>
      </c>
      <c r="DH247" s="382">
        <f t="shared" si="269"/>
        <v>66.8746186018044</v>
      </c>
      <c r="DI247" s="382">
        <f t="shared" si="270"/>
        <v>100.83914419042685</v>
      </c>
      <c r="DJ247" s="382">
        <f t="shared" si="271"/>
        <v>141.70201815431787</v>
      </c>
      <c r="DK247" s="382">
        <f t="shared" si="272"/>
        <v>189.4632404934774</v>
      </c>
      <c r="DL247" s="382">
        <f t="shared" si="291"/>
        <v>244.12281120790553</v>
      </c>
    </row>
    <row r="248" spans="2:116" s="308" customFormat="1" ht="15">
      <c r="B248" s="400">
        <v>7</v>
      </c>
      <c r="C248" s="401">
        <f>+C247- Pile!D$49/20</f>
        <v>3.9000000000000012</v>
      </c>
      <c r="D248" s="415" t="str">
        <f>B23</f>
        <v>Loose Sand/Gravel</v>
      </c>
      <c r="E248" s="415" t="str">
        <f>F23</f>
        <v>Granular</v>
      </c>
      <c r="F248" s="401">
        <f xml:space="preserve"> Pile!$E$49*(+C247-C248)+F247</f>
        <v>34.649999999999977</v>
      </c>
      <c r="G248" s="401">
        <f>IF(C248&gt; Pile!$C$54,0,( Pile!$C$54-C248)*9.81)</f>
        <v>0</v>
      </c>
      <c r="H248" s="401">
        <f t="shared" si="238"/>
        <v>34.649999999999977</v>
      </c>
      <c r="I248" s="401">
        <f t="shared" si="239"/>
        <v>17.324999999999989</v>
      </c>
      <c r="J248" s="401">
        <f>IF(E248="Cohesive",(( Pile!$H$49- Pile!$G$49)/20)+J247,0)</f>
        <v>0</v>
      </c>
      <c r="K248" s="401">
        <f>IF(E248="Cohesive",( Pile!$G$49+ Pile!$J248)/2,0)</f>
        <v>0</v>
      </c>
      <c r="L248" s="401" t="str">
        <f>IF( Pile!I$49="",0, Pile!I$49)</f>
        <v>0</v>
      </c>
      <c r="M248" s="401" t="str">
        <f>IF( Pile!J$49="",0, Pile!J$49)</f>
        <v>0</v>
      </c>
      <c r="N248" s="401">
        <f>IF(E248="Granular", Pile!$K$49,0)</f>
        <v>18.401122218708668</v>
      </c>
      <c r="O248" s="416">
        <f>IF(AND(E248="Granular",D248&lt;&gt;"Made Ground"), Pile!$L$49,0)</f>
        <v>0.51961524227066314</v>
      </c>
      <c r="P248" s="401">
        <f>IF(OR(D248="Low Density Chalk",D248="Medium Density Chalk"), Pile!$M$49,0)</f>
        <v>0</v>
      </c>
      <c r="Q248" s="417">
        <f>IF(D248="High Density Chalk", Pile!$N$49,0)</f>
        <v>0</v>
      </c>
      <c r="R248" s="401">
        <f>IF( Pile!O$49="",0, Pile!O$49)</f>
        <v>0</v>
      </c>
      <c r="S248" s="418">
        <f t="shared" si="240"/>
        <v>9.0023340723392327</v>
      </c>
      <c r="T248" s="382">
        <f xml:space="preserve"> Pile!$T$49</f>
        <v>1200</v>
      </c>
      <c r="U248" s="382">
        <f t="shared" si="241"/>
        <v>9.0023340723392327</v>
      </c>
      <c r="V248" s="382">
        <f t="shared" si="242"/>
        <v>637.59888487825492</v>
      </c>
      <c r="W248" s="382">
        <f xml:space="preserve"> Pile!$V$49</f>
        <v>15000</v>
      </c>
      <c r="X248" s="382">
        <f t="shared" si="243"/>
        <v>637.59888487825492</v>
      </c>
      <c r="Y248" s="419">
        <v>450</v>
      </c>
      <c r="Z248" s="382">
        <f>PI()*Y248/1000*( Pile!$C$49- Pile!$C248)</f>
        <v>2.9688050576423528</v>
      </c>
      <c r="AA248" s="382">
        <f t="shared" si="244"/>
        <v>0.15904312808798329</v>
      </c>
      <c r="AB248" s="382">
        <f t="shared" ref="AB248:AB311" si="292">+$U248*Z248</f>
        <v>26.726174924546793</v>
      </c>
      <c r="AC248" s="382">
        <f>Z248* Pile!$S$49</f>
        <v>0</v>
      </c>
      <c r="AD248" s="382">
        <f t="shared" si="274"/>
        <v>26.726174924546793</v>
      </c>
      <c r="AE248" s="382">
        <f>IF(AD248&gt;0,+AD248)/ 'Pile Data and Eurocode Factors'!$B$14/ 'Pile Data and Eurocode Factors'!$B$15</f>
        <v>11.931328091315534</v>
      </c>
      <c r="AF248" s="382">
        <f t="shared" si="275"/>
        <v>101.40572111644761</v>
      </c>
      <c r="AG248" s="382">
        <f>AA248* Pile!$U$49</f>
        <v>0</v>
      </c>
      <c r="AH248" s="382">
        <f t="shared" si="245"/>
        <v>101.40572111644761</v>
      </c>
      <c r="AI248" s="382">
        <f>AH248/ 'Pile Data and Eurocode Factors'!$C$14/ 'Pile Data and Eurocode Factors'!$C$15</f>
        <v>36.216328970159864</v>
      </c>
      <c r="AJ248" s="382">
        <f t="shared" si="246"/>
        <v>48.1476570614754</v>
      </c>
      <c r="AK248" s="382">
        <f>VLOOKUP(Y248, 'Pile Data and Eurocode Factors'!$A$34:$J$39,3, FALSE)</f>
        <v>2366.1761868507956</v>
      </c>
      <c r="AL248" s="403">
        <f t="shared" si="247"/>
        <v>48.1476570614754</v>
      </c>
      <c r="AM248" s="419">
        <v>600</v>
      </c>
      <c r="AN248" s="382">
        <f>PI()*AM248/1000*( Pile!$C$49- Pile!$C248)</f>
        <v>3.9584067435231369</v>
      </c>
      <c r="AO248" s="382">
        <f t="shared" si="248"/>
        <v>0.28274333882308139</v>
      </c>
      <c r="AP248" s="382">
        <f t="shared" ref="AP248:AP311" si="293">+$U248*AN248</f>
        <v>35.63489989939572</v>
      </c>
      <c r="AQ248" s="382">
        <f>AN248* Pile!$S$49</f>
        <v>0</v>
      </c>
      <c r="AR248" s="382">
        <f t="shared" si="277"/>
        <v>35.63489989939572</v>
      </c>
      <c r="AS248" s="382">
        <f>IF(AR248&gt;0,+AR248)/ 'Pile Data and Eurocode Factors'!$B$14/ 'Pile Data and Eurocode Factors'!$B$15</f>
        <v>15.908437455087375</v>
      </c>
      <c r="AT248" s="382">
        <f t="shared" si="278"/>
        <v>180.27683754035129</v>
      </c>
      <c r="AU248" s="382">
        <f>AO248* Pile!$U$49</f>
        <v>0</v>
      </c>
      <c r="AV248" s="382">
        <f t="shared" si="249"/>
        <v>180.27683754035129</v>
      </c>
      <c r="AW248" s="382">
        <f>AV248/ 'Pile Data and Eurocode Factors'!$C$14/ 'Pile Data and Eurocode Factors'!$C$15</f>
        <v>64.384584835839746</v>
      </c>
      <c r="AX248" s="382">
        <f t="shared" si="250"/>
        <v>80.293022290927127</v>
      </c>
      <c r="AY248" s="382">
        <f>VLOOKUP(AM248, 'Pile Data and Eurocode Factors'!$A$34:$J$39,3, FALSE)</f>
        <v>4206.5354432903041</v>
      </c>
      <c r="AZ248" s="403">
        <f t="shared" si="251"/>
        <v>80.293022290927127</v>
      </c>
      <c r="BA248" s="419">
        <v>750</v>
      </c>
      <c r="BB248" s="382">
        <f>PI()*BA248/1000*( Pile!$C$49- Pile!$C248)</f>
        <v>4.948008429403921</v>
      </c>
      <c r="BC248" s="382">
        <f t="shared" si="252"/>
        <v>0.44178646691106466</v>
      </c>
      <c r="BD248" s="382">
        <f t="shared" ref="BD248:BD311" si="294">+$U248*BB248</f>
        <v>44.543624874244649</v>
      </c>
      <c r="BE248" s="382">
        <f>BB248* Pile!$S$49</f>
        <v>0</v>
      </c>
      <c r="BF248" s="382">
        <f t="shared" si="280"/>
        <v>44.543624874244649</v>
      </c>
      <c r="BG248" s="382">
        <f>IF(BF248&gt;0,+BF248)/ 'Pile Data and Eurocode Factors'!$B$14/ 'Pile Data and Eurocode Factors'!$B$15</f>
        <v>19.885546818859218</v>
      </c>
      <c r="BH248" s="382">
        <f t="shared" si="281"/>
        <v>281.6825586567989</v>
      </c>
      <c r="BI248" s="382">
        <f>BC248* Pile!$U$49</f>
        <v>0</v>
      </c>
      <c r="BJ248" s="382">
        <f t="shared" si="253"/>
        <v>281.6825586567989</v>
      </c>
      <c r="BK248" s="382">
        <f>BJ248/ 'Pile Data and Eurocode Factors'!$C$14/ 'Pile Data and Eurocode Factors'!$C$15</f>
        <v>100.60091380599961</v>
      </c>
      <c r="BL248" s="382">
        <f t="shared" si="254"/>
        <v>120.48646062485884</v>
      </c>
      <c r="BM248" s="382">
        <f>VLOOKUP(BA248, 'Pile Data and Eurocode Factors'!$A$34:$J$39,3, FALSE)</f>
        <v>6572.7116301410997</v>
      </c>
      <c r="BN248" s="403">
        <f t="shared" si="255"/>
        <v>120.48646062485884</v>
      </c>
      <c r="BO248" s="419">
        <v>900</v>
      </c>
      <c r="BP248" s="382">
        <f>PI()*BO248/1000*( Pile!$C$49- Pile!$C248)</f>
        <v>5.9376101152847056</v>
      </c>
      <c r="BQ248" s="382">
        <f t="shared" si="256"/>
        <v>0.63617251235193317</v>
      </c>
      <c r="BR248" s="382">
        <f t="shared" ref="BR248:BR311" si="295">+$U248*BP248</f>
        <v>53.452349849093586</v>
      </c>
      <c r="BS248" s="382">
        <f>BP248* Pile!$S$49</f>
        <v>0</v>
      </c>
      <c r="BT248" s="382">
        <f t="shared" si="283"/>
        <v>53.452349849093586</v>
      </c>
      <c r="BU248" s="382">
        <f>IF(BT248&gt;0,+BT248)/ 'Pile Data and Eurocode Factors'!$B$14/ 'Pile Data and Eurocode Factors'!$B$15</f>
        <v>23.862656182631067</v>
      </c>
      <c r="BV248" s="382">
        <f t="shared" si="284"/>
        <v>405.62288446579043</v>
      </c>
      <c r="BW248" s="382">
        <f>BQ248* Pile!$U$49</f>
        <v>0</v>
      </c>
      <c r="BX248" s="382">
        <f t="shared" si="257"/>
        <v>405.62288446579043</v>
      </c>
      <c r="BY248" s="382">
        <f>BX248/ 'Pile Data and Eurocode Factors'!$C$14/ 'Pile Data and Eurocode Factors'!$C$15</f>
        <v>144.86531588063946</v>
      </c>
      <c r="BZ248" s="382">
        <f t="shared" si="258"/>
        <v>168.72797206327053</v>
      </c>
      <c r="CA248" s="382">
        <f>VLOOKUP(BO248, 'Pile Data and Eurocode Factors'!$A$34:$J$39,3, FALSE)</f>
        <v>9464.7047474031824</v>
      </c>
      <c r="CB248" s="403">
        <f t="shared" si="259"/>
        <v>168.72797206327053</v>
      </c>
      <c r="CC248" s="419">
        <v>1050</v>
      </c>
      <c r="CD248" s="382">
        <f>PI()*CC248/1000*( Pile!$C$49- Pile!$C248)</f>
        <v>6.9272118011654893</v>
      </c>
      <c r="CE248" s="382">
        <f t="shared" si="260"/>
        <v>0.86590147514568672</v>
      </c>
      <c r="CF248" s="382">
        <f t="shared" ref="CF248:CF311" si="296">+$U248*CD248</f>
        <v>62.361074823942509</v>
      </c>
      <c r="CG248" s="382">
        <f>CD248* Pile!$S$49</f>
        <v>0</v>
      </c>
      <c r="CH248" s="382">
        <f t="shared" si="286"/>
        <v>62.361074823942509</v>
      </c>
      <c r="CI248" s="382">
        <f>IF(CH248&gt;0,+CH248)/ 'Pile Data and Eurocode Factors'!$B$14/ 'Pile Data and Eurocode Factors'!$B$15</f>
        <v>27.839765546402905</v>
      </c>
      <c r="CJ248" s="382">
        <f t="shared" si="287"/>
        <v>552.0978149673258</v>
      </c>
      <c r="CK248" s="382">
        <f>CE248* Pile!$U$49</f>
        <v>0</v>
      </c>
      <c r="CL248" s="382">
        <f t="shared" si="261"/>
        <v>552.0978149673258</v>
      </c>
      <c r="CM248" s="382">
        <f>CL248/ 'Pile Data and Eurocode Factors'!$C$14/ 'Pile Data and Eurocode Factors'!$C$15</f>
        <v>197.17779105975922</v>
      </c>
      <c r="CN248" s="382">
        <f t="shared" si="262"/>
        <v>225.01755660616212</v>
      </c>
      <c r="CO248" s="382">
        <f>VLOOKUP(CC248, 'Pile Data and Eurocode Factors'!$A$34:$J$39,3, FALSE)</f>
        <v>12882.514795076555</v>
      </c>
      <c r="CP248" s="403">
        <f t="shared" si="263"/>
        <v>225.01755660616212</v>
      </c>
      <c r="CQ248" s="419">
        <v>1200</v>
      </c>
      <c r="CR248" s="382">
        <f>PI()*CQ248/1000*( Pile!$C$49- Pile!$C248)</f>
        <v>7.9168134870462739</v>
      </c>
      <c r="CS248" s="382">
        <f t="shared" si="264"/>
        <v>1.1309733552923256</v>
      </c>
      <c r="CT248" s="382">
        <f t="shared" ref="CT248:CT311" si="297">+$U248*CR248</f>
        <v>71.269799798791439</v>
      </c>
      <c r="CU248" s="382">
        <f>CR248* Pile!$S$49</f>
        <v>0</v>
      </c>
      <c r="CV248" s="382">
        <f t="shared" si="289"/>
        <v>71.269799798791439</v>
      </c>
      <c r="CW248" s="382">
        <f>IF(CV248&gt;0,+CV248)/ 'Pile Data and Eurocode Factors'!$B$14/ 'Pile Data and Eurocode Factors'!$B$15</f>
        <v>31.81687491017475</v>
      </c>
      <c r="CX248" s="382">
        <f t="shared" si="290"/>
        <v>721.10735016140518</v>
      </c>
      <c r="CY248" s="382">
        <f>CS248* Pile!$U$49</f>
        <v>0</v>
      </c>
      <c r="CZ248" s="382">
        <f t="shared" si="265"/>
        <v>721.10735016140518</v>
      </c>
      <c r="DA248" s="382">
        <f>CZ248/ 'Pile Data and Eurocode Factors'!$C$14/ 'Pile Data and Eurocode Factors'!$C$15</f>
        <v>257.53833934335898</v>
      </c>
      <c r="DB248" s="382">
        <f t="shared" si="266"/>
        <v>289.35521425353375</v>
      </c>
      <c r="DC248" s="382">
        <f>VLOOKUP(CQ248, 'Pile Data and Eurocode Factors'!$A$34:$J$39,3, FALSE)</f>
        <v>16826.141773161216</v>
      </c>
      <c r="DD248" s="403">
        <f t="shared" si="267"/>
        <v>289.35521425353375</v>
      </c>
      <c r="DE248" s="420">
        <f xml:space="preserve"> Pile!$C$23- Pile!C248</f>
        <v>2.0999999999999988</v>
      </c>
      <c r="DG248" s="382">
        <f t="shared" si="268"/>
        <v>48.1476570614754</v>
      </c>
      <c r="DH248" s="382">
        <f t="shared" si="269"/>
        <v>80.293022290927127</v>
      </c>
      <c r="DI248" s="382">
        <f t="shared" si="270"/>
        <v>120.48646062485884</v>
      </c>
      <c r="DJ248" s="382">
        <f t="shared" si="271"/>
        <v>168.72797206327053</v>
      </c>
      <c r="DK248" s="382">
        <f t="shared" si="272"/>
        <v>225.01755660616212</v>
      </c>
      <c r="DL248" s="382">
        <f t="shared" si="291"/>
        <v>289.35521425353375</v>
      </c>
    </row>
    <row r="249" spans="2:116" s="308" customFormat="1" ht="15">
      <c r="B249" s="400">
        <v>8</v>
      </c>
      <c r="C249" s="401">
        <f>+C248- Pile!D$49/20</f>
        <v>3.6000000000000014</v>
      </c>
      <c r="D249" s="415" t="str">
        <f>B23</f>
        <v>Loose Sand/Gravel</v>
      </c>
      <c r="E249" s="415" t="str">
        <f>F23</f>
        <v>Granular</v>
      </c>
      <c r="F249" s="401">
        <f xml:space="preserve"> Pile!$E$49*(+C248-C249)+F248</f>
        <v>39.599999999999973</v>
      </c>
      <c r="G249" s="401">
        <f>IF(C249&gt; Pile!$C$54,0,( Pile!$C$54-C249)*9.81)</f>
        <v>0</v>
      </c>
      <c r="H249" s="401">
        <f t="shared" si="238"/>
        <v>39.599999999999973</v>
      </c>
      <c r="I249" s="401">
        <f t="shared" si="239"/>
        <v>19.799999999999986</v>
      </c>
      <c r="J249" s="401">
        <f>IF(E249="Cohesive",(( Pile!$H$49- Pile!$G$49)/20)+J248,0)</f>
        <v>0</v>
      </c>
      <c r="K249" s="401">
        <f>IF(E249="Cohesive",( Pile!$G$49+ Pile!$J249)/2,0)</f>
        <v>0</v>
      </c>
      <c r="L249" s="401" t="str">
        <f>IF( Pile!I$49="",0, Pile!I$49)</f>
        <v>0</v>
      </c>
      <c r="M249" s="401" t="str">
        <f>IF( Pile!J$49="",0, Pile!J$49)</f>
        <v>0</v>
      </c>
      <c r="N249" s="401">
        <f>IF(E249="Granular", Pile!$K$49,0)</f>
        <v>18.401122218708668</v>
      </c>
      <c r="O249" s="416">
        <f>IF(AND(E249="Granular",D249&lt;&gt;"Made Ground"), Pile!$L$49,0)</f>
        <v>0.51961524227066314</v>
      </c>
      <c r="P249" s="401">
        <f>IF(OR(D249="Low Density Chalk",D249="Medium Density Chalk"), Pile!$M$49,0)</f>
        <v>0</v>
      </c>
      <c r="Q249" s="417">
        <f>IF(D249="High Density Chalk", Pile!$N$49,0)</f>
        <v>0</v>
      </c>
      <c r="R249" s="401">
        <f>IF( Pile!O$49="",0, Pile!O$49)</f>
        <v>0</v>
      </c>
      <c r="S249" s="418">
        <f t="shared" si="240"/>
        <v>10.288381796959124</v>
      </c>
      <c r="T249" s="382">
        <f xml:space="preserve"> Pile!$T$49</f>
        <v>1200</v>
      </c>
      <c r="U249" s="382">
        <f t="shared" si="241"/>
        <v>10.288381796959124</v>
      </c>
      <c r="V249" s="382">
        <f t="shared" si="242"/>
        <v>728.68443986086277</v>
      </c>
      <c r="W249" s="382">
        <f xml:space="preserve"> Pile!$V$49</f>
        <v>15000</v>
      </c>
      <c r="X249" s="382">
        <f t="shared" si="243"/>
        <v>728.68443986086277</v>
      </c>
      <c r="Y249" s="419">
        <v>450</v>
      </c>
      <c r="Z249" s="382">
        <f>PI()*Y249/1000*( Pile!$C$49- Pile!$C249)</f>
        <v>3.3929200658769747</v>
      </c>
      <c r="AA249" s="382">
        <f t="shared" si="244"/>
        <v>0.15904312808798329</v>
      </c>
      <c r="AB249" s="382">
        <f t="shared" si="292"/>
        <v>34.907657044306021</v>
      </c>
      <c r="AC249" s="382">
        <f>Z249* Pile!$S$49</f>
        <v>0</v>
      </c>
      <c r="AD249" s="382">
        <f>IF(AC249&gt;0,MIN(AB249:AC249),AB249)</f>
        <v>34.907657044306021</v>
      </c>
      <c r="AE249" s="382">
        <f>IF(AD249&gt;0,+AD249)/ 'Pile Data and Eurocode Factors'!$B$14/ 'Pile Data and Eurocode Factors'!$B$15</f>
        <v>15.583775466208044</v>
      </c>
      <c r="AF249" s="382">
        <f t="shared" si="275"/>
        <v>115.89225270451156</v>
      </c>
      <c r="AG249" s="382">
        <f>AA249* Pile!$U$49</f>
        <v>0</v>
      </c>
      <c r="AH249" s="382">
        <f t="shared" si="245"/>
        <v>115.89225270451156</v>
      </c>
      <c r="AI249" s="382">
        <f>AH249/ 'Pile Data and Eurocode Factors'!$C$14/ 'Pile Data and Eurocode Factors'!$C$15</f>
        <v>41.390090251611277</v>
      </c>
      <c r="AJ249" s="382">
        <f t="shared" si="246"/>
        <v>56.973865717819322</v>
      </c>
      <c r="AK249" s="382">
        <f>VLOOKUP(Y249, 'Pile Data and Eurocode Factors'!$A$34:$J$39,3, FALSE)</f>
        <v>2366.1761868507956</v>
      </c>
      <c r="AL249" s="403">
        <f t="shared" si="247"/>
        <v>56.973865717819322</v>
      </c>
      <c r="AM249" s="419">
        <v>600</v>
      </c>
      <c r="AN249" s="382">
        <f>PI()*AM249/1000*( Pile!$C$49- Pile!$C249)</f>
        <v>4.5238934211692996</v>
      </c>
      <c r="AO249" s="382">
        <f t="shared" si="248"/>
        <v>0.28274333882308139</v>
      </c>
      <c r="AP249" s="382">
        <f t="shared" si="293"/>
        <v>46.543542725741354</v>
      </c>
      <c r="AQ249" s="382">
        <f>AN249* Pile!$S$49</f>
        <v>0</v>
      </c>
      <c r="AR249" s="382">
        <f>IF(AQ249&gt;0,MIN(AP249:AQ249),AP249)</f>
        <v>46.543542725741354</v>
      </c>
      <c r="AS249" s="382">
        <f>IF(AR249&gt;0,+AR249)/ 'Pile Data and Eurocode Factors'!$B$14/ 'Pile Data and Eurocode Factors'!$B$15</f>
        <v>20.778367288277391</v>
      </c>
      <c r="AT249" s="382">
        <f t="shared" si="278"/>
        <v>206.03067147468721</v>
      </c>
      <c r="AU249" s="382">
        <f>AO249* Pile!$U$49</f>
        <v>0</v>
      </c>
      <c r="AV249" s="382">
        <f t="shared" si="249"/>
        <v>206.03067147468721</v>
      </c>
      <c r="AW249" s="382">
        <f>AV249/ 'Pile Data and Eurocode Factors'!$C$14/ 'Pile Data and Eurocode Factors'!$C$15</f>
        <v>73.582382669531157</v>
      </c>
      <c r="AX249" s="382">
        <f t="shared" si="250"/>
        <v>94.360749957808551</v>
      </c>
      <c r="AY249" s="382">
        <f>VLOOKUP(AM249, 'Pile Data and Eurocode Factors'!$A$34:$J$39,3, FALSE)</f>
        <v>4206.5354432903041</v>
      </c>
      <c r="AZ249" s="403">
        <f t="shared" si="251"/>
        <v>94.360749957808551</v>
      </c>
      <c r="BA249" s="419">
        <v>750</v>
      </c>
      <c r="BB249" s="382">
        <f>PI()*BA249/1000*( Pile!$C$49- Pile!$C249)</f>
        <v>5.6548667764616241</v>
      </c>
      <c r="BC249" s="382">
        <f t="shared" si="252"/>
        <v>0.44178646691106466</v>
      </c>
      <c r="BD249" s="382">
        <f t="shared" si="294"/>
        <v>58.179428407176694</v>
      </c>
      <c r="BE249" s="382">
        <f>BB249* Pile!$S$49</f>
        <v>0</v>
      </c>
      <c r="BF249" s="382">
        <f>IF(BE249&gt;0,MIN(BD249:BE249),BD249)</f>
        <v>58.179428407176694</v>
      </c>
      <c r="BG249" s="382">
        <f>IF(BF249&gt;0,+BF249)/ 'Pile Data and Eurocode Factors'!$B$14/ 'Pile Data and Eurocode Factors'!$B$15</f>
        <v>25.972959110346736</v>
      </c>
      <c r="BH249" s="382">
        <f t="shared" si="281"/>
        <v>321.92292417919873</v>
      </c>
      <c r="BI249" s="382">
        <f>BC249* Pile!$U$49</f>
        <v>0</v>
      </c>
      <c r="BJ249" s="382">
        <f t="shared" si="253"/>
        <v>321.92292417919873</v>
      </c>
      <c r="BK249" s="382">
        <f>BJ249/ 'Pile Data and Eurocode Factors'!$C$14/ 'Pile Data and Eurocode Factors'!$C$15</f>
        <v>114.97247292114241</v>
      </c>
      <c r="BL249" s="382">
        <f t="shared" si="254"/>
        <v>140.94543203148913</v>
      </c>
      <c r="BM249" s="382">
        <f>VLOOKUP(BA249, 'Pile Data and Eurocode Factors'!$A$34:$J$39,3, FALSE)</f>
        <v>6572.7116301410997</v>
      </c>
      <c r="BN249" s="403">
        <f t="shared" si="255"/>
        <v>140.94543203148913</v>
      </c>
      <c r="BO249" s="419">
        <v>900</v>
      </c>
      <c r="BP249" s="382">
        <f>PI()*BO249/1000*( Pile!$C$49- Pile!$C249)</f>
        <v>6.7858401317539494</v>
      </c>
      <c r="BQ249" s="382">
        <f t="shared" si="256"/>
        <v>0.63617251235193317</v>
      </c>
      <c r="BR249" s="382">
        <f t="shared" si="295"/>
        <v>69.815314088612041</v>
      </c>
      <c r="BS249" s="382">
        <f>BP249* Pile!$S$49</f>
        <v>0</v>
      </c>
      <c r="BT249" s="382">
        <f>IF(BS249&gt;0,MIN(BR249:BS249),BR249)</f>
        <v>69.815314088612041</v>
      </c>
      <c r="BU249" s="382">
        <f>IF(BT249&gt;0,+BT249)/ 'Pile Data and Eurocode Factors'!$B$14/ 'Pile Data and Eurocode Factors'!$B$15</f>
        <v>31.167550932416088</v>
      </c>
      <c r="BV249" s="382">
        <f t="shared" si="284"/>
        <v>463.56901081804625</v>
      </c>
      <c r="BW249" s="382">
        <f>BQ249* Pile!$U$49</f>
        <v>0</v>
      </c>
      <c r="BX249" s="382">
        <f t="shared" si="257"/>
        <v>463.56901081804625</v>
      </c>
      <c r="BY249" s="382">
        <f>BX249/ 'Pile Data and Eurocode Factors'!$C$14/ 'Pile Data and Eurocode Factors'!$C$15</f>
        <v>165.56036100644511</v>
      </c>
      <c r="BZ249" s="382">
        <f t="shared" si="258"/>
        <v>196.72791193886118</v>
      </c>
      <c r="CA249" s="382">
        <f>VLOOKUP(BO249, 'Pile Data and Eurocode Factors'!$A$34:$J$39,3, FALSE)</f>
        <v>9464.7047474031824</v>
      </c>
      <c r="CB249" s="403">
        <f t="shared" si="259"/>
        <v>196.72791193886118</v>
      </c>
      <c r="CC249" s="419">
        <v>1050</v>
      </c>
      <c r="CD249" s="382">
        <f>PI()*CC249/1000*( Pile!$C$49- Pile!$C249)</f>
        <v>7.9168134870462739</v>
      </c>
      <c r="CE249" s="382">
        <f t="shared" si="260"/>
        <v>0.86590147514568672</v>
      </c>
      <c r="CF249" s="382">
        <f t="shared" si="296"/>
        <v>81.451199770047367</v>
      </c>
      <c r="CG249" s="382">
        <f>CD249* Pile!$S$49</f>
        <v>0</v>
      </c>
      <c r="CH249" s="382">
        <f>IF(CG249&gt;0,MIN(CF249:CG249),CF249)</f>
        <v>81.451199770047367</v>
      </c>
      <c r="CI249" s="382">
        <f>IF(CH249&gt;0,+CH249)/ 'Pile Data and Eurocode Factors'!$B$14/ 'Pile Data and Eurocode Factors'!$B$15</f>
        <v>36.362142754485433</v>
      </c>
      <c r="CJ249" s="382">
        <f t="shared" si="287"/>
        <v>630.96893139122949</v>
      </c>
      <c r="CK249" s="382">
        <f>CE249* Pile!$U$49</f>
        <v>0</v>
      </c>
      <c r="CL249" s="382">
        <f t="shared" si="261"/>
        <v>630.96893139122949</v>
      </c>
      <c r="CM249" s="382">
        <f>CL249/ 'Pile Data and Eurocode Factors'!$C$14/ 'Pile Data and Eurocode Factors'!$C$15</f>
        <v>225.34604692543911</v>
      </c>
      <c r="CN249" s="382">
        <f t="shared" si="262"/>
        <v>261.70818967992454</v>
      </c>
      <c r="CO249" s="382">
        <f>VLOOKUP(CC249, 'Pile Data and Eurocode Factors'!$A$34:$J$39,3, FALSE)</f>
        <v>12882.514795076555</v>
      </c>
      <c r="CP249" s="403">
        <f t="shared" si="263"/>
        <v>261.70818967992454</v>
      </c>
      <c r="CQ249" s="419">
        <v>1200</v>
      </c>
      <c r="CR249" s="382">
        <f>PI()*CQ249/1000*( Pile!$C$49- Pile!$C249)</f>
        <v>9.0477868423385992</v>
      </c>
      <c r="CS249" s="382">
        <f t="shared" si="264"/>
        <v>1.1309733552923256</v>
      </c>
      <c r="CT249" s="382">
        <f t="shared" si="297"/>
        <v>93.087085451482707</v>
      </c>
      <c r="CU249" s="382">
        <f>CR249* Pile!$S$49</f>
        <v>0</v>
      </c>
      <c r="CV249" s="382">
        <f>IF(CU249&gt;0,MIN(CT249:CU249),CT249)</f>
        <v>93.087085451482707</v>
      </c>
      <c r="CW249" s="382">
        <f>IF(CV249&gt;0,+CV249)/ 'Pile Data and Eurocode Factors'!$B$14/ 'Pile Data and Eurocode Factors'!$B$15</f>
        <v>41.556734576554781</v>
      </c>
      <c r="CX249" s="382">
        <f t="shared" si="290"/>
        <v>824.12268589874884</v>
      </c>
      <c r="CY249" s="382">
        <f>CS249* Pile!$U$49</f>
        <v>0</v>
      </c>
      <c r="CZ249" s="382">
        <f t="shared" si="265"/>
        <v>824.12268589874884</v>
      </c>
      <c r="DA249" s="382">
        <f>CZ249/ 'Pile Data and Eurocode Factors'!$C$14/ 'Pile Data and Eurocode Factors'!$C$15</f>
        <v>294.32953067812463</v>
      </c>
      <c r="DB249" s="382">
        <f t="shared" si="266"/>
        <v>335.88626525467942</v>
      </c>
      <c r="DC249" s="382">
        <f>VLOOKUP(CQ249, 'Pile Data and Eurocode Factors'!$A$34:$J$39,3, FALSE)</f>
        <v>16826.141773161216</v>
      </c>
      <c r="DD249" s="403">
        <f t="shared" si="267"/>
        <v>335.88626525467942</v>
      </c>
      <c r="DE249" s="420">
        <f xml:space="preserve"> Pile!$C$23- Pile!C249</f>
        <v>2.3999999999999986</v>
      </c>
      <c r="DG249" s="382">
        <f t="shared" si="268"/>
        <v>56.973865717819322</v>
      </c>
      <c r="DH249" s="382">
        <f t="shared" si="269"/>
        <v>94.360749957808551</v>
      </c>
      <c r="DI249" s="382">
        <f t="shared" si="270"/>
        <v>140.94543203148913</v>
      </c>
      <c r="DJ249" s="382">
        <f t="shared" si="271"/>
        <v>196.72791193886118</v>
      </c>
      <c r="DK249" s="382">
        <f t="shared" si="272"/>
        <v>261.70818967992454</v>
      </c>
      <c r="DL249" s="382">
        <f t="shared" si="291"/>
        <v>335.88626525467942</v>
      </c>
    </row>
    <row r="250" spans="2:116" s="308" customFormat="1" ht="15">
      <c r="B250" s="400">
        <v>9</v>
      </c>
      <c r="C250" s="401">
        <f>+C249- Pile!D$49/20</f>
        <v>3.3000000000000016</v>
      </c>
      <c r="D250" s="415" t="str">
        <f>B23</f>
        <v>Loose Sand/Gravel</v>
      </c>
      <c r="E250" s="415" t="str">
        <f>F23</f>
        <v>Granular</v>
      </c>
      <c r="F250" s="401">
        <f xml:space="preserve"> Pile!$E$49*(+C249-C250)+F249</f>
        <v>44.549999999999969</v>
      </c>
      <c r="G250" s="401">
        <f>IF(C250&gt; Pile!$C$54,0,( Pile!$C$54-C250)*9.81)</f>
        <v>0</v>
      </c>
      <c r="H250" s="401">
        <f t="shared" si="238"/>
        <v>44.549999999999969</v>
      </c>
      <c r="I250" s="401">
        <f t="shared" si="239"/>
        <v>22.274999999999984</v>
      </c>
      <c r="J250" s="401">
        <f>IF(E250="Cohesive",(( Pile!$H$49- Pile!$G$49)/20)+J249,0)</f>
        <v>0</v>
      </c>
      <c r="K250" s="401">
        <f>IF(E250="Cohesive",( Pile!$G$49+ Pile!$J250)/2,0)</f>
        <v>0</v>
      </c>
      <c r="L250" s="401" t="str">
        <f>IF( Pile!I$49="",0, Pile!I$49)</f>
        <v>0</v>
      </c>
      <c r="M250" s="401" t="str">
        <f>IF( Pile!J$49="",0, Pile!J$49)</f>
        <v>0</v>
      </c>
      <c r="N250" s="401">
        <f>IF(E250="Granular", Pile!$K$49,0)</f>
        <v>18.401122218708668</v>
      </c>
      <c r="O250" s="416">
        <f>IF(AND(E250="Granular",D250&lt;&gt;"Made Ground"), Pile!$L$49,0)</f>
        <v>0.51961524227066314</v>
      </c>
      <c r="P250" s="401">
        <f>IF(OR(D250="Low Density Chalk",D250="Medium Density Chalk"), Pile!$M$49,0)</f>
        <v>0</v>
      </c>
      <c r="Q250" s="417">
        <f>IF(D250="High Density Chalk", Pile!$N$49,0)</f>
        <v>0</v>
      </c>
      <c r="R250" s="401">
        <f>IF( Pile!O$49="",0, Pile!O$49)</f>
        <v>0</v>
      </c>
      <c r="S250" s="418">
        <f t="shared" si="240"/>
        <v>11.574429521579013</v>
      </c>
      <c r="T250" s="382">
        <f xml:space="preserve"> Pile!$T$49</f>
        <v>1200</v>
      </c>
      <c r="U250" s="382">
        <f t="shared" si="241"/>
        <v>11.574429521579013</v>
      </c>
      <c r="V250" s="382">
        <f t="shared" si="242"/>
        <v>819.76999484347061</v>
      </c>
      <c r="W250" s="382">
        <f xml:space="preserve"> Pile!$V$49</f>
        <v>15000</v>
      </c>
      <c r="X250" s="382">
        <f t="shared" si="243"/>
        <v>819.76999484347061</v>
      </c>
      <c r="Y250" s="419">
        <v>450</v>
      </c>
      <c r="Z250" s="382">
        <f>PI()*Y250/1000*( Pile!$C$49- Pile!$C250)</f>
        <v>3.8170350741115966</v>
      </c>
      <c r="AA250" s="382">
        <f t="shared" si="244"/>
        <v>0.15904312808798329</v>
      </c>
      <c r="AB250" s="382">
        <f t="shared" si="292"/>
        <v>44.1800034466998</v>
      </c>
      <c r="AC250" s="382">
        <f>Z250* Pile!$S$49</f>
        <v>0</v>
      </c>
      <c r="AD250" s="382">
        <f t="shared" ref="AD250:AD313" si="298">IF(AC250&gt;0,MIN(AB250:AC250),AB250)</f>
        <v>44.1800034466998</v>
      </c>
      <c r="AE250" s="382">
        <f>IF(AD250&gt;0,+AD250)/ 'Pile Data and Eurocode Factors'!$B$14/ 'Pile Data and Eurocode Factors'!$B$15</f>
        <v>19.723215824419555</v>
      </c>
      <c r="AF250" s="382">
        <f t="shared" si="275"/>
        <v>130.37878429257549</v>
      </c>
      <c r="AG250" s="382">
        <f>AA250* Pile!$U$49</f>
        <v>0</v>
      </c>
      <c r="AH250" s="382">
        <f t="shared" si="245"/>
        <v>130.37878429257549</v>
      </c>
      <c r="AI250" s="382">
        <f>AH250/ 'Pile Data and Eurocode Factors'!$C$14/ 'Pile Data and Eurocode Factors'!$C$15</f>
        <v>46.563851533062675</v>
      </c>
      <c r="AJ250" s="382">
        <f t="shared" si="246"/>
        <v>66.287067357482229</v>
      </c>
      <c r="AK250" s="382">
        <f>VLOOKUP(Y250, 'Pile Data and Eurocode Factors'!$A$34:$J$39,3, FALSE)</f>
        <v>2366.1761868507956</v>
      </c>
      <c r="AL250" s="403">
        <f t="shared" si="247"/>
        <v>66.287067357482229</v>
      </c>
      <c r="AM250" s="419">
        <v>600</v>
      </c>
      <c r="AN250" s="382">
        <f>PI()*AM250/1000*( Pile!$C$49- Pile!$C250)</f>
        <v>5.0893800988154618</v>
      </c>
      <c r="AO250" s="382">
        <f t="shared" si="248"/>
        <v>0.28274333882308139</v>
      </c>
      <c r="AP250" s="382">
        <f t="shared" si="293"/>
        <v>58.9066712622664</v>
      </c>
      <c r="AQ250" s="382">
        <f>AN250* Pile!$S$49</f>
        <v>0</v>
      </c>
      <c r="AR250" s="382">
        <f t="shared" ref="AR250:AR313" si="299">IF(AQ250&gt;0,MIN(AP250:AQ250),AP250)</f>
        <v>58.9066712622664</v>
      </c>
      <c r="AS250" s="382">
        <f>IF(AR250&gt;0,+AR250)/ 'Pile Data and Eurocode Factors'!$B$14/ 'Pile Data and Eurocode Factors'!$B$15</f>
        <v>26.297621099226074</v>
      </c>
      <c r="AT250" s="382">
        <f t="shared" si="278"/>
        <v>231.7845054090231</v>
      </c>
      <c r="AU250" s="382">
        <f>AO250* Pile!$U$49</f>
        <v>0</v>
      </c>
      <c r="AV250" s="382">
        <f t="shared" si="249"/>
        <v>231.7845054090231</v>
      </c>
      <c r="AW250" s="382">
        <f>AV250/ 'Pile Data and Eurocode Factors'!$C$14/ 'Pile Data and Eurocode Factors'!$C$15</f>
        <v>82.780180503222539</v>
      </c>
      <c r="AX250" s="382">
        <f t="shared" si="250"/>
        <v>109.07780160244862</v>
      </c>
      <c r="AY250" s="382">
        <f>VLOOKUP(AM250, 'Pile Data and Eurocode Factors'!$A$34:$J$39,3, FALSE)</f>
        <v>4206.5354432903041</v>
      </c>
      <c r="AZ250" s="403">
        <f t="shared" si="251"/>
        <v>109.07780160244862</v>
      </c>
      <c r="BA250" s="419">
        <v>750</v>
      </c>
      <c r="BB250" s="382">
        <f>PI()*BA250/1000*( Pile!$C$49- Pile!$C250)</f>
        <v>6.3617251235193271</v>
      </c>
      <c r="BC250" s="382">
        <f t="shared" si="252"/>
        <v>0.44178646691106466</v>
      </c>
      <c r="BD250" s="382">
        <f t="shared" si="294"/>
        <v>73.633339077833</v>
      </c>
      <c r="BE250" s="382">
        <f>BB250* Pile!$S$49</f>
        <v>0</v>
      </c>
      <c r="BF250" s="382">
        <f t="shared" ref="BF250:BF313" si="300">IF(BE250&gt;0,MIN(BD250:BE250),BD250)</f>
        <v>73.633339077833</v>
      </c>
      <c r="BG250" s="382">
        <f>IF(BF250&gt;0,+BF250)/ 'Pile Data and Eurocode Factors'!$B$14/ 'Pile Data and Eurocode Factors'!$B$15</f>
        <v>32.872026374032593</v>
      </c>
      <c r="BH250" s="382">
        <f t="shared" si="281"/>
        <v>362.16328970159856</v>
      </c>
      <c r="BI250" s="382">
        <f>BC250* Pile!$U$49</f>
        <v>0</v>
      </c>
      <c r="BJ250" s="382">
        <f t="shared" si="253"/>
        <v>362.16328970159856</v>
      </c>
      <c r="BK250" s="382">
        <f>BJ250/ 'Pile Data and Eurocode Factors'!$C$14/ 'Pile Data and Eurocode Factors'!$C$15</f>
        <v>129.3440320362852</v>
      </c>
      <c r="BL250" s="382">
        <f t="shared" si="254"/>
        <v>162.2160584103178</v>
      </c>
      <c r="BM250" s="382">
        <f>VLOOKUP(BA250, 'Pile Data and Eurocode Factors'!$A$34:$J$39,3, FALSE)</f>
        <v>6572.7116301410997</v>
      </c>
      <c r="BN250" s="403">
        <f t="shared" si="255"/>
        <v>162.2160584103178</v>
      </c>
      <c r="BO250" s="419">
        <v>900</v>
      </c>
      <c r="BP250" s="382">
        <f>PI()*BO250/1000*( Pile!$C$49- Pile!$C250)</f>
        <v>7.6340701482231932</v>
      </c>
      <c r="BQ250" s="382">
        <f t="shared" si="256"/>
        <v>0.63617251235193317</v>
      </c>
      <c r="BR250" s="382">
        <f t="shared" si="295"/>
        <v>88.3600068933996</v>
      </c>
      <c r="BS250" s="382">
        <f>BP250* Pile!$S$49</f>
        <v>0</v>
      </c>
      <c r="BT250" s="382">
        <f t="shared" ref="BT250:BT313" si="301">IF(BS250&gt;0,MIN(BR250:BS250),BR250)</f>
        <v>88.3600068933996</v>
      </c>
      <c r="BU250" s="382">
        <f>IF(BT250&gt;0,+BT250)/ 'Pile Data and Eurocode Factors'!$B$14/ 'Pile Data and Eurocode Factors'!$B$15</f>
        <v>39.446431648839109</v>
      </c>
      <c r="BV250" s="382">
        <f t="shared" si="284"/>
        <v>521.51513717030195</v>
      </c>
      <c r="BW250" s="382">
        <f>BQ250* Pile!$U$49</f>
        <v>0</v>
      </c>
      <c r="BX250" s="382">
        <f t="shared" si="257"/>
        <v>521.51513717030195</v>
      </c>
      <c r="BY250" s="382">
        <f>BX250/ 'Pile Data and Eurocode Factors'!$C$14/ 'Pile Data and Eurocode Factors'!$C$15</f>
        <v>186.2554061322507</v>
      </c>
      <c r="BZ250" s="382">
        <f t="shared" si="258"/>
        <v>225.70183778108981</v>
      </c>
      <c r="CA250" s="382">
        <f>VLOOKUP(BO250, 'Pile Data and Eurocode Factors'!$A$34:$J$39,3, FALSE)</f>
        <v>9464.7047474031824</v>
      </c>
      <c r="CB250" s="403">
        <f t="shared" si="259"/>
        <v>225.70183778108981</v>
      </c>
      <c r="CC250" s="419">
        <v>1050</v>
      </c>
      <c r="CD250" s="382">
        <f>PI()*CC250/1000*( Pile!$C$49- Pile!$C250)</f>
        <v>8.9064151729270584</v>
      </c>
      <c r="CE250" s="382">
        <f t="shared" si="260"/>
        <v>0.86590147514568672</v>
      </c>
      <c r="CF250" s="382">
        <f t="shared" si="296"/>
        <v>103.0866747089662</v>
      </c>
      <c r="CG250" s="382">
        <f>CD250* Pile!$S$49</f>
        <v>0</v>
      </c>
      <c r="CH250" s="382">
        <f t="shared" ref="CH250:CH313" si="302">IF(CG250&gt;0,MIN(CF250:CG250),CF250)</f>
        <v>103.0866747089662</v>
      </c>
      <c r="CI250" s="382">
        <f>IF(CH250&gt;0,+CH250)/ 'Pile Data and Eurocode Factors'!$B$14/ 'Pile Data and Eurocode Factors'!$B$15</f>
        <v>46.020836923645625</v>
      </c>
      <c r="CJ250" s="382">
        <f t="shared" si="287"/>
        <v>709.84004781513318</v>
      </c>
      <c r="CK250" s="382">
        <f>CE250* Pile!$U$49</f>
        <v>0</v>
      </c>
      <c r="CL250" s="382">
        <f t="shared" si="261"/>
        <v>709.84004781513318</v>
      </c>
      <c r="CM250" s="382">
        <f>CL250/ 'Pile Data and Eurocode Factors'!$C$14/ 'Pile Data and Eurocode Factors'!$C$15</f>
        <v>253.51430279111901</v>
      </c>
      <c r="CN250" s="382">
        <f t="shared" si="262"/>
        <v>299.53513971476463</v>
      </c>
      <c r="CO250" s="382">
        <f>VLOOKUP(CC250, 'Pile Data and Eurocode Factors'!$A$34:$J$39,3, FALSE)</f>
        <v>12882.514795076555</v>
      </c>
      <c r="CP250" s="403">
        <f t="shared" si="263"/>
        <v>299.53513971476463</v>
      </c>
      <c r="CQ250" s="419">
        <v>1200</v>
      </c>
      <c r="CR250" s="382">
        <f>PI()*CQ250/1000*( Pile!$C$49- Pile!$C250)</f>
        <v>10.178760197630924</v>
      </c>
      <c r="CS250" s="382">
        <f t="shared" si="264"/>
        <v>1.1309733552923256</v>
      </c>
      <c r="CT250" s="382">
        <f t="shared" si="297"/>
        <v>117.8133425245328</v>
      </c>
      <c r="CU250" s="382">
        <f>CR250* Pile!$S$49</f>
        <v>0</v>
      </c>
      <c r="CV250" s="382">
        <f t="shared" ref="CV250:CV313" si="303">IF(CU250&gt;0,MIN(CT250:CU250),CT250)</f>
        <v>117.8133425245328</v>
      </c>
      <c r="CW250" s="382">
        <f>IF(CV250&gt;0,+CV250)/ 'Pile Data and Eurocode Factors'!$B$14/ 'Pile Data and Eurocode Factors'!$B$15</f>
        <v>52.595242198452148</v>
      </c>
      <c r="CX250" s="382">
        <f t="shared" si="290"/>
        <v>927.13802163609239</v>
      </c>
      <c r="CY250" s="382">
        <f>CS250* Pile!$U$49</f>
        <v>0</v>
      </c>
      <c r="CZ250" s="382">
        <f t="shared" si="265"/>
        <v>927.13802163609239</v>
      </c>
      <c r="DA250" s="382">
        <f>CZ250/ 'Pile Data and Eurocode Factors'!$C$14/ 'Pile Data and Eurocode Factors'!$C$15</f>
        <v>331.12072201289016</v>
      </c>
      <c r="DB250" s="382">
        <f t="shared" si="266"/>
        <v>383.71596421134228</v>
      </c>
      <c r="DC250" s="382">
        <f>VLOOKUP(CQ250, 'Pile Data and Eurocode Factors'!$A$34:$J$39,3, FALSE)</f>
        <v>16826.141773161216</v>
      </c>
      <c r="DD250" s="403">
        <f t="shared" si="267"/>
        <v>383.71596421134228</v>
      </c>
      <c r="DE250" s="420">
        <f xml:space="preserve"> Pile!$C$23- Pile!C250</f>
        <v>2.6999999999999984</v>
      </c>
      <c r="DG250" s="382">
        <f t="shared" si="268"/>
        <v>66.287067357482229</v>
      </c>
      <c r="DH250" s="382">
        <f t="shared" si="269"/>
        <v>109.07780160244862</v>
      </c>
      <c r="DI250" s="382">
        <f t="shared" si="270"/>
        <v>162.2160584103178</v>
      </c>
      <c r="DJ250" s="382">
        <f t="shared" si="271"/>
        <v>225.70183778108981</v>
      </c>
      <c r="DK250" s="382">
        <f t="shared" si="272"/>
        <v>299.53513971476463</v>
      </c>
      <c r="DL250" s="382">
        <f t="shared" si="291"/>
        <v>383.71596421134228</v>
      </c>
    </row>
    <row r="251" spans="2:116" s="308" customFormat="1" ht="15">
      <c r="B251" s="400">
        <v>10</v>
      </c>
      <c r="C251" s="401">
        <f>+C250- Pile!D$49/20</f>
        <v>3.0000000000000018</v>
      </c>
      <c r="D251" s="415" t="str">
        <f>B23</f>
        <v>Loose Sand/Gravel</v>
      </c>
      <c r="E251" s="415" t="str">
        <f>F23</f>
        <v>Granular</v>
      </c>
      <c r="F251" s="401">
        <f xml:space="preserve"> Pile!$E$49*(+C250-C251)+F250</f>
        <v>49.499999999999964</v>
      </c>
      <c r="G251" s="401">
        <f>IF(C251&gt; Pile!$C$54,0,( Pile!$C$54-C251)*9.81)</f>
        <v>0</v>
      </c>
      <c r="H251" s="401">
        <f t="shared" si="238"/>
        <v>49.499999999999964</v>
      </c>
      <c r="I251" s="401">
        <f t="shared" si="239"/>
        <v>24.749999999999982</v>
      </c>
      <c r="J251" s="401">
        <f>IF(E251="Cohesive",(( Pile!$H$49- Pile!$G$49)/20)+J250,0)</f>
        <v>0</v>
      </c>
      <c r="K251" s="401">
        <f>IF(E251="Cohesive",( Pile!$G$49+ Pile!$J251)/2,0)</f>
        <v>0</v>
      </c>
      <c r="L251" s="401" t="str">
        <f>IF( Pile!I$49="",0, Pile!I$49)</f>
        <v>0</v>
      </c>
      <c r="M251" s="401" t="str">
        <f>IF( Pile!J$49="",0, Pile!J$49)</f>
        <v>0</v>
      </c>
      <c r="N251" s="401">
        <f>IF(E251="Granular", Pile!$K$49,0)</f>
        <v>18.401122218708668</v>
      </c>
      <c r="O251" s="416">
        <f>IF(AND(E251="Granular",D251&lt;&gt;"Made Ground"), Pile!$L$49,0)</f>
        <v>0.51961524227066314</v>
      </c>
      <c r="P251" s="401">
        <f>IF(OR(D251="Low Density Chalk",D251="Medium Density Chalk"), Pile!$M$49,0)</f>
        <v>0</v>
      </c>
      <c r="Q251" s="417">
        <f>IF(D251="High Density Chalk", Pile!$N$49,0)</f>
        <v>0</v>
      </c>
      <c r="R251" s="401">
        <f>IF( Pile!O$49="",0, Pile!O$49)</f>
        <v>0</v>
      </c>
      <c r="S251" s="418">
        <f t="shared" si="240"/>
        <v>12.860477246198903</v>
      </c>
      <c r="T251" s="382">
        <f xml:space="preserve"> Pile!$T$49</f>
        <v>1200</v>
      </c>
      <c r="U251" s="382">
        <f t="shared" si="241"/>
        <v>12.860477246198903</v>
      </c>
      <c r="V251" s="382">
        <f t="shared" si="242"/>
        <v>910.85554982607846</v>
      </c>
      <c r="W251" s="382">
        <f xml:space="preserve"> Pile!$V$49</f>
        <v>15000</v>
      </c>
      <c r="X251" s="382">
        <f t="shared" si="243"/>
        <v>910.85554982607846</v>
      </c>
      <c r="Y251" s="419">
        <v>450</v>
      </c>
      <c r="Z251" s="382">
        <f>PI()*Y251/1000*( Pile!$C$49- Pile!$C251)</f>
        <v>4.241150082346218</v>
      </c>
      <c r="AA251" s="382">
        <f t="shared" si="244"/>
        <v>0.15904312808798329</v>
      </c>
      <c r="AB251" s="382">
        <f t="shared" si="292"/>
        <v>54.543214131728142</v>
      </c>
      <c r="AC251" s="382">
        <f>Z251* Pile!$S$49</f>
        <v>0</v>
      </c>
      <c r="AD251" s="382">
        <f t="shared" si="298"/>
        <v>54.543214131728142</v>
      </c>
      <c r="AE251" s="382">
        <f>IF(AD251&gt;0,+AD251)/ 'Pile Data and Eurocode Factors'!$B$14/ 'Pile Data and Eurocode Factors'!$B$15</f>
        <v>24.349649165950062</v>
      </c>
      <c r="AF251" s="382">
        <f t="shared" si="275"/>
        <v>144.86531588063946</v>
      </c>
      <c r="AG251" s="382">
        <f>AA251* Pile!$U$49</f>
        <v>0</v>
      </c>
      <c r="AH251" s="382">
        <f t="shared" si="245"/>
        <v>144.86531588063946</v>
      </c>
      <c r="AI251" s="382">
        <f>AH251/ 'Pile Data and Eurocode Factors'!$C$14/ 'Pile Data and Eurocode Factors'!$C$15</f>
        <v>51.737612814514094</v>
      </c>
      <c r="AJ251" s="382">
        <f t="shared" si="246"/>
        <v>76.087261980464149</v>
      </c>
      <c r="AK251" s="382">
        <f>VLOOKUP(Y251, 'Pile Data and Eurocode Factors'!$A$34:$J$39,3, FALSE)</f>
        <v>2366.1761868507956</v>
      </c>
      <c r="AL251" s="403">
        <f t="shared" si="247"/>
        <v>76.087261980464149</v>
      </c>
      <c r="AM251" s="419">
        <v>600</v>
      </c>
      <c r="AN251" s="382">
        <f>PI()*AM251/1000*( Pile!$C$49- Pile!$C251)</f>
        <v>5.6548667764616241</v>
      </c>
      <c r="AO251" s="382">
        <f t="shared" si="248"/>
        <v>0.28274333882308139</v>
      </c>
      <c r="AP251" s="382">
        <f t="shared" si="293"/>
        <v>72.724285508970851</v>
      </c>
      <c r="AQ251" s="382">
        <f>AN251* Pile!$S$49</f>
        <v>0</v>
      </c>
      <c r="AR251" s="382">
        <f t="shared" si="299"/>
        <v>72.724285508970851</v>
      </c>
      <c r="AS251" s="382">
        <f>IF(AR251&gt;0,+AR251)/ 'Pile Data and Eurocode Factors'!$B$14/ 'Pile Data and Eurocode Factors'!$B$15</f>
        <v>32.466198887933416</v>
      </c>
      <c r="AT251" s="382">
        <f t="shared" si="278"/>
        <v>257.53833934335898</v>
      </c>
      <c r="AU251" s="382">
        <f>AO251* Pile!$U$49</f>
        <v>0</v>
      </c>
      <c r="AV251" s="382">
        <f t="shared" si="249"/>
        <v>257.53833934335898</v>
      </c>
      <c r="AW251" s="382">
        <f>AV251/ 'Pile Data and Eurocode Factors'!$C$14/ 'Pile Data and Eurocode Factors'!$C$15</f>
        <v>91.977978336913935</v>
      </c>
      <c r="AX251" s="382">
        <f t="shared" si="250"/>
        <v>124.44417722484735</v>
      </c>
      <c r="AY251" s="382">
        <f>VLOOKUP(AM251, 'Pile Data and Eurocode Factors'!$A$34:$J$39,3, FALSE)</f>
        <v>4206.5354432903041</v>
      </c>
      <c r="AZ251" s="403">
        <f t="shared" si="251"/>
        <v>124.44417722484735</v>
      </c>
      <c r="BA251" s="419">
        <v>750</v>
      </c>
      <c r="BB251" s="382">
        <f>PI()*BA251/1000*( Pile!$C$49- Pile!$C251)</f>
        <v>7.0685834705770301</v>
      </c>
      <c r="BC251" s="382">
        <f t="shared" si="252"/>
        <v>0.44178646691106466</v>
      </c>
      <c r="BD251" s="382">
        <f t="shared" si="294"/>
        <v>90.905356886213568</v>
      </c>
      <c r="BE251" s="382">
        <f>BB251* Pile!$S$49</f>
        <v>0</v>
      </c>
      <c r="BF251" s="382">
        <f t="shared" si="300"/>
        <v>90.905356886213568</v>
      </c>
      <c r="BG251" s="382">
        <f>IF(BF251&gt;0,+BF251)/ 'Pile Data and Eurocode Factors'!$B$14/ 'Pile Data and Eurocode Factors'!$B$15</f>
        <v>40.58274860991677</v>
      </c>
      <c r="BH251" s="382">
        <f t="shared" si="281"/>
        <v>402.40365522399844</v>
      </c>
      <c r="BI251" s="382">
        <f>BC251* Pile!$U$49</f>
        <v>0</v>
      </c>
      <c r="BJ251" s="382">
        <f t="shared" si="253"/>
        <v>402.40365522399844</v>
      </c>
      <c r="BK251" s="382">
        <f>BJ251/ 'Pile Data and Eurocode Factors'!$C$14/ 'Pile Data and Eurocode Factors'!$C$15</f>
        <v>143.71559115142801</v>
      </c>
      <c r="BL251" s="382">
        <f t="shared" si="254"/>
        <v>184.29833976134478</v>
      </c>
      <c r="BM251" s="382">
        <f>VLOOKUP(BA251, 'Pile Data and Eurocode Factors'!$A$34:$J$39,3, FALSE)</f>
        <v>6572.7116301410997</v>
      </c>
      <c r="BN251" s="403">
        <f t="shared" si="255"/>
        <v>184.29833976134478</v>
      </c>
      <c r="BO251" s="419">
        <v>900</v>
      </c>
      <c r="BP251" s="382">
        <f>PI()*BO251/1000*( Pile!$C$49- Pile!$C251)</f>
        <v>8.4823001646924361</v>
      </c>
      <c r="BQ251" s="382">
        <f t="shared" si="256"/>
        <v>0.63617251235193317</v>
      </c>
      <c r="BR251" s="382">
        <f t="shared" si="295"/>
        <v>109.08642826345628</v>
      </c>
      <c r="BS251" s="382">
        <f>BP251* Pile!$S$49</f>
        <v>0</v>
      </c>
      <c r="BT251" s="382">
        <f t="shared" si="301"/>
        <v>109.08642826345628</v>
      </c>
      <c r="BU251" s="382">
        <f>IF(BT251&gt;0,+BT251)/ 'Pile Data and Eurocode Factors'!$B$14/ 'Pile Data and Eurocode Factors'!$B$15</f>
        <v>48.699298331900124</v>
      </c>
      <c r="BV251" s="382">
        <f t="shared" si="284"/>
        <v>579.46126352255783</v>
      </c>
      <c r="BW251" s="382">
        <f>BQ251* Pile!$U$49</f>
        <v>0</v>
      </c>
      <c r="BX251" s="382">
        <f t="shared" si="257"/>
        <v>579.46126352255783</v>
      </c>
      <c r="BY251" s="382">
        <f>BX251/ 'Pile Data and Eurocode Factors'!$C$14/ 'Pile Data and Eurocode Factors'!$C$15</f>
        <v>206.95045125805638</v>
      </c>
      <c r="BZ251" s="382">
        <f t="shared" si="258"/>
        <v>255.64974958995651</v>
      </c>
      <c r="CA251" s="382">
        <f>VLOOKUP(BO251, 'Pile Data and Eurocode Factors'!$A$34:$J$39,3, FALSE)</f>
        <v>9464.7047474031824</v>
      </c>
      <c r="CB251" s="403">
        <f t="shared" si="259"/>
        <v>255.64974958995651</v>
      </c>
      <c r="CC251" s="419">
        <v>1050</v>
      </c>
      <c r="CD251" s="382">
        <f>PI()*CC251/1000*( Pile!$C$49- Pile!$C251)</f>
        <v>9.8960168588078421</v>
      </c>
      <c r="CE251" s="382">
        <f t="shared" si="260"/>
        <v>0.86590147514568672</v>
      </c>
      <c r="CF251" s="382">
        <f t="shared" si="296"/>
        <v>127.26749964069899</v>
      </c>
      <c r="CG251" s="382">
        <f>CD251* Pile!$S$49</f>
        <v>0</v>
      </c>
      <c r="CH251" s="382">
        <f t="shared" si="302"/>
        <v>127.26749964069899</v>
      </c>
      <c r="CI251" s="382">
        <f>IF(CH251&gt;0,+CH251)/ 'Pile Data and Eurocode Factors'!$B$14/ 'Pile Data and Eurocode Factors'!$B$15</f>
        <v>56.815848053883478</v>
      </c>
      <c r="CJ251" s="382">
        <f t="shared" si="287"/>
        <v>788.71116423903686</v>
      </c>
      <c r="CK251" s="382">
        <f>CE251* Pile!$U$49</f>
        <v>0</v>
      </c>
      <c r="CL251" s="382">
        <f t="shared" si="261"/>
        <v>788.71116423903686</v>
      </c>
      <c r="CM251" s="382">
        <f>CL251/ 'Pile Data and Eurocode Factors'!$C$14/ 'Pile Data and Eurocode Factors'!$C$15</f>
        <v>281.6825586567989</v>
      </c>
      <c r="CN251" s="382">
        <f t="shared" si="262"/>
        <v>338.49840671068239</v>
      </c>
      <c r="CO251" s="382">
        <f>VLOOKUP(CC251, 'Pile Data and Eurocode Factors'!$A$34:$J$39,3, FALSE)</f>
        <v>12882.514795076555</v>
      </c>
      <c r="CP251" s="403">
        <f t="shared" si="263"/>
        <v>338.49840671068239</v>
      </c>
      <c r="CQ251" s="419">
        <v>1200</v>
      </c>
      <c r="CR251" s="382">
        <f>PI()*CQ251/1000*( Pile!$C$49- Pile!$C251)</f>
        <v>11.309733552923248</v>
      </c>
      <c r="CS251" s="382">
        <f t="shared" si="264"/>
        <v>1.1309733552923256</v>
      </c>
      <c r="CT251" s="382">
        <f t="shared" si="297"/>
        <v>145.4485710179417</v>
      </c>
      <c r="CU251" s="382">
        <f>CR251* Pile!$S$49</f>
        <v>0</v>
      </c>
      <c r="CV251" s="382">
        <f t="shared" si="303"/>
        <v>145.4485710179417</v>
      </c>
      <c r="CW251" s="382">
        <f>IF(CV251&gt;0,+CV251)/ 'Pile Data and Eurocode Factors'!$B$14/ 'Pile Data and Eurocode Factors'!$B$15</f>
        <v>64.932397775866832</v>
      </c>
      <c r="CX251" s="382">
        <f t="shared" si="290"/>
        <v>1030.1533573734359</v>
      </c>
      <c r="CY251" s="382">
        <f>CS251* Pile!$U$49</f>
        <v>0</v>
      </c>
      <c r="CZ251" s="382">
        <f t="shared" si="265"/>
        <v>1030.1533573734359</v>
      </c>
      <c r="DA251" s="382">
        <f>CZ251/ 'Pile Data and Eurocode Factors'!$C$14/ 'Pile Data and Eurocode Factors'!$C$15</f>
        <v>367.91191334765574</v>
      </c>
      <c r="DB251" s="382">
        <f t="shared" si="266"/>
        <v>432.84431112352257</v>
      </c>
      <c r="DC251" s="382">
        <f>VLOOKUP(CQ251, 'Pile Data and Eurocode Factors'!$A$34:$J$39,3, FALSE)</f>
        <v>16826.141773161216</v>
      </c>
      <c r="DD251" s="403">
        <f t="shared" si="267"/>
        <v>432.84431112352257</v>
      </c>
      <c r="DE251" s="420">
        <f xml:space="preserve"> Pile!$C$23- Pile!C251</f>
        <v>2.9999999999999982</v>
      </c>
      <c r="DG251" s="382">
        <f t="shared" si="268"/>
        <v>76.087261980464149</v>
      </c>
      <c r="DH251" s="382">
        <f t="shared" si="269"/>
        <v>124.44417722484735</v>
      </c>
      <c r="DI251" s="382">
        <f t="shared" si="270"/>
        <v>184.29833976134478</v>
      </c>
      <c r="DJ251" s="382">
        <f t="shared" si="271"/>
        <v>255.64974958995651</v>
      </c>
      <c r="DK251" s="382">
        <f t="shared" si="272"/>
        <v>338.49840671068239</v>
      </c>
      <c r="DL251" s="382">
        <f t="shared" si="291"/>
        <v>432.84431112352257</v>
      </c>
    </row>
    <row r="252" spans="2:116" s="308" customFormat="1" ht="15">
      <c r="B252" s="400">
        <v>11</v>
      </c>
      <c r="C252" s="401">
        <f>+C251- Pile!D$49/20</f>
        <v>2.700000000000002</v>
      </c>
      <c r="D252" s="415" t="str">
        <f>B23</f>
        <v>Loose Sand/Gravel</v>
      </c>
      <c r="E252" s="415" t="str">
        <f>F23</f>
        <v>Granular</v>
      </c>
      <c r="F252" s="401">
        <f xml:space="preserve"> Pile!$E$49*(+C251-C252)+F251</f>
        <v>54.44999999999996</v>
      </c>
      <c r="G252" s="401">
        <f>IF(C252&gt; Pile!$C$54,0,( Pile!$C$54-C252)*9.81)</f>
        <v>0</v>
      </c>
      <c r="H252" s="401">
        <f t="shared" si="238"/>
        <v>54.44999999999996</v>
      </c>
      <c r="I252" s="401">
        <f t="shared" si="239"/>
        <v>27.22499999999998</v>
      </c>
      <c r="J252" s="401">
        <f>IF(E252="Cohesive",(( Pile!$H$49- Pile!$G$49)/20)+J251,0)</f>
        <v>0</v>
      </c>
      <c r="K252" s="401">
        <f>IF(E252="Cohesive",( Pile!$G$49+ Pile!$J252)/2,0)</f>
        <v>0</v>
      </c>
      <c r="L252" s="401" t="str">
        <f>IF( Pile!I$49="",0, Pile!I$49)</f>
        <v>0</v>
      </c>
      <c r="M252" s="401" t="str">
        <f>IF( Pile!J$49="",0, Pile!J$49)</f>
        <v>0</v>
      </c>
      <c r="N252" s="401">
        <f>IF(E252="Granular", Pile!$K$49,0)</f>
        <v>18.401122218708668</v>
      </c>
      <c r="O252" s="416">
        <f>IF(AND(E252="Granular",D252&lt;&gt;"Made Ground"), Pile!$L$49,0)</f>
        <v>0.51961524227066314</v>
      </c>
      <c r="P252" s="401">
        <f>IF(OR(D252="Low Density Chalk",D252="Medium Density Chalk"), Pile!$M$49,0)</f>
        <v>0</v>
      </c>
      <c r="Q252" s="417">
        <f>IF(D252="High Density Chalk", Pile!$N$49,0)</f>
        <v>0</v>
      </c>
      <c r="R252" s="401">
        <f>IF( Pile!O$49="",0, Pile!O$49)</f>
        <v>0</v>
      </c>
      <c r="S252" s="418">
        <f t="shared" si="240"/>
        <v>14.146524970818794</v>
      </c>
      <c r="T252" s="382">
        <f xml:space="preserve"> Pile!$T$49</f>
        <v>1200</v>
      </c>
      <c r="U252" s="382">
        <f t="shared" si="241"/>
        <v>14.146524970818794</v>
      </c>
      <c r="V252" s="382">
        <f t="shared" si="242"/>
        <v>1001.9411048086862</v>
      </c>
      <c r="W252" s="382">
        <f xml:space="preserve"> Pile!$V$49</f>
        <v>15000</v>
      </c>
      <c r="X252" s="382">
        <f t="shared" si="243"/>
        <v>1001.9411048086862</v>
      </c>
      <c r="Y252" s="419">
        <v>450</v>
      </c>
      <c r="Z252" s="382">
        <f>PI()*Y252/1000*( Pile!$C$49- Pile!$C252)</f>
        <v>4.6652650905808404</v>
      </c>
      <c r="AA252" s="382">
        <f t="shared" si="244"/>
        <v>0.15904312808798329</v>
      </c>
      <c r="AB252" s="382">
        <f t="shared" si="292"/>
        <v>65.997289099391054</v>
      </c>
      <c r="AC252" s="382">
        <f>Z252* Pile!$S$49</f>
        <v>0</v>
      </c>
      <c r="AD252" s="382">
        <f t="shared" si="298"/>
        <v>65.997289099391054</v>
      </c>
      <c r="AE252" s="382">
        <f>IF(AD252&gt;0,+AD252)/ 'Pile Data and Eurocode Factors'!$B$14/ 'Pile Data and Eurocode Factors'!$B$15</f>
        <v>29.463075490799579</v>
      </c>
      <c r="AF252" s="382">
        <f t="shared" si="275"/>
        <v>159.35184746870337</v>
      </c>
      <c r="AG252" s="382">
        <f>AA252* Pile!$U$49</f>
        <v>0</v>
      </c>
      <c r="AH252" s="382">
        <f t="shared" si="245"/>
        <v>159.35184746870337</v>
      </c>
      <c r="AI252" s="382">
        <f>AH252/ 'Pile Data and Eurocode Factors'!$C$14/ 'Pile Data and Eurocode Factors'!$C$15</f>
        <v>56.911374095965492</v>
      </c>
      <c r="AJ252" s="382">
        <f t="shared" si="246"/>
        <v>86.374449586765067</v>
      </c>
      <c r="AK252" s="382">
        <f>VLOOKUP(Y252, 'Pile Data and Eurocode Factors'!$A$34:$J$39,3, FALSE)</f>
        <v>2366.1761868507956</v>
      </c>
      <c r="AL252" s="403">
        <f t="shared" si="247"/>
        <v>86.374449586765067</v>
      </c>
      <c r="AM252" s="419">
        <v>600</v>
      </c>
      <c r="AN252" s="382">
        <f>PI()*AM252/1000*( Pile!$C$49- Pile!$C252)</f>
        <v>6.2203534541077863</v>
      </c>
      <c r="AO252" s="382">
        <f t="shared" si="248"/>
        <v>0.28274333882308139</v>
      </c>
      <c r="AP252" s="382">
        <f t="shared" si="293"/>
        <v>87.996385465854729</v>
      </c>
      <c r="AQ252" s="382">
        <f>AN252* Pile!$S$49</f>
        <v>0</v>
      </c>
      <c r="AR252" s="382">
        <f t="shared" si="299"/>
        <v>87.996385465854729</v>
      </c>
      <c r="AS252" s="382">
        <f>IF(AR252&gt;0,+AR252)/ 'Pile Data and Eurocode Factors'!$B$14/ 'Pile Data and Eurocode Factors'!$B$15</f>
        <v>39.284100654399431</v>
      </c>
      <c r="AT252" s="382">
        <f t="shared" si="278"/>
        <v>283.29217327769487</v>
      </c>
      <c r="AU252" s="382">
        <f>AO252* Pile!$U$49</f>
        <v>0</v>
      </c>
      <c r="AV252" s="382">
        <f t="shared" si="249"/>
        <v>283.29217327769487</v>
      </c>
      <c r="AW252" s="382">
        <f>AV252/ 'Pile Data and Eurocode Factors'!$C$14/ 'Pile Data and Eurocode Factors'!$C$15</f>
        <v>101.17577617060532</v>
      </c>
      <c r="AX252" s="382">
        <f t="shared" si="250"/>
        <v>140.45987682500476</v>
      </c>
      <c r="AY252" s="382">
        <f>VLOOKUP(AM252, 'Pile Data and Eurocode Factors'!$A$34:$J$39,3, FALSE)</f>
        <v>4206.5354432903041</v>
      </c>
      <c r="AZ252" s="403">
        <f t="shared" si="251"/>
        <v>140.45987682500476</v>
      </c>
      <c r="BA252" s="419">
        <v>750</v>
      </c>
      <c r="BB252" s="382">
        <f>PI()*BA252/1000*( Pile!$C$49- Pile!$C252)</f>
        <v>7.7754418176347331</v>
      </c>
      <c r="BC252" s="382">
        <f t="shared" si="252"/>
        <v>0.44178646691106466</v>
      </c>
      <c r="BD252" s="382">
        <f t="shared" si="294"/>
        <v>109.99548183231842</v>
      </c>
      <c r="BE252" s="382">
        <f>BB252* Pile!$S$49</f>
        <v>0</v>
      </c>
      <c r="BF252" s="382">
        <f t="shared" si="300"/>
        <v>109.99548183231842</v>
      </c>
      <c r="BG252" s="382">
        <f>IF(BF252&gt;0,+BF252)/ 'Pile Data and Eurocode Factors'!$B$14/ 'Pile Data and Eurocode Factors'!$B$15</f>
        <v>49.105125817999294</v>
      </c>
      <c r="BH252" s="382">
        <f t="shared" si="281"/>
        <v>442.64402074639821</v>
      </c>
      <c r="BI252" s="382">
        <f>BC252* Pile!$U$49</f>
        <v>0</v>
      </c>
      <c r="BJ252" s="382">
        <f t="shared" si="253"/>
        <v>442.64402074639821</v>
      </c>
      <c r="BK252" s="382">
        <f>BJ252/ 'Pile Data and Eurocode Factors'!$C$14/ 'Pile Data and Eurocode Factors'!$C$15</f>
        <v>158.0871502665708</v>
      </c>
      <c r="BL252" s="382">
        <f t="shared" si="254"/>
        <v>207.1922760845701</v>
      </c>
      <c r="BM252" s="382">
        <f>VLOOKUP(BA252, 'Pile Data and Eurocode Factors'!$A$34:$J$39,3, FALSE)</f>
        <v>6572.7116301410997</v>
      </c>
      <c r="BN252" s="403">
        <f t="shared" si="255"/>
        <v>207.1922760845701</v>
      </c>
      <c r="BO252" s="419">
        <v>900</v>
      </c>
      <c r="BP252" s="382">
        <f>PI()*BO252/1000*( Pile!$C$49- Pile!$C252)</f>
        <v>9.3305301811616808</v>
      </c>
      <c r="BQ252" s="382">
        <f t="shared" si="256"/>
        <v>0.63617251235193317</v>
      </c>
      <c r="BR252" s="382">
        <f t="shared" si="295"/>
        <v>131.99457819878211</v>
      </c>
      <c r="BS252" s="382">
        <f>BP252* Pile!$S$49</f>
        <v>0</v>
      </c>
      <c r="BT252" s="382">
        <f t="shared" si="301"/>
        <v>131.99457819878211</v>
      </c>
      <c r="BU252" s="382">
        <f>IF(BT252&gt;0,+BT252)/ 'Pile Data and Eurocode Factors'!$B$14/ 'Pile Data and Eurocode Factors'!$B$15</f>
        <v>58.926150981599157</v>
      </c>
      <c r="BV252" s="382">
        <f t="shared" si="284"/>
        <v>637.40738987481348</v>
      </c>
      <c r="BW252" s="382">
        <f>BQ252* Pile!$U$49</f>
        <v>0</v>
      </c>
      <c r="BX252" s="382">
        <f t="shared" si="257"/>
        <v>637.40738987481348</v>
      </c>
      <c r="BY252" s="382">
        <f>BX252/ 'Pile Data and Eurocode Factors'!$C$14/ 'Pile Data and Eurocode Factors'!$C$15</f>
        <v>227.64549638386197</v>
      </c>
      <c r="BZ252" s="382">
        <f t="shared" si="258"/>
        <v>286.5716473654611</v>
      </c>
      <c r="CA252" s="382">
        <f>VLOOKUP(BO252, 'Pile Data and Eurocode Factors'!$A$34:$J$39,3, FALSE)</f>
        <v>9464.7047474031824</v>
      </c>
      <c r="CB252" s="403">
        <f t="shared" si="259"/>
        <v>286.5716473654611</v>
      </c>
      <c r="CC252" s="419">
        <v>1050</v>
      </c>
      <c r="CD252" s="382">
        <f>PI()*CC252/1000*( Pile!$C$49- Pile!$C252)</f>
        <v>10.885618544688628</v>
      </c>
      <c r="CE252" s="382">
        <f t="shared" si="260"/>
        <v>0.86590147514568672</v>
      </c>
      <c r="CF252" s="382">
        <f t="shared" si="296"/>
        <v>153.99367456524581</v>
      </c>
      <c r="CG252" s="382">
        <f>CD252* Pile!$S$49</f>
        <v>0</v>
      </c>
      <c r="CH252" s="382">
        <f t="shared" si="302"/>
        <v>153.99367456524581</v>
      </c>
      <c r="CI252" s="382">
        <f>IF(CH252&gt;0,+CH252)/ 'Pile Data and Eurocode Factors'!$B$14/ 'Pile Data and Eurocode Factors'!$B$15</f>
        <v>68.74717614519902</v>
      </c>
      <c r="CJ252" s="382">
        <f t="shared" si="287"/>
        <v>867.58228066294043</v>
      </c>
      <c r="CK252" s="382">
        <f>CE252* Pile!$U$49</f>
        <v>0</v>
      </c>
      <c r="CL252" s="382">
        <f t="shared" si="261"/>
        <v>867.58228066294043</v>
      </c>
      <c r="CM252" s="382">
        <f>CL252/ 'Pile Data and Eurocode Factors'!$C$14/ 'Pile Data and Eurocode Factors'!$C$15</f>
        <v>309.85081452247874</v>
      </c>
      <c r="CN252" s="382">
        <f t="shared" si="262"/>
        <v>378.59799066767778</v>
      </c>
      <c r="CO252" s="382">
        <f>VLOOKUP(CC252, 'Pile Data and Eurocode Factors'!$A$34:$J$39,3, FALSE)</f>
        <v>12882.514795076555</v>
      </c>
      <c r="CP252" s="403">
        <f t="shared" si="263"/>
        <v>378.59799066767778</v>
      </c>
      <c r="CQ252" s="419">
        <v>1200</v>
      </c>
      <c r="CR252" s="382">
        <f>PI()*CQ252/1000*( Pile!$C$49- Pile!$C252)</f>
        <v>12.440706908215573</v>
      </c>
      <c r="CS252" s="382">
        <f t="shared" si="264"/>
        <v>1.1309733552923256</v>
      </c>
      <c r="CT252" s="382">
        <f t="shared" si="297"/>
        <v>175.99277093170946</v>
      </c>
      <c r="CU252" s="382">
        <f>CR252* Pile!$S$49</f>
        <v>0</v>
      </c>
      <c r="CV252" s="382">
        <f t="shared" si="303"/>
        <v>175.99277093170946</v>
      </c>
      <c r="CW252" s="382">
        <f>IF(CV252&gt;0,+CV252)/ 'Pile Data and Eurocode Factors'!$B$14/ 'Pile Data and Eurocode Factors'!$B$15</f>
        <v>78.568201308798862</v>
      </c>
      <c r="CX252" s="382">
        <f t="shared" si="290"/>
        <v>1133.1686931107795</v>
      </c>
      <c r="CY252" s="382">
        <f>CS252* Pile!$U$49</f>
        <v>0</v>
      </c>
      <c r="CZ252" s="382">
        <f t="shared" si="265"/>
        <v>1133.1686931107795</v>
      </c>
      <c r="DA252" s="382">
        <f>CZ252/ 'Pile Data and Eurocode Factors'!$C$14/ 'Pile Data and Eurocode Factors'!$C$15</f>
        <v>404.70310468242127</v>
      </c>
      <c r="DB252" s="382">
        <f t="shared" si="266"/>
        <v>483.27130599122012</v>
      </c>
      <c r="DC252" s="382">
        <f>VLOOKUP(CQ252, 'Pile Data and Eurocode Factors'!$A$34:$J$39,3, FALSE)</f>
        <v>16826.141773161216</v>
      </c>
      <c r="DD252" s="403">
        <f t="shared" si="267"/>
        <v>483.27130599122012</v>
      </c>
      <c r="DE252" s="420">
        <f xml:space="preserve"> Pile!$C$23- Pile!C252</f>
        <v>3.299999999999998</v>
      </c>
      <c r="DG252" s="382">
        <f t="shared" si="268"/>
        <v>86.374449586765067</v>
      </c>
      <c r="DH252" s="382">
        <f t="shared" si="269"/>
        <v>140.45987682500476</v>
      </c>
      <c r="DI252" s="382">
        <f t="shared" si="270"/>
        <v>207.1922760845701</v>
      </c>
      <c r="DJ252" s="382">
        <f t="shared" si="271"/>
        <v>286.5716473654611</v>
      </c>
      <c r="DK252" s="382">
        <f t="shared" si="272"/>
        <v>378.59799066767778</v>
      </c>
      <c r="DL252" s="382">
        <f t="shared" si="291"/>
        <v>483.27130599122012</v>
      </c>
    </row>
    <row r="253" spans="2:116" s="308" customFormat="1" ht="15">
      <c r="B253" s="400">
        <v>12</v>
      </c>
      <c r="C253" s="401">
        <f>+C252- Pile!D$49/20</f>
        <v>2.4000000000000021</v>
      </c>
      <c r="D253" s="415" t="str">
        <f>B23</f>
        <v>Loose Sand/Gravel</v>
      </c>
      <c r="E253" s="415" t="str">
        <f>F23</f>
        <v>Granular</v>
      </c>
      <c r="F253" s="401">
        <f xml:space="preserve"> Pile!$E$49*(+C252-C253)+F252</f>
        <v>59.399999999999956</v>
      </c>
      <c r="G253" s="401">
        <f>IF(C253&gt; Pile!$C$54,0,( Pile!$C$54-C253)*9.81)</f>
        <v>0</v>
      </c>
      <c r="H253" s="401">
        <f t="shared" si="238"/>
        <v>59.399999999999956</v>
      </c>
      <c r="I253" s="401">
        <f t="shared" si="239"/>
        <v>29.699999999999978</v>
      </c>
      <c r="J253" s="401">
        <f>IF(E253="Cohesive",(( Pile!$H$49- Pile!$G$49)/20)+J252,0)</f>
        <v>0</v>
      </c>
      <c r="K253" s="401">
        <f>IF(E253="Cohesive",( Pile!$G$49+ Pile!$J253)/2,0)</f>
        <v>0</v>
      </c>
      <c r="L253" s="401" t="str">
        <f>IF( Pile!I$49="",0, Pile!I$49)</f>
        <v>0</v>
      </c>
      <c r="M253" s="401" t="str">
        <f>IF( Pile!J$49="",0, Pile!J$49)</f>
        <v>0</v>
      </c>
      <c r="N253" s="401">
        <f>IF(E253="Granular", Pile!$K$49,0)</f>
        <v>18.401122218708668</v>
      </c>
      <c r="O253" s="416">
        <f>IF(AND(E253="Granular",D253&lt;&gt;"Made Ground"), Pile!$L$49,0)</f>
        <v>0.51961524227066314</v>
      </c>
      <c r="P253" s="401">
        <f>IF(OR(D253="Low Density Chalk",D253="Medium Density Chalk"), Pile!$M$49,0)</f>
        <v>0</v>
      </c>
      <c r="Q253" s="417">
        <f>IF(D253="High Density Chalk", Pile!$N$49,0)</f>
        <v>0</v>
      </c>
      <c r="R253" s="401">
        <f>IF( Pile!O$49="",0, Pile!O$49)</f>
        <v>0</v>
      </c>
      <c r="S253" s="418">
        <f t="shared" si="240"/>
        <v>15.432572695438683</v>
      </c>
      <c r="T253" s="382">
        <f xml:space="preserve"> Pile!$T$49</f>
        <v>1200</v>
      </c>
      <c r="U253" s="382">
        <f t="shared" si="241"/>
        <v>15.432572695438683</v>
      </c>
      <c r="V253" s="382">
        <f t="shared" si="242"/>
        <v>1093.0266597912942</v>
      </c>
      <c r="W253" s="382">
        <f xml:space="preserve"> Pile!$V$49</f>
        <v>15000</v>
      </c>
      <c r="X253" s="382">
        <f t="shared" si="243"/>
        <v>1093.0266597912942</v>
      </c>
      <c r="Y253" s="419">
        <v>450</v>
      </c>
      <c r="Z253" s="382">
        <f>PI()*Y253/1000*( Pile!$C$49- Pile!$C253)</f>
        <v>5.0893800988154618</v>
      </c>
      <c r="AA253" s="382">
        <f t="shared" si="244"/>
        <v>0.15904312808798329</v>
      </c>
      <c r="AB253" s="382">
        <f t="shared" si="292"/>
        <v>78.542228349688529</v>
      </c>
      <c r="AC253" s="382">
        <f>Z253* Pile!$S$49</f>
        <v>0</v>
      </c>
      <c r="AD253" s="382">
        <f t="shared" si="298"/>
        <v>78.542228349688529</v>
      </c>
      <c r="AE253" s="382">
        <f>IF(AD253&gt;0,+AD253)/ 'Pile Data and Eurocode Factors'!$B$14/ 'Pile Data and Eurocode Factors'!$B$15</f>
        <v>35.063494798968094</v>
      </c>
      <c r="AF253" s="382">
        <f t="shared" si="275"/>
        <v>173.83837905676734</v>
      </c>
      <c r="AG253" s="382">
        <f>AA253* Pile!$U$49</f>
        <v>0</v>
      </c>
      <c r="AH253" s="382">
        <f t="shared" si="245"/>
        <v>173.83837905676734</v>
      </c>
      <c r="AI253" s="382">
        <f>AH253/ 'Pile Data and Eurocode Factors'!$C$14/ 'Pile Data and Eurocode Factors'!$C$15</f>
        <v>62.085135377416911</v>
      </c>
      <c r="AJ253" s="382">
        <f t="shared" si="246"/>
        <v>97.148630176385012</v>
      </c>
      <c r="AK253" s="382">
        <f>VLOOKUP(Y253, 'Pile Data and Eurocode Factors'!$A$34:$J$39,3, FALSE)</f>
        <v>2366.1761868507956</v>
      </c>
      <c r="AL253" s="403">
        <f t="shared" si="247"/>
        <v>97.148630176385012</v>
      </c>
      <c r="AM253" s="419">
        <v>600</v>
      </c>
      <c r="AN253" s="382">
        <f>PI()*AM253/1000*( Pile!$C$49- Pile!$C253)</f>
        <v>6.7858401317539494</v>
      </c>
      <c r="AO253" s="382">
        <f t="shared" si="248"/>
        <v>0.28274333882308139</v>
      </c>
      <c r="AP253" s="382">
        <f t="shared" si="293"/>
        <v>104.72297113291803</v>
      </c>
      <c r="AQ253" s="382">
        <f>AN253* Pile!$S$49</f>
        <v>0</v>
      </c>
      <c r="AR253" s="382">
        <f t="shared" si="299"/>
        <v>104.72297113291803</v>
      </c>
      <c r="AS253" s="382">
        <f>IF(AR253&gt;0,+AR253)/ 'Pile Data and Eurocode Factors'!$B$14/ 'Pile Data and Eurocode Factors'!$B$15</f>
        <v>46.751326398624123</v>
      </c>
      <c r="AT253" s="382">
        <f t="shared" si="278"/>
        <v>309.04600721203082</v>
      </c>
      <c r="AU253" s="382">
        <f>AO253* Pile!$U$49</f>
        <v>0</v>
      </c>
      <c r="AV253" s="382">
        <f t="shared" si="249"/>
        <v>309.04600721203082</v>
      </c>
      <c r="AW253" s="382">
        <f>AV253/ 'Pile Data and Eurocode Factors'!$C$14/ 'Pile Data and Eurocode Factors'!$C$15</f>
        <v>110.37357400429673</v>
      </c>
      <c r="AX253" s="382">
        <f t="shared" si="250"/>
        <v>157.12490040292084</v>
      </c>
      <c r="AY253" s="382">
        <f>VLOOKUP(AM253, 'Pile Data and Eurocode Factors'!$A$34:$J$39,3, FALSE)</f>
        <v>4206.5354432903041</v>
      </c>
      <c r="AZ253" s="403">
        <f t="shared" si="251"/>
        <v>157.12490040292084</v>
      </c>
      <c r="BA253" s="419">
        <v>750</v>
      </c>
      <c r="BB253" s="382">
        <f>PI()*BA253/1000*( Pile!$C$49- Pile!$C253)</f>
        <v>8.4823001646924361</v>
      </c>
      <c r="BC253" s="382">
        <f t="shared" si="252"/>
        <v>0.44178646691106466</v>
      </c>
      <c r="BD253" s="382">
        <f t="shared" si="294"/>
        <v>130.90371391614752</v>
      </c>
      <c r="BE253" s="382">
        <f>BB253* Pile!$S$49</f>
        <v>0</v>
      </c>
      <c r="BF253" s="382">
        <f t="shared" si="300"/>
        <v>130.90371391614752</v>
      </c>
      <c r="BG253" s="382">
        <f>IF(BF253&gt;0,+BF253)/ 'Pile Data and Eurocode Factors'!$B$14/ 'Pile Data and Eurocode Factors'!$B$15</f>
        <v>58.439157998280145</v>
      </c>
      <c r="BH253" s="382">
        <f t="shared" si="281"/>
        <v>482.8843862687981</v>
      </c>
      <c r="BI253" s="382">
        <f>BC253* Pile!$U$49</f>
        <v>0</v>
      </c>
      <c r="BJ253" s="382">
        <f t="shared" si="253"/>
        <v>482.8843862687981</v>
      </c>
      <c r="BK253" s="382">
        <f>BJ253/ 'Pile Data and Eurocode Factors'!$C$14/ 'Pile Data and Eurocode Factors'!$C$15</f>
        <v>172.45870938171362</v>
      </c>
      <c r="BL253" s="382">
        <f t="shared" si="254"/>
        <v>230.89786737999376</v>
      </c>
      <c r="BM253" s="382">
        <f>VLOOKUP(BA253, 'Pile Data and Eurocode Factors'!$A$34:$J$39,3, FALSE)</f>
        <v>6572.7116301410997</v>
      </c>
      <c r="BN253" s="403">
        <f t="shared" si="255"/>
        <v>230.89786737999376</v>
      </c>
      <c r="BO253" s="419">
        <v>900</v>
      </c>
      <c r="BP253" s="382">
        <f>PI()*BO253/1000*( Pile!$C$49- Pile!$C253)</f>
        <v>10.178760197630924</v>
      </c>
      <c r="BQ253" s="382">
        <f t="shared" si="256"/>
        <v>0.63617251235193317</v>
      </c>
      <c r="BR253" s="382">
        <f t="shared" si="295"/>
        <v>157.08445669937706</v>
      </c>
      <c r="BS253" s="382">
        <f>BP253* Pile!$S$49</f>
        <v>0</v>
      </c>
      <c r="BT253" s="382">
        <f t="shared" si="301"/>
        <v>157.08445669937706</v>
      </c>
      <c r="BU253" s="382">
        <f>IF(BT253&gt;0,+BT253)/ 'Pile Data and Eurocode Factors'!$B$14/ 'Pile Data and Eurocode Factors'!$B$15</f>
        <v>70.126989597936188</v>
      </c>
      <c r="BV253" s="382">
        <f t="shared" si="284"/>
        <v>695.35351622706935</v>
      </c>
      <c r="BW253" s="382">
        <f>BQ253* Pile!$U$49</f>
        <v>0</v>
      </c>
      <c r="BX253" s="382">
        <f t="shared" si="257"/>
        <v>695.35351622706935</v>
      </c>
      <c r="BY253" s="382">
        <f>BX253/ 'Pile Data and Eurocode Factors'!$C$14/ 'Pile Data and Eurocode Factors'!$C$15</f>
        <v>248.34054150966764</v>
      </c>
      <c r="BZ253" s="382">
        <f t="shared" si="258"/>
        <v>318.4675311076038</v>
      </c>
      <c r="CA253" s="382">
        <f>VLOOKUP(BO253, 'Pile Data and Eurocode Factors'!$A$34:$J$39,3, FALSE)</f>
        <v>9464.7047474031824</v>
      </c>
      <c r="CB253" s="403">
        <f t="shared" si="259"/>
        <v>318.4675311076038</v>
      </c>
      <c r="CC253" s="419">
        <v>1050</v>
      </c>
      <c r="CD253" s="382">
        <f>PI()*CC253/1000*( Pile!$C$49- Pile!$C253)</f>
        <v>11.875220230569411</v>
      </c>
      <c r="CE253" s="382">
        <f t="shared" si="260"/>
        <v>0.86590147514568672</v>
      </c>
      <c r="CF253" s="382">
        <f t="shared" si="296"/>
        <v>183.26519948260656</v>
      </c>
      <c r="CG253" s="382">
        <f>CD253* Pile!$S$49</f>
        <v>0</v>
      </c>
      <c r="CH253" s="382">
        <f t="shared" si="302"/>
        <v>183.26519948260656</v>
      </c>
      <c r="CI253" s="382">
        <f>IF(CH253&gt;0,+CH253)/ 'Pile Data and Eurocode Factors'!$B$14/ 'Pile Data and Eurocode Factors'!$B$15</f>
        <v>81.81482119759221</v>
      </c>
      <c r="CJ253" s="382">
        <f t="shared" si="287"/>
        <v>946.45339708684423</v>
      </c>
      <c r="CK253" s="382">
        <f>CE253* Pile!$U$49</f>
        <v>0</v>
      </c>
      <c r="CL253" s="382">
        <f t="shared" si="261"/>
        <v>946.45339708684423</v>
      </c>
      <c r="CM253" s="382">
        <f>CL253/ 'Pile Data and Eurocode Factors'!$C$14/ 'Pile Data and Eurocode Factors'!$C$15</f>
        <v>338.0190703881587</v>
      </c>
      <c r="CN253" s="382">
        <f t="shared" si="262"/>
        <v>419.83389158575091</v>
      </c>
      <c r="CO253" s="382">
        <f>VLOOKUP(CC253, 'Pile Data and Eurocode Factors'!$A$34:$J$39,3, FALSE)</f>
        <v>12882.514795076555</v>
      </c>
      <c r="CP253" s="403">
        <f t="shared" si="263"/>
        <v>419.83389158575091</v>
      </c>
      <c r="CQ253" s="419">
        <v>1200</v>
      </c>
      <c r="CR253" s="382">
        <f>PI()*CQ253/1000*( Pile!$C$49- Pile!$C253)</f>
        <v>13.571680263507899</v>
      </c>
      <c r="CS253" s="382">
        <f t="shared" si="264"/>
        <v>1.1309733552923256</v>
      </c>
      <c r="CT253" s="382">
        <f t="shared" si="297"/>
        <v>209.44594226583607</v>
      </c>
      <c r="CU253" s="382">
        <f>CR253* Pile!$S$49</f>
        <v>0</v>
      </c>
      <c r="CV253" s="382">
        <f t="shared" si="303"/>
        <v>209.44594226583607</v>
      </c>
      <c r="CW253" s="382">
        <f>IF(CV253&gt;0,+CV253)/ 'Pile Data and Eurocode Factors'!$B$14/ 'Pile Data and Eurocode Factors'!$B$15</f>
        <v>93.502652797248246</v>
      </c>
      <c r="CX253" s="382">
        <f t="shared" si="290"/>
        <v>1236.1840288481233</v>
      </c>
      <c r="CY253" s="382">
        <f>CS253* Pile!$U$49</f>
        <v>0</v>
      </c>
      <c r="CZ253" s="382">
        <f t="shared" si="265"/>
        <v>1236.1840288481233</v>
      </c>
      <c r="DA253" s="382">
        <f>CZ253/ 'Pile Data and Eurocode Factors'!$C$14/ 'Pile Data and Eurocode Factors'!$C$15</f>
        <v>441.49429601718691</v>
      </c>
      <c r="DB253" s="382">
        <f t="shared" si="266"/>
        <v>534.9969488144352</v>
      </c>
      <c r="DC253" s="382">
        <f>VLOOKUP(CQ253, 'Pile Data and Eurocode Factors'!$A$34:$J$39,3, FALSE)</f>
        <v>16826.141773161216</v>
      </c>
      <c r="DD253" s="403">
        <f t="shared" si="267"/>
        <v>534.9969488144352</v>
      </c>
      <c r="DE253" s="420">
        <f xml:space="preserve"> Pile!$C$23- Pile!C253</f>
        <v>3.5999999999999979</v>
      </c>
      <c r="DG253" s="382">
        <f t="shared" si="268"/>
        <v>97.148630176385012</v>
      </c>
      <c r="DH253" s="382">
        <f t="shared" si="269"/>
        <v>157.12490040292084</v>
      </c>
      <c r="DI253" s="382">
        <f t="shared" si="270"/>
        <v>230.89786737999376</v>
      </c>
      <c r="DJ253" s="382">
        <f t="shared" si="271"/>
        <v>318.4675311076038</v>
      </c>
      <c r="DK253" s="382">
        <f t="shared" si="272"/>
        <v>419.83389158575091</v>
      </c>
      <c r="DL253" s="382">
        <f t="shared" si="291"/>
        <v>534.9969488144352</v>
      </c>
    </row>
    <row r="254" spans="2:116" s="308" customFormat="1" ht="15">
      <c r="B254" s="400">
        <v>13</v>
      </c>
      <c r="C254" s="401">
        <f>+C253- Pile!D$49/20</f>
        <v>2.1000000000000023</v>
      </c>
      <c r="D254" s="415" t="str">
        <f>B23</f>
        <v>Loose Sand/Gravel</v>
      </c>
      <c r="E254" s="415" t="str">
        <f>F23</f>
        <v>Granular</v>
      </c>
      <c r="F254" s="401">
        <f xml:space="preserve"> Pile!$E$49*(+C253-C254)+F253</f>
        <v>64.349999999999952</v>
      </c>
      <c r="G254" s="401">
        <f>IF(C254&gt; Pile!$C$54,0,( Pile!$C$54-C254)*9.81)</f>
        <v>0</v>
      </c>
      <c r="H254" s="401">
        <f t="shared" si="238"/>
        <v>64.349999999999952</v>
      </c>
      <c r="I254" s="401">
        <f t="shared" si="239"/>
        <v>32.174999999999976</v>
      </c>
      <c r="J254" s="401">
        <f>IF(E254="Cohesive",(( Pile!$H$49- Pile!$G$49)/20)+J253,0)</f>
        <v>0</v>
      </c>
      <c r="K254" s="401">
        <f>IF(E254="Cohesive",( Pile!$G$49+ Pile!$J254)/2,0)</f>
        <v>0</v>
      </c>
      <c r="L254" s="401" t="str">
        <f>IF( Pile!I$49="",0, Pile!I$49)</f>
        <v>0</v>
      </c>
      <c r="M254" s="401" t="str">
        <f>IF( Pile!J$49="",0, Pile!J$49)</f>
        <v>0</v>
      </c>
      <c r="N254" s="401">
        <f>IF(E254="Granular", Pile!$K$49,0)</f>
        <v>18.401122218708668</v>
      </c>
      <c r="O254" s="416">
        <f>IF(AND(E254="Granular",D254&lt;&gt;"Made Ground"), Pile!$L$49,0)</f>
        <v>0.51961524227066314</v>
      </c>
      <c r="P254" s="401">
        <f>IF(OR(D254="Low Density Chalk",D254="Medium Density Chalk"), Pile!$M$49,0)</f>
        <v>0</v>
      </c>
      <c r="Q254" s="417">
        <f>IF(D254="High Density Chalk", Pile!$N$49,0)</f>
        <v>0</v>
      </c>
      <c r="R254" s="401">
        <f>IF( Pile!O$49="",0, Pile!O$49)</f>
        <v>0</v>
      </c>
      <c r="S254" s="418">
        <f t="shared" si="240"/>
        <v>16.718620420058574</v>
      </c>
      <c r="T254" s="382">
        <f xml:space="preserve"> Pile!$T$49</f>
        <v>1200</v>
      </c>
      <c r="U254" s="382">
        <f t="shared" si="241"/>
        <v>16.718620420058574</v>
      </c>
      <c r="V254" s="382">
        <f t="shared" si="242"/>
        <v>1184.112214773902</v>
      </c>
      <c r="W254" s="382">
        <f xml:space="preserve"> Pile!$V$49</f>
        <v>15000</v>
      </c>
      <c r="X254" s="382">
        <f t="shared" si="243"/>
        <v>1184.112214773902</v>
      </c>
      <c r="Y254" s="419">
        <v>450</v>
      </c>
      <c r="Z254" s="382">
        <f>PI()*Y254/1000*( Pile!$C$49- Pile!$C254)</f>
        <v>5.5134951070500833</v>
      </c>
      <c r="AA254" s="382">
        <f t="shared" si="244"/>
        <v>0.15904312808798329</v>
      </c>
      <c r="AB254" s="382">
        <f t="shared" si="292"/>
        <v>92.178031882620559</v>
      </c>
      <c r="AC254" s="382">
        <f>Z254* Pile!$S$49</f>
        <v>0</v>
      </c>
      <c r="AD254" s="382">
        <f t="shared" si="298"/>
        <v>92.178031882620559</v>
      </c>
      <c r="AE254" s="382">
        <f>IF(AD254&gt;0,+AD254)/ 'Pile Data and Eurocode Factors'!$B$14/ 'Pile Data and Eurocode Factors'!$B$15</f>
        <v>41.150907090455611</v>
      </c>
      <c r="AF254" s="382">
        <f t="shared" si="275"/>
        <v>188.32491064483128</v>
      </c>
      <c r="AG254" s="382">
        <f>AA254* Pile!$U$49</f>
        <v>0</v>
      </c>
      <c r="AH254" s="382">
        <f t="shared" si="245"/>
        <v>188.32491064483128</v>
      </c>
      <c r="AI254" s="382">
        <f>AH254/ 'Pile Data and Eurocode Factors'!$C$14/ 'Pile Data and Eurocode Factors'!$C$15</f>
        <v>67.258896658868323</v>
      </c>
      <c r="AJ254" s="382">
        <f t="shared" si="246"/>
        <v>108.40980374932394</v>
      </c>
      <c r="AK254" s="382">
        <f>VLOOKUP(Y254, 'Pile Data and Eurocode Factors'!$A$34:$J$39,3, FALSE)</f>
        <v>2366.1761868507956</v>
      </c>
      <c r="AL254" s="403">
        <f t="shared" si="247"/>
        <v>108.40980374932394</v>
      </c>
      <c r="AM254" s="419">
        <v>600</v>
      </c>
      <c r="AN254" s="382">
        <f>PI()*AM254/1000*( Pile!$C$49- Pile!$C254)</f>
        <v>7.3513268094001116</v>
      </c>
      <c r="AO254" s="382">
        <f t="shared" si="248"/>
        <v>0.28274333882308139</v>
      </c>
      <c r="AP254" s="382">
        <f t="shared" si="293"/>
        <v>122.90404251016075</v>
      </c>
      <c r="AQ254" s="382">
        <f>AN254* Pile!$S$49</f>
        <v>0</v>
      </c>
      <c r="AR254" s="382">
        <f t="shared" si="299"/>
        <v>122.90404251016075</v>
      </c>
      <c r="AS254" s="382">
        <f>IF(AR254&gt;0,+AR254)/ 'Pile Data and Eurocode Factors'!$B$14/ 'Pile Data and Eurocode Factors'!$B$15</f>
        <v>54.867876120607484</v>
      </c>
      <c r="AT254" s="382">
        <f t="shared" si="278"/>
        <v>334.7998411463667</v>
      </c>
      <c r="AU254" s="382">
        <f>AO254* Pile!$U$49</f>
        <v>0</v>
      </c>
      <c r="AV254" s="382">
        <f t="shared" si="249"/>
        <v>334.7998411463667</v>
      </c>
      <c r="AW254" s="382">
        <f>AV254/ 'Pile Data and Eurocode Factors'!$C$14/ 'Pile Data and Eurocode Factors'!$C$15</f>
        <v>119.57137183798811</v>
      </c>
      <c r="AX254" s="382">
        <f t="shared" si="250"/>
        <v>174.43924795859559</v>
      </c>
      <c r="AY254" s="382">
        <f>VLOOKUP(AM254, 'Pile Data and Eurocode Factors'!$A$34:$J$39,3, FALSE)</f>
        <v>4206.5354432903041</v>
      </c>
      <c r="AZ254" s="403">
        <f t="shared" si="251"/>
        <v>174.43924795859559</v>
      </c>
      <c r="BA254" s="419">
        <v>750</v>
      </c>
      <c r="BB254" s="382">
        <f>PI()*BA254/1000*( Pile!$C$49- Pile!$C254)</f>
        <v>9.18915851175014</v>
      </c>
      <c r="BC254" s="382">
        <f t="shared" si="252"/>
        <v>0.44178646691106466</v>
      </c>
      <c r="BD254" s="382">
        <f t="shared" si="294"/>
        <v>153.63005313770094</v>
      </c>
      <c r="BE254" s="382">
        <f>BB254* Pile!$S$49</f>
        <v>0</v>
      </c>
      <c r="BF254" s="382">
        <f t="shared" si="300"/>
        <v>153.63005313770094</v>
      </c>
      <c r="BG254" s="382">
        <f>IF(BF254&gt;0,+BF254)/ 'Pile Data and Eurocode Factors'!$B$14/ 'Pile Data and Eurocode Factors'!$B$15</f>
        <v>68.58484515075935</v>
      </c>
      <c r="BH254" s="382">
        <f t="shared" si="281"/>
        <v>523.12475179119792</v>
      </c>
      <c r="BI254" s="382">
        <f>BC254* Pile!$U$49</f>
        <v>0</v>
      </c>
      <c r="BJ254" s="382">
        <f t="shared" si="253"/>
        <v>523.12475179119792</v>
      </c>
      <c r="BK254" s="382">
        <f>BJ254/ 'Pile Data and Eurocode Factors'!$C$14/ 'Pile Data and Eurocode Factors'!$C$15</f>
        <v>186.83026849685641</v>
      </c>
      <c r="BL254" s="382">
        <f t="shared" si="254"/>
        <v>255.41511364761575</v>
      </c>
      <c r="BM254" s="382">
        <f>VLOOKUP(BA254, 'Pile Data and Eurocode Factors'!$A$34:$J$39,3, FALSE)</f>
        <v>6572.7116301410997</v>
      </c>
      <c r="BN254" s="403">
        <f t="shared" si="255"/>
        <v>255.41511364761575</v>
      </c>
      <c r="BO254" s="419">
        <v>900</v>
      </c>
      <c r="BP254" s="382">
        <f>PI()*BO254/1000*( Pile!$C$49- Pile!$C254)</f>
        <v>11.026990214100167</v>
      </c>
      <c r="BQ254" s="382">
        <f t="shared" si="256"/>
        <v>0.63617251235193317</v>
      </c>
      <c r="BR254" s="382">
        <f t="shared" si="295"/>
        <v>184.35606376524112</v>
      </c>
      <c r="BS254" s="382">
        <f>BP254* Pile!$S$49</f>
        <v>0</v>
      </c>
      <c r="BT254" s="382">
        <f t="shared" si="301"/>
        <v>184.35606376524112</v>
      </c>
      <c r="BU254" s="382">
        <f>IF(BT254&gt;0,+BT254)/ 'Pile Data and Eurocode Factors'!$B$14/ 'Pile Data and Eurocode Factors'!$B$15</f>
        <v>82.301814180911222</v>
      </c>
      <c r="BV254" s="382">
        <f t="shared" si="284"/>
        <v>753.29964257932511</v>
      </c>
      <c r="BW254" s="382">
        <f>BQ254* Pile!$U$49</f>
        <v>0</v>
      </c>
      <c r="BX254" s="382">
        <f t="shared" si="257"/>
        <v>753.29964257932511</v>
      </c>
      <c r="BY254" s="382">
        <f>BX254/ 'Pile Data and Eurocode Factors'!$C$14/ 'Pile Data and Eurocode Factors'!$C$15</f>
        <v>269.03558663547329</v>
      </c>
      <c r="BZ254" s="382">
        <f t="shared" si="258"/>
        <v>351.3374008163845</v>
      </c>
      <c r="CA254" s="382">
        <f>VLOOKUP(BO254, 'Pile Data and Eurocode Factors'!$A$34:$J$39,3, FALSE)</f>
        <v>9464.7047474031824</v>
      </c>
      <c r="CB254" s="403">
        <f t="shared" si="259"/>
        <v>351.3374008163845</v>
      </c>
      <c r="CC254" s="419">
        <v>1050</v>
      </c>
      <c r="CD254" s="382">
        <f>PI()*CC254/1000*( Pile!$C$49- Pile!$C254)</f>
        <v>12.864821916450195</v>
      </c>
      <c r="CE254" s="382">
        <f t="shared" si="260"/>
        <v>0.86590147514568672</v>
      </c>
      <c r="CF254" s="382">
        <f t="shared" si="296"/>
        <v>215.08207439278132</v>
      </c>
      <c r="CG254" s="382">
        <f>CD254* Pile!$S$49</f>
        <v>0</v>
      </c>
      <c r="CH254" s="382">
        <f t="shared" si="302"/>
        <v>215.08207439278132</v>
      </c>
      <c r="CI254" s="382">
        <f>IF(CH254&gt;0,+CH254)/ 'Pile Data and Eurocode Factors'!$B$14/ 'Pile Data and Eurocode Factors'!$B$15</f>
        <v>96.018783211063081</v>
      </c>
      <c r="CJ254" s="382">
        <f t="shared" si="287"/>
        <v>1025.3245135107479</v>
      </c>
      <c r="CK254" s="382">
        <f>CE254* Pile!$U$49</f>
        <v>0</v>
      </c>
      <c r="CL254" s="382">
        <f t="shared" si="261"/>
        <v>1025.3245135107479</v>
      </c>
      <c r="CM254" s="382">
        <f>CL254/ 'Pile Data and Eurocode Factors'!$C$14/ 'Pile Data and Eurocode Factors'!$C$15</f>
        <v>366.18732625383859</v>
      </c>
      <c r="CN254" s="382">
        <f t="shared" si="262"/>
        <v>462.20610946490166</v>
      </c>
      <c r="CO254" s="382">
        <f>VLOOKUP(CC254, 'Pile Data and Eurocode Factors'!$A$34:$J$39,3, FALSE)</f>
        <v>12882.514795076555</v>
      </c>
      <c r="CP254" s="403">
        <f t="shared" si="263"/>
        <v>462.20610946490166</v>
      </c>
      <c r="CQ254" s="419">
        <v>1200</v>
      </c>
      <c r="CR254" s="382">
        <f>PI()*CQ254/1000*( Pile!$C$49- Pile!$C254)</f>
        <v>14.702653618800223</v>
      </c>
      <c r="CS254" s="382">
        <f t="shared" si="264"/>
        <v>1.1309733552923256</v>
      </c>
      <c r="CT254" s="382">
        <f t="shared" si="297"/>
        <v>245.8080850203215</v>
      </c>
      <c r="CU254" s="382">
        <f>CR254* Pile!$S$49</f>
        <v>0</v>
      </c>
      <c r="CV254" s="382">
        <f t="shared" si="303"/>
        <v>245.8080850203215</v>
      </c>
      <c r="CW254" s="382">
        <f>IF(CV254&gt;0,+CV254)/ 'Pile Data and Eurocode Factors'!$B$14/ 'Pile Data and Eurocode Factors'!$B$15</f>
        <v>109.73575224121497</v>
      </c>
      <c r="CX254" s="382">
        <f t="shared" si="290"/>
        <v>1339.1993645854668</v>
      </c>
      <c r="CY254" s="382">
        <f>CS254* Pile!$U$49</f>
        <v>0</v>
      </c>
      <c r="CZ254" s="382">
        <f t="shared" si="265"/>
        <v>1339.1993645854668</v>
      </c>
      <c r="DA254" s="382">
        <f>CZ254/ 'Pile Data and Eurocode Factors'!$C$14/ 'Pile Data and Eurocode Factors'!$C$15</f>
        <v>478.28548735195244</v>
      </c>
      <c r="DB254" s="382">
        <f t="shared" si="266"/>
        <v>588.02123959316737</v>
      </c>
      <c r="DC254" s="382">
        <f>VLOOKUP(CQ254, 'Pile Data and Eurocode Factors'!$A$34:$J$39,3, FALSE)</f>
        <v>16826.141773161216</v>
      </c>
      <c r="DD254" s="403">
        <f t="shared" si="267"/>
        <v>588.02123959316737</v>
      </c>
      <c r="DE254" s="420">
        <f xml:space="preserve"> Pile!$C$23- Pile!C254</f>
        <v>3.8999999999999977</v>
      </c>
      <c r="DG254" s="382">
        <f t="shared" si="268"/>
        <v>108.40980374932394</v>
      </c>
      <c r="DH254" s="382">
        <f t="shared" si="269"/>
        <v>174.43924795859559</v>
      </c>
      <c r="DI254" s="382">
        <f t="shared" si="270"/>
        <v>255.41511364761575</v>
      </c>
      <c r="DJ254" s="382">
        <f t="shared" si="271"/>
        <v>351.3374008163845</v>
      </c>
      <c r="DK254" s="382">
        <f t="shared" si="272"/>
        <v>462.20610946490166</v>
      </c>
      <c r="DL254" s="382">
        <f t="shared" si="291"/>
        <v>588.02123959316737</v>
      </c>
    </row>
    <row r="255" spans="2:116" s="308" customFormat="1" ht="15">
      <c r="B255" s="400">
        <v>14</v>
      </c>
      <c r="C255" s="401">
        <f>+C254- Pile!D$49/20</f>
        <v>1.8000000000000023</v>
      </c>
      <c r="D255" s="415" t="str">
        <f>B23</f>
        <v>Loose Sand/Gravel</v>
      </c>
      <c r="E255" s="415" t="str">
        <f>F23</f>
        <v>Granular</v>
      </c>
      <c r="F255" s="401">
        <f xml:space="preserve"> Pile!$E$49*(+C254-C255)+F254</f>
        <v>69.299999999999955</v>
      </c>
      <c r="G255" s="401">
        <f>IF(C255&gt; Pile!$C$54,0,( Pile!$C$54-C255)*9.81)</f>
        <v>0</v>
      </c>
      <c r="H255" s="401">
        <f t="shared" si="238"/>
        <v>69.299999999999955</v>
      </c>
      <c r="I255" s="401">
        <f t="shared" si="239"/>
        <v>34.649999999999977</v>
      </c>
      <c r="J255" s="401">
        <f>IF(E255="Cohesive",(( Pile!$H$49- Pile!$G$49)/20)+J254,0)</f>
        <v>0</v>
      </c>
      <c r="K255" s="401">
        <f>IF(E255="Cohesive",( Pile!$G$49+ Pile!$J255)/2,0)</f>
        <v>0</v>
      </c>
      <c r="L255" s="401" t="str">
        <f>IF( Pile!I$49="",0, Pile!I$49)</f>
        <v>0</v>
      </c>
      <c r="M255" s="401" t="str">
        <f>IF( Pile!J$49="",0, Pile!J$49)</f>
        <v>0</v>
      </c>
      <c r="N255" s="401">
        <f>IF(E255="Granular", Pile!$K$49,0)</f>
        <v>18.401122218708668</v>
      </c>
      <c r="O255" s="416">
        <f>IF(AND(E255="Granular",D255&lt;&gt;"Made Ground"), Pile!$L$49,0)</f>
        <v>0.51961524227066314</v>
      </c>
      <c r="P255" s="401">
        <f>IF(OR(D255="Low Density Chalk",D255="Medium Density Chalk"), Pile!$M$49,0)</f>
        <v>0</v>
      </c>
      <c r="Q255" s="417">
        <f>IF(D255="High Density Chalk", Pile!$N$49,0)</f>
        <v>0</v>
      </c>
      <c r="R255" s="401">
        <f>IF( Pile!O$49="",0, Pile!O$49)</f>
        <v>0</v>
      </c>
      <c r="S255" s="418">
        <f t="shared" si="240"/>
        <v>18.004668144678465</v>
      </c>
      <c r="T255" s="382">
        <f xml:space="preserve"> Pile!$T$49</f>
        <v>1200</v>
      </c>
      <c r="U255" s="382">
        <f t="shared" si="241"/>
        <v>18.004668144678465</v>
      </c>
      <c r="V255" s="382">
        <f t="shared" si="242"/>
        <v>1275.1977697565098</v>
      </c>
      <c r="W255" s="382">
        <f xml:space="preserve"> Pile!$V$49</f>
        <v>15000</v>
      </c>
      <c r="X255" s="382">
        <f t="shared" si="243"/>
        <v>1275.1977697565098</v>
      </c>
      <c r="Y255" s="419">
        <v>450</v>
      </c>
      <c r="Z255" s="382">
        <f>PI()*Y255/1000*( Pile!$C$49- Pile!$C255)</f>
        <v>5.9376101152847056</v>
      </c>
      <c r="AA255" s="382">
        <f t="shared" si="244"/>
        <v>0.15904312808798329</v>
      </c>
      <c r="AB255" s="382">
        <f t="shared" si="292"/>
        <v>106.90469969818717</v>
      </c>
      <c r="AC255" s="382">
        <f>Z255* Pile!$S$49</f>
        <v>0</v>
      </c>
      <c r="AD255" s="382">
        <f t="shared" si="298"/>
        <v>106.90469969818717</v>
      </c>
      <c r="AE255" s="382">
        <f>IF(AD255&gt;0,+AD255)/ 'Pile Data and Eurocode Factors'!$B$14/ 'Pile Data and Eurocode Factors'!$B$15</f>
        <v>47.725312365262134</v>
      </c>
      <c r="AF255" s="382">
        <f t="shared" si="275"/>
        <v>202.81144223289522</v>
      </c>
      <c r="AG255" s="382">
        <f>AA255* Pile!$U$49</f>
        <v>0</v>
      </c>
      <c r="AH255" s="382">
        <f t="shared" si="245"/>
        <v>202.81144223289522</v>
      </c>
      <c r="AI255" s="382">
        <f>AH255/ 'Pile Data and Eurocode Factors'!$C$14/ 'Pile Data and Eurocode Factors'!$C$15</f>
        <v>72.432657940319729</v>
      </c>
      <c r="AJ255" s="382">
        <f t="shared" si="246"/>
        <v>120.15797030558187</v>
      </c>
      <c r="AK255" s="382">
        <f>VLOOKUP(Y255, 'Pile Data and Eurocode Factors'!$A$34:$J$39,3, FALSE)</f>
        <v>2366.1761868507956</v>
      </c>
      <c r="AL255" s="403">
        <f t="shared" si="247"/>
        <v>120.15797030558187</v>
      </c>
      <c r="AM255" s="419">
        <v>600</v>
      </c>
      <c r="AN255" s="382">
        <f>PI()*AM255/1000*( Pile!$C$49- Pile!$C255)</f>
        <v>7.9168134870462739</v>
      </c>
      <c r="AO255" s="382">
        <f t="shared" si="248"/>
        <v>0.28274333882308139</v>
      </c>
      <c r="AP255" s="382">
        <f t="shared" si="293"/>
        <v>142.53959959758288</v>
      </c>
      <c r="AQ255" s="382">
        <f>AN255* Pile!$S$49</f>
        <v>0</v>
      </c>
      <c r="AR255" s="382">
        <f t="shared" si="299"/>
        <v>142.53959959758288</v>
      </c>
      <c r="AS255" s="382">
        <f>IF(AR255&gt;0,+AR255)/ 'Pile Data and Eurocode Factors'!$B$14/ 'Pile Data and Eurocode Factors'!$B$15</f>
        <v>63.6337498203495</v>
      </c>
      <c r="AT255" s="382">
        <f t="shared" si="278"/>
        <v>360.55367508070259</v>
      </c>
      <c r="AU255" s="382">
        <f>AO255* Pile!$U$49</f>
        <v>0</v>
      </c>
      <c r="AV255" s="382">
        <f t="shared" si="249"/>
        <v>360.55367508070259</v>
      </c>
      <c r="AW255" s="382">
        <f>AV255/ 'Pile Data and Eurocode Factors'!$C$14/ 'Pile Data and Eurocode Factors'!$C$15</f>
        <v>128.76916967167949</v>
      </c>
      <c r="AX255" s="382">
        <f t="shared" si="250"/>
        <v>192.40291949202899</v>
      </c>
      <c r="AY255" s="382">
        <f>VLOOKUP(AM255, 'Pile Data and Eurocode Factors'!$A$34:$J$39,3, FALSE)</f>
        <v>4206.5354432903041</v>
      </c>
      <c r="AZ255" s="403">
        <f t="shared" si="251"/>
        <v>192.40291949202899</v>
      </c>
      <c r="BA255" s="419">
        <v>750</v>
      </c>
      <c r="BB255" s="382">
        <f>PI()*BA255/1000*( Pile!$C$49- Pile!$C255)</f>
        <v>9.8960168588078421</v>
      </c>
      <c r="BC255" s="382">
        <f t="shared" si="252"/>
        <v>0.44178646691106466</v>
      </c>
      <c r="BD255" s="382">
        <f t="shared" si="294"/>
        <v>178.1744994969786</v>
      </c>
      <c r="BE255" s="382">
        <f>BB255* Pile!$S$49</f>
        <v>0</v>
      </c>
      <c r="BF255" s="382">
        <f t="shared" si="300"/>
        <v>178.1744994969786</v>
      </c>
      <c r="BG255" s="382">
        <f>IF(BF255&gt;0,+BF255)/ 'Pile Data and Eurocode Factors'!$B$14/ 'Pile Data and Eurocode Factors'!$B$15</f>
        <v>79.542187275436874</v>
      </c>
      <c r="BH255" s="382">
        <f t="shared" si="281"/>
        <v>563.36511731359781</v>
      </c>
      <c r="BI255" s="382">
        <f>BC255* Pile!$U$49</f>
        <v>0</v>
      </c>
      <c r="BJ255" s="382">
        <f t="shared" si="253"/>
        <v>563.36511731359781</v>
      </c>
      <c r="BK255" s="382">
        <f>BJ255/ 'Pile Data and Eurocode Factors'!$C$14/ 'Pile Data and Eurocode Factors'!$C$15</f>
        <v>201.20182761199922</v>
      </c>
      <c r="BL255" s="382">
        <f t="shared" si="254"/>
        <v>280.74401488743609</v>
      </c>
      <c r="BM255" s="382">
        <f>VLOOKUP(BA255, 'Pile Data and Eurocode Factors'!$A$34:$J$39,3, FALSE)</f>
        <v>6572.7116301410997</v>
      </c>
      <c r="BN255" s="403">
        <f t="shared" si="255"/>
        <v>280.74401488743609</v>
      </c>
      <c r="BO255" s="419">
        <v>900</v>
      </c>
      <c r="BP255" s="382">
        <f>PI()*BO255/1000*( Pile!$C$49- Pile!$C255)</f>
        <v>11.875220230569411</v>
      </c>
      <c r="BQ255" s="382">
        <f t="shared" si="256"/>
        <v>0.63617251235193317</v>
      </c>
      <c r="BR255" s="382">
        <f t="shared" si="295"/>
        <v>213.80939939637435</v>
      </c>
      <c r="BS255" s="382">
        <f>BP255* Pile!$S$49</f>
        <v>0</v>
      </c>
      <c r="BT255" s="382">
        <f t="shared" si="301"/>
        <v>213.80939939637435</v>
      </c>
      <c r="BU255" s="382">
        <f>IF(BT255&gt;0,+BT255)/ 'Pile Data and Eurocode Factors'!$B$14/ 'Pile Data and Eurocode Factors'!$B$15</f>
        <v>95.450624730524268</v>
      </c>
      <c r="BV255" s="382">
        <f t="shared" si="284"/>
        <v>811.24576893158087</v>
      </c>
      <c r="BW255" s="382">
        <f>BQ255* Pile!$U$49</f>
        <v>0</v>
      </c>
      <c r="BX255" s="382">
        <f t="shared" si="257"/>
        <v>811.24576893158087</v>
      </c>
      <c r="BY255" s="382">
        <f>BX255/ 'Pile Data and Eurocode Factors'!$C$14/ 'Pile Data and Eurocode Factors'!$C$15</f>
        <v>289.73063176127891</v>
      </c>
      <c r="BZ255" s="382">
        <f t="shared" si="258"/>
        <v>385.1812564918032</v>
      </c>
      <c r="CA255" s="382">
        <f>VLOOKUP(BO255, 'Pile Data and Eurocode Factors'!$A$34:$J$39,3, FALSE)</f>
        <v>9464.7047474031824</v>
      </c>
      <c r="CB255" s="403">
        <f t="shared" si="259"/>
        <v>385.1812564918032</v>
      </c>
      <c r="CC255" s="419">
        <v>1050</v>
      </c>
      <c r="CD255" s="382">
        <f>PI()*CC255/1000*( Pile!$C$49- Pile!$C255)</f>
        <v>13.854423602330979</v>
      </c>
      <c r="CE255" s="382">
        <f t="shared" si="260"/>
        <v>0.86590147514568672</v>
      </c>
      <c r="CF255" s="382">
        <f t="shared" si="296"/>
        <v>249.44429929577004</v>
      </c>
      <c r="CG255" s="382">
        <f>CD255* Pile!$S$49</f>
        <v>0</v>
      </c>
      <c r="CH255" s="382">
        <f t="shared" si="302"/>
        <v>249.44429929577004</v>
      </c>
      <c r="CI255" s="382">
        <f>IF(CH255&gt;0,+CH255)/ 'Pile Data and Eurocode Factors'!$B$14/ 'Pile Data and Eurocode Factors'!$B$15</f>
        <v>111.35906218561162</v>
      </c>
      <c r="CJ255" s="382">
        <f t="shared" si="287"/>
        <v>1104.1956299346516</v>
      </c>
      <c r="CK255" s="382">
        <f>CE255* Pile!$U$49</f>
        <v>0</v>
      </c>
      <c r="CL255" s="382">
        <f t="shared" si="261"/>
        <v>1104.1956299346516</v>
      </c>
      <c r="CM255" s="382">
        <f>CL255/ 'Pile Data and Eurocode Factors'!$C$14/ 'Pile Data and Eurocode Factors'!$C$15</f>
        <v>394.35558211951843</v>
      </c>
      <c r="CN255" s="382">
        <f t="shared" si="262"/>
        <v>505.71464430513004</v>
      </c>
      <c r="CO255" s="382">
        <f>VLOOKUP(CC255, 'Pile Data and Eurocode Factors'!$A$34:$J$39,3, FALSE)</f>
        <v>12882.514795076555</v>
      </c>
      <c r="CP255" s="403">
        <f t="shared" si="263"/>
        <v>505.71464430513004</v>
      </c>
      <c r="CQ255" s="419">
        <v>1200</v>
      </c>
      <c r="CR255" s="382">
        <f>PI()*CQ255/1000*( Pile!$C$49- Pile!$C255)</f>
        <v>15.833626974092548</v>
      </c>
      <c r="CS255" s="382">
        <f t="shared" si="264"/>
        <v>1.1309733552923256</v>
      </c>
      <c r="CT255" s="382">
        <f t="shared" si="297"/>
        <v>285.07919919516576</v>
      </c>
      <c r="CU255" s="382">
        <f>CR255* Pile!$S$49</f>
        <v>0</v>
      </c>
      <c r="CV255" s="382">
        <f t="shared" si="303"/>
        <v>285.07919919516576</v>
      </c>
      <c r="CW255" s="382">
        <f>IF(CV255&gt;0,+CV255)/ 'Pile Data and Eurocode Factors'!$B$14/ 'Pile Data and Eurocode Factors'!$B$15</f>
        <v>127.267499640699</v>
      </c>
      <c r="CX255" s="382">
        <f t="shared" si="290"/>
        <v>1442.2147003228104</v>
      </c>
      <c r="CY255" s="382">
        <f>CS255* Pile!$U$49</f>
        <v>0</v>
      </c>
      <c r="CZ255" s="382">
        <f t="shared" si="265"/>
        <v>1442.2147003228104</v>
      </c>
      <c r="DA255" s="382">
        <f>CZ255/ 'Pile Data and Eurocode Factors'!$C$14/ 'Pile Data and Eurocode Factors'!$C$15</f>
        <v>515.07667868671797</v>
      </c>
      <c r="DB255" s="382">
        <f t="shared" si="266"/>
        <v>642.34417832741701</v>
      </c>
      <c r="DC255" s="382">
        <f>VLOOKUP(CQ255, 'Pile Data and Eurocode Factors'!$A$34:$J$39,3, FALSE)</f>
        <v>16826.141773161216</v>
      </c>
      <c r="DD255" s="403">
        <f t="shared" si="267"/>
        <v>642.34417832741701</v>
      </c>
      <c r="DE255" s="420">
        <f xml:space="preserve"> Pile!$C$23- Pile!C255</f>
        <v>4.1999999999999975</v>
      </c>
      <c r="DG255" s="382">
        <f t="shared" si="268"/>
        <v>120.15797030558187</v>
      </c>
      <c r="DH255" s="382">
        <f t="shared" si="269"/>
        <v>192.40291949202899</v>
      </c>
      <c r="DI255" s="382">
        <f t="shared" si="270"/>
        <v>280.74401488743609</v>
      </c>
      <c r="DJ255" s="382">
        <f t="shared" si="271"/>
        <v>385.1812564918032</v>
      </c>
      <c r="DK255" s="382">
        <f t="shared" si="272"/>
        <v>505.71464430513004</v>
      </c>
      <c r="DL255" s="382">
        <f t="shared" si="291"/>
        <v>642.34417832741701</v>
      </c>
    </row>
    <row r="256" spans="2:116" s="308" customFormat="1" ht="15">
      <c r="B256" s="400">
        <v>15</v>
      </c>
      <c r="C256" s="401">
        <f>+C255- Pile!D$49/20</f>
        <v>1.5000000000000022</v>
      </c>
      <c r="D256" s="415" t="str">
        <f>B23</f>
        <v>Loose Sand/Gravel</v>
      </c>
      <c r="E256" s="415" t="str">
        <f>F23</f>
        <v>Granular</v>
      </c>
      <c r="F256" s="401">
        <f xml:space="preserve"> Pile!$E$49*(+C255-C256)+F255</f>
        <v>74.249999999999957</v>
      </c>
      <c r="G256" s="401">
        <f>IF(C256&gt; Pile!$C$54,0,( Pile!$C$54-C256)*9.81)</f>
        <v>0</v>
      </c>
      <c r="H256" s="401">
        <f t="shared" si="238"/>
        <v>74.249999999999957</v>
      </c>
      <c r="I256" s="401">
        <f t="shared" si="239"/>
        <v>37.124999999999979</v>
      </c>
      <c r="J256" s="401">
        <f>IF(E256="Cohesive",(( Pile!$H$49- Pile!$G$49)/20)+J255,0)</f>
        <v>0</v>
      </c>
      <c r="K256" s="401">
        <f>IF(E256="Cohesive",( Pile!$G$49+ Pile!$J256)/2,0)</f>
        <v>0</v>
      </c>
      <c r="L256" s="401" t="str">
        <f>IF( Pile!I$49="",0, Pile!I$49)</f>
        <v>0</v>
      </c>
      <c r="M256" s="401" t="str">
        <f>IF( Pile!J$49="",0, Pile!J$49)</f>
        <v>0</v>
      </c>
      <c r="N256" s="401">
        <f>IF(E256="Granular", Pile!$K$49,0)</f>
        <v>18.401122218708668</v>
      </c>
      <c r="O256" s="416">
        <f>IF(AND(E256="Granular",D256&lt;&gt;"Made Ground"), Pile!$L$49,0)</f>
        <v>0.51961524227066314</v>
      </c>
      <c r="P256" s="401">
        <f>IF(OR(D256="Low Density Chalk",D256="Medium Density Chalk"), Pile!$M$49,0)</f>
        <v>0</v>
      </c>
      <c r="Q256" s="417">
        <f>IF(D256="High Density Chalk", Pile!$N$49,0)</f>
        <v>0</v>
      </c>
      <c r="R256" s="401">
        <f>IF( Pile!O$49="",0, Pile!O$49)</f>
        <v>0</v>
      </c>
      <c r="S256" s="418">
        <f t="shared" si="240"/>
        <v>19.290715869298356</v>
      </c>
      <c r="T256" s="382">
        <f xml:space="preserve"> Pile!$T$49</f>
        <v>1200</v>
      </c>
      <c r="U256" s="382">
        <f t="shared" si="241"/>
        <v>19.290715869298356</v>
      </c>
      <c r="V256" s="382">
        <f t="shared" si="242"/>
        <v>1366.2833247391179</v>
      </c>
      <c r="W256" s="382">
        <f xml:space="preserve"> Pile!$V$49</f>
        <v>15000</v>
      </c>
      <c r="X256" s="382">
        <f t="shared" si="243"/>
        <v>1366.2833247391179</v>
      </c>
      <c r="Y256" s="419">
        <v>450</v>
      </c>
      <c r="Z256" s="382">
        <f>PI()*Y256/1000*( Pile!$C$49- Pile!$C256)</f>
        <v>6.3617251235193288</v>
      </c>
      <c r="AA256" s="382">
        <f t="shared" si="244"/>
        <v>0.15904312808798329</v>
      </c>
      <c r="AB256" s="382">
        <f t="shared" si="292"/>
        <v>122.72223179638836</v>
      </c>
      <c r="AC256" s="382">
        <f>Z256* Pile!$S$49</f>
        <v>0</v>
      </c>
      <c r="AD256" s="382">
        <f t="shared" si="298"/>
        <v>122.72223179638836</v>
      </c>
      <c r="AE256" s="382">
        <f>IF(AD256&gt;0,+AD256)/ 'Pile Data and Eurocode Factors'!$B$14/ 'Pile Data and Eurocode Factors'!$B$15</f>
        <v>54.786710623387663</v>
      </c>
      <c r="AF256" s="382">
        <f t="shared" si="275"/>
        <v>217.29797382095921</v>
      </c>
      <c r="AG256" s="382">
        <f>AA256* Pile!$U$49</f>
        <v>0</v>
      </c>
      <c r="AH256" s="382">
        <f t="shared" si="245"/>
        <v>217.29797382095921</v>
      </c>
      <c r="AI256" s="382">
        <f>AH256/ 'Pile Data and Eurocode Factors'!$C$14/ 'Pile Data and Eurocode Factors'!$C$15</f>
        <v>77.606419221771148</v>
      </c>
      <c r="AJ256" s="382">
        <f t="shared" si="246"/>
        <v>132.3931298451588</v>
      </c>
      <c r="AK256" s="382">
        <f>VLOOKUP(Y256, 'Pile Data and Eurocode Factors'!$A$34:$J$39,3, FALSE)</f>
        <v>2366.1761868507956</v>
      </c>
      <c r="AL256" s="403">
        <f t="shared" si="247"/>
        <v>132.3931298451588</v>
      </c>
      <c r="AM256" s="419">
        <v>600</v>
      </c>
      <c r="AN256" s="382">
        <f>PI()*AM256/1000*( Pile!$C$49- Pile!$C256)</f>
        <v>8.4823001646924379</v>
      </c>
      <c r="AO256" s="382">
        <f t="shared" si="248"/>
        <v>0.28274333882308139</v>
      </c>
      <c r="AP256" s="382">
        <f t="shared" si="293"/>
        <v>163.62964239518448</v>
      </c>
      <c r="AQ256" s="382">
        <f>AN256* Pile!$S$49</f>
        <v>0</v>
      </c>
      <c r="AR256" s="382">
        <f t="shared" si="299"/>
        <v>163.62964239518448</v>
      </c>
      <c r="AS256" s="382">
        <f>IF(AR256&gt;0,+AR256)/ 'Pile Data and Eurocode Factors'!$B$14/ 'Pile Data and Eurocode Factors'!$B$15</f>
        <v>73.048947497850207</v>
      </c>
      <c r="AT256" s="382">
        <f t="shared" si="278"/>
        <v>386.30750901503853</v>
      </c>
      <c r="AU256" s="382">
        <f>AO256* Pile!$U$49</f>
        <v>0</v>
      </c>
      <c r="AV256" s="382">
        <f t="shared" si="249"/>
        <v>386.30750901503853</v>
      </c>
      <c r="AW256" s="382">
        <f>AV256/ 'Pile Data and Eurocode Factors'!$C$14/ 'Pile Data and Eurocode Factors'!$C$15</f>
        <v>137.96696750537092</v>
      </c>
      <c r="AX256" s="382">
        <f t="shared" si="250"/>
        <v>211.01591500322112</v>
      </c>
      <c r="AY256" s="382">
        <f>VLOOKUP(AM256, 'Pile Data and Eurocode Factors'!$A$34:$J$39,3, FALSE)</f>
        <v>4206.5354432903041</v>
      </c>
      <c r="AZ256" s="403">
        <f t="shared" si="251"/>
        <v>211.01591500322112</v>
      </c>
      <c r="BA256" s="419">
        <v>750</v>
      </c>
      <c r="BB256" s="382">
        <f>PI()*BA256/1000*( Pile!$C$49- Pile!$C256)</f>
        <v>10.602875205865548</v>
      </c>
      <c r="BC256" s="382">
        <f t="shared" si="252"/>
        <v>0.44178646691106466</v>
      </c>
      <c r="BD256" s="382">
        <f t="shared" si="294"/>
        <v>204.53705299398061</v>
      </c>
      <c r="BE256" s="382">
        <f>BB256* Pile!$S$49</f>
        <v>0</v>
      </c>
      <c r="BF256" s="382">
        <f t="shared" si="300"/>
        <v>204.53705299398061</v>
      </c>
      <c r="BG256" s="382">
        <f>IF(BF256&gt;0,+BF256)/ 'Pile Data and Eurocode Factors'!$B$14/ 'Pile Data and Eurocode Factors'!$B$15</f>
        <v>91.311184372312766</v>
      </c>
      <c r="BH256" s="382">
        <f t="shared" si="281"/>
        <v>603.60548283599769</v>
      </c>
      <c r="BI256" s="382">
        <f>BC256* Pile!$U$49</f>
        <v>0</v>
      </c>
      <c r="BJ256" s="382">
        <f t="shared" si="253"/>
        <v>603.60548283599769</v>
      </c>
      <c r="BK256" s="382">
        <f>BJ256/ 'Pile Data and Eurocode Factors'!$C$14/ 'Pile Data and Eurocode Factors'!$C$15</f>
        <v>215.57338672714204</v>
      </c>
      <c r="BL256" s="382">
        <f t="shared" si="254"/>
        <v>306.88457109945477</v>
      </c>
      <c r="BM256" s="382">
        <f>VLOOKUP(BA256, 'Pile Data and Eurocode Factors'!$A$34:$J$39,3, FALSE)</f>
        <v>6572.7116301410997</v>
      </c>
      <c r="BN256" s="403">
        <f t="shared" si="255"/>
        <v>306.88457109945477</v>
      </c>
      <c r="BO256" s="419">
        <v>900</v>
      </c>
      <c r="BP256" s="382">
        <f>PI()*BO256/1000*( Pile!$C$49- Pile!$C256)</f>
        <v>12.723450247038658</v>
      </c>
      <c r="BQ256" s="382">
        <f t="shared" si="256"/>
        <v>0.63617251235193317</v>
      </c>
      <c r="BR256" s="382">
        <f t="shared" si="295"/>
        <v>245.44446359277671</v>
      </c>
      <c r="BS256" s="382">
        <f>BP256* Pile!$S$49</f>
        <v>0</v>
      </c>
      <c r="BT256" s="382">
        <f t="shared" si="301"/>
        <v>245.44446359277671</v>
      </c>
      <c r="BU256" s="382">
        <f>IF(BT256&gt;0,+BT256)/ 'Pile Data and Eurocode Factors'!$B$14/ 'Pile Data and Eurocode Factors'!$B$15</f>
        <v>109.57342124677533</v>
      </c>
      <c r="BV256" s="382">
        <f t="shared" si="284"/>
        <v>869.19189528383686</v>
      </c>
      <c r="BW256" s="382">
        <f>BQ256* Pile!$U$49</f>
        <v>0</v>
      </c>
      <c r="BX256" s="382">
        <f t="shared" si="257"/>
        <v>869.19189528383686</v>
      </c>
      <c r="BY256" s="382">
        <f>BX256/ 'Pile Data and Eurocode Factors'!$C$14/ 'Pile Data and Eurocode Factors'!$C$15</f>
        <v>310.42567688708459</v>
      </c>
      <c r="BZ256" s="382">
        <f t="shared" si="258"/>
        <v>419.99909813385989</v>
      </c>
      <c r="CA256" s="382">
        <f>VLOOKUP(BO256, 'Pile Data and Eurocode Factors'!$A$34:$J$39,3, FALSE)</f>
        <v>9464.7047474031824</v>
      </c>
      <c r="CB256" s="403">
        <f t="shared" si="259"/>
        <v>419.99909813385989</v>
      </c>
      <c r="CC256" s="419">
        <v>1050</v>
      </c>
      <c r="CD256" s="382">
        <f>PI()*CC256/1000*( Pile!$C$49- Pile!$C256)</f>
        <v>14.844025288211766</v>
      </c>
      <c r="CE256" s="382">
        <f t="shared" si="260"/>
        <v>0.86590147514568672</v>
      </c>
      <c r="CF256" s="382">
        <f t="shared" si="296"/>
        <v>286.35187419157285</v>
      </c>
      <c r="CG256" s="382">
        <f>CD256* Pile!$S$49</f>
        <v>0</v>
      </c>
      <c r="CH256" s="382">
        <f t="shared" si="302"/>
        <v>286.35187419157285</v>
      </c>
      <c r="CI256" s="382">
        <f>IF(CH256&gt;0,+CH256)/ 'Pile Data and Eurocode Factors'!$B$14/ 'Pile Data and Eurocode Factors'!$B$15</f>
        <v>127.83565812123787</v>
      </c>
      <c r="CJ256" s="382">
        <f t="shared" si="287"/>
        <v>1183.0667463585555</v>
      </c>
      <c r="CK256" s="382">
        <f>CE256* Pile!$U$49</f>
        <v>0</v>
      </c>
      <c r="CL256" s="382">
        <f t="shared" si="261"/>
        <v>1183.0667463585555</v>
      </c>
      <c r="CM256" s="382">
        <f>CL256/ 'Pile Data and Eurocode Factors'!$C$14/ 'Pile Data and Eurocode Factors'!$C$15</f>
        <v>422.52383798519844</v>
      </c>
      <c r="CN256" s="382">
        <f t="shared" si="262"/>
        <v>550.35949610643627</v>
      </c>
      <c r="CO256" s="382">
        <f>VLOOKUP(CC256, 'Pile Data and Eurocode Factors'!$A$34:$J$39,3, FALSE)</f>
        <v>12882.514795076555</v>
      </c>
      <c r="CP256" s="403">
        <f t="shared" si="263"/>
        <v>550.35949610643627</v>
      </c>
      <c r="CQ256" s="419">
        <v>1200</v>
      </c>
      <c r="CR256" s="382">
        <f>PI()*CQ256/1000*( Pile!$C$49- Pile!$C256)</f>
        <v>16.964600329384876</v>
      </c>
      <c r="CS256" s="382">
        <f t="shared" si="264"/>
        <v>1.1309733552923256</v>
      </c>
      <c r="CT256" s="382">
        <f t="shared" si="297"/>
        <v>327.25928479036895</v>
      </c>
      <c r="CU256" s="382">
        <f>CR256* Pile!$S$49</f>
        <v>0</v>
      </c>
      <c r="CV256" s="382">
        <f t="shared" si="303"/>
        <v>327.25928479036895</v>
      </c>
      <c r="CW256" s="382">
        <f>IF(CV256&gt;0,+CV256)/ 'Pile Data and Eurocode Factors'!$B$14/ 'Pile Data and Eurocode Factors'!$B$15</f>
        <v>146.09789499570041</v>
      </c>
      <c r="CX256" s="382">
        <f t="shared" si="290"/>
        <v>1545.2300360601541</v>
      </c>
      <c r="CY256" s="382">
        <f>CS256* Pile!$U$49</f>
        <v>0</v>
      </c>
      <c r="CZ256" s="382">
        <f t="shared" si="265"/>
        <v>1545.2300360601541</v>
      </c>
      <c r="DA256" s="382">
        <f>CZ256/ 'Pile Data and Eurocode Factors'!$C$14/ 'Pile Data and Eurocode Factors'!$C$15</f>
        <v>551.86787002148367</v>
      </c>
      <c r="DB256" s="382">
        <f t="shared" si="266"/>
        <v>697.96576501718414</v>
      </c>
      <c r="DC256" s="382">
        <f>VLOOKUP(CQ256, 'Pile Data and Eurocode Factors'!$A$34:$J$39,3, FALSE)</f>
        <v>16826.141773161216</v>
      </c>
      <c r="DD256" s="403">
        <f t="shared" si="267"/>
        <v>697.96576501718414</v>
      </c>
      <c r="DE256" s="420">
        <f xml:space="preserve"> Pile!$C$23- Pile!C256</f>
        <v>4.4999999999999982</v>
      </c>
      <c r="DG256" s="382">
        <f t="shared" si="268"/>
        <v>132.3931298451588</v>
      </c>
      <c r="DH256" s="382">
        <f t="shared" si="269"/>
        <v>211.01591500322112</v>
      </c>
      <c r="DI256" s="382">
        <f t="shared" si="270"/>
        <v>306.88457109945477</v>
      </c>
      <c r="DJ256" s="382">
        <f t="shared" si="271"/>
        <v>419.99909813385989</v>
      </c>
      <c r="DK256" s="382">
        <f t="shared" si="272"/>
        <v>550.35949610643627</v>
      </c>
      <c r="DL256" s="382">
        <f t="shared" si="291"/>
        <v>697.96576501718414</v>
      </c>
    </row>
    <row r="257" spans="2:116" s="308" customFormat="1" ht="15">
      <c r="B257" s="400">
        <v>16</v>
      </c>
      <c r="C257" s="401">
        <f>+C256- Pile!D$49/20</f>
        <v>1.2000000000000022</v>
      </c>
      <c r="D257" s="415" t="str">
        <f>B23</f>
        <v>Loose Sand/Gravel</v>
      </c>
      <c r="E257" s="415" t="str">
        <f>F23</f>
        <v>Granular</v>
      </c>
      <c r="F257" s="401">
        <f xml:space="preserve"> Pile!$E$49*(+C256-C257)+F256</f>
        <v>79.19999999999996</v>
      </c>
      <c r="G257" s="401">
        <f>IF(C257&gt; Pile!$C$54,0,( Pile!$C$54-C257)*9.81)</f>
        <v>0</v>
      </c>
      <c r="H257" s="401">
        <f t="shared" si="238"/>
        <v>79.19999999999996</v>
      </c>
      <c r="I257" s="401">
        <f t="shared" si="239"/>
        <v>39.59999999999998</v>
      </c>
      <c r="J257" s="401">
        <f>IF(E257="Cohesive",(( Pile!$H$49- Pile!$G$49)/20)+J256,0)</f>
        <v>0</v>
      </c>
      <c r="K257" s="401">
        <f>IF(E257="Cohesive",( Pile!$G$49+ Pile!$J257)/2,0)</f>
        <v>0</v>
      </c>
      <c r="L257" s="401" t="str">
        <f>IF( Pile!I$49="",0, Pile!I$49)</f>
        <v>0</v>
      </c>
      <c r="M257" s="401" t="str">
        <f>IF( Pile!J$49="",0, Pile!J$49)</f>
        <v>0</v>
      </c>
      <c r="N257" s="401">
        <f>IF(E257="Granular", Pile!$K$49,0)</f>
        <v>18.401122218708668</v>
      </c>
      <c r="O257" s="416">
        <f>IF(AND(E257="Granular",D257&lt;&gt;"Made Ground"), Pile!$L$49,0)</f>
        <v>0.51961524227066314</v>
      </c>
      <c r="P257" s="401">
        <f>IF(OR(D257="Low Density Chalk",D257="Medium Density Chalk"), Pile!$M$49,0)</f>
        <v>0</v>
      </c>
      <c r="Q257" s="417">
        <f>IF(D257="High Density Chalk", Pile!$N$49,0)</f>
        <v>0</v>
      </c>
      <c r="R257" s="401">
        <f>IF( Pile!O$49="",0, Pile!O$49)</f>
        <v>0</v>
      </c>
      <c r="S257" s="418">
        <f t="shared" si="240"/>
        <v>20.576763593918251</v>
      </c>
      <c r="T257" s="382">
        <f xml:space="preserve"> Pile!$T$49</f>
        <v>1200</v>
      </c>
      <c r="U257" s="382">
        <f t="shared" si="241"/>
        <v>20.576763593918251</v>
      </c>
      <c r="V257" s="382">
        <f t="shared" si="242"/>
        <v>1457.3688797217258</v>
      </c>
      <c r="W257" s="382">
        <f xml:space="preserve"> Pile!$V$49</f>
        <v>15000</v>
      </c>
      <c r="X257" s="382">
        <f t="shared" si="243"/>
        <v>1457.3688797217258</v>
      </c>
      <c r="Y257" s="419">
        <v>450</v>
      </c>
      <c r="Z257" s="382">
        <f>PI()*Y257/1000*( Pile!$C$49- Pile!$C257)</f>
        <v>6.7858401317539503</v>
      </c>
      <c r="AA257" s="382">
        <f t="shared" si="244"/>
        <v>0.15904312808798329</v>
      </c>
      <c r="AB257" s="382">
        <f t="shared" si="292"/>
        <v>139.63062817722411</v>
      </c>
      <c r="AC257" s="382">
        <f>Z257* Pile!$S$49</f>
        <v>0</v>
      </c>
      <c r="AD257" s="382">
        <f t="shared" si="298"/>
        <v>139.63062817722411</v>
      </c>
      <c r="AE257" s="382">
        <f>IF(AD257&gt;0,+AD257)/ 'Pile Data and Eurocode Factors'!$B$14/ 'Pile Data and Eurocode Factors'!$B$15</f>
        <v>62.335101864832197</v>
      </c>
      <c r="AF257" s="382">
        <f t="shared" si="275"/>
        <v>231.78450540902315</v>
      </c>
      <c r="AG257" s="382">
        <f>AA257* Pile!$U$49</f>
        <v>0</v>
      </c>
      <c r="AH257" s="382">
        <f t="shared" si="245"/>
        <v>231.78450540902315</v>
      </c>
      <c r="AI257" s="382">
        <f>AH257/ 'Pile Data and Eurocode Factors'!$C$14/ 'Pile Data and Eurocode Factors'!$C$15</f>
        <v>82.780180503222567</v>
      </c>
      <c r="AJ257" s="382">
        <f t="shared" si="246"/>
        <v>145.11528236805475</v>
      </c>
      <c r="AK257" s="382">
        <f>VLOOKUP(Y257, 'Pile Data and Eurocode Factors'!$A$34:$J$39,3, FALSE)</f>
        <v>2366.1761868507956</v>
      </c>
      <c r="AL257" s="403">
        <f t="shared" si="247"/>
        <v>145.11528236805475</v>
      </c>
      <c r="AM257" s="419">
        <v>600</v>
      </c>
      <c r="AN257" s="382">
        <f>PI()*AM257/1000*( Pile!$C$49- Pile!$C257)</f>
        <v>9.047786842338601</v>
      </c>
      <c r="AO257" s="382">
        <f t="shared" si="248"/>
        <v>0.28274333882308139</v>
      </c>
      <c r="AP257" s="382">
        <f t="shared" si="293"/>
        <v>186.1741709029655</v>
      </c>
      <c r="AQ257" s="382">
        <f>AN257* Pile!$S$49</f>
        <v>0</v>
      </c>
      <c r="AR257" s="382">
        <f t="shared" si="299"/>
        <v>186.1741709029655</v>
      </c>
      <c r="AS257" s="382">
        <f>IF(AR257&gt;0,+AR257)/ 'Pile Data and Eurocode Factors'!$B$14/ 'Pile Data and Eurocode Factors'!$B$15</f>
        <v>83.113469153109591</v>
      </c>
      <c r="AT257" s="382">
        <f t="shared" si="278"/>
        <v>412.06134294937448</v>
      </c>
      <c r="AU257" s="382">
        <f>AO257* Pile!$U$49</f>
        <v>0</v>
      </c>
      <c r="AV257" s="382">
        <f t="shared" si="249"/>
        <v>412.06134294937448</v>
      </c>
      <c r="AW257" s="382">
        <f>AV257/ 'Pile Data and Eurocode Factors'!$C$14/ 'Pile Data and Eurocode Factors'!$C$15</f>
        <v>147.16476533906231</v>
      </c>
      <c r="AX257" s="382">
        <f t="shared" si="250"/>
        <v>230.27823449217192</v>
      </c>
      <c r="AY257" s="382">
        <f>VLOOKUP(AM257, 'Pile Data and Eurocode Factors'!$A$34:$J$39,3, FALSE)</f>
        <v>4206.5354432903041</v>
      </c>
      <c r="AZ257" s="403">
        <f t="shared" si="251"/>
        <v>230.27823449217192</v>
      </c>
      <c r="BA257" s="419">
        <v>750</v>
      </c>
      <c r="BB257" s="382">
        <f>PI()*BA257/1000*( Pile!$C$49- Pile!$C257)</f>
        <v>11.30973355292325</v>
      </c>
      <c r="BC257" s="382">
        <f t="shared" si="252"/>
        <v>0.44178646691106466</v>
      </c>
      <c r="BD257" s="382">
        <f t="shared" si="294"/>
        <v>232.71771362870683</v>
      </c>
      <c r="BE257" s="382">
        <f>BB257* Pile!$S$49</f>
        <v>0</v>
      </c>
      <c r="BF257" s="382">
        <f t="shared" si="300"/>
        <v>232.71771362870683</v>
      </c>
      <c r="BG257" s="382">
        <f>IF(BF257&gt;0,+BF257)/ 'Pile Data and Eurocode Factors'!$B$14/ 'Pile Data and Eurocode Factors'!$B$15</f>
        <v>103.89183644138699</v>
      </c>
      <c r="BH257" s="382">
        <f t="shared" si="281"/>
        <v>643.84584835839757</v>
      </c>
      <c r="BI257" s="382">
        <f>BC257* Pile!$U$49</f>
        <v>0</v>
      </c>
      <c r="BJ257" s="382">
        <f t="shared" si="253"/>
        <v>643.84584835839757</v>
      </c>
      <c r="BK257" s="382">
        <f>BJ257/ 'Pile Data and Eurocode Factors'!$C$14/ 'Pile Data and Eurocode Factors'!$C$15</f>
        <v>229.94494584228485</v>
      </c>
      <c r="BL257" s="382">
        <f t="shared" si="254"/>
        <v>333.83678228367182</v>
      </c>
      <c r="BM257" s="382">
        <f>VLOOKUP(BA257, 'Pile Data and Eurocode Factors'!$A$34:$J$39,3, FALSE)</f>
        <v>6572.7116301410997</v>
      </c>
      <c r="BN257" s="403">
        <f t="shared" si="255"/>
        <v>333.83678228367182</v>
      </c>
      <c r="BO257" s="419">
        <v>900</v>
      </c>
      <c r="BP257" s="382">
        <f>PI()*BO257/1000*( Pile!$C$49- Pile!$C257)</f>
        <v>13.571680263507901</v>
      </c>
      <c r="BQ257" s="382">
        <f t="shared" si="256"/>
        <v>0.63617251235193317</v>
      </c>
      <c r="BR257" s="382">
        <f t="shared" si="295"/>
        <v>279.26125635444822</v>
      </c>
      <c r="BS257" s="382">
        <f>BP257* Pile!$S$49</f>
        <v>0</v>
      </c>
      <c r="BT257" s="382">
        <f t="shared" si="301"/>
        <v>279.26125635444822</v>
      </c>
      <c r="BU257" s="382">
        <f>IF(BT257&gt;0,+BT257)/ 'Pile Data and Eurocode Factors'!$B$14/ 'Pile Data and Eurocode Factors'!$B$15</f>
        <v>124.67020372966439</v>
      </c>
      <c r="BV257" s="382">
        <f t="shared" si="284"/>
        <v>927.13802163609262</v>
      </c>
      <c r="BW257" s="382">
        <f>BQ257* Pile!$U$49</f>
        <v>0</v>
      </c>
      <c r="BX257" s="382">
        <f t="shared" si="257"/>
        <v>927.13802163609262</v>
      </c>
      <c r="BY257" s="382">
        <f>BX257/ 'Pile Data and Eurocode Factors'!$C$14/ 'Pile Data and Eurocode Factors'!$C$15</f>
        <v>331.12072201289027</v>
      </c>
      <c r="BZ257" s="382">
        <f t="shared" si="258"/>
        <v>455.79092574255469</v>
      </c>
      <c r="CA257" s="382">
        <f>VLOOKUP(BO257, 'Pile Data and Eurocode Factors'!$A$34:$J$39,3, FALSE)</f>
        <v>9464.7047474031824</v>
      </c>
      <c r="CB257" s="403">
        <f t="shared" si="259"/>
        <v>455.79092574255469</v>
      </c>
      <c r="CC257" s="419">
        <v>1050</v>
      </c>
      <c r="CD257" s="382">
        <f>PI()*CC257/1000*( Pile!$C$49- Pile!$C257)</f>
        <v>15.833626974092551</v>
      </c>
      <c r="CE257" s="382">
        <f t="shared" si="260"/>
        <v>0.86590147514568672</v>
      </c>
      <c r="CF257" s="382">
        <f t="shared" si="296"/>
        <v>325.80479908018958</v>
      </c>
      <c r="CG257" s="382">
        <f>CD257* Pile!$S$49</f>
        <v>0</v>
      </c>
      <c r="CH257" s="382">
        <f t="shared" si="302"/>
        <v>325.80479908018958</v>
      </c>
      <c r="CI257" s="382">
        <f>IF(CH257&gt;0,+CH257)/ 'Pile Data and Eurocode Factors'!$B$14/ 'Pile Data and Eurocode Factors'!$B$15</f>
        <v>145.44857101794179</v>
      </c>
      <c r="CJ257" s="382">
        <f t="shared" si="287"/>
        <v>1261.9378627824592</v>
      </c>
      <c r="CK257" s="382">
        <f>CE257* Pile!$U$49</f>
        <v>0</v>
      </c>
      <c r="CL257" s="382">
        <f t="shared" si="261"/>
        <v>1261.9378627824592</v>
      </c>
      <c r="CM257" s="382">
        <f>CL257/ 'Pile Data and Eurocode Factors'!$C$14/ 'Pile Data and Eurocode Factors'!$C$15</f>
        <v>450.69209385087834</v>
      </c>
      <c r="CN257" s="382">
        <f t="shared" si="262"/>
        <v>596.14066486882007</v>
      </c>
      <c r="CO257" s="382">
        <f>VLOOKUP(CC257, 'Pile Data and Eurocode Factors'!$A$34:$J$39,3, FALSE)</f>
        <v>12882.514795076555</v>
      </c>
      <c r="CP257" s="403">
        <f t="shared" si="263"/>
        <v>596.14066486882007</v>
      </c>
      <c r="CQ257" s="419">
        <v>1200</v>
      </c>
      <c r="CR257" s="382">
        <f>PI()*CQ257/1000*( Pile!$C$49- Pile!$C257)</f>
        <v>18.095573684677202</v>
      </c>
      <c r="CS257" s="382">
        <f t="shared" si="264"/>
        <v>1.1309733552923256</v>
      </c>
      <c r="CT257" s="382">
        <f t="shared" si="297"/>
        <v>372.348341805931</v>
      </c>
      <c r="CU257" s="382">
        <f>CR257* Pile!$S$49</f>
        <v>0</v>
      </c>
      <c r="CV257" s="382">
        <f t="shared" si="303"/>
        <v>372.348341805931</v>
      </c>
      <c r="CW257" s="382">
        <f>IF(CV257&gt;0,+CV257)/ 'Pile Data and Eurocode Factors'!$B$14/ 'Pile Data and Eurocode Factors'!$B$15</f>
        <v>166.22693830621918</v>
      </c>
      <c r="CX257" s="382">
        <f t="shared" si="290"/>
        <v>1648.2453717974979</v>
      </c>
      <c r="CY257" s="382">
        <f>CS257* Pile!$U$49</f>
        <v>0</v>
      </c>
      <c r="CZ257" s="382">
        <f t="shared" si="265"/>
        <v>1648.2453717974979</v>
      </c>
      <c r="DA257" s="382">
        <f>CZ257/ 'Pile Data and Eurocode Factors'!$C$14/ 'Pile Data and Eurocode Factors'!$C$15</f>
        <v>588.65906135624925</v>
      </c>
      <c r="DB257" s="382">
        <f t="shared" si="266"/>
        <v>754.88599966246841</v>
      </c>
      <c r="DC257" s="382">
        <f>VLOOKUP(CQ257, 'Pile Data and Eurocode Factors'!$A$34:$J$39,3, FALSE)</f>
        <v>16826.141773161216</v>
      </c>
      <c r="DD257" s="403">
        <f t="shared" si="267"/>
        <v>754.88599966246841</v>
      </c>
      <c r="DE257" s="420">
        <f xml:space="preserve"> Pile!$C$23- Pile!C257</f>
        <v>4.799999999999998</v>
      </c>
      <c r="DG257" s="382">
        <f t="shared" si="268"/>
        <v>145.11528236805475</v>
      </c>
      <c r="DH257" s="382">
        <f t="shared" si="269"/>
        <v>230.27823449217192</v>
      </c>
      <c r="DI257" s="382">
        <f t="shared" si="270"/>
        <v>333.83678228367182</v>
      </c>
      <c r="DJ257" s="382">
        <f t="shared" si="271"/>
        <v>455.79092574255469</v>
      </c>
      <c r="DK257" s="382">
        <f t="shared" si="272"/>
        <v>596.14066486882007</v>
      </c>
      <c r="DL257" s="382">
        <f t="shared" si="291"/>
        <v>754.88599966246841</v>
      </c>
    </row>
    <row r="258" spans="2:116" s="308" customFormat="1" ht="15">
      <c r="B258" s="400">
        <v>17</v>
      </c>
      <c r="C258" s="401">
        <f>+C257- Pile!D$49/20</f>
        <v>0.90000000000000213</v>
      </c>
      <c r="D258" s="415" t="str">
        <f>B23</f>
        <v>Loose Sand/Gravel</v>
      </c>
      <c r="E258" s="415" t="str">
        <f>F23</f>
        <v>Granular</v>
      </c>
      <c r="F258" s="401">
        <f xml:space="preserve"> Pile!$E$49*(+C257-C258)+F257</f>
        <v>84.149999999999963</v>
      </c>
      <c r="G258" s="401">
        <f>IF(C258&gt; Pile!$C$54,0,( Pile!$C$54-C258)*9.81)</f>
        <v>0</v>
      </c>
      <c r="H258" s="401">
        <f t="shared" si="238"/>
        <v>84.149999999999963</v>
      </c>
      <c r="I258" s="401">
        <f t="shared" si="239"/>
        <v>42.074999999999982</v>
      </c>
      <c r="J258" s="401">
        <f>IF(E258="Cohesive",(( Pile!$H$49- Pile!$G$49)/20)+J257,0)</f>
        <v>0</v>
      </c>
      <c r="K258" s="401">
        <f>IF(E258="Cohesive",( Pile!$G$49+ Pile!$J258)/2,0)</f>
        <v>0</v>
      </c>
      <c r="L258" s="401" t="str">
        <f>IF( Pile!I$49="",0, Pile!I$49)</f>
        <v>0</v>
      </c>
      <c r="M258" s="401" t="str">
        <f>IF( Pile!J$49="",0, Pile!J$49)</f>
        <v>0</v>
      </c>
      <c r="N258" s="401">
        <f>IF(E258="Granular", Pile!$K$49,0)</f>
        <v>18.401122218708668</v>
      </c>
      <c r="O258" s="416">
        <f>IF(AND(E258="Granular",D258&lt;&gt;"Made Ground"), Pile!$L$49,0)</f>
        <v>0.51961524227066314</v>
      </c>
      <c r="P258" s="401">
        <f>IF(OR(D258="Low Density Chalk",D258="Medium Density Chalk"), Pile!$M$49,0)</f>
        <v>0</v>
      </c>
      <c r="Q258" s="417">
        <f>IF(D258="High Density Chalk", Pile!$N$49,0)</f>
        <v>0</v>
      </c>
      <c r="R258" s="401">
        <f>IF( Pile!O$49="",0, Pile!O$49)</f>
        <v>0</v>
      </c>
      <c r="S258" s="418">
        <f t="shared" si="240"/>
        <v>21.862811318538142</v>
      </c>
      <c r="T258" s="382">
        <f xml:space="preserve"> Pile!$T$49</f>
        <v>1200</v>
      </c>
      <c r="U258" s="382">
        <f t="shared" si="241"/>
        <v>21.862811318538142</v>
      </c>
      <c r="V258" s="382">
        <f t="shared" si="242"/>
        <v>1548.4544347043338</v>
      </c>
      <c r="W258" s="382">
        <f xml:space="preserve"> Pile!$V$49</f>
        <v>15000</v>
      </c>
      <c r="X258" s="382">
        <f t="shared" si="243"/>
        <v>1548.4544347043338</v>
      </c>
      <c r="Y258" s="419">
        <v>450</v>
      </c>
      <c r="Z258" s="382">
        <f>PI()*Y258/1000*( Pile!$C$49- Pile!$C258)</f>
        <v>7.2099551399885726</v>
      </c>
      <c r="AA258" s="382">
        <f t="shared" si="244"/>
        <v>0.15904312808798329</v>
      </c>
      <c r="AB258" s="382">
        <f t="shared" si="292"/>
        <v>157.62988884069443</v>
      </c>
      <c r="AC258" s="382">
        <f>Z258* Pile!$S$49</f>
        <v>0</v>
      </c>
      <c r="AD258" s="382">
        <f t="shared" si="298"/>
        <v>157.62988884069443</v>
      </c>
      <c r="AE258" s="382">
        <f>IF(AD258&gt;0,+AD258)/ 'Pile Data and Eurocode Factors'!$B$14/ 'Pile Data and Eurocode Factors'!$B$15</f>
        <v>70.37048608959573</v>
      </c>
      <c r="AF258" s="382">
        <f t="shared" si="275"/>
        <v>246.27103699708712</v>
      </c>
      <c r="AG258" s="382">
        <f>AA258* Pile!$U$49</f>
        <v>0</v>
      </c>
      <c r="AH258" s="382">
        <f t="shared" si="245"/>
        <v>246.27103699708712</v>
      </c>
      <c r="AI258" s="382">
        <f>AH258/ 'Pile Data and Eurocode Factors'!$C$14/ 'Pile Data and Eurocode Factors'!$C$15</f>
        <v>87.953941784673972</v>
      </c>
      <c r="AJ258" s="382">
        <f t="shared" si="246"/>
        <v>158.3244278742697</v>
      </c>
      <c r="AK258" s="382">
        <f>VLOOKUP(Y258, 'Pile Data and Eurocode Factors'!$A$34:$J$39,3, FALSE)</f>
        <v>2366.1761868507956</v>
      </c>
      <c r="AL258" s="403">
        <f t="shared" si="247"/>
        <v>158.3244278742697</v>
      </c>
      <c r="AM258" s="419">
        <v>600</v>
      </c>
      <c r="AN258" s="382">
        <f>PI()*AM258/1000*( Pile!$C$49- Pile!$C258)</f>
        <v>9.6132735199847623</v>
      </c>
      <c r="AO258" s="382">
        <f t="shared" si="248"/>
        <v>0.28274333882308139</v>
      </c>
      <c r="AP258" s="382">
        <f t="shared" si="293"/>
        <v>210.17318512092587</v>
      </c>
      <c r="AQ258" s="382">
        <f>AN258* Pile!$S$49</f>
        <v>0</v>
      </c>
      <c r="AR258" s="382">
        <f t="shared" si="299"/>
        <v>210.17318512092587</v>
      </c>
      <c r="AS258" s="382">
        <f>IF(AR258&gt;0,+AR258)/ 'Pile Data and Eurocode Factors'!$B$14/ 'Pile Data and Eurocode Factors'!$B$15</f>
        <v>93.827314786127616</v>
      </c>
      <c r="AT258" s="382">
        <f t="shared" si="278"/>
        <v>437.81517688371042</v>
      </c>
      <c r="AU258" s="382">
        <f>AO258* Pile!$U$49</f>
        <v>0</v>
      </c>
      <c r="AV258" s="382">
        <f t="shared" si="249"/>
        <v>437.81517688371042</v>
      </c>
      <c r="AW258" s="382">
        <f>AV258/ 'Pile Data and Eurocode Factors'!$C$14/ 'Pile Data and Eurocode Factors'!$C$15</f>
        <v>156.36256317275374</v>
      </c>
      <c r="AX258" s="382">
        <f t="shared" si="250"/>
        <v>250.18987795888137</v>
      </c>
      <c r="AY258" s="382">
        <f>VLOOKUP(AM258, 'Pile Data and Eurocode Factors'!$A$34:$J$39,3, FALSE)</f>
        <v>4206.5354432903041</v>
      </c>
      <c r="AZ258" s="403">
        <f t="shared" si="251"/>
        <v>250.18987795888137</v>
      </c>
      <c r="BA258" s="419">
        <v>750</v>
      </c>
      <c r="BB258" s="382">
        <f>PI()*BA258/1000*( Pile!$C$49- Pile!$C258)</f>
        <v>12.016591899980954</v>
      </c>
      <c r="BC258" s="382">
        <f t="shared" si="252"/>
        <v>0.44178646691106466</v>
      </c>
      <c r="BD258" s="382">
        <f t="shared" si="294"/>
        <v>262.71648140115735</v>
      </c>
      <c r="BE258" s="382">
        <f>BB258* Pile!$S$49</f>
        <v>0</v>
      </c>
      <c r="BF258" s="382">
        <f t="shared" si="300"/>
        <v>262.71648140115735</v>
      </c>
      <c r="BG258" s="382">
        <f>IF(BF258&gt;0,+BF258)/ 'Pile Data and Eurocode Factors'!$B$14/ 'Pile Data and Eurocode Factors'!$B$15</f>
        <v>117.28414348265953</v>
      </c>
      <c r="BH258" s="382">
        <f t="shared" si="281"/>
        <v>684.08621388079746</v>
      </c>
      <c r="BI258" s="382">
        <f>BC258* Pile!$U$49</f>
        <v>0</v>
      </c>
      <c r="BJ258" s="382">
        <f t="shared" si="253"/>
        <v>684.08621388079746</v>
      </c>
      <c r="BK258" s="382">
        <f>BJ258/ 'Pile Data and Eurocode Factors'!$C$14/ 'Pile Data and Eurocode Factors'!$C$15</f>
        <v>244.31650495742767</v>
      </c>
      <c r="BL258" s="382">
        <f t="shared" si="254"/>
        <v>361.60064844008718</v>
      </c>
      <c r="BM258" s="382">
        <f>VLOOKUP(BA258, 'Pile Data and Eurocode Factors'!$A$34:$J$39,3, FALSE)</f>
        <v>6572.7116301410997</v>
      </c>
      <c r="BN258" s="403">
        <f t="shared" si="255"/>
        <v>361.60064844008718</v>
      </c>
      <c r="BO258" s="419">
        <v>900</v>
      </c>
      <c r="BP258" s="382">
        <f>PI()*BO258/1000*( Pile!$C$49- Pile!$C258)</f>
        <v>14.419910279977145</v>
      </c>
      <c r="BQ258" s="382">
        <f t="shared" si="256"/>
        <v>0.63617251235193317</v>
      </c>
      <c r="BR258" s="382">
        <f t="shared" si="295"/>
        <v>315.25977768138887</v>
      </c>
      <c r="BS258" s="382">
        <f>BP258* Pile!$S$49</f>
        <v>0</v>
      </c>
      <c r="BT258" s="382">
        <f t="shared" si="301"/>
        <v>315.25977768138887</v>
      </c>
      <c r="BU258" s="382">
        <f>IF(BT258&gt;0,+BT258)/ 'Pile Data and Eurocode Factors'!$B$14/ 'Pile Data and Eurocode Factors'!$B$15</f>
        <v>140.74097217919146</v>
      </c>
      <c r="BV258" s="382">
        <f t="shared" si="284"/>
        <v>985.08414798834849</v>
      </c>
      <c r="BW258" s="382">
        <f>BQ258* Pile!$U$49</f>
        <v>0</v>
      </c>
      <c r="BX258" s="382">
        <f t="shared" si="257"/>
        <v>985.08414798834849</v>
      </c>
      <c r="BY258" s="382">
        <f>BX258/ 'Pile Data and Eurocode Factors'!$C$14/ 'Pile Data and Eurocode Factors'!$C$15</f>
        <v>351.81576713869589</v>
      </c>
      <c r="BZ258" s="382">
        <f t="shared" si="258"/>
        <v>492.55673931788738</v>
      </c>
      <c r="CA258" s="382">
        <f>VLOOKUP(BO258, 'Pile Data and Eurocode Factors'!$A$34:$J$39,3, FALSE)</f>
        <v>9464.7047474031824</v>
      </c>
      <c r="CB258" s="403">
        <f t="shared" si="259"/>
        <v>492.55673931788738</v>
      </c>
      <c r="CC258" s="419">
        <v>1050</v>
      </c>
      <c r="CD258" s="382">
        <f>PI()*CC258/1000*( Pile!$C$49- Pile!$C258)</f>
        <v>16.823228659973335</v>
      </c>
      <c r="CE258" s="382">
        <f t="shared" si="260"/>
        <v>0.86590147514568672</v>
      </c>
      <c r="CF258" s="382">
        <f t="shared" si="296"/>
        <v>367.80307396162027</v>
      </c>
      <c r="CG258" s="382">
        <f>CD258* Pile!$S$49</f>
        <v>0</v>
      </c>
      <c r="CH258" s="382">
        <f t="shared" si="302"/>
        <v>367.80307396162027</v>
      </c>
      <c r="CI258" s="382">
        <f>IF(CH258&gt;0,+CH258)/ 'Pile Data and Eurocode Factors'!$B$14/ 'Pile Data and Eurocode Factors'!$B$15</f>
        <v>164.19780087572335</v>
      </c>
      <c r="CJ258" s="382">
        <f t="shared" si="287"/>
        <v>1340.8089792063631</v>
      </c>
      <c r="CK258" s="382">
        <f>CE258* Pile!$U$49</f>
        <v>0</v>
      </c>
      <c r="CL258" s="382">
        <f t="shared" si="261"/>
        <v>1340.8089792063631</v>
      </c>
      <c r="CM258" s="382">
        <f>CL258/ 'Pile Data and Eurocode Factors'!$C$14/ 'Pile Data and Eurocode Factors'!$C$15</f>
        <v>478.86034971655829</v>
      </c>
      <c r="CN258" s="382">
        <f t="shared" si="262"/>
        <v>643.05815059228166</v>
      </c>
      <c r="CO258" s="382">
        <f>VLOOKUP(CC258, 'Pile Data and Eurocode Factors'!$A$34:$J$39,3, FALSE)</f>
        <v>12882.514795076555</v>
      </c>
      <c r="CP258" s="403">
        <f t="shared" si="263"/>
        <v>643.05815059228166</v>
      </c>
      <c r="CQ258" s="419">
        <v>1200</v>
      </c>
      <c r="CR258" s="382">
        <f>PI()*CQ258/1000*( Pile!$C$49- Pile!$C258)</f>
        <v>19.226547039969525</v>
      </c>
      <c r="CS258" s="382">
        <f t="shared" si="264"/>
        <v>1.1309733552923256</v>
      </c>
      <c r="CT258" s="382">
        <f t="shared" si="297"/>
        <v>420.34637024185173</v>
      </c>
      <c r="CU258" s="382">
        <f>CR258* Pile!$S$49</f>
        <v>0</v>
      </c>
      <c r="CV258" s="382">
        <f t="shared" si="303"/>
        <v>420.34637024185173</v>
      </c>
      <c r="CW258" s="382">
        <f>IF(CV258&gt;0,+CV258)/ 'Pile Data and Eurocode Factors'!$B$14/ 'Pile Data and Eurocode Factors'!$B$15</f>
        <v>187.65462957225523</v>
      </c>
      <c r="CX258" s="382">
        <f t="shared" si="290"/>
        <v>1751.2607075348417</v>
      </c>
      <c r="CY258" s="382">
        <f>CS258* Pile!$U$49</f>
        <v>0</v>
      </c>
      <c r="CZ258" s="382">
        <f t="shared" si="265"/>
        <v>1751.2607075348417</v>
      </c>
      <c r="DA258" s="382">
        <f>CZ258/ 'Pile Data and Eurocode Factors'!$C$14/ 'Pile Data and Eurocode Factors'!$C$15</f>
        <v>625.45025269101495</v>
      </c>
      <c r="DB258" s="382">
        <f t="shared" si="266"/>
        <v>813.10488226327016</v>
      </c>
      <c r="DC258" s="382">
        <f>VLOOKUP(CQ258, 'Pile Data and Eurocode Factors'!$A$34:$J$39,3, FALSE)</f>
        <v>16826.141773161216</v>
      </c>
      <c r="DD258" s="403">
        <f t="shared" si="267"/>
        <v>813.10488226327016</v>
      </c>
      <c r="DE258" s="420">
        <f xml:space="preserve"> Pile!$C$23- Pile!C258</f>
        <v>5.0999999999999979</v>
      </c>
      <c r="DG258" s="382">
        <f t="shared" si="268"/>
        <v>158.3244278742697</v>
      </c>
      <c r="DH258" s="382">
        <f t="shared" si="269"/>
        <v>250.18987795888137</v>
      </c>
      <c r="DI258" s="382">
        <f t="shared" si="270"/>
        <v>361.60064844008718</v>
      </c>
      <c r="DJ258" s="382">
        <f t="shared" si="271"/>
        <v>492.55673931788738</v>
      </c>
      <c r="DK258" s="382">
        <f t="shared" si="272"/>
        <v>643.05815059228166</v>
      </c>
      <c r="DL258" s="382">
        <f t="shared" si="291"/>
        <v>813.10488226327016</v>
      </c>
    </row>
    <row r="259" spans="2:116" s="308" customFormat="1" ht="15">
      <c r="B259" s="400">
        <v>18</v>
      </c>
      <c r="C259" s="401">
        <f>+C258- Pile!D$49/20</f>
        <v>0.60000000000000209</v>
      </c>
      <c r="D259" s="415" t="str">
        <f>B23</f>
        <v>Loose Sand/Gravel</v>
      </c>
      <c r="E259" s="415" t="str">
        <f>F23</f>
        <v>Granular</v>
      </c>
      <c r="F259" s="401">
        <f xml:space="preserve"> Pile!$E$49*(+C258-C259)+F258</f>
        <v>89.099999999999966</v>
      </c>
      <c r="G259" s="401">
        <f>IF(C259&gt; Pile!$C$54,0,( Pile!$C$54-C259)*9.81)</f>
        <v>0</v>
      </c>
      <c r="H259" s="401">
        <f t="shared" si="238"/>
        <v>89.099999999999966</v>
      </c>
      <c r="I259" s="401">
        <f t="shared" si="239"/>
        <v>44.549999999999983</v>
      </c>
      <c r="J259" s="401">
        <f>IF(E259="Cohesive",(( Pile!$H$49- Pile!$G$49)/20)+J258,0)</f>
        <v>0</v>
      </c>
      <c r="K259" s="401">
        <f>IF(E259="Cohesive",( Pile!$G$49+ Pile!$J259)/2,0)</f>
        <v>0</v>
      </c>
      <c r="L259" s="401" t="str">
        <f>IF( Pile!I$49="",0, Pile!I$49)</f>
        <v>0</v>
      </c>
      <c r="M259" s="401" t="str">
        <f>IF( Pile!J$49="",0, Pile!J$49)</f>
        <v>0</v>
      </c>
      <c r="N259" s="401">
        <f>IF(E259="Granular", Pile!$K$49,0)</f>
        <v>18.401122218708668</v>
      </c>
      <c r="O259" s="416">
        <f>IF(AND(E259="Granular",D259&lt;&gt;"Made Ground"), Pile!$L$49,0)</f>
        <v>0.51961524227066314</v>
      </c>
      <c r="P259" s="401">
        <f>IF(OR(D259="Low Density Chalk",D259="Medium Density Chalk"), Pile!$M$49,0)</f>
        <v>0</v>
      </c>
      <c r="Q259" s="417">
        <f>IF(D259="High Density Chalk", Pile!$N$49,0)</f>
        <v>0</v>
      </c>
      <c r="R259" s="401">
        <f>IF( Pile!O$49="",0, Pile!O$49)</f>
        <v>0</v>
      </c>
      <c r="S259" s="418">
        <f t="shared" si="240"/>
        <v>23.148859043158033</v>
      </c>
      <c r="T259" s="382">
        <f xml:space="preserve"> Pile!$T$49</f>
        <v>1200</v>
      </c>
      <c r="U259" s="382">
        <f t="shared" si="241"/>
        <v>23.148859043158033</v>
      </c>
      <c r="V259" s="382">
        <f t="shared" si="242"/>
        <v>1639.5399896869417</v>
      </c>
      <c r="W259" s="382">
        <f xml:space="preserve"> Pile!$V$49</f>
        <v>15000</v>
      </c>
      <c r="X259" s="382">
        <f t="shared" si="243"/>
        <v>1639.5399896869417</v>
      </c>
      <c r="Y259" s="419">
        <v>450</v>
      </c>
      <c r="Z259" s="382">
        <f>PI()*Y259/1000*( Pile!$C$49- Pile!$C259)</f>
        <v>7.6340701482231941</v>
      </c>
      <c r="AA259" s="382">
        <f t="shared" si="244"/>
        <v>0.15904312808798329</v>
      </c>
      <c r="AB259" s="382">
        <f t="shared" si="292"/>
        <v>176.72001378679929</v>
      </c>
      <c r="AC259" s="382">
        <f>Z259* Pile!$S$49</f>
        <v>0</v>
      </c>
      <c r="AD259" s="382">
        <f t="shared" si="298"/>
        <v>176.72001378679929</v>
      </c>
      <c r="AE259" s="382">
        <f>IF(AD259&gt;0,+AD259)/ 'Pile Data and Eurocode Factors'!$B$14/ 'Pile Data and Eurocode Factors'!$B$15</f>
        <v>78.892863297678247</v>
      </c>
      <c r="AF259" s="382">
        <f t="shared" si="275"/>
        <v>260.75756858515109</v>
      </c>
      <c r="AG259" s="382">
        <f>AA259* Pile!$U$49</f>
        <v>0</v>
      </c>
      <c r="AH259" s="382">
        <f t="shared" si="245"/>
        <v>260.75756858515109</v>
      </c>
      <c r="AI259" s="382">
        <f>AH259/ 'Pile Data and Eurocode Factors'!$C$14/ 'Pile Data and Eurocode Factors'!$C$15</f>
        <v>93.127703066125392</v>
      </c>
      <c r="AJ259" s="382">
        <f t="shared" si="246"/>
        <v>172.02056636380365</v>
      </c>
      <c r="AK259" s="382">
        <f>VLOOKUP(Y259, 'Pile Data and Eurocode Factors'!$A$34:$J$39,3, FALSE)</f>
        <v>2366.1761868507956</v>
      </c>
      <c r="AL259" s="403">
        <f t="shared" si="247"/>
        <v>172.02056636380365</v>
      </c>
      <c r="AM259" s="419">
        <v>600</v>
      </c>
      <c r="AN259" s="382">
        <f>PI()*AM259/1000*( Pile!$C$49- Pile!$C259)</f>
        <v>10.178760197630925</v>
      </c>
      <c r="AO259" s="382">
        <f t="shared" si="248"/>
        <v>0.28274333882308139</v>
      </c>
      <c r="AP259" s="382">
        <f t="shared" si="293"/>
        <v>235.62668504906571</v>
      </c>
      <c r="AQ259" s="382">
        <f>AN259* Pile!$S$49</f>
        <v>0</v>
      </c>
      <c r="AR259" s="382">
        <f t="shared" si="299"/>
        <v>235.62668504906571</v>
      </c>
      <c r="AS259" s="382">
        <f>IF(AR259&gt;0,+AR259)/ 'Pile Data and Eurocode Factors'!$B$14/ 'Pile Data and Eurocode Factors'!$B$15</f>
        <v>105.19048439690434</v>
      </c>
      <c r="AT259" s="382">
        <f t="shared" si="278"/>
        <v>463.56901081804631</v>
      </c>
      <c r="AU259" s="382">
        <f>AO259* Pile!$U$49</f>
        <v>0</v>
      </c>
      <c r="AV259" s="382">
        <f t="shared" si="249"/>
        <v>463.56901081804631</v>
      </c>
      <c r="AW259" s="382">
        <f>AV259/ 'Pile Data and Eurocode Factors'!$C$14/ 'Pile Data and Eurocode Factors'!$C$15</f>
        <v>165.56036100644513</v>
      </c>
      <c r="AX259" s="382">
        <f t="shared" si="250"/>
        <v>270.75084540334944</v>
      </c>
      <c r="AY259" s="382">
        <f>VLOOKUP(AM259, 'Pile Data and Eurocode Factors'!$A$34:$J$39,3, FALSE)</f>
        <v>4206.5354432903041</v>
      </c>
      <c r="AZ259" s="403">
        <f t="shared" si="251"/>
        <v>270.75084540334944</v>
      </c>
      <c r="BA259" s="419">
        <v>750</v>
      </c>
      <c r="BB259" s="382">
        <f>PI()*BA259/1000*( Pile!$C$49- Pile!$C259)</f>
        <v>12.723450247038656</v>
      </c>
      <c r="BC259" s="382">
        <f t="shared" si="252"/>
        <v>0.44178646691106466</v>
      </c>
      <c r="BD259" s="382">
        <f t="shared" si="294"/>
        <v>294.53335631133211</v>
      </c>
      <c r="BE259" s="382">
        <f>BB259* Pile!$S$49</f>
        <v>0</v>
      </c>
      <c r="BF259" s="382">
        <f t="shared" si="300"/>
        <v>294.53335631133211</v>
      </c>
      <c r="BG259" s="382">
        <f>IF(BF259&gt;0,+BF259)/ 'Pile Data and Eurocode Factors'!$B$14/ 'Pile Data and Eurocode Factors'!$B$15</f>
        <v>131.4881054961304</v>
      </c>
      <c r="BH259" s="382">
        <f t="shared" si="281"/>
        <v>724.32657940319734</v>
      </c>
      <c r="BI259" s="382">
        <f>BC259* Pile!$U$49</f>
        <v>0</v>
      </c>
      <c r="BJ259" s="382">
        <f t="shared" si="253"/>
        <v>724.32657940319734</v>
      </c>
      <c r="BK259" s="382">
        <f>BJ259/ 'Pile Data and Eurocode Factors'!$C$14/ 'Pile Data and Eurocode Factors'!$C$15</f>
        <v>258.68806407257051</v>
      </c>
      <c r="BL259" s="382">
        <f t="shared" si="254"/>
        <v>390.17616956870091</v>
      </c>
      <c r="BM259" s="382">
        <f>VLOOKUP(BA259, 'Pile Data and Eurocode Factors'!$A$34:$J$39,3, FALSE)</f>
        <v>6572.7116301410997</v>
      </c>
      <c r="BN259" s="403">
        <f t="shared" si="255"/>
        <v>390.17616956870091</v>
      </c>
      <c r="BO259" s="419">
        <v>900</v>
      </c>
      <c r="BP259" s="382">
        <f>PI()*BO259/1000*( Pile!$C$49- Pile!$C259)</f>
        <v>15.268140296446388</v>
      </c>
      <c r="BQ259" s="382">
        <f t="shared" si="256"/>
        <v>0.63617251235193317</v>
      </c>
      <c r="BR259" s="382">
        <f t="shared" si="295"/>
        <v>353.44002757359857</v>
      </c>
      <c r="BS259" s="382">
        <f>BP259* Pile!$S$49</f>
        <v>0</v>
      </c>
      <c r="BT259" s="382">
        <f t="shared" si="301"/>
        <v>353.44002757359857</v>
      </c>
      <c r="BU259" s="382">
        <f>IF(BT259&gt;0,+BT259)/ 'Pile Data and Eurocode Factors'!$B$14/ 'Pile Data and Eurocode Factors'!$B$15</f>
        <v>157.78572659535649</v>
      </c>
      <c r="BV259" s="382">
        <f t="shared" si="284"/>
        <v>1043.0302743406044</v>
      </c>
      <c r="BW259" s="382">
        <f>BQ259* Pile!$U$49</f>
        <v>0</v>
      </c>
      <c r="BX259" s="382">
        <f t="shared" si="257"/>
        <v>1043.0302743406044</v>
      </c>
      <c r="BY259" s="382">
        <f>BX259/ 'Pile Data and Eurocode Factors'!$C$14/ 'Pile Data and Eurocode Factors'!$C$15</f>
        <v>372.51081226450157</v>
      </c>
      <c r="BZ259" s="382">
        <f t="shared" si="258"/>
        <v>530.29653885985806</v>
      </c>
      <c r="CA259" s="382">
        <f>VLOOKUP(BO259, 'Pile Data and Eurocode Factors'!$A$34:$J$39,3, FALSE)</f>
        <v>9464.7047474031824</v>
      </c>
      <c r="CB259" s="403">
        <f t="shared" si="259"/>
        <v>530.29653885985806</v>
      </c>
      <c r="CC259" s="419">
        <v>1050</v>
      </c>
      <c r="CD259" s="382">
        <f>PI()*CC259/1000*( Pile!$C$49- Pile!$C259)</f>
        <v>17.81283034585412</v>
      </c>
      <c r="CE259" s="382">
        <f t="shared" si="260"/>
        <v>0.86590147514568672</v>
      </c>
      <c r="CF259" s="382">
        <f t="shared" si="296"/>
        <v>412.34669883586497</v>
      </c>
      <c r="CG259" s="382">
        <f>CD259* Pile!$S$49</f>
        <v>0</v>
      </c>
      <c r="CH259" s="382">
        <f t="shared" si="302"/>
        <v>412.34669883586497</v>
      </c>
      <c r="CI259" s="382">
        <f>IF(CH259&gt;0,+CH259)/ 'Pile Data and Eurocode Factors'!$B$14/ 'Pile Data and Eurocode Factors'!$B$15</f>
        <v>184.08334769458256</v>
      </c>
      <c r="CJ259" s="382">
        <f t="shared" si="287"/>
        <v>1419.6800956302668</v>
      </c>
      <c r="CK259" s="382">
        <f>CE259* Pile!$U$49</f>
        <v>0</v>
      </c>
      <c r="CL259" s="382">
        <f t="shared" si="261"/>
        <v>1419.6800956302668</v>
      </c>
      <c r="CM259" s="382">
        <f>CL259/ 'Pile Data and Eurocode Factors'!$C$14/ 'Pile Data and Eurocode Factors'!$C$15</f>
        <v>507.02860558223819</v>
      </c>
      <c r="CN259" s="382">
        <f t="shared" si="262"/>
        <v>691.11195327682071</v>
      </c>
      <c r="CO259" s="382">
        <f>VLOOKUP(CC259, 'Pile Data and Eurocode Factors'!$A$34:$J$39,3, FALSE)</f>
        <v>12882.514795076555</v>
      </c>
      <c r="CP259" s="403">
        <f t="shared" si="263"/>
        <v>691.11195327682071</v>
      </c>
      <c r="CQ259" s="419">
        <v>1200</v>
      </c>
      <c r="CR259" s="382">
        <f>PI()*CQ259/1000*( Pile!$C$49- Pile!$C259)</f>
        <v>20.357520395261851</v>
      </c>
      <c r="CS259" s="382">
        <f t="shared" si="264"/>
        <v>1.1309733552923256</v>
      </c>
      <c r="CT259" s="382">
        <f t="shared" si="297"/>
        <v>471.25337009813143</v>
      </c>
      <c r="CU259" s="382">
        <f>CR259* Pile!$S$49</f>
        <v>0</v>
      </c>
      <c r="CV259" s="382">
        <f t="shared" si="303"/>
        <v>471.25337009813143</v>
      </c>
      <c r="CW259" s="382">
        <f>IF(CV259&gt;0,+CV259)/ 'Pile Data and Eurocode Factors'!$B$14/ 'Pile Data and Eurocode Factors'!$B$15</f>
        <v>210.38096879380868</v>
      </c>
      <c r="CX259" s="382">
        <f t="shared" si="290"/>
        <v>1854.2760432721852</v>
      </c>
      <c r="CY259" s="382">
        <f>CS259* Pile!$U$49</f>
        <v>0</v>
      </c>
      <c r="CZ259" s="382">
        <f t="shared" si="265"/>
        <v>1854.2760432721852</v>
      </c>
      <c r="DA259" s="382">
        <f>CZ259/ 'Pile Data and Eurocode Factors'!$C$14/ 'Pile Data and Eurocode Factors'!$C$15</f>
        <v>662.24144402578054</v>
      </c>
      <c r="DB259" s="382">
        <f t="shared" si="266"/>
        <v>872.62241281958927</v>
      </c>
      <c r="DC259" s="382">
        <f>VLOOKUP(CQ259, 'Pile Data and Eurocode Factors'!$A$34:$J$39,3, FALSE)</f>
        <v>16826.141773161216</v>
      </c>
      <c r="DD259" s="403">
        <f t="shared" si="267"/>
        <v>872.62241281958927</v>
      </c>
      <c r="DE259" s="420">
        <f xml:space="preserve"> Pile!$C$23- Pile!C259</f>
        <v>5.3999999999999977</v>
      </c>
      <c r="DG259" s="382">
        <f t="shared" si="268"/>
        <v>172.02056636380365</v>
      </c>
      <c r="DH259" s="382">
        <f t="shared" si="269"/>
        <v>270.75084540334944</v>
      </c>
      <c r="DI259" s="382">
        <f t="shared" si="270"/>
        <v>390.17616956870091</v>
      </c>
      <c r="DJ259" s="382">
        <f t="shared" si="271"/>
        <v>530.29653885985806</v>
      </c>
      <c r="DK259" s="382">
        <f t="shared" si="272"/>
        <v>691.11195327682071</v>
      </c>
      <c r="DL259" s="382">
        <f t="shared" si="291"/>
        <v>872.62241281958927</v>
      </c>
    </row>
    <row r="260" spans="2:116" s="308" customFormat="1" ht="15">
      <c r="B260" s="400">
        <v>19</v>
      </c>
      <c r="C260" s="401">
        <f>+C259- Pile!D$49/20</f>
        <v>0.3000000000000021</v>
      </c>
      <c r="D260" s="415" t="str">
        <f>B23</f>
        <v>Loose Sand/Gravel</v>
      </c>
      <c r="E260" s="415" t="str">
        <f>F23</f>
        <v>Granular</v>
      </c>
      <c r="F260" s="401">
        <f xml:space="preserve"> Pile!$E$49*(+C259-C260)+F259</f>
        <v>94.049999999999969</v>
      </c>
      <c r="G260" s="401">
        <f>IF(C260&gt; Pile!$C$54,0,( Pile!$C$54-C260)*9.81)</f>
        <v>0</v>
      </c>
      <c r="H260" s="401">
        <f t="shared" si="238"/>
        <v>94.049999999999969</v>
      </c>
      <c r="I260" s="401">
        <f t="shared" si="239"/>
        <v>47.024999999999984</v>
      </c>
      <c r="J260" s="401">
        <f>IF(E260="Cohesive",(( Pile!$H$49- Pile!$G$49)/20)+J259,0)</f>
        <v>0</v>
      </c>
      <c r="K260" s="401">
        <f>IF(E260="Cohesive",( Pile!$G$49+ Pile!$J260)/2,0)</f>
        <v>0</v>
      </c>
      <c r="L260" s="401" t="str">
        <f>IF( Pile!I$49="",0, Pile!I$49)</f>
        <v>0</v>
      </c>
      <c r="M260" s="401" t="str">
        <f>IF( Pile!J$49="",0, Pile!J$49)</f>
        <v>0</v>
      </c>
      <c r="N260" s="401">
        <f>IF(E260="Granular", Pile!$K$49,0)</f>
        <v>18.401122218708668</v>
      </c>
      <c r="O260" s="416">
        <f>IF(AND(E260="Granular",D260&lt;&gt;"Made Ground"), Pile!$L$49,0)</f>
        <v>0.51961524227066314</v>
      </c>
      <c r="P260" s="401">
        <f>IF(OR(D260="Low Density Chalk",D260="Medium Density Chalk"), Pile!$M$49,0)</f>
        <v>0</v>
      </c>
      <c r="Q260" s="417">
        <f>IF(D260="High Density Chalk", Pile!$N$49,0)</f>
        <v>0</v>
      </c>
      <c r="R260" s="401">
        <f>IF( Pile!O$49="",0, Pile!O$49)</f>
        <v>0</v>
      </c>
      <c r="S260" s="418">
        <f t="shared" si="240"/>
        <v>24.434906767777925</v>
      </c>
      <c r="T260" s="382">
        <f xml:space="preserve"> Pile!$T$49</f>
        <v>1200</v>
      </c>
      <c r="U260" s="382">
        <f t="shared" si="241"/>
        <v>24.434906767777925</v>
      </c>
      <c r="V260" s="382">
        <f t="shared" si="242"/>
        <v>1730.6255446695498</v>
      </c>
      <c r="W260" s="382">
        <f xml:space="preserve"> Pile!$V$49</f>
        <v>15000</v>
      </c>
      <c r="X260" s="382">
        <f t="shared" si="243"/>
        <v>1730.6255446695498</v>
      </c>
      <c r="Y260" s="419">
        <v>450</v>
      </c>
      <c r="Z260" s="382">
        <f>PI()*Y260/1000*( Pile!$C$49- Pile!$C260)</f>
        <v>8.0581851564578155</v>
      </c>
      <c r="AA260" s="382">
        <f t="shared" si="244"/>
        <v>0.15904312808798329</v>
      </c>
      <c r="AB260" s="382">
        <f t="shared" si="292"/>
        <v>196.90100301553869</v>
      </c>
      <c r="AC260" s="382">
        <f>Z260* Pile!$S$49</f>
        <v>0</v>
      </c>
      <c r="AD260" s="382">
        <f t="shared" si="298"/>
        <v>196.90100301553869</v>
      </c>
      <c r="AE260" s="382">
        <f>IF(AD260&gt;0,+AD260)/ 'Pile Data and Eurocode Factors'!$B$14/ 'Pile Data and Eurocode Factors'!$B$15</f>
        <v>87.902233489079762</v>
      </c>
      <c r="AF260" s="382">
        <f t="shared" si="275"/>
        <v>275.24410017321503</v>
      </c>
      <c r="AG260" s="382">
        <f>AA260* Pile!$U$49</f>
        <v>0</v>
      </c>
      <c r="AH260" s="382">
        <f t="shared" si="245"/>
        <v>275.24410017321503</v>
      </c>
      <c r="AI260" s="382">
        <f>AH260/ 'Pile Data and Eurocode Factors'!$C$14/ 'Pile Data and Eurocode Factors'!$C$15</f>
        <v>98.301464347576797</v>
      </c>
      <c r="AJ260" s="382">
        <f t="shared" si="246"/>
        <v>186.20369783665654</v>
      </c>
      <c r="AK260" s="382">
        <f>VLOOKUP(Y260, 'Pile Data and Eurocode Factors'!$A$34:$J$39,3, FALSE)</f>
        <v>2366.1761868507956</v>
      </c>
      <c r="AL260" s="403">
        <f t="shared" si="247"/>
        <v>186.20369783665654</v>
      </c>
      <c r="AM260" s="419">
        <v>600</v>
      </c>
      <c r="AN260" s="382">
        <f>PI()*AM260/1000*( Pile!$C$49- Pile!$C260)</f>
        <v>10.744246875277089</v>
      </c>
      <c r="AO260" s="382">
        <f t="shared" si="248"/>
        <v>0.28274333882308139</v>
      </c>
      <c r="AP260" s="382">
        <f t="shared" si="293"/>
        <v>262.53467068738496</v>
      </c>
      <c r="AQ260" s="382">
        <f>AN260* Pile!$S$49</f>
        <v>0</v>
      </c>
      <c r="AR260" s="382">
        <f t="shared" si="299"/>
        <v>262.53467068738496</v>
      </c>
      <c r="AS260" s="382">
        <f>IF(AR260&gt;0,+AR260)/ 'Pile Data and Eurocode Factors'!$B$14/ 'Pile Data and Eurocode Factors'!$B$15</f>
        <v>117.20297798543972</v>
      </c>
      <c r="AT260" s="382">
        <f t="shared" si="278"/>
        <v>489.32284475238231</v>
      </c>
      <c r="AU260" s="382">
        <f>AO260* Pile!$U$49</f>
        <v>0</v>
      </c>
      <c r="AV260" s="382">
        <f t="shared" si="249"/>
        <v>489.32284475238231</v>
      </c>
      <c r="AW260" s="382">
        <f>AV260/ 'Pile Data and Eurocode Factors'!$C$14/ 'Pile Data and Eurocode Factors'!$C$15</f>
        <v>174.75815884013656</v>
      </c>
      <c r="AX260" s="382">
        <f t="shared" si="250"/>
        <v>291.96113682557626</v>
      </c>
      <c r="AY260" s="382">
        <f>VLOOKUP(AM260, 'Pile Data and Eurocode Factors'!$A$34:$J$39,3, FALSE)</f>
        <v>4206.5354432903041</v>
      </c>
      <c r="AZ260" s="403">
        <f t="shared" si="251"/>
        <v>291.96113682557626</v>
      </c>
      <c r="BA260" s="419">
        <v>750</v>
      </c>
      <c r="BB260" s="382">
        <f>PI()*BA260/1000*( Pile!$C$49- Pile!$C260)</f>
        <v>13.43030859409636</v>
      </c>
      <c r="BC260" s="382">
        <f t="shared" si="252"/>
        <v>0.44178646691106466</v>
      </c>
      <c r="BD260" s="382">
        <f t="shared" si="294"/>
        <v>328.16833835923114</v>
      </c>
      <c r="BE260" s="382">
        <f>BB260* Pile!$S$49</f>
        <v>0</v>
      </c>
      <c r="BF260" s="382">
        <f t="shared" si="300"/>
        <v>328.16833835923114</v>
      </c>
      <c r="BG260" s="382">
        <f>IF(BF260&gt;0,+BF260)/ 'Pile Data and Eurocode Factors'!$B$14/ 'Pile Data and Eurocode Factors'!$B$15</f>
        <v>146.50372248179963</v>
      </c>
      <c r="BH260" s="382">
        <f t="shared" si="281"/>
        <v>764.56694492559734</v>
      </c>
      <c r="BI260" s="382">
        <f>BC260* Pile!$U$49</f>
        <v>0</v>
      </c>
      <c r="BJ260" s="382">
        <f t="shared" si="253"/>
        <v>764.56694492559734</v>
      </c>
      <c r="BK260" s="382">
        <f>BJ260/ 'Pile Data and Eurocode Factors'!$C$14/ 'Pile Data and Eurocode Factors'!$C$15</f>
        <v>273.05962318771333</v>
      </c>
      <c r="BL260" s="382">
        <f t="shared" si="254"/>
        <v>419.56334566951296</v>
      </c>
      <c r="BM260" s="382">
        <f>VLOOKUP(BA260, 'Pile Data and Eurocode Factors'!$A$34:$J$39,3, FALSE)</f>
        <v>6572.7116301410997</v>
      </c>
      <c r="BN260" s="403">
        <f t="shared" si="255"/>
        <v>419.56334566951296</v>
      </c>
      <c r="BO260" s="419">
        <v>900</v>
      </c>
      <c r="BP260" s="382">
        <f>PI()*BO260/1000*( Pile!$C$49- Pile!$C260)</f>
        <v>16.116370312915631</v>
      </c>
      <c r="BQ260" s="382">
        <f t="shared" si="256"/>
        <v>0.63617251235193317</v>
      </c>
      <c r="BR260" s="382">
        <f t="shared" si="295"/>
        <v>393.80200603107738</v>
      </c>
      <c r="BS260" s="382">
        <f>BP260* Pile!$S$49</f>
        <v>0</v>
      </c>
      <c r="BT260" s="382">
        <f t="shared" si="301"/>
        <v>393.80200603107738</v>
      </c>
      <c r="BU260" s="382">
        <f>IF(BT260&gt;0,+BT260)/ 'Pile Data and Eurocode Factors'!$B$14/ 'Pile Data and Eurocode Factors'!$B$15</f>
        <v>175.80446697815952</v>
      </c>
      <c r="BV260" s="382">
        <f t="shared" si="284"/>
        <v>1100.9764006928601</v>
      </c>
      <c r="BW260" s="382">
        <f>BQ260* Pile!$U$49</f>
        <v>0</v>
      </c>
      <c r="BX260" s="382">
        <f t="shared" si="257"/>
        <v>1100.9764006928601</v>
      </c>
      <c r="BY260" s="382">
        <f>BX260/ 'Pile Data and Eurocode Factors'!$C$14/ 'Pile Data and Eurocode Factors'!$C$15</f>
        <v>393.20585739030719</v>
      </c>
      <c r="BZ260" s="382">
        <f t="shared" si="258"/>
        <v>569.01032436846674</v>
      </c>
      <c r="CA260" s="382">
        <f>VLOOKUP(BO260, 'Pile Data and Eurocode Factors'!$A$34:$J$39,3, FALSE)</f>
        <v>9464.7047474031824</v>
      </c>
      <c r="CB260" s="403">
        <f t="shared" si="259"/>
        <v>569.01032436846674</v>
      </c>
      <c r="CC260" s="419">
        <v>1050</v>
      </c>
      <c r="CD260" s="382">
        <f>PI()*CC260/1000*( Pile!$C$49- Pile!$C260)</f>
        <v>18.802432031734902</v>
      </c>
      <c r="CE260" s="382">
        <f t="shared" si="260"/>
        <v>0.86590147514568672</v>
      </c>
      <c r="CF260" s="382">
        <f t="shared" si="296"/>
        <v>459.43567370292362</v>
      </c>
      <c r="CG260" s="382">
        <f>CD260* Pile!$S$49</f>
        <v>0</v>
      </c>
      <c r="CH260" s="382">
        <f t="shared" si="302"/>
        <v>459.43567370292362</v>
      </c>
      <c r="CI260" s="382">
        <f>IF(CH260&gt;0,+CH260)/ 'Pile Data and Eurocode Factors'!$B$14/ 'Pile Data and Eurocode Factors'!$B$15</f>
        <v>205.10521147451948</v>
      </c>
      <c r="CJ260" s="382">
        <f t="shared" si="287"/>
        <v>1498.5512120541707</v>
      </c>
      <c r="CK260" s="382">
        <f>CE260* Pile!$U$49</f>
        <v>0</v>
      </c>
      <c r="CL260" s="382">
        <f t="shared" si="261"/>
        <v>1498.5512120541707</v>
      </c>
      <c r="CM260" s="382">
        <f>CL260/ 'Pile Data and Eurocode Factors'!$C$14/ 'Pile Data and Eurocode Factors'!$C$15</f>
        <v>535.1968614479182</v>
      </c>
      <c r="CN260" s="382">
        <f t="shared" si="262"/>
        <v>740.30207292243767</v>
      </c>
      <c r="CO260" s="382">
        <f>VLOOKUP(CC260, 'Pile Data and Eurocode Factors'!$A$34:$J$39,3, FALSE)</f>
        <v>12882.514795076555</v>
      </c>
      <c r="CP260" s="403">
        <f t="shared" si="263"/>
        <v>740.30207292243767</v>
      </c>
      <c r="CQ260" s="419">
        <v>1200</v>
      </c>
      <c r="CR260" s="382">
        <f>PI()*CQ260/1000*( Pile!$C$49- Pile!$C260)</f>
        <v>21.488493750554177</v>
      </c>
      <c r="CS260" s="382">
        <f t="shared" si="264"/>
        <v>1.1309733552923256</v>
      </c>
      <c r="CT260" s="382">
        <f t="shared" si="297"/>
        <v>525.06934137476992</v>
      </c>
      <c r="CU260" s="382">
        <f>CR260* Pile!$S$49</f>
        <v>0</v>
      </c>
      <c r="CV260" s="382">
        <f t="shared" si="303"/>
        <v>525.06934137476992</v>
      </c>
      <c r="CW260" s="382">
        <f>IF(CV260&gt;0,+CV260)/ 'Pile Data and Eurocode Factors'!$B$14/ 'Pile Data and Eurocode Factors'!$B$15</f>
        <v>234.40595597087943</v>
      </c>
      <c r="CX260" s="382">
        <f t="shared" si="290"/>
        <v>1957.2913790095292</v>
      </c>
      <c r="CY260" s="382">
        <f>CS260* Pile!$U$49</f>
        <v>0</v>
      </c>
      <c r="CZ260" s="382">
        <f t="shared" si="265"/>
        <v>1957.2913790095292</v>
      </c>
      <c r="DA260" s="382">
        <f>CZ260/ 'Pile Data and Eurocode Factors'!$C$14/ 'Pile Data and Eurocode Factors'!$C$15</f>
        <v>699.03263536054624</v>
      </c>
      <c r="DB260" s="382">
        <f t="shared" si="266"/>
        <v>933.43859133142564</v>
      </c>
      <c r="DC260" s="382">
        <f>VLOOKUP(CQ260, 'Pile Data and Eurocode Factors'!$A$34:$J$39,3, FALSE)</f>
        <v>16826.141773161216</v>
      </c>
      <c r="DD260" s="403">
        <f t="shared" si="267"/>
        <v>933.43859133142564</v>
      </c>
      <c r="DE260" s="420">
        <f xml:space="preserve"> Pile!$C$23- Pile!C260</f>
        <v>5.6999999999999975</v>
      </c>
      <c r="DG260" s="382">
        <f t="shared" si="268"/>
        <v>186.20369783665654</v>
      </c>
      <c r="DH260" s="382">
        <f t="shared" si="269"/>
        <v>291.96113682557626</v>
      </c>
      <c r="DI260" s="382">
        <f t="shared" si="270"/>
        <v>419.56334566951296</v>
      </c>
      <c r="DJ260" s="382">
        <f t="shared" si="271"/>
        <v>569.01032436846674</v>
      </c>
      <c r="DK260" s="382">
        <f t="shared" si="272"/>
        <v>740.30207292243767</v>
      </c>
      <c r="DL260" s="382">
        <f t="shared" si="291"/>
        <v>933.43859133142564</v>
      </c>
    </row>
    <row r="261" spans="2:116" s="308" customFormat="1" ht="15">
      <c r="B261" s="400">
        <v>20</v>
      </c>
      <c r="C261" s="401">
        <f>+C260- Pile!D$49/20</f>
        <v>2.1094237467877974E-15</v>
      </c>
      <c r="D261" s="415" t="str">
        <f>B23</f>
        <v>Loose Sand/Gravel</v>
      </c>
      <c r="E261" s="415" t="str">
        <f>F23</f>
        <v>Granular</v>
      </c>
      <c r="F261" s="401">
        <f xml:space="preserve"> Pile!$E$49*(+C260-C261)+F260</f>
        <v>98.999999999999972</v>
      </c>
      <c r="G261" s="401">
        <f>IF(C261&gt; Pile!$C$54,0,( Pile!$C$54-C261)*9.81)</f>
        <v>0</v>
      </c>
      <c r="H261" s="401">
        <f t="shared" si="238"/>
        <v>98.999999999999972</v>
      </c>
      <c r="I261" s="401">
        <f t="shared" si="239"/>
        <v>49.499999999999986</v>
      </c>
      <c r="J261" s="401">
        <f>IF(E261="Cohesive",(( Pile!$H$49- Pile!$G$49)/20)+J260,0)</f>
        <v>0</v>
      </c>
      <c r="K261" s="401">
        <f>IF(E261="Cohesive",( Pile!$G$49+ Pile!$J261)/2,0)</f>
        <v>0</v>
      </c>
      <c r="L261" s="401" t="str">
        <f>IF( Pile!I$49="",0, Pile!I$49)</f>
        <v>0</v>
      </c>
      <c r="M261" s="401" t="str">
        <f>IF( Pile!J$49="",0, Pile!J$49)</f>
        <v>0</v>
      </c>
      <c r="N261" s="401">
        <f>IF(E261="Granular", Pile!$K$49,0)</f>
        <v>18.401122218708668</v>
      </c>
      <c r="O261" s="416">
        <f>IF(AND(E261="Granular",D261&lt;&gt;"Made Ground"), Pile!$L$49,0)</f>
        <v>0.51961524227066314</v>
      </c>
      <c r="P261" s="401">
        <f>IF(OR(D261="Low Density Chalk",D261="Medium Density Chalk"), Pile!$M$49,0)</f>
        <v>0</v>
      </c>
      <c r="Q261" s="417">
        <f>IF(D261="High Density Chalk", Pile!$N$49,0)</f>
        <v>0</v>
      </c>
      <c r="R261" s="401">
        <f>IF( Pile!O$49="",0, Pile!O$49)</f>
        <v>0</v>
      </c>
      <c r="S261" s="418">
        <f t="shared" si="240"/>
        <v>25.720954492397819</v>
      </c>
      <c r="T261" s="382">
        <f xml:space="preserve"> Pile!$T$49</f>
        <v>1200</v>
      </c>
      <c r="U261" s="382">
        <f t="shared" si="241"/>
        <v>25.720954492397819</v>
      </c>
      <c r="V261" s="382">
        <f t="shared" si="242"/>
        <v>1821.7110996521576</v>
      </c>
      <c r="W261" s="382">
        <f xml:space="preserve"> Pile!$V$49</f>
        <v>15000</v>
      </c>
      <c r="X261" s="382">
        <f t="shared" si="243"/>
        <v>1821.7110996521576</v>
      </c>
      <c r="Y261" s="419">
        <v>450</v>
      </c>
      <c r="Z261" s="382">
        <f>PI()*Y261/1000*( Pile!$C$49- Pile!$C261)</f>
        <v>8.4823001646924396</v>
      </c>
      <c r="AA261" s="382">
        <f t="shared" si="244"/>
        <v>0.15904312808798329</v>
      </c>
      <c r="AB261" s="382">
        <f t="shared" si="292"/>
        <v>218.17285652691277</v>
      </c>
      <c r="AC261" s="382">
        <f>Z261* Pile!$S$49</f>
        <v>0</v>
      </c>
      <c r="AD261" s="382">
        <f t="shared" si="298"/>
        <v>218.17285652691277</v>
      </c>
      <c r="AE261" s="382">
        <f>IF(AD261&gt;0,+AD261)/ 'Pile Data and Eurocode Factors'!$B$14/ 'Pile Data and Eurocode Factors'!$B$15</f>
        <v>97.398596663800348</v>
      </c>
      <c r="AF261" s="382">
        <f t="shared" si="275"/>
        <v>289.73063176127897</v>
      </c>
      <c r="AG261" s="382">
        <f>AA261* Pile!$U$49</f>
        <v>0</v>
      </c>
      <c r="AH261" s="382">
        <f t="shared" si="245"/>
        <v>289.73063176127897</v>
      </c>
      <c r="AI261" s="382">
        <f>AH261/ 'Pile Data and Eurocode Factors'!$C$14/ 'Pile Data and Eurocode Factors'!$C$15</f>
        <v>103.47522562902822</v>
      </c>
      <c r="AJ261" s="382">
        <f t="shared" si="246"/>
        <v>200.87382229282855</v>
      </c>
      <c r="AK261" s="382">
        <f>VLOOKUP(Y261, 'Pile Data and Eurocode Factors'!$A$34:$J$39,3, FALSE)</f>
        <v>2366.1761868507956</v>
      </c>
      <c r="AL261" s="403">
        <f t="shared" si="247"/>
        <v>200.87382229282855</v>
      </c>
      <c r="AM261" s="419">
        <v>600</v>
      </c>
      <c r="AN261" s="382">
        <f>PI()*AM261/1000*( Pile!$C$49- Pile!$C261)</f>
        <v>11.309733552923252</v>
      </c>
      <c r="AO261" s="382">
        <f t="shared" si="248"/>
        <v>0.28274333882308139</v>
      </c>
      <c r="AP261" s="382">
        <f t="shared" si="293"/>
        <v>290.89714203588363</v>
      </c>
      <c r="AQ261" s="382">
        <f>AN261* Pile!$S$49</f>
        <v>0</v>
      </c>
      <c r="AR261" s="382">
        <f t="shared" si="299"/>
        <v>290.89714203588363</v>
      </c>
      <c r="AS261" s="382">
        <f>IF(AR261&gt;0,+AR261)/ 'Pile Data and Eurocode Factors'!$B$14/ 'Pile Data and Eurocode Factors'!$B$15</f>
        <v>129.86479555173375</v>
      </c>
      <c r="AT261" s="382">
        <f t="shared" si="278"/>
        <v>515.0766786867182</v>
      </c>
      <c r="AU261" s="382">
        <f>AO261* Pile!$U$49</f>
        <v>0</v>
      </c>
      <c r="AV261" s="382">
        <f t="shared" si="249"/>
        <v>515.0766786867182</v>
      </c>
      <c r="AW261" s="382">
        <f>AV261/ 'Pile Data and Eurocode Factors'!$C$14/ 'Pile Data and Eurocode Factors'!$C$15</f>
        <v>183.95595667382793</v>
      </c>
      <c r="AX261" s="382">
        <f t="shared" si="250"/>
        <v>313.82075222556171</v>
      </c>
      <c r="AY261" s="382">
        <f>VLOOKUP(AM261, 'Pile Data and Eurocode Factors'!$A$34:$J$39,3, FALSE)</f>
        <v>4206.5354432903041</v>
      </c>
      <c r="AZ261" s="403">
        <f t="shared" si="251"/>
        <v>313.82075222556171</v>
      </c>
      <c r="BA261" s="419">
        <v>750</v>
      </c>
      <c r="BB261" s="382">
        <f>PI()*BA261/1000*( Pile!$C$49- Pile!$C261)</f>
        <v>14.137166941154065</v>
      </c>
      <c r="BC261" s="382">
        <f t="shared" si="252"/>
        <v>0.44178646691106466</v>
      </c>
      <c r="BD261" s="382">
        <f t="shared" si="294"/>
        <v>363.62142754485461</v>
      </c>
      <c r="BE261" s="382">
        <f>BB261* Pile!$S$49</f>
        <v>0</v>
      </c>
      <c r="BF261" s="382">
        <f t="shared" si="300"/>
        <v>363.62142754485461</v>
      </c>
      <c r="BG261" s="382">
        <f>IF(BF261&gt;0,+BF261)/ 'Pile Data and Eurocode Factors'!$B$14/ 'Pile Data and Eurocode Factors'!$B$15</f>
        <v>162.33099443966725</v>
      </c>
      <c r="BH261" s="382">
        <f t="shared" si="281"/>
        <v>804.80731044799711</v>
      </c>
      <c r="BI261" s="382">
        <f>BC261* Pile!$U$49</f>
        <v>0</v>
      </c>
      <c r="BJ261" s="382">
        <f t="shared" si="253"/>
        <v>804.80731044799711</v>
      </c>
      <c r="BK261" s="382">
        <f>BJ261/ 'Pile Data and Eurocode Factors'!$C$14/ 'Pile Data and Eurocode Factors'!$C$15</f>
        <v>287.43118230285614</v>
      </c>
      <c r="BL261" s="382">
        <f t="shared" si="254"/>
        <v>449.76217674252337</v>
      </c>
      <c r="BM261" s="382">
        <f>VLOOKUP(BA261, 'Pile Data and Eurocode Factors'!$A$34:$J$39,3, FALSE)</f>
        <v>6572.7116301410997</v>
      </c>
      <c r="BN261" s="403">
        <f t="shared" si="255"/>
        <v>449.76217674252337</v>
      </c>
      <c r="BO261" s="419">
        <v>900</v>
      </c>
      <c r="BP261" s="382">
        <f>PI()*BO261/1000*( Pile!$C$49- Pile!$C261)</f>
        <v>16.964600329384879</v>
      </c>
      <c r="BQ261" s="382">
        <f t="shared" si="256"/>
        <v>0.63617251235193317</v>
      </c>
      <c r="BR261" s="382">
        <f t="shared" si="295"/>
        <v>436.34571305382553</v>
      </c>
      <c r="BS261" s="382">
        <f>BP261* Pile!$S$49</f>
        <v>0</v>
      </c>
      <c r="BT261" s="382">
        <f t="shared" si="301"/>
        <v>436.34571305382553</v>
      </c>
      <c r="BU261" s="382">
        <f>IF(BT261&gt;0,+BT261)/ 'Pile Data and Eurocode Factors'!$B$14/ 'Pile Data and Eurocode Factors'!$B$15</f>
        <v>194.7971933276007</v>
      </c>
      <c r="BV261" s="382">
        <f t="shared" si="284"/>
        <v>1158.9225270451159</v>
      </c>
      <c r="BW261" s="382">
        <f>BQ261* Pile!$U$49</f>
        <v>0</v>
      </c>
      <c r="BX261" s="382">
        <f t="shared" si="257"/>
        <v>1158.9225270451159</v>
      </c>
      <c r="BY261" s="382">
        <f>BX261/ 'Pile Data and Eurocode Factors'!$C$14/ 'Pile Data and Eurocode Factors'!$C$15</f>
        <v>413.90090251611286</v>
      </c>
      <c r="BZ261" s="382">
        <f t="shared" si="258"/>
        <v>608.69809584371353</v>
      </c>
      <c r="CA261" s="382">
        <f>VLOOKUP(BO261, 'Pile Data and Eurocode Factors'!$A$34:$J$39,3, FALSE)</f>
        <v>9464.7047474031824</v>
      </c>
      <c r="CB261" s="403">
        <f t="shared" si="259"/>
        <v>608.69809584371353</v>
      </c>
      <c r="CC261" s="419">
        <v>1050</v>
      </c>
      <c r="CD261" s="382">
        <f>PI()*CC261/1000*( Pile!$C$49- Pile!$C261)</f>
        <v>19.792033717615691</v>
      </c>
      <c r="CE261" s="382">
        <f t="shared" si="260"/>
        <v>0.86590147514568672</v>
      </c>
      <c r="CF261" s="382">
        <f t="shared" si="296"/>
        <v>509.0699985627964</v>
      </c>
      <c r="CG261" s="382">
        <f>CD261* Pile!$S$49</f>
        <v>0</v>
      </c>
      <c r="CH261" s="382">
        <f t="shared" si="302"/>
        <v>509.0699985627964</v>
      </c>
      <c r="CI261" s="382">
        <f>IF(CH261&gt;0,+CH261)/ 'Pile Data and Eurocode Factors'!$B$14/ 'Pile Data and Eurocode Factors'!$B$15</f>
        <v>227.26339221553411</v>
      </c>
      <c r="CJ261" s="382">
        <f t="shared" si="287"/>
        <v>1577.4223284780744</v>
      </c>
      <c r="CK261" s="382">
        <f>CE261* Pile!$U$49</f>
        <v>0</v>
      </c>
      <c r="CL261" s="382">
        <f t="shared" si="261"/>
        <v>1577.4223284780744</v>
      </c>
      <c r="CM261" s="382">
        <f>CL261/ 'Pile Data and Eurocode Factors'!$C$14/ 'Pile Data and Eurocode Factors'!$C$15</f>
        <v>563.36511731359803</v>
      </c>
      <c r="CN261" s="382">
        <f t="shared" si="262"/>
        <v>790.62850952913209</v>
      </c>
      <c r="CO261" s="382">
        <f>VLOOKUP(CC261, 'Pile Data and Eurocode Factors'!$A$34:$J$39,3, FALSE)</f>
        <v>12882.514795076555</v>
      </c>
      <c r="CP261" s="403">
        <f t="shared" si="263"/>
        <v>790.62850952913209</v>
      </c>
      <c r="CQ261" s="419">
        <v>1200</v>
      </c>
      <c r="CR261" s="382">
        <f>PI()*CQ261/1000*( Pile!$C$49- Pile!$C261)</f>
        <v>22.619467105846503</v>
      </c>
      <c r="CS261" s="382">
        <f t="shared" si="264"/>
        <v>1.1309733552923256</v>
      </c>
      <c r="CT261" s="382">
        <f t="shared" si="297"/>
        <v>581.79428407176727</v>
      </c>
      <c r="CU261" s="382">
        <f>CR261* Pile!$S$49</f>
        <v>0</v>
      </c>
      <c r="CV261" s="382">
        <f t="shared" si="303"/>
        <v>581.79428407176727</v>
      </c>
      <c r="CW261" s="382">
        <f>IF(CV261&gt;0,+CV261)/ 'Pile Data and Eurocode Factors'!$B$14/ 'Pile Data and Eurocode Factors'!$B$15</f>
        <v>259.7295911034675</v>
      </c>
      <c r="CX261" s="382">
        <f t="shared" si="290"/>
        <v>2060.3067147468728</v>
      </c>
      <c r="CY261" s="382">
        <f>CS261* Pile!$U$49</f>
        <v>0</v>
      </c>
      <c r="CZ261" s="382">
        <f t="shared" si="265"/>
        <v>2060.3067147468728</v>
      </c>
      <c r="DA261" s="382">
        <f>CZ261/ 'Pile Data and Eurocode Factors'!$C$14/ 'Pile Data and Eurocode Factors'!$C$15</f>
        <v>735.82382669531171</v>
      </c>
      <c r="DB261" s="382">
        <f t="shared" si="266"/>
        <v>995.55341779877926</v>
      </c>
      <c r="DC261" s="382">
        <f>VLOOKUP(CQ261, 'Pile Data and Eurocode Factors'!$A$34:$J$39,3, FALSE)</f>
        <v>16826.141773161216</v>
      </c>
      <c r="DD261" s="403">
        <f t="shared" si="267"/>
        <v>995.55341779877926</v>
      </c>
      <c r="DE261" s="420">
        <f xml:space="preserve"> Pile!$C$23- Pile!C261</f>
        <v>5.9999999999999982</v>
      </c>
      <c r="DG261" s="382">
        <f t="shared" si="268"/>
        <v>200.87382229282855</v>
      </c>
      <c r="DH261" s="382">
        <f t="shared" si="269"/>
        <v>313.82075222556171</v>
      </c>
      <c r="DI261" s="382">
        <f t="shared" si="270"/>
        <v>449.76217674252337</v>
      </c>
      <c r="DJ261" s="382">
        <f t="shared" si="271"/>
        <v>608.69809584371353</v>
      </c>
      <c r="DK261" s="382">
        <f t="shared" si="272"/>
        <v>790.62850952913209</v>
      </c>
      <c r="DL261" s="382">
        <f t="shared" si="291"/>
        <v>995.55341779877926</v>
      </c>
    </row>
    <row r="262" spans="2:116" s="414" customFormat="1" ht="15">
      <c r="B262" s="404">
        <v>1</v>
      </c>
      <c r="C262" s="405">
        <f>+C261- Pile!D$50/20</f>
        <v>-0.29999999999999788</v>
      </c>
      <c r="D262" s="406" t="str">
        <f>B24</f>
        <v>Firm Clay</v>
      </c>
      <c r="E262" s="406" t="str">
        <f>F24</f>
        <v>Cohesive</v>
      </c>
      <c r="F262" s="405">
        <f xml:space="preserve"> Pile!$E$50*(+C261-C262)+F261</f>
        <v>104.54999999999997</v>
      </c>
      <c r="G262" s="405">
        <f>IF(C262&gt; Pile!$C$54,0,( Pile!$C$54-C262)*9.81)</f>
        <v>0</v>
      </c>
      <c r="H262" s="405">
        <f t="shared" si="238"/>
        <v>104.54999999999997</v>
      </c>
      <c r="I262" s="405">
        <f t="shared" ref="I262:I281" si="304">($H$261+H262)/2</f>
        <v>101.77499999999998</v>
      </c>
      <c r="J262" s="405">
        <f>IF(E262="Cohesive", Pile!$G$50+(( Pile!$H$50- Pile!$G$50)/20),0)</f>
        <v>40</v>
      </c>
      <c r="K262" s="405">
        <f>IF(E262="Cohesive",( Pile!$G$50+ Pile!$J262)/2,0)</f>
        <v>40</v>
      </c>
      <c r="L262" s="405">
        <f>IF( Pile!I$50="",0, Pile!I$50)</f>
        <v>0.5</v>
      </c>
      <c r="M262" s="405">
        <f>IF( Pile!J$50="",0, Pile!J$50)</f>
        <v>9</v>
      </c>
      <c r="N262" s="405">
        <f>IF(E262="Granular", Pile!$K$50,0)</f>
        <v>0</v>
      </c>
      <c r="O262" s="407">
        <f>IF(AND(E262="Granular",D262&lt;&gt;"Made Ground"), Pile!$L$50,0)</f>
        <v>0</v>
      </c>
      <c r="P262" s="405">
        <f>IF(OR(D262="Low Density Chalk",D262="Medium Density Chalk"), Pile!$M$50,0)</f>
        <v>0</v>
      </c>
      <c r="Q262" s="408">
        <f>IF(D262="High Density Chalk", Pile!$N$50,0)</f>
        <v>0</v>
      </c>
      <c r="R262" s="405">
        <f>IF( Pile!O$50="",0, Pile!O$50)</f>
        <v>0</v>
      </c>
      <c r="S262" s="409">
        <f t="shared" si="240"/>
        <v>20</v>
      </c>
      <c r="T262" s="410">
        <f xml:space="preserve"> Pile!$T$50</f>
        <v>100</v>
      </c>
      <c r="U262" s="410">
        <f t="shared" si="241"/>
        <v>20</v>
      </c>
      <c r="V262" s="410">
        <f t="shared" si="242"/>
        <v>360</v>
      </c>
      <c r="W262" s="410" t="str">
        <f xml:space="preserve"> Pile!$V$50</f>
        <v/>
      </c>
      <c r="X262" s="410">
        <f t="shared" si="243"/>
        <v>360</v>
      </c>
      <c r="Y262" s="411">
        <v>450</v>
      </c>
      <c r="Z262" s="429">
        <f>PI()*Y262/1000*( Pile!$C$50- Pile!$C262)</f>
        <v>0.42411500823461906</v>
      </c>
      <c r="AA262" s="410">
        <f t="shared" si="244"/>
        <v>0.15904312808798329</v>
      </c>
      <c r="AB262" s="410">
        <f t="shared" si="292"/>
        <v>8.482300164692381</v>
      </c>
      <c r="AC262" s="410">
        <f>Z262* Pile!$S$50</f>
        <v>0</v>
      </c>
      <c r="AD262" s="410">
        <f t="shared" si="298"/>
        <v>8.482300164692381</v>
      </c>
      <c r="AE262" s="410">
        <f>IF(AD262&gt;0,+AD262)/ 'Pile Data and Eurocode Factors'!$B$14/ 'Pile Data and Eurocode Factors'!$B$15+AE$261</f>
        <v>101.18533780875231</v>
      </c>
      <c r="AF262" s="410">
        <f>AA262*$X262</f>
        <v>57.255526111673987</v>
      </c>
      <c r="AG262" s="410">
        <f>AA262* Pile!$U$50</f>
        <v>0</v>
      </c>
      <c r="AH262" s="410">
        <f t="shared" si="245"/>
        <v>57.255526111673987</v>
      </c>
      <c r="AI262" s="410">
        <f>AH262/ 'Pile Data and Eurocode Factors'!$C$14/ 'Pile Data and Eurocode Factors'!$C$15</f>
        <v>20.448402182740711</v>
      </c>
      <c r="AJ262" s="410">
        <f t="shared" si="246"/>
        <v>121.63373999149302</v>
      </c>
      <c r="AK262" s="410">
        <f>VLOOKUP(Y262, 'Pile Data and Eurocode Factors'!$A$34:$J$39,3, FALSE)</f>
        <v>2366.1761868507956</v>
      </c>
      <c r="AL262" s="412">
        <f t="shared" si="247"/>
        <v>121.63373999149302</v>
      </c>
      <c r="AM262" s="411">
        <v>600</v>
      </c>
      <c r="AN262" s="429">
        <f>PI()*AM262/1000*( Pile!$C$50- Pile!$C262)</f>
        <v>0.56548667764615879</v>
      </c>
      <c r="AO262" s="410">
        <f t="shared" si="248"/>
        <v>0.28274333882308139</v>
      </c>
      <c r="AP262" s="410">
        <f t="shared" si="293"/>
        <v>11.309733552923175</v>
      </c>
      <c r="AQ262" s="410">
        <f>AN262* Pile!$S$50</f>
        <v>0</v>
      </c>
      <c r="AR262" s="410">
        <f t="shared" si="299"/>
        <v>11.309733552923175</v>
      </c>
      <c r="AS262" s="410">
        <f>IF(AR262&gt;0,+AR262)/ 'Pile Data and Eurocode Factors'!$B$14/ 'Pile Data and Eurocode Factors'!$B$15+AS$261</f>
        <v>134.91378374500303</v>
      </c>
      <c r="AT262" s="410">
        <f>AO262*$X262</f>
        <v>101.7876019763093</v>
      </c>
      <c r="AU262" s="410">
        <f>AO262* Pile!$U$50</f>
        <v>0</v>
      </c>
      <c r="AV262" s="410">
        <f t="shared" si="249"/>
        <v>101.7876019763093</v>
      </c>
      <c r="AW262" s="410">
        <f>AV262/ 'Pile Data and Eurocode Factors'!$C$14/ 'Pile Data and Eurocode Factors'!$C$15</f>
        <v>36.352714991539038</v>
      </c>
      <c r="AX262" s="410">
        <f t="shared" si="250"/>
        <v>171.26649873654208</v>
      </c>
      <c r="AY262" s="410">
        <f>VLOOKUP(AM262, 'Pile Data and Eurocode Factors'!$A$34:$J$39,3, FALSE)</f>
        <v>4206.5354432903041</v>
      </c>
      <c r="AZ262" s="412">
        <f t="shared" si="251"/>
        <v>171.26649873654208</v>
      </c>
      <c r="BA262" s="411">
        <v>750</v>
      </c>
      <c r="BB262" s="429">
        <f>PI()*BA262/1000*( Pile!$C$50- Pile!$C262)</f>
        <v>0.70685834705769846</v>
      </c>
      <c r="BC262" s="410">
        <f t="shared" si="252"/>
        <v>0.44178646691106466</v>
      </c>
      <c r="BD262" s="410">
        <f t="shared" si="294"/>
        <v>14.13716694115397</v>
      </c>
      <c r="BE262" s="410">
        <f>BB262* Pile!$S$50</f>
        <v>0</v>
      </c>
      <c r="BF262" s="410">
        <f t="shared" si="300"/>
        <v>14.13716694115397</v>
      </c>
      <c r="BG262" s="410">
        <f>IF(BF262&gt;0,+BF262)/ 'Pile Data and Eurocode Factors'!$B$14/ 'Pile Data and Eurocode Factors'!$B$15+BG$261</f>
        <v>168.64222968125384</v>
      </c>
      <c r="BH262" s="410">
        <f>BC262*$X262</f>
        <v>159.04312808798326</v>
      </c>
      <c r="BI262" s="410">
        <f>BC262* Pile!$U$50</f>
        <v>0</v>
      </c>
      <c r="BJ262" s="410">
        <f t="shared" si="253"/>
        <v>159.04312808798326</v>
      </c>
      <c r="BK262" s="410">
        <f>BJ262/ 'Pile Data and Eurocode Factors'!$C$14/ 'Pile Data and Eurocode Factors'!$C$15</f>
        <v>56.801117174279739</v>
      </c>
      <c r="BL262" s="410">
        <f t="shared" si="254"/>
        <v>225.44334685553358</v>
      </c>
      <c r="BM262" s="410">
        <f>VLOOKUP(BA262, 'Pile Data and Eurocode Factors'!$A$34:$J$39,3, FALSE)</f>
        <v>6572.7116301410997</v>
      </c>
      <c r="BN262" s="412">
        <f t="shared" si="255"/>
        <v>225.44334685553358</v>
      </c>
      <c r="BO262" s="411">
        <v>900</v>
      </c>
      <c r="BP262" s="429">
        <f>PI()*BO262/1000*( Pile!$C$50- Pile!$C262)</f>
        <v>0.84823001646923812</v>
      </c>
      <c r="BQ262" s="410">
        <f t="shared" si="256"/>
        <v>0.63617251235193317</v>
      </c>
      <c r="BR262" s="410">
        <f t="shared" si="295"/>
        <v>16.964600329384762</v>
      </c>
      <c r="BS262" s="410">
        <f>BP262* Pile!$S$50</f>
        <v>0</v>
      </c>
      <c r="BT262" s="410">
        <f t="shared" si="301"/>
        <v>16.964600329384762</v>
      </c>
      <c r="BU262" s="410">
        <f>IF(BT262&gt;0,+BT262)/ 'Pile Data and Eurocode Factors'!$B$14/ 'Pile Data and Eurocode Factors'!$B$15+BU$261</f>
        <v>202.37067561750462</v>
      </c>
      <c r="BV262" s="410">
        <f>BQ262*$X262</f>
        <v>229.02210444669595</v>
      </c>
      <c r="BW262" s="410">
        <f>BQ262* Pile!$U$50</f>
        <v>0</v>
      </c>
      <c r="BX262" s="410">
        <f t="shared" si="257"/>
        <v>229.02210444669595</v>
      </c>
      <c r="BY262" s="410">
        <f>BX262/ 'Pile Data and Eurocode Factors'!$C$14/ 'Pile Data and Eurocode Factors'!$C$15</f>
        <v>81.793608730962845</v>
      </c>
      <c r="BZ262" s="410">
        <f t="shared" si="258"/>
        <v>284.16428434846745</v>
      </c>
      <c r="CA262" s="410">
        <f>VLOOKUP(BO262, 'Pile Data and Eurocode Factors'!$A$34:$J$39,3, FALSE)</f>
        <v>9464.7047474031824</v>
      </c>
      <c r="CB262" s="412">
        <f t="shared" si="259"/>
        <v>284.16428434846745</v>
      </c>
      <c r="CC262" s="411">
        <v>1050</v>
      </c>
      <c r="CD262" s="429">
        <f>PI()*CC262/1000*( Pile!$C$50- Pile!$C262)</f>
        <v>0.98960168588077779</v>
      </c>
      <c r="CE262" s="410">
        <f t="shared" si="260"/>
        <v>0.86590147514568672</v>
      </c>
      <c r="CF262" s="410">
        <f t="shared" si="296"/>
        <v>19.792033717615556</v>
      </c>
      <c r="CG262" s="410">
        <f>CD262* Pile!$S$50</f>
        <v>0</v>
      </c>
      <c r="CH262" s="410">
        <f t="shared" si="302"/>
        <v>19.792033717615556</v>
      </c>
      <c r="CI262" s="410">
        <f>IF(CH262&gt;0,+CH262)/ 'Pile Data and Eurocode Factors'!$B$14/ 'Pile Data and Eurocode Factors'!$B$15+CI$261</f>
        <v>236.09912155375534</v>
      </c>
      <c r="CJ262" s="410">
        <f>CE262*$X262</f>
        <v>311.72453105244722</v>
      </c>
      <c r="CK262" s="410">
        <f>CE262* Pile!$U$50</f>
        <v>0</v>
      </c>
      <c r="CL262" s="410">
        <f t="shared" si="261"/>
        <v>311.72453105244722</v>
      </c>
      <c r="CM262" s="410">
        <f>CL262/ 'Pile Data and Eurocode Factors'!$C$14/ 'Pile Data and Eurocode Factors'!$C$15</f>
        <v>111.33018966158829</v>
      </c>
      <c r="CN262" s="410">
        <f t="shared" si="262"/>
        <v>347.42931121534366</v>
      </c>
      <c r="CO262" s="410">
        <f>VLOOKUP(CC262, 'Pile Data and Eurocode Factors'!$A$34:$J$39,3, FALSE)</f>
        <v>12882.514795076555</v>
      </c>
      <c r="CP262" s="412">
        <f t="shared" si="263"/>
        <v>347.42931121534366</v>
      </c>
      <c r="CQ262" s="411">
        <v>1200</v>
      </c>
      <c r="CR262" s="429">
        <f>PI()*CQ262/1000*( Pile!$C$50- Pile!$C262)</f>
        <v>1.1309733552923176</v>
      </c>
      <c r="CS262" s="410">
        <f t="shared" si="264"/>
        <v>1.1309733552923256</v>
      </c>
      <c r="CT262" s="410">
        <f t="shared" si="297"/>
        <v>22.619467105846351</v>
      </c>
      <c r="CU262" s="410">
        <f>CR262* Pile!$S$50</f>
        <v>0</v>
      </c>
      <c r="CV262" s="410">
        <f t="shared" si="303"/>
        <v>22.619467105846351</v>
      </c>
      <c r="CW262" s="410">
        <f>IF(CV262&gt;0,+CV262)/ 'Pile Data and Eurocode Factors'!$B$14/ 'Pile Data and Eurocode Factors'!$B$15+CW$261</f>
        <v>269.82756749000606</v>
      </c>
      <c r="CX262" s="410">
        <f>CS262*$X262</f>
        <v>407.15040790523722</v>
      </c>
      <c r="CY262" s="410">
        <f>CS262* Pile!$U$50</f>
        <v>0</v>
      </c>
      <c r="CZ262" s="410">
        <f t="shared" si="265"/>
        <v>407.15040790523722</v>
      </c>
      <c r="DA262" s="410">
        <f>CZ262/ 'Pile Data and Eurocode Factors'!$C$14/ 'Pile Data and Eurocode Factors'!$C$15</f>
        <v>145.41085996615615</v>
      </c>
      <c r="DB262" s="410">
        <f t="shared" si="266"/>
        <v>415.23842745616219</v>
      </c>
      <c r="DC262" s="410">
        <f>VLOOKUP(CQ262, 'Pile Data and Eurocode Factors'!$A$34:$J$39,3, FALSE)</f>
        <v>16826.141773161216</v>
      </c>
      <c r="DD262" s="412">
        <f t="shared" si="267"/>
        <v>415.23842745616219</v>
      </c>
      <c r="DE262" s="413">
        <f xml:space="preserve"> Pile!$C$23- Pile!C262</f>
        <v>6.299999999999998</v>
      </c>
      <c r="DG262" s="410">
        <f t="shared" si="268"/>
        <v>121.63373999149302</v>
      </c>
      <c r="DH262" s="410">
        <f t="shared" si="269"/>
        <v>171.26649873654208</v>
      </c>
      <c r="DI262" s="410">
        <f t="shared" si="270"/>
        <v>225.44334685553358</v>
      </c>
      <c r="DJ262" s="410">
        <f t="shared" si="271"/>
        <v>284.16428434846745</v>
      </c>
      <c r="DK262" s="410">
        <f t="shared" si="272"/>
        <v>347.42931121534366</v>
      </c>
      <c r="DL262" s="410">
        <f t="shared" si="291"/>
        <v>415.23842745616219</v>
      </c>
    </row>
    <row r="263" spans="2:116" s="308" customFormat="1" ht="15">
      <c r="B263" s="400">
        <v>2</v>
      </c>
      <c r="C263" s="401">
        <f>+C262- Pile!D$50/20</f>
        <v>-0.59999999999999787</v>
      </c>
      <c r="D263" s="415" t="str">
        <f>B24</f>
        <v>Firm Clay</v>
      </c>
      <c r="E263" s="415" t="str">
        <f>F24</f>
        <v>Cohesive</v>
      </c>
      <c r="F263" s="401">
        <f xml:space="preserve"> Pile!$E$50*(+C262-C263)+F262</f>
        <v>110.09999999999997</v>
      </c>
      <c r="G263" s="401">
        <f>IF(C263&gt; Pile!$C$54,0,( Pile!$C$54-C263)*9.81)</f>
        <v>0</v>
      </c>
      <c r="H263" s="401">
        <f t="shared" si="238"/>
        <v>110.09999999999997</v>
      </c>
      <c r="I263" s="401">
        <f t="shared" si="304"/>
        <v>104.54999999999997</v>
      </c>
      <c r="J263" s="401">
        <f>IF(E263="Cohesive",(( Pile!$H$50- Pile!$G$50)/20)+J262,0)</f>
        <v>40</v>
      </c>
      <c r="K263" s="401">
        <f>IF(E263="Cohesive",( Pile!$G$50+ Pile!$J263)/2,0)</f>
        <v>40</v>
      </c>
      <c r="L263" s="401">
        <f>IF( Pile!I$50="",0, Pile!I$50)</f>
        <v>0.5</v>
      </c>
      <c r="M263" s="401">
        <f>IF( Pile!J$50="",0, Pile!J$50)</f>
        <v>9</v>
      </c>
      <c r="N263" s="401">
        <f>IF(E263="Granular", Pile!$K$50,0)</f>
        <v>0</v>
      </c>
      <c r="O263" s="416">
        <f>IF(AND(E263="Granular",D263&lt;&gt;"Made Ground"), Pile!$L$50,0)</f>
        <v>0</v>
      </c>
      <c r="P263" s="401">
        <f>IF(OR(D263="Low Density Chalk",D263="Medium Density Chalk"), Pile!$M$50,0)</f>
        <v>0</v>
      </c>
      <c r="Q263" s="417">
        <f>IF(D263="High Density Chalk", Pile!$N$50,0)</f>
        <v>0</v>
      </c>
      <c r="R263" s="401">
        <f>IF( Pile!O$50="",0, Pile!O$50)</f>
        <v>0</v>
      </c>
      <c r="S263" s="418">
        <f t="shared" si="240"/>
        <v>20</v>
      </c>
      <c r="T263" s="382">
        <f xml:space="preserve"> Pile!$T$50</f>
        <v>100</v>
      </c>
      <c r="U263" s="382">
        <f t="shared" si="241"/>
        <v>20</v>
      </c>
      <c r="V263" s="382">
        <f t="shared" si="242"/>
        <v>360</v>
      </c>
      <c r="W263" s="382" t="str">
        <f xml:space="preserve"> Pile!$V$50</f>
        <v/>
      </c>
      <c r="X263" s="382">
        <f t="shared" si="243"/>
        <v>360</v>
      </c>
      <c r="Y263" s="419">
        <v>450</v>
      </c>
      <c r="Z263" s="430">
        <f>PI()*Y263/1000*( Pile!$C$50- Pile!$C263)</f>
        <v>0.84823001646924112</v>
      </c>
      <c r="AA263" s="382">
        <f t="shared" si="244"/>
        <v>0.15904312808798329</v>
      </c>
      <c r="AB263" s="382">
        <f t="shared" si="292"/>
        <v>16.964600329384822</v>
      </c>
      <c r="AC263" s="382">
        <f>Z263* Pile!$S$50</f>
        <v>0</v>
      </c>
      <c r="AD263" s="382">
        <f t="shared" si="298"/>
        <v>16.964600329384822</v>
      </c>
      <c r="AE263" s="382">
        <f>IF(AD263&gt;0,+AD263)/ 'Pile Data and Eurocode Factors'!$B$14/ 'Pile Data and Eurocode Factors'!$B$15+AE$261</f>
        <v>104.97207895370428</v>
      </c>
      <c r="AF263" s="382">
        <f t="shared" ref="AF263:AF321" si="305">AA263*$X263</f>
        <v>57.255526111673987</v>
      </c>
      <c r="AG263" s="382">
        <f>AA263* Pile!$U$50</f>
        <v>0</v>
      </c>
      <c r="AH263" s="382">
        <f t="shared" si="245"/>
        <v>57.255526111673987</v>
      </c>
      <c r="AI263" s="382">
        <f>AH263/ 'Pile Data and Eurocode Factors'!$C$14/ 'Pile Data and Eurocode Factors'!$C$15</f>
        <v>20.448402182740711</v>
      </c>
      <c r="AJ263" s="382">
        <f t="shared" si="246"/>
        <v>125.42048113644499</v>
      </c>
      <c r="AK263" s="382">
        <f>VLOOKUP(Y263, 'Pile Data and Eurocode Factors'!$A$34:$J$39,3, FALSE)</f>
        <v>2366.1761868507956</v>
      </c>
      <c r="AL263" s="403">
        <f t="shared" si="247"/>
        <v>125.42048113644499</v>
      </c>
      <c r="AM263" s="419">
        <v>600</v>
      </c>
      <c r="AN263" s="430">
        <f>PI()*AM263/1000*( Pile!$C$50- Pile!$C263)</f>
        <v>1.1309733552923216</v>
      </c>
      <c r="AO263" s="382">
        <f t="shared" si="248"/>
        <v>0.28274333882308139</v>
      </c>
      <c r="AP263" s="382">
        <f t="shared" si="293"/>
        <v>22.619467105846432</v>
      </c>
      <c r="AQ263" s="382">
        <f>AN263* Pile!$S$50</f>
        <v>0</v>
      </c>
      <c r="AR263" s="382">
        <f t="shared" si="299"/>
        <v>22.619467105846432</v>
      </c>
      <c r="AS263" s="382">
        <f>IF(AR263&gt;0,+AR263)/ 'Pile Data and Eurocode Factors'!$B$14/ 'Pile Data and Eurocode Factors'!$B$15+AS$261</f>
        <v>139.96277193827234</v>
      </c>
      <c r="AT263" s="382">
        <f t="shared" ref="AT263:AT321" si="306">AO263*$X263</f>
        <v>101.7876019763093</v>
      </c>
      <c r="AU263" s="382">
        <f>AO263* Pile!$U$50</f>
        <v>0</v>
      </c>
      <c r="AV263" s="382">
        <f t="shared" si="249"/>
        <v>101.7876019763093</v>
      </c>
      <c r="AW263" s="382">
        <f>AV263/ 'Pile Data and Eurocode Factors'!$C$14/ 'Pile Data and Eurocode Factors'!$C$15</f>
        <v>36.352714991539038</v>
      </c>
      <c r="AX263" s="382">
        <f t="shared" si="250"/>
        <v>176.31548692981139</v>
      </c>
      <c r="AY263" s="382">
        <f>VLOOKUP(AM263, 'Pile Data and Eurocode Factors'!$A$34:$J$39,3, FALSE)</f>
        <v>4206.5354432903041</v>
      </c>
      <c r="AZ263" s="403">
        <f t="shared" si="251"/>
        <v>176.31548692981139</v>
      </c>
      <c r="BA263" s="419">
        <v>750</v>
      </c>
      <c r="BB263" s="430">
        <f>PI()*BA263/1000*( Pile!$C$50- Pile!$C263)</f>
        <v>1.4137166941154018</v>
      </c>
      <c r="BC263" s="382">
        <f t="shared" si="252"/>
        <v>0.44178646691106466</v>
      </c>
      <c r="BD263" s="382">
        <f t="shared" si="294"/>
        <v>28.274333882308035</v>
      </c>
      <c r="BE263" s="382">
        <f>BB263* Pile!$S$50</f>
        <v>0</v>
      </c>
      <c r="BF263" s="382">
        <f t="shared" si="300"/>
        <v>28.274333882308035</v>
      </c>
      <c r="BG263" s="382">
        <f>IF(BF263&gt;0,+BF263)/ 'Pile Data and Eurocode Factors'!$B$14/ 'Pile Data and Eurocode Factors'!$B$15+BG$261</f>
        <v>174.95346492284048</v>
      </c>
      <c r="BH263" s="382">
        <f t="shared" ref="BH263:BH321" si="307">BC263*$X263</f>
        <v>159.04312808798326</v>
      </c>
      <c r="BI263" s="382">
        <f>BC263* Pile!$U$50</f>
        <v>0</v>
      </c>
      <c r="BJ263" s="382">
        <f t="shared" si="253"/>
        <v>159.04312808798326</v>
      </c>
      <c r="BK263" s="382">
        <f>BJ263/ 'Pile Data and Eurocode Factors'!$C$14/ 'Pile Data and Eurocode Factors'!$C$15</f>
        <v>56.801117174279739</v>
      </c>
      <c r="BL263" s="382">
        <f t="shared" si="254"/>
        <v>231.75458209712022</v>
      </c>
      <c r="BM263" s="382">
        <f>VLOOKUP(BA263, 'Pile Data and Eurocode Factors'!$A$34:$J$39,3, FALSE)</f>
        <v>6572.7116301410997</v>
      </c>
      <c r="BN263" s="403">
        <f t="shared" si="255"/>
        <v>231.75458209712022</v>
      </c>
      <c r="BO263" s="419">
        <v>900</v>
      </c>
      <c r="BP263" s="430">
        <f>PI()*BO263/1000*( Pile!$C$50- Pile!$C263)</f>
        <v>1.6964600329384822</v>
      </c>
      <c r="BQ263" s="382">
        <f t="shared" si="256"/>
        <v>0.63617251235193317</v>
      </c>
      <c r="BR263" s="382">
        <f t="shared" si="295"/>
        <v>33.929200658769645</v>
      </c>
      <c r="BS263" s="382">
        <f>BP263* Pile!$S$50</f>
        <v>0</v>
      </c>
      <c r="BT263" s="382">
        <f t="shared" si="301"/>
        <v>33.929200658769645</v>
      </c>
      <c r="BU263" s="382">
        <f>IF(BT263&gt;0,+BT263)/ 'Pile Data and Eurocode Factors'!$B$14/ 'Pile Data and Eurocode Factors'!$B$15+BU$261</f>
        <v>209.94415790740857</v>
      </c>
      <c r="BV263" s="382">
        <f t="shared" ref="BV263:BV321" si="308">BQ263*$X263</f>
        <v>229.02210444669595</v>
      </c>
      <c r="BW263" s="382">
        <f>BQ263* Pile!$U$50</f>
        <v>0</v>
      </c>
      <c r="BX263" s="382">
        <f t="shared" si="257"/>
        <v>229.02210444669595</v>
      </c>
      <c r="BY263" s="382">
        <f>BX263/ 'Pile Data and Eurocode Factors'!$C$14/ 'Pile Data and Eurocode Factors'!$C$15</f>
        <v>81.793608730962845</v>
      </c>
      <c r="BZ263" s="382">
        <f t="shared" si="258"/>
        <v>291.7377666383714</v>
      </c>
      <c r="CA263" s="382">
        <f>VLOOKUP(BO263, 'Pile Data and Eurocode Factors'!$A$34:$J$39,3, FALSE)</f>
        <v>9464.7047474031824</v>
      </c>
      <c r="CB263" s="403">
        <f t="shared" si="259"/>
        <v>291.7377666383714</v>
      </c>
      <c r="CC263" s="419">
        <v>1050</v>
      </c>
      <c r="CD263" s="430">
        <f>PI()*CC263/1000*( Pile!$C$50- Pile!$C263)</f>
        <v>1.9792033717615627</v>
      </c>
      <c r="CE263" s="382">
        <f t="shared" si="260"/>
        <v>0.86590147514568672</v>
      </c>
      <c r="CF263" s="382">
        <f t="shared" si="296"/>
        <v>39.584067435231255</v>
      </c>
      <c r="CG263" s="382">
        <f>CD263* Pile!$S$50</f>
        <v>0</v>
      </c>
      <c r="CH263" s="382">
        <f t="shared" si="302"/>
        <v>39.584067435231255</v>
      </c>
      <c r="CI263" s="382">
        <f>IF(CH263&gt;0,+CH263)/ 'Pile Data and Eurocode Factors'!$B$14/ 'Pile Data and Eurocode Factors'!$B$15+CI$261</f>
        <v>244.93485089197662</v>
      </c>
      <c r="CJ263" s="382">
        <f t="shared" ref="CJ263:CJ321" si="309">CE263*$X263</f>
        <v>311.72453105244722</v>
      </c>
      <c r="CK263" s="382">
        <f>CE263* Pile!$U$50</f>
        <v>0</v>
      </c>
      <c r="CL263" s="382">
        <f t="shared" si="261"/>
        <v>311.72453105244722</v>
      </c>
      <c r="CM263" s="382">
        <f>CL263/ 'Pile Data and Eurocode Factors'!$C$14/ 'Pile Data and Eurocode Factors'!$C$15</f>
        <v>111.33018966158829</v>
      </c>
      <c r="CN263" s="382">
        <f t="shared" si="262"/>
        <v>356.26504055356492</v>
      </c>
      <c r="CO263" s="382">
        <f>VLOOKUP(CC263, 'Pile Data and Eurocode Factors'!$A$34:$J$39,3, FALSE)</f>
        <v>12882.514795076555</v>
      </c>
      <c r="CP263" s="403">
        <f t="shared" si="263"/>
        <v>356.26504055356492</v>
      </c>
      <c r="CQ263" s="419">
        <v>1200</v>
      </c>
      <c r="CR263" s="430">
        <f>PI()*CQ263/1000*( Pile!$C$50- Pile!$C263)</f>
        <v>2.2619467105846431</v>
      </c>
      <c r="CS263" s="382">
        <f t="shared" si="264"/>
        <v>1.1309733552923256</v>
      </c>
      <c r="CT263" s="382">
        <f t="shared" si="297"/>
        <v>45.238934211692865</v>
      </c>
      <c r="CU263" s="382">
        <f>CR263* Pile!$S$50</f>
        <v>0</v>
      </c>
      <c r="CV263" s="382">
        <f t="shared" si="303"/>
        <v>45.238934211692865</v>
      </c>
      <c r="CW263" s="382">
        <f>IF(CV263&gt;0,+CV263)/ 'Pile Data and Eurocode Factors'!$B$14/ 'Pile Data and Eurocode Factors'!$B$15+CW$261</f>
        <v>279.92554387654468</v>
      </c>
      <c r="CX263" s="382">
        <f t="shared" ref="CX263:CX321" si="310">CS263*$X263</f>
        <v>407.15040790523722</v>
      </c>
      <c r="CY263" s="382">
        <f>CS263* Pile!$U$50</f>
        <v>0</v>
      </c>
      <c r="CZ263" s="382">
        <f t="shared" si="265"/>
        <v>407.15040790523722</v>
      </c>
      <c r="DA263" s="382">
        <f>CZ263/ 'Pile Data and Eurocode Factors'!$C$14/ 'Pile Data and Eurocode Factors'!$C$15</f>
        <v>145.41085996615615</v>
      </c>
      <c r="DB263" s="382">
        <f t="shared" si="266"/>
        <v>425.33640384270086</v>
      </c>
      <c r="DC263" s="382">
        <f>VLOOKUP(CQ263, 'Pile Data and Eurocode Factors'!$A$34:$J$39,3, FALSE)</f>
        <v>16826.141773161216</v>
      </c>
      <c r="DD263" s="403">
        <f t="shared" si="267"/>
        <v>425.33640384270086</v>
      </c>
      <c r="DE263" s="420">
        <f xml:space="preserve"> Pile!$C$23- Pile!C263</f>
        <v>6.5999999999999979</v>
      </c>
      <c r="DG263" s="382">
        <f t="shared" si="268"/>
        <v>125.42048113644499</v>
      </c>
      <c r="DH263" s="382">
        <f t="shared" si="269"/>
        <v>176.31548692981139</v>
      </c>
      <c r="DI263" s="382">
        <f t="shared" si="270"/>
        <v>231.75458209712022</v>
      </c>
      <c r="DJ263" s="382">
        <f t="shared" si="271"/>
        <v>291.7377666383714</v>
      </c>
      <c r="DK263" s="382">
        <f t="shared" si="272"/>
        <v>356.26504055356492</v>
      </c>
      <c r="DL263" s="382">
        <f t="shared" si="291"/>
        <v>425.33640384270086</v>
      </c>
    </row>
    <row r="264" spans="2:116" s="308" customFormat="1" ht="15">
      <c r="B264" s="400">
        <v>3</v>
      </c>
      <c r="C264" s="401">
        <f>+C263- Pile!D$50/20</f>
        <v>-0.89999999999999791</v>
      </c>
      <c r="D264" s="415" t="str">
        <f>B24</f>
        <v>Firm Clay</v>
      </c>
      <c r="E264" s="415" t="str">
        <f>F24</f>
        <v>Cohesive</v>
      </c>
      <c r="F264" s="401">
        <f xml:space="preserve"> Pile!$E$50*(+C263-C264)+F263</f>
        <v>115.64999999999996</v>
      </c>
      <c r="G264" s="401">
        <f>IF(C264&gt; Pile!$C$54,0,( Pile!$C$54-C264)*9.81)</f>
        <v>0</v>
      </c>
      <c r="H264" s="401">
        <f t="shared" si="238"/>
        <v>115.64999999999996</v>
      </c>
      <c r="I264" s="401">
        <f t="shared" si="304"/>
        <v>107.32499999999996</v>
      </c>
      <c r="J264" s="401">
        <f>IF(E264="Cohesive",(( Pile!$H$50- Pile!$G$50)/20)+J263,0)</f>
        <v>40</v>
      </c>
      <c r="K264" s="401">
        <f>IF(E264="Cohesive",( Pile!$G$50+ Pile!$J264)/2,0)</f>
        <v>40</v>
      </c>
      <c r="L264" s="401">
        <f>IF( Pile!I$50="",0, Pile!I$50)</f>
        <v>0.5</v>
      </c>
      <c r="M264" s="401">
        <f>IF( Pile!J$50="",0, Pile!J$50)</f>
        <v>9</v>
      </c>
      <c r="N264" s="401">
        <f>IF(E264="Granular", Pile!$K$50,0)</f>
        <v>0</v>
      </c>
      <c r="O264" s="416">
        <f>IF(AND(E264="Granular",D264&lt;&gt;"Made Ground"), Pile!$L$50,0)</f>
        <v>0</v>
      </c>
      <c r="P264" s="401">
        <f>IF(OR(D264="Low Density Chalk",D264="Medium Density Chalk"), Pile!$M$50,0)</f>
        <v>0</v>
      </c>
      <c r="Q264" s="417">
        <f>IF(D264="High Density Chalk", Pile!$N$50,0)</f>
        <v>0</v>
      </c>
      <c r="R264" s="401">
        <f>IF( Pile!O$50="",0, Pile!O$50)</f>
        <v>0</v>
      </c>
      <c r="S264" s="418">
        <f t="shared" si="240"/>
        <v>20</v>
      </c>
      <c r="T264" s="382">
        <f xml:space="preserve"> Pile!$T$50</f>
        <v>100</v>
      </c>
      <c r="U264" s="382">
        <f t="shared" si="241"/>
        <v>20</v>
      </c>
      <c r="V264" s="382">
        <f t="shared" si="242"/>
        <v>360</v>
      </c>
      <c r="W264" s="382" t="str">
        <f xml:space="preserve"> Pile!$V$50</f>
        <v/>
      </c>
      <c r="X264" s="382">
        <f t="shared" si="243"/>
        <v>360</v>
      </c>
      <c r="Y264" s="419">
        <v>450</v>
      </c>
      <c r="Z264" s="430">
        <f>PI()*Y264/1000*( Pile!$C$50- Pile!$C264)</f>
        <v>1.2723450247038632</v>
      </c>
      <c r="AA264" s="382">
        <f t="shared" si="244"/>
        <v>0.15904312808798329</v>
      </c>
      <c r="AB264" s="382">
        <f t="shared" si="292"/>
        <v>25.446900494077266</v>
      </c>
      <c r="AC264" s="382">
        <f>Z264* Pile!$S$50</f>
        <v>0</v>
      </c>
      <c r="AD264" s="382">
        <f t="shared" si="298"/>
        <v>25.446900494077266</v>
      </c>
      <c r="AE264" s="382">
        <f>IF(AD264&gt;0,+AD264)/ 'Pile Data and Eurocode Factors'!$B$14/ 'Pile Data and Eurocode Factors'!$B$15+AE$261</f>
        <v>108.75882009865627</v>
      </c>
      <c r="AF264" s="382">
        <f t="shared" si="305"/>
        <v>57.255526111673987</v>
      </c>
      <c r="AG264" s="382">
        <f>AA264* Pile!$U$50</f>
        <v>0</v>
      </c>
      <c r="AH264" s="382">
        <f t="shared" si="245"/>
        <v>57.255526111673987</v>
      </c>
      <c r="AI264" s="382">
        <f>AH264/ 'Pile Data and Eurocode Factors'!$C$14/ 'Pile Data and Eurocode Factors'!$C$15</f>
        <v>20.448402182740711</v>
      </c>
      <c r="AJ264" s="382">
        <f t="shared" si="246"/>
        <v>129.20722228139698</v>
      </c>
      <c r="AK264" s="382">
        <f>VLOOKUP(Y264, 'Pile Data and Eurocode Factors'!$A$34:$J$39,3, FALSE)</f>
        <v>2366.1761868507956</v>
      </c>
      <c r="AL264" s="403">
        <f t="shared" si="247"/>
        <v>129.20722228139698</v>
      </c>
      <c r="AM264" s="419">
        <v>600</v>
      </c>
      <c r="AN264" s="430">
        <f>PI()*AM264/1000*( Pile!$C$50- Pile!$C264)</f>
        <v>1.6964600329384842</v>
      </c>
      <c r="AO264" s="382">
        <f t="shared" si="248"/>
        <v>0.28274333882308139</v>
      </c>
      <c r="AP264" s="382">
        <f t="shared" si="293"/>
        <v>33.929200658769687</v>
      </c>
      <c r="AQ264" s="382">
        <f>AN264* Pile!$S$50</f>
        <v>0</v>
      </c>
      <c r="AR264" s="382">
        <f t="shared" si="299"/>
        <v>33.929200658769687</v>
      </c>
      <c r="AS264" s="382">
        <f>IF(AR264&gt;0,+AR264)/ 'Pile Data and Eurocode Factors'!$B$14/ 'Pile Data and Eurocode Factors'!$B$15+AS$261</f>
        <v>145.01176013154165</v>
      </c>
      <c r="AT264" s="382">
        <f t="shared" si="306"/>
        <v>101.7876019763093</v>
      </c>
      <c r="AU264" s="382">
        <f>AO264* Pile!$U$50</f>
        <v>0</v>
      </c>
      <c r="AV264" s="382">
        <f t="shared" si="249"/>
        <v>101.7876019763093</v>
      </c>
      <c r="AW264" s="382">
        <f>AV264/ 'Pile Data and Eurocode Factors'!$C$14/ 'Pile Data and Eurocode Factors'!$C$15</f>
        <v>36.352714991539038</v>
      </c>
      <c r="AX264" s="382">
        <f t="shared" si="250"/>
        <v>181.36447512308069</v>
      </c>
      <c r="AY264" s="382">
        <f>VLOOKUP(AM264, 'Pile Data and Eurocode Factors'!$A$34:$J$39,3, FALSE)</f>
        <v>4206.5354432903041</v>
      </c>
      <c r="AZ264" s="403">
        <f t="shared" si="251"/>
        <v>181.36447512308069</v>
      </c>
      <c r="BA264" s="419">
        <v>750</v>
      </c>
      <c r="BB264" s="430">
        <f>PI()*BA264/1000*( Pile!$C$50- Pile!$C264)</f>
        <v>2.1205750411731055</v>
      </c>
      <c r="BC264" s="382">
        <f t="shared" si="252"/>
        <v>0.44178646691106466</v>
      </c>
      <c r="BD264" s="382">
        <f t="shared" si="294"/>
        <v>42.411500823462106</v>
      </c>
      <c r="BE264" s="382">
        <f>BB264* Pile!$S$50</f>
        <v>0</v>
      </c>
      <c r="BF264" s="382">
        <f t="shared" si="300"/>
        <v>42.411500823462106</v>
      </c>
      <c r="BG264" s="382">
        <f>IF(BF264&gt;0,+BF264)/ 'Pile Data and Eurocode Factors'!$B$14/ 'Pile Data and Eurocode Factors'!$B$15+BG$261</f>
        <v>181.26470016442713</v>
      </c>
      <c r="BH264" s="382">
        <f t="shared" si="307"/>
        <v>159.04312808798326</v>
      </c>
      <c r="BI264" s="382">
        <f>BC264* Pile!$U$50</f>
        <v>0</v>
      </c>
      <c r="BJ264" s="382">
        <f t="shared" si="253"/>
        <v>159.04312808798326</v>
      </c>
      <c r="BK264" s="382">
        <f>BJ264/ 'Pile Data and Eurocode Factors'!$C$14/ 'Pile Data and Eurocode Factors'!$C$15</f>
        <v>56.801117174279739</v>
      </c>
      <c r="BL264" s="382">
        <f t="shared" si="254"/>
        <v>238.06581733870686</v>
      </c>
      <c r="BM264" s="382">
        <f>VLOOKUP(BA264, 'Pile Data and Eurocode Factors'!$A$34:$J$39,3, FALSE)</f>
        <v>6572.7116301410997</v>
      </c>
      <c r="BN264" s="403">
        <f t="shared" si="255"/>
        <v>238.06581733870686</v>
      </c>
      <c r="BO264" s="419">
        <v>900</v>
      </c>
      <c r="BP264" s="430">
        <f>PI()*BO264/1000*( Pile!$C$50- Pile!$C264)</f>
        <v>2.5446900494077265</v>
      </c>
      <c r="BQ264" s="382">
        <f t="shared" si="256"/>
        <v>0.63617251235193317</v>
      </c>
      <c r="BR264" s="382">
        <f t="shared" si="295"/>
        <v>50.893800988154531</v>
      </c>
      <c r="BS264" s="382">
        <f>BP264* Pile!$S$50</f>
        <v>0</v>
      </c>
      <c r="BT264" s="382">
        <f t="shared" si="301"/>
        <v>50.893800988154531</v>
      </c>
      <c r="BU264" s="382">
        <f>IF(BT264&gt;0,+BT264)/ 'Pile Data and Eurocode Factors'!$B$14/ 'Pile Data and Eurocode Factors'!$B$15+BU$261</f>
        <v>217.51764019731255</v>
      </c>
      <c r="BV264" s="382">
        <f t="shared" si="308"/>
        <v>229.02210444669595</v>
      </c>
      <c r="BW264" s="382">
        <f>BQ264* Pile!$U$50</f>
        <v>0</v>
      </c>
      <c r="BX264" s="382">
        <f t="shared" si="257"/>
        <v>229.02210444669595</v>
      </c>
      <c r="BY264" s="382">
        <f>BX264/ 'Pile Data and Eurocode Factors'!$C$14/ 'Pile Data and Eurocode Factors'!$C$15</f>
        <v>81.793608730962845</v>
      </c>
      <c r="BZ264" s="382">
        <f t="shared" si="258"/>
        <v>299.3112489282754</v>
      </c>
      <c r="CA264" s="382">
        <f>VLOOKUP(BO264, 'Pile Data and Eurocode Factors'!$A$34:$J$39,3, FALSE)</f>
        <v>9464.7047474031824</v>
      </c>
      <c r="CB264" s="403">
        <f t="shared" si="259"/>
        <v>299.3112489282754</v>
      </c>
      <c r="CC264" s="419">
        <v>1050</v>
      </c>
      <c r="CD264" s="430">
        <f>PI()*CC264/1000*( Pile!$C$50- Pile!$C264)</f>
        <v>2.9688050576423475</v>
      </c>
      <c r="CE264" s="382">
        <f t="shared" si="260"/>
        <v>0.86590147514568672</v>
      </c>
      <c r="CF264" s="382">
        <f t="shared" si="296"/>
        <v>59.37610115284695</v>
      </c>
      <c r="CG264" s="382">
        <f>CD264* Pile!$S$50</f>
        <v>0</v>
      </c>
      <c r="CH264" s="382">
        <f t="shared" si="302"/>
        <v>59.37610115284695</v>
      </c>
      <c r="CI264" s="382">
        <f>IF(CH264&gt;0,+CH264)/ 'Pile Data and Eurocode Factors'!$B$14/ 'Pile Data and Eurocode Factors'!$B$15+CI$261</f>
        <v>253.77058023019794</v>
      </c>
      <c r="CJ264" s="382">
        <f t="shared" si="309"/>
        <v>311.72453105244722</v>
      </c>
      <c r="CK264" s="382">
        <f>CE264* Pile!$U$50</f>
        <v>0</v>
      </c>
      <c r="CL264" s="382">
        <f t="shared" si="261"/>
        <v>311.72453105244722</v>
      </c>
      <c r="CM264" s="382">
        <f>CL264/ 'Pile Data and Eurocode Factors'!$C$14/ 'Pile Data and Eurocode Factors'!$C$15</f>
        <v>111.33018966158829</v>
      </c>
      <c r="CN264" s="382">
        <f t="shared" si="262"/>
        <v>365.10076989178623</v>
      </c>
      <c r="CO264" s="382">
        <f>VLOOKUP(CC264, 'Pile Data and Eurocode Factors'!$A$34:$J$39,3, FALSE)</f>
        <v>12882.514795076555</v>
      </c>
      <c r="CP264" s="403">
        <f t="shared" si="263"/>
        <v>365.10076989178623</v>
      </c>
      <c r="CQ264" s="419">
        <v>1200</v>
      </c>
      <c r="CR264" s="430">
        <f>PI()*CQ264/1000*( Pile!$C$50- Pile!$C264)</f>
        <v>3.3929200658769685</v>
      </c>
      <c r="CS264" s="382">
        <f t="shared" si="264"/>
        <v>1.1309733552923256</v>
      </c>
      <c r="CT264" s="382">
        <f t="shared" si="297"/>
        <v>67.858401317539375</v>
      </c>
      <c r="CU264" s="382">
        <f>CR264* Pile!$S$50</f>
        <v>0</v>
      </c>
      <c r="CV264" s="382">
        <f t="shared" si="303"/>
        <v>67.858401317539375</v>
      </c>
      <c r="CW264" s="382">
        <f>IF(CV264&gt;0,+CV264)/ 'Pile Data and Eurocode Factors'!$B$14/ 'Pile Data and Eurocode Factors'!$B$15+CW$261</f>
        <v>290.0235202630833</v>
      </c>
      <c r="CX264" s="382">
        <f t="shared" si="310"/>
        <v>407.15040790523722</v>
      </c>
      <c r="CY264" s="382">
        <f>CS264* Pile!$U$50</f>
        <v>0</v>
      </c>
      <c r="CZ264" s="382">
        <f t="shared" si="265"/>
        <v>407.15040790523722</v>
      </c>
      <c r="DA264" s="382">
        <f>CZ264/ 'Pile Data and Eurocode Factors'!$C$14/ 'Pile Data and Eurocode Factors'!$C$15</f>
        <v>145.41085996615615</v>
      </c>
      <c r="DB264" s="382">
        <f t="shared" si="266"/>
        <v>435.43438022923942</v>
      </c>
      <c r="DC264" s="382">
        <f>VLOOKUP(CQ264, 'Pile Data and Eurocode Factors'!$A$34:$J$39,3, FALSE)</f>
        <v>16826.141773161216</v>
      </c>
      <c r="DD264" s="403">
        <f t="shared" si="267"/>
        <v>435.43438022923942</v>
      </c>
      <c r="DE264" s="420">
        <f xml:space="preserve"> Pile!$C$23- Pile!C264</f>
        <v>6.8999999999999977</v>
      </c>
      <c r="DG264" s="382">
        <f t="shared" si="268"/>
        <v>129.20722228139698</v>
      </c>
      <c r="DH264" s="382">
        <f t="shared" si="269"/>
        <v>181.36447512308069</v>
      </c>
      <c r="DI264" s="382">
        <f t="shared" si="270"/>
        <v>238.06581733870686</v>
      </c>
      <c r="DJ264" s="382">
        <f t="shared" si="271"/>
        <v>299.3112489282754</v>
      </c>
      <c r="DK264" s="382">
        <f t="shared" si="272"/>
        <v>365.10076989178623</v>
      </c>
      <c r="DL264" s="382">
        <f t="shared" si="291"/>
        <v>435.43438022923942</v>
      </c>
    </row>
    <row r="265" spans="2:116" s="308" customFormat="1" ht="15">
      <c r="B265" s="400">
        <v>4</v>
      </c>
      <c r="C265" s="401">
        <f>+C264- Pile!D$50/20</f>
        <v>-1.199999999999998</v>
      </c>
      <c r="D265" s="415" t="str">
        <f>B24</f>
        <v>Firm Clay</v>
      </c>
      <c r="E265" s="415" t="str">
        <f>F24</f>
        <v>Cohesive</v>
      </c>
      <c r="F265" s="401">
        <f xml:space="preserve"> Pile!$E$50*(+C264-C265)+F264</f>
        <v>121.19999999999996</v>
      </c>
      <c r="G265" s="401">
        <f>IF(C265&gt; Pile!$C$54,0,( Pile!$C$54-C265)*9.81)</f>
        <v>0</v>
      </c>
      <c r="H265" s="401">
        <f t="shared" si="238"/>
        <v>121.19999999999996</v>
      </c>
      <c r="I265" s="401">
        <f t="shared" si="304"/>
        <v>110.09999999999997</v>
      </c>
      <c r="J265" s="401">
        <f>IF(E265="Cohesive",(( Pile!$H$50- Pile!$G$50)/20)+J264,0)</f>
        <v>40</v>
      </c>
      <c r="K265" s="401">
        <f>IF(E265="Cohesive",( Pile!$G$50+ Pile!$J265)/2,0)</f>
        <v>40</v>
      </c>
      <c r="L265" s="401">
        <f>IF( Pile!I$50="",0, Pile!I$50)</f>
        <v>0.5</v>
      </c>
      <c r="M265" s="401">
        <f>IF( Pile!J$50="",0, Pile!J$50)</f>
        <v>9</v>
      </c>
      <c r="N265" s="401">
        <f>IF(E265="Granular", Pile!$K$50,0)</f>
        <v>0</v>
      </c>
      <c r="O265" s="416">
        <f>IF(AND(E265="Granular",D265&lt;&gt;"Made Ground"), Pile!$L$50,0)</f>
        <v>0</v>
      </c>
      <c r="P265" s="401">
        <f>IF(OR(D265="Low Density Chalk",D265="Medium Density Chalk"), Pile!$M$50,0)</f>
        <v>0</v>
      </c>
      <c r="Q265" s="417">
        <f>IF(D265="High Density Chalk", Pile!$N$50,0)</f>
        <v>0</v>
      </c>
      <c r="R265" s="401">
        <f>IF( Pile!O$50="",0, Pile!O$50)</f>
        <v>0</v>
      </c>
      <c r="S265" s="418">
        <f t="shared" si="240"/>
        <v>20</v>
      </c>
      <c r="T265" s="382">
        <f xml:space="preserve"> Pile!$T$50</f>
        <v>100</v>
      </c>
      <c r="U265" s="382">
        <f t="shared" si="241"/>
        <v>20</v>
      </c>
      <c r="V265" s="382">
        <f t="shared" si="242"/>
        <v>360</v>
      </c>
      <c r="W265" s="382" t="str">
        <f xml:space="preserve"> Pile!$V$50</f>
        <v/>
      </c>
      <c r="X265" s="382">
        <f t="shared" si="243"/>
        <v>360</v>
      </c>
      <c r="Y265" s="419">
        <v>450</v>
      </c>
      <c r="Z265" s="430">
        <f>PI()*Y265/1000*( Pile!$C$50- Pile!$C265)</f>
        <v>1.6964600329384854</v>
      </c>
      <c r="AA265" s="382">
        <f t="shared" si="244"/>
        <v>0.15904312808798329</v>
      </c>
      <c r="AB265" s="382">
        <f t="shared" si="292"/>
        <v>33.929200658769709</v>
      </c>
      <c r="AC265" s="382">
        <f>Z265* Pile!$S$50</f>
        <v>0</v>
      </c>
      <c r="AD265" s="382">
        <f t="shared" si="298"/>
        <v>33.929200658769709</v>
      </c>
      <c r="AE265" s="382">
        <f>IF(AD265&gt;0,+AD265)/ 'Pile Data and Eurocode Factors'!$B$14/ 'Pile Data and Eurocode Factors'!$B$15+AE$261</f>
        <v>112.54556124360825</v>
      </c>
      <c r="AF265" s="382">
        <f t="shared" si="305"/>
        <v>57.255526111673987</v>
      </c>
      <c r="AG265" s="382">
        <f>AA265* Pile!$U$50</f>
        <v>0</v>
      </c>
      <c r="AH265" s="382">
        <f t="shared" si="245"/>
        <v>57.255526111673987</v>
      </c>
      <c r="AI265" s="382">
        <f>AH265/ 'Pile Data and Eurocode Factors'!$C$14/ 'Pile Data and Eurocode Factors'!$C$15</f>
        <v>20.448402182740711</v>
      </c>
      <c r="AJ265" s="382">
        <f t="shared" si="246"/>
        <v>132.99396342634896</v>
      </c>
      <c r="AK265" s="382">
        <f>VLOOKUP(Y265, 'Pile Data and Eurocode Factors'!$A$34:$J$39,3, FALSE)</f>
        <v>2366.1761868507956</v>
      </c>
      <c r="AL265" s="403">
        <f t="shared" si="247"/>
        <v>132.99396342634896</v>
      </c>
      <c r="AM265" s="419">
        <v>600</v>
      </c>
      <c r="AN265" s="430">
        <f>PI()*AM265/1000*( Pile!$C$50- Pile!$C265)</f>
        <v>2.2619467105846471</v>
      </c>
      <c r="AO265" s="382">
        <f t="shared" si="248"/>
        <v>0.28274333882308139</v>
      </c>
      <c r="AP265" s="382">
        <f t="shared" si="293"/>
        <v>45.238934211692943</v>
      </c>
      <c r="AQ265" s="382">
        <f>AN265* Pile!$S$50</f>
        <v>0</v>
      </c>
      <c r="AR265" s="382">
        <f t="shared" si="299"/>
        <v>45.238934211692943</v>
      </c>
      <c r="AS265" s="382">
        <f>IF(AR265&gt;0,+AR265)/ 'Pile Data and Eurocode Factors'!$B$14/ 'Pile Data and Eurocode Factors'!$B$15+AS$261</f>
        <v>150.06074832481096</v>
      </c>
      <c r="AT265" s="382">
        <f t="shared" si="306"/>
        <v>101.7876019763093</v>
      </c>
      <c r="AU265" s="382">
        <f>AO265* Pile!$U$50</f>
        <v>0</v>
      </c>
      <c r="AV265" s="382">
        <f t="shared" si="249"/>
        <v>101.7876019763093</v>
      </c>
      <c r="AW265" s="382">
        <f>AV265/ 'Pile Data and Eurocode Factors'!$C$14/ 'Pile Data and Eurocode Factors'!$C$15</f>
        <v>36.352714991539038</v>
      </c>
      <c r="AX265" s="382">
        <f t="shared" si="250"/>
        <v>186.41346331635</v>
      </c>
      <c r="AY265" s="382">
        <f>VLOOKUP(AM265, 'Pile Data and Eurocode Factors'!$A$34:$J$39,3, FALSE)</f>
        <v>4206.5354432903041</v>
      </c>
      <c r="AZ265" s="403">
        <f t="shared" si="251"/>
        <v>186.41346331635</v>
      </c>
      <c r="BA265" s="419">
        <v>750</v>
      </c>
      <c r="BB265" s="430">
        <f>PI()*BA265/1000*( Pile!$C$50- Pile!$C265)</f>
        <v>2.8274333882308089</v>
      </c>
      <c r="BC265" s="382">
        <f t="shared" si="252"/>
        <v>0.44178646691106466</v>
      </c>
      <c r="BD265" s="382">
        <f t="shared" si="294"/>
        <v>56.548667764616177</v>
      </c>
      <c r="BE265" s="382">
        <f>BB265* Pile!$S$50</f>
        <v>0</v>
      </c>
      <c r="BF265" s="382">
        <f t="shared" si="300"/>
        <v>56.548667764616177</v>
      </c>
      <c r="BG265" s="382">
        <f>IF(BF265&gt;0,+BF265)/ 'Pile Data and Eurocode Factors'!$B$14/ 'Pile Data and Eurocode Factors'!$B$15+BG$261</f>
        <v>187.57593540601374</v>
      </c>
      <c r="BH265" s="382">
        <f t="shared" si="307"/>
        <v>159.04312808798326</v>
      </c>
      <c r="BI265" s="382">
        <f>BC265* Pile!$U$50</f>
        <v>0</v>
      </c>
      <c r="BJ265" s="382">
        <f t="shared" si="253"/>
        <v>159.04312808798326</v>
      </c>
      <c r="BK265" s="382">
        <f>BJ265/ 'Pile Data and Eurocode Factors'!$C$14/ 'Pile Data and Eurocode Factors'!$C$15</f>
        <v>56.801117174279739</v>
      </c>
      <c r="BL265" s="382">
        <f t="shared" si="254"/>
        <v>244.37705258029348</v>
      </c>
      <c r="BM265" s="382">
        <f>VLOOKUP(BA265, 'Pile Data and Eurocode Factors'!$A$34:$J$39,3, FALSE)</f>
        <v>6572.7116301410997</v>
      </c>
      <c r="BN265" s="403">
        <f t="shared" si="255"/>
        <v>244.37705258029348</v>
      </c>
      <c r="BO265" s="419">
        <v>900</v>
      </c>
      <c r="BP265" s="430">
        <f>PI()*BO265/1000*( Pile!$C$50- Pile!$C265)</f>
        <v>3.3929200658769707</v>
      </c>
      <c r="BQ265" s="382">
        <f t="shared" si="256"/>
        <v>0.63617251235193317</v>
      </c>
      <c r="BR265" s="382">
        <f t="shared" si="295"/>
        <v>67.858401317539418</v>
      </c>
      <c r="BS265" s="382">
        <f>BP265* Pile!$S$50</f>
        <v>0</v>
      </c>
      <c r="BT265" s="382">
        <f t="shared" si="301"/>
        <v>67.858401317539418</v>
      </c>
      <c r="BU265" s="382">
        <f>IF(BT265&gt;0,+BT265)/ 'Pile Data and Eurocode Factors'!$B$14/ 'Pile Data and Eurocode Factors'!$B$15+BU$261</f>
        <v>225.0911224872165</v>
      </c>
      <c r="BV265" s="382">
        <f t="shared" si="308"/>
        <v>229.02210444669595</v>
      </c>
      <c r="BW265" s="382">
        <f>BQ265* Pile!$U$50</f>
        <v>0</v>
      </c>
      <c r="BX265" s="382">
        <f t="shared" si="257"/>
        <v>229.02210444669595</v>
      </c>
      <c r="BY265" s="382">
        <f>BX265/ 'Pile Data and Eurocode Factors'!$C$14/ 'Pile Data and Eurocode Factors'!$C$15</f>
        <v>81.793608730962845</v>
      </c>
      <c r="BZ265" s="382">
        <f t="shared" si="258"/>
        <v>306.88473121817935</v>
      </c>
      <c r="CA265" s="382">
        <f>VLOOKUP(BO265, 'Pile Data and Eurocode Factors'!$A$34:$J$39,3, FALSE)</f>
        <v>9464.7047474031824</v>
      </c>
      <c r="CB265" s="403">
        <f t="shared" si="259"/>
        <v>306.88473121817935</v>
      </c>
      <c r="CC265" s="419">
        <v>1050</v>
      </c>
      <c r="CD265" s="430">
        <f>PI()*CC265/1000*( Pile!$C$50- Pile!$C265)</f>
        <v>3.9584067435231325</v>
      </c>
      <c r="CE265" s="382">
        <f t="shared" si="260"/>
        <v>0.86590147514568672</v>
      </c>
      <c r="CF265" s="382">
        <f t="shared" si="296"/>
        <v>79.168134870462652</v>
      </c>
      <c r="CG265" s="382">
        <f>CD265* Pile!$S$50</f>
        <v>0</v>
      </c>
      <c r="CH265" s="382">
        <f t="shared" si="302"/>
        <v>79.168134870462652</v>
      </c>
      <c r="CI265" s="382">
        <f>IF(CH265&gt;0,+CH265)/ 'Pile Data and Eurocode Factors'!$B$14/ 'Pile Data and Eurocode Factors'!$B$15+CI$261</f>
        <v>262.60630956841919</v>
      </c>
      <c r="CJ265" s="382">
        <f t="shared" si="309"/>
        <v>311.72453105244722</v>
      </c>
      <c r="CK265" s="382">
        <f>CE265* Pile!$U$50</f>
        <v>0</v>
      </c>
      <c r="CL265" s="382">
        <f t="shared" si="261"/>
        <v>311.72453105244722</v>
      </c>
      <c r="CM265" s="382">
        <f>CL265/ 'Pile Data and Eurocode Factors'!$C$14/ 'Pile Data and Eurocode Factors'!$C$15</f>
        <v>111.33018966158829</v>
      </c>
      <c r="CN265" s="382">
        <f t="shared" si="262"/>
        <v>373.93649923000748</v>
      </c>
      <c r="CO265" s="382">
        <f>VLOOKUP(CC265, 'Pile Data and Eurocode Factors'!$A$34:$J$39,3, FALSE)</f>
        <v>12882.514795076555</v>
      </c>
      <c r="CP265" s="403">
        <f t="shared" si="263"/>
        <v>373.93649923000748</v>
      </c>
      <c r="CQ265" s="419">
        <v>1200</v>
      </c>
      <c r="CR265" s="430">
        <f>PI()*CQ265/1000*( Pile!$C$50- Pile!$C265)</f>
        <v>4.5238934211692943</v>
      </c>
      <c r="CS265" s="382">
        <f t="shared" si="264"/>
        <v>1.1309733552923256</v>
      </c>
      <c r="CT265" s="382">
        <f t="shared" si="297"/>
        <v>90.477868423385885</v>
      </c>
      <c r="CU265" s="382">
        <f>CR265* Pile!$S$50</f>
        <v>0</v>
      </c>
      <c r="CV265" s="382">
        <f t="shared" si="303"/>
        <v>90.477868423385885</v>
      </c>
      <c r="CW265" s="382">
        <f>IF(CV265&gt;0,+CV265)/ 'Pile Data and Eurocode Factors'!$B$14/ 'Pile Data and Eurocode Factors'!$B$15+CW$261</f>
        <v>300.12149664962192</v>
      </c>
      <c r="CX265" s="382">
        <f t="shared" si="310"/>
        <v>407.15040790523722</v>
      </c>
      <c r="CY265" s="382">
        <f>CS265* Pile!$U$50</f>
        <v>0</v>
      </c>
      <c r="CZ265" s="382">
        <f t="shared" si="265"/>
        <v>407.15040790523722</v>
      </c>
      <c r="DA265" s="382">
        <f>CZ265/ 'Pile Data and Eurocode Factors'!$C$14/ 'Pile Data and Eurocode Factors'!$C$15</f>
        <v>145.41085996615615</v>
      </c>
      <c r="DB265" s="382">
        <f t="shared" si="266"/>
        <v>445.5323566157781</v>
      </c>
      <c r="DC265" s="382">
        <f>VLOOKUP(CQ265, 'Pile Data and Eurocode Factors'!$A$34:$J$39,3, FALSE)</f>
        <v>16826.141773161216</v>
      </c>
      <c r="DD265" s="403">
        <f t="shared" si="267"/>
        <v>445.5323566157781</v>
      </c>
      <c r="DE265" s="420">
        <f xml:space="preserve"> Pile!$C$23- Pile!C265</f>
        <v>7.1999999999999975</v>
      </c>
      <c r="DG265" s="382">
        <f t="shared" si="268"/>
        <v>132.99396342634896</v>
      </c>
      <c r="DH265" s="382">
        <f t="shared" si="269"/>
        <v>186.41346331635</v>
      </c>
      <c r="DI265" s="382">
        <f t="shared" si="270"/>
        <v>244.37705258029348</v>
      </c>
      <c r="DJ265" s="382">
        <f t="shared" si="271"/>
        <v>306.88473121817935</v>
      </c>
      <c r="DK265" s="382">
        <f t="shared" si="272"/>
        <v>373.93649923000748</v>
      </c>
      <c r="DL265" s="382">
        <f t="shared" si="291"/>
        <v>445.5323566157781</v>
      </c>
    </row>
    <row r="266" spans="2:116" s="308" customFormat="1" ht="15">
      <c r="B266" s="400">
        <v>5</v>
      </c>
      <c r="C266" s="401">
        <f>+C265- Pile!D$50/20</f>
        <v>-1.499999999999998</v>
      </c>
      <c r="D266" s="415" t="str">
        <f>B24</f>
        <v>Firm Clay</v>
      </c>
      <c r="E266" s="415" t="str">
        <f>F24</f>
        <v>Cohesive</v>
      </c>
      <c r="F266" s="401">
        <f xml:space="preserve"> Pile!$E$50*(+C265-C266)+F265</f>
        <v>126.74999999999996</v>
      </c>
      <c r="G266" s="401">
        <f>IF(C266&gt; Pile!$C$54,0,( Pile!$C$54-C266)*9.81)</f>
        <v>0</v>
      </c>
      <c r="H266" s="401">
        <f t="shared" si="238"/>
        <v>126.74999999999996</v>
      </c>
      <c r="I266" s="401">
        <f t="shared" si="304"/>
        <v>112.87499999999997</v>
      </c>
      <c r="J266" s="401">
        <f>IF(E266="Cohesive",(( Pile!$H$50- Pile!$G$50)/20)+J265,0)</f>
        <v>40</v>
      </c>
      <c r="K266" s="401">
        <f>IF(E266="Cohesive",( Pile!$G$50+ Pile!$J266)/2,0)</f>
        <v>40</v>
      </c>
      <c r="L266" s="401">
        <f>IF( Pile!I$50="",0, Pile!I$50)</f>
        <v>0.5</v>
      </c>
      <c r="M266" s="401">
        <f>IF( Pile!J$50="",0, Pile!J$50)</f>
        <v>9</v>
      </c>
      <c r="N266" s="401">
        <f>IF(E266="Granular", Pile!$K$50,0)</f>
        <v>0</v>
      </c>
      <c r="O266" s="416">
        <f>IF(AND(E266="Granular",D266&lt;&gt;"Made Ground"), Pile!$L$50,0)</f>
        <v>0</v>
      </c>
      <c r="P266" s="401">
        <f>IF(OR(D266="Low Density Chalk",D266="Medium Density Chalk"), Pile!$M$50,0)</f>
        <v>0</v>
      </c>
      <c r="Q266" s="417">
        <f>IF(D266="High Density Chalk", Pile!$N$50,0)</f>
        <v>0</v>
      </c>
      <c r="R266" s="401">
        <f>IF( Pile!O$50="",0, Pile!O$50)</f>
        <v>0</v>
      </c>
      <c r="S266" s="418">
        <f t="shared" si="240"/>
        <v>20</v>
      </c>
      <c r="T266" s="382">
        <f xml:space="preserve"> Pile!$T$50</f>
        <v>100</v>
      </c>
      <c r="U266" s="382">
        <f t="shared" si="241"/>
        <v>20</v>
      </c>
      <c r="V266" s="382">
        <f t="shared" si="242"/>
        <v>360</v>
      </c>
      <c r="W266" s="382" t="str">
        <f xml:space="preserve"> Pile!$V$50</f>
        <v/>
      </c>
      <c r="X266" s="382">
        <f t="shared" si="243"/>
        <v>360</v>
      </c>
      <c r="Y266" s="419">
        <v>450</v>
      </c>
      <c r="Z266" s="430">
        <f>PI()*Y266/1000*( Pile!$C$50- Pile!$C266)</f>
        <v>2.1205750411731077</v>
      </c>
      <c r="AA266" s="382">
        <f t="shared" si="244"/>
        <v>0.15904312808798329</v>
      </c>
      <c r="AB266" s="382">
        <f t="shared" si="292"/>
        <v>42.411500823462156</v>
      </c>
      <c r="AC266" s="382">
        <f>Z266* Pile!$S$50</f>
        <v>0</v>
      </c>
      <c r="AD266" s="382">
        <f t="shared" si="298"/>
        <v>42.411500823462156</v>
      </c>
      <c r="AE266" s="382">
        <f>IF(AD266&gt;0,+AD266)/ 'Pile Data and Eurocode Factors'!$B$14/ 'Pile Data and Eurocode Factors'!$B$15+AE$261</f>
        <v>116.33230238856024</v>
      </c>
      <c r="AF266" s="382">
        <f t="shared" si="305"/>
        <v>57.255526111673987</v>
      </c>
      <c r="AG266" s="382">
        <f>AA266* Pile!$U$50</f>
        <v>0</v>
      </c>
      <c r="AH266" s="382">
        <f t="shared" si="245"/>
        <v>57.255526111673987</v>
      </c>
      <c r="AI266" s="382">
        <f>AH266/ 'Pile Data and Eurocode Factors'!$C$14/ 'Pile Data and Eurocode Factors'!$C$15</f>
        <v>20.448402182740711</v>
      </c>
      <c r="AJ266" s="382">
        <f t="shared" si="246"/>
        <v>136.78070457130096</v>
      </c>
      <c r="AK266" s="382">
        <f>VLOOKUP(Y266, 'Pile Data and Eurocode Factors'!$A$34:$J$39,3, FALSE)</f>
        <v>2366.1761868507956</v>
      </c>
      <c r="AL266" s="403">
        <f t="shared" si="247"/>
        <v>136.78070457130096</v>
      </c>
      <c r="AM266" s="419">
        <v>600</v>
      </c>
      <c r="AN266" s="430">
        <f>PI()*AM266/1000*( Pile!$C$50- Pile!$C266)</f>
        <v>2.8274333882308103</v>
      </c>
      <c r="AO266" s="382">
        <f t="shared" si="248"/>
        <v>0.28274333882308139</v>
      </c>
      <c r="AP266" s="382">
        <f t="shared" si="293"/>
        <v>56.548667764616205</v>
      </c>
      <c r="AQ266" s="382">
        <f>AN266* Pile!$S$50</f>
        <v>0</v>
      </c>
      <c r="AR266" s="382">
        <f t="shared" si="299"/>
        <v>56.548667764616205</v>
      </c>
      <c r="AS266" s="382">
        <f>IF(AR266&gt;0,+AR266)/ 'Pile Data and Eurocode Factors'!$B$14/ 'Pile Data and Eurocode Factors'!$B$15+AS$261</f>
        <v>155.10973651808027</v>
      </c>
      <c r="AT266" s="382">
        <f t="shared" si="306"/>
        <v>101.7876019763093</v>
      </c>
      <c r="AU266" s="382">
        <f>AO266* Pile!$U$50</f>
        <v>0</v>
      </c>
      <c r="AV266" s="382">
        <f t="shared" si="249"/>
        <v>101.7876019763093</v>
      </c>
      <c r="AW266" s="382">
        <f>AV266/ 'Pile Data and Eurocode Factors'!$C$14/ 'Pile Data and Eurocode Factors'!$C$15</f>
        <v>36.352714991539038</v>
      </c>
      <c r="AX266" s="382">
        <f t="shared" si="250"/>
        <v>191.46245150961931</v>
      </c>
      <c r="AY266" s="382">
        <f>VLOOKUP(AM266, 'Pile Data and Eurocode Factors'!$A$34:$J$39,3, FALSE)</f>
        <v>4206.5354432903041</v>
      </c>
      <c r="AZ266" s="403">
        <f t="shared" si="251"/>
        <v>191.46245150961931</v>
      </c>
      <c r="BA266" s="419">
        <v>750</v>
      </c>
      <c r="BB266" s="430">
        <f>PI()*BA266/1000*( Pile!$C$50- Pile!$C266)</f>
        <v>3.5342917352885124</v>
      </c>
      <c r="BC266" s="382">
        <f t="shared" si="252"/>
        <v>0.44178646691106466</v>
      </c>
      <c r="BD266" s="382">
        <f t="shared" si="294"/>
        <v>70.685834705770247</v>
      </c>
      <c r="BE266" s="382">
        <f>BB266* Pile!$S$50</f>
        <v>0</v>
      </c>
      <c r="BF266" s="382">
        <f t="shared" si="300"/>
        <v>70.685834705770247</v>
      </c>
      <c r="BG266" s="382">
        <f>IF(BF266&gt;0,+BF266)/ 'Pile Data and Eurocode Factors'!$B$14/ 'Pile Data and Eurocode Factors'!$B$15+BG$261</f>
        <v>193.88717064760039</v>
      </c>
      <c r="BH266" s="382">
        <f t="shared" si="307"/>
        <v>159.04312808798326</v>
      </c>
      <c r="BI266" s="382">
        <f>BC266* Pile!$U$50</f>
        <v>0</v>
      </c>
      <c r="BJ266" s="382">
        <f t="shared" si="253"/>
        <v>159.04312808798326</v>
      </c>
      <c r="BK266" s="382">
        <f>BJ266/ 'Pile Data and Eurocode Factors'!$C$14/ 'Pile Data and Eurocode Factors'!$C$15</f>
        <v>56.801117174279739</v>
      </c>
      <c r="BL266" s="382">
        <f t="shared" si="254"/>
        <v>250.68828782188012</v>
      </c>
      <c r="BM266" s="382">
        <f>VLOOKUP(BA266, 'Pile Data and Eurocode Factors'!$A$34:$J$39,3, FALSE)</f>
        <v>6572.7116301410997</v>
      </c>
      <c r="BN266" s="403">
        <f t="shared" si="255"/>
        <v>250.68828782188012</v>
      </c>
      <c r="BO266" s="419">
        <v>900</v>
      </c>
      <c r="BP266" s="430">
        <f>PI()*BO266/1000*( Pile!$C$50- Pile!$C266)</f>
        <v>4.2411500823462154</v>
      </c>
      <c r="BQ266" s="382">
        <f t="shared" si="256"/>
        <v>0.63617251235193317</v>
      </c>
      <c r="BR266" s="382">
        <f t="shared" si="295"/>
        <v>84.823001646924311</v>
      </c>
      <c r="BS266" s="382">
        <f>BP266* Pile!$S$50</f>
        <v>0</v>
      </c>
      <c r="BT266" s="382">
        <f t="shared" si="301"/>
        <v>84.823001646924311</v>
      </c>
      <c r="BU266" s="382">
        <f>IF(BT266&gt;0,+BT266)/ 'Pile Data and Eurocode Factors'!$B$14/ 'Pile Data and Eurocode Factors'!$B$15+BU$261</f>
        <v>232.66460477712047</v>
      </c>
      <c r="BV266" s="382">
        <f t="shared" si="308"/>
        <v>229.02210444669595</v>
      </c>
      <c r="BW266" s="382">
        <f>BQ266* Pile!$U$50</f>
        <v>0</v>
      </c>
      <c r="BX266" s="382">
        <f t="shared" si="257"/>
        <v>229.02210444669595</v>
      </c>
      <c r="BY266" s="382">
        <f>BX266/ 'Pile Data and Eurocode Factors'!$C$14/ 'Pile Data and Eurocode Factors'!$C$15</f>
        <v>81.793608730962845</v>
      </c>
      <c r="BZ266" s="382">
        <f t="shared" si="258"/>
        <v>314.4582135080833</v>
      </c>
      <c r="CA266" s="382">
        <f>VLOOKUP(BO266, 'Pile Data and Eurocode Factors'!$A$34:$J$39,3, FALSE)</f>
        <v>9464.7047474031824</v>
      </c>
      <c r="CB266" s="403">
        <f t="shared" si="259"/>
        <v>314.4582135080833</v>
      </c>
      <c r="CC266" s="419">
        <v>1050</v>
      </c>
      <c r="CD266" s="430">
        <f>PI()*CC266/1000*( Pile!$C$50- Pile!$C266)</f>
        <v>4.9480084294039175</v>
      </c>
      <c r="CE266" s="382">
        <f t="shared" si="260"/>
        <v>0.86590147514568672</v>
      </c>
      <c r="CF266" s="382">
        <f t="shared" si="296"/>
        <v>98.960168588078346</v>
      </c>
      <c r="CG266" s="382">
        <f>CD266* Pile!$S$50</f>
        <v>0</v>
      </c>
      <c r="CH266" s="382">
        <f t="shared" si="302"/>
        <v>98.960168588078346</v>
      </c>
      <c r="CI266" s="382">
        <f>IF(CH266&gt;0,+CH266)/ 'Pile Data and Eurocode Factors'!$B$14/ 'Pile Data and Eurocode Factors'!$B$15+CI$261</f>
        <v>271.44203890664051</v>
      </c>
      <c r="CJ266" s="382">
        <f t="shared" si="309"/>
        <v>311.72453105244722</v>
      </c>
      <c r="CK266" s="382">
        <f>CE266* Pile!$U$50</f>
        <v>0</v>
      </c>
      <c r="CL266" s="382">
        <f t="shared" si="261"/>
        <v>311.72453105244722</v>
      </c>
      <c r="CM266" s="382">
        <f>CL266/ 'Pile Data and Eurocode Factors'!$C$14/ 'Pile Data and Eurocode Factors'!$C$15</f>
        <v>111.33018966158829</v>
      </c>
      <c r="CN266" s="382">
        <f t="shared" si="262"/>
        <v>382.7722285682288</v>
      </c>
      <c r="CO266" s="382">
        <f>VLOOKUP(CC266, 'Pile Data and Eurocode Factors'!$A$34:$J$39,3, FALSE)</f>
        <v>12882.514795076555</v>
      </c>
      <c r="CP266" s="403">
        <f t="shared" si="263"/>
        <v>382.7722285682288</v>
      </c>
      <c r="CQ266" s="419">
        <v>1200</v>
      </c>
      <c r="CR266" s="430">
        <f>PI()*CQ266/1000*( Pile!$C$50- Pile!$C266)</f>
        <v>5.6548667764616205</v>
      </c>
      <c r="CS266" s="382">
        <f t="shared" si="264"/>
        <v>1.1309733552923256</v>
      </c>
      <c r="CT266" s="382">
        <f t="shared" si="297"/>
        <v>113.09733552923241</v>
      </c>
      <c r="CU266" s="382">
        <f>CR266* Pile!$S$50</f>
        <v>0</v>
      </c>
      <c r="CV266" s="382">
        <f t="shared" si="303"/>
        <v>113.09733552923241</v>
      </c>
      <c r="CW266" s="382">
        <f>IF(CV266&gt;0,+CV266)/ 'Pile Data and Eurocode Factors'!$B$14/ 'Pile Data and Eurocode Factors'!$B$15+CW$261</f>
        <v>310.21947303616054</v>
      </c>
      <c r="CX266" s="382">
        <f t="shared" si="310"/>
        <v>407.15040790523722</v>
      </c>
      <c r="CY266" s="382">
        <f>CS266* Pile!$U$50</f>
        <v>0</v>
      </c>
      <c r="CZ266" s="382">
        <f t="shared" si="265"/>
        <v>407.15040790523722</v>
      </c>
      <c r="DA266" s="382">
        <f>CZ266/ 'Pile Data and Eurocode Factors'!$C$14/ 'Pile Data and Eurocode Factors'!$C$15</f>
        <v>145.41085996615615</v>
      </c>
      <c r="DB266" s="382">
        <f t="shared" si="266"/>
        <v>455.63033300231666</v>
      </c>
      <c r="DC266" s="382">
        <f>VLOOKUP(CQ266, 'Pile Data and Eurocode Factors'!$A$34:$J$39,3, FALSE)</f>
        <v>16826.141773161216</v>
      </c>
      <c r="DD266" s="403">
        <f t="shared" si="267"/>
        <v>455.63033300231666</v>
      </c>
      <c r="DE266" s="420">
        <f xml:space="preserve"> Pile!$C$23- Pile!C266</f>
        <v>7.4999999999999982</v>
      </c>
      <c r="DG266" s="382">
        <f t="shared" si="268"/>
        <v>136.78070457130096</v>
      </c>
      <c r="DH266" s="382">
        <f t="shared" si="269"/>
        <v>191.46245150961931</v>
      </c>
      <c r="DI266" s="382">
        <f t="shared" si="270"/>
        <v>250.68828782188012</v>
      </c>
      <c r="DJ266" s="382">
        <f t="shared" si="271"/>
        <v>314.4582135080833</v>
      </c>
      <c r="DK266" s="382">
        <f t="shared" si="272"/>
        <v>382.7722285682288</v>
      </c>
      <c r="DL266" s="382">
        <f t="shared" si="291"/>
        <v>455.63033300231666</v>
      </c>
    </row>
    <row r="267" spans="2:116" s="308" customFormat="1" ht="15">
      <c r="B267" s="400">
        <v>6</v>
      </c>
      <c r="C267" s="401">
        <f>+C266- Pile!D$50/20</f>
        <v>-1.799999999999998</v>
      </c>
      <c r="D267" s="415" t="str">
        <f>B24</f>
        <v>Firm Clay</v>
      </c>
      <c r="E267" s="415" t="str">
        <f>F24</f>
        <v>Cohesive</v>
      </c>
      <c r="F267" s="401">
        <f xml:space="preserve"> Pile!$E$50*(+C266-C267)+F266</f>
        <v>132.29999999999995</v>
      </c>
      <c r="G267" s="401">
        <f>IF(C267&gt; Pile!$C$54,0,( Pile!$C$54-C267)*9.81)</f>
        <v>0</v>
      </c>
      <c r="H267" s="401">
        <f t="shared" si="238"/>
        <v>132.29999999999995</v>
      </c>
      <c r="I267" s="401">
        <f t="shared" si="304"/>
        <v>115.64999999999996</v>
      </c>
      <c r="J267" s="401">
        <f>IF(E267="Cohesive",(( Pile!$H$50- Pile!$G$50)/20)+J266,0)</f>
        <v>40</v>
      </c>
      <c r="K267" s="401">
        <f>IF(E267="Cohesive",( Pile!$G$50+ Pile!$J267)/2,0)</f>
        <v>40</v>
      </c>
      <c r="L267" s="401">
        <f>IF( Pile!I$50="",0, Pile!I$50)</f>
        <v>0.5</v>
      </c>
      <c r="M267" s="401">
        <f>IF( Pile!J$50="",0, Pile!J$50)</f>
        <v>9</v>
      </c>
      <c r="N267" s="401">
        <f>IF(E267="Granular", Pile!$K$50,0)</f>
        <v>0</v>
      </c>
      <c r="O267" s="416">
        <f>IF(AND(E267="Granular",D267&lt;&gt;"Made Ground"), Pile!$L$50,0)</f>
        <v>0</v>
      </c>
      <c r="P267" s="401">
        <f>IF(OR(D267="Low Density Chalk",D267="Medium Density Chalk"), Pile!$M$50,0)</f>
        <v>0</v>
      </c>
      <c r="Q267" s="417">
        <f>IF(D267="High Density Chalk", Pile!$N$50,0)</f>
        <v>0</v>
      </c>
      <c r="R267" s="401">
        <f>IF( Pile!O$50="",0, Pile!O$50)</f>
        <v>0</v>
      </c>
      <c r="S267" s="418">
        <f t="shared" si="240"/>
        <v>20</v>
      </c>
      <c r="T267" s="382">
        <f xml:space="preserve"> Pile!$T$50</f>
        <v>100</v>
      </c>
      <c r="U267" s="382">
        <f t="shared" si="241"/>
        <v>20</v>
      </c>
      <c r="V267" s="382">
        <f t="shared" si="242"/>
        <v>360</v>
      </c>
      <c r="W267" s="382" t="str">
        <f xml:space="preserve"> Pile!$V$50</f>
        <v/>
      </c>
      <c r="X267" s="382">
        <f t="shared" si="243"/>
        <v>360</v>
      </c>
      <c r="Y267" s="419">
        <v>450</v>
      </c>
      <c r="Z267" s="430">
        <f>PI()*Y267/1000*( Pile!$C$50- Pile!$C267)</f>
        <v>2.5446900494077296</v>
      </c>
      <c r="AA267" s="382">
        <f t="shared" si="244"/>
        <v>0.15904312808798329</v>
      </c>
      <c r="AB267" s="382">
        <f t="shared" si="292"/>
        <v>50.893800988154595</v>
      </c>
      <c r="AC267" s="382">
        <f>Z267* Pile!$S$50</f>
        <v>0</v>
      </c>
      <c r="AD267" s="382">
        <f t="shared" si="298"/>
        <v>50.893800988154595</v>
      </c>
      <c r="AE267" s="382">
        <f>IF(AD267&gt;0,+AD267)/ 'Pile Data and Eurocode Factors'!$B$14/ 'Pile Data and Eurocode Factors'!$B$15+AE$261</f>
        <v>120.11904353351221</v>
      </c>
      <c r="AF267" s="382">
        <f t="shared" si="305"/>
        <v>57.255526111673987</v>
      </c>
      <c r="AG267" s="382">
        <f>AA267* Pile!$U$50</f>
        <v>0</v>
      </c>
      <c r="AH267" s="382">
        <f t="shared" si="245"/>
        <v>57.255526111673987</v>
      </c>
      <c r="AI267" s="382">
        <f>AH267/ 'Pile Data and Eurocode Factors'!$C$14/ 'Pile Data and Eurocode Factors'!$C$15</f>
        <v>20.448402182740711</v>
      </c>
      <c r="AJ267" s="382">
        <f t="shared" si="246"/>
        <v>140.56744571625293</v>
      </c>
      <c r="AK267" s="382">
        <f>VLOOKUP(Y267, 'Pile Data and Eurocode Factors'!$A$34:$J$39,3, FALSE)</f>
        <v>2366.1761868507956</v>
      </c>
      <c r="AL267" s="403">
        <f t="shared" si="247"/>
        <v>140.56744571625293</v>
      </c>
      <c r="AM267" s="419">
        <v>600</v>
      </c>
      <c r="AN267" s="430">
        <f>PI()*AM267/1000*( Pile!$C$50- Pile!$C267)</f>
        <v>3.3929200658769729</v>
      </c>
      <c r="AO267" s="382">
        <f t="shared" si="248"/>
        <v>0.28274333882308139</v>
      </c>
      <c r="AP267" s="382">
        <f t="shared" si="293"/>
        <v>67.85840131753946</v>
      </c>
      <c r="AQ267" s="382">
        <f>AN267* Pile!$S$50</f>
        <v>0</v>
      </c>
      <c r="AR267" s="382">
        <f t="shared" si="299"/>
        <v>67.85840131753946</v>
      </c>
      <c r="AS267" s="382">
        <f>IF(AR267&gt;0,+AR267)/ 'Pile Data and Eurocode Factors'!$B$14/ 'Pile Data and Eurocode Factors'!$B$15+AS$261</f>
        <v>160.15872471134958</v>
      </c>
      <c r="AT267" s="382">
        <f t="shared" si="306"/>
        <v>101.7876019763093</v>
      </c>
      <c r="AU267" s="382">
        <f>AO267* Pile!$U$50</f>
        <v>0</v>
      </c>
      <c r="AV267" s="382">
        <f t="shared" si="249"/>
        <v>101.7876019763093</v>
      </c>
      <c r="AW267" s="382">
        <f>AV267/ 'Pile Data and Eurocode Factors'!$C$14/ 'Pile Data and Eurocode Factors'!$C$15</f>
        <v>36.352714991539038</v>
      </c>
      <c r="AX267" s="382">
        <f t="shared" si="250"/>
        <v>196.51143970288862</v>
      </c>
      <c r="AY267" s="382">
        <f>VLOOKUP(AM267, 'Pile Data and Eurocode Factors'!$A$34:$J$39,3, FALSE)</f>
        <v>4206.5354432903041</v>
      </c>
      <c r="AZ267" s="403">
        <f t="shared" si="251"/>
        <v>196.51143970288862</v>
      </c>
      <c r="BA267" s="419">
        <v>750</v>
      </c>
      <c r="BB267" s="430">
        <f>PI()*BA267/1000*( Pile!$C$50- Pile!$C267)</f>
        <v>4.2411500823462163</v>
      </c>
      <c r="BC267" s="382">
        <f t="shared" si="252"/>
        <v>0.44178646691106466</v>
      </c>
      <c r="BD267" s="382">
        <f t="shared" si="294"/>
        <v>84.823001646924325</v>
      </c>
      <c r="BE267" s="382">
        <f>BB267* Pile!$S$50</f>
        <v>0</v>
      </c>
      <c r="BF267" s="382">
        <f t="shared" si="300"/>
        <v>84.823001646924325</v>
      </c>
      <c r="BG267" s="382">
        <f>IF(BF267&gt;0,+BF267)/ 'Pile Data and Eurocode Factors'!$B$14/ 'Pile Data and Eurocode Factors'!$B$15+BG$261</f>
        <v>200.19840588918703</v>
      </c>
      <c r="BH267" s="382">
        <f t="shared" si="307"/>
        <v>159.04312808798326</v>
      </c>
      <c r="BI267" s="382">
        <f>BC267* Pile!$U$50</f>
        <v>0</v>
      </c>
      <c r="BJ267" s="382">
        <f t="shared" si="253"/>
        <v>159.04312808798326</v>
      </c>
      <c r="BK267" s="382">
        <f>BJ267/ 'Pile Data and Eurocode Factors'!$C$14/ 'Pile Data and Eurocode Factors'!$C$15</f>
        <v>56.801117174279739</v>
      </c>
      <c r="BL267" s="382">
        <f t="shared" si="254"/>
        <v>256.99952306346677</v>
      </c>
      <c r="BM267" s="382">
        <f>VLOOKUP(BA267, 'Pile Data and Eurocode Factors'!$A$34:$J$39,3, FALSE)</f>
        <v>6572.7116301410997</v>
      </c>
      <c r="BN267" s="403">
        <f t="shared" si="255"/>
        <v>256.99952306346677</v>
      </c>
      <c r="BO267" s="419">
        <v>900</v>
      </c>
      <c r="BP267" s="430">
        <f>PI()*BO267/1000*( Pile!$C$50- Pile!$C267)</f>
        <v>5.0893800988154592</v>
      </c>
      <c r="BQ267" s="382">
        <f t="shared" si="256"/>
        <v>0.63617251235193317</v>
      </c>
      <c r="BR267" s="382">
        <f t="shared" si="295"/>
        <v>101.78760197630919</v>
      </c>
      <c r="BS267" s="382">
        <f>BP267* Pile!$S$50</f>
        <v>0</v>
      </c>
      <c r="BT267" s="382">
        <f t="shared" si="301"/>
        <v>101.78760197630919</v>
      </c>
      <c r="BU267" s="382">
        <f>IF(BT267&gt;0,+BT267)/ 'Pile Data and Eurocode Factors'!$B$14/ 'Pile Data and Eurocode Factors'!$B$15+BU$261</f>
        <v>240.23808706702442</v>
      </c>
      <c r="BV267" s="382">
        <f t="shared" si="308"/>
        <v>229.02210444669595</v>
      </c>
      <c r="BW267" s="382">
        <f>BQ267* Pile!$U$50</f>
        <v>0</v>
      </c>
      <c r="BX267" s="382">
        <f t="shared" si="257"/>
        <v>229.02210444669595</v>
      </c>
      <c r="BY267" s="382">
        <f>BX267/ 'Pile Data and Eurocode Factors'!$C$14/ 'Pile Data and Eurocode Factors'!$C$15</f>
        <v>81.793608730962845</v>
      </c>
      <c r="BZ267" s="382">
        <f t="shared" si="258"/>
        <v>322.03169579798725</v>
      </c>
      <c r="CA267" s="382">
        <f>VLOOKUP(BO267, 'Pile Data and Eurocode Factors'!$A$34:$J$39,3, FALSE)</f>
        <v>9464.7047474031824</v>
      </c>
      <c r="CB267" s="403">
        <f t="shared" si="259"/>
        <v>322.03169579798725</v>
      </c>
      <c r="CC267" s="419">
        <v>1050</v>
      </c>
      <c r="CD267" s="430">
        <f>PI()*CC267/1000*( Pile!$C$50- Pile!$C267)</f>
        <v>5.9376101152847029</v>
      </c>
      <c r="CE267" s="382">
        <f t="shared" si="260"/>
        <v>0.86590147514568672</v>
      </c>
      <c r="CF267" s="382">
        <f t="shared" si="296"/>
        <v>118.75220230569406</v>
      </c>
      <c r="CG267" s="382">
        <f>CD267* Pile!$S$50</f>
        <v>0</v>
      </c>
      <c r="CH267" s="382">
        <f t="shared" si="302"/>
        <v>118.75220230569406</v>
      </c>
      <c r="CI267" s="382">
        <f>IF(CH267&gt;0,+CH267)/ 'Pile Data and Eurocode Factors'!$B$14/ 'Pile Data and Eurocode Factors'!$B$15+CI$261</f>
        <v>280.27776824486182</v>
      </c>
      <c r="CJ267" s="382">
        <f t="shared" si="309"/>
        <v>311.72453105244722</v>
      </c>
      <c r="CK267" s="382">
        <f>CE267* Pile!$U$50</f>
        <v>0</v>
      </c>
      <c r="CL267" s="382">
        <f t="shared" si="261"/>
        <v>311.72453105244722</v>
      </c>
      <c r="CM267" s="382">
        <f>CL267/ 'Pile Data and Eurocode Factors'!$C$14/ 'Pile Data and Eurocode Factors'!$C$15</f>
        <v>111.33018966158829</v>
      </c>
      <c r="CN267" s="382">
        <f t="shared" si="262"/>
        <v>391.60795790645011</v>
      </c>
      <c r="CO267" s="382">
        <f>VLOOKUP(CC267, 'Pile Data and Eurocode Factors'!$A$34:$J$39,3, FALSE)</f>
        <v>12882.514795076555</v>
      </c>
      <c r="CP267" s="403">
        <f t="shared" si="263"/>
        <v>391.60795790645011</v>
      </c>
      <c r="CQ267" s="419">
        <v>1200</v>
      </c>
      <c r="CR267" s="430">
        <f>PI()*CQ267/1000*( Pile!$C$50- Pile!$C267)</f>
        <v>6.7858401317539458</v>
      </c>
      <c r="CS267" s="382">
        <f t="shared" si="264"/>
        <v>1.1309733552923256</v>
      </c>
      <c r="CT267" s="382">
        <f t="shared" si="297"/>
        <v>135.71680263507892</v>
      </c>
      <c r="CU267" s="382">
        <f>CR267* Pile!$S$50</f>
        <v>0</v>
      </c>
      <c r="CV267" s="382">
        <f t="shared" si="303"/>
        <v>135.71680263507892</v>
      </c>
      <c r="CW267" s="382">
        <f>IF(CV267&gt;0,+CV267)/ 'Pile Data and Eurocode Factors'!$B$14/ 'Pile Data and Eurocode Factors'!$B$15+CW$261</f>
        <v>320.31744942269916</v>
      </c>
      <c r="CX267" s="382">
        <f t="shared" si="310"/>
        <v>407.15040790523722</v>
      </c>
      <c r="CY267" s="382">
        <f>CS267* Pile!$U$50</f>
        <v>0</v>
      </c>
      <c r="CZ267" s="382">
        <f t="shared" si="265"/>
        <v>407.15040790523722</v>
      </c>
      <c r="DA267" s="382">
        <f>CZ267/ 'Pile Data and Eurocode Factors'!$C$14/ 'Pile Data and Eurocode Factors'!$C$15</f>
        <v>145.41085996615615</v>
      </c>
      <c r="DB267" s="382">
        <f t="shared" si="266"/>
        <v>465.72830938885534</v>
      </c>
      <c r="DC267" s="382">
        <f>VLOOKUP(CQ267, 'Pile Data and Eurocode Factors'!$A$34:$J$39,3, FALSE)</f>
        <v>16826.141773161216</v>
      </c>
      <c r="DD267" s="403">
        <f t="shared" si="267"/>
        <v>465.72830938885534</v>
      </c>
      <c r="DE267" s="420">
        <f xml:space="preserve"> Pile!$C$23- Pile!C267</f>
        <v>7.799999999999998</v>
      </c>
      <c r="DG267" s="382">
        <f t="shared" si="268"/>
        <v>140.56744571625293</v>
      </c>
      <c r="DH267" s="382">
        <f t="shared" si="269"/>
        <v>196.51143970288862</v>
      </c>
      <c r="DI267" s="382">
        <f t="shared" si="270"/>
        <v>256.99952306346677</v>
      </c>
      <c r="DJ267" s="382">
        <f t="shared" si="271"/>
        <v>322.03169579798725</v>
      </c>
      <c r="DK267" s="382">
        <f t="shared" si="272"/>
        <v>391.60795790645011</v>
      </c>
      <c r="DL267" s="382">
        <f t="shared" si="291"/>
        <v>465.72830938885534</v>
      </c>
    </row>
    <row r="268" spans="2:116" s="308" customFormat="1" ht="15">
      <c r="B268" s="400">
        <v>7</v>
      </c>
      <c r="C268" s="401">
        <f>+C267- Pile!D$50/20</f>
        <v>-2.0999999999999979</v>
      </c>
      <c r="D268" s="415" t="str">
        <f>B24</f>
        <v>Firm Clay</v>
      </c>
      <c r="E268" s="415" t="str">
        <f>F24</f>
        <v>Cohesive</v>
      </c>
      <c r="F268" s="401">
        <f xml:space="preserve"> Pile!$E$50*(+C267-C268)+F267</f>
        <v>137.84999999999997</v>
      </c>
      <c r="G268" s="401">
        <f>IF(C268&gt; Pile!$C$54,0,( Pile!$C$54-C268)*9.81)</f>
        <v>0</v>
      </c>
      <c r="H268" s="401">
        <f t="shared" si="238"/>
        <v>137.84999999999997</v>
      </c>
      <c r="I268" s="401">
        <f t="shared" si="304"/>
        <v>118.42499999999997</v>
      </c>
      <c r="J268" s="401">
        <f>IF(E268="Cohesive",(( Pile!$H$50- Pile!$G$50)/20)+J267,0)</f>
        <v>40</v>
      </c>
      <c r="K268" s="401">
        <f>IF(E268="Cohesive",( Pile!$G$50+ Pile!$J268)/2,0)</f>
        <v>40</v>
      </c>
      <c r="L268" s="401">
        <f>IF( Pile!I$50="",0, Pile!I$50)</f>
        <v>0.5</v>
      </c>
      <c r="M268" s="401">
        <f>IF( Pile!J$50="",0, Pile!J$50)</f>
        <v>9</v>
      </c>
      <c r="N268" s="401">
        <f>IF(E268="Granular", Pile!$K$50,0)</f>
        <v>0</v>
      </c>
      <c r="O268" s="416">
        <f>IF(AND(E268="Granular",D268&lt;&gt;"Made Ground"), Pile!$L$50,0)</f>
        <v>0</v>
      </c>
      <c r="P268" s="401">
        <f>IF(OR(D268="Low Density Chalk",D268="Medium Density Chalk"), Pile!$M$50,0)</f>
        <v>0</v>
      </c>
      <c r="Q268" s="417">
        <f>IF(D268="High Density Chalk", Pile!$N$50,0)</f>
        <v>0</v>
      </c>
      <c r="R268" s="401">
        <f>IF( Pile!O$50="",0, Pile!O$50)</f>
        <v>0</v>
      </c>
      <c r="S268" s="418">
        <f t="shared" si="240"/>
        <v>20</v>
      </c>
      <c r="T268" s="382">
        <f xml:space="preserve"> Pile!$T$50</f>
        <v>100</v>
      </c>
      <c r="U268" s="382">
        <f t="shared" si="241"/>
        <v>20</v>
      </c>
      <c r="V268" s="382">
        <f t="shared" si="242"/>
        <v>360</v>
      </c>
      <c r="W268" s="382" t="str">
        <f xml:space="preserve"> Pile!$V$50</f>
        <v/>
      </c>
      <c r="X268" s="382">
        <f t="shared" si="243"/>
        <v>360</v>
      </c>
      <c r="Y268" s="419">
        <v>450</v>
      </c>
      <c r="Z268" s="430">
        <f>PI()*Y268/1000*( Pile!$C$50- Pile!$C268)</f>
        <v>2.9688050576423515</v>
      </c>
      <c r="AA268" s="382">
        <f t="shared" si="244"/>
        <v>0.15904312808798329</v>
      </c>
      <c r="AB268" s="382">
        <f t="shared" si="292"/>
        <v>59.376101152847028</v>
      </c>
      <c r="AC268" s="382">
        <f>Z268* Pile!$S$50</f>
        <v>0</v>
      </c>
      <c r="AD268" s="382">
        <f t="shared" si="298"/>
        <v>59.376101152847028</v>
      </c>
      <c r="AE268" s="382">
        <f>IF(AD268&gt;0,+AD268)/ 'Pile Data and Eurocode Factors'!$B$14/ 'Pile Data and Eurocode Factors'!$B$15+AE$261</f>
        <v>123.9057846784642</v>
      </c>
      <c r="AF268" s="382">
        <f t="shared" si="305"/>
        <v>57.255526111673987</v>
      </c>
      <c r="AG268" s="382">
        <f>AA268* Pile!$U$50</f>
        <v>0</v>
      </c>
      <c r="AH268" s="382">
        <f t="shared" si="245"/>
        <v>57.255526111673987</v>
      </c>
      <c r="AI268" s="382">
        <f>AH268/ 'Pile Data and Eurocode Factors'!$C$14/ 'Pile Data and Eurocode Factors'!$C$15</f>
        <v>20.448402182740711</v>
      </c>
      <c r="AJ268" s="382">
        <f t="shared" si="246"/>
        <v>144.35418686120491</v>
      </c>
      <c r="AK268" s="382">
        <f>VLOOKUP(Y268, 'Pile Data and Eurocode Factors'!$A$34:$J$39,3, FALSE)</f>
        <v>2366.1761868507956</v>
      </c>
      <c r="AL268" s="403">
        <f t="shared" si="247"/>
        <v>144.35418686120491</v>
      </c>
      <c r="AM268" s="419">
        <v>600</v>
      </c>
      <c r="AN268" s="430">
        <f>PI()*AM268/1000*( Pile!$C$50- Pile!$C268)</f>
        <v>3.9584067435231352</v>
      </c>
      <c r="AO268" s="382">
        <f t="shared" si="248"/>
        <v>0.28274333882308139</v>
      </c>
      <c r="AP268" s="382">
        <f t="shared" si="293"/>
        <v>79.168134870462708</v>
      </c>
      <c r="AQ268" s="382">
        <f>AN268* Pile!$S$50</f>
        <v>0</v>
      </c>
      <c r="AR268" s="382">
        <f t="shared" si="299"/>
        <v>79.168134870462708</v>
      </c>
      <c r="AS268" s="382">
        <f>IF(AR268&gt;0,+AR268)/ 'Pile Data and Eurocode Factors'!$B$14/ 'Pile Data and Eurocode Factors'!$B$15+AS$261</f>
        <v>165.20771290461889</v>
      </c>
      <c r="AT268" s="382">
        <f t="shared" si="306"/>
        <v>101.7876019763093</v>
      </c>
      <c r="AU268" s="382">
        <f>AO268* Pile!$U$50</f>
        <v>0</v>
      </c>
      <c r="AV268" s="382">
        <f t="shared" si="249"/>
        <v>101.7876019763093</v>
      </c>
      <c r="AW268" s="382">
        <f>AV268/ 'Pile Data and Eurocode Factors'!$C$14/ 'Pile Data and Eurocode Factors'!$C$15</f>
        <v>36.352714991539038</v>
      </c>
      <c r="AX268" s="382">
        <f t="shared" si="250"/>
        <v>201.56042789615793</v>
      </c>
      <c r="AY268" s="382">
        <f>VLOOKUP(AM268, 'Pile Data and Eurocode Factors'!$A$34:$J$39,3, FALSE)</f>
        <v>4206.5354432903041</v>
      </c>
      <c r="AZ268" s="403">
        <f t="shared" si="251"/>
        <v>201.56042789615793</v>
      </c>
      <c r="BA268" s="419">
        <v>750</v>
      </c>
      <c r="BB268" s="430">
        <f>PI()*BA268/1000*( Pile!$C$50- Pile!$C268)</f>
        <v>4.9480084294039193</v>
      </c>
      <c r="BC268" s="382">
        <f t="shared" si="252"/>
        <v>0.44178646691106466</v>
      </c>
      <c r="BD268" s="382">
        <f t="shared" si="294"/>
        <v>98.960168588078389</v>
      </c>
      <c r="BE268" s="382">
        <f>BB268* Pile!$S$50</f>
        <v>0</v>
      </c>
      <c r="BF268" s="382">
        <f t="shared" si="300"/>
        <v>98.960168588078389</v>
      </c>
      <c r="BG268" s="382">
        <f>IF(BF268&gt;0,+BF268)/ 'Pile Data and Eurocode Factors'!$B$14/ 'Pile Data and Eurocode Factors'!$B$15+BG$261</f>
        <v>206.50964113077367</v>
      </c>
      <c r="BH268" s="382">
        <f t="shared" si="307"/>
        <v>159.04312808798326</v>
      </c>
      <c r="BI268" s="382">
        <f>BC268* Pile!$U$50</f>
        <v>0</v>
      </c>
      <c r="BJ268" s="382">
        <f t="shared" si="253"/>
        <v>159.04312808798326</v>
      </c>
      <c r="BK268" s="382">
        <f>BJ268/ 'Pile Data and Eurocode Factors'!$C$14/ 'Pile Data and Eurocode Factors'!$C$15</f>
        <v>56.801117174279739</v>
      </c>
      <c r="BL268" s="382">
        <f t="shared" si="254"/>
        <v>263.31075830505341</v>
      </c>
      <c r="BM268" s="382">
        <f>VLOOKUP(BA268, 'Pile Data and Eurocode Factors'!$A$34:$J$39,3, FALSE)</f>
        <v>6572.7116301410997</v>
      </c>
      <c r="BN268" s="403">
        <f t="shared" si="255"/>
        <v>263.31075830505341</v>
      </c>
      <c r="BO268" s="419">
        <v>900</v>
      </c>
      <c r="BP268" s="430">
        <f>PI()*BO268/1000*( Pile!$C$50- Pile!$C268)</f>
        <v>5.9376101152847029</v>
      </c>
      <c r="BQ268" s="382">
        <f t="shared" si="256"/>
        <v>0.63617251235193317</v>
      </c>
      <c r="BR268" s="382">
        <f t="shared" si="295"/>
        <v>118.75220230569406</v>
      </c>
      <c r="BS268" s="382">
        <f>BP268* Pile!$S$50</f>
        <v>0</v>
      </c>
      <c r="BT268" s="382">
        <f t="shared" si="301"/>
        <v>118.75220230569406</v>
      </c>
      <c r="BU268" s="382">
        <f>IF(BT268&gt;0,+BT268)/ 'Pile Data and Eurocode Factors'!$B$14/ 'Pile Data and Eurocode Factors'!$B$15+BU$261</f>
        <v>247.8115693569284</v>
      </c>
      <c r="BV268" s="382">
        <f t="shared" si="308"/>
        <v>229.02210444669595</v>
      </c>
      <c r="BW268" s="382">
        <f>BQ268* Pile!$U$50</f>
        <v>0</v>
      </c>
      <c r="BX268" s="382">
        <f t="shared" si="257"/>
        <v>229.02210444669595</v>
      </c>
      <c r="BY268" s="382">
        <f>BX268/ 'Pile Data and Eurocode Factors'!$C$14/ 'Pile Data and Eurocode Factors'!$C$15</f>
        <v>81.793608730962845</v>
      </c>
      <c r="BZ268" s="382">
        <f t="shared" si="258"/>
        <v>329.60517808789126</v>
      </c>
      <c r="CA268" s="382">
        <f>VLOOKUP(BO268, 'Pile Data and Eurocode Factors'!$A$34:$J$39,3, FALSE)</f>
        <v>9464.7047474031824</v>
      </c>
      <c r="CB268" s="403">
        <f t="shared" si="259"/>
        <v>329.60517808789126</v>
      </c>
      <c r="CC268" s="419">
        <v>1050</v>
      </c>
      <c r="CD268" s="430">
        <f>PI()*CC268/1000*( Pile!$C$50- Pile!$C268)</f>
        <v>6.9272118011654866</v>
      </c>
      <c r="CE268" s="382">
        <f t="shared" si="260"/>
        <v>0.86590147514568672</v>
      </c>
      <c r="CF268" s="382">
        <f t="shared" si="296"/>
        <v>138.54423602330974</v>
      </c>
      <c r="CG268" s="382">
        <f>CD268* Pile!$S$50</f>
        <v>0</v>
      </c>
      <c r="CH268" s="382">
        <f t="shared" si="302"/>
        <v>138.54423602330974</v>
      </c>
      <c r="CI268" s="382">
        <f>IF(CH268&gt;0,+CH268)/ 'Pile Data and Eurocode Factors'!$B$14/ 'Pile Data and Eurocode Factors'!$B$15+CI$261</f>
        <v>289.11349758308313</v>
      </c>
      <c r="CJ268" s="382">
        <f t="shared" si="309"/>
        <v>311.72453105244722</v>
      </c>
      <c r="CK268" s="382">
        <f>CE268* Pile!$U$50</f>
        <v>0</v>
      </c>
      <c r="CL268" s="382">
        <f t="shared" si="261"/>
        <v>311.72453105244722</v>
      </c>
      <c r="CM268" s="382">
        <f>CL268/ 'Pile Data and Eurocode Factors'!$C$14/ 'Pile Data and Eurocode Factors'!$C$15</f>
        <v>111.33018966158829</v>
      </c>
      <c r="CN268" s="382">
        <f t="shared" si="262"/>
        <v>400.44368724467142</v>
      </c>
      <c r="CO268" s="382">
        <f>VLOOKUP(CC268, 'Pile Data and Eurocode Factors'!$A$34:$J$39,3, FALSE)</f>
        <v>12882.514795076555</v>
      </c>
      <c r="CP268" s="403">
        <f t="shared" si="263"/>
        <v>400.44368724467142</v>
      </c>
      <c r="CQ268" s="419">
        <v>1200</v>
      </c>
      <c r="CR268" s="430">
        <f>PI()*CQ268/1000*( Pile!$C$50- Pile!$C268)</f>
        <v>7.9168134870462703</v>
      </c>
      <c r="CS268" s="382">
        <f t="shared" si="264"/>
        <v>1.1309733552923256</v>
      </c>
      <c r="CT268" s="382">
        <f t="shared" si="297"/>
        <v>158.33626974092542</v>
      </c>
      <c r="CU268" s="382">
        <f>CR268* Pile!$S$50</f>
        <v>0</v>
      </c>
      <c r="CV268" s="382">
        <f t="shared" si="303"/>
        <v>158.33626974092542</v>
      </c>
      <c r="CW268" s="382">
        <f>IF(CV268&gt;0,+CV268)/ 'Pile Data and Eurocode Factors'!$B$14/ 'Pile Data and Eurocode Factors'!$B$15+CW$261</f>
        <v>330.41542580923777</v>
      </c>
      <c r="CX268" s="382">
        <f t="shared" si="310"/>
        <v>407.15040790523722</v>
      </c>
      <c r="CY268" s="382">
        <f>CS268* Pile!$U$50</f>
        <v>0</v>
      </c>
      <c r="CZ268" s="382">
        <f t="shared" si="265"/>
        <v>407.15040790523722</v>
      </c>
      <c r="DA268" s="382">
        <f>CZ268/ 'Pile Data and Eurocode Factors'!$C$14/ 'Pile Data and Eurocode Factors'!$C$15</f>
        <v>145.41085996615615</v>
      </c>
      <c r="DB268" s="382">
        <f t="shared" si="266"/>
        <v>475.8262857753939</v>
      </c>
      <c r="DC268" s="382">
        <f>VLOOKUP(CQ268, 'Pile Data and Eurocode Factors'!$A$34:$J$39,3, FALSE)</f>
        <v>16826.141773161216</v>
      </c>
      <c r="DD268" s="403">
        <f t="shared" si="267"/>
        <v>475.8262857753939</v>
      </c>
      <c r="DE268" s="420">
        <f xml:space="preserve"> Pile!$C$23- Pile!C268</f>
        <v>8.0999999999999979</v>
      </c>
      <c r="DG268" s="382">
        <f t="shared" si="268"/>
        <v>144.35418686120491</v>
      </c>
      <c r="DH268" s="382">
        <f t="shared" si="269"/>
        <v>201.56042789615793</v>
      </c>
      <c r="DI268" s="382">
        <f t="shared" si="270"/>
        <v>263.31075830505341</v>
      </c>
      <c r="DJ268" s="382">
        <f t="shared" si="271"/>
        <v>329.60517808789126</v>
      </c>
      <c r="DK268" s="382">
        <f t="shared" si="272"/>
        <v>400.44368724467142</v>
      </c>
      <c r="DL268" s="382">
        <f t="shared" si="291"/>
        <v>475.8262857753939</v>
      </c>
    </row>
    <row r="269" spans="2:116" s="308" customFormat="1" ht="15">
      <c r="B269" s="400">
        <v>8</v>
      </c>
      <c r="C269" s="401">
        <f>+C268- Pile!D$50/20</f>
        <v>-2.3999999999999977</v>
      </c>
      <c r="D269" s="415" t="str">
        <f>B24</f>
        <v>Firm Clay</v>
      </c>
      <c r="E269" s="415" t="str">
        <f>F24</f>
        <v>Cohesive</v>
      </c>
      <c r="F269" s="401">
        <f xml:space="preserve"> Pile!$E$50*(+C268-C269)+F268</f>
        <v>143.39999999999998</v>
      </c>
      <c r="G269" s="401">
        <f>IF(C269&gt; Pile!$C$54,0,( Pile!$C$54-C269)*9.81)</f>
        <v>0</v>
      </c>
      <c r="H269" s="401">
        <f t="shared" si="238"/>
        <v>143.39999999999998</v>
      </c>
      <c r="I269" s="401">
        <f t="shared" si="304"/>
        <v>121.19999999999997</v>
      </c>
      <c r="J269" s="401">
        <f>IF(E269="Cohesive",(( Pile!$H$50- Pile!$G$50)/20)+J268,0)</f>
        <v>40</v>
      </c>
      <c r="K269" s="401">
        <f>IF(E269="Cohesive",( Pile!$G$50+ Pile!$J269)/2,0)</f>
        <v>40</v>
      </c>
      <c r="L269" s="401">
        <f>IF( Pile!I$50="",0, Pile!I$50)</f>
        <v>0.5</v>
      </c>
      <c r="M269" s="401">
        <f>IF( Pile!J$50="",0, Pile!J$50)</f>
        <v>9</v>
      </c>
      <c r="N269" s="401">
        <f>IF(E269="Granular", Pile!$K$50,0)</f>
        <v>0</v>
      </c>
      <c r="O269" s="416">
        <f>IF(AND(E269="Granular",D269&lt;&gt;"Made Ground"), Pile!$L$50,0)</f>
        <v>0</v>
      </c>
      <c r="P269" s="401">
        <f>IF(OR(D269="Low Density Chalk",D269="Medium Density Chalk"), Pile!$M$50,0)</f>
        <v>0</v>
      </c>
      <c r="Q269" s="417">
        <f>IF(D269="High Density Chalk", Pile!$N$50,0)</f>
        <v>0</v>
      </c>
      <c r="R269" s="401">
        <f>IF( Pile!O$50="",0, Pile!O$50)</f>
        <v>0</v>
      </c>
      <c r="S269" s="418">
        <f t="shared" si="240"/>
        <v>20</v>
      </c>
      <c r="T269" s="382">
        <f xml:space="preserve"> Pile!$T$50</f>
        <v>100</v>
      </c>
      <c r="U269" s="382">
        <f t="shared" si="241"/>
        <v>20</v>
      </c>
      <c r="V269" s="382">
        <f t="shared" si="242"/>
        <v>360</v>
      </c>
      <c r="W269" s="382" t="str">
        <f xml:space="preserve"> Pile!$V$50</f>
        <v/>
      </c>
      <c r="X269" s="382">
        <f t="shared" si="243"/>
        <v>360</v>
      </c>
      <c r="Y269" s="419">
        <v>450</v>
      </c>
      <c r="Z269" s="430">
        <f>PI()*Y269/1000*( Pile!$C$50- Pile!$C269)</f>
        <v>3.3929200658769734</v>
      </c>
      <c r="AA269" s="382">
        <f t="shared" si="244"/>
        <v>0.15904312808798329</v>
      </c>
      <c r="AB269" s="382">
        <f t="shared" si="292"/>
        <v>67.85840131753946</v>
      </c>
      <c r="AC269" s="382">
        <f>Z269* Pile!$S$50</f>
        <v>0</v>
      </c>
      <c r="AD269" s="382">
        <f t="shared" si="298"/>
        <v>67.85840131753946</v>
      </c>
      <c r="AE269" s="382">
        <f>IF(AD269&gt;0,+AD269)/ 'Pile Data and Eurocode Factors'!$B$14/ 'Pile Data and Eurocode Factors'!$B$15+AE$261</f>
        <v>127.69252582341618</v>
      </c>
      <c r="AF269" s="382">
        <f t="shared" si="305"/>
        <v>57.255526111673987</v>
      </c>
      <c r="AG269" s="382">
        <f>AA269* Pile!$U$50</f>
        <v>0</v>
      </c>
      <c r="AH269" s="382">
        <f t="shared" si="245"/>
        <v>57.255526111673987</v>
      </c>
      <c r="AI269" s="382">
        <f>AH269/ 'Pile Data and Eurocode Factors'!$C$14/ 'Pile Data and Eurocode Factors'!$C$15</f>
        <v>20.448402182740711</v>
      </c>
      <c r="AJ269" s="382">
        <f t="shared" si="246"/>
        <v>148.14092800615688</v>
      </c>
      <c r="AK269" s="382">
        <f>VLOOKUP(Y269, 'Pile Data and Eurocode Factors'!$A$34:$J$39,3, FALSE)</f>
        <v>2366.1761868507956</v>
      </c>
      <c r="AL269" s="403">
        <f t="shared" si="247"/>
        <v>148.14092800615688</v>
      </c>
      <c r="AM269" s="419">
        <v>600</v>
      </c>
      <c r="AN269" s="430">
        <f>PI()*AM269/1000*( Pile!$C$50- Pile!$C269)</f>
        <v>4.5238934211692978</v>
      </c>
      <c r="AO269" s="382">
        <f t="shared" si="248"/>
        <v>0.28274333882308139</v>
      </c>
      <c r="AP269" s="382">
        <f t="shared" si="293"/>
        <v>90.477868423385956</v>
      </c>
      <c r="AQ269" s="382">
        <f>AN269* Pile!$S$50</f>
        <v>0</v>
      </c>
      <c r="AR269" s="382">
        <f t="shared" si="299"/>
        <v>90.477868423385956</v>
      </c>
      <c r="AS269" s="382">
        <f>IF(AR269&gt;0,+AR269)/ 'Pile Data and Eurocode Factors'!$B$14/ 'Pile Data and Eurocode Factors'!$B$15+AS$261</f>
        <v>170.2567010978882</v>
      </c>
      <c r="AT269" s="382">
        <f t="shared" si="306"/>
        <v>101.7876019763093</v>
      </c>
      <c r="AU269" s="382">
        <f>AO269* Pile!$U$50</f>
        <v>0</v>
      </c>
      <c r="AV269" s="382">
        <f t="shared" si="249"/>
        <v>101.7876019763093</v>
      </c>
      <c r="AW269" s="382">
        <f>AV269/ 'Pile Data and Eurocode Factors'!$C$14/ 'Pile Data and Eurocode Factors'!$C$15</f>
        <v>36.352714991539038</v>
      </c>
      <c r="AX269" s="382">
        <f t="shared" si="250"/>
        <v>206.60941608942724</v>
      </c>
      <c r="AY269" s="382">
        <f>VLOOKUP(AM269, 'Pile Data and Eurocode Factors'!$A$34:$J$39,3, FALSE)</f>
        <v>4206.5354432903041</v>
      </c>
      <c r="AZ269" s="403">
        <f t="shared" si="251"/>
        <v>206.60941608942724</v>
      </c>
      <c r="BA269" s="419">
        <v>750</v>
      </c>
      <c r="BB269" s="430">
        <f>PI()*BA269/1000*( Pile!$C$50- Pile!$C269)</f>
        <v>5.6548667764616223</v>
      </c>
      <c r="BC269" s="382">
        <f t="shared" si="252"/>
        <v>0.44178646691106466</v>
      </c>
      <c r="BD269" s="382">
        <f t="shared" si="294"/>
        <v>113.09733552923245</v>
      </c>
      <c r="BE269" s="382">
        <f>BB269* Pile!$S$50</f>
        <v>0</v>
      </c>
      <c r="BF269" s="382">
        <f t="shared" si="300"/>
        <v>113.09733552923245</v>
      </c>
      <c r="BG269" s="382">
        <f>IF(BF269&gt;0,+BF269)/ 'Pile Data and Eurocode Factors'!$B$14/ 'Pile Data and Eurocode Factors'!$B$15+BG$261</f>
        <v>212.82087637236032</v>
      </c>
      <c r="BH269" s="382">
        <f t="shared" si="307"/>
        <v>159.04312808798326</v>
      </c>
      <c r="BI269" s="382">
        <f>BC269* Pile!$U$50</f>
        <v>0</v>
      </c>
      <c r="BJ269" s="382">
        <f t="shared" si="253"/>
        <v>159.04312808798326</v>
      </c>
      <c r="BK269" s="382">
        <f>BJ269/ 'Pile Data and Eurocode Factors'!$C$14/ 'Pile Data and Eurocode Factors'!$C$15</f>
        <v>56.801117174279739</v>
      </c>
      <c r="BL269" s="382">
        <f t="shared" si="254"/>
        <v>269.62199354664006</v>
      </c>
      <c r="BM269" s="382">
        <f>VLOOKUP(BA269, 'Pile Data and Eurocode Factors'!$A$34:$J$39,3, FALSE)</f>
        <v>6572.7116301410997</v>
      </c>
      <c r="BN269" s="403">
        <f t="shared" si="255"/>
        <v>269.62199354664006</v>
      </c>
      <c r="BO269" s="419">
        <v>900</v>
      </c>
      <c r="BP269" s="430">
        <f>PI()*BO269/1000*( Pile!$C$50- Pile!$C269)</f>
        <v>6.7858401317539467</v>
      </c>
      <c r="BQ269" s="382">
        <f t="shared" si="256"/>
        <v>0.63617251235193317</v>
      </c>
      <c r="BR269" s="382">
        <f t="shared" si="295"/>
        <v>135.71680263507892</v>
      </c>
      <c r="BS269" s="382">
        <f>BP269* Pile!$S$50</f>
        <v>0</v>
      </c>
      <c r="BT269" s="382">
        <f t="shared" si="301"/>
        <v>135.71680263507892</v>
      </c>
      <c r="BU269" s="382">
        <f>IF(BT269&gt;0,+BT269)/ 'Pile Data and Eurocode Factors'!$B$14/ 'Pile Data and Eurocode Factors'!$B$15+BU$261</f>
        <v>255.38505164683235</v>
      </c>
      <c r="BV269" s="382">
        <f t="shared" si="308"/>
        <v>229.02210444669595</v>
      </c>
      <c r="BW269" s="382">
        <f>BQ269* Pile!$U$50</f>
        <v>0</v>
      </c>
      <c r="BX269" s="382">
        <f t="shared" si="257"/>
        <v>229.02210444669595</v>
      </c>
      <c r="BY269" s="382">
        <f>BX269/ 'Pile Data and Eurocode Factors'!$C$14/ 'Pile Data and Eurocode Factors'!$C$15</f>
        <v>81.793608730962845</v>
      </c>
      <c r="BZ269" s="382">
        <f t="shared" si="258"/>
        <v>337.17866037779521</v>
      </c>
      <c r="CA269" s="382">
        <f>VLOOKUP(BO269, 'Pile Data and Eurocode Factors'!$A$34:$J$39,3, FALSE)</f>
        <v>9464.7047474031824</v>
      </c>
      <c r="CB269" s="403">
        <f t="shared" si="259"/>
        <v>337.17866037779521</v>
      </c>
      <c r="CC269" s="419">
        <v>1050</v>
      </c>
      <c r="CD269" s="430">
        <f>PI()*CC269/1000*( Pile!$C$50- Pile!$C269)</f>
        <v>7.9168134870462712</v>
      </c>
      <c r="CE269" s="382">
        <f t="shared" si="260"/>
        <v>0.86590147514568672</v>
      </c>
      <c r="CF269" s="382">
        <f t="shared" si="296"/>
        <v>158.33626974092542</v>
      </c>
      <c r="CG269" s="382">
        <f>CD269* Pile!$S$50</f>
        <v>0</v>
      </c>
      <c r="CH269" s="382">
        <f t="shared" si="302"/>
        <v>158.33626974092542</v>
      </c>
      <c r="CI269" s="382">
        <f>IF(CH269&gt;0,+CH269)/ 'Pile Data and Eurocode Factors'!$B$14/ 'Pile Data and Eurocode Factors'!$B$15+CI$261</f>
        <v>297.94922692130439</v>
      </c>
      <c r="CJ269" s="382">
        <f t="shared" si="309"/>
        <v>311.72453105244722</v>
      </c>
      <c r="CK269" s="382">
        <f>CE269* Pile!$U$50</f>
        <v>0</v>
      </c>
      <c r="CL269" s="382">
        <f t="shared" si="261"/>
        <v>311.72453105244722</v>
      </c>
      <c r="CM269" s="382">
        <f>CL269/ 'Pile Data and Eurocode Factors'!$C$14/ 'Pile Data and Eurocode Factors'!$C$15</f>
        <v>111.33018966158829</v>
      </c>
      <c r="CN269" s="382">
        <f t="shared" si="262"/>
        <v>409.27941658289268</v>
      </c>
      <c r="CO269" s="382">
        <f>VLOOKUP(CC269, 'Pile Data and Eurocode Factors'!$A$34:$J$39,3, FALSE)</f>
        <v>12882.514795076555</v>
      </c>
      <c r="CP269" s="403">
        <f t="shared" si="263"/>
        <v>409.27941658289268</v>
      </c>
      <c r="CQ269" s="419">
        <v>1200</v>
      </c>
      <c r="CR269" s="430">
        <f>PI()*CQ269/1000*( Pile!$C$50- Pile!$C269)</f>
        <v>9.0477868423385956</v>
      </c>
      <c r="CS269" s="382">
        <f t="shared" si="264"/>
        <v>1.1309733552923256</v>
      </c>
      <c r="CT269" s="382">
        <f t="shared" si="297"/>
        <v>180.95573684677191</v>
      </c>
      <c r="CU269" s="382">
        <f>CR269* Pile!$S$50</f>
        <v>0</v>
      </c>
      <c r="CV269" s="382">
        <f t="shared" si="303"/>
        <v>180.95573684677191</v>
      </c>
      <c r="CW269" s="382">
        <f>IF(CV269&gt;0,+CV269)/ 'Pile Data and Eurocode Factors'!$B$14/ 'Pile Data and Eurocode Factors'!$B$15+CW$261</f>
        <v>340.51340219577639</v>
      </c>
      <c r="CX269" s="382">
        <f t="shared" si="310"/>
        <v>407.15040790523722</v>
      </c>
      <c r="CY269" s="382">
        <f>CS269* Pile!$U$50</f>
        <v>0</v>
      </c>
      <c r="CZ269" s="382">
        <f t="shared" si="265"/>
        <v>407.15040790523722</v>
      </c>
      <c r="DA269" s="382">
        <f>CZ269/ 'Pile Data and Eurocode Factors'!$C$14/ 'Pile Data and Eurocode Factors'!$C$15</f>
        <v>145.41085996615615</v>
      </c>
      <c r="DB269" s="382">
        <f t="shared" si="266"/>
        <v>485.92426216193257</v>
      </c>
      <c r="DC269" s="382">
        <f>VLOOKUP(CQ269, 'Pile Data and Eurocode Factors'!$A$34:$J$39,3, FALSE)</f>
        <v>16826.141773161216</v>
      </c>
      <c r="DD269" s="403">
        <f t="shared" si="267"/>
        <v>485.92426216193257</v>
      </c>
      <c r="DE269" s="420">
        <f xml:space="preserve"> Pile!$C$23- Pile!C269</f>
        <v>8.3999999999999986</v>
      </c>
      <c r="DG269" s="382">
        <f t="shared" si="268"/>
        <v>148.14092800615688</v>
      </c>
      <c r="DH269" s="382">
        <f t="shared" si="269"/>
        <v>206.60941608942724</v>
      </c>
      <c r="DI269" s="382">
        <f t="shared" si="270"/>
        <v>269.62199354664006</v>
      </c>
      <c r="DJ269" s="382">
        <f t="shared" si="271"/>
        <v>337.17866037779521</v>
      </c>
      <c r="DK269" s="382">
        <f t="shared" si="272"/>
        <v>409.27941658289268</v>
      </c>
      <c r="DL269" s="382">
        <f t="shared" si="291"/>
        <v>485.92426216193257</v>
      </c>
    </row>
    <row r="270" spans="2:116" s="308" customFormat="1" ht="15">
      <c r="B270" s="400">
        <v>9</v>
      </c>
      <c r="C270" s="401">
        <f>+C269- Pile!D$50/20</f>
        <v>-2.6999999999999975</v>
      </c>
      <c r="D270" s="415" t="str">
        <f>B24</f>
        <v>Firm Clay</v>
      </c>
      <c r="E270" s="415" t="str">
        <f>F24</f>
        <v>Cohesive</v>
      </c>
      <c r="F270" s="401">
        <f xml:space="preserve"> Pile!$E$50*(+C269-C270)+F269</f>
        <v>148.94999999999999</v>
      </c>
      <c r="G270" s="401">
        <f>IF(C270&gt; Pile!$C$54,0,( Pile!$C$54-C270)*9.81)</f>
        <v>0</v>
      </c>
      <c r="H270" s="401">
        <f t="shared" si="238"/>
        <v>148.94999999999999</v>
      </c>
      <c r="I270" s="401">
        <f t="shared" si="304"/>
        <v>123.97499999999998</v>
      </c>
      <c r="J270" s="401">
        <f>IF(E270="Cohesive",(( Pile!$H$50- Pile!$G$50)/20)+J269,0)</f>
        <v>40</v>
      </c>
      <c r="K270" s="401">
        <f>IF(E270="Cohesive",( Pile!$G$50+ Pile!$J270)/2,0)</f>
        <v>40</v>
      </c>
      <c r="L270" s="401">
        <f>IF( Pile!I$50="",0, Pile!I$50)</f>
        <v>0.5</v>
      </c>
      <c r="M270" s="401">
        <f>IF( Pile!J$50="",0, Pile!J$50)</f>
        <v>9</v>
      </c>
      <c r="N270" s="401">
        <f>IF(E270="Granular", Pile!$K$50,0)</f>
        <v>0</v>
      </c>
      <c r="O270" s="416">
        <f>IF(AND(E270="Granular",D270&lt;&gt;"Made Ground"), Pile!$L$50,0)</f>
        <v>0</v>
      </c>
      <c r="P270" s="401">
        <f>IF(OR(D270="Low Density Chalk",D270="Medium Density Chalk"), Pile!$M$50,0)</f>
        <v>0</v>
      </c>
      <c r="Q270" s="417">
        <f>IF(D270="High Density Chalk", Pile!$N$50,0)</f>
        <v>0</v>
      </c>
      <c r="R270" s="401">
        <f>IF( Pile!O$50="",0, Pile!O$50)</f>
        <v>0</v>
      </c>
      <c r="S270" s="418">
        <f t="shared" si="240"/>
        <v>20</v>
      </c>
      <c r="T270" s="382">
        <f xml:space="preserve"> Pile!$T$50</f>
        <v>100</v>
      </c>
      <c r="U270" s="382">
        <f t="shared" si="241"/>
        <v>20</v>
      </c>
      <c r="V270" s="382">
        <f t="shared" si="242"/>
        <v>360</v>
      </c>
      <c r="W270" s="382" t="str">
        <f xml:space="preserve"> Pile!$V$50</f>
        <v/>
      </c>
      <c r="X270" s="382">
        <f t="shared" si="243"/>
        <v>360</v>
      </c>
      <c r="Y270" s="419">
        <v>450</v>
      </c>
      <c r="Z270" s="430">
        <f>PI()*Y270/1000*( Pile!$C$50- Pile!$C270)</f>
        <v>3.8170350741115953</v>
      </c>
      <c r="AA270" s="382">
        <f t="shared" si="244"/>
        <v>0.15904312808798329</v>
      </c>
      <c r="AB270" s="382">
        <f t="shared" si="292"/>
        <v>76.340701482231907</v>
      </c>
      <c r="AC270" s="382">
        <f>Z270* Pile!$S$50</f>
        <v>0</v>
      </c>
      <c r="AD270" s="382">
        <f t="shared" si="298"/>
        <v>76.340701482231907</v>
      </c>
      <c r="AE270" s="382">
        <f>IF(AD270&gt;0,+AD270)/ 'Pile Data and Eurocode Factors'!$B$14/ 'Pile Data and Eurocode Factors'!$B$15+AE$261</f>
        <v>131.47926696836817</v>
      </c>
      <c r="AF270" s="382">
        <f t="shared" si="305"/>
        <v>57.255526111673987</v>
      </c>
      <c r="AG270" s="382">
        <f>AA270* Pile!$U$50</f>
        <v>0</v>
      </c>
      <c r="AH270" s="382">
        <f t="shared" si="245"/>
        <v>57.255526111673987</v>
      </c>
      <c r="AI270" s="382">
        <f>AH270/ 'Pile Data and Eurocode Factors'!$C$14/ 'Pile Data and Eurocode Factors'!$C$15</f>
        <v>20.448402182740711</v>
      </c>
      <c r="AJ270" s="382">
        <f t="shared" si="246"/>
        <v>151.92766915110889</v>
      </c>
      <c r="AK270" s="382">
        <f>VLOOKUP(Y270, 'Pile Data and Eurocode Factors'!$A$34:$J$39,3, FALSE)</f>
        <v>2366.1761868507956</v>
      </c>
      <c r="AL270" s="403">
        <f t="shared" si="247"/>
        <v>151.92766915110889</v>
      </c>
      <c r="AM270" s="419">
        <v>600</v>
      </c>
      <c r="AN270" s="430">
        <f>PI()*AM270/1000*( Pile!$C$50- Pile!$C270)</f>
        <v>5.0893800988154601</v>
      </c>
      <c r="AO270" s="382">
        <f t="shared" si="248"/>
        <v>0.28274333882308139</v>
      </c>
      <c r="AP270" s="382">
        <f t="shared" si="293"/>
        <v>101.7876019763092</v>
      </c>
      <c r="AQ270" s="382">
        <f>AN270* Pile!$S$50</f>
        <v>0</v>
      </c>
      <c r="AR270" s="382">
        <f t="shared" si="299"/>
        <v>101.7876019763092</v>
      </c>
      <c r="AS270" s="382">
        <f>IF(AR270&gt;0,+AR270)/ 'Pile Data and Eurocode Factors'!$B$14/ 'Pile Data and Eurocode Factors'!$B$15+AS$261</f>
        <v>175.30568929115751</v>
      </c>
      <c r="AT270" s="382">
        <f t="shared" si="306"/>
        <v>101.7876019763093</v>
      </c>
      <c r="AU270" s="382">
        <f>AO270* Pile!$U$50</f>
        <v>0</v>
      </c>
      <c r="AV270" s="382">
        <f t="shared" si="249"/>
        <v>101.7876019763093</v>
      </c>
      <c r="AW270" s="382">
        <f>AV270/ 'Pile Data and Eurocode Factors'!$C$14/ 'Pile Data and Eurocode Factors'!$C$15</f>
        <v>36.352714991539038</v>
      </c>
      <c r="AX270" s="382">
        <f t="shared" si="250"/>
        <v>211.65840428269655</v>
      </c>
      <c r="AY270" s="382">
        <f>VLOOKUP(AM270, 'Pile Data and Eurocode Factors'!$A$34:$J$39,3, FALSE)</f>
        <v>4206.5354432903041</v>
      </c>
      <c r="AZ270" s="403">
        <f t="shared" si="251"/>
        <v>211.65840428269655</v>
      </c>
      <c r="BA270" s="419">
        <v>750</v>
      </c>
      <c r="BB270" s="430">
        <f>PI()*BA270/1000*( Pile!$C$50- Pile!$C270)</f>
        <v>6.3617251235193253</v>
      </c>
      <c r="BC270" s="382">
        <f t="shared" si="252"/>
        <v>0.44178646691106466</v>
      </c>
      <c r="BD270" s="382">
        <f t="shared" si="294"/>
        <v>127.2345024703865</v>
      </c>
      <c r="BE270" s="382">
        <f>BB270* Pile!$S$50</f>
        <v>0</v>
      </c>
      <c r="BF270" s="382">
        <f t="shared" si="300"/>
        <v>127.2345024703865</v>
      </c>
      <c r="BG270" s="382">
        <f>IF(BF270&gt;0,+BF270)/ 'Pile Data and Eurocode Factors'!$B$14/ 'Pile Data and Eurocode Factors'!$B$15+BG$261</f>
        <v>219.13211161394696</v>
      </c>
      <c r="BH270" s="382">
        <f t="shared" si="307"/>
        <v>159.04312808798326</v>
      </c>
      <c r="BI270" s="382">
        <f>BC270* Pile!$U$50</f>
        <v>0</v>
      </c>
      <c r="BJ270" s="382">
        <f t="shared" si="253"/>
        <v>159.04312808798326</v>
      </c>
      <c r="BK270" s="382">
        <f>BJ270/ 'Pile Data and Eurocode Factors'!$C$14/ 'Pile Data and Eurocode Factors'!$C$15</f>
        <v>56.801117174279739</v>
      </c>
      <c r="BL270" s="382">
        <f t="shared" si="254"/>
        <v>275.9332287882267</v>
      </c>
      <c r="BM270" s="382">
        <f>VLOOKUP(BA270, 'Pile Data and Eurocode Factors'!$A$34:$J$39,3, FALSE)</f>
        <v>6572.7116301410997</v>
      </c>
      <c r="BN270" s="403">
        <f t="shared" si="255"/>
        <v>275.9332287882267</v>
      </c>
      <c r="BO270" s="419">
        <v>900</v>
      </c>
      <c r="BP270" s="430">
        <f>PI()*BO270/1000*( Pile!$C$50- Pile!$C270)</f>
        <v>7.6340701482231905</v>
      </c>
      <c r="BQ270" s="382">
        <f t="shared" si="256"/>
        <v>0.63617251235193317</v>
      </c>
      <c r="BR270" s="382">
        <f t="shared" si="295"/>
        <v>152.68140296446381</v>
      </c>
      <c r="BS270" s="382">
        <f>BP270* Pile!$S$50</f>
        <v>0</v>
      </c>
      <c r="BT270" s="382">
        <f t="shared" si="301"/>
        <v>152.68140296446381</v>
      </c>
      <c r="BU270" s="382">
        <f>IF(BT270&gt;0,+BT270)/ 'Pile Data and Eurocode Factors'!$B$14/ 'Pile Data and Eurocode Factors'!$B$15+BU$261</f>
        <v>262.95853393673633</v>
      </c>
      <c r="BV270" s="382">
        <f t="shared" si="308"/>
        <v>229.02210444669595</v>
      </c>
      <c r="BW270" s="382">
        <f>BQ270* Pile!$U$50</f>
        <v>0</v>
      </c>
      <c r="BX270" s="382">
        <f t="shared" si="257"/>
        <v>229.02210444669595</v>
      </c>
      <c r="BY270" s="382">
        <f>BX270/ 'Pile Data and Eurocode Factors'!$C$14/ 'Pile Data and Eurocode Factors'!$C$15</f>
        <v>81.793608730962845</v>
      </c>
      <c r="BZ270" s="382">
        <f t="shared" si="258"/>
        <v>344.75214266769916</v>
      </c>
      <c r="CA270" s="382">
        <f>VLOOKUP(BO270, 'Pile Data and Eurocode Factors'!$A$34:$J$39,3, FALSE)</f>
        <v>9464.7047474031824</v>
      </c>
      <c r="CB270" s="403">
        <f t="shared" si="259"/>
        <v>344.75214266769916</v>
      </c>
      <c r="CC270" s="419">
        <v>1050</v>
      </c>
      <c r="CD270" s="430">
        <f>PI()*CC270/1000*( Pile!$C$50- Pile!$C270)</f>
        <v>8.9064151729270549</v>
      </c>
      <c r="CE270" s="382">
        <f t="shared" si="260"/>
        <v>0.86590147514568672</v>
      </c>
      <c r="CF270" s="382">
        <f t="shared" si="296"/>
        <v>178.1283034585411</v>
      </c>
      <c r="CG270" s="382">
        <f>CD270* Pile!$S$50</f>
        <v>0</v>
      </c>
      <c r="CH270" s="382">
        <f t="shared" si="302"/>
        <v>178.1283034585411</v>
      </c>
      <c r="CI270" s="382">
        <f>IF(CH270&gt;0,+CH270)/ 'Pile Data and Eurocode Factors'!$B$14/ 'Pile Data and Eurocode Factors'!$B$15+CI$261</f>
        <v>306.78495625952564</v>
      </c>
      <c r="CJ270" s="382">
        <f t="shared" si="309"/>
        <v>311.72453105244722</v>
      </c>
      <c r="CK270" s="382">
        <f>CE270* Pile!$U$50</f>
        <v>0</v>
      </c>
      <c r="CL270" s="382">
        <f t="shared" si="261"/>
        <v>311.72453105244722</v>
      </c>
      <c r="CM270" s="382">
        <f>CL270/ 'Pile Data and Eurocode Factors'!$C$14/ 'Pile Data and Eurocode Factors'!$C$15</f>
        <v>111.33018966158829</v>
      </c>
      <c r="CN270" s="382">
        <f t="shared" si="262"/>
        <v>418.11514592111394</v>
      </c>
      <c r="CO270" s="382">
        <f>VLOOKUP(CC270, 'Pile Data and Eurocode Factors'!$A$34:$J$39,3, FALSE)</f>
        <v>12882.514795076555</v>
      </c>
      <c r="CP270" s="403">
        <f t="shared" si="263"/>
        <v>418.11514592111394</v>
      </c>
      <c r="CQ270" s="419">
        <v>1200</v>
      </c>
      <c r="CR270" s="430">
        <f>PI()*CQ270/1000*( Pile!$C$50- Pile!$C270)</f>
        <v>10.17876019763092</v>
      </c>
      <c r="CS270" s="382">
        <f t="shared" si="264"/>
        <v>1.1309733552923256</v>
      </c>
      <c r="CT270" s="382">
        <f t="shared" si="297"/>
        <v>203.57520395261841</v>
      </c>
      <c r="CU270" s="382">
        <f>CR270* Pile!$S$50</f>
        <v>0</v>
      </c>
      <c r="CV270" s="382">
        <f t="shared" si="303"/>
        <v>203.57520395261841</v>
      </c>
      <c r="CW270" s="382">
        <f>IF(CV270&gt;0,+CV270)/ 'Pile Data and Eurocode Factors'!$B$14/ 'Pile Data and Eurocode Factors'!$B$15+CW$261</f>
        <v>350.61137858231501</v>
      </c>
      <c r="CX270" s="382">
        <f t="shared" si="310"/>
        <v>407.15040790523722</v>
      </c>
      <c r="CY270" s="382">
        <f>CS270* Pile!$U$50</f>
        <v>0</v>
      </c>
      <c r="CZ270" s="382">
        <f t="shared" si="265"/>
        <v>407.15040790523722</v>
      </c>
      <c r="DA270" s="382">
        <f>CZ270/ 'Pile Data and Eurocode Factors'!$C$14/ 'Pile Data and Eurocode Factors'!$C$15</f>
        <v>145.41085996615615</v>
      </c>
      <c r="DB270" s="382">
        <f t="shared" si="266"/>
        <v>496.02223854847114</v>
      </c>
      <c r="DC270" s="382">
        <f>VLOOKUP(CQ270, 'Pile Data and Eurocode Factors'!$A$34:$J$39,3, FALSE)</f>
        <v>16826.141773161216</v>
      </c>
      <c r="DD270" s="403">
        <f t="shared" si="267"/>
        <v>496.02223854847114</v>
      </c>
      <c r="DE270" s="420">
        <f xml:space="preserve"> Pile!$C$23- Pile!C270</f>
        <v>8.6999999999999975</v>
      </c>
      <c r="DG270" s="382">
        <f t="shared" si="268"/>
        <v>151.92766915110889</v>
      </c>
      <c r="DH270" s="382">
        <f t="shared" si="269"/>
        <v>211.65840428269655</v>
      </c>
      <c r="DI270" s="382">
        <f t="shared" si="270"/>
        <v>275.9332287882267</v>
      </c>
      <c r="DJ270" s="382">
        <f t="shared" si="271"/>
        <v>344.75214266769916</v>
      </c>
      <c r="DK270" s="382">
        <f t="shared" si="272"/>
        <v>418.11514592111394</v>
      </c>
      <c r="DL270" s="382">
        <f t="shared" si="291"/>
        <v>496.02223854847114</v>
      </c>
    </row>
    <row r="271" spans="2:116" s="308" customFormat="1" ht="15">
      <c r="B271" s="400">
        <v>10</v>
      </c>
      <c r="C271" s="401">
        <f>+C270- Pile!D$50/20</f>
        <v>-2.9999999999999973</v>
      </c>
      <c r="D271" s="415" t="str">
        <f>B24</f>
        <v>Firm Clay</v>
      </c>
      <c r="E271" s="415" t="str">
        <f>F24</f>
        <v>Cohesive</v>
      </c>
      <c r="F271" s="401">
        <f xml:space="preserve"> Pile!$E$50*(+C270-C271)+F270</f>
        <v>154.5</v>
      </c>
      <c r="G271" s="401">
        <f>IF(C271&gt; Pile!$C$54,0,( Pile!$C$54-C271)*9.81)</f>
        <v>0</v>
      </c>
      <c r="H271" s="401">
        <f t="shared" si="238"/>
        <v>154.5</v>
      </c>
      <c r="I271" s="401">
        <f t="shared" si="304"/>
        <v>126.74999999999999</v>
      </c>
      <c r="J271" s="401">
        <f>IF(E271="Cohesive",(( Pile!$H$50- Pile!$G$50)/20)+J270,0)</f>
        <v>40</v>
      </c>
      <c r="K271" s="401">
        <f>IF(E271="Cohesive",( Pile!$G$50+ Pile!$J271)/2,0)</f>
        <v>40</v>
      </c>
      <c r="L271" s="401">
        <f>IF( Pile!I$50="",0, Pile!I$50)</f>
        <v>0.5</v>
      </c>
      <c r="M271" s="401">
        <f>IF( Pile!J$50="",0, Pile!J$50)</f>
        <v>9</v>
      </c>
      <c r="N271" s="401">
        <f>IF(E271="Granular", Pile!$K$50,0)</f>
        <v>0</v>
      </c>
      <c r="O271" s="416">
        <f>IF(AND(E271="Granular",D271&lt;&gt;"Made Ground"), Pile!$L$50,0)</f>
        <v>0</v>
      </c>
      <c r="P271" s="401">
        <f>IF(OR(D271="Low Density Chalk",D271="Medium Density Chalk"), Pile!$M$50,0)</f>
        <v>0</v>
      </c>
      <c r="Q271" s="417">
        <f>IF(D271="High Density Chalk", Pile!$N$50,0)</f>
        <v>0</v>
      </c>
      <c r="R271" s="401">
        <f>IF( Pile!O$50="",0, Pile!O$50)</f>
        <v>0</v>
      </c>
      <c r="S271" s="418">
        <f t="shared" si="240"/>
        <v>20</v>
      </c>
      <c r="T271" s="382">
        <f xml:space="preserve"> Pile!$T$50</f>
        <v>100</v>
      </c>
      <c r="U271" s="382">
        <f t="shared" si="241"/>
        <v>20</v>
      </c>
      <c r="V271" s="382">
        <f t="shared" si="242"/>
        <v>360</v>
      </c>
      <c r="W271" s="382" t="str">
        <f xml:space="preserve"> Pile!$V$50</f>
        <v/>
      </c>
      <c r="X271" s="382">
        <f t="shared" si="243"/>
        <v>360</v>
      </c>
      <c r="Y271" s="419">
        <v>450</v>
      </c>
      <c r="Z271" s="430">
        <f>PI()*Y271/1000*( Pile!$C$50- Pile!$C271)</f>
        <v>4.2411500823462172</v>
      </c>
      <c r="AA271" s="382">
        <f t="shared" si="244"/>
        <v>0.15904312808798329</v>
      </c>
      <c r="AB271" s="382">
        <f t="shared" si="292"/>
        <v>84.82300164692434</v>
      </c>
      <c r="AC271" s="382">
        <f>Z271* Pile!$S$50</f>
        <v>0</v>
      </c>
      <c r="AD271" s="382">
        <f t="shared" si="298"/>
        <v>84.82300164692434</v>
      </c>
      <c r="AE271" s="382">
        <f>IF(AD271&gt;0,+AD271)/ 'Pile Data and Eurocode Factors'!$B$14/ 'Pile Data and Eurocode Factors'!$B$15+AE$261</f>
        <v>135.26600811332014</v>
      </c>
      <c r="AF271" s="382">
        <f t="shared" si="305"/>
        <v>57.255526111673987</v>
      </c>
      <c r="AG271" s="382">
        <f>AA271* Pile!$U$50</f>
        <v>0</v>
      </c>
      <c r="AH271" s="382">
        <f t="shared" si="245"/>
        <v>57.255526111673987</v>
      </c>
      <c r="AI271" s="382">
        <f>AH271/ 'Pile Data and Eurocode Factors'!$C$14/ 'Pile Data and Eurocode Factors'!$C$15</f>
        <v>20.448402182740711</v>
      </c>
      <c r="AJ271" s="382">
        <f t="shared" si="246"/>
        <v>155.71441029606086</v>
      </c>
      <c r="AK271" s="382">
        <f>VLOOKUP(Y271, 'Pile Data and Eurocode Factors'!$A$34:$J$39,3, FALSE)</f>
        <v>2366.1761868507956</v>
      </c>
      <c r="AL271" s="403">
        <f t="shared" si="247"/>
        <v>155.71441029606086</v>
      </c>
      <c r="AM271" s="419">
        <v>600</v>
      </c>
      <c r="AN271" s="430">
        <f>PI()*AM271/1000*( Pile!$C$50- Pile!$C271)</f>
        <v>5.6548667764616223</v>
      </c>
      <c r="AO271" s="382">
        <f t="shared" si="248"/>
        <v>0.28274333882308139</v>
      </c>
      <c r="AP271" s="382">
        <f t="shared" si="293"/>
        <v>113.09733552923245</v>
      </c>
      <c r="AQ271" s="382">
        <f>AN271* Pile!$S$50</f>
        <v>0</v>
      </c>
      <c r="AR271" s="382">
        <f t="shared" si="299"/>
        <v>113.09733552923245</v>
      </c>
      <c r="AS271" s="382">
        <f>IF(AR271&gt;0,+AR271)/ 'Pile Data and Eurocode Factors'!$B$14/ 'Pile Data and Eurocode Factors'!$B$15+AS$261</f>
        <v>180.35467748442682</v>
      </c>
      <c r="AT271" s="382">
        <f t="shared" si="306"/>
        <v>101.7876019763093</v>
      </c>
      <c r="AU271" s="382">
        <f>AO271* Pile!$U$50</f>
        <v>0</v>
      </c>
      <c r="AV271" s="382">
        <f t="shared" si="249"/>
        <v>101.7876019763093</v>
      </c>
      <c r="AW271" s="382">
        <f>AV271/ 'Pile Data and Eurocode Factors'!$C$14/ 'Pile Data and Eurocode Factors'!$C$15</f>
        <v>36.352714991539038</v>
      </c>
      <c r="AX271" s="382">
        <f t="shared" si="250"/>
        <v>216.70739247596586</v>
      </c>
      <c r="AY271" s="382">
        <f>VLOOKUP(AM271, 'Pile Data and Eurocode Factors'!$A$34:$J$39,3, FALSE)</f>
        <v>4206.5354432903041</v>
      </c>
      <c r="AZ271" s="403">
        <f t="shared" si="251"/>
        <v>216.70739247596586</v>
      </c>
      <c r="BA271" s="419">
        <v>750</v>
      </c>
      <c r="BB271" s="430">
        <f>PI()*BA271/1000*( Pile!$C$50- Pile!$C271)</f>
        <v>7.0685834705770283</v>
      </c>
      <c r="BC271" s="382">
        <f t="shared" si="252"/>
        <v>0.44178646691106466</v>
      </c>
      <c r="BD271" s="382">
        <f t="shared" si="294"/>
        <v>141.37166941154055</v>
      </c>
      <c r="BE271" s="382">
        <f>BB271* Pile!$S$50</f>
        <v>0</v>
      </c>
      <c r="BF271" s="382">
        <f t="shared" si="300"/>
        <v>141.37166941154055</v>
      </c>
      <c r="BG271" s="382">
        <f>IF(BF271&gt;0,+BF271)/ 'Pile Data and Eurocode Factors'!$B$14/ 'Pile Data and Eurocode Factors'!$B$15+BG$261</f>
        <v>225.44334685553358</v>
      </c>
      <c r="BH271" s="382">
        <f t="shared" si="307"/>
        <v>159.04312808798326</v>
      </c>
      <c r="BI271" s="382">
        <f>BC271* Pile!$U$50</f>
        <v>0</v>
      </c>
      <c r="BJ271" s="382">
        <f t="shared" si="253"/>
        <v>159.04312808798326</v>
      </c>
      <c r="BK271" s="382">
        <f>BJ271/ 'Pile Data and Eurocode Factors'!$C$14/ 'Pile Data and Eurocode Factors'!$C$15</f>
        <v>56.801117174279739</v>
      </c>
      <c r="BL271" s="382">
        <f t="shared" si="254"/>
        <v>282.24446402981334</v>
      </c>
      <c r="BM271" s="382">
        <f>VLOOKUP(BA271, 'Pile Data and Eurocode Factors'!$A$34:$J$39,3, FALSE)</f>
        <v>6572.7116301410997</v>
      </c>
      <c r="BN271" s="403">
        <f t="shared" si="255"/>
        <v>282.24446402981334</v>
      </c>
      <c r="BO271" s="419">
        <v>900</v>
      </c>
      <c r="BP271" s="430">
        <f>PI()*BO271/1000*( Pile!$C$50- Pile!$C271)</f>
        <v>8.4823001646924343</v>
      </c>
      <c r="BQ271" s="382">
        <f t="shared" si="256"/>
        <v>0.63617251235193317</v>
      </c>
      <c r="BR271" s="382">
        <f t="shared" si="295"/>
        <v>169.64600329384868</v>
      </c>
      <c r="BS271" s="382">
        <f>BP271* Pile!$S$50</f>
        <v>0</v>
      </c>
      <c r="BT271" s="382">
        <f t="shared" si="301"/>
        <v>169.64600329384868</v>
      </c>
      <c r="BU271" s="382">
        <f>IF(BT271&gt;0,+BT271)/ 'Pile Data and Eurocode Factors'!$B$14/ 'Pile Data and Eurocode Factors'!$B$15+BU$261</f>
        <v>270.53201622664028</v>
      </c>
      <c r="BV271" s="382">
        <f t="shared" si="308"/>
        <v>229.02210444669595</v>
      </c>
      <c r="BW271" s="382">
        <f>BQ271* Pile!$U$50</f>
        <v>0</v>
      </c>
      <c r="BX271" s="382">
        <f t="shared" si="257"/>
        <v>229.02210444669595</v>
      </c>
      <c r="BY271" s="382">
        <f>BX271/ 'Pile Data and Eurocode Factors'!$C$14/ 'Pile Data and Eurocode Factors'!$C$15</f>
        <v>81.793608730962845</v>
      </c>
      <c r="BZ271" s="382">
        <f t="shared" si="258"/>
        <v>352.32562495760311</v>
      </c>
      <c r="CA271" s="382">
        <f>VLOOKUP(BO271, 'Pile Data and Eurocode Factors'!$A$34:$J$39,3, FALSE)</f>
        <v>9464.7047474031824</v>
      </c>
      <c r="CB271" s="403">
        <f t="shared" si="259"/>
        <v>352.32562495760311</v>
      </c>
      <c r="CC271" s="419">
        <v>1050</v>
      </c>
      <c r="CD271" s="430">
        <f>PI()*CC271/1000*( Pile!$C$50- Pile!$C271)</f>
        <v>9.8960168588078403</v>
      </c>
      <c r="CE271" s="382">
        <f t="shared" si="260"/>
        <v>0.86590147514568672</v>
      </c>
      <c r="CF271" s="382">
        <f t="shared" si="296"/>
        <v>197.92033717615681</v>
      </c>
      <c r="CG271" s="382">
        <f>CD271* Pile!$S$50</f>
        <v>0</v>
      </c>
      <c r="CH271" s="382">
        <f t="shared" si="302"/>
        <v>197.92033717615681</v>
      </c>
      <c r="CI271" s="382">
        <f>IF(CH271&gt;0,+CH271)/ 'Pile Data and Eurocode Factors'!$B$14/ 'Pile Data and Eurocode Factors'!$B$15+CI$261</f>
        <v>315.62068559774696</v>
      </c>
      <c r="CJ271" s="382">
        <f t="shared" si="309"/>
        <v>311.72453105244722</v>
      </c>
      <c r="CK271" s="382">
        <f>CE271* Pile!$U$50</f>
        <v>0</v>
      </c>
      <c r="CL271" s="382">
        <f t="shared" si="261"/>
        <v>311.72453105244722</v>
      </c>
      <c r="CM271" s="382">
        <f>CL271/ 'Pile Data and Eurocode Factors'!$C$14/ 'Pile Data and Eurocode Factors'!$C$15</f>
        <v>111.33018966158829</v>
      </c>
      <c r="CN271" s="382">
        <f t="shared" si="262"/>
        <v>426.95087525933525</v>
      </c>
      <c r="CO271" s="382">
        <f>VLOOKUP(CC271, 'Pile Data and Eurocode Factors'!$A$34:$J$39,3, FALSE)</f>
        <v>12882.514795076555</v>
      </c>
      <c r="CP271" s="403">
        <f t="shared" si="263"/>
        <v>426.95087525933525</v>
      </c>
      <c r="CQ271" s="419">
        <v>1200</v>
      </c>
      <c r="CR271" s="430">
        <f>PI()*CQ271/1000*( Pile!$C$50- Pile!$C271)</f>
        <v>11.309733552923245</v>
      </c>
      <c r="CS271" s="382">
        <f t="shared" si="264"/>
        <v>1.1309733552923256</v>
      </c>
      <c r="CT271" s="382">
        <f t="shared" si="297"/>
        <v>226.19467105846491</v>
      </c>
      <c r="CU271" s="382">
        <f>CR271* Pile!$S$50</f>
        <v>0</v>
      </c>
      <c r="CV271" s="382">
        <f t="shared" si="303"/>
        <v>226.19467105846491</v>
      </c>
      <c r="CW271" s="382">
        <f>IF(CV271&gt;0,+CV271)/ 'Pile Data and Eurocode Factors'!$B$14/ 'Pile Data and Eurocode Factors'!$B$15+CW$261</f>
        <v>360.70935496885363</v>
      </c>
      <c r="CX271" s="382">
        <f t="shared" si="310"/>
        <v>407.15040790523722</v>
      </c>
      <c r="CY271" s="382">
        <f>CS271* Pile!$U$50</f>
        <v>0</v>
      </c>
      <c r="CZ271" s="382">
        <f t="shared" si="265"/>
        <v>407.15040790523722</v>
      </c>
      <c r="DA271" s="382">
        <f>CZ271/ 'Pile Data and Eurocode Factors'!$C$14/ 'Pile Data and Eurocode Factors'!$C$15</f>
        <v>145.41085996615615</v>
      </c>
      <c r="DB271" s="382">
        <f t="shared" si="266"/>
        <v>506.12021493500981</v>
      </c>
      <c r="DC271" s="382">
        <f>VLOOKUP(CQ271, 'Pile Data and Eurocode Factors'!$A$34:$J$39,3, FALSE)</f>
        <v>16826.141773161216</v>
      </c>
      <c r="DD271" s="403">
        <f t="shared" si="267"/>
        <v>506.12021493500981</v>
      </c>
      <c r="DE271" s="420">
        <f xml:space="preserve"> Pile!$C$23- Pile!C271</f>
        <v>8.9999999999999964</v>
      </c>
      <c r="DG271" s="382">
        <f t="shared" si="268"/>
        <v>155.71441029606086</v>
      </c>
      <c r="DH271" s="382">
        <f t="shared" si="269"/>
        <v>216.70739247596586</v>
      </c>
      <c r="DI271" s="382">
        <f t="shared" si="270"/>
        <v>282.24446402981334</v>
      </c>
      <c r="DJ271" s="382">
        <f t="shared" si="271"/>
        <v>352.32562495760311</v>
      </c>
      <c r="DK271" s="382">
        <f t="shared" si="272"/>
        <v>426.95087525933525</v>
      </c>
      <c r="DL271" s="382">
        <f t="shared" si="291"/>
        <v>506.12021493500981</v>
      </c>
    </row>
    <row r="272" spans="2:116" s="308" customFormat="1" ht="15">
      <c r="B272" s="400">
        <v>11</v>
      </c>
      <c r="C272" s="401">
        <f>+C271- Pile!D$50/20</f>
        <v>-3.2999999999999972</v>
      </c>
      <c r="D272" s="415" t="str">
        <f>B24</f>
        <v>Firm Clay</v>
      </c>
      <c r="E272" s="415" t="str">
        <f>F24</f>
        <v>Cohesive</v>
      </c>
      <c r="F272" s="401">
        <f xml:space="preserve"> Pile!$E$50*(+C271-C272)+F271</f>
        <v>160.05000000000001</v>
      </c>
      <c r="G272" s="401">
        <f>IF(C272&gt; Pile!$C$54,0,( Pile!$C$54-C272)*9.81)</f>
        <v>0</v>
      </c>
      <c r="H272" s="401">
        <f t="shared" si="238"/>
        <v>160.05000000000001</v>
      </c>
      <c r="I272" s="401">
        <f t="shared" si="304"/>
        <v>129.52499999999998</v>
      </c>
      <c r="J272" s="401">
        <f>IF(E272="Cohesive",(( Pile!$H$50- Pile!$G$50)/20)+J271,0)</f>
        <v>40</v>
      </c>
      <c r="K272" s="401">
        <f>IF(E272="Cohesive",( Pile!$G$50+ Pile!$J272)/2,0)</f>
        <v>40</v>
      </c>
      <c r="L272" s="401">
        <f>IF( Pile!I$50="",0, Pile!I$50)</f>
        <v>0.5</v>
      </c>
      <c r="M272" s="401">
        <f>IF( Pile!J$50="",0, Pile!J$50)</f>
        <v>9</v>
      </c>
      <c r="N272" s="401">
        <f>IF(E272="Granular", Pile!$K$50,0)</f>
        <v>0</v>
      </c>
      <c r="O272" s="416">
        <f>IF(AND(E272="Granular",D272&lt;&gt;"Made Ground"), Pile!$L$50,0)</f>
        <v>0</v>
      </c>
      <c r="P272" s="401">
        <f>IF(OR(D272="Low Density Chalk",D272="Medium Density Chalk"), Pile!$M$50,0)</f>
        <v>0</v>
      </c>
      <c r="Q272" s="417">
        <f>IF(D272="High Density Chalk", Pile!$N$50,0)</f>
        <v>0</v>
      </c>
      <c r="R272" s="401">
        <f>IF( Pile!O$50="",0, Pile!O$50)</f>
        <v>0</v>
      </c>
      <c r="S272" s="418">
        <f t="shared" si="240"/>
        <v>20</v>
      </c>
      <c r="T272" s="382">
        <f xml:space="preserve"> Pile!$T$50</f>
        <v>100</v>
      </c>
      <c r="U272" s="382">
        <f t="shared" si="241"/>
        <v>20</v>
      </c>
      <c r="V272" s="382">
        <f t="shared" si="242"/>
        <v>360</v>
      </c>
      <c r="W272" s="382" t="str">
        <f xml:space="preserve"> Pile!$V$50</f>
        <v/>
      </c>
      <c r="X272" s="382">
        <f t="shared" si="243"/>
        <v>360</v>
      </c>
      <c r="Y272" s="419">
        <v>450</v>
      </c>
      <c r="Z272" s="430">
        <f>PI()*Y272/1000*( Pile!$C$50- Pile!$C272)</f>
        <v>4.6652650905808386</v>
      </c>
      <c r="AA272" s="382">
        <f t="shared" si="244"/>
        <v>0.15904312808798329</v>
      </c>
      <c r="AB272" s="382">
        <f t="shared" si="292"/>
        <v>93.305301811616772</v>
      </c>
      <c r="AC272" s="382">
        <f>Z272* Pile!$S$50</f>
        <v>0</v>
      </c>
      <c r="AD272" s="382">
        <f t="shared" si="298"/>
        <v>93.305301811616772</v>
      </c>
      <c r="AE272" s="382">
        <f>IF(AD272&gt;0,+AD272)/ 'Pile Data and Eurocode Factors'!$B$14/ 'Pile Data and Eurocode Factors'!$B$15+AE$261</f>
        <v>139.05274925827212</v>
      </c>
      <c r="AF272" s="382">
        <f t="shared" si="305"/>
        <v>57.255526111673987</v>
      </c>
      <c r="AG272" s="382">
        <f>AA272* Pile!$U$50</f>
        <v>0</v>
      </c>
      <c r="AH272" s="382">
        <f t="shared" si="245"/>
        <v>57.255526111673987</v>
      </c>
      <c r="AI272" s="382">
        <f>AH272/ 'Pile Data and Eurocode Factors'!$C$14/ 'Pile Data and Eurocode Factors'!$C$15</f>
        <v>20.448402182740711</v>
      </c>
      <c r="AJ272" s="382">
        <f t="shared" si="246"/>
        <v>159.50115144101284</v>
      </c>
      <c r="AK272" s="382">
        <f>VLOOKUP(Y272, 'Pile Data and Eurocode Factors'!$A$34:$J$39,3, FALSE)</f>
        <v>2366.1761868507956</v>
      </c>
      <c r="AL272" s="403">
        <f t="shared" si="247"/>
        <v>159.50115144101284</v>
      </c>
      <c r="AM272" s="419">
        <v>600</v>
      </c>
      <c r="AN272" s="430">
        <f>PI()*AM272/1000*( Pile!$C$50- Pile!$C272)</f>
        <v>6.2203534541077854</v>
      </c>
      <c r="AO272" s="382">
        <f t="shared" si="248"/>
        <v>0.28274333882308139</v>
      </c>
      <c r="AP272" s="382">
        <f t="shared" si="293"/>
        <v>124.40706908215572</v>
      </c>
      <c r="AQ272" s="382">
        <f>AN272* Pile!$S$50</f>
        <v>0</v>
      </c>
      <c r="AR272" s="382">
        <f t="shared" si="299"/>
        <v>124.40706908215572</v>
      </c>
      <c r="AS272" s="382">
        <f>IF(AR272&gt;0,+AR272)/ 'Pile Data and Eurocode Factors'!$B$14/ 'Pile Data and Eurocode Factors'!$B$15+AS$261</f>
        <v>185.40366567769613</v>
      </c>
      <c r="AT272" s="382">
        <f t="shared" si="306"/>
        <v>101.7876019763093</v>
      </c>
      <c r="AU272" s="382">
        <f>AO272* Pile!$U$50</f>
        <v>0</v>
      </c>
      <c r="AV272" s="382">
        <f t="shared" si="249"/>
        <v>101.7876019763093</v>
      </c>
      <c r="AW272" s="382">
        <f>AV272/ 'Pile Data and Eurocode Factors'!$C$14/ 'Pile Data and Eurocode Factors'!$C$15</f>
        <v>36.352714991539038</v>
      </c>
      <c r="AX272" s="382">
        <f t="shared" si="250"/>
        <v>221.75638066923517</v>
      </c>
      <c r="AY272" s="382">
        <f>VLOOKUP(AM272, 'Pile Data and Eurocode Factors'!$A$34:$J$39,3, FALSE)</f>
        <v>4206.5354432903041</v>
      </c>
      <c r="AZ272" s="403">
        <f t="shared" si="251"/>
        <v>221.75638066923517</v>
      </c>
      <c r="BA272" s="419">
        <v>750</v>
      </c>
      <c r="BB272" s="430">
        <f>PI()*BA272/1000*( Pile!$C$50- Pile!$C272)</f>
        <v>7.7754418176347313</v>
      </c>
      <c r="BC272" s="382">
        <f t="shared" si="252"/>
        <v>0.44178646691106466</v>
      </c>
      <c r="BD272" s="382">
        <f t="shared" si="294"/>
        <v>155.50883635269463</v>
      </c>
      <c r="BE272" s="382">
        <f>BB272* Pile!$S$50</f>
        <v>0</v>
      </c>
      <c r="BF272" s="382">
        <f t="shared" si="300"/>
        <v>155.50883635269463</v>
      </c>
      <c r="BG272" s="382">
        <f>IF(BF272&gt;0,+BF272)/ 'Pile Data and Eurocode Factors'!$B$14/ 'Pile Data and Eurocode Factors'!$B$15+BG$261</f>
        <v>231.75458209712019</v>
      </c>
      <c r="BH272" s="382">
        <f t="shared" si="307"/>
        <v>159.04312808798326</v>
      </c>
      <c r="BI272" s="382">
        <f>BC272* Pile!$U$50</f>
        <v>0</v>
      </c>
      <c r="BJ272" s="382">
        <f t="shared" si="253"/>
        <v>159.04312808798326</v>
      </c>
      <c r="BK272" s="382">
        <f>BJ272/ 'Pile Data and Eurocode Factors'!$C$14/ 'Pile Data and Eurocode Factors'!$C$15</f>
        <v>56.801117174279739</v>
      </c>
      <c r="BL272" s="382">
        <f t="shared" si="254"/>
        <v>288.55569927139993</v>
      </c>
      <c r="BM272" s="382">
        <f>VLOOKUP(BA272, 'Pile Data and Eurocode Factors'!$A$34:$J$39,3, FALSE)</f>
        <v>6572.7116301410997</v>
      </c>
      <c r="BN272" s="403">
        <f t="shared" si="255"/>
        <v>288.55569927139993</v>
      </c>
      <c r="BO272" s="419">
        <v>900</v>
      </c>
      <c r="BP272" s="430">
        <f>PI()*BO272/1000*( Pile!$C$50- Pile!$C272)</f>
        <v>9.3305301811616772</v>
      </c>
      <c r="BQ272" s="382">
        <f t="shared" si="256"/>
        <v>0.63617251235193317</v>
      </c>
      <c r="BR272" s="382">
        <f t="shared" si="295"/>
        <v>186.61060362323354</v>
      </c>
      <c r="BS272" s="382">
        <f>BP272* Pile!$S$50</f>
        <v>0</v>
      </c>
      <c r="BT272" s="382">
        <f t="shared" si="301"/>
        <v>186.61060362323354</v>
      </c>
      <c r="BU272" s="382">
        <f>IF(BT272&gt;0,+BT272)/ 'Pile Data and Eurocode Factors'!$B$14/ 'Pile Data and Eurocode Factors'!$B$15+BU$261</f>
        <v>278.10549851654423</v>
      </c>
      <c r="BV272" s="382">
        <f t="shared" si="308"/>
        <v>229.02210444669595</v>
      </c>
      <c r="BW272" s="382">
        <f>BQ272* Pile!$U$50</f>
        <v>0</v>
      </c>
      <c r="BX272" s="382">
        <f t="shared" si="257"/>
        <v>229.02210444669595</v>
      </c>
      <c r="BY272" s="382">
        <f>BX272/ 'Pile Data and Eurocode Factors'!$C$14/ 'Pile Data and Eurocode Factors'!$C$15</f>
        <v>81.793608730962845</v>
      </c>
      <c r="BZ272" s="382">
        <f t="shared" si="258"/>
        <v>359.89910724750706</v>
      </c>
      <c r="CA272" s="382">
        <f>VLOOKUP(BO272, 'Pile Data and Eurocode Factors'!$A$34:$J$39,3, FALSE)</f>
        <v>9464.7047474031824</v>
      </c>
      <c r="CB272" s="403">
        <f t="shared" si="259"/>
        <v>359.89910724750706</v>
      </c>
      <c r="CC272" s="419">
        <v>1050</v>
      </c>
      <c r="CD272" s="430">
        <f>PI()*CC272/1000*( Pile!$C$50- Pile!$C272)</f>
        <v>10.885618544688624</v>
      </c>
      <c r="CE272" s="382">
        <f t="shared" si="260"/>
        <v>0.86590147514568672</v>
      </c>
      <c r="CF272" s="382">
        <f t="shared" si="296"/>
        <v>217.71237089377249</v>
      </c>
      <c r="CG272" s="382">
        <f>CD272* Pile!$S$50</f>
        <v>0</v>
      </c>
      <c r="CH272" s="382">
        <f t="shared" si="302"/>
        <v>217.71237089377249</v>
      </c>
      <c r="CI272" s="382">
        <f>IF(CH272&gt;0,+CH272)/ 'Pile Data and Eurocode Factors'!$B$14/ 'Pile Data and Eurocode Factors'!$B$15+CI$261</f>
        <v>324.45641493596827</v>
      </c>
      <c r="CJ272" s="382">
        <f t="shared" si="309"/>
        <v>311.72453105244722</v>
      </c>
      <c r="CK272" s="382">
        <f>CE272* Pile!$U$50</f>
        <v>0</v>
      </c>
      <c r="CL272" s="382">
        <f t="shared" si="261"/>
        <v>311.72453105244722</v>
      </c>
      <c r="CM272" s="382">
        <f>CL272/ 'Pile Data and Eurocode Factors'!$C$14/ 'Pile Data and Eurocode Factors'!$C$15</f>
        <v>111.33018966158829</v>
      </c>
      <c r="CN272" s="382">
        <f t="shared" si="262"/>
        <v>435.78660459755656</v>
      </c>
      <c r="CO272" s="382">
        <f>VLOOKUP(CC272, 'Pile Data and Eurocode Factors'!$A$34:$J$39,3, FALSE)</f>
        <v>12882.514795076555</v>
      </c>
      <c r="CP272" s="403">
        <f t="shared" si="263"/>
        <v>435.78660459755656</v>
      </c>
      <c r="CQ272" s="419">
        <v>1200</v>
      </c>
      <c r="CR272" s="430">
        <f>PI()*CQ272/1000*( Pile!$C$50- Pile!$C272)</f>
        <v>12.440706908215571</v>
      </c>
      <c r="CS272" s="382">
        <f t="shared" si="264"/>
        <v>1.1309733552923256</v>
      </c>
      <c r="CT272" s="382">
        <f t="shared" si="297"/>
        <v>248.81413816431143</v>
      </c>
      <c r="CU272" s="382">
        <f>CR272* Pile!$S$50</f>
        <v>0</v>
      </c>
      <c r="CV272" s="382">
        <f t="shared" si="303"/>
        <v>248.81413816431143</v>
      </c>
      <c r="CW272" s="382">
        <f>IF(CV272&gt;0,+CV272)/ 'Pile Data and Eurocode Factors'!$B$14/ 'Pile Data and Eurocode Factors'!$B$15+CW$261</f>
        <v>370.80733135539225</v>
      </c>
      <c r="CX272" s="382">
        <f t="shared" si="310"/>
        <v>407.15040790523722</v>
      </c>
      <c r="CY272" s="382">
        <f>CS272* Pile!$U$50</f>
        <v>0</v>
      </c>
      <c r="CZ272" s="382">
        <f t="shared" si="265"/>
        <v>407.15040790523722</v>
      </c>
      <c r="DA272" s="382">
        <f>CZ272/ 'Pile Data and Eurocode Factors'!$C$14/ 'Pile Data and Eurocode Factors'!$C$15</f>
        <v>145.41085996615615</v>
      </c>
      <c r="DB272" s="382">
        <f t="shared" si="266"/>
        <v>516.21819132154837</v>
      </c>
      <c r="DC272" s="382">
        <f>VLOOKUP(CQ272, 'Pile Data and Eurocode Factors'!$A$34:$J$39,3, FALSE)</f>
        <v>16826.141773161216</v>
      </c>
      <c r="DD272" s="403">
        <f t="shared" si="267"/>
        <v>516.21819132154837</v>
      </c>
      <c r="DE272" s="420">
        <f xml:space="preserve"> Pile!$C$23- Pile!C272</f>
        <v>9.2999999999999972</v>
      </c>
      <c r="DG272" s="382">
        <f t="shared" si="268"/>
        <v>159.50115144101284</v>
      </c>
      <c r="DH272" s="382">
        <f t="shared" si="269"/>
        <v>221.75638066923517</v>
      </c>
      <c r="DI272" s="382">
        <f t="shared" si="270"/>
        <v>288.55569927139993</v>
      </c>
      <c r="DJ272" s="382">
        <f t="shared" si="271"/>
        <v>359.89910724750706</v>
      </c>
      <c r="DK272" s="382">
        <f t="shared" si="272"/>
        <v>435.78660459755656</v>
      </c>
      <c r="DL272" s="382">
        <f t="shared" si="291"/>
        <v>516.21819132154837</v>
      </c>
    </row>
    <row r="273" spans="2:116" s="308" customFormat="1" ht="15">
      <c r="B273" s="400">
        <v>12</v>
      </c>
      <c r="C273" s="401">
        <f>+C272- Pile!D$50/20</f>
        <v>-3.599999999999997</v>
      </c>
      <c r="D273" s="415" t="str">
        <f>B24</f>
        <v>Firm Clay</v>
      </c>
      <c r="E273" s="415" t="str">
        <f>F24</f>
        <v>Cohesive</v>
      </c>
      <c r="F273" s="401">
        <f xml:space="preserve"> Pile!$E$50*(+C272-C273)+F272</f>
        <v>165.60000000000002</v>
      </c>
      <c r="G273" s="401">
        <f>IF(C273&gt; Pile!$C$54,0,( Pile!$C$54-C273)*9.81)</f>
        <v>0</v>
      </c>
      <c r="H273" s="401">
        <f t="shared" si="238"/>
        <v>165.60000000000002</v>
      </c>
      <c r="I273" s="401">
        <f t="shared" si="304"/>
        <v>132.30000000000001</v>
      </c>
      <c r="J273" s="401">
        <f>IF(E273="Cohesive",(( Pile!$H$50- Pile!$G$50)/20)+J272,0)</f>
        <v>40</v>
      </c>
      <c r="K273" s="401">
        <f>IF(E273="Cohesive",( Pile!$G$50+ Pile!$J273)/2,0)</f>
        <v>40</v>
      </c>
      <c r="L273" s="401">
        <f>IF( Pile!I$50="",0, Pile!I$50)</f>
        <v>0.5</v>
      </c>
      <c r="M273" s="401">
        <f>IF( Pile!J$50="",0, Pile!J$50)</f>
        <v>9</v>
      </c>
      <c r="N273" s="401">
        <f>IF(E273="Granular", Pile!$K$50,0)</f>
        <v>0</v>
      </c>
      <c r="O273" s="416">
        <f>IF(AND(E273="Granular",D273&lt;&gt;"Made Ground"), Pile!$L$50,0)</f>
        <v>0</v>
      </c>
      <c r="P273" s="401">
        <f>IF(OR(D273="Low Density Chalk",D273="Medium Density Chalk"), Pile!$M$50,0)</f>
        <v>0</v>
      </c>
      <c r="Q273" s="417">
        <f>IF(D273="High Density Chalk", Pile!$N$50,0)</f>
        <v>0</v>
      </c>
      <c r="R273" s="401">
        <f>IF( Pile!O$50="",0, Pile!O$50)</f>
        <v>0</v>
      </c>
      <c r="S273" s="418">
        <f t="shared" si="240"/>
        <v>20</v>
      </c>
      <c r="T273" s="382">
        <f xml:space="preserve"> Pile!$T$50</f>
        <v>100</v>
      </c>
      <c r="U273" s="382">
        <f t="shared" si="241"/>
        <v>20</v>
      </c>
      <c r="V273" s="382">
        <f t="shared" si="242"/>
        <v>360</v>
      </c>
      <c r="W273" s="382" t="str">
        <f xml:space="preserve"> Pile!$V$50</f>
        <v/>
      </c>
      <c r="X273" s="382">
        <f t="shared" si="243"/>
        <v>360</v>
      </c>
      <c r="Y273" s="419">
        <v>450</v>
      </c>
      <c r="Z273" s="430">
        <f>PI()*Y273/1000*( Pile!$C$50- Pile!$C273)</f>
        <v>5.0893800988154609</v>
      </c>
      <c r="AA273" s="382">
        <f t="shared" si="244"/>
        <v>0.15904312808798329</v>
      </c>
      <c r="AB273" s="382">
        <f t="shared" si="292"/>
        <v>101.78760197630922</v>
      </c>
      <c r="AC273" s="382">
        <f>Z273* Pile!$S$50</f>
        <v>0</v>
      </c>
      <c r="AD273" s="382">
        <f t="shared" si="298"/>
        <v>101.78760197630922</v>
      </c>
      <c r="AE273" s="382">
        <f>IF(AD273&gt;0,+AD273)/ 'Pile Data and Eurocode Factors'!$B$14/ 'Pile Data and Eurocode Factors'!$B$15+AE$261</f>
        <v>142.83949040322409</v>
      </c>
      <c r="AF273" s="382">
        <f t="shared" si="305"/>
        <v>57.255526111673987</v>
      </c>
      <c r="AG273" s="382">
        <f>AA273* Pile!$U$50</f>
        <v>0</v>
      </c>
      <c r="AH273" s="382">
        <f t="shared" si="245"/>
        <v>57.255526111673987</v>
      </c>
      <c r="AI273" s="382">
        <f>AH273/ 'Pile Data and Eurocode Factors'!$C$14/ 'Pile Data and Eurocode Factors'!$C$15</f>
        <v>20.448402182740711</v>
      </c>
      <c r="AJ273" s="382">
        <f t="shared" si="246"/>
        <v>163.28789258596481</v>
      </c>
      <c r="AK273" s="382">
        <f>VLOOKUP(Y273, 'Pile Data and Eurocode Factors'!$A$34:$J$39,3, FALSE)</f>
        <v>2366.1761868507956</v>
      </c>
      <c r="AL273" s="403">
        <f t="shared" si="247"/>
        <v>163.28789258596481</v>
      </c>
      <c r="AM273" s="419">
        <v>600</v>
      </c>
      <c r="AN273" s="430">
        <f>PI()*AM273/1000*( Pile!$C$50- Pile!$C273)</f>
        <v>6.7858401317539476</v>
      </c>
      <c r="AO273" s="382">
        <f t="shared" si="248"/>
        <v>0.28274333882308139</v>
      </c>
      <c r="AP273" s="382">
        <f t="shared" si="293"/>
        <v>135.71680263507895</v>
      </c>
      <c r="AQ273" s="382">
        <f>AN273* Pile!$S$50</f>
        <v>0</v>
      </c>
      <c r="AR273" s="382">
        <f t="shared" si="299"/>
        <v>135.71680263507895</v>
      </c>
      <c r="AS273" s="382">
        <f>IF(AR273&gt;0,+AR273)/ 'Pile Data and Eurocode Factors'!$B$14/ 'Pile Data and Eurocode Factors'!$B$15+AS$261</f>
        <v>190.45265387096543</v>
      </c>
      <c r="AT273" s="382">
        <f t="shared" si="306"/>
        <v>101.7876019763093</v>
      </c>
      <c r="AU273" s="382">
        <f>AO273* Pile!$U$50</f>
        <v>0</v>
      </c>
      <c r="AV273" s="382">
        <f t="shared" si="249"/>
        <v>101.7876019763093</v>
      </c>
      <c r="AW273" s="382">
        <f>AV273/ 'Pile Data and Eurocode Factors'!$C$14/ 'Pile Data and Eurocode Factors'!$C$15</f>
        <v>36.352714991539038</v>
      </c>
      <c r="AX273" s="382">
        <f t="shared" si="250"/>
        <v>226.80536886250448</v>
      </c>
      <c r="AY273" s="382">
        <f>VLOOKUP(AM273, 'Pile Data and Eurocode Factors'!$A$34:$J$39,3, FALSE)</f>
        <v>4206.5354432903041</v>
      </c>
      <c r="AZ273" s="403">
        <f t="shared" si="251"/>
        <v>226.80536886250448</v>
      </c>
      <c r="BA273" s="419">
        <v>750</v>
      </c>
      <c r="BB273" s="430">
        <f>PI()*BA273/1000*( Pile!$C$50- Pile!$C273)</f>
        <v>8.4823001646924343</v>
      </c>
      <c r="BC273" s="382">
        <f t="shared" si="252"/>
        <v>0.44178646691106466</v>
      </c>
      <c r="BD273" s="382">
        <f t="shared" si="294"/>
        <v>169.64600329384868</v>
      </c>
      <c r="BE273" s="382">
        <f>BB273* Pile!$S$50</f>
        <v>0</v>
      </c>
      <c r="BF273" s="382">
        <f t="shared" si="300"/>
        <v>169.64600329384868</v>
      </c>
      <c r="BG273" s="382">
        <f>IF(BF273&gt;0,+BF273)/ 'Pile Data and Eurocode Factors'!$B$14/ 'Pile Data and Eurocode Factors'!$B$15+BG$261</f>
        <v>238.06581733870684</v>
      </c>
      <c r="BH273" s="382">
        <f t="shared" si="307"/>
        <v>159.04312808798326</v>
      </c>
      <c r="BI273" s="382">
        <f>BC273* Pile!$U$50</f>
        <v>0</v>
      </c>
      <c r="BJ273" s="382">
        <f t="shared" si="253"/>
        <v>159.04312808798326</v>
      </c>
      <c r="BK273" s="382">
        <f>BJ273/ 'Pile Data and Eurocode Factors'!$C$14/ 'Pile Data and Eurocode Factors'!$C$15</f>
        <v>56.801117174279739</v>
      </c>
      <c r="BL273" s="382">
        <f t="shared" si="254"/>
        <v>294.86693451298657</v>
      </c>
      <c r="BM273" s="382">
        <f>VLOOKUP(BA273, 'Pile Data and Eurocode Factors'!$A$34:$J$39,3, FALSE)</f>
        <v>6572.7116301410997</v>
      </c>
      <c r="BN273" s="403">
        <f t="shared" si="255"/>
        <v>294.86693451298657</v>
      </c>
      <c r="BO273" s="419">
        <v>900</v>
      </c>
      <c r="BP273" s="430">
        <f>PI()*BO273/1000*( Pile!$C$50- Pile!$C273)</f>
        <v>10.178760197630922</v>
      </c>
      <c r="BQ273" s="382">
        <f t="shared" si="256"/>
        <v>0.63617251235193317</v>
      </c>
      <c r="BR273" s="382">
        <f t="shared" si="295"/>
        <v>203.57520395261844</v>
      </c>
      <c r="BS273" s="382">
        <f>BP273* Pile!$S$50</f>
        <v>0</v>
      </c>
      <c r="BT273" s="382">
        <f t="shared" si="301"/>
        <v>203.57520395261844</v>
      </c>
      <c r="BU273" s="382">
        <f>IF(BT273&gt;0,+BT273)/ 'Pile Data and Eurocode Factors'!$B$14/ 'Pile Data and Eurocode Factors'!$B$15+BU$261</f>
        <v>285.67898080644818</v>
      </c>
      <c r="BV273" s="382">
        <f t="shared" si="308"/>
        <v>229.02210444669595</v>
      </c>
      <c r="BW273" s="382">
        <f>BQ273* Pile!$U$50</f>
        <v>0</v>
      </c>
      <c r="BX273" s="382">
        <f t="shared" si="257"/>
        <v>229.02210444669595</v>
      </c>
      <c r="BY273" s="382">
        <f>BX273/ 'Pile Data and Eurocode Factors'!$C$14/ 'Pile Data and Eurocode Factors'!$C$15</f>
        <v>81.793608730962845</v>
      </c>
      <c r="BZ273" s="382">
        <f t="shared" si="258"/>
        <v>367.47258953741101</v>
      </c>
      <c r="CA273" s="382">
        <f>VLOOKUP(BO273, 'Pile Data and Eurocode Factors'!$A$34:$J$39,3, FALSE)</f>
        <v>9464.7047474031824</v>
      </c>
      <c r="CB273" s="403">
        <f t="shared" si="259"/>
        <v>367.47258953741101</v>
      </c>
      <c r="CC273" s="419">
        <v>1050</v>
      </c>
      <c r="CD273" s="430">
        <f>PI()*CC273/1000*( Pile!$C$50- Pile!$C273)</f>
        <v>11.875220230569408</v>
      </c>
      <c r="CE273" s="382">
        <f t="shared" si="260"/>
        <v>0.86590147514568672</v>
      </c>
      <c r="CF273" s="382">
        <f t="shared" si="296"/>
        <v>237.50440461138817</v>
      </c>
      <c r="CG273" s="382">
        <f>CD273* Pile!$S$50</f>
        <v>0</v>
      </c>
      <c r="CH273" s="382">
        <f t="shared" si="302"/>
        <v>237.50440461138817</v>
      </c>
      <c r="CI273" s="382">
        <f>IF(CH273&gt;0,+CH273)/ 'Pile Data and Eurocode Factors'!$B$14/ 'Pile Data and Eurocode Factors'!$B$15+CI$261</f>
        <v>333.29214427418958</v>
      </c>
      <c r="CJ273" s="382">
        <f t="shared" si="309"/>
        <v>311.72453105244722</v>
      </c>
      <c r="CK273" s="382">
        <f>CE273* Pile!$U$50</f>
        <v>0</v>
      </c>
      <c r="CL273" s="382">
        <f t="shared" si="261"/>
        <v>311.72453105244722</v>
      </c>
      <c r="CM273" s="382">
        <f>CL273/ 'Pile Data and Eurocode Factors'!$C$14/ 'Pile Data and Eurocode Factors'!$C$15</f>
        <v>111.33018966158829</v>
      </c>
      <c r="CN273" s="382">
        <f t="shared" si="262"/>
        <v>444.62233393577787</v>
      </c>
      <c r="CO273" s="382">
        <f>VLOOKUP(CC273, 'Pile Data and Eurocode Factors'!$A$34:$J$39,3, FALSE)</f>
        <v>12882.514795076555</v>
      </c>
      <c r="CP273" s="403">
        <f t="shared" si="263"/>
        <v>444.62233393577787</v>
      </c>
      <c r="CQ273" s="419">
        <v>1200</v>
      </c>
      <c r="CR273" s="430">
        <f>PI()*CQ273/1000*( Pile!$C$50- Pile!$C273)</f>
        <v>13.571680263507895</v>
      </c>
      <c r="CS273" s="382">
        <f t="shared" si="264"/>
        <v>1.1309733552923256</v>
      </c>
      <c r="CT273" s="382">
        <f t="shared" si="297"/>
        <v>271.4336052701579</v>
      </c>
      <c r="CU273" s="382">
        <f>CR273* Pile!$S$50</f>
        <v>0</v>
      </c>
      <c r="CV273" s="382">
        <f t="shared" si="303"/>
        <v>271.4336052701579</v>
      </c>
      <c r="CW273" s="382">
        <f>IF(CV273&gt;0,+CV273)/ 'Pile Data and Eurocode Factors'!$B$14/ 'Pile Data and Eurocode Factors'!$B$15+CW$261</f>
        <v>380.90530774193087</v>
      </c>
      <c r="CX273" s="382">
        <f t="shared" si="310"/>
        <v>407.15040790523722</v>
      </c>
      <c r="CY273" s="382">
        <f>CS273* Pile!$U$50</f>
        <v>0</v>
      </c>
      <c r="CZ273" s="382">
        <f t="shared" si="265"/>
        <v>407.15040790523722</v>
      </c>
      <c r="DA273" s="382">
        <f>CZ273/ 'Pile Data and Eurocode Factors'!$C$14/ 'Pile Data and Eurocode Factors'!$C$15</f>
        <v>145.41085996615615</v>
      </c>
      <c r="DB273" s="382">
        <f t="shared" si="266"/>
        <v>526.31616770808705</v>
      </c>
      <c r="DC273" s="382">
        <f>VLOOKUP(CQ273, 'Pile Data and Eurocode Factors'!$A$34:$J$39,3, FALSE)</f>
        <v>16826.141773161216</v>
      </c>
      <c r="DD273" s="403">
        <f t="shared" si="267"/>
        <v>526.31616770808705</v>
      </c>
      <c r="DE273" s="420">
        <f xml:space="preserve"> Pile!$C$23- Pile!C273</f>
        <v>9.5999999999999979</v>
      </c>
      <c r="DG273" s="382">
        <f t="shared" si="268"/>
        <v>163.28789258596481</v>
      </c>
      <c r="DH273" s="382">
        <f t="shared" si="269"/>
        <v>226.80536886250448</v>
      </c>
      <c r="DI273" s="382">
        <f t="shared" si="270"/>
        <v>294.86693451298657</v>
      </c>
      <c r="DJ273" s="382">
        <f t="shared" si="271"/>
        <v>367.47258953741101</v>
      </c>
      <c r="DK273" s="382">
        <f t="shared" si="272"/>
        <v>444.62233393577787</v>
      </c>
      <c r="DL273" s="382">
        <f t="shared" si="291"/>
        <v>526.31616770808705</v>
      </c>
    </row>
    <row r="274" spans="2:116" s="308" customFormat="1" ht="15">
      <c r="B274" s="400">
        <v>13</v>
      </c>
      <c r="C274" s="401">
        <f>+C273- Pile!D$50/20</f>
        <v>-3.8999999999999968</v>
      </c>
      <c r="D274" s="415" t="str">
        <f>B24</f>
        <v>Firm Clay</v>
      </c>
      <c r="E274" s="415" t="str">
        <f>F24</f>
        <v>Cohesive</v>
      </c>
      <c r="F274" s="401">
        <f xml:space="preserve"> Pile!$E$50*(+C273-C274)+F273</f>
        <v>171.15000000000003</v>
      </c>
      <c r="G274" s="401">
        <f>IF(C274&gt; Pile!$C$54,0,( Pile!$C$54-C274)*9.81)</f>
        <v>0</v>
      </c>
      <c r="H274" s="401">
        <f t="shared" si="238"/>
        <v>171.15000000000003</v>
      </c>
      <c r="I274" s="401">
        <f t="shared" si="304"/>
        <v>135.07499999999999</v>
      </c>
      <c r="J274" s="401">
        <f>IF(E274="Cohesive",(( Pile!$H$50- Pile!$G$50)/20)+J273,0)</f>
        <v>40</v>
      </c>
      <c r="K274" s="401">
        <f>IF(E274="Cohesive",( Pile!$G$50+ Pile!$J274)/2,0)</f>
        <v>40</v>
      </c>
      <c r="L274" s="401">
        <f>IF( Pile!I$50="",0, Pile!I$50)</f>
        <v>0.5</v>
      </c>
      <c r="M274" s="401">
        <f>IF( Pile!J$50="",0, Pile!J$50)</f>
        <v>9</v>
      </c>
      <c r="N274" s="401">
        <f>IF(E274="Granular", Pile!$K$50,0)</f>
        <v>0</v>
      </c>
      <c r="O274" s="416">
        <f>IF(AND(E274="Granular",D274&lt;&gt;"Made Ground"), Pile!$L$50,0)</f>
        <v>0</v>
      </c>
      <c r="P274" s="401">
        <f>IF(OR(D274="Low Density Chalk",D274="Medium Density Chalk"), Pile!$M$50,0)</f>
        <v>0</v>
      </c>
      <c r="Q274" s="417">
        <f>IF(D274="High Density Chalk", Pile!$N$50,0)</f>
        <v>0</v>
      </c>
      <c r="R274" s="401">
        <f>IF( Pile!O$50="",0, Pile!O$50)</f>
        <v>0</v>
      </c>
      <c r="S274" s="418">
        <f t="shared" si="240"/>
        <v>20</v>
      </c>
      <c r="T274" s="382">
        <f xml:space="preserve"> Pile!$T$50</f>
        <v>100</v>
      </c>
      <c r="U274" s="382">
        <f t="shared" si="241"/>
        <v>20</v>
      </c>
      <c r="V274" s="382">
        <f t="shared" si="242"/>
        <v>360</v>
      </c>
      <c r="W274" s="382" t="str">
        <f xml:space="preserve"> Pile!$V$50</f>
        <v/>
      </c>
      <c r="X274" s="382">
        <f t="shared" si="243"/>
        <v>360</v>
      </c>
      <c r="Y274" s="419">
        <v>450</v>
      </c>
      <c r="Z274" s="430">
        <f>PI()*Y274/1000*( Pile!$C$50- Pile!$C274)</f>
        <v>5.5134951070500824</v>
      </c>
      <c r="AA274" s="382">
        <f t="shared" si="244"/>
        <v>0.15904312808798329</v>
      </c>
      <c r="AB274" s="382">
        <f t="shared" si="292"/>
        <v>110.26990214100165</v>
      </c>
      <c r="AC274" s="382">
        <f>Z274* Pile!$S$50</f>
        <v>0</v>
      </c>
      <c r="AD274" s="382">
        <f t="shared" si="298"/>
        <v>110.26990214100165</v>
      </c>
      <c r="AE274" s="382">
        <f>IF(AD274&gt;0,+AD274)/ 'Pile Data and Eurocode Factors'!$B$14/ 'Pile Data and Eurocode Factors'!$B$15+AE$261</f>
        <v>146.62623154817607</v>
      </c>
      <c r="AF274" s="382">
        <f t="shared" si="305"/>
        <v>57.255526111673987</v>
      </c>
      <c r="AG274" s="382">
        <f>AA274* Pile!$U$50</f>
        <v>0</v>
      </c>
      <c r="AH274" s="382">
        <f t="shared" si="245"/>
        <v>57.255526111673987</v>
      </c>
      <c r="AI274" s="382">
        <f>AH274/ 'Pile Data and Eurocode Factors'!$C$14/ 'Pile Data and Eurocode Factors'!$C$15</f>
        <v>20.448402182740711</v>
      </c>
      <c r="AJ274" s="382">
        <f t="shared" si="246"/>
        <v>167.07463373091679</v>
      </c>
      <c r="AK274" s="382">
        <f>VLOOKUP(Y274, 'Pile Data and Eurocode Factors'!$A$34:$J$39,3, FALSE)</f>
        <v>2366.1761868507956</v>
      </c>
      <c r="AL274" s="403">
        <f t="shared" si="247"/>
        <v>167.07463373091679</v>
      </c>
      <c r="AM274" s="419">
        <v>600</v>
      </c>
      <c r="AN274" s="430">
        <f>PI()*AM274/1000*( Pile!$C$50- Pile!$C274)</f>
        <v>7.3513268094001099</v>
      </c>
      <c r="AO274" s="382">
        <f t="shared" si="248"/>
        <v>0.28274333882308139</v>
      </c>
      <c r="AP274" s="382">
        <f t="shared" si="293"/>
        <v>147.02653618800218</v>
      </c>
      <c r="AQ274" s="382">
        <f>AN274* Pile!$S$50</f>
        <v>0</v>
      </c>
      <c r="AR274" s="382">
        <f t="shared" si="299"/>
        <v>147.02653618800218</v>
      </c>
      <c r="AS274" s="382">
        <f>IF(AR274&gt;0,+AR274)/ 'Pile Data and Eurocode Factors'!$B$14/ 'Pile Data and Eurocode Factors'!$B$15+AS$261</f>
        <v>195.50164206423472</v>
      </c>
      <c r="AT274" s="382">
        <f t="shared" si="306"/>
        <v>101.7876019763093</v>
      </c>
      <c r="AU274" s="382">
        <f>AO274* Pile!$U$50</f>
        <v>0</v>
      </c>
      <c r="AV274" s="382">
        <f t="shared" si="249"/>
        <v>101.7876019763093</v>
      </c>
      <c r="AW274" s="382">
        <f>AV274/ 'Pile Data and Eurocode Factors'!$C$14/ 'Pile Data and Eurocode Factors'!$C$15</f>
        <v>36.352714991539038</v>
      </c>
      <c r="AX274" s="382">
        <f t="shared" si="250"/>
        <v>231.85435705577376</v>
      </c>
      <c r="AY274" s="382">
        <f>VLOOKUP(AM274, 'Pile Data and Eurocode Factors'!$A$34:$J$39,3, FALSE)</f>
        <v>4206.5354432903041</v>
      </c>
      <c r="AZ274" s="403">
        <f t="shared" si="251"/>
        <v>231.85435705577376</v>
      </c>
      <c r="BA274" s="419">
        <v>750</v>
      </c>
      <c r="BB274" s="430">
        <f>PI()*BA274/1000*( Pile!$C$50- Pile!$C274)</f>
        <v>9.1891585117501382</v>
      </c>
      <c r="BC274" s="382">
        <f t="shared" si="252"/>
        <v>0.44178646691106466</v>
      </c>
      <c r="BD274" s="382">
        <f t="shared" si="294"/>
        <v>183.78317023500276</v>
      </c>
      <c r="BE274" s="382">
        <f>BB274* Pile!$S$50</f>
        <v>0</v>
      </c>
      <c r="BF274" s="382">
        <f t="shared" si="300"/>
        <v>183.78317023500276</v>
      </c>
      <c r="BG274" s="382">
        <f>IF(BF274&gt;0,+BF274)/ 'Pile Data and Eurocode Factors'!$B$14/ 'Pile Data and Eurocode Factors'!$B$15+BG$261</f>
        <v>244.37705258029348</v>
      </c>
      <c r="BH274" s="382">
        <f t="shared" si="307"/>
        <v>159.04312808798326</v>
      </c>
      <c r="BI274" s="382">
        <f>BC274* Pile!$U$50</f>
        <v>0</v>
      </c>
      <c r="BJ274" s="382">
        <f t="shared" si="253"/>
        <v>159.04312808798326</v>
      </c>
      <c r="BK274" s="382">
        <f>BJ274/ 'Pile Data and Eurocode Factors'!$C$14/ 'Pile Data and Eurocode Factors'!$C$15</f>
        <v>56.801117174279739</v>
      </c>
      <c r="BL274" s="382">
        <f t="shared" si="254"/>
        <v>301.17816975457322</v>
      </c>
      <c r="BM274" s="382">
        <f>VLOOKUP(BA274, 'Pile Data and Eurocode Factors'!$A$34:$J$39,3, FALSE)</f>
        <v>6572.7116301410997</v>
      </c>
      <c r="BN274" s="403">
        <f t="shared" si="255"/>
        <v>301.17816975457322</v>
      </c>
      <c r="BO274" s="419">
        <v>900</v>
      </c>
      <c r="BP274" s="430">
        <f>PI()*BO274/1000*( Pile!$C$50- Pile!$C274)</f>
        <v>11.026990214100165</v>
      </c>
      <c r="BQ274" s="382">
        <f t="shared" si="256"/>
        <v>0.63617251235193317</v>
      </c>
      <c r="BR274" s="382">
        <f t="shared" si="295"/>
        <v>220.5398042820033</v>
      </c>
      <c r="BS274" s="382">
        <f>BP274* Pile!$S$50</f>
        <v>0</v>
      </c>
      <c r="BT274" s="382">
        <f t="shared" si="301"/>
        <v>220.5398042820033</v>
      </c>
      <c r="BU274" s="382">
        <f>IF(BT274&gt;0,+BT274)/ 'Pile Data and Eurocode Factors'!$B$14/ 'Pile Data and Eurocode Factors'!$B$15+BU$261</f>
        <v>293.25246309635213</v>
      </c>
      <c r="BV274" s="382">
        <f t="shared" si="308"/>
        <v>229.02210444669595</v>
      </c>
      <c r="BW274" s="382">
        <f>BQ274* Pile!$U$50</f>
        <v>0</v>
      </c>
      <c r="BX274" s="382">
        <f t="shared" si="257"/>
        <v>229.02210444669595</v>
      </c>
      <c r="BY274" s="382">
        <f>BX274/ 'Pile Data and Eurocode Factors'!$C$14/ 'Pile Data and Eurocode Factors'!$C$15</f>
        <v>81.793608730962845</v>
      </c>
      <c r="BZ274" s="382">
        <f t="shared" si="258"/>
        <v>375.04607182731496</v>
      </c>
      <c r="CA274" s="382">
        <f>VLOOKUP(BO274, 'Pile Data and Eurocode Factors'!$A$34:$J$39,3, FALSE)</f>
        <v>9464.7047474031824</v>
      </c>
      <c r="CB274" s="403">
        <f t="shared" si="259"/>
        <v>375.04607182731496</v>
      </c>
      <c r="CC274" s="419">
        <v>1050</v>
      </c>
      <c r="CD274" s="430">
        <f>PI()*CC274/1000*( Pile!$C$50- Pile!$C274)</f>
        <v>12.864821916450193</v>
      </c>
      <c r="CE274" s="382">
        <f t="shared" si="260"/>
        <v>0.86590147514568672</v>
      </c>
      <c r="CF274" s="382">
        <f t="shared" si="296"/>
        <v>257.29643832900388</v>
      </c>
      <c r="CG274" s="382">
        <f>CD274* Pile!$S$50</f>
        <v>0</v>
      </c>
      <c r="CH274" s="382">
        <f t="shared" si="302"/>
        <v>257.29643832900388</v>
      </c>
      <c r="CI274" s="382">
        <f>IF(CH274&gt;0,+CH274)/ 'Pile Data and Eurocode Factors'!$B$14/ 'Pile Data and Eurocode Factors'!$B$15+CI$261</f>
        <v>342.12787361241084</v>
      </c>
      <c r="CJ274" s="382">
        <f t="shared" si="309"/>
        <v>311.72453105244722</v>
      </c>
      <c r="CK274" s="382">
        <f>CE274* Pile!$U$50</f>
        <v>0</v>
      </c>
      <c r="CL274" s="382">
        <f t="shared" si="261"/>
        <v>311.72453105244722</v>
      </c>
      <c r="CM274" s="382">
        <f>CL274/ 'Pile Data and Eurocode Factors'!$C$14/ 'Pile Data and Eurocode Factors'!$C$15</f>
        <v>111.33018966158829</v>
      </c>
      <c r="CN274" s="382">
        <f t="shared" si="262"/>
        <v>453.45806327399913</v>
      </c>
      <c r="CO274" s="382">
        <f>VLOOKUP(CC274, 'Pile Data and Eurocode Factors'!$A$34:$J$39,3, FALSE)</f>
        <v>12882.514795076555</v>
      </c>
      <c r="CP274" s="403">
        <f t="shared" si="263"/>
        <v>453.45806327399913</v>
      </c>
      <c r="CQ274" s="419">
        <v>1200</v>
      </c>
      <c r="CR274" s="430">
        <f>PI()*CQ274/1000*( Pile!$C$50- Pile!$C274)</f>
        <v>14.70265361880022</v>
      </c>
      <c r="CS274" s="382">
        <f t="shared" si="264"/>
        <v>1.1309733552923256</v>
      </c>
      <c r="CT274" s="382">
        <f t="shared" si="297"/>
        <v>294.05307237600437</v>
      </c>
      <c r="CU274" s="382">
        <f>CR274* Pile!$S$50</f>
        <v>0</v>
      </c>
      <c r="CV274" s="382">
        <f t="shared" si="303"/>
        <v>294.05307237600437</v>
      </c>
      <c r="CW274" s="382">
        <f>IF(CV274&gt;0,+CV274)/ 'Pile Data and Eurocode Factors'!$B$14/ 'Pile Data and Eurocode Factors'!$B$15+CW$261</f>
        <v>391.00328412846943</v>
      </c>
      <c r="CX274" s="382">
        <f t="shared" si="310"/>
        <v>407.15040790523722</v>
      </c>
      <c r="CY274" s="382">
        <f>CS274* Pile!$U$50</f>
        <v>0</v>
      </c>
      <c r="CZ274" s="382">
        <f t="shared" si="265"/>
        <v>407.15040790523722</v>
      </c>
      <c r="DA274" s="382">
        <f>CZ274/ 'Pile Data and Eurocode Factors'!$C$14/ 'Pile Data and Eurocode Factors'!$C$15</f>
        <v>145.41085996615615</v>
      </c>
      <c r="DB274" s="382">
        <f t="shared" si="266"/>
        <v>536.41414409462561</v>
      </c>
      <c r="DC274" s="382">
        <f>VLOOKUP(CQ274, 'Pile Data and Eurocode Factors'!$A$34:$J$39,3, FALSE)</f>
        <v>16826.141773161216</v>
      </c>
      <c r="DD274" s="403">
        <f t="shared" si="267"/>
        <v>536.41414409462561</v>
      </c>
      <c r="DE274" s="420">
        <f xml:space="preserve"> Pile!$C$23- Pile!C274</f>
        <v>9.8999999999999968</v>
      </c>
      <c r="DG274" s="382">
        <f t="shared" si="268"/>
        <v>167.07463373091679</v>
      </c>
      <c r="DH274" s="382">
        <f t="shared" si="269"/>
        <v>231.85435705577376</v>
      </c>
      <c r="DI274" s="382">
        <f t="shared" si="270"/>
        <v>301.17816975457322</v>
      </c>
      <c r="DJ274" s="382">
        <f t="shared" si="271"/>
        <v>375.04607182731496</v>
      </c>
      <c r="DK274" s="382">
        <f t="shared" si="272"/>
        <v>453.45806327399913</v>
      </c>
      <c r="DL274" s="382">
        <f t="shared" si="291"/>
        <v>536.41414409462561</v>
      </c>
    </row>
    <row r="275" spans="2:116" s="308" customFormat="1" ht="15">
      <c r="B275" s="400">
        <v>14</v>
      </c>
      <c r="C275" s="401">
        <f>+C274- Pile!D$50/20</f>
        <v>-4.1999999999999966</v>
      </c>
      <c r="D275" s="415" t="str">
        <f>B24</f>
        <v>Firm Clay</v>
      </c>
      <c r="E275" s="415" t="str">
        <f>F24</f>
        <v>Cohesive</v>
      </c>
      <c r="F275" s="401">
        <f xml:space="preserve"> Pile!$E$50*(+C274-C275)+F274</f>
        <v>176.70000000000005</v>
      </c>
      <c r="G275" s="401">
        <f>IF(C275&gt; Pile!$C$54,0,( Pile!$C$54-C275)*9.81)</f>
        <v>0</v>
      </c>
      <c r="H275" s="401">
        <f t="shared" si="238"/>
        <v>176.70000000000005</v>
      </c>
      <c r="I275" s="401">
        <f t="shared" si="304"/>
        <v>137.85000000000002</v>
      </c>
      <c r="J275" s="401">
        <f>IF(E275="Cohesive",(( Pile!$H$50- Pile!$G$50)/20)+J274,0)</f>
        <v>40</v>
      </c>
      <c r="K275" s="401">
        <f>IF(E275="Cohesive",( Pile!$G$50+ Pile!$J275)/2,0)</f>
        <v>40</v>
      </c>
      <c r="L275" s="401">
        <f>IF( Pile!I$50="",0, Pile!I$50)</f>
        <v>0.5</v>
      </c>
      <c r="M275" s="401">
        <f>IF( Pile!J$50="",0, Pile!J$50)</f>
        <v>9</v>
      </c>
      <c r="N275" s="401">
        <f>IF(E275="Granular", Pile!$K$50,0)</f>
        <v>0</v>
      </c>
      <c r="O275" s="416">
        <f>IF(AND(E275="Granular",D275&lt;&gt;"Made Ground"), Pile!$L$50,0)</f>
        <v>0</v>
      </c>
      <c r="P275" s="401">
        <f>IF(OR(D275="Low Density Chalk",D275="Medium Density Chalk"), Pile!$M$50,0)</f>
        <v>0</v>
      </c>
      <c r="Q275" s="417">
        <f>IF(D275="High Density Chalk", Pile!$N$50,0)</f>
        <v>0</v>
      </c>
      <c r="R275" s="401">
        <f>IF( Pile!O$50="",0, Pile!O$50)</f>
        <v>0</v>
      </c>
      <c r="S275" s="418">
        <f t="shared" si="240"/>
        <v>20</v>
      </c>
      <c r="T275" s="382">
        <f xml:space="preserve"> Pile!$T$50</f>
        <v>100</v>
      </c>
      <c r="U275" s="382">
        <f t="shared" si="241"/>
        <v>20</v>
      </c>
      <c r="V275" s="382">
        <f t="shared" si="242"/>
        <v>360</v>
      </c>
      <c r="W275" s="382" t="str">
        <f xml:space="preserve"> Pile!$V$50</f>
        <v/>
      </c>
      <c r="X275" s="382">
        <f t="shared" si="243"/>
        <v>360</v>
      </c>
      <c r="Y275" s="419">
        <v>450</v>
      </c>
      <c r="Z275" s="430">
        <f>PI()*Y275/1000*( Pile!$C$50- Pile!$C275)</f>
        <v>5.9376101152847038</v>
      </c>
      <c r="AA275" s="382">
        <f t="shared" si="244"/>
        <v>0.15904312808798329</v>
      </c>
      <c r="AB275" s="382">
        <f t="shared" si="292"/>
        <v>118.75220230569408</v>
      </c>
      <c r="AC275" s="382">
        <f>Z275* Pile!$S$50</f>
        <v>0</v>
      </c>
      <c r="AD275" s="382">
        <f t="shared" si="298"/>
        <v>118.75220230569408</v>
      </c>
      <c r="AE275" s="382">
        <f>IF(AD275&gt;0,+AD275)/ 'Pile Data and Eurocode Factors'!$B$14/ 'Pile Data and Eurocode Factors'!$B$15+AE$261</f>
        <v>150.41297269312807</v>
      </c>
      <c r="AF275" s="382">
        <f t="shared" si="305"/>
        <v>57.255526111673987</v>
      </c>
      <c r="AG275" s="382">
        <f>AA275* Pile!$U$50</f>
        <v>0</v>
      </c>
      <c r="AH275" s="382">
        <f t="shared" si="245"/>
        <v>57.255526111673987</v>
      </c>
      <c r="AI275" s="382">
        <f>AH275/ 'Pile Data and Eurocode Factors'!$C$14/ 'Pile Data and Eurocode Factors'!$C$15</f>
        <v>20.448402182740711</v>
      </c>
      <c r="AJ275" s="382">
        <f t="shared" si="246"/>
        <v>170.86137487586879</v>
      </c>
      <c r="AK275" s="382">
        <f>VLOOKUP(Y275, 'Pile Data and Eurocode Factors'!$A$34:$J$39,3, FALSE)</f>
        <v>2366.1761868507956</v>
      </c>
      <c r="AL275" s="403">
        <f t="shared" si="247"/>
        <v>170.86137487586879</v>
      </c>
      <c r="AM275" s="419">
        <v>600</v>
      </c>
      <c r="AN275" s="430">
        <f>PI()*AM275/1000*( Pile!$C$50- Pile!$C275)</f>
        <v>7.9168134870462721</v>
      </c>
      <c r="AO275" s="382">
        <f t="shared" si="248"/>
        <v>0.28274333882308139</v>
      </c>
      <c r="AP275" s="382">
        <f t="shared" si="293"/>
        <v>158.33626974092545</v>
      </c>
      <c r="AQ275" s="382">
        <f>AN275* Pile!$S$50</f>
        <v>0</v>
      </c>
      <c r="AR275" s="382">
        <f t="shared" si="299"/>
        <v>158.33626974092545</v>
      </c>
      <c r="AS275" s="382">
        <f>IF(AR275&gt;0,+AR275)/ 'Pile Data and Eurocode Factors'!$B$14/ 'Pile Data and Eurocode Factors'!$B$15+AS$261</f>
        <v>200.55063025750405</v>
      </c>
      <c r="AT275" s="382">
        <f t="shared" si="306"/>
        <v>101.7876019763093</v>
      </c>
      <c r="AU275" s="382">
        <f>AO275* Pile!$U$50</f>
        <v>0</v>
      </c>
      <c r="AV275" s="382">
        <f t="shared" si="249"/>
        <v>101.7876019763093</v>
      </c>
      <c r="AW275" s="382">
        <f>AV275/ 'Pile Data and Eurocode Factors'!$C$14/ 'Pile Data and Eurocode Factors'!$C$15</f>
        <v>36.352714991539038</v>
      </c>
      <c r="AX275" s="382">
        <f t="shared" si="250"/>
        <v>236.9033452490431</v>
      </c>
      <c r="AY275" s="382">
        <f>VLOOKUP(AM275, 'Pile Data and Eurocode Factors'!$A$34:$J$39,3, FALSE)</f>
        <v>4206.5354432903041</v>
      </c>
      <c r="AZ275" s="403">
        <f t="shared" si="251"/>
        <v>236.9033452490431</v>
      </c>
      <c r="BA275" s="419">
        <v>750</v>
      </c>
      <c r="BB275" s="430">
        <f>PI()*BA275/1000*( Pile!$C$50- Pile!$C275)</f>
        <v>9.8960168588078403</v>
      </c>
      <c r="BC275" s="382">
        <f t="shared" si="252"/>
        <v>0.44178646691106466</v>
      </c>
      <c r="BD275" s="382">
        <f t="shared" si="294"/>
        <v>197.92033717615681</v>
      </c>
      <c r="BE275" s="382">
        <f>BB275* Pile!$S$50</f>
        <v>0</v>
      </c>
      <c r="BF275" s="382">
        <f t="shared" si="300"/>
        <v>197.92033717615681</v>
      </c>
      <c r="BG275" s="382">
        <f>IF(BF275&gt;0,+BF275)/ 'Pile Data and Eurocode Factors'!$B$14/ 'Pile Data and Eurocode Factors'!$B$15+BG$261</f>
        <v>250.68828782188012</v>
      </c>
      <c r="BH275" s="382">
        <f t="shared" si="307"/>
        <v>159.04312808798326</v>
      </c>
      <c r="BI275" s="382">
        <f>BC275* Pile!$U$50</f>
        <v>0</v>
      </c>
      <c r="BJ275" s="382">
        <f t="shared" si="253"/>
        <v>159.04312808798326</v>
      </c>
      <c r="BK275" s="382">
        <f>BJ275/ 'Pile Data and Eurocode Factors'!$C$14/ 'Pile Data and Eurocode Factors'!$C$15</f>
        <v>56.801117174279739</v>
      </c>
      <c r="BL275" s="382">
        <f t="shared" si="254"/>
        <v>307.48940499615986</v>
      </c>
      <c r="BM275" s="382">
        <f>VLOOKUP(BA275, 'Pile Data and Eurocode Factors'!$A$34:$J$39,3, FALSE)</f>
        <v>6572.7116301410997</v>
      </c>
      <c r="BN275" s="403">
        <f t="shared" si="255"/>
        <v>307.48940499615986</v>
      </c>
      <c r="BO275" s="419">
        <v>900</v>
      </c>
      <c r="BP275" s="430">
        <f>PI()*BO275/1000*( Pile!$C$50- Pile!$C275)</f>
        <v>11.875220230569408</v>
      </c>
      <c r="BQ275" s="382">
        <f t="shared" si="256"/>
        <v>0.63617251235193317</v>
      </c>
      <c r="BR275" s="382">
        <f t="shared" si="295"/>
        <v>237.50440461138817</v>
      </c>
      <c r="BS275" s="382">
        <f>BP275* Pile!$S$50</f>
        <v>0</v>
      </c>
      <c r="BT275" s="382">
        <f t="shared" si="301"/>
        <v>237.50440461138817</v>
      </c>
      <c r="BU275" s="382">
        <f>IF(BT275&gt;0,+BT275)/ 'Pile Data and Eurocode Factors'!$B$14/ 'Pile Data and Eurocode Factors'!$B$15+BU$261</f>
        <v>300.82594538625614</v>
      </c>
      <c r="BV275" s="382">
        <f t="shared" si="308"/>
        <v>229.02210444669595</v>
      </c>
      <c r="BW275" s="382">
        <f>BQ275* Pile!$U$50</f>
        <v>0</v>
      </c>
      <c r="BX275" s="382">
        <f t="shared" si="257"/>
        <v>229.02210444669595</v>
      </c>
      <c r="BY275" s="382">
        <f>BX275/ 'Pile Data and Eurocode Factors'!$C$14/ 'Pile Data and Eurocode Factors'!$C$15</f>
        <v>81.793608730962845</v>
      </c>
      <c r="BZ275" s="382">
        <f t="shared" si="258"/>
        <v>382.61955411721897</v>
      </c>
      <c r="CA275" s="382">
        <f>VLOOKUP(BO275, 'Pile Data and Eurocode Factors'!$A$34:$J$39,3, FALSE)</f>
        <v>9464.7047474031824</v>
      </c>
      <c r="CB275" s="403">
        <f t="shared" si="259"/>
        <v>382.61955411721897</v>
      </c>
      <c r="CC275" s="419">
        <v>1050</v>
      </c>
      <c r="CD275" s="430">
        <f>PI()*CC275/1000*( Pile!$C$50- Pile!$C275)</f>
        <v>13.854423602330977</v>
      </c>
      <c r="CE275" s="382">
        <f t="shared" si="260"/>
        <v>0.86590147514568672</v>
      </c>
      <c r="CF275" s="382">
        <f t="shared" si="296"/>
        <v>277.08847204661953</v>
      </c>
      <c r="CG275" s="382">
        <f>CD275* Pile!$S$50</f>
        <v>0</v>
      </c>
      <c r="CH275" s="382">
        <f t="shared" si="302"/>
        <v>277.08847204661953</v>
      </c>
      <c r="CI275" s="382">
        <f>IF(CH275&gt;0,+CH275)/ 'Pile Data and Eurocode Factors'!$B$14/ 'Pile Data and Eurocode Factors'!$B$15+CI$261</f>
        <v>350.96360295063209</v>
      </c>
      <c r="CJ275" s="382">
        <f t="shared" si="309"/>
        <v>311.72453105244722</v>
      </c>
      <c r="CK275" s="382">
        <f>CE275* Pile!$U$50</f>
        <v>0</v>
      </c>
      <c r="CL275" s="382">
        <f t="shared" si="261"/>
        <v>311.72453105244722</v>
      </c>
      <c r="CM275" s="382">
        <f>CL275/ 'Pile Data and Eurocode Factors'!$C$14/ 'Pile Data and Eurocode Factors'!$C$15</f>
        <v>111.33018966158829</v>
      </c>
      <c r="CN275" s="382">
        <f t="shared" si="262"/>
        <v>462.29379261222039</v>
      </c>
      <c r="CO275" s="382">
        <f>VLOOKUP(CC275, 'Pile Data and Eurocode Factors'!$A$34:$J$39,3, FALSE)</f>
        <v>12882.514795076555</v>
      </c>
      <c r="CP275" s="403">
        <f t="shared" si="263"/>
        <v>462.29379261222039</v>
      </c>
      <c r="CQ275" s="419">
        <v>1200</v>
      </c>
      <c r="CR275" s="430">
        <f>PI()*CQ275/1000*( Pile!$C$50- Pile!$C275)</f>
        <v>15.833626974092544</v>
      </c>
      <c r="CS275" s="382">
        <f t="shared" si="264"/>
        <v>1.1309733552923256</v>
      </c>
      <c r="CT275" s="382">
        <f t="shared" si="297"/>
        <v>316.67253948185089</v>
      </c>
      <c r="CU275" s="382">
        <f>CR275* Pile!$S$50</f>
        <v>0</v>
      </c>
      <c r="CV275" s="382">
        <f t="shared" si="303"/>
        <v>316.67253948185089</v>
      </c>
      <c r="CW275" s="382">
        <f>IF(CV275&gt;0,+CV275)/ 'Pile Data and Eurocode Factors'!$B$14/ 'Pile Data and Eurocode Factors'!$B$15+CW$261</f>
        <v>401.10126051500811</v>
      </c>
      <c r="CX275" s="382">
        <f t="shared" si="310"/>
        <v>407.15040790523722</v>
      </c>
      <c r="CY275" s="382">
        <f>CS275* Pile!$U$50</f>
        <v>0</v>
      </c>
      <c r="CZ275" s="382">
        <f t="shared" si="265"/>
        <v>407.15040790523722</v>
      </c>
      <c r="DA275" s="382">
        <f>CZ275/ 'Pile Data and Eurocode Factors'!$C$14/ 'Pile Data and Eurocode Factors'!$C$15</f>
        <v>145.41085996615615</v>
      </c>
      <c r="DB275" s="382">
        <f t="shared" si="266"/>
        <v>546.51212048116429</v>
      </c>
      <c r="DC275" s="382">
        <f>VLOOKUP(CQ275, 'Pile Data and Eurocode Factors'!$A$34:$J$39,3, FALSE)</f>
        <v>16826.141773161216</v>
      </c>
      <c r="DD275" s="403">
        <f t="shared" si="267"/>
        <v>546.51212048116429</v>
      </c>
      <c r="DE275" s="420">
        <f xml:space="preserve"> Pile!$C$23- Pile!C275</f>
        <v>10.199999999999996</v>
      </c>
      <c r="DG275" s="382">
        <f t="shared" si="268"/>
        <v>170.86137487586879</v>
      </c>
      <c r="DH275" s="382">
        <f t="shared" si="269"/>
        <v>236.9033452490431</v>
      </c>
      <c r="DI275" s="382">
        <f t="shared" si="270"/>
        <v>307.48940499615986</v>
      </c>
      <c r="DJ275" s="382">
        <f t="shared" si="271"/>
        <v>382.61955411721897</v>
      </c>
      <c r="DK275" s="382">
        <f t="shared" si="272"/>
        <v>462.29379261222039</v>
      </c>
      <c r="DL275" s="382">
        <f t="shared" si="291"/>
        <v>546.51212048116429</v>
      </c>
    </row>
    <row r="276" spans="2:116" s="308" customFormat="1" ht="15">
      <c r="B276" s="400">
        <v>15</v>
      </c>
      <c r="C276" s="401">
        <f>+C275- Pile!D$50/20</f>
        <v>-4.4999999999999964</v>
      </c>
      <c r="D276" s="415" t="str">
        <f>B24</f>
        <v>Firm Clay</v>
      </c>
      <c r="E276" s="415" t="str">
        <f>F24</f>
        <v>Cohesive</v>
      </c>
      <c r="F276" s="401">
        <f xml:space="preserve"> Pile!$E$50*(+C275-C276)+F275</f>
        <v>182.25000000000006</v>
      </c>
      <c r="G276" s="401">
        <f>IF(C276&gt; Pile!$C$54,0,( Pile!$C$54-C276)*9.81)</f>
        <v>0</v>
      </c>
      <c r="H276" s="401">
        <f t="shared" si="238"/>
        <v>182.25000000000006</v>
      </c>
      <c r="I276" s="401">
        <f t="shared" si="304"/>
        <v>140.625</v>
      </c>
      <c r="J276" s="401">
        <f>IF(E276="Cohesive",(( Pile!$H$50- Pile!$G$50)/20)+J275,0)</f>
        <v>40</v>
      </c>
      <c r="K276" s="401">
        <f>IF(E276="Cohesive",( Pile!$G$50+ Pile!$J276)/2,0)</f>
        <v>40</v>
      </c>
      <c r="L276" s="401">
        <f>IF( Pile!I$50="",0, Pile!I$50)</f>
        <v>0.5</v>
      </c>
      <c r="M276" s="401">
        <f>IF( Pile!J$50="",0, Pile!J$50)</f>
        <v>9</v>
      </c>
      <c r="N276" s="401">
        <f>IF(E276="Granular", Pile!$K$50,0)</f>
        <v>0</v>
      </c>
      <c r="O276" s="416">
        <f>IF(AND(E276="Granular",D276&lt;&gt;"Made Ground"), Pile!$L$50,0)</f>
        <v>0</v>
      </c>
      <c r="P276" s="401">
        <f>IF(OR(D276="Low Density Chalk",D276="Medium Density Chalk"), Pile!$M$50,0)</f>
        <v>0</v>
      </c>
      <c r="Q276" s="417">
        <f>IF(D276="High Density Chalk", Pile!$N$50,0)</f>
        <v>0</v>
      </c>
      <c r="R276" s="401">
        <f>IF( Pile!O$50="",0, Pile!O$50)</f>
        <v>0</v>
      </c>
      <c r="S276" s="418">
        <f t="shared" si="240"/>
        <v>20</v>
      </c>
      <c r="T276" s="382">
        <f xml:space="preserve"> Pile!$T$50</f>
        <v>100</v>
      </c>
      <c r="U276" s="382">
        <f t="shared" si="241"/>
        <v>20</v>
      </c>
      <c r="V276" s="382">
        <f t="shared" si="242"/>
        <v>360</v>
      </c>
      <c r="W276" s="382" t="str">
        <f xml:space="preserve"> Pile!$V$50</f>
        <v/>
      </c>
      <c r="X276" s="382">
        <f t="shared" si="243"/>
        <v>360</v>
      </c>
      <c r="Y276" s="419">
        <v>450</v>
      </c>
      <c r="Z276" s="430">
        <f>PI()*Y276/1000*( Pile!$C$50- Pile!$C276)</f>
        <v>6.3617251235193262</v>
      </c>
      <c r="AA276" s="382">
        <f t="shared" si="244"/>
        <v>0.15904312808798329</v>
      </c>
      <c r="AB276" s="382">
        <f t="shared" si="292"/>
        <v>127.23450247038653</v>
      </c>
      <c r="AC276" s="382">
        <f>Z276* Pile!$S$50</f>
        <v>0</v>
      </c>
      <c r="AD276" s="382">
        <f t="shared" si="298"/>
        <v>127.23450247038653</v>
      </c>
      <c r="AE276" s="382">
        <f>IF(AD276&gt;0,+AD276)/ 'Pile Data and Eurocode Factors'!$B$14/ 'Pile Data and Eurocode Factors'!$B$15+AE$261</f>
        <v>154.19971383808004</v>
      </c>
      <c r="AF276" s="382">
        <f t="shared" si="305"/>
        <v>57.255526111673987</v>
      </c>
      <c r="AG276" s="382">
        <f>AA276* Pile!$U$50</f>
        <v>0</v>
      </c>
      <c r="AH276" s="382">
        <f t="shared" si="245"/>
        <v>57.255526111673987</v>
      </c>
      <c r="AI276" s="382">
        <f>AH276/ 'Pile Data and Eurocode Factors'!$C$14/ 'Pile Data and Eurocode Factors'!$C$15</f>
        <v>20.448402182740711</v>
      </c>
      <c r="AJ276" s="382">
        <f t="shared" si="246"/>
        <v>174.64811602082077</v>
      </c>
      <c r="AK276" s="382">
        <f>VLOOKUP(Y276, 'Pile Data and Eurocode Factors'!$A$34:$J$39,3, FALSE)</f>
        <v>2366.1761868507956</v>
      </c>
      <c r="AL276" s="403">
        <f t="shared" si="247"/>
        <v>174.64811602082077</v>
      </c>
      <c r="AM276" s="419">
        <v>600</v>
      </c>
      <c r="AN276" s="430">
        <f>PI()*AM276/1000*( Pile!$C$50- Pile!$C276)</f>
        <v>8.4823001646924343</v>
      </c>
      <c r="AO276" s="382">
        <f t="shared" si="248"/>
        <v>0.28274333882308139</v>
      </c>
      <c r="AP276" s="382">
        <f t="shared" si="293"/>
        <v>169.64600329384868</v>
      </c>
      <c r="AQ276" s="382">
        <f>AN276* Pile!$S$50</f>
        <v>0</v>
      </c>
      <c r="AR276" s="382">
        <f t="shared" si="299"/>
        <v>169.64600329384868</v>
      </c>
      <c r="AS276" s="382">
        <f>IF(AR276&gt;0,+AR276)/ 'Pile Data and Eurocode Factors'!$B$14/ 'Pile Data and Eurocode Factors'!$B$15+AS$261</f>
        <v>205.59961845077333</v>
      </c>
      <c r="AT276" s="382">
        <f t="shared" si="306"/>
        <v>101.7876019763093</v>
      </c>
      <c r="AU276" s="382">
        <f>AO276* Pile!$U$50</f>
        <v>0</v>
      </c>
      <c r="AV276" s="382">
        <f t="shared" si="249"/>
        <v>101.7876019763093</v>
      </c>
      <c r="AW276" s="382">
        <f>AV276/ 'Pile Data and Eurocode Factors'!$C$14/ 'Pile Data and Eurocode Factors'!$C$15</f>
        <v>36.352714991539038</v>
      </c>
      <c r="AX276" s="382">
        <f t="shared" si="250"/>
        <v>241.95233344231238</v>
      </c>
      <c r="AY276" s="382">
        <f>VLOOKUP(AM276, 'Pile Data and Eurocode Factors'!$A$34:$J$39,3, FALSE)</f>
        <v>4206.5354432903041</v>
      </c>
      <c r="AZ276" s="403">
        <f t="shared" si="251"/>
        <v>241.95233344231238</v>
      </c>
      <c r="BA276" s="419">
        <v>750</v>
      </c>
      <c r="BB276" s="430">
        <f>PI()*BA276/1000*( Pile!$C$50- Pile!$C276)</f>
        <v>10.602875205865544</v>
      </c>
      <c r="BC276" s="382">
        <f t="shared" si="252"/>
        <v>0.44178646691106466</v>
      </c>
      <c r="BD276" s="382">
        <f t="shared" si="294"/>
        <v>212.05750411731088</v>
      </c>
      <c r="BE276" s="382">
        <f>BB276* Pile!$S$50</f>
        <v>0</v>
      </c>
      <c r="BF276" s="382">
        <f t="shared" si="300"/>
        <v>212.05750411731088</v>
      </c>
      <c r="BG276" s="382">
        <f>IF(BF276&gt;0,+BF276)/ 'Pile Data and Eurocode Factors'!$B$14/ 'Pile Data and Eurocode Factors'!$B$15+BG$261</f>
        <v>256.99952306346677</v>
      </c>
      <c r="BH276" s="382">
        <f t="shared" si="307"/>
        <v>159.04312808798326</v>
      </c>
      <c r="BI276" s="382">
        <f>BC276* Pile!$U$50</f>
        <v>0</v>
      </c>
      <c r="BJ276" s="382">
        <f t="shared" si="253"/>
        <v>159.04312808798326</v>
      </c>
      <c r="BK276" s="382">
        <f>BJ276/ 'Pile Data and Eurocode Factors'!$C$14/ 'Pile Data and Eurocode Factors'!$C$15</f>
        <v>56.801117174279739</v>
      </c>
      <c r="BL276" s="382">
        <f t="shared" si="254"/>
        <v>313.80064023774651</v>
      </c>
      <c r="BM276" s="382">
        <f>VLOOKUP(BA276, 'Pile Data and Eurocode Factors'!$A$34:$J$39,3, FALSE)</f>
        <v>6572.7116301410997</v>
      </c>
      <c r="BN276" s="403">
        <f t="shared" si="255"/>
        <v>313.80064023774651</v>
      </c>
      <c r="BO276" s="419">
        <v>900</v>
      </c>
      <c r="BP276" s="430">
        <f>PI()*BO276/1000*( Pile!$C$50- Pile!$C276)</f>
        <v>12.723450247038652</v>
      </c>
      <c r="BQ276" s="382">
        <f t="shared" si="256"/>
        <v>0.63617251235193317</v>
      </c>
      <c r="BR276" s="382">
        <f t="shared" si="295"/>
        <v>254.46900494077306</v>
      </c>
      <c r="BS276" s="382">
        <f>BP276* Pile!$S$50</f>
        <v>0</v>
      </c>
      <c r="BT276" s="382">
        <f t="shared" si="301"/>
        <v>254.46900494077306</v>
      </c>
      <c r="BU276" s="382">
        <f>IF(BT276&gt;0,+BT276)/ 'Pile Data and Eurocode Factors'!$B$14/ 'Pile Data and Eurocode Factors'!$B$15+BU$261</f>
        <v>308.39942767616009</v>
      </c>
      <c r="BV276" s="382">
        <f t="shared" si="308"/>
        <v>229.02210444669595</v>
      </c>
      <c r="BW276" s="382">
        <f>BQ276* Pile!$U$50</f>
        <v>0</v>
      </c>
      <c r="BX276" s="382">
        <f t="shared" si="257"/>
        <v>229.02210444669595</v>
      </c>
      <c r="BY276" s="382">
        <f>BX276/ 'Pile Data and Eurocode Factors'!$C$14/ 'Pile Data and Eurocode Factors'!$C$15</f>
        <v>81.793608730962845</v>
      </c>
      <c r="BZ276" s="382">
        <f t="shared" si="258"/>
        <v>390.19303640712292</v>
      </c>
      <c r="CA276" s="382">
        <f>VLOOKUP(BO276, 'Pile Data and Eurocode Factors'!$A$34:$J$39,3, FALSE)</f>
        <v>9464.7047474031824</v>
      </c>
      <c r="CB276" s="403">
        <f t="shared" si="259"/>
        <v>390.19303640712292</v>
      </c>
      <c r="CC276" s="419">
        <v>1050</v>
      </c>
      <c r="CD276" s="430">
        <f>PI()*CC276/1000*( Pile!$C$50- Pile!$C276)</f>
        <v>14.84402528821176</v>
      </c>
      <c r="CE276" s="382">
        <f t="shared" si="260"/>
        <v>0.86590147514568672</v>
      </c>
      <c r="CF276" s="382">
        <f t="shared" si="296"/>
        <v>296.88050576423518</v>
      </c>
      <c r="CG276" s="382">
        <f>CD276* Pile!$S$50</f>
        <v>0</v>
      </c>
      <c r="CH276" s="382">
        <f t="shared" si="302"/>
        <v>296.88050576423518</v>
      </c>
      <c r="CI276" s="382">
        <f>IF(CH276&gt;0,+CH276)/ 'Pile Data and Eurocode Factors'!$B$14/ 'Pile Data and Eurocode Factors'!$B$15+CI$261</f>
        <v>359.79933228885341</v>
      </c>
      <c r="CJ276" s="382">
        <f t="shared" si="309"/>
        <v>311.72453105244722</v>
      </c>
      <c r="CK276" s="382">
        <f>CE276* Pile!$U$50</f>
        <v>0</v>
      </c>
      <c r="CL276" s="382">
        <f t="shared" si="261"/>
        <v>311.72453105244722</v>
      </c>
      <c r="CM276" s="382">
        <f>CL276/ 'Pile Data and Eurocode Factors'!$C$14/ 'Pile Data and Eurocode Factors'!$C$15</f>
        <v>111.33018966158829</v>
      </c>
      <c r="CN276" s="382">
        <f t="shared" si="262"/>
        <v>471.1295219504417</v>
      </c>
      <c r="CO276" s="382">
        <f>VLOOKUP(CC276, 'Pile Data and Eurocode Factors'!$A$34:$J$39,3, FALSE)</f>
        <v>12882.514795076555</v>
      </c>
      <c r="CP276" s="403">
        <f t="shared" si="263"/>
        <v>471.1295219504417</v>
      </c>
      <c r="CQ276" s="419">
        <v>1200</v>
      </c>
      <c r="CR276" s="430">
        <f>PI()*CQ276/1000*( Pile!$C$50- Pile!$C276)</f>
        <v>16.964600329384869</v>
      </c>
      <c r="CS276" s="382">
        <f t="shared" si="264"/>
        <v>1.1309733552923256</v>
      </c>
      <c r="CT276" s="382">
        <f t="shared" si="297"/>
        <v>339.29200658769736</v>
      </c>
      <c r="CU276" s="382">
        <f>CR276* Pile!$S$50</f>
        <v>0</v>
      </c>
      <c r="CV276" s="382">
        <f t="shared" si="303"/>
        <v>339.29200658769736</v>
      </c>
      <c r="CW276" s="382">
        <f>IF(CV276&gt;0,+CV276)/ 'Pile Data and Eurocode Factors'!$B$14/ 'Pile Data and Eurocode Factors'!$B$15+CW$261</f>
        <v>411.19923690154667</v>
      </c>
      <c r="CX276" s="382">
        <f t="shared" si="310"/>
        <v>407.15040790523722</v>
      </c>
      <c r="CY276" s="382">
        <f>CS276* Pile!$U$50</f>
        <v>0</v>
      </c>
      <c r="CZ276" s="382">
        <f t="shared" si="265"/>
        <v>407.15040790523722</v>
      </c>
      <c r="DA276" s="382">
        <f>CZ276/ 'Pile Data and Eurocode Factors'!$C$14/ 'Pile Data and Eurocode Factors'!$C$15</f>
        <v>145.41085996615615</v>
      </c>
      <c r="DB276" s="382">
        <f t="shared" si="266"/>
        <v>556.61009686770285</v>
      </c>
      <c r="DC276" s="382">
        <f>VLOOKUP(CQ276, 'Pile Data and Eurocode Factors'!$A$34:$J$39,3, FALSE)</f>
        <v>16826.141773161216</v>
      </c>
      <c r="DD276" s="403">
        <f t="shared" si="267"/>
        <v>556.61009686770285</v>
      </c>
      <c r="DE276" s="420">
        <f xml:space="preserve"> Pile!$C$23- Pile!C276</f>
        <v>10.499999999999996</v>
      </c>
      <c r="DG276" s="382">
        <f t="shared" si="268"/>
        <v>174.64811602082077</v>
      </c>
      <c r="DH276" s="382">
        <f t="shared" si="269"/>
        <v>241.95233344231238</v>
      </c>
      <c r="DI276" s="382">
        <f t="shared" si="270"/>
        <v>313.80064023774651</v>
      </c>
      <c r="DJ276" s="382">
        <f t="shared" si="271"/>
        <v>390.19303640712292</v>
      </c>
      <c r="DK276" s="382">
        <f t="shared" si="272"/>
        <v>471.1295219504417</v>
      </c>
      <c r="DL276" s="382">
        <f t="shared" si="291"/>
        <v>556.61009686770285</v>
      </c>
    </row>
    <row r="277" spans="2:116" s="308" customFormat="1" ht="15">
      <c r="B277" s="400">
        <v>16</v>
      </c>
      <c r="C277" s="401">
        <f>+C276- Pile!D$50/20</f>
        <v>-4.7999999999999963</v>
      </c>
      <c r="D277" s="415" t="str">
        <f>B24</f>
        <v>Firm Clay</v>
      </c>
      <c r="E277" s="415" t="str">
        <f>F24</f>
        <v>Cohesive</v>
      </c>
      <c r="F277" s="401">
        <f xml:space="preserve"> Pile!$E$50*(+C276-C277)+F276</f>
        <v>187.80000000000007</v>
      </c>
      <c r="G277" s="401">
        <f>IF(C277&gt; Pile!$C$54,0,( Pile!$C$54-C277)*9.81)</f>
        <v>0</v>
      </c>
      <c r="H277" s="401">
        <f t="shared" si="238"/>
        <v>187.80000000000007</v>
      </c>
      <c r="I277" s="401">
        <f t="shared" si="304"/>
        <v>143.40000000000003</v>
      </c>
      <c r="J277" s="401">
        <f>IF(E277="Cohesive",(( Pile!$H$50- Pile!$G$50)/20)+J276,0)</f>
        <v>40</v>
      </c>
      <c r="K277" s="401">
        <f>IF(E277="Cohesive",( Pile!$G$50+ Pile!$J277)/2,0)</f>
        <v>40</v>
      </c>
      <c r="L277" s="401">
        <f>IF( Pile!I$50="",0, Pile!I$50)</f>
        <v>0.5</v>
      </c>
      <c r="M277" s="401">
        <f>IF( Pile!J$50="",0, Pile!J$50)</f>
        <v>9</v>
      </c>
      <c r="N277" s="401">
        <f>IF(E277="Granular", Pile!$K$50,0)</f>
        <v>0</v>
      </c>
      <c r="O277" s="416">
        <f>IF(AND(E277="Granular",D277&lt;&gt;"Made Ground"), Pile!$L$50,0)</f>
        <v>0</v>
      </c>
      <c r="P277" s="401">
        <f>IF(OR(D277="Low Density Chalk",D277="Medium Density Chalk"), Pile!$M$50,0)</f>
        <v>0</v>
      </c>
      <c r="Q277" s="417">
        <f>IF(D277="High Density Chalk", Pile!$N$50,0)</f>
        <v>0</v>
      </c>
      <c r="R277" s="401">
        <f>IF( Pile!O$50="",0, Pile!O$50)</f>
        <v>0</v>
      </c>
      <c r="S277" s="418">
        <f t="shared" si="240"/>
        <v>20</v>
      </c>
      <c r="T277" s="382">
        <f xml:space="preserve"> Pile!$T$50</f>
        <v>100</v>
      </c>
      <c r="U277" s="382">
        <f t="shared" si="241"/>
        <v>20</v>
      </c>
      <c r="V277" s="382">
        <f t="shared" si="242"/>
        <v>360</v>
      </c>
      <c r="W277" s="382" t="str">
        <f xml:space="preserve"> Pile!$V$50</f>
        <v/>
      </c>
      <c r="X277" s="382">
        <f t="shared" si="243"/>
        <v>360</v>
      </c>
      <c r="Y277" s="419">
        <v>450</v>
      </c>
      <c r="Z277" s="430">
        <f>PI()*Y277/1000*( Pile!$C$50- Pile!$C277)</f>
        <v>6.7858401317539476</v>
      </c>
      <c r="AA277" s="382">
        <f t="shared" si="244"/>
        <v>0.15904312808798329</v>
      </c>
      <c r="AB277" s="382">
        <f t="shared" si="292"/>
        <v>135.71680263507895</v>
      </c>
      <c r="AC277" s="382">
        <f>Z277* Pile!$S$50</f>
        <v>0</v>
      </c>
      <c r="AD277" s="382">
        <f t="shared" si="298"/>
        <v>135.71680263507895</v>
      </c>
      <c r="AE277" s="382">
        <f>IF(AD277&gt;0,+AD277)/ 'Pile Data and Eurocode Factors'!$B$14/ 'Pile Data and Eurocode Factors'!$B$15+AE$261</f>
        <v>157.98645498303202</v>
      </c>
      <c r="AF277" s="382">
        <f t="shared" si="305"/>
        <v>57.255526111673987</v>
      </c>
      <c r="AG277" s="382">
        <f>AA277* Pile!$U$50</f>
        <v>0</v>
      </c>
      <c r="AH277" s="382">
        <f t="shared" si="245"/>
        <v>57.255526111673987</v>
      </c>
      <c r="AI277" s="382">
        <f>AH277/ 'Pile Data and Eurocode Factors'!$C$14/ 'Pile Data and Eurocode Factors'!$C$15</f>
        <v>20.448402182740711</v>
      </c>
      <c r="AJ277" s="382">
        <f t="shared" si="246"/>
        <v>178.43485716577274</v>
      </c>
      <c r="AK277" s="382">
        <f>VLOOKUP(Y277, 'Pile Data and Eurocode Factors'!$A$34:$J$39,3, FALSE)</f>
        <v>2366.1761868507956</v>
      </c>
      <c r="AL277" s="403">
        <f t="shared" si="247"/>
        <v>178.43485716577274</v>
      </c>
      <c r="AM277" s="419">
        <v>600</v>
      </c>
      <c r="AN277" s="430">
        <f>PI()*AM277/1000*( Pile!$C$50- Pile!$C277)</f>
        <v>9.0477868423385974</v>
      </c>
      <c r="AO277" s="382">
        <f t="shared" si="248"/>
        <v>0.28274333882308139</v>
      </c>
      <c r="AP277" s="382">
        <f t="shared" si="293"/>
        <v>180.95573684677194</v>
      </c>
      <c r="AQ277" s="382">
        <f>AN277* Pile!$S$50</f>
        <v>0</v>
      </c>
      <c r="AR277" s="382">
        <f t="shared" si="299"/>
        <v>180.95573684677194</v>
      </c>
      <c r="AS277" s="382">
        <f>IF(AR277&gt;0,+AR277)/ 'Pile Data and Eurocode Factors'!$B$14/ 'Pile Data and Eurocode Factors'!$B$15+AS$261</f>
        <v>210.64860664404267</v>
      </c>
      <c r="AT277" s="382">
        <f t="shared" si="306"/>
        <v>101.7876019763093</v>
      </c>
      <c r="AU277" s="382">
        <f>AO277* Pile!$U$50</f>
        <v>0</v>
      </c>
      <c r="AV277" s="382">
        <f t="shared" si="249"/>
        <v>101.7876019763093</v>
      </c>
      <c r="AW277" s="382">
        <f>AV277/ 'Pile Data and Eurocode Factors'!$C$14/ 'Pile Data and Eurocode Factors'!$C$15</f>
        <v>36.352714991539038</v>
      </c>
      <c r="AX277" s="382">
        <f t="shared" si="250"/>
        <v>247.00132163558172</v>
      </c>
      <c r="AY277" s="382">
        <f>VLOOKUP(AM277, 'Pile Data and Eurocode Factors'!$A$34:$J$39,3, FALSE)</f>
        <v>4206.5354432903041</v>
      </c>
      <c r="AZ277" s="403">
        <f t="shared" si="251"/>
        <v>247.00132163558172</v>
      </c>
      <c r="BA277" s="419">
        <v>750</v>
      </c>
      <c r="BB277" s="430">
        <f>PI()*BA277/1000*( Pile!$C$50- Pile!$C277)</f>
        <v>11.309733552923246</v>
      </c>
      <c r="BC277" s="382">
        <f t="shared" si="252"/>
        <v>0.44178646691106466</v>
      </c>
      <c r="BD277" s="382">
        <f t="shared" si="294"/>
        <v>226.19467105846493</v>
      </c>
      <c r="BE277" s="382">
        <f>BB277* Pile!$S$50</f>
        <v>0</v>
      </c>
      <c r="BF277" s="382">
        <f t="shared" si="300"/>
        <v>226.19467105846493</v>
      </c>
      <c r="BG277" s="382">
        <f>IF(BF277&gt;0,+BF277)/ 'Pile Data and Eurocode Factors'!$B$14/ 'Pile Data and Eurocode Factors'!$B$15+BG$261</f>
        <v>263.31075830505335</v>
      </c>
      <c r="BH277" s="382">
        <f t="shared" si="307"/>
        <v>159.04312808798326</v>
      </c>
      <c r="BI277" s="382">
        <f>BC277* Pile!$U$50</f>
        <v>0</v>
      </c>
      <c r="BJ277" s="382">
        <f t="shared" si="253"/>
        <v>159.04312808798326</v>
      </c>
      <c r="BK277" s="382">
        <f>BJ277/ 'Pile Data and Eurocode Factors'!$C$14/ 'Pile Data and Eurocode Factors'!$C$15</f>
        <v>56.801117174279739</v>
      </c>
      <c r="BL277" s="382">
        <f t="shared" si="254"/>
        <v>320.11187547933309</v>
      </c>
      <c r="BM277" s="382">
        <f>VLOOKUP(BA277, 'Pile Data and Eurocode Factors'!$A$34:$J$39,3, FALSE)</f>
        <v>6572.7116301410997</v>
      </c>
      <c r="BN277" s="403">
        <f t="shared" si="255"/>
        <v>320.11187547933309</v>
      </c>
      <c r="BO277" s="419">
        <v>900</v>
      </c>
      <c r="BP277" s="430">
        <f>PI()*BO277/1000*( Pile!$C$50- Pile!$C277)</f>
        <v>13.571680263507895</v>
      </c>
      <c r="BQ277" s="382">
        <f t="shared" si="256"/>
        <v>0.63617251235193317</v>
      </c>
      <c r="BR277" s="382">
        <f t="shared" si="295"/>
        <v>271.4336052701579</v>
      </c>
      <c r="BS277" s="382">
        <f>BP277* Pile!$S$50</f>
        <v>0</v>
      </c>
      <c r="BT277" s="382">
        <f t="shared" si="301"/>
        <v>271.4336052701579</v>
      </c>
      <c r="BU277" s="382">
        <f>IF(BT277&gt;0,+BT277)/ 'Pile Data and Eurocode Factors'!$B$14/ 'Pile Data and Eurocode Factors'!$B$15+BU$261</f>
        <v>315.97290996606404</v>
      </c>
      <c r="BV277" s="382">
        <f t="shared" si="308"/>
        <v>229.02210444669595</v>
      </c>
      <c r="BW277" s="382">
        <f>BQ277* Pile!$U$50</f>
        <v>0</v>
      </c>
      <c r="BX277" s="382">
        <f t="shared" si="257"/>
        <v>229.02210444669595</v>
      </c>
      <c r="BY277" s="382">
        <f>BX277/ 'Pile Data and Eurocode Factors'!$C$14/ 'Pile Data and Eurocode Factors'!$C$15</f>
        <v>81.793608730962845</v>
      </c>
      <c r="BZ277" s="382">
        <f t="shared" si="258"/>
        <v>397.76651869702687</v>
      </c>
      <c r="CA277" s="382">
        <f>VLOOKUP(BO277, 'Pile Data and Eurocode Factors'!$A$34:$J$39,3, FALSE)</f>
        <v>9464.7047474031824</v>
      </c>
      <c r="CB277" s="403">
        <f t="shared" si="259"/>
        <v>397.76651869702687</v>
      </c>
      <c r="CC277" s="419">
        <v>1050</v>
      </c>
      <c r="CD277" s="430">
        <f>PI()*CC277/1000*( Pile!$C$50- Pile!$C277)</f>
        <v>15.833626974092544</v>
      </c>
      <c r="CE277" s="382">
        <f t="shared" si="260"/>
        <v>0.86590147514568672</v>
      </c>
      <c r="CF277" s="382">
        <f t="shared" si="296"/>
        <v>316.67253948185089</v>
      </c>
      <c r="CG277" s="382">
        <f>CD277* Pile!$S$50</f>
        <v>0</v>
      </c>
      <c r="CH277" s="382">
        <f t="shared" si="302"/>
        <v>316.67253948185089</v>
      </c>
      <c r="CI277" s="382">
        <f>IF(CH277&gt;0,+CH277)/ 'Pile Data and Eurocode Factors'!$B$14/ 'Pile Data and Eurocode Factors'!$B$15+CI$261</f>
        <v>368.63506162707472</v>
      </c>
      <c r="CJ277" s="382">
        <f t="shared" si="309"/>
        <v>311.72453105244722</v>
      </c>
      <c r="CK277" s="382">
        <f>CE277* Pile!$U$50</f>
        <v>0</v>
      </c>
      <c r="CL277" s="382">
        <f t="shared" si="261"/>
        <v>311.72453105244722</v>
      </c>
      <c r="CM277" s="382">
        <f>CL277/ 'Pile Data and Eurocode Factors'!$C$14/ 'Pile Data and Eurocode Factors'!$C$15</f>
        <v>111.33018966158829</v>
      </c>
      <c r="CN277" s="382">
        <f t="shared" si="262"/>
        <v>479.96525128866301</v>
      </c>
      <c r="CO277" s="382">
        <f>VLOOKUP(CC277, 'Pile Data and Eurocode Factors'!$A$34:$J$39,3, FALSE)</f>
        <v>12882.514795076555</v>
      </c>
      <c r="CP277" s="403">
        <f t="shared" si="263"/>
        <v>479.96525128866301</v>
      </c>
      <c r="CQ277" s="419">
        <v>1200</v>
      </c>
      <c r="CR277" s="430">
        <f>PI()*CQ277/1000*( Pile!$C$50- Pile!$C277)</f>
        <v>18.095573684677195</v>
      </c>
      <c r="CS277" s="382">
        <f t="shared" si="264"/>
        <v>1.1309733552923256</v>
      </c>
      <c r="CT277" s="382">
        <f t="shared" si="297"/>
        <v>361.91147369354388</v>
      </c>
      <c r="CU277" s="382">
        <f>CR277* Pile!$S$50</f>
        <v>0</v>
      </c>
      <c r="CV277" s="382">
        <f t="shared" si="303"/>
        <v>361.91147369354388</v>
      </c>
      <c r="CW277" s="382">
        <f>IF(CV277&gt;0,+CV277)/ 'Pile Data and Eurocode Factors'!$B$14/ 'Pile Data and Eurocode Factors'!$B$15+CW$261</f>
        <v>421.29721328808535</v>
      </c>
      <c r="CX277" s="382">
        <f t="shared" si="310"/>
        <v>407.15040790523722</v>
      </c>
      <c r="CY277" s="382">
        <f>CS277* Pile!$U$50</f>
        <v>0</v>
      </c>
      <c r="CZ277" s="382">
        <f t="shared" si="265"/>
        <v>407.15040790523722</v>
      </c>
      <c r="DA277" s="382">
        <f>CZ277/ 'Pile Data and Eurocode Factors'!$C$14/ 'Pile Data and Eurocode Factors'!$C$15</f>
        <v>145.41085996615615</v>
      </c>
      <c r="DB277" s="382">
        <f t="shared" si="266"/>
        <v>566.70807325424153</v>
      </c>
      <c r="DC277" s="382">
        <f>VLOOKUP(CQ277, 'Pile Data and Eurocode Factors'!$A$34:$J$39,3, FALSE)</f>
        <v>16826.141773161216</v>
      </c>
      <c r="DD277" s="403">
        <f t="shared" si="267"/>
        <v>566.70807325424153</v>
      </c>
      <c r="DE277" s="420">
        <f xml:space="preserve"> Pile!$C$23- Pile!C277</f>
        <v>10.799999999999997</v>
      </c>
      <c r="DG277" s="382">
        <f t="shared" si="268"/>
        <v>178.43485716577274</v>
      </c>
      <c r="DH277" s="382">
        <f t="shared" si="269"/>
        <v>247.00132163558172</v>
      </c>
      <c r="DI277" s="382">
        <f t="shared" si="270"/>
        <v>320.11187547933309</v>
      </c>
      <c r="DJ277" s="382">
        <f t="shared" si="271"/>
        <v>397.76651869702687</v>
      </c>
      <c r="DK277" s="382">
        <f t="shared" si="272"/>
        <v>479.96525128866301</v>
      </c>
      <c r="DL277" s="382">
        <f t="shared" si="291"/>
        <v>566.70807325424153</v>
      </c>
    </row>
    <row r="278" spans="2:116" s="308" customFormat="1" ht="15">
      <c r="B278" s="400">
        <v>17</v>
      </c>
      <c r="C278" s="401">
        <f>+C277- Pile!D$50/20</f>
        <v>-5.0999999999999961</v>
      </c>
      <c r="D278" s="415" t="str">
        <f>B24</f>
        <v>Firm Clay</v>
      </c>
      <c r="E278" s="415" t="str">
        <f>F24</f>
        <v>Cohesive</v>
      </c>
      <c r="F278" s="401">
        <f xml:space="preserve"> Pile!$E$50*(+C277-C278)+F277</f>
        <v>193.35000000000008</v>
      </c>
      <c r="G278" s="401">
        <f>IF(C278&gt; Pile!$C$54,0,( Pile!$C$54-C278)*9.81)</f>
        <v>0</v>
      </c>
      <c r="H278" s="401">
        <f t="shared" si="238"/>
        <v>193.35000000000008</v>
      </c>
      <c r="I278" s="401">
        <f t="shared" si="304"/>
        <v>146.17500000000001</v>
      </c>
      <c r="J278" s="401">
        <f>IF(E278="Cohesive",(( Pile!$H$50- Pile!$G$50)/20)+J277,0)</f>
        <v>40</v>
      </c>
      <c r="K278" s="401">
        <f>IF(E278="Cohesive",( Pile!$G$50+ Pile!$J278)/2,0)</f>
        <v>40</v>
      </c>
      <c r="L278" s="401">
        <f>IF( Pile!I$50="",0, Pile!I$50)</f>
        <v>0.5</v>
      </c>
      <c r="M278" s="401">
        <f>IF( Pile!J$50="",0, Pile!J$50)</f>
        <v>9</v>
      </c>
      <c r="N278" s="401">
        <f>IF(E278="Granular", Pile!$K$50,0)</f>
        <v>0</v>
      </c>
      <c r="O278" s="416">
        <f>IF(AND(E278="Granular",D278&lt;&gt;"Made Ground"), Pile!$L$50,0)</f>
        <v>0</v>
      </c>
      <c r="P278" s="401">
        <f>IF(OR(D278="Low Density Chalk",D278="Medium Density Chalk"), Pile!$M$50,0)</f>
        <v>0</v>
      </c>
      <c r="Q278" s="417">
        <f>IF(D278="High Density Chalk", Pile!$N$50,0)</f>
        <v>0</v>
      </c>
      <c r="R278" s="401">
        <f>IF( Pile!O$50="",0, Pile!O$50)</f>
        <v>0</v>
      </c>
      <c r="S278" s="418">
        <f t="shared" si="240"/>
        <v>20</v>
      </c>
      <c r="T278" s="382">
        <f xml:space="preserve"> Pile!$T$50</f>
        <v>100</v>
      </c>
      <c r="U278" s="382">
        <f t="shared" si="241"/>
        <v>20</v>
      </c>
      <c r="V278" s="382">
        <f t="shared" si="242"/>
        <v>360</v>
      </c>
      <c r="W278" s="382" t="str">
        <f xml:space="preserve"> Pile!$V$50</f>
        <v/>
      </c>
      <c r="X278" s="382">
        <f t="shared" si="243"/>
        <v>360</v>
      </c>
      <c r="Y278" s="419">
        <v>450</v>
      </c>
      <c r="Z278" s="430">
        <f>PI()*Y278/1000*( Pile!$C$50- Pile!$C278)</f>
        <v>7.20995513998857</v>
      </c>
      <c r="AA278" s="382">
        <f t="shared" si="244"/>
        <v>0.15904312808798329</v>
      </c>
      <c r="AB278" s="382">
        <f t="shared" si="292"/>
        <v>144.1991027997714</v>
      </c>
      <c r="AC278" s="382">
        <f>Z278* Pile!$S$50</f>
        <v>0</v>
      </c>
      <c r="AD278" s="382">
        <f t="shared" si="298"/>
        <v>144.1991027997714</v>
      </c>
      <c r="AE278" s="382">
        <f>IF(AD278&gt;0,+AD278)/ 'Pile Data and Eurocode Factors'!$B$14/ 'Pile Data and Eurocode Factors'!$B$15+AE$261</f>
        <v>161.77319612798402</v>
      </c>
      <c r="AF278" s="382">
        <f t="shared" si="305"/>
        <v>57.255526111673987</v>
      </c>
      <c r="AG278" s="382">
        <f>AA278* Pile!$U$50</f>
        <v>0</v>
      </c>
      <c r="AH278" s="382">
        <f t="shared" si="245"/>
        <v>57.255526111673987</v>
      </c>
      <c r="AI278" s="382">
        <f>AH278/ 'Pile Data and Eurocode Factors'!$C$14/ 'Pile Data and Eurocode Factors'!$C$15</f>
        <v>20.448402182740711</v>
      </c>
      <c r="AJ278" s="382">
        <f t="shared" si="246"/>
        <v>182.22159831072474</v>
      </c>
      <c r="AK278" s="382">
        <f>VLOOKUP(Y278, 'Pile Data and Eurocode Factors'!$A$34:$J$39,3, FALSE)</f>
        <v>2366.1761868507956</v>
      </c>
      <c r="AL278" s="403">
        <f t="shared" si="247"/>
        <v>182.22159831072474</v>
      </c>
      <c r="AM278" s="419">
        <v>600</v>
      </c>
      <c r="AN278" s="430">
        <f>PI()*AM278/1000*( Pile!$C$50- Pile!$C278)</f>
        <v>9.6132735199847588</v>
      </c>
      <c r="AO278" s="382">
        <f t="shared" si="248"/>
        <v>0.28274333882308139</v>
      </c>
      <c r="AP278" s="382">
        <f t="shared" si="293"/>
        <v>192.26547039969518</v>
      </c>
      <c r="AQ278" s="382">
        <f>AN278* Pile!$S$50</f>
        <v>0</v>
      </c>
      <c r="AR278" s="382">
        <f t="shared" si="299"/>
        <v>192.26547039969518</v>
      </c>
      <c r="AS278" s="382">
        <f>IF(AR278&gt;0,+AR278)/ 'Pile Data and Eurocode Factors'!$B$14/ 'Pile Data and Eurocode Factors'!$B$15+AS$261</f>
        <v>215.69759483731195</v>
      </c>
      <c r="AT278" s="382">
        <f t="shared" si="306"/>
        <v>101.7876019763093</v>
      </c>
      <c r="AU278" s="382">
        <f>AO278* Pile!$U$50</f>
        <v>0</v>
      </c>
      <c r="AV278" s="382">
        <f t="shared" si="249"/>
        <v>101.7876019763093</v>
      </c>
      <c r="AW278" s="382">
        <f>AV278/ 'Pile Data and Eurocode Factors'!$C$14/ 'Pile Data and Eurocode Factors'!$C$15</f>
        <v>36.352714991539038</v>
      </c>
      <c r="AX278" s="382">
        <f t="shared" si="250"/>
        <v>252.050309828851</v>
      </c>
      <c r="AY278" s="382">
        <f>VLOOKUP(AM278, 'Pile Data and Eurocode Factors'!$A$34:$J$39,3, FALSE)</f>
        <v>4206.5354432903041</v>
      </c>
      <c r="AZ278" s="403">
        <f t="shared" si="251"/>
        <v>252.050309828851</v>
      </c>
      <c r="BA278" s="419">
        <v>750</v>
      </c>
      <c r="BB278" s="430">
        <f>PI()*BA278/1000*( Pile!$C$50- Pile!$C278)</f>
        <v>12.01659189998095</v>
      </c>
      <c r="BC278" s="382">
        <f t="shared" si="252"/>
        <v>0.44178646691106466</v>
      </c>
      <c r="BD278" s="382">
        <f t="shared" si="294"/>
        <v>240.33183799961901</v>
      </c>
      <c r="BE278" s="382">
        <f>BB278* Pile!$S$50</f>
        <v>0</v>
      </c>
      <c r="BF278" s="382">
        <f t="shared" si="300"/>
        <v>240.33183799961901</v>
      </c>
      <c r="BG278" s="382">
        <f>IF(BF278&gt;0,+BF278)/ 'Pile Data and Eurocode Factors'!$B$14/ 'Pile Data and Eurocode Factors'!$B$15+BG$261</f>
        <v>269.62199354664</v>
      </c>
      <c r="BH278" s="382">
        <f t="shared" si="307"/>
        <v>159.04312808798326</v>
      </c>
      <c r="BI278" s="382">
        <f>BC278* Pile!$U$50</f>
        <v>0</v>
      </c>
      <c r="BJ278" s="382">
        <f t="shared" si="253"/>
        <v>159.04312808798326</v>
      </c>
      <c r="BK278" s="382">
        <f>BJ278/ 'Pile Data and Eurocode Factors'!$C$14/ 'Pile Data and Eurocode Factors'!$C$15</f>
        <v>56.801117174279739</v>
      </c>
      <c r="BL278" s="382">
        <f t="shared" si="254"/>
        <v>326.42311072091974</v>
      </c>
      <c r="BM278" s="382">
        <f>VLOOKUP(BA278, 'Pile Data and Eurocode Factors'!$A$34:$J$39,3, FALSE)</f>
        <v>6572.7116301410997</v>
      </c>
      <c r="BN278" s="403">
        <f t="shared" si="255"/>
        <v>326.42311072091974</v>
      </c>
      <c r="BO278" s="419">
        <v>900</v>
      </c>
      <c r="BP278" s="430">
        <f>PI()*BO278/1000*( Pile!$C$50- Pile!$C278)</f>
        <v>14.41991027997714</v>
      </c>
      <c r="BQ278" s="382">
        <f t="shared" si="256"/>
        <v>0.63617251235193317</v>
      </c>
      <c r="BR278" s="382">
        <f t="shared" si="295"/>
        <v>288.39820559954279</v>
      </c>
      <c r="BS278" s="382">
        <f>BP278* Pile!$S$50</f>
        <v>0</v>
      </c>
      <c r="BT278" s="382">
        <f t="shared" si="301"/>
        <v>288.39820559954279</v>
      </c>
      <c r="BU278" s="382">
        <f>IF(BT278&gt;0,+BT278)/ 'Pile Data and Eurocode Factors'!$B$14/ 'Pile Data and Eurocode Factors'!$B$15+BU$261</f>
        <v>323.54639225596804</v>
      </c>
      <c r="BV278" s="382">
        <f t="shared" si="308"/>
        <v>229.02210444669595</v>
      </c>
      <c r="BW278" s="382">
        <f>BQ278* Pile!$U$50</f>
        <v>0</v>
      </c>
      <c r="BX278" s="382">
        <f t="shared" si="257"/>
        <v>229.02210444669595</v>
      </c>
      <c r="BY278" s="382">
        <f>BX278/ 'Pile Data and Eurocode Factors'!$C$14/ 'Pile Data and Eurocode Factors'!$C$15</f>
        <v>81.793608730962845</v>
      </c>
      <c r="BZ278" s="382">
        <f t="shared" si="258"/>
        <v>405.34000098693087</v>
      </c>
      <c r="CA278" s="382">
        <f>VLOOKUP(BO278, 'Pile Data and Eurocode Factors'!$A$34:$J$39,3, FALSE)</f>
        <v>9464.7047474031824</v>
      </c>
      <c r="CB278" s="403">
        <f t="shared" si="259"/>
        <v>405.34000098693087</v>
      </c>
      <c r="CC278" s="419">
        <v>1050</v>
      </c>
      <c r="CD278" s="430">
        <f>PI()*CC278/1000*( Pile!$C$50- Pile!$C278)</f>
        <v>16.823228659973328</v>
      </c>
      <c r="CE278" s="382">
        <f t="shared" si="260"/>
        <v>0.86590147514568672</v>
      </c>
      <c r="CF278" s="382">
        <f t="shared" si="296"/>
        <v>336.46457319946654</v>
      </c>
      <c r="CG278" s="382">
        <f>CD278* Pile!$S$50</f>
        <v>0</v>
      </c>
      <c r="CH278" s="382">
        <f t="shared" si="302"/>
        <v>336.46457319946654</v>
      </c>
      <c r="CI278" s="382">
        <f>IF(CH278&gt;0,+CH278)/ 'Pile Data and Eurocode Factors'!$B$14/ 'Pile Data and Eurocode Factors'!$B$15+CI$261</f>
        <v>377.47079096529598</v>
      </c>
      <c r="CJ278" s="382">
        <f t="shared" si="309"/>
        <v>311.72453105244722</v>
      </c>
      <c r="CK278" s="382">
        <f>CE278* Pile!$U$50</f>
        <v>0</v>
      </c>
      <c r="CL278" s="382">
        <f t="shared" si="261"/>
        <v>311.72453105244722</v>
      </c>
      <c r="CM278" s="382">
        <f>CL278/ 'Pile Data and Eurocode Factors'!$C$14/ 'Pile Data and Eurocode Factors'!$C$15</f>
        <v>111.33018966158829</v>
      </c>
      <c r="CN278" s="382">
        <f t="shared" si="262"/>
        <v>488.80098062688427</v>
      </c>
      <c r="CO278" s="382">
        <f>VLOOKUP(CC278, 'Pile Data and Eurocode Factors'!$A$34:$J$39,3, FALSE)</f>
        <v>12882.514795076555</v>
      </c>
      <c r="CP278" s="403">
        <f t="shared" si="263"/>
        <v>488.80098062688427</v>
      </c>
      <c r="CQ278" s="419">
        <v>1200</v>
      </c>
      <c r="CR278" s="430">
        <f>PI()*CQ278/1000*( Pile!$C$50- Pile!$C278)</f>
        <v>19.226547039969518</v>
      </c>
      <c r="CS278" s="382">
        <f t="shared" si="264"/>
        <v>1.1309733552923256</v>
      </c>
      <c r="CT278" s="382">
        <f t="shared" si="297"/>
        <v>384.53094079939035</v>
      </c>
      <c r="CU278" s="382">
        <f>CR278* Pile!$S$50</f>
        <v>0</v>
      </c>
      <c r="CV278" s="382">
        <f t="shared" si="303"/>
        <v>384.53094079939035</v>
      </c>
      <c r="CW278" s="382">
        <f>IF(CV278&gt;0,+CV278)/ 'Pile Data and Eurocode Factors'!$B$14/ 'Pile Data and Eurocode Factors'!$B$15+CW$261</f>
        <v>431.39518967462391</v>
      </c>
      <c r="CX278" s="382">
        <f t="shared" si="310"/>
        <v>407.15040790523722</v>
      </c>
      <c r="CY278" s="382">
        <f>CS278* Pile!$U$50</f>
        <v>0</v>
      </c>
      <c r="CZ278" s="382">
        <f t="shared" si="265"/>
        <v>407.15040790523722</v>
      </c>
      <c r="DA278" s="382">
        <f>CZ278/ 'Pile Data and Eurocode Factors'!$C$14/ 'Pile Data and Eurocode Factors'!$C$15</f>
        <v>145.41085996615615</v>
      </c>
      <c r="DB278" s="382">
        <f t="shared" si="266"/>
        <v>576.80604964078009</v>
      </c>
      <c r="DC278" s="382">
        <f>VLOOKUP(CQ278, 'Pile Data and Eurocode Factors'!$A$34:$J$39,3, FALSE)</f>
        <v>16826.141773161216</v>
      </c>
      <c r="DD278" s="403">
        <f t="shared" si="267"/>
        <v>576.80604964078009</v>
      </c>
      <c r="DE278" s="420">
        <f xml:space="preserve"> Pile!$C$23- Pile!C278</f>
        <v>11.099999999999996</v>
      </c>
      <c r="DG278" s="382">
        <f t="shared" si="268"/>
        <v>182.22159831072474</v>
      </c>
      <c r="DH278" s="382">
        <f t="shared" si="269"/>
        <v>252.050309828851</v>
      </c>
      <c r="DI278" s="382">
        <f t="shared" si="270"/>
        <v>326.42311072091974</v>
      </c>
      <c r="DJ278" s="382">
        <f t="shared" si="271"/>
        <v>405.34000098693087</v>
      </c>
      <c r="DK278" s="382">
        <f t="shared" si="272"/>
        <v>488.80098062688427</v>
      </c>
      <c r="DL278" s="382">
        <f t="shared" si="291"/>
        <v>576.80604964078009</v>
      </c>
    </row>
    <row r="279" spans="2:116" s="308" customFormat="1" ht="15">
      <c r="B279" s="400">
        <v>18</v>
      </c>
      <c r="C279" s="401">
        <f>+C278- Pile!D$50/20</f>
        <v>-5.3999999999999959</v>
      </c>
      <c r="D279" s="415" t="str">
        <f>B24</f>
        <v>Firm Clay</v>
      </c>
      <c r="E279" s="415" t="str">
        <f>F24</f>
        <v>Cohesive</v>
      </c>
      <c r="F279" s="401">
        <f xml:space="preserve"> Pile!$E$50*(+C278-C279)+F278</f>
        <v>198.90000000000009</v>
      </c>
      <c r="G279" s="401">
        <f>IF(C279&gt; Pile!$C$54,0,( Pile!$C$54-C279)*9.81)</f>
        <v>0</v>
      </c>
      <c r="H279" s="401">
        <f t="shared" si="238"/>
        <v>198.90000000000009</v>
      </c>
      <c r="I279" s="401">
        <f t="shared" si="304"/>
        <v>148.95000000000005</v>
      </c>
      <c r="J279" s="401">
        <f>IF(E279="Cohesive",(( Pile!$H$50- Pile!$G$50)/20)+J278,0)</f>
        <v>40</v>
      </c>
      <c r="K279" s="401">
        <f>IF(E279="Cohesive",( Pile!$G$50+ Pile!$J279)/2,0)</f>
        <v>40</v>
      </c>
      <c r="L279" s="401">
        <f>IF( Pile!I$50="",0, Pile!I$50)</f>
        <v>0.5</v>
      </c>
      <c r="M279" s="401">
        <f>IF( Pile!J$50="",0, Pile!J$50)</f>
        <v>9</v>
      </c>
      <c r="N279" s="401">
        <f>IF(E279="Granular", Pile!$K$50,0)</f>
        <v>0</v>
      </c>
      <c r="O279" s="416">
        <f>IF(AND(E279="Granular",D279&lt;&gt;"Made Ground"), Pile!$L$50,0)</f>
        <v>0</v>
      </c>
      <c r="P279" s="401">
        <f>IF(OR(D279="Low Density Chalk",D279="Medium Density Chalk"), Pile!$M$50,0)</f>
        <v>0</v>
      </c>
      <c r="Q279" s="417">
        <f>IF(D279="High Density Chalk", Pile!$N$50,0)</f>
        <v>0</v>
      </c>
      <c r="R279" s="401">
        <f>IF( Pile!O$50="",0, Pile!O$50)</f>
        <v>0</v>
      </c>
      <c r="S279" s="418">
        <f t="shared" si="240"/>
        <v>20</v>
      </c>
      <c r="T279" s="382">
        <f xml:space="preserve"> Pile!$T$50</f>
        <v>100</v>
      </c>
      <c r="U279" s="382">
        <f t="shared" si="241"/>
        <v>20</v>
      </c>
      <c r="V279" s="382">
        <f t="shared" si="242"/>
        <v>360</v>
      </c>
      <c r="W279" s="382" t="str">
        <f xml:space="preserve"> Pile!$V$50</f>
        <v/>
      </c>
      <c r="X279" s="382">
        <f t="shared" si="243"/>
        <v>360</v>
      </c>
      <c r="Y279" s="419">
        <v>450</v>
      </c>
      <c r="Z279" s="430">
        <f>PI()*Y279/1000*( Pile!$C$50- Pile!$C279)</f>
        <v>7.6340701482231914</v>
      </c>
      <c r="AA279" s="382">
        <f t="shared" si="244"/>
        <v>0.15904312808798329</v>
      </c>
      <c r="AB279" s="382">
        <f t="shared" si="292"/>
        <v>152.68140296446381</v>
      </c>
      <c r="AC279" s="382">
        <f>Z279* Pile!$S$50</f>
        <v>0</v>
      </c>
      <c r="AD279" s="382">
        <f t="shared" si="298"/>
        <v>152.68140296446381</v>
      </c>
      <c r="AE279" s="382">
        <f>IF(AD279&gt;0,+AD279)/ 'Pile Data and Eurocode Factors'!$B$14/ 'Pile Data and Eurocode Factors'!$B$15+AE$261</f>
        <v>165.559937272936</v>
      </c>
      <c r="AF279" s="382">
        <f t="shared" si="305"/>
        <v>57.255526111673987</v>
      </c>
      <c r="AG279" s="382">
        <f>AA279* Pile!$U$50</f>
        <v>0</v>
      </c>
      <c r="AH279" s="382">
        <f t="shared" si="245"/>
        <v>57.255526111673987</v>
      </c>
      <c r="AI279" s="382">
        <f>AH279/ 'Pile Data and Eurocode Factors'!$C$14/ 'Pile Data and Eurocode Factors'!$C$15</f>
        <v>20.448402182740711</v>
      </c>
      <c r="AJ279" s="382">
        <f t="shared" si="246"/>
        <v>186.00833945567672</v>
      </c>
      <c r="AK279" s="382">
        <f>VLOOKUP(Y279, 'Pile Data and Eurocode Factors'!$A$34:$J$39,3, FALSE)</f>
        <v>2366.1761868507956</v>
      </c>
      <c r="AL279" s="403">
        <f t="shared" si="247"/>
        <v>186.00833945567672</v>
      </c>
      <c r="AM279" s="419">
        <v>600</v>
      </c>
      <c r="AN279" s="430">
        <f>PI()*AM279/1000*( Pile!$C$50- Pile!$C279)</f>
        <v>10.178760197630922</v>
      </c>
      <c r="AO279" s="382">
        <f t="shared" si="248"/>
        <v>0.28274333882308139</v>
      </c>
      <c r="AP279" s="382">
        <f t="shared" si="293"/>
        <v>203.57520395261844</v>
      </c>
      <c r="AQ279" s="382">
        <f>AN279* Pile!$S$50</f>
        <v>0</v>
      </c>
      <c r="AR279" s="382">
        <f t="shared" si="299"/>
        <v>203.57520395261844</v>
      </c>
      <c r="AS279" s="382">
        <f>IF(AR279&gt;0,+AR279)/ 'Pile Data and Eurocode Factors'!$B$14/ 'Pile Data and Eurocode Factors'!$B$15+AS$261</f>
        <v>220.74658303058126</v>
      </c>
      <c r="AT279" s="382">
        <f t="shared" si="306"/>
        <v>101.7876019763093</v>
      </c>
      <c r="AU279" s="382">
        <f>AO279* Pile!$U$50</f>
        <v>0</v>
      </c>
      <c r="AV279" s="382">
        <f t="shared" si="249"/>
        <v>101.7876019763093</v>
      </c>
      <c r="AW279" s="382">
        <f>AV279/ 'Pile Data and Eurocode Factors'!$C$14/ 'Pile Data and Eurocode Factors'!$C$15</f>
        <v>36.352714991539038</v>
      </c>
      <c r="AX279" s="382">
        <f t="shared" si="250"/>
        <v>257.09929802212031</v>
      </c>
      <c r="AY279" s="382">
        <f>VLOOKUP(AM279, 'Pile Data and Eurocode Factors'!$A$34:$J$39,3, FALSE)</f>
        <v>4206.5354432903041</v>
      </c>
      <c r="AZ279" s="403">
        <f t="shared" si="251"/>
        <v>257.09929802212031</v>
      </c>
      <c r="BA279" s="419">
        <v>750</v>
      </c>
      <c r="BB279" s="430">
        <f>PI()*BA279/1000*( Pile!$C$50- Pile!$C279)</f>
        <v>12.723450247038652</v>
      </c>
      <c r="BC279" s="382">
        <f t="shared" si="252"/>
        <v>0.44178646691106466</v>
      </c>
      <c r="BD279" s="382">
        <f t="shared" si="294"/>
        <v>254.46900494077306</v>
      </c>
      <c r="BE279" s="382">
        <f>BB279* Pile!$S$50</f>
        <v>0</v>
      </c>
      <c r="BF279" s="382">
        <f t="shared" si="300"/>
        <v>254.46900494077306</v>
      </c>
      <c r="BG279" s="382">
        <f>IF(BF279&gt;0,+BF279)/ 'Pile Data and Eurocode Factors'!$B$14/ 'Pile Data and Eurocode Factors'!$B$15+BG$261</f>
        <v>275.93322878822664</v>
      </c>
      <c r="BH279" s="382">
        <f t="shared" si="307"/>
        <v>159.04312808798326</v>
      </c>
      <c r="BI279" s="382">
        <f>BC279* Pile!$U$50</f>
        <v>0</v>
      </c>
      <c r="BJ279" s="382">
        <f t="shared" si="253"/>
        <v>159.04312808798326</v>
      </c>
      <c r="BK279" s="382">
        <f>BJ279/ 'Pile Data and Eurocode Factors'!$C$14/ 'Pile Data and Eurocode Factors'!$C$15</f>
        <v>56.801117174279739</v>
      </c>
      <c r="BL279" s="382">
        <f t="shared" si="254"/>
        <v>332.73434596250638</v>
      </c>
      <c r="BM279" s="382">
        <f>VLOOKUP(BA279, 'Pile Data and Eurocode Factors'!$A$34:$J$39,3, FALSE)</f>
        <v>6572.7116301410997</v>
      </c>
      <c r="BN279" s="403">
        <f t="shared" si="255"/>
        <v>332.73434596250638</v>
      </c>
      <c r="BO279" s="419">
        <v>900</v>
      </c>
      <c r="BP279" s="430">
        <f>PI()*BO279/1000*( Pile!$C$50- Pile!$C279)</f>
        <v>15.268140296446383</v>
      </c>
      <c r="BQ279" s="382">
        <f t="shared" si="256"/>
        <v>0.63617251235193317</v>
      </c>
      <c r="BR279" s="382">
        <f t="shared" si="295"/>
        <v>305.36280592892763</v>
      </c>
      <c r="BS279" s="382">
        <f>BP279* Pile!$S$50</f>
        <v>0</v>
      </c>
      <c r="BT279" s="382">
        <f t="shared" si="301"/>
        <v>305.36280592892763</v>
      </c>
      <c r="BU279" s="382">
        <f>IF(BT279&gt;0,+BT279)/ 'Pile Data and Eurocode Factors'!$B$14/ 'Pile Data and Eurocode Factors'!$B$15+BU$261</f>
        <v>331.11987454587199</v>
      </c>
      <c r="BV279" s="382">
        <f t="shared" si="308"/>
        <v>229.02210444669595</v>
      </c>
      <c r="BW279" s="382">
        <f>BQ279* Pile!$U$50</f>
        <v>0</v>
      </c>
      <c r="BX279" s="382">
        <f t="shared" si="257"/>
        <v>229.02210444669595</v>
      </c>
      <c r="BY279" s="382">
        <f>BX279/ 'Pile Data and Eurocode Factors'!$C$14/ 'Pile Data and Eurocode Factors'!$C$15</f>
        <v>81.793608730962845</v>
      </c>
      <c r="BZ279" s="382">
        <f t="shared" si="258"/>
        <v>412.91348327683482</v>
      </c>
      <c r="CA279" s="382">
        <f>VLOOKUP(BO279, 'Pile Data and Eurocode Factors'!$A$34:$J$39,3, FALSE)</f>
        <v>9464.7047474031824</v>
      </c>
      <c r="CB279" s="403">
        <f t="shared" si="259"/>
        <v>412.91348327683482</v>
      </c>
      <c r="CC279" s="419">
        <v>1050</v>
      </c>
      <c r="CD279" s="430">
        <f>PI()*CC279/1000*( Pile!$C$50- Pile!$C279)</f>
        <v>17.812830345854113</v>
      </c>
      <c r="CE279" s="382">
        <f t="shared" si="260"/>
        <v>0.86590147514568672</v>
      </c>
      <c r="CF279" s="382">
        <f t="shared" si="296"/>
        <v>356.25660691708225</v>
      </c>
      <c r="CG279" s="382">
        <f>CD279* Pile!$S$50</f>
        <v>0</v>
      </c>
      <c r="CH279" s="382">
        <f t="shared" si="302"/>
        <v>356.25660691708225</v>
      </c>
      <c r="CI279" s="382">
        <f>IF(CH279&gt;0,+CH279)/ 'Pile Data and Eurocode Factors'!$B$14/ 'Pile Data and Eurocode Factors'!$B$15+CI$261</f>
        <v>386.30652030351723</v>
      </c>
      <c r="CJ279" s="382">
        <f t="shared" si="309"/>
        <v>311.72453105244722</v>
      </c>
      <c r="CK279" s="382">
        <f>CE279* Pile!$U$50</f>
        <v>0</v>
      </c>
      <c r="CL279" s="382">
        <f t="shared" si="261"/>
        <v>311.72453105244722</v>
      </c>
      <c r="CM279" s="382">
        <f>CL279/ 'Pile Data and Eurocode Factors'!$C$14/ 'Pile Data and Eurocode Factors'!$C$15</f>
        <v>111.33018966158829</v>
      </c>
      <c r="CN279" s="382">
        <f t="shared" si="262"/>
        <v>497.63670996510552</v>
      </c>
      <c r="CO279" s="382">
        <f>VLOOKUP(CC279, 'Pile Data and Eurocode Factors'!$A$34:$J$39,3, FALSE)</f>
        <v>12882.514795076555</v>
      </c>
      <c r="CP279" s="403">
        <f t="shared" si="263"/>
        <v>497.63670996510552</v>
      </c>
      <c r="CQ279" s="419">
        <v>1200</v>
      </c>
      <c r="CR279" s="430">
        <f>PI()*CQ279/1000*( Pile!$C$50- Pile!$C279)</f>
        <v>20.357520395261844</v>
      </c>
      <c r="CS279" s="382">
        <f t="shared" si="264"/>
        <v>1.1309733552923256</v>
      </c>
      <c r="CT279" s="382">
        <f t="shared" si="297"/>
        <v>407.15040790523688</v>
      </c>
      <c r="CU279" s="382">
        <f>CR279* Pile!$S$50</f>
        <v>0</v>
      </c>
      <c r="CV279" s="382">
        <f t="shared" si="303"/>
        <v>407.15040790523688</v>
      </c>
      <c r="CW279" s="382">
        <f>IF(CV279&gt;0,+CV279)/ 'Pile Data and Eurocode Factors'!$B$14/ 'Pile Data and Eurocode Factors'!$B$15+CW$261</f>
        <v>441.49316606116253</v>
      </c>
      <c r="CX279" s="382">
        <f t="shared" si="310"/>
        <v>407.15040790523722</v>
      </c>
      <c r="CY279" s="382">
        <f>CS279* Pile!$U$50</f>
        <v>0</v>
      </c>
      <c r="CZ279" s="382">
        <f t="shared" si="265"/>
        <v>407.15040790523722</v>
      </c>
      <c r="DA279" s="382">
        <f>CZ279/ 'Pile Data and Eurocode Factors'!$C$14/ 'Pile Data and Eurocode Factors'!$C$15</f>
        <v>145.41085996615615</v>
      </c>
      <c r="DB279" s="382">
        <f t="shared" si="266"/>
        <v>586.90402602731865</v>
      </c>
      <c r="DC279" s="382">
        <f>VLOOKUP(CQ279, 'Pile Data and Eurocode Factors'!$A$34:$J$39,3, FALSE)</f>
        <v>16826.141773161216</v>
      </c>
      <c r="DD279" s="403">
        <f t="shared" si="267"/>
        <v>586.90402602731865</v>
      </c>
      <c r="DE279" s="420">
        <f xml:space="preserve"> Pile!$C$23- Pile!C279</f>
        <v>11.399999999999995</v>
      </c>
      <c r="DG279" s="382">
        <f t="shared" si="268"/>
        <v>186.00833945567672</v>
      </c>
      <c r="DH279" s="382">
        <f t="shared" si="269"/>
        <v>257.09929802212031</v>
      </c>
      <c r="DI279" s="382">
        <f t="shared" si="270"/>
        <v>332.73434596250638</v>
      </c>
      <c r="DJ279" s="382">
        <f t="shared" si="271"/>
        <v>412.91348327683482</v>
      </c>
      <c r="DK279" s="382">
        <f t="shared" si="272"/>
        <v>497.63670996510552</v>
      </c>
      <c r="DL279" s="382">
        <f t="shared" si="291"/>
        <v>586.90402602731865</v>
      </c>
    </row>
    <row r="280" spans="2:116" s="308" customFormat="1" ht="15">
      <c r="B280" s="400">
        <v>19</v>
      </c>
      <c r="C280" s="401">
        <f>+C279- Pile!D$50/20</f>
        <v>-5.6999999999999957</v>
      </c>
      <c r="D280" s="415" t="str">
        <f>B24</f>
        <v>Firm Clay</v>
      </c>
      <c r="E280" s="415" t="str">
        <f>F24</f>
        <v>Cohesive</v>
      </c>
      <c r="F280" s="401">
        <f xml:space="preserve"> Pile!$E$50*(+C279-C280)+F279</f>
        <v>204.4500000000001</v>
      </c>
      <c r="G280" s="401">
        <f>IF(C280&gt; Pile!$C$54,0,( Pile!$C$54-C280)*9.81)</f>
        <v>0</v>
      </c>
      <c r="H280" s="401">
        <f t="shared" si="238"/>
        <v>204.4500000000001</v>
      </c>
      <c r="I280" s="401">
        <f t="shared" si="304"/>
        <v>151.72500000000002</v>
      </c>
      <c r="J280" s="401">
        <f>IF(E280="Cohesive",(( Pile!$H$50- Pile!$G$50)/20)+J279,0)</f>
        <v>40</v>
      </c>
      <c r="K280" s="401">
        <f>IF(E280="Cohesive",( Pile!$G$50+ Pile!$J280)/2,0)</f>
        <v>40</v>
      </c>
      <c r="L280" s="401">
        <f>IF( Pile!I$50="",0, Pile!I$50)</f>
        <v>0.5</v>
      </c>
      <c r="M280" s="401">
        <f>IF( Pile!J$50="",0, Pile!J$50)</f>
        <v>9</v>
      </c>
      <c r="N280" s="401">
        <f>IF(E280="Granular", Pile!$K$50,0)</f>
        <v>0</v>
      </c>
      <c r="O280" s="416">
        <f>IF(AND(E280="Granular",D280&lt;&gt;"Made Ground"), Pile!$L$50,0)</f>
        <v>0</v>
      </c>
      <c r="P280" s="401">
        <f>IF(OR(D280="Low Density Chalk",D280="Medium Density Chalk"), Pile!$M$50,0)</f>
        <v>0</v>
      </c>
      <c r="Q280" s="417">
        <f>IF(D280="High Density Chalk", Pile!$N$50,0)</f>
        <v>0</v>
      </c>
      <c r="R280" s="401">
        <f>IF( Pile!O$50="",0, Pile!O$50)</f>
        <v>0</v>
      </c>
      <c r="S280" s="418">
        <f t="shared" si="240"/>
        <v>20</v>
      </c>
      <c r="T280" s="382">
        <f xml:space="preserve"> Pile!$T$50</f>
        <v>100</v>
      </c>
      <c r="U280" s="382">
        <f t="shared" si="241"/>
        <v>20</v>
      </c>
      <c r="V280" s="382">
        <f t="shared" si="242"/>
        <v>360</v>
      </c>
      <c r="W280" s="382" t="str">
        <f xml:space="preserve"> Pile!$V$50</f>
        <v/>
      </c>
      <c r="X280" s="382">
        <f t="shared" si="243"/>
        <v>360</v>
      </c>
      <c r="Y280" s="419">
        <v>450</v>
      </c>
      <c r="Z280" s="430">
        <f>PI()*Y280/1000*( Pile!$C$50- Pile!$C280)</f>
        <v>8.0581851564578137</v>
      </c>
      <c r="AA280" s="382">
        <f t="shared" si="244"/>
        <v>0.15904312808798329</v>
      </c>
      <c r="AB280" s="382">
        <f t="shared" si="292"/>
        <v>161.16370312915626</v>
      </c>
      <c r="AC280" s="382">
        <f>Z280* Pile!$S$50</f>
        <v>0</v>
      </c>
      <c r="AD280" s="382">
        <f t="shared" si="298"/>
        <v>161.16370312915626</v>
      </c>
      <c r="AE280" s="382">
        <f>IF(AD280&gt;0,+AD280)/ 'Pile Data and Eurocode Factors'!$B$14/ 'Pile Data and Eurocode Factors'!$B$15+AE$261</f>
        <v>169.34667841788797</v>
      </c>
      <c r="AF280" s="382">
        <f t="shared" si="305"/>
        <v>57.255526111673987</v>
      </c>
      <c r="AG280" s="382">
        <f>AA280* Pile!$U$50</f>
        <v>0</v>
      </c>
      <c r="AH280" s="382">
        <f t="shared" si="245"/>
        <v>57.255526111673987</v>
      </c>
      <c r="AI280" s="382">
        <f>AH280/ 'Pile Data and Eurocode Factors'!$C$14/ 'Pile Data and Eurocode Factors'!$C$15</f>
        <v>20.448402182740711</v>
      </c>
      <c r="AJ280" s="382">
        <f t="shared" si="246"/>
        <v>189.79508060062869</v>
      </c>
      <c r="AK280" s="382">
        <f>VLOOKUP(Y280, 'Pile Data and Eurocode Factors'!$A$34:$J$39,3, FALSE)</f>
        <v>2366.1761868507956</v>
      </c>
      <c r="AL280" s="403">
        <f t="shared" si="247"/>
        <v>189.79508060062869</v>
      </c>
      <c r="AM280" s="419">
        <v>600</v>
      </c>
      <c r="AN280" s="430">
        <f>PI()*AM280/1000*( Pile!$C$50- Pile!$C280)</f>
        <v>10.744246875277085</v>
      </c>
      <c r="AO280" s="382">
        <f t="shared" si="248"/>
        <v>0.28274333882308139</v>
      </c>
      <c r="AP280" s="382">
        <f t="shared" si="293"/>
        <v>214.8849375055417</v>
      </c>
      <c r="AQ280" s="382">
        <f>AN280* Pile!$S$50</f>
        <v>0</v>
      </c>
      <c r="AR280" s="382">
        <f t="shared" si="299"/>
        <v>214.8849375055417</v>
      </c>
      <c r="AS280" s="382">
        <f>IF(AR280&gt;0,+AR280)/ 'Pile Data and Eurocode Factors'!$B$14/ 'Pile Data and Eurocode Factors'!$B$15+AS$261</f>
        <v>225.79557122385057</v>
      </c>
      <c r="AT280" s="382">
        <f t="shared" si="306"/>
        <v>101.7876019763093</v>
      </c>
      <c r="AU280" s="382">
        <f>AO280* Pile!$U$50</f>
        <v>0</v>
      </c>
      <c r="AV280" s="382">
        <f t="shared" si="249"/>
        <v>101.7876019763093</v>
      </c>
      <c r="AW280" s="382">
        <f>AV280/ 'Pile Data and Eurocode Factors'!$C$14/ 'Pile Data and Eurocode Factors'!$C$15</f>
        <v>36.352714991539038</v>
      </c>
      <c r="AX280" s="382">
        <f t="shared" si="250"/>
        <v>262.14828621538959</v>
      </c>
      <c r="AY280" s="382">
        <f>VLOOKUP(AM280, 'Pile Data and Eurocode Factors'!$A$34:$J$39,3, FALSE)</f>
        <v>4206.5354432903041</v>
      </c>
      <c r="AZ280" s="403">
        <f t="shared" si="251"/>
        <v>262.14828621538959</v>
      </c>
      <c r="BA280" s="419">
        <v>750</v>
      </c>
      <c r="BB280" s="430">
        <f>PI()*BA280/1000*( Pile!$C$50- Pile!$C280)</f>
        <v>13.430308594096356</v>
      </c>
      <c r="BC280" s="382">
        <f t="shared" si="252"/>
        <v>0.44178646691106466</v>
      </c>
      <c r="BD280" s="382">
        <f t="shared" si="294"/>
        <v>268.60617188192714</v>
      </c>
      <c r="BE280" s="382">
        <f>BB280* Pile!$S$50</f>
        <v>0</v>
      </c>
      <c r="BF280" s="382">
        <f t="shared" si="300"/>
        <v>268.60617188192714</v>
      </c>
      <c r="BG280" s="382">
        <f>IF(BF280&gt;0,+BF280)/ 'Pile Data and Eurocode Factors'!$B$14/ 'Pile Data and Eurocode Factors'!$B$15+BG$261</f>
        <v>282.24446402981329</v>
      </c>
      <c r="BH280" s="382">
        <f t="shared" si="307"/>
        <v>159.04312808798326</v>
      </c>
      <c r="BI280" s="382">
        <f>BC280* Pile!$U$50</f>
        <v>0</v>
      </c>
      <c r="BJ280" s="382">
        <f t="shared" si="253"/>
        <v>159.04312808798326</v>
      </c>
      <c r="BK280" s="382">
        <f>BJ280/ 'Pile Data and Eurocode Factors'!$C$14/ 'Pile Data and Eurocode Factors'!$C$15</f>
        <v>56.801117174279739</v>
      </c>
      <c r="BL280" s="382">
        <f t="shared" si="254"/>
        <v>339.04558120409303</v>
      </c>
      <c r="BM280" s="382">
        <f>VLOOKUP(BA280, 'Pile Data and Eurocode Factors'!$A$34:$J$39,3, FALSE)</f>
        <v>6572.7116301410997</v>
      </c>
      <c r="BN280" s="403">
        <f t="shared" si="255"/>
        <v>339.04558120409303</v>
      </c>
      <c r="BO280" s="419">
        <v>900</v>
      </c>
      <c r="BP280" s="430">
        <f>PI()*BO280/1000*( Pile!$C$50- Pile!$C280)</f>
        <v>16.116370312915627</v>
      </c>
      <c r="BQ280" s="382">
        <f t="shared" si="256"/>
        <v>0.63617251235193317</v>
      </c>
      <c r="BR280" s="382">
        <f t="shared" si="295"/>
        <v>322.32740625831252</v>
      </c>
      <c r="BS280" s="382">
        <f>BP280* Pile!$S$50</f>
        <v>0</v>
      </c>
      <c r="BT280" s="382">
        <f t="shared" si="301"/>
        <v>322.32740625831252</v>
      </c>
      <c r="BU280" s="382">
        <f>IF(BT280&gt;0,+BT280)/ 'Pile Data and Eurocode Factors'!$B$14/ 'Pile Data and Eurocode Factors'!$B$15+BU$261</f>
        <v>338.69335683577594</v>
      </c>
      <c r="BV280" s="382">
        <f t="shared" si="308"/>
        <v>229.02210444669595</v>
      </c>
      <c r="BW280" s="382">
        <f>BQ280* Pile!$U$50</f>
        <v>0</v>
      </c>
      <c r="BX280" s="382">
        <f t="shared" si="257"/>
        <v>229.02210444669595</v>
      </c>
      <c r="BY280" s="382">
        <f>BX280/ 'Pile Data and Eurocode Factors'!$C$14/ 'Pile Data and Eurocode Factors'!$C$15</f>
        <v>81.793608730962845</v>
      </c>
      <c r="BZ280" s="382">
        <f t="shared" si="258"/>
        <v>420.48696556673877</v>
      </c>
      <c r="CA280" s="382">
        <f>VLOOKUP(BO280, 'Pile Data and Eurocode Factors'!$A$34:$J$39,3, FALSE)</f>
        <v>9464.7047474031824</v>
      </c>
      <c r="CB280" s="403">
        <f t="shared" si="259"/>
        <v>420.48696556673877</v>
      </c>
      <c r="CC280" s="419">
        <v>1050</v>
      </c>
      <c r="CD280" s="430">
        <f>PI()*CC280/1000*( Pile!$C$50- Pile!$C280)</f>
        <v>18.802432031734899</v>
      </c>
      <c r="CE280" s="382">
        <f t="shared" si="260"/>
        <v>0.86590147514568672</v>
      </c>
      <c r="CF280" s="382">
        <f t="shared" si="296"/>
        <v>376.04864063469796</v>
      </c>
      <c r="CG280" s="382">
        <f>CD280* Pile!$S$50</f>
        <v>0</v>
      </c>
      <c r="CH280" s="382">
        <f t="shared" si="302"/>
        <v>376.04864063469796</v>
      </c>
      <c r="CI280" s="382">
        <f>IF(CH280&gt;0,+CH280)/ 'Pile Data and Eurocode Factors'!$B$14/ 'Pile Data and Eurocode Factors'!$B$15+CI$261</f>
        <v>395.14224964173854</v>
      </c>
      <c r="CJ280" s="382">
        <f t="shared" si="309"/>
        <v>311.72453105244722</v>
      </c>
      <c r="CK280" s="382">
        <f>CE280* Pile!$U$50</f>
        <v>0</v>
      </c>
      <c r="CL280" s="382">
        <f t="shared" si="261"/>
        <v>311.72453105244722</v>
      </c>
      <c r="CM280" s="382">
        <f>CL280/ 'Pile Data and Eurocode Factors'!$C$14/ 'Pile Data and Eurocode Factors'!$C$15</f>
        <v>111.33018966158829</v>
      </c>
      <c r="CN280" s="382">
        <f t="shared" si="262"/>
        <v>506.47243930332684</v>
      </c>
      <c r="CO280" s="382">
        <f>VLOOKUP(CC280, 'Pile Data and Eurocode Factors'!$A$34:$J$39,3, FALSE)</f>
        <v>12882.514795076555</v>
      </c>
      <c r="CP280" s="403">
        <f t="shared" si="263"/>
        <v>506.47243930332684</v>
      </c>
      <c r="CQ280" s="419">
        <v>1200</v>
      </c>
      <c r="CR280" s="430">
        <f>PI()*CQ280/1000*( Pile!$C$50- Pile!$C280)</f>
        <v>21.48849375055417</v>
      </c>
      <c r="CS280" s="382">
        <f t="shared" si="264"/>
        <v>1.1309733552923256</v>
      </c>
      <c r="CT280" s="382">
        <f t="shared" si="297"/>
        <v>429.7698750110834</v>
      </c>
      <c r="CU280" s="382">
        <f>CR280* Pile!$S$50</f>
        <v>0</v>
      </c>
      <c r="CV280" s="382">
        <f t="shared" si="303"/>
        <v>429.7698750110834</v>
      </c>
      <c r="CW280" s="382">
        <f>IF(CV280&gt;0,+CV280)/ 'Pile Data and Eurocode Factors'!$B$14/ 'Pile Data and Eurocode Factors'!$B$15+CW$261</f>
        <v>451.59114244770115</v>
      </c>
      <c r="CX280" s="382">
        <f t="shared" si="310"/>
        <v>407.15040790523722</v>
      </c>
      <c r="CY280" s="382">
        <f>CS280* Pile!$U$50</f>
        <v>0</v>
      </c>
      <c r="CZ280" s="382">
        <f t="shared" si="265"/>
        <v>407.15040790523722</v>
      </c>
      <c r="DA280" s="382">
        <f>CZ280/ 'Pile Data and Eurocode Factors'!$C$14/ 'Pile Data and Eurocode Factors'!$C$15</f>
        <v>145.41085996615615</v>
      </c>
      <c r="DB280" s="382">
        <f t="shared" si="266"/>
        <v>597.00200241385733</v>
      </c>
      <c r="DC280" s="382">
        <f>VLOOKUP(CQ280, 'Pile Data and Eurocode Factors'!$A$34:$J$39,3, FALSE)</f>
        <v>16826.141773161216</v>
      </c>
      <c r="DD280" s="403">
        <f t="shared" si="267"/>
        <v>597.00200241385733</v>
      </c>
      <c r="DE280" s="420">
        <f xml:space="preserve"> Pile!$C$23- Pile!C280</f>
        <v>11.699999999999996</v>
      </c>
      <c r="DG280" s="382">
        <f t="shared" si="268"/>
        <v>189.79508060062869</v>
      </c>
      <c r="DH280" s="382">
        <f t="shared" si="269"/>
        <v>262.14828621538959</v>
      </c>
      <c r="DI280" s="382">
        <f t="shared" si="270"/>
        <v>339.04558120409303</v>
      </c>
      <c r="DJ280" s="382">
        <f t="shared" si="271"/>
        <v>420.48696556673877</v>
      </c>
      <c r="DK280" s="382">
        <f t="shared" si="272"/>
        <v>506.47243930332684</v>
      </c>
      <c r="DL280" s="382">
        <f t="shared" si="291"/>
        <v>597.00200241385733</v>
      </c>
    </row>
    <row r="281" spans="2:116" s="308" customFormat="1" ht="15">
      <c r="B281" s="400">
        <v>20</v>
      </c>
      <c r="C281" s="401">
        <f>+C280- Pile!D$50/20</f>
        <v>-5.9999999999999956</v>
      </c>
      <c r="D281" s="415" t="str">
        <f>B24</f>
        <v>Firm Clay</v>
      </c>
      <c r="E281" s="415" t="str">
        <f>F24</f>
        <v>Cohesive</v>
      </c>
      <c r="F281" s="401">
        <f xml:space="preserve"> Pile!$E$50*(+C280-C281)+F280</f>
        <v>210.00000000000011</v>
      </c>
      <c r="G281" s="401">
        <f>IF(C281&gt; Pile!$C$54,0,( Pile!$C$54-C281)*9.81)</f>
        <v>0</v>
      </c>
      <c r="H281" s="401">
        <f t="shared" si="238"/>
        <v>210.00000000000011</v>
      </c>
      <c r="I281" s="401">
        <f t="shared" si="304"/>
        <v>154.50000000000006</v>
      </c>
      <c r="J281" s="401">
        <f>IF(E281="Cohesive",(( Pile!$H$50- Pile!$G$50)/20)+J280,0)</f>
        <v>40</v>
      </c>
      <c r="K281" s="401">
        <f>IF(E281="Cohesive",( Pile!$G$50+ Pile!$J281)/2,0)</f>
        <v>40</v>
      </c>
      <c r="L281" s="401">
        <f>IF( Pile!I$50="",0, Pile!I$50)</f>
        <v>0.5</v>
      </c>
      <c r="M281" s="401">
        <f>IF( Pile!J$50="",0, Pile!J$50)</f>
        <v>9</v>
      </c>
      <c r="N281" s="401">
        <f>IF(E281="Granular", Pile!$K$50,0)</f>
        <v>0</v>
      </c>
      <c r="O281" s="416">
        <f>IF(AND(E281="Granular",D281&lt;&gt;"Made Ground"), Pile!$L$50,0)</f>
        <v>0</v>
      </c>
      <c r="P281" s="401">
        <f>IF(OR(D281="Low Density Chalk",D281="Medium Density Chalk"), Pile!$M$50,0)</f>
        <v>0</v>
      </c>
      <c r="Q281" s="417">
        <f>IF(D281="High Density Chalk", Pile!$N$50,0)</f>
        <v>0</v>
      </c>
      <c r="R281" s="401">
        <f>IF( Pile!O$50="",0, Pile!O$50)</f>
        <v>0</v>
      </c>
      <c r="S281" s="418">
        <f t="shared" si="240"/>
        <v>20</v>
      </c>
      <c r="T281" s="382">
        <f xml:space="preserve"> Pile!$T$50</f>
        <v>100</v>
      </c>
      <c r="U281" s="382">
        <f t="shared" si="241"/>
        <v>20</v>
      </c>
      <c r="V281" s="382">
        <f t="shared" si="242"/>
        <v>360</v>
      </c>
      <c r="W281" s="382" t="str">
        <f xml:space="preserve"> Pile!$V$50</f>
        <v/>
      </c>
      <c r="X281" s="382">
        <f t="shared" si="243"/>
        <v>360</v>
      </c>
      <c r="Y281" s="419">
        <v>450</v>
      </c>
      <c r="Z281" s="430">
        <f>PI()*Y281/1000*( Pile!$C$50- Pile!$C281)</f>
        <v>8.4823001646924343</v>
      </c>
      <c r="AA281" s="382">
        <f t="shared" si="244"/>
        <v>0.15904312808798329</v>
      </c>
      <c r="AB281" s="382">
        <f t="shared" si="292"/>
        <v>169.64600329384868</v>
      </c>
      <c r="AC281" s="382">
        <f>Z281* Pile!$S$50</f>
        <v>0</v>
      </c>
      <c r="AD281" s="382">
        <f t="shared" si="298"/>
        <v>169.64600329384868</v>
      </c>
      <c r="AE281" s="382">
        <f>IF(AD281&gt;0,+AD281)/ 'Pile Data and Eurocode Factors'!$B$14/ 'Pile Data and Eurocode Factors'!$B$15+AE$261</f>
        <v>173.13341956283995</v>
      </c>
      <c r="AF281" s="382">
        <f t="shared" si="305"/>
        <v>57.255526111673987</v>
      </c>
      <c r="AG281" s="382">
        <f>AA281* Pile!$U$50</f>
        <v>0</v>
      </c>
      <c r="AH281" s="382">
        <f t="shared" si="245"/>
        <v>57.255526111673987</v>
      </c>
      <c r="AI281" s="382">
        <f>AH281/ 'Pile Data and Eurocode Factors'!$C$14/ 'Pile Data and Eurocode Factors'!$C$15</f>
        <v>20.448402182740711</v>
      </c>
      <c r="AJ281" s="382">
        <f t="shared" si="246"/>
        <v>193.58182174558067</v>
      </c>
      <c r="AK281" s="382">
        <f>VLOOKUP(Y281, 'Pile Data and Eurocode Factors'!$A$34:$J$39,3, FALSE)</f>
        <v>2366.1761868507956</v>
      </c>
      <c r="AL281" s="403">
        <f t="shared" si="247"/>
        <v>193.58182174558067</v>
      </c>
      <c r="AM281" s="419">
        <v>600</v>
      </c>
      <c r="AN281" s="430">
        <f>PI()*AM281/1000*( Pile!$C$50- Pile!$C281)</f>
        <v>11.309733552923246</v>
      </c>
      <c r="AO281" s="382">
        <f t="shared" si="248"/>
        <v>0.28274333882308139</v>
      </c>
      <c r="AP281" s="382">
        <f t="shared" si="293"/>
        <v>226.19467105846493</v>
      </c>
      <c r="AQ281" s="382">
        <f>AN281* Pile!$S$50</f>
        <v>0</v>
      </c>
      <c r="AR281" s="382">
        <f t="shared" si="299"/>
        <v>226.19467105846493</v>
      </c>
      <c r="AS281" s="382">
        <f>IF(AR281&gt;0,+AR281)/ 'Pile Data and Eurocode Factors'!$B$14/ 'Pile Data and Eurocode Factors'!$B$15+AS$261</f>
        <v>230.84455941711988</v>
      </c>
      <c r="AT281" s="382">
        <f t="shared" si="306"/>
        <v>101.7876019763093</v>
      </c>
      <c r="AU281" s="382">
        <f>AO281* Pile!$U$50</f>
        <v>0</v>
      </c>
      <c r="AV281" s="382">
        <f t="shared" si="249"/>
        <v>101.7876019763093</v>
      </c>
      <c r="AW281" s="382">
        <f>AV281/ 'Pile Data and Eurocode Factors'!$C$14/ 'Pile Data and Eurocode Factors'!$C$15</f>
        <v>36.352714991539038</v>
      </c>
      <c r="AX281" s="382">
        <f t="shared" si="250"/>
        <v>267.19727440865893</v>
      </c>
      <c r="AY281" s="382">
        <f>VLOOKUP(AM281, 'Pile Data and Eurocode Factors'!$A$34:$J$39,3, FALSE)</f>
        <v>4206.5354432903041</v>
      </c>
      <c r="AZ281" s="403">
        <f t="shared" si="251"/>
        <v>267.19727440865893</v>
      </c>
      <c r="BA281" s="419">
        <v>750</v>
      </c>
      <c r="BB281" s="430">
        <f>PI()*BA281/1000*( Pile!$C$50- Pile!$C281)</f>
        <v>14.137166941154058</v>
      </c>
      <c r="BC281" s="382">
        <f t="shared" si="252"/>
        <v>0.44178646691106466</v>
      </c>
      <c r="BD281" s="382">
        <f t="shared" si="294"/>
        <v>282.74333882308116</v>
      </c>
      <c r="BE281" s="382">
        <f>BB281* Pile!$S$50</f>
        <v>0</v>
      </c>
      <c r="BF281" s="382">
        <f t="shared" si="300"/>
        <v>282.74333882308116</v>
      </c>
      <c r="BG281" s="382">
        <f>IF(BF281&gt;0,+BF281)/ 'Pile Data and Eurocode Factors'!$B$14/ 'Pile Data and Eurocode Factors'!$B$15+BG$261</f>
        <v>288.55569927139993</v>
      </c>
      <c r="BH281" s="382">
        <f t="shared" si="307"/>
        <v>159.04312808798326</v>
      </c>
      <c r="BI281" s="382">
        <f>BC281* Pile!$U$50</f>
        <v>0</v>
      </c>
      <c r="BJ281" s="382">
        <f t="shared" si="253"/>
        <v>159.04312808798326</v>
      </c>
      <c r="BK281" s="382">
        <f>BJ281/ 'Pile Data and Eurocode Factors'!$C$14/ 'Pile Data and Eurocode Factors'!$C$15</f>
        <v>56.801117174279739</v>
      </c>
      <c r="BL281" s="382">
        <f t="shared" si="254"/>
        <v>345.35681644567967</v>
      </c>
      <c r="BM281" s="382">
        <f>VLOOKUP(BA281, 'Pile Data and Eurocode Factors'!$A$34:$J$39,3, FALSE)</f>
        <v>6572.7116301410997</v>
      </c>
      <c r="BN281" s="403">
        <f t="shared" si="255"/>
        <v>345.35681644567967</v>
      </c>
      <c r="BO281" s="419">
        <v>900</v>
      </c>
      <c r="BP281" s="430">
        <f>PI()*BO281/1000*( Pile!$C$50- Pile!$C281)</f>
        <v>16.964600329384869</v>
      </c>
      <c r="BQ281" s="382">
        <f t="shared" si="256"/>
        <v>0.63617251235193317</v>
      </c>
      <c r="BR281" s="382">
        <f t="shared" si="295"/>
        <v>339.29200658769736</v>
      </c>
      <c r="BS281" s="382">
        <f>BP281* Pile!$S$50</f>
        <v>0</v>
      </c>
      <c r="BT281" s="382">
        <f t="shared" si="301"/>
        <v>339.29200658769736</v>
      </c>
      <c r="BU281" s="382">
        <f>IF(BT281&gt;0,+BT281)/ 'Pile Data and Eurocode Factors'!$B$14/ 'Pile Data and Eurocode Factors'!$B$15+BU$261</f>
        <v>346.26683912567989</v>
      </c>
      <c r="BV281" s="382">
        <f t="shared" si="308"/>
        <v>229.02210444669595</v>
      </c>
      <c r="BW281" s="382">
        <f>BQ281* Pile!$U$50</f>
        <v>0</v>
      </c>
      <c r="BX281" s="382">
        <f t="shared" si="257"/>
        <v>229.02210444669595</v>
      </c>
      <c r="BY281" s="382">
        <f>BX281/ 'Pile Data and Eurocode Factors'!$C$14/ 'Pile Data and Eurocode Factors'!$C$15</f>
        <v>81.793608730962845</v>
      </c>
      <c r="BZ281" s="382">
        <f t="shared" si="258"/>
        <v>428.06044785664272</v>
      </c>
      <c r="CA281" s="382">
        <f>VLOOKUP(BO281, 'Pile Data and Eurocode Factors'!$A$34:$J$39,3, FALSE)</f>
        <v>9464.7047474031824</v>
      </c>
      <c r="CB281" s="403">
        <f t="shared" si="259"/>
        <v>428.06044785664272</v>
      </c>
      <c r="CC281" s="419">
        <v>1050</v>
      </c>
      <c r="CD281" s="430">
        <f>PI()*CC281/1000*( Pile!$C$50- Pile!$C281)</f>
        <v>19.792033717615681</v>
      </c>
      <c r="CE281" s="382">
        <f t="shared" si="260"/>
        <v>0.86590147514568672</v>
      </c>
      <c r="CF281" s="382">
        <f t="shared" si="296"/>
        <v>395.84067435231361</v>
      </c>
      <c r="CG281" s="382">
        <f>CD281* Pile!$S$50</f>
        <v>0</v>
      </c>
      <c r="CH281" s="382">
        <f t="shared" si="302"/>
        <v>395.84067435231361</v>
      </c>
      <c r="CI281" s="382">
        <f>IF(CH281&gt;0,+CH281)/ 'Pile Data and Eurocode Factors'!$B$14/ 'Pile Data and Eurocode Factors'!$B$15+CI$261</f>
        <v>403.97797897995986</v>
      </c>
      <c r="CJ281" s="382">
        <f t="shared" si="309"/>
        <v>311.72453105244722</v>
      </c>
      <c r="CK281" s="382">
        <f>CE281* Pile!$U$50</f>
        <v>0</v>
      </c>
      <c r="CL281" s="382">
        <f t="shared" si="261"/>
        <v>311.72453105244722</v>
      </c>
      <c r="CM281" s="382">
        <f>CL281/ 'Pile Data and Eurocode Factors'!$C$14/ 'Pile Data and Eurocode Factors'!$C$15</f>
        <v>111.33018966158829</v>
      </c>
      <c r="CN281" s="382">
        <f t="shared" si="262"/>
        <v>515.30816864154815</v>
      </c>
      <c r="CO281" s="382">
        <f>VLOOKUP(CC281, 'Pile Data and Eurocode Factors'!$A$34:$J$39,3, FALSE)</f>
        <v>12882.514795076555</v>
      </c>
      <c r="CP281" s="403">
        <f t="shared" si="263"/>
        <v>515.30816864154815</v>
      </c>
      <c r="CQ281" s="419">
        <v>1200</v>
      </c>
      <c r="CR281" s="430">
        <f>PI()*CQ281/1000*( Pile!$C$50- Pile!$C281)</f>
        <v>22.619467105846493</v>
      </c>
      <c r="CS281" s="382">
        <f t="shared" si="264"/>
        <v>1.1309733552923256</v>
      </c>
      <c r="CT281" s="382">
        <f t="shared" si="297"/>
        <v>452.38934211692987</v>
      </c>
      <c r="CU281" s="382">
        <f>CR281* Pile!$S$50</f>
        <v>0</v>
      </c>
      <c r="CV281" s="382">
        <f t="shared" si="303"/>
        <v>452.38934211692987</v>
      </c>
      <c r="CW281" s="382">
        <f>IF(CV281&gt;0,+CV281)/ 'Pile Data and Eurocode Factors'!$B$14/ 'Pile Data and Eurocode Factors'!$B$15+CW$261</f>
        <v>461.68911883423976</v>
      </c>
      <c r="CX281" s="382">
        <f t="shared" si="310"/>
        <v>407.15040790523722</v>
      </c>
      <c r="CY281" s="382">
        <f>CS281* Pile!$U$50</f>
        <v>0</v>
      </c>
      <c r="CZ281" s="382">
        <f t="shared" si="265"/>
        <v>407.15040790523722</v>
      </c>
      <c r="DA281" s="382">
        <f>CZ281/ 'Pile Data and Eurocode Factors'!$C$14/ 'Pile Data and Eurocode Factors'!$C$15</f>
        <v>145.41085996615615</v>
      </c>
      <c r="DB281" s="382">
        <f t="shared" si="266"/>
        <v>607.09997880039589</v>
      </c>
      <c r="DC281" s="382">
        <f>VLOOKUP(CQ281, 'Pile Data and Eurocode Factors'!$A$34:$J$39,3, FALSE)</f>
        <v>16826.141773161216</v>
      </c>
      <c r="DD281" s="403">
        <f t="shared" si="267"/>
        <v>607.09997880039589</v>
      </c>
      <c r="DE281" s="420">
        <f xml:space="preserve"> Pile!$C$23- Pile!C281</f>
        <v>11.999999999999996</v>
      </c>
      <c r="DG281" s="382">
        <f t="shared" si="268"/>
        <v>193.58182174558067</v>
      </c>
      <c r="DH281" s="382">
        <f t="shared" si="269"/>
        <v>267.19727440865893</v>
      </c>
      <c r="DI281" s="382">
        <f t="shared" si="270"/>
        <v>345.35681644567967</v>
      </c>
      <c r="DJ281" s="382">
        <f t="shared" si="271"/>
        <v>428.06044785664272</v>
      </c>
      <c r="DK281" s="382">
        <f t="shared" si="272"/>
        <v>515.30816864154815</v>
      </c>
      <c r="DL281" s="382">
        <f t="shared" si="291"/>
        <v>607.09997880039589</v>
      </c>
    </row>
    <row r="282" spans="2:116" s="414" customFormat="1" ht="15">
      <c r="B282" s="404">
        <v>1</v>
      </c>
      <c r="C282" s="405">
        <f>+C281- Pile!D$51/20</f>
        <v>-7.4999999999999956</v>
      </c>
      <c r="D282" s="406" t="str">
        <f>B25</f>
        <v>Medium Sand/Gravel</v>
      </c>
      <c r="E282" s="406" t="str">
        <f>F25</f>
        <v>Granular</v>
      </c>
      <c r="F282" s="405">
        <f xml:space="preserve"> Pile!$E$51*(+C281-C282)+F281</f>
        <v>239.25000000000011</v>
      </c>
      <c r="G282" s="405">
        <f>IF(C282&gt; Pile!$C$54,0,( Pile!$C$54-C282)*9.81)</f>
        <v>0</v>
      </c>
      <c r="H282" s="405">
        <f t="shared" si="238"/>
        <v>239.25000000000011</v>
      </c>
      <c r="I282" s="405">
        <f t="shared" ref="I282:I301" si="311">($H$281+H282)/2</f>
        <v>224.62500000000011</v>
      </c>
      <c r="J282" s="405">
        <f>IF(E282="Cohesive", Pile!$G$51+(( Pile!$H$51- Pile!$G$51)/20),0)</f>
        <v>0</v>
      </c>
      <c r="K282" s="405">
        <f>IF(E282="Cohesive",( Pile!$G$51+ Pile!$J282)/2,0)</f>
        <v>0</v>
      </c>
      <c r="L282" s="405" t="str">
        <f>IF( Pile!I$51="",0, Pile!I$51)</f>
        <v>0</v>
      </c>
      <c r="M282" s="405" t="str">
        <f>IF( Pile!J$51="",0, Pile!J$51)</f>
        <v>0</v>
      </c>
      <c r="N282" s="405">
        <f>IF(E282="Granular", Pile!$K$51,0)</f>
        <v>26.092012099198989</v>
      </c>
      <c r="O282" s="407">
        <f>IF(AND(E282="Granular",D282&lt;&gt;"Made Ground"), Pile!$L$51,0)</f>
        <v>0.58446683387775955</v>
      </c>
      <c r="P282" s="405">
        <f>IF(OR(D282="Low Density Chalk",D282="Medium Density Chalk"), Pile!$M$51,0)</f>
        <v>0</v>
      </c>
      <c r="Q282" s="408">
        <f>IF(D282="High Density Chalk", Pile!$N$51,0)</f>
        <v>0</v>
      </c>
      <c r="R282" s="405">
        <f>IF( Pile!O$51="",0, Pile!O$51)</f>
        <v>0</v>
      </c>
      <c r="S282" s="409">
        <f t="shared" si="240"/>
        <v>131.28586255979181</v>
      </c>
      <c r="T282" s="410">
        <f xml:space="preserve"> Pile!$T$51</f>
        <v>1200</v>
      </c>
      <c r="U282" s="410">
        <f t="shared" si="241"/>
        <v>131.28586255979181</v>
      </c>
      <c r="V282" s="410">
        <f t="shared" si="242"/>
        <v>6242.5138947333608</v>
      </c>
      <c r="W282" s="410">
        <f xml:space="preserve"> Pile!$V$51</f>
        <v>15000</v>
      </c>
      <c r="X282" s="410">
        <f t="shared" si="243"/>
        <v>6242.5138947333608</v>
      </c>
      <c r="Y282" s="411">
        <v>450</v>
      </c>
      <c r="Z282" s="429">
        <f>PI()*Y282/1000*( Pile!$C$51- Pile!$C282)</f>
        <v>2.1205750411731041</v>
      </c>
      <c r="AA282" s="410">
        <f t="shared" si="244"/>
        <v>0.15904312808798329</v>
      </c>
      <c r="AB282" s="410">
        <f t="shared" si="292"/>
        <v>278.40152340317701</v>
      </c>
      <c r="AC282" s="410">
        <f>Z282* Pile!$S$51</f>
        <v>0</v>
      </c>
      <c r="AD282" s="410">
        <f t="shared" si="298"/>
        <v>278.40152340317701</v>
      </c>
      <c r="AE282" s="410">
        <f>IF(AD282&gt;0,+AD282)/ 'Pile Data and Eurocode Factors'!$B$14/ 'Pile Data and Eurocode Factors'!$B$15+AE$281</f>
        <v>297.41981393925823</v>
      </c>
      <c r="AF282" s="410">
        <f t="shared" si="305"/>
        <v>992.8289369510934</v>
      </c>
      <c r="AG282" s="410">
        <f>AA282* Pile!$U$51</f>
        <v>0</v>
      </c>
      <c r="AH282" s="410">
        <f t="shared" si="245"/>
        <v>992.8289369510934</v>
      </c>
      <c r="AI282" s="410">
        <f>AH282/ 'Pile Data and Eurocode Factors'!$C$14/ 'Pile Data and Eurocode Factors'!$C$15</f>
        <v>354.58176319681911</v>
      </c>
      <c r="AJ282" s="410">
        <f t="shared" si="246"/>
        <v>652.00157713607734</v>
      </c>
      <c r="AK282" s="410">
        <f>VLOOKUP(Y282, 'Pile Data and Eurocode Factors'!$A$34:$J$39,3, FALSE)</f>
        <v>2366.1761868507956</v>
      </c>
      <c r="AL282" s="412">
        <f t="shared" si="247"/>
        <v>652.00157713607734</v>
      </c>
      <c r="AM282" s="411">
        <v>600</v>
      </c>
      <c r="AN282" s="429">
        <f>PI()*AM282/1000*( Pile!$C$51- Pile!$C282)</f>
        <v>2.8274333882308054</v>
      </c>
      <c r="AO282" s="410">
        <f t="shared" si="248"/>
        <v>0.28274333882308139</v>
      </c>
      <c r="AP282" s="410">
        <f t="shared" si="293"/>
        <v>371.20203120423599</v>
      </c>
      <c r="AQ282" s="410">
        <f>AN282* Pile!$S$51</f>
        <v>0</v>
      </c>
      <c r="AR282" s="410">
        <f t="shared" si="299"/>
        <v>371.20203120423599</v>
      </c>
      <c r="AS282" s="410">
        <f>IF(AR282&gt;0,+AR282)/ 'Pile Data and Eurocode Factors'!$B$14/ 'Pile Data and Eurocode Factors'!$B$15+AS$281</f>
        <v>396.55975191901098</v>
      </c>
      <c r="AT282" s="410">
        <f t="shared" si="306"/>
        <v>1765.029221246388</v>
      </c>
      <c r="AU282" s="410">
        <f>AO282* Pile!$U$51</f>
        <v>0</v>
      </c>
      <c r="AV282" s="410">
        <f t="shared" si="249"/>
        <v>1765.029221246388</v>
      </c>
      <c r="AW282" s="410">
        <f>AV282/ 'Pile Data and Eurocode Factors'!$C$14/ 'Pile Data and Eurocode Factors'!$C$15</f>
        <v>630.36757901656722</v>
      </c>
      <c r="AX282" s="410">
        <f t="shared" si="250"/>
        <v>1026.9273309355781</v>
      </c>
      <c r="AY282" s="410">
        <f>VLOOKUP(AM282, 'Pile Data and Eurocode Factors'!$A$34:$J$39,3, FALSE)</f>
        <v>4206.5354432903041</v>
      </c>
      <c r="AZ282" s="412">
        <f t="shared" si="251"/>
        <v>1026.9273309355781</v>
      </c>
      <c r="BA282" s="411">
        <v>750</v>
      </c>
      <c r="BB282" s="429">
        <f>PI()*BA282/1000*( Pile!$C$51- Pile!$C282)</f>
        <v>3.5342917352885066</v>
      </c>
      <c r="BC282" s="410">
        <f t="shared" si="252"/>
        <v>0.44178646691106466</v>
      </c>
      <c r="BD282" s="410">
        <f t="shared" si="294"/>
        <v>464.00253900529498</v>
      </c>
      <c r="BE282" s="410">
        <f>BB282* Pile!$S$51</f>
        <v>0</v>
      </c>
      <c r="BF282" s="410">
        <f t="shared" si="300"/>
        <v>464.00253900529498</v>
      </c>
      <c r="BG282" s="410">
        <f>IF(BF282&gt;0,+BF282)/ 'Pile Data and Eurocode Factors'!$B$14/ 'Pile Data and Eurocode Factors'!$B$15+BG$281</f>
        <v>495.69968989876372</v>
      </c>
      <c r="BH282" s="410">
        <f t="shared" si="307"/>
        <v>2757.8581581974813</v>
      </c>
      <c r="BI282" s="410">
        <f>BC282* Pile!$U$51</f>
        <v>0</v>
      </c>
      <c r="BJ282" s="410">
        <f t="shared" si="253"/>
        <v>2757.8581581974813</v>
      </c>
      <c r="BK282" s="410">
        <f>BJ282/ 'Pile Data and Eurocode Factors'!$C$14/ 'Pile Data and Eurocode Factors'!$C$15</f>
        <v>984.94934221338622</v>
      </c>
      <c r="BL282" s="410">
        <f t="shared" si="254"/>
        <v>1480.6490321121501</v>
      </c>
      <c r="BM282" s="410">
        <f>VLOOKUP(BA282, 'Pile Data and Eurocode Factors'!$A$34:$J$39,3, FALSE)</f>
        <v>6572.7116301410997</v>
      </c>
      <c r="BN282" s="412">
        <f t="shared" si="255"/>
        <v>1480.6490321121501</v>
      </c>
      <c r="BO282" s="411">
        <v>900</v>
      </c>
      <c r="BP282" s="429">
        <f>PI()*BO282/1000*( Pile!$C$51- Pile!$C282)</f>
        <v>4.2411500823462083</v>
      </c>
      <c r="BQ282" s="410">
        <f t="shared" si="256"/>
        <v>0.63617251235193317</v>
      </c>
      <c r="BR282" s="410">
        <f t="shared" si="295"/>
        <v>556.80304680635402</v>
      </c>
      <c r="BS282" s="410">
        <f>BP282* Pile!$S$51</f>
        <v>0</v>
      </c>
      <c r="BT282" s="410">
        <f t="shared" si="301"/>
        <v>556.80304680635402</v>
      </c>
      <c r="BU282" s="410">
        <f>IF(BT282&gt;0,+BT282)/ 'Pile Data and Eurocode Factors'!$B$14/ 'Pile Data and Eurocode Factors'!$B$15+BU$281</f>
        <v>594.83962787851647</v>
      </c>
      <c r="BV282" s="410">
        <f t="shared" si="308"/>
        <v>3971.3157478043736</v>
      </c>
      <c r="BW282" s="410">
        <f>BQ282* Pile!$U$51</f>
        <v>0</v>
      </c>
      <c r="BX282" s="410">
        <f t="shared" si="257"/>
        <v>3971.3157478043736</v>
      </c>
      <c r="BY282" s="410">
        <f>BX282/ 'Pile Data and Eurocode Factors'!$C$14/ 'Pile Data and Eurocode Factors'!$C$15</f>
        <v>1418.3270527872764</v>
      </c>
      <c r="BZ282" s="410">
        <f t="shared" si="258"/>
        <v>2013.1666806657929</v>
      </c>
      <c r="CA282" s="410">
        <f>VLOOKUP(BO282, 'Pile Data and Eurocode Factors'!$A$34:$J$39,3, FALSE)</f>
        <v>9464.7047474031824</v>
      </c>
      <c r="CB282" s="412">
        <f t="shared" si="259"/>
        <v>2013.1666806657929</v>
      </c>
      <c r="CC282" s="411">
        <v>1050</v>
      </c>
      <c r="CD282" s="429">
        <f>PI()*CC282/1000*( Pile!$C$51- Pile!$C282)</f>
        <v>4.9480084294039095</v>
      </c>
      <c r="CE282" s="410">
        <f t="shared" si="260"/>
        <v>0.86590147514568672</v>
      </c>
      <c r="CF282" s="410">
        <f t="shared" si="296"/>
        <v>649.603554607413</v>
      </c>
      <c r="CG282" s="410">
        <f>CD282* Pile!$S$51</f>
        <v>0</v>
      </c>
      <c r="CH282" s="410">
        <f t="shared" si="302"/>
        <v>649.603554607413</v>
      </c>
      <c r="CI282" s="410">
        <f>IF(CH282&gt;0,+CH282)/ 'Pile Data and Eurocode Factors'!$B$14/ 'Pile Data and Eurocode Factors'!$B$15+CI$281</f>
        <v>693.97956585826921</v>
      </c>
      <c r="CJ282" s="410">
        <f t="shared" si="309"/>
        <v>5405.4019900670628</v>
      </c>
      <c r="CK282" s="410">
        <f>CE282* Pile!$U$51</f>
        <v>0</v>
      </c>
      <c r="CL282" s="410">
        <f t="shared" si="261"/>
        <v>5405.4019900670628</v>
      </c>
      <c r="CM282" s="410">
        <f>CL282/ 'Pile Data and Eurocode Factors'!$C$14/ 'Pile Data and Eurocode Factors'!$C$15</f>
        <v>1930.5007107382369</v>
      </c>
      <c r="CN282" s="410">
        <f t="shared" si="262"/>
        <v>2624.480276596506</v>
      </c>
      <c r="CO282" s="410">
        <f>VLOOKUP(CC282, 'Pile Data and Eurocode Factors'!$A$34:$J$39,3, FALSE)</f>
        <v>12882.514795076555</v>
      </c>
      <c r="CP282" s="412">
        <f t="shared" si="263"/>
        <v>2624.480276596506</v>
      </c>
      <c r="CQ282" s="411">
        <v>1200</v>
      </c>
      <c r="CR282" s="429">
        <f>PI()*CQ282/1000*( Pile!$C$51- Pile!$C282)</f>
        <v>5.6548667764616107</v>
      </c>
      <c r="CS282" s="410">
        <f t="shared" si="264"/>
        <v>1.1309733552923256</v>
      </c>
      <c r="CT282" s="410">
        <f t="shared" si="297"/>
        <v>742.40406240847199</v>
      </c>
      <c r="CU282" s="410">
        <f>CR282* Pile!$S$51</f>
        <v>0</v>
      </c>
      <c r="CV282" s="410">
        <f t="shared" si="303"/>
        <v>742.40406240847199</v>
      </c>
      <c r="CW282" s="410">
        <f>IF(CV282&gt;0,+CV282)/ 'Pile Data and Eurocode Factors'!$B$14/ 'Pile Data and Eurocode Factors'!$B$15+CW$281</f>
        <v>793.11950383802196</v>
      </c>
      <c r="CX282" s="410">
        <f t="shared" si="310"/>
        <v>7060.1168849855521</v>
      </c>
      <c r="CY282" s="410">
        <f>CS282* Pile!$U$51</f>
        <v>0</v>
      </c>
      <c r="CZ282" s="410">
        <f t="shared" si="265"/>
        <v>7060.1168849855521</v>
      </c>
      <c r="DA282" s="410">
        <f>CZ282/ 'Pile Data and Eurocode Factors'!$C$14/ 'Pile Data and Eurocode Factors'!$C$15</f>
        <v>2521.4703160662689</v>
      </c>
      <c r="DB282" s="410">
        <f t="shared" si="266"/>
        <v>3314.5898199042908</v>
      </c>
      <c r="DC282" s="410">
        <f>VLOOKUP(CQ282, 'Pile Data and Eurocode Factors'!$A$34:$J$39,3, FALSE)</f>
        <v>16826.141773161216</v>
      </c>
      <c r="DD282" s="412">
        <f t="shared" si="267"/>
        <v>3314.5898199042908</v>
      </c>
      <c r="DE282" s="413">
        <f xml:space="preserve"> Pile!$C$23- Pile!C282</f>
        <v>13.499999999999996</v>
      </c>
      <c r="DG282" s="410">
        <f t="shared" si="268"/>
        <v>652.00157713607734</v>
      </c>
      <c r="DH282" s="410">
        <f t="shared" si="269"/>
        <v>1026.9273309355781</v>
      </c>
      <c r="DI282" s="410">
        <f t="shared" si="270"/>
        <v>1480.6490321121501</v>
      </c>
      <c r="DJ282" s="410">
        <f t="shared" si="271"/>
        <v>2013.1666806657929</v>
      </c>
      <c r="DK282" s="410">
        <f t="shared" si="272"/>
        <v>2624.480276596506</v>
      </c>
      <c r="DL282" s="410">
        <f t="shared" si="291"/>
        <v>3314.5898199042908</v>
      </c>
    </row>
    <row r="283" spans="2:116" s="308" customFormat="1" ht="15">
      <c r="B283" s="400">
        <v>2</v>
      </c>
      <c r="C283" s="401">
        <f>+C282- Pile!D$51/20</f>
        <v>-8.9999999999999964</v>
      </c>
      <c r="D283" s="415" t="str">
        <f>B25</f>
        <v>Medium Sand/Gravel</v>
      </c>
      <c r="E283" s="415" t="str">
        <f>F25</f>
        <v>Granular</v>
      </c>
      <c r="F283" s="401">
        <f xml:space="preserve"> Pile!$E$51*(+C282-C283)+F282</f>
        <v>268.50000000000011</v>
      </c>
      <c r="G283" s="401">
        <f>IF(C283&gt; Pile!$C$54,0,( Pile!$C$54-C283)*9.81)</f>
        <v>0</v>
      </c>
      <c r="H283" s="401">
        <f t="shared" si="238"/>
        <v>268.50000000000011</v>
      </c>
      <c r="I283" s="401">
        <f t="shared" si="311"/>
        <v>239.25000000000011</v>
      </c>
      <c r="J283" s="401">
        <f>IF(E283="Cohesive",(( Pile!$H$51- Pile!$G$51)/20)+J282,0)</f>
        <v>0</v>
      </c>
      <c r="K283" s="401">
        <f>IF(E283="Cohesive",( Pile!$G$51+ Pile!$J283)/2,0)</f>
        <v>0</v>
      </c>
      <c r="L283" s="401" t="str">
        <f>IF( Pile!I$51="",0, Pile!I$51)</f>
        <v>0</v>
      </c>
      <c r="M283" s="401" t="str">
        <f>IF( Pile!J$51="",0, Pile!J$51)</f>
        <v>0</v>
      </c>
      <c r="N283" s="401">
        <f>IF(E283="Granular", Pile!$K$51,0)</f>
        <v>26.092012099198989</v>
      </c>
      <c r="O283" s="416">
        <f>IF(AND(E283="Granular",D283&lt;&gt;"Made Ground"), Pile!$L$51,0)</f>
        <v>0.58446683387775955</v>
      </c>
      <c r="P283" s="401">
        <f>IF(OR(D283="Low Density Chalk",D283="Medium Density Chalk"), Pile!$M$51,0)</f>
        <v>0</v>
      </c>
      <c r="Q283" s="417">
        <f>IF(D283="High Density Chalk", Pile!$N$51,0)</f>
        <v>0</v>
      </c>
      <c r="R283" s="401">
        <f>IF( Pile!O$51="",0, Pile!O$51)</f>
        <v>0</v>
      </c>
      <c r="S283" s="418">
        <f t="shared" si="240"/>
        <v>139.83369000525403</v>
      </c>
      <c r="T283" s="382">
        <f xml:space="preserve"> Pile!$T$51</f>
        <v>1200</v>
      </c>
      <c r="U283" s="382">
        <f t="shared" si="241"/>
        <v>139.83369000525403</v>
      </c>
      <c r="V283" s="382">
        <f t="shared" si="242"/>
        <v>7005.7052486349312</v>
      </c>
      <c r="W283" s="382">
        <f xml:space="preserve"> Pile!$V$51</f>
        <v>15000</v>
      </c>
      <c r="X283" s="382">
        <f t="shared" si="243"/>
        <v>7005.7052486349312</v>
      </c>
      <c r="Y283" s="419">
        <v>450</v>
      </c>
      <c r="Z283" s="430">
        <f>PI()*Y283/1000*( Pile!$C$51- Pile!$C283)</f>
        <v>4.2411500823462154</v>
      </c>
      <c r="AA283" s="382">
        <f t="shared" si="244"/>
        <v>0.15904312808798329</v>
      </c>
      <c r="AB283" s="382">
        <f t="shared" si="292"/>
        <v>593.05566588055831</v>
      </c>
      <c r="AC283" s="382">
        <f>Z283* Pile!$S$51</f>
        <v>0</v>
      </c>
      <c r="AD283" s="382">
        <f t="shared" si="298"/>
        <v>593.05566588055831</v>
      </c>
      <c r="AE283" s="382">
        <f>IF(AD283&gt;0,+AD283)/ 'Pile Data and Eurocode Factors'!$B$14/ 'Pile Data and Eurocode Factors'!$B$15+AE$281</f>
        <v>437.89041325951774</v>
      </c>
      <c r="AF283" s="382">
        <f t="shared" si="305"/>
        <v>1114.2092772053022</v>
      </c>
      <c r="AG283" s="382">
        <f>AA283* Pile!$U$51</f>
        <v>0</v>
      </c>
      <c r="AH283" s="382">
        <f t="shared" si="245"/>
        <v>1114.2092772053022</v>
      </c>
      <c r="AI283" s="382">
        <f>AH283/ 'Pile Data and Eurocode Factors'!$C$14/ 'Pile Data and Eurocode Factors'!$C$15</f>
        <v>397.93188471617941</v>
      </c>
      <c r="AJ283" s="382">
        <f t="shared" si="246"/>
        <v>835.82229797569721</v>
      </c>
      <c r="AK283" s="382">
        <f>VLOOKUP(Y283, 'Pile Data and Eurocode Factors'!$A$34:$J$39,3, FALSE)</f>
        <v>2366.1761868507956</v>
      </c>
      <c r="AL283" s="403">
        <f t="shared" si="247"/>
        <v>835.82229797569721</v>
      </c>
      <c r="AM283" s="419">
        <v>600</v>
      </c>
      <c r="AN283" s="430">
        <f>PI()*AM283/1000*( Pile!$C$51- Pile!$C283)</f>
        <v>5.6548667764616205</v>
      </c>
      <c r="AO283" s="382">
        <f t="shared" si="248"/>
        <v>0.28274333882308139</v>
      </c>
      <c r="AP283" s="382">
        <f t="shared" si="293"/>
        <v>790.74088784074434</v>
      </c>
      <c r="AQ283" s="382">
        <f>AN283* Pile!$S$51</f>
        <v>0</v>
      </c>
      <c r="AR283" s="382">
        <f t="shared" si="299"/>
        <v>790.74088784074434</v>
      </c>
      <c r="AS283" s="382">
        <f>IF(AR283&gt;0,+AR283)/ 'Pile Data and Eurocode Factors'!$B$14/ 'Pile Data and Eurocode Factors'!$B$15+AS$281</f>
        <v>583.85388434602362</v>
      </c>
      <c r="AT283" s="382">
        <f t="shared" si="306"/>
        <v>1980.8164928094261</v>
      </c>
      <c r="AU283" s="382">
        <f>AO283* Pile!$U$51</f>
        <v>0</v>
      </c>
      <c r="AV283" s="382">
        <f t="shared" si="249"/>
        <v>1980.8164928094261</v>
      </c>
      <c r="AW283" s="382">
        <f>AV283/ 'Pile Data and Eurocode Factors'!$C$14/ 'Pile Data and Eurocode Factors'!$C$15</f>
        <v>707.4344617176522</v>
      </c>
      <c r="AX283" s="382">
        <f t="shared" si="250"/>
        <v>1291.2883460636758</v>
      </c>
      <c r="AY283" s="382">
        <f>VLOOKUP(AM283, 'Pile Data and Eurocode Factors'!$A$34:$J$39,3, FALSE)</f>
        <v>4206.5354432903041</v>
      </c>
      <c r="AZ283" s="403">
        <f t="shared" si="251"/>
        <v>1291.2883460636758</v>
      </c>
      <c r="BA283" s="419">
        <v>750</v>
      </c>
      <c r="BB283" s="430">
        <f>PI()*BA283/1000*( Pile!$C$51- Pile!$C283)</f>
        <v>7.0685834705770265</v>
      </c>
      <c r="BC283" s="382">
        <f t="shared" si="252"/>
        <v>0.44178646691106466</v>
      </c>
      <c r="BD283" s="382">
        <f t="shared" si="294"/>
        <v>988.42610980093059</v>
      </c>
      <c r="BE283" s="382">
        <f>BB283* Pile!$S$51</f>
        <v>0</v>
      </c>
      <c r="BF283" s="382">
        <f t="shared" si="300"/>
        <v>988.42610980093059</v>
      </c>
      <c r="BG283" s="382">
        <f>IF(BF283&gt;0,+BF283)/ 'Pile Data and Eurocode Factors'!$B$14/ 'Pile Data and Eurocode Factors'!$B$15+BG$281</f>
        <v>729.81735543252967</v>
      </c>
      <c r="BH283" s="382">
        <f t="shared" si="307"/>
        <v>3095.0257700147281</v>
      </c>
      <c r="BI283" s="382">
        <f>BC283* Pile!$U$51</f>
        <v>0</v>
      </c>
      <c r="BJ283" s="382">
        <f t="shared" si="253"/>
        <v>3095.0257700147281</v>
      </c>
      <c r="BK283" s="382">
        <f>BJ283/ 'Pile Data and Eurocode Factors'!$C$14/ 'Pile Data and Eurocode Factors'!$C$15</f>
        <v>1105.3663464338315</v>
      </c>
      <c r="BL283" s="382">
        <f t="shared" si="254"/>
        <v>1835.1837018663612</v>
      </c>
      <c r="BM283" s="382">
        <f>VLOOKUP(BA283, 'Pile Data and Eurocode Factors'!$A$34:$J$39,3, FALSE)</f>
        <v>6572.7116301410997</v>
      </c>
      <c r="BN283" s="403">
        <f t="shared" si="255"/>
        <v>1835.1837018663612</v>
      </c>
      <c r="BO283" s="419">
        <v>900</v>
      </c>
      <c r="BP283" s="430">
        <f>PI()*BO283/1000*( Pile!$C$51- Pile!$C283)</f>
        <v>8.4823001646924308</v>
      </c>
      <c r="BQ283" s="382">
        <f t="shared" si="256"/>
        <v>0.63617251235193317</v>
      </c>
      <c r="BR283" s="382">
        <f t="shared" si="295"/>
        <v>1186.1113317611166</v>
      </c>
      <c r="BS283" s="382">
        <f>BP283* Pile!$S$51</f>
        <v>0</v>
      </c>
      <c r="BT283" s="382">
        <f t="shared" si="301"/>
        <v>1186.1113317611166</v>
      </c>
      <c r="BU283" s="382">
        <f>IF(BT283&gt;0,+BT283)/ 'Pile Data and Eurocode Factors'!$B$14/ 'Pile Data and Eurocode Factors'!$B$15+BU$281</f>
        <v>875.78082651903549</v>
      </c>
      <c r="BV283" s="382">
        <f t="shared" si="308"/>
        <v>4456.8371088212089</v>
      </c>
      <c r="BW283" s="382">
        <f>BQ283* Pile!$U$51</f>
        <v>0</v>
      </c>
      <c r="BX283" s="382">
        <f t="shared" si="257"/>
        <v>4456.8371088212089</v>
      </c>
      <c r="BY283" s="382">
        <f>BX283/ 'Pile Data and Eurocode Factors'!$C$14/ 'Pile Data and Eurocode Factors'!$C$15</f>
        <v>1591.7275388647176</v>
      </c>
      <c r="BZ283" s="382">
        <f t="shared" si="258"/>
        <v>2467.5083653837532</v>
      </c>
      <c r="CA283" s="382">
        <f>VLOOKUP(BO283, 'Pile Data and Eurocode Factors'!$A$34:$J$39,3, FALSE)</f>
        <v>9464.7047474031824</v>
      </c>
      <c r="CB283" s="403">
        <f t="shared" si="259"/>
        <v>2467.5083653837532</v>
      </c>
      <c r="CC283" s="419">
        <v>1050</v>
      </c>
      <c r="CD283" s="430">
        <f>PI()*CC283/1000*( Pile!$C$51- Pile!$C283)</f>
        <v>9.8960168588078368</v>
      </c>
      <c r="CE283" s="382">
        <f t="shared" si="260"/>
        <v>0.86590147514568672</v>
      </c>
      <c r="CF283" s="382">
        <f t="shared" si="296"/>
        <v>1383.7965537213029</v>
      </c>
      <c r="CG283" s="382">
        <f>CD283* Pile!$S$51</f>
        <v>0</v>
      </c>
      <c r="CH283" s="382">
        <f t="shared" si="302"/>
        <v>1383.7965537213029</v>
      </c>
      <c r="CI283" s="382">
        <f>IF(CH283&gt;0,+CH283)/ 'Pile Data and Eurocode Factors'!$B$14/ 'Pile Data and Eurocode Factors'!$B$15+CI$281</f>
        <v>1021.7442976055415</v>
      </c>
      <c r="CJ283" s="382">
        <f t="shared" si="309"/>
        <v>6066.2505092288666</v>
      </c>
      <c r="CK283" s="382">
        <f>CE283* Pile!$U$51</f>
        <v>0</v>
      </c>
      <c r="CL283" s="382">
        <f t="shared" si="261"/>
        <v>6066.2505092288666</v>
      </c>
      <c r="CM283" s="382">
        <f>CL283/ 'Pile Data and Eurocode Factors'!$C$14/ 'Pile Data and Eurocode Factors'!$C$15</f>
        <v>2166.5180390103096</v>
      </c>
      <c r="CN283" s="382">
        <f t="shared" si="262"/>
        <v>3188.2623366158514</v>
      </c>
      <c r="CO283" s="382">
        <f>VLOOKUP(CC283, 'Pile Data and Eurocode Factors'!$A$34:$J$39,3, FALSE)</f>
        <v>12882.514795076555</v>
      </c>
      <c r="CP283" s="403">
        <f t="shared" si="263"/>
        <v>3188.2623366158514</v>
      </c>
      <c r="CQ283" s="419">
        <v>1200</v>
      </c>
      <c r="CR283" s="430">
        <f>PI()*CQ283/1000*( Pile!$C$51- Pile!$C283)</f>
        <v>11.309733552923241</v>
      </c>
      <c r="CS283" s="382">
        <f t="shared" si="264"/>
        <v>1.1309733552923256</v>
      </c>
      <c r="CT283" s="382">
        <f t="shared" si="297"/>
        <v>1581.4817756814887</v>
      </c>
      <c r="CU283" s="382">
        <f>CR283* Pile!$S$51</f>
        <v>0</v>
      </c>
      <c r="CV283" s="382">
        <f t="shared" si="303"/>
        <v>1581.4817756814887</v>
      </c>
      <c r="CW283" s="382">
        <f>IF(CV283&gt;0,+CV283)/ 'Pile Data and Eurocode Factors'!$B$14/ 'Pile Data and Eurocode Factors'!$B$15+CW$281</f>
        <v>1167.7077686920472</v>
      </c>
      <c r="CX283" s="382">
        <f t="shared" si="310"/>
        <v>7923.2659712377044</v>
      </c>
      <c r="CY283" s="382">
        <f>CS283* Pile!$U$51</f>
        <v>0</v>
      </c>
      <c r="CZ283" s="382">
        <f t="shared" si="265"/>
        <v>7923.2659712377044</v>
      </c>
      <c r="DA283" s="382">
        <f>CZ283/ 'Pile Data and Eurocode Factors'!$C$14/ 'Pile Data and Eurocode Factors'!$C$15</f>
        <v>2829.7378468706088</v>
      </c>
      <c r="DB283" s="382">
        <f t="shared" si="266"/>
        <v>3997.4456155626558</v>
      </c>
      <c r="DC283" s="382">
        <f>VLOOKUP(CQ283, 'Pile Data and Eurocode Factors'!$A$34:$J$39,3, FALSE)</f>
        <v>16826.141773161216</v>
      </c>
      <c r="DD283" s="403">
        <f t="shared" si="267"/>
        <v>3997.4456155626558</v>
      </c>
      <c r="DE283" s="420">
        <f xml:space="preserve"> Pile!$C$23- Pile!C283</f>
        <v>14.999999999999996</v>
      </c>
      <c r="DG283" s="382">
        <f t="shared" si="268"/>
        <v>835.82229797569721</v>
      </c>
      <c r="DH283" s="382">
        <f t="shared" si="269"/>
        <v>1291.2883460636758</v>
      </c>
      <c r="DI283" s="382">
        <f t="shared" si="270"/>
        <v>1835.1837018663612</v>
      </c>
      <c r="DJ283" s="382">
        <f t="shared" si="271"/>
        <v>2467.5083653837532</v>
      </c>
      <c r="DK283" s="382">
        <f t="shared" si="272"/>
        <v>3188.2623366158514</v>
      </c>
      <c r="DL283" s="382">
        <f t="shared" si="291"/>
        <v>3997.4456155626558</v>
      </c>
    </row>
    <row r="284" spans="2:116" s="308" customFormat="1" ht="15">
      <c r="B284" s="400">
        <v>3</v>
      </c>
      <c r="C284" s="401">
        <f>+C283- Pile!D$51/20</f>
        <v>-10.499999999999996</v>
      </c>
      <c r="D284" s="415" t="str">
        <f>B25</f>
        <v>Medium Sand/Gravel</v>
      </c>
      <c r="E284" s="415" t="str">
        <f>F25</f>
        <v>Granular</v>
      </c>
      <c r="F284" s="401">
        <f xml:space="preserve"> Pile!$E$51*(+C283-C284)+F283</f>
        <v>297.75000000000011</v>
      </c>
      <c r="G284" s="401">
        <f>IF(C284&gt; Pile!$C$54,0,( Pile!$C$54-C284)*9.81)</f>
        <v>0</v>
      </c>
      <c r="H284" s="401">
        <f t="shared" si="238"/>
        <v>297.75000000000011</v>
      </c>
      <c r="I284" s="401">
        <f t="shared" si="311"/>
        <v>253.87500000000011</v>
      </c>
      <c r="J284" s="401">
        <f>IF(E284="Cohesive",(( Pile!$H$51- Pile!$G$51)/20)+J283,0)</f>
        <v>0</v>
      </c>
      <c r="K284" s="401">
        <f>IF(E284="Cohesive",( Pile!$G$51+ Pile!$J284)/2,0)</f>
        <v>0</v>
      </c>
      <c r="L284" s="401" t="str">
        <f>IF( Pile!I$51="",0, Pile!I$51)</f>
        <v>0</v>
      </c>
      <c r="M284" s="401" t="str">
        <f>IF( Pile!J$51="",0, Pile!J$51)</f>
        <v>0</v>
      </c>
      <c r="N284" s="401">
        <f>IF(E284="Granular", Pile!$K$51,0)</f>
        <v>26.092012099198989</v>
      </c>
      <c r="O284" s="416">
        <f>IF(AND(E284="Granular",D284&lt;&gt;"Made Ground"), Pile!$L$51,0)</f>
        <v>0.58446683387775955</v>
      </c>
      <c r="P284" s="401">
        <f>IF(OR(D284="Low Density Chalk",D284="Medium Density Chalk"), Pile!$M$51,0)</f>
        <v>0</v>
      </c>
      <c r="Q284" s="417">
        <f>IF(D284="High Density Chalk", Pile!$N$51,0)</f>
        <v>0</v>
      </c>
      <c r="R284" s="401">
        <f>IF( Pile!O$51="",0, Pile!O$51)</f>
        <v>0</v>
      </c>
      <c r="S284" s="418">
        <f t="shared" si="240"/>
        <v>148.38151745071627</v>
      </c>
      <c r="T284" s="382">
        <f xml:space="preserve"> Pile!$T$51</f>
        <v>1200</v>
      </c>
      <c r="U284" s="382">
        <f t="shared" si="241"/>
        <v>148.38151745071627</v>
      </c>
      <c r="V284" s="382">
        <f t="shared" si="242"/>
        <v>7768.8966025365016</v>
      </c>
      <c r="W284" s="382">
        <f xml:space="preserve"> Pile!$V$51</f>
        <v>15000</v>
      </c>
      <c r="X284" s="382">
        <f t="shared" si="243"/>
        <v>7768.8966025365016</v>
      </c>
      <c r="Y284" s="419">
        <v>450</v>
      </c>
      <c r="Z284" s="430">
        <f>PI()*Y284/1000*( Pile!$C$51- Pile!$C284)</f>
        <v>6.3617251235193262</v>
      </c>
      <c r="AA284" s="382">
        <f t="shared" si="244"/>
        <v>0.15904312808798329</v>
      </c>
      <c r="AB284" s="382">
        <f t="shared" si="292"/>
        <v>943.96242743214304</v>
      </c>
      <c r="AC284" s="382">
        <f>Z284* Pile!$S$51</f>
        <v>0</v>
      </c>
      <c r="AD284" s="382">
        <f t="shared" si="298"/>
        <v>943.96242743214304</v>
      </c>
      <c r="AE284" s="382">
        <f>IF(AD284&gt;0,+AD284)/ 'Pile Data and Eurocode Factors'!$B$14/ 'Pile Data and Eurocode Factors'!$B$15+AE$281</f>
        <v>594.54521752361802</v>
      </c>
      <c r="AF284" s="382">
        <f t="shared" si="305"/>
        <v>1235.5896174595111</v>
      </c>
      <c r="AG284" s="382">
        <f>AA284* Pile!$U$51</f>
        <v>0</v>
      </c>
      <c r="AH284" s="382">
        <f t="shared" si="245"/>
        <v>1235.5896174595111</v>
      </c>
      <c r="AI284" s="382">
        <f>AH284/ 'Pile Data and Eurocode Factors'!$C$14/ 'Pile Data and Eurocode Factors'!$C$15</f>
        <v>441.28200623553971</v>
      </c>
      <c r="AJ284" s="382">
        <f t="shared" si="246"/>
        <v>1035.8272237591577</v>
      </c>
      <c r="AK284" s="382">
        <f>VLOOKUP(Y284, 'Pile Data and Eurocode Factors'!$A$34:$J$39,3, FALSE)</f>
        <v>2366.1761868507956</v>
      </c>
      <c r="AL284" s="403">
        <f t="shared" si="247"/>
        <v>1035.8272237591577</v>
      </c>
      <c r="AM284" s="419">
        <v>600</v>
      </c>
      <c r="AN284" s="430">
        <f>PI()*AM284/1000*( Pile!$C$51- Pile!$C284)</f>
        <v>8.4823001646924343</v>
      </c>
      <c r="AO284" s="382">
        <f t="shared" si="248"/>
        <v>0.28274333882308139</v>
      </c>
      <c r="AP284" s="382">
        <f t="shared" si="293"/>
        <v>1258.6165699095241</v>
      </c>
      <c r="AQ284" s="382">
        <f>AN284* Pile!$S$51</f>
        <v>0</v>
      </c>
      <c r="AR284" s="382">
        <f t="shared" si="299"/>
        <v>1258.6165699095241</v>
      </c>
      <c r="AS284" s="382">
        <f>IF(AR284&gt;0,+AR284)/ 'Pile Data and Eurocode Factors'!$B$14/ 'Pile Data and Eurocode Factors'!$B$15+AS$281</f>
        <v>792.72695669815744</v>
      </c>
      <c r="AT284" s="382">
        <f t="shared" si="306"/>
        <v>2196.603764372464</v>
      </c>
      <c r="AU284" s="382">
        <f>AO284* Pile!$U$51</f>
        <v>0</v>
      </c>
      <c r="AV284" s="382">
        <f t="shared" si="249"/>
        <v>2196.603764372464</v>
      </c>
      <c r="AW284" s="382">
        <f>AV284/ 'Pile Data and Eurocode Factors'!$C$14/ 'Pile Data and Eurocode Factors'!$C$15</f>
        <v>784.50134441873718</v>
      </c>
      <c r="AX284" s="382">
        <f t="shared" si="250"/>
        <v>1577.2283011168947</v>
      </c>
      <c r="AY284" s="382">
        <f>VLOOKUP(AM284, 'Pile Data and Eurocode Factors'!$A$34:$J$39,3, FALSE)</f>
        <v>4206.5354432903041</v>
      </c>
      <c r="AZ284" s="403">
        <f t="shared" si="251"/>
        <v>1577.2283011168947</v>
      </c>
      <c r="BA284" s="419">
        <v>750</v>
      </c>
      <c r="BB284" s="430">
        <f>PI()*BA284/1000*( Pile!$C$51- Pile!$C284)</f>
        <v>10.602875205865544</v>
      </c>
      <c r="BC284" s="382">
        <f t="shared" si="252"/>
        <v>0.44178646691106466</v>
      </c>
      <c r="BD284" s="382">
        <f t="shared" si="294"/>
        <v>1573.2707123869052</v>
      </c>
      <c r="BE284" s="382">
        <f>BB284* Pile!$S$51</f>
        <v>0</v>
      </c>
      <c r="BF284" s="382">
        <f t="shared" si="300"/>
        <v>1573.2707123869052</v>
      </c>
      <c r="BG284" s="382">
        <f>IF(BF284&gt;0,+BF284)/ 'Pile Data and Eurocode Factors'!$B$14/ 'Pile Data and Eurocode Factors'!$B$15+BG$281</f>
        <v>990.90869587269685</v>
      </c>
      <c r="BH284" s="382">
        <f t="shared" si="307"/>
        <v>3432.1933818319749</v>
      </c>
      <c r="BI284" s="382">
        <f>BC284* Pile!$U$51</f>
        <v>0</v>
      </c>
      <c r="BJ284" s="382">
        <f t="shared" si="253"/>
        <v>3432.1933818319749</v>
      </c>
      <c r="BK284" s="382">
        <f>BJ284/ 'Pile Data and Eurocode Factors'!$C$14/ 'Pile Data and Eurocode Factors'!$C$15</f>
        <v>1225.7833506542768</v>
      </c>
      <c r="BL284" s="382">
        <f t="shared" si="254"/>
        <v>2216.6920465269736</v>
      </c>
      <c r="BM284" s="382">
        <f>VLOOKUP(BA284, 'Pile Data and Eurocode Factors'!$A$34:$J$39,3, FALSE)</f>
        <v>6572.7116301410997</v>
      </c>
      <c r="BN284" s="403">
        <f t="shared" si="255"/>
        <v>2216.6920465269736</v>
      </c>
      <c r="BO284" s="419">
        <v>900</v>
      </c>
      <c r="BP284" s="430">
        <f>PI()*BO284/1000*( Pile!$C$51- Pile!$C284)</f>
        <v>12.723450247038652</v>
      </c>
      <c r="BQ284" s="382">
        <f t="shared" si="256"/>
        <v>0.63617251235193317</v>
      </c>
      <c r="BR284" s="382">
        <f t="shared" si="295"/>
        <v>1887.9248548642861</v>
      </c>
      <c r="BS284" s="382">
        <f>BP284* Pile!$S$51</f>
        <v>0</v>
      </c>
      <c r="BT284" s="382">
        <f t="shared" si="301"/>
        <v>1887.9248548642861</v>
      </c>
      <c r="BU284" s="382">
        <f>IF(BT284&gt;0,+BT284)/ 'Pile Data and Eurocode Factors'!$B$14/ 'Pile Data and Eurocode Factors'!$B$15+BU$281</f>
        <v>1189.090435047236</v>
      </c>
      <c r="BV284" s="382">
        <f t="shared" si="308"/>
        <v>4942.3584698380446</v>
      </c>
      <c r="BW284" s="382">
        <f>BQ284* Pile!$U$51</f>
        <v>0</v>
      </c>
      <c r="BX284" s="382">
        <f t="shared" si="257"/>
        <v>4942.3584698380446</v>
      </c>
      <c r="BY284" s="382">
        <f>BX284/ 'Pile Data and Eurocode Factors'!$C$14/ 'Pile Data and Eurocode Factors'!$C$15</f>
        <v>1765.1280249421588</v>
      </c>
      <c r="BZ284" s="382">
        <f t="shared" si="258"/>
        <v>2954.2184599893949</v>
      </c>
      <c r="CA284" s="382">
        <f>VLOOKUP(BO284, 'Pile Data and Eurocode Factors'!$A$34:$J$39,3, FALSE)</f>
        <v>9464.7047474031824</v>
      </c>
      <c r="CB284" s="403">
        <f t="shared" si="259"/>
        <v>2954.2184599893949</v>
      </c>
      <c r="CC284" s="419">
        <v>1050</v>
      </c>
      <c r="CD284" s="430">
        <f>PI()*CC284/1000*( Pile!$C$51- Pile!$C284)</f>
        <v>14.84402528821176</v>
      </c>
      <c r="CE284" s="382">
        <f t="shared" si="260"/>
        <v>0.86590147514568672</v>
      </c>
      <c r="CF284" s="382">
        <f t="shared" si="296"/>
        <v>2202.5789973416672</v>
      </c>
      <c r="CG284" s="382">
        <f>CD284* Pile!$S$51</f>
        <v>0</v>
      </c>
      <c r="CH284" s="382">
        <f t="shared" si="302"/>
        <v>2202.5789973416672</v>
      </c>
      <c r="CI284" s="382">
        <f>IF(CH284&gt;0,+CH284)/ 'Pile Data and Eurocode Factors'!$B$14/ 'Pile Data and Eurocode Factors'!$B$15+CI$281</f>
        <v>1387.2721742217755</v>
      </c>
      <c r="CJ284" s="382">
        <f t="shared" si="309"/>
        <v>6727.0990283906704</v>
      </c>
      <c r="CK284" s="382">
        <f>CE284* Pile!$U$51</f>
        <v>0</v>
      </c>
      <c r="CL284" s="382">
        <f t="shared" si="261"/>
        <v>6727.0990283906704</v>
      </c>
      <c r="CM284" s="382">
        <f>CL284/ 'Pile Data and Eurocode Factors'!$C$14/ 'Pile Data and Eurocode Factors'!$C$15</f>
        <v>2402.5353672823826</v>
      </c>
      <c r="CN284" s="382">
        <f t="shared" si="262"/>
        <v>3789.8075415041581</v>
      </c>
      <c r="CO284" s="382">
        <f>VLOOKUP(CC284, 'Pile Data and Eurocode Factors'!$A$34:$J$39,3, FALSE)</f>
        <v>12882.514795076555</v>
      </c>
      <c r="CP284" s="403">
        <f t="shared" si="263"/>
        <v>3789.8075415041581</v>
      </c>
      <c r="CQ284" s="419">
        <v>1200</v>
      </c>
      <c r="CR284" s="430">
        <f>PI()*CQ284/1000*( Pile!$C$51- Pile!$C284)</f>
        <v>16.964600329384869</v>
      </c>
      <c r="CS284" s="382">
        <f t="shared" si="264"/>
        <v>1.1309733552923256</v>
      </c>
      <c r="CT284" s="382">
        <f t="shared" si="297"/>
        <v>2517.2331398190481</v>
      </c>
      <c r="CU284" s="382">
        <f>CR284* Pile!$S$51</f>
        <v>0</v>
      </c>
      <c r="CV284" s="382">
        <f t="shared" si="303"/>
        <v>2517.2331398190481</v>
      </c>
      <c r="CW284" s="382">
        <f>IF(CV284&gt;0,+CV284)/ 'Pile Data and Eurocode Factors'!$B$14/ 'Pile Data and Eurocode Factors'!$B$15+CW$281</f>
        <v>1585.4539133963149</v>
      </c>
      <c r="CX284" s="382">
        <f t="shared" si="310"/>
        <v>8786.4150574898558</v>
      </c>
      <c r="CY284" s="382">
        <f>CS284* Pile!$U$51</f>
        <v>0</v>
      </c>
      <c r="CZ284" s="382">
        <f t="shared" si="265"/>
        <v>8786.4150574898558</v>
      </c>
      <c r="DA284" s="382">
        <f>CZ284/ 'Pile Data and Eurocode Factors'!$C$14/ 'Pile Data and Eurocode Factors'!$C$15</f>
        <v>3138.0053776749487</v>
      </c>
      <c r="DB284" s="382">
        <f t="shared" si="266"/>
        <v>4723.4592910712636</v>
      </c>
      <c r="DC284" s="382">
        <f>VLOOKUP(CQ284, 'Pile Data and Eurocode Factors'!$A$34:$J$39,3, FALSE)</f>
        <v>16826.141773161216</v>
      </c>
      <c r="DD284" s="403">
        <f t="shared" si="267"/>
        <v>4723.4592910712636</v>
      </c>
      <c r="DE284" s="420">
        <f xml:space="preserve"> Pile!$C$23- Pile!C284</f>
        <v>16.499999999999996</v>
      </c>
      <c r="DG284" s="382">
        <f t="shared" si="268"/>
        <v>1035.8272237591577</v>
      </c>
      <c r="DH284" s="382">
        <f t="shared" si="269"/>
        <v>1577.2283011168947</v>
      </c>
      <c r="DI284" s="382">
        <f t="shared" si="270"/>
        <v>2216.6920465269736</v>
      </c>
      <c r="DJ284" s="382">
        <f t="shared" si="271"/>
        <v>2954.2184599893949</v>
      </c>
      <c r="DK284" s="382">
        <f t="shared" si="272"/>
        <v>3789.8075415041581</v>
      </c>
      <c r="DL284" s="382">
        <f t="shared" si="291"/>
        <v>4723.4592910712636</v>
      </c>
    </row>
    <row r="285" spans="2:116" s="308" customFormat="1" ht="15">
      <c r="B285" s="400">
        <v>4</v>
      </c>
      <c r="C285" s="401">
        <f>+C284- Pile!D$51/20</f>
        <v>-11.999999999999996</v>
      </c>
      <c r="D285" s="415" t="str">
        <f>B25</f>
        <v>Medium Sand/Gravel</v>
      </c>
      <c r="E285" s="415" t="str">
        <f>F25</f>
        <v>Granular</v>
      </c>
      <c r="F285" s="401">
        <f xml:space="preserve"> Pile!$E$51*(+C284-C285)+F284</f>
        <v>327.00000000000011</v>
      </c>
      <c r="G285" s="401">
        <f>IF(C285&gt; Pile!$C$54,0,( Pile!$C$54-C285)*9.81)</f>
        <v>0</v>
      </c>
      <c r="H285" s="401">
        <f t="shared" si="238"/>
        <v>327.00000000000011</v>
      </c>
      <c r="I285" s="401">
        <f t="shared" si="311"/>
        <v>268.50000000000011</v>
      </c>
      <c r="J285" s="401">
        <f>IF(E285="Cohesive",(( Pile!$H$51- Pile!$G$51)/20)+J284,0)</f>
        <v>0</v>
      </c>
      <c r="K285" s="401">
        <f>IF(E285="Cohesive",( Pile!$G$51+ Pile!$J285)/2,0)</f>
        <v>0</v>
      </c>
      <c r="L285" s="401" t="str">
        <f>IF( Pile!I$51="",0, Pile!I$51)</f>
        <v>0</v>
      </c>
      <c r="M285" s="401" t="str">
        <f>IF( Pile!J$51="",0, Pile!J$51)</f>
        <v>0</v>
      </c>
      <c r="N285" s="401">
        <f>IF(E285="Granular", Pile!$K$51,0)</f>
        <v>26.092012099198989</v>
      </c>
      <c r="O285" s="416">
        <f>IF(AND(E285="Granular",D285&lt;&gt;"Made Ground"), Pile!$L$51,0)</f>
        <v>0.58446683387775955</v>
      </c>
      <c r="P285" s="401">
        <f>IF(OR(D285="Low Density Chalk",D285="Medium Density Chalk"), Pile!$M$51,0)</f>
        <v>0</v>
      </c>
      <c r="Q285" s="417">
        <f>IF(D285="High Density Chalk", Pile!$N$51,0)</f>
        <v>0</v>
      </c>
      <c r="R285" s="401">
        <f>IF( Pile!O$51="",0, Pile!O$51)</f>
        <v>0</v>
      </c>
      <c r="S285" s="418">
        <f t="shared" si="240"/>
        <v>156.92934489617849</v>
      </c>
      <c r="T285" s="382">
        <f xml:space="preserve"> Pile!$T$51</f>
        <v>1200</v>
      </c>
      <c r="U285" s="382">
        <f t="shared" si="241"/>
        <v>156.92934489617849</v>
      </c>
      <c r="V285" s="382">
        <f t="shared" si="242"/>
        <v>8532.0879564380721</v>
      </c>
      <c r="W285" s="382">
        <f xml:space="preserve"> Pile!$V$51</f>
        <v>15000</v>
      </c>
      <c r="X285" s="382">
        <f t="shared" si="243"/>
        <v>8532.0879564380721</v>
      </c>
      <c r="Y285" s="419">
        <v>450</v>
      </c>
      <c r="Z285" s="430">
        <f>PI()*Y285/1000*( Pile!$C$51- Pile!$C285)</f>
        <v>8.4823001646924361</v>
      </c>
      <c r="AA285" s="382">
        <f t="shared" si="244"/>
        <v>0.15904312808798329</v>
      </c>
      <c r="AB285" s="382">
        <f t="shared" si="292"/>
        <v>1331.1218080579308</v>
      </c>
      <c r="AC285" s="382">
        <f>Z285* Pile!$S$51</f>
        <v>0</v>
      </c>
      <c r="AD285" s="382">
        <f t="shared" si="298"/>
        <v>1331.1218080579308</v>
      </c>
      <c r="AE285" s="382">
        <f>IF(AD285&gt;0,+AD285)/ 'Pile Data and Eurocode Factors'!$B$14/ 'Pile Data and Eurocode Factors'!$B$15+AE$281</f>
        <v>767.38422673155901</v>
      </c>
      <c r="AF285" s="382">
        <f t="shared" si="305"/>
        <v>1356.9699577137199</v>
      </c>
      <c r="AG285" s="382">
        <f>AA285* Pile!$U$51</f>
        <v>0</v>
      </c>
      <c r="AH285" s="382">
        <f t="shared" si="245"/>
        <v>1356.9699577137199</v>
      </c>
      <c r="AI285" s="382">
        <f>AH285/ 'Pile Data and Eurocode Factors'!$C$14/ 'Pile Data and Eurocode Factors'!$C$15</f>
        <v>484.63212775489995</v>
      </c>
      <c r="AJ285" s="382">
        <f t="shared" si="246"/>
        <v>1252.016354486459</v>
      </c>
      <c r="AK285" s="382">
        <f>VLOOKUP(Y285, 'Pile Data and Eurocode Factors'!$A$34:$J$39,3, FALSE)</f>
        <v>2366.1761868507956</v>
      </c>
      <c r="AL285" s="403">
        <f t="shared" si="247"/>
        <v>1252.016354486459</v>
      </c>
      <c r="AM285" s="419">
        <v>600</v>
      </c>
      <c r="AN285" s="430">
        <f>PI()*AM285/1000*( Pile!$C$51- Pile!$C285)</f>
        <v>11.309733552923248</v>
      </c>
      <c r="AO285" s="382">
        <f t="shared" si="248"/>
        <v>0.28274333882308139</v>
      </c>
      <c r="AP285" s="382">
        <f t="shared" si="293"/>
        <v>1774.8290774105747</v>
      </c>
      <c r="AQ285" s="382">
        <f>AN285* Pile!$S$51</f>
        <v>0</v>
      </c>
      <c r="AR285" s="382">
        <f t="shared" si="299"/>
        <v>1774.8290774105747</v>
      </c>
      <c r="AS285" s="382">
        <f>IF(AR285&gt;0,+AR285)/ 'Pile Data and Eurocode Factors'!$B$14/ 'Pile Data and Eurocode Factors'!$B$15+AS$281</f>
        <v>1023.1789689754121</v>
      </c>
      <c r="AT285" s="382">
        <f t="shared" si="306"/>
        <v>2412.3910359355018</v>
      </c>
      <c r="AU285" s="382">
        <f>AO285* Pile!$U$51</f>
        <v>0</v>
      </c>
      <c r="AV285" s="382">
        <f t="shared" si="249"/>
        <v>2412.3910359355018</v>
      </c>
      <c r="AW285" s="382">
        <f>AV285/ 'Pile Data and Eurocode Factors'!$C$14/ 'Pile Data and Eurocode Factors'!$C$15</f>
        <v>861.56822711982215</v>
      </c>
      <c r="AX285" s="382">
        <f t="shared" si="250"/>
        <v>1884.7471960952344</v>
      </c>
      <c r="AY285" s="382">
        <f>VLOOKUP(AM285, 'Pile Data and Eurocode Factors'!$A$34:$J$39,3, FALSE)</f>
        <v>4206.5354432903041</v>
      </c>
      <c r="AZ285" s="403">
        <f t="shared" si="251"/>
        <v>1884.7471960952344</v>
      </c>
      <c r="BA285" s="419">
        <v>750</v>
      </c>
      <c r="BB285" s="430">
        <f>PI()*BA285/1000*( Pile!$C$51- Pile!$C285)</f>
        <v>14.13716694115406</v>
      </c>
      <c r="BC285" s="382">
        <f t="shared" si="252"/>
        <v>0.44178646691106466</v>
      </c>
      <c r="BD285" s="382">
        <f t="shared" si="294"/>
        <v>2218.5363467632183</v>
      </c>
      <c r="BE285" s="382">
        <f>BB285* Pile!$S$51</f>
        <v>0</v>
      </c>
      <c r="BF285" s="382">
        <f t="shared" si="300"/>
        <v>2218.5363467632183</v>
      </c>
      <c r="BG285" s="382">
        <f>IF(BF285&gt;0,+BF285)/ 'Pile Data and Eurocode Factors'!$B$14/ 'Pile Data and Eurocode Factors'!$B$15+BG$281</f>
        <v>1278.9737112192652</v>
      </c>
      <c r="BH285" s="382">
        <f t="shared" si="307"/>
        <v>3769.3609936492217</v>
      </c>
      <c r="BI285" s="382">
        <f>BC285* Pile!$U$51</f>
        <v>0</v>
      </c>
      <c r="BJ285" s="382">
        <f t="shared" si="253"/>
        <v>3769.3609936492217</v>
      </c>
      <c r="BK285" s="382">
        <f>BJ285/ 'Pile Data and Eurocode Factors'!$C$14/ 'Pile Data and Eurocode Factors'!$C$15</f>
        <v>1346.2003548747221</v>
      </c>
      <c r="BL285" s="382">
        <f t="shared" si="254"/>
        <v>2625.1740660939872</v>
      </c>
      <c r="BM285" s="382">
        <f>VLOOKUP(BA285, 'Pile Data and Eurocode Factors'!$A$34:$J$39,3, FALSE)</f>
        <v>6572.7116301410997</v>
      </c>
      <c r="BN285" s="403">
        <f t="shared" si="255"/>
        <v>2625.1740660939872</v>
      </c>
      <c r="BO285" s="419">
        <v>900</v>
      </c>
      <c r="BP285" s="430">
        <f>PI()*BO285/1000*( Pile!$C$51- Pile!$C285)</f>
        <v>16.964600329384872</v>
      </c>
      <c r="BQ285" s="382">
        <f t="shared" si="256"/>
        <v>0.63617251235193317</v>
      </c>
      <c r="BR285" s="382">
        <f t="shared" si="295"/>
        <v>2662.2436161158616</v>
      </c>
      <c r="BS285" s="382">
        <f>BP285* Pile!$S$51</f>
        <v>0</v>
      </c>
      <c r="BT285" s="382">
        <f t="shared" si="301"/>
        <v>2662.2436161158616</v>
      </c>
      <c r="BU285" s="382">
        <f>IF(BT285&gt;0,+BT285)/ 'Pile Data and Eurocode Factors'!$B$14/ 'Pile Data and Eurocode Factors'!$B$15+BU$281</f>
        <v>1534.768453463118</v>
      </c>
      <c r="BV285" s="382">
        <f t="shared" si="308"/>
        <v>5427.8798308548794</v>
      </c>
      <c r="BW285" s="382">
        <f>BQ285* Pile!$U$51</f>
        <v>0</v>
      </c>
      <c r="BX285" s="382">
        <f t="shared" si="257"/>
        <v>5427.8798308548794</v>
      </c>
      <c r="BY285" s="382">
        <f>BX285/ 'Pile Data and Eurocode Factors'!$C$14/ 'Pile Data and Eurocode Factors'!$C$15</f>
        <v>1938.5285110195998</v>
      </c>
      <c r="BZ285" s="382">
        <f t="shared" si="258"/>
        <v>3473.2969644827181</v>
      </c>
      <c r="CA285" s="382">
        <f>VLOOKUP(BO285, 'Pile Data and Eurocode Factors'!$A$34:$J$39,3, FALSE)</f>
        <v>9464.7047474031824</v>
      </c>
      <c r="CB285" s="403">
        <f t="shared" si="259"/>
        <v>3473.2969644827181</v>
      </c>
      <c r="CC285" s="419">
        <v>1050</v>
      </c>
      <c r="CD285" s="430">
        <f>PI()*CC285/1000*( Pile!$C$51- Pile!$C285)</f>
        <v>19.792033717615684</v>
      </c>
      <c r="CE285" s="382">
        <f t="shared" si="260"/>
        <v>0.86590147514568672</v>
      </c>
      <c r="CF285" s="382">
        <f t="shared" si="296"/>
        <v>3105.9508854685055</v>
      </c>
      <c r="CG285" s="382">
        <f>CD285* Pile!$S$51</f>
        <v>0</v>
      </c>
      <c r="CH285" s="382">
        <f t="shared" si="302"/>
        <v>3105.9508854685055</v>
      </c>
      <c r="CI285" s="382">
        <f>IF(CH285&gt;0,+CH285)/ 'Pile Data and Eurocode Factors'!$B$14/ 'Pile Data and Eurocode Factors'!$B$15+CI$281</f>
        <v>1790.5631957069713</v>
      </c>
      <c r="CJ285" s="382">
        <f t="shared" si="309"/>
        <v>7387.9475475524741</v>
      </c>
      <c r="CK285" s="382">
        <f>CE285* Pile!$U$51</f>
        <v>0</v>
      </c>
      <c r="CL285" s="382">
        <f t="shared" si="261"/>
        <v>7387.9475475524741</v>
      </c>
      <c r="CM285" s="382">
        <f>CL285/ 'Pile Data and Eurocode Factors'!$C$14/ 'Pile Data and Eurocode Factors'!$C$15</f>
        <v>2638.5526955544551</v>
      </c>
      <c r="CN285" s="382">
        <f t="shared" si="262"/>
        <v>4429.1158912614264</v>
      </c>
      <c r="CO285" s="382">
        <f>VLOOKUP(CC285, 'Pile Data and Eurocode Factors'!$A$34:$J$39,3, FALSE)</f>
        <v>12882.514795076555</v>
      </c>
      <c r="CP285" s="403">
        <f t="shared" si="263"/>
        <v>4429.1158912614264</v>
      </c>
      <c r="CQ285" s="419">
        <v>1200</v>
      </c>
      <c r="CR285" s="430">
        <f>PI()*CQ285/1000*( Pile!$C$51- Pile!$C285)</f>
        <v>22.619467105846496</v>
      </c>
      <c r="CS285" s="382">
        <f t="shared" si="264"/>
        <v>1.1309733552923256</v>
      </c>
      <c r="CT285" s="382">
        <f t="shared" si="297"/>
        <v>3549.6581548211493</v>
      </c>
      <c r="CU285" s="382">
        <f>CR285* Pile!$S$51</f>
        <v>0</v>
      </c>
      <c r="CV285" s="382">
        <f t="shared" si="303"/>
        <v>3549.6581548211493</v>
      </c>
      <c r="CW285" s="382">
        <f>IF(CV285&gt;0,+CV285)/ 'Pile Data and Eurocode Factors'!$B$14/ 'Pile Data and Eurocode Factors'!$B$15+CW$281</f>
        <v>2046.3579379508242</v>
      </c>
      <c r="CX285" s="382">
        <f t="shared" si="310"/>
        <v>9649.5641437420072</v>
      </c>
      <c r="CY285" s="382">
        <f>CS285* Pile!$U$51</f>
        <v>0</v>
      </c>
      <c r="CZ285" s="382">
        <f t="shared" si="265"/>
        <v>9649.5641437420072</v>
      </c>
      <c r="DA285" s="382">
        <f>CZ285/ 'Pile Data and Eurocode Factors'!$C$14/ 'Pile Data and Eurocode Factors'!$C$15</f>
        <v>3446.2729084792886</v>
      </c>
      <c r="DB285" s="382">
        <f t="shared" si="266"/>
        <v>5492.6308464301128</v>
      </c>
      <c r="DC285" s="382">
        <f>VLOOKUP(CQ285, 'Pile Data and Eurocode Factors'!$A$34:$J$39,3, FALSE)</f>
        <v>16826.141773161216</v>
      </c>
      <c r="DD285" s="403">
        <f t="shared" si="267"/>
        <v>5492.6308464301128</v>
      </c>
      <c r="DE285" s="420">
        <f xml:space="preserve"> Pile!$C$23- Pile!C285</f>
        <v>17.999999999999996</v>
      </c>
      <c r="DG285" s="382">
        <f t="shared" si="268"/>
        <v>1252.016354486459</v>
      </c>
      <c r="DH285" s="382">
        <f t="shared" si="269"/>
        <v>1884.7471960952344</v>
      </c>
      <c r="DI285" s="382">
        <f t="shared" si="270"/>
        <v>2625.1740660939872</v>
      </c>
      <c r="DJ285" s="382">
        <f t="shared" si="271"/>
        <v>3473.2969644827181</v>
      </c>
      <c r="DK285" s="382">
        <f t="shared" si="272"/>
        <v>4429.1158912614264</v>
      </c>
      <c r="DL285" s="382">
        <f t="shared" si="291"/>
        <v>5492.6308464301128</v>
      </c>
    </row>
    <row r="286" spans="2:116" s="308" customFormat="1" ht="15">
      <c r="B286" s="400">
        <v>5</v>
      </c>
      <c r="C286" s="401">
        <f>+C285- Pile!D$51/20</f>
        <v>-13.499999999999996</v>
      </c>
      <c r="D286" s="415" t="str">
        <f>B25</f>
        <v>Medium Sand/Gravel</v>
      </c>
      <c r="E286" s="415" t="str">
        <f>F25</f>
        <v>Granular</v>
      </c>
      <c r="F286" s="401">
        <f xml:space="preserve"> Pile!$E$51*(+C285-C286)+F285</f>
        <v>356.25000000000011</v>
      </c>
      <c r="G286" s="401">
        <f>IF(C286&gt; Pile!$C$54,0,( Pile!$C$54-C286)*9.81)</f>
        <v>0</v>
      </c>
      <c r="H286" s="401">
        <f t="shared" si="238"/>
        <v>356.25000000000011</v>
      </c>
      <c r="I286" s="401">
        <f t="shared" si="311"/>
        <v>283.12500000000011</v>
      </c>
      <c r="J286" s="401">
        <f>IF(E286="Cohesive",(( Pile!$H$51- Pile!$G$51)/20)+J285,0)</f>
        <v>0</v>
      </c>
      <c r="K286" s="401">
        <f>IF(E286="Cohesive",( Pile!$G$51+ Pile!$J286)/2,0)</f>
        <v>0</v>
      </c>
      <c r="L286" s="401" t="str">
        <f>IF( Pile!I$51="",0, Pile!I$51)</f>
        <v>0</v>
      </c>
      <c r="M286" s="401" t="str">
        <f>IF( Pile!J$51="",0, Pile!J$51)</f>
        <v>0</v>
      </c>
      <c r="N286" s="401">
        <f>IF(E286="Granular", Pile!$K$51,0)</f>
        <v>26.092012099198989</v>
      </c>
      <c r="O286" s="416">
        <f>IF(AND(E286="Granular",D286&lt;&gt;"Made Ground"), Pile!$L$51,0)</f>
        <v>0.58446683387775955</v>
      </c>
      <c r="P286" s="401">
        <f>IF(OR(D286="Low Density Chalk",D286="Medium Density Chalk"), Pile!$M$51,0)</f>
        <v>0</v>
      </c>
      <c r="Q286" s="417">
        <f>IF(D286="High Density Chalk", Pile!$N$51,0)</f>
        <v>0</v>
      </c>
      <c r="R286" s="401">
        <f>IF( Pile!O$51="",0, Pile!O$51)</f>
        <v>0</v>
      </c>
      <c r="S286" s="418">
        <f t="shared" si="240"/>
        <v>165.47717234164074</v>
      </c>
      <c r="T286" s="382">
        <f xml:space="preserve"> Pile!$T$51</f>
        <v>1200</v>
      </c>
      <c r="U286" s="382">
        <f t="shared" si="241"/>
        <v>165.47717234164074</v>
      </c>
      <c r="V286" s="382">
        <f t="shared" si="242"/>
        <v>9295.2793103396434</v>
      </c>
      <c r="W286" s="382">
        <f xml:space="preserve"> Pile!$V$51</f>
        <v>15000</v>
      </c>
      <c r="X286" s="382">
        <f t="shared" si="243"/>
        <v>9295.2793103396434</v>
      </c>
      <c r="Y286" s="419">
        <v>450</v>
      </c>
      <c r="Z286" s="430">
        <f>PI()*Y286/1000*( Pile!$C$51- Pile!$C286)</f>
        <v>10.602875205865546</v>
      </c>
      <c r="AA286" s="382">
        <f t="shared" si="244"/>
        <v>0.15904312808798329</v>
      </c>
      <c r="AB286" s="382">
        <f t="shared" si="292"/>
        <v>1754.5338077579224</v>
      </c>
      <c r="AC286" s="382">
        <f>Z286* Pile!$S$51</f>
        <v>0</v>
      </c>
      <c r="AD286" s="382">
        <f t="shared" si="298"/>
        <v>1754.5338077579224</v>
      </c>
      <c r="AE286" s="382">
        <f>IF(AD286&gt;0,+AD286)/ 'Pile Data and Eurocode Factors'!$B$14/ 'Pile Data and Eurocode Factors'!$B$15+AE$281</f>
        <v>956.407440883341</v>
      </c>
      <c r="AF286" s="382">
        <f t="shared" si="305"/>
        <v>1478.350297967929</v>
      </c>
      <c r="AG286" s="382">
        <f>AA286* Pile!$U$51</f>
        <v>0</v>
      </c>
      <c r="AH286" s="382">
        <f t="shared" si="245"/>
        <v>1478.350297967929</v>
      </c>
      <c r="AI286" s="382">
        <f>AH286/ 'Pile Data and Eurocode Factors'!$C$14/ 'Pile Data and Eurocode Factors'!$C$15</f>
        <v>527.98224927426043</v>
      </c>
      <c r="AJ286" s="382">
        <f t="shared" si="246"/>
        <v>1484.3896901576013</v>
      </c>
      <c r="AK286" s="382">
        <f>VLOOKUP(Y286, 'Pile Data and Eurocode Factors'!$A$34:$J$39,3, FALSE)</f>
        <v>2366.1761868507956</v>
      </c>
      <c r="AL286" s="403">
        <f t="shared" si="247"/>
        <v>1484.3896901576013</v>
      </c>
      <c r="AM286" s="419">
        <v>600</v>
      </c>
      <c r="AN286" s="430">
        <f>PI()*AM286/1000*( Pile!$C$51- Pile!$C286)</f>
        <v>14.137166941154062</v>
      </c>
      <c r="AO286" s="382">
        <f t="shared" si="248"/>
        <v>0.28274333882308139</v>
      </c>
      <c r="AP286" s="382">
        <f t="shared" si="293"/>
        <v>2339.3784103438966</v>
      </c>
      <c r="AQ286" s="382">
        <f>AN286* Pile!$S$51</f>
        <v>0</v>
      </c>
      <c r="AR286" s="382">
        <f t="shared" si="299"/>
        <v>2339.3784103438966</v>
      </c>
      <c r="AS286" s="382">
        <f>IF(AR286&gt;0,+AR286)/ 'Pile Data and Eurocode Factors'!$B$14/ 'Pile Data and Eurocode Factors'!$B$15+AS$281</f>
        <v>1275.2099211777879</v>
      </c>
      <c r="AT286" s="382">
        <f t="shared" si="306"/>
        <v>2628.1783074985401</v>
      </c>
      <c r="AU286" s="382">
        <f>AO286* Pile!$U$51</f>
        <v>0</v>
      </c>
      <c r="AV286" s="382">
        <f t="shared" si="249"/>
        <v>2628.1783074985401</v>
      </c>
      <c r="AW286" s="382">
        <f>AV286/ 'Pile Data and Eurocode Factors'!$C$14/ 'Pile Data and Eurocode Factors'!$C$15</f>
        <v>938.63510982090725</v>
      </c>
      <c r="AX286" s="382">
        <f t="shared" si="250"/>
        <v>2213.8450309986952</v>
      </c>
      <c r="AY286" s="382">
        <f>VLOOKUP(AM286, 'Pile Data and Eurocode Factors'!$A$34:$J$39,3, FALSE)</f>
        <v>4206.5354432903041</v>
      </c>
      <c r="AZ286" s="403">
        <f t="shared" si="251"/>
        <v>2213.8450309986952</v>
      </c>
      <c r="BA286" s="419">
        <v>750</v>
      </c>
      <c r="BB286" s="430">
        <f>PI()*BA286/1000*( Pile!$C$51- Pile!$C286)</f>
        <v>17.67145867644258</v>
      </c>
      <c r="BC286" s="382">
        <f t="shared" si="252"/>
        <v>0.44178646691106466</v>
      </c>
      <c r="BD286" s="382">
        <f t="shared" si="294"/>
        <v>2924.2230129298714</v>
      </c>
      <c r="BE286" s="382">
        <f>BB286* Pile!$S$51</f>
        <v>0</v>
      </c>
      <c r="BF286" s="382">
        <f t="shared" si="300"/>
        <v>2924.2230129298714</v>
      </c>
      <c r="BG286" s="382">
        <f>IF(BF286&gt;0,+BF286)/ 'Pile Data and Eurocode Factors'!$B$14/ 'Pile Data and Eurocode Factors'!$B$15+BG$281</f>
        <v>1594.0124014722355</v>
      </c>
      <c r="BH286" s="382">
        <f t="shared" si="307"/>
        <v>4106.5286054664684</v>
      </c>
      <c r="BI286" s="382">
        <f>BC286* Pile!$U$51</f>
        <v>0</v>
      </c>
      <c r="BJ286" s="382">
        <f t="shared" si="253"/>
        <v>4106.5286054664684</v>
      </c>
      <c r="BK286" s="382">
        <f>BJ286/ 'Pile Data and Eurocode Factors'!$C$14/ 'Pile Data and Eurocode Factors'!$C$15</f>
        <v>1466.6173590951673</v>
      </c>
      <c r="BL286" s="382">
        <f t="shared" si="254"/>
        <v>3060.6297605674026</v>
      </c>
      <c r="BM286" s="382">
        <f>VLOOKUP(BA286, 'Pile Data and Eurocode Factors'!$A$34:$J$39,3, FALSE)</f>
        <v>6572.7116301410997</v>
      </c>
      <c r="BN286" s="403">
        <f t="shared" si="255"/>
        <v>3060.6297605674026</v>
      </c>
      <c r="BO286" s="419">
        <v>900</v>
      </c>
      <c r="BP286" s="430">
        <f>PI()*BO286/1000*( Pile!$C$51- Pile!$C286)</f>
        <v>21.205750411731092</v>
      </c>
      <c r="BQ286" s="382">
        <f t="shared" si="256"/>
        <v>0.63617251235193317</v>
      </c>
      <c r="BR286" s="382">
        <f t="shared" si="295"/>
        <v>3509.0676155158449</v>
      </c>
      <c r="BS286" s="382">
        <f>BP286* Pile!$S$51</f>
        <v>0</v>
      </c>
      <c r="BT286" s="382">
        <f t="shared" si="301"/>
        <v>3509.0676155158449</v>
      </c>
      <c r="BU286" s="382">
        <f>IF(BT286&gt;0,+BT286)/ 'Pile Data and Eurocode Factors'!$B$14/ 'Pile Data and Eurocode Factors'!$B$15+BU$281</f>
        <v>1912.814881766682</v>
      </c>
      <c r="BV286" s="382">
        <f t="shared" si="308"/>
        <v>5913.401191871716</v>
      </c>
      <c r="BW286" s="382">
        <f>BQ286* Pile!$U$51</f>
        <v>0</v>
      </c>
      <c r="BX286" s="382">
        <f t="shared" si="257"/>
        <v>5913.401191871716</v>
      </c>
      <c r="BY286" s="382">
        <f>BX286/ 'Pile Data and Eurocode Factors'!$C$14/ 'Pile Data and Eurocode Factors'!$C$15</f>
        <v>2111.9289970970417</v>
      </c>
      <c r="BZ286" s="382">
        <f t="shared" si="258"/>
        <v>4024.7438788637237</v>
      </c>
      <c r="CA286" s="382">
        <f>VLOOKUP(BO286, 'Pile Data and Eurocode Factors'!$A$34:$J$39,3, FALSE)</f>
        <v>9464.7047474031824</v>
      </c>
      <c r="CB286" s="403">
        <f t="shared" si="259"/>
        <v>4024.7438788637237</v>
      </c>
      <c r="CC286" s="419">
        <v>1050</v>
      </c>
      <c r="CD286" s="430">
        <f>PI()*CC286/1000*( Pile!$C$51- Pile!$C286)</f>
        <v>24.740042147019608</v>
      </c>
      <c r="CE286" s="382">
        <f t="shared" si="260"/>
        <v>0.86590147514568672</v>
      </c>
      <c r="CF286" s="382">
        <f t="shared" si="296"/>
        <v>4093.9122181018192</v>
      </c>
      <c r="CG286" s="382">
        <f>CD286* Pile!$S$51</f>
        <v>0</v>
      </c>
      <c r="CH286" s="382">
        <f t="shared" si="302"/>
        <v>4093.9122181018192</v>
      </c>
      <c r="CI286" s="382">
        <f>IF(CH286&gt;0,+CH286)/ 'Pile Data and Eurocode Factors'!$B$14/ 'Pile Data and Eurocode Factors'!$B$15+CI$281</f>
        <v>2231.6173620611289</v>
      </c>
      <c r="CJ286" s="382">
        <f t="shared" si="309"/>
        <v>8048.7960667142788</v>
      </c>
      <c r="CK286" s="382">
        <f>CE286* Pile!$U$51</f>
        <v>0</v>
      </c>
      <c r="CL286" s="382">
        <f t="shared" si="261"/>
        <v>8048.7960667142788</v>
      </c>
      <c r="CM286" s="382">
        <f>CL286/ 'Pile Data and Eurocode Factors'!$C$14/ 'Pile Data and Eurocode Factors'!$C$15</f>
        <v>2874.5700238265285</v>
      </c>
      <c r="CN286" s="382">
        <f t="shared" si="262"/>
        <v>5106.187385887657</v>
      </c>
      <c r="CO286" s="382">
        <f>VLOOKUP(CC286, 'Pile Data and Eurocode Factors'!$A$34:$J$39,3, FALSE)</f>
        <v>12882.514795076555</v>
      </c>
      <c r="CP286" s="403">
        <f t="shared" si="263"/>
        <v>5106.187385887657</v>
      </c>
      <c r="CQ286" s="419">
        <v>1200</v>
      </c>
      <c r="CR286" s="430">
        <f>PI()*CQ286/1000*( Pile!$C$51- Pile!$C286)</f>
        <v>28.274333882308124</v>
      </c>
      <c r="CS286" s="382">
        <f t="shared" si="264"/>
        <v>1.1309733552923256</v>
      </c>
      <c r="CT286" s="382">
        <f t="shared" si="297"/>
        <v>4678.7568206877932</v>
      </c>
      <c r="CU286" s="382">
        <f>CR286* Pile!$S$51</f>
        <v>0</v>
      </c>
      <c r="CV286" s="382">
        <f t="shared" si="303"/>
        <v>4678.7568206877932</v>
      </c>
      <c r="CW286" s="382">
        <f>IF(CV286&gt;0,+CV286)/ 'Pile Data and Eurocode Factors'!$B$14/ 'Pile Data and Eurocode Factors'!$B$15+CW$281</f>
        <v>2550.4198423555758</v>
      </c>
      <c r="CX286" s="382">
        <f t="shared" si="310"/>
        <v>10512.71322999416</v>
      </c>
      <c r="CY286" s="382">
        <f>CS286* Pile!$U$51</f>
        <v>0</v>
      </c>
      <c r="CZ286" s="382">
        <f t="shared" si="265"/>
        <v>10512.71322999416</v>
      </c>
      <c r="DA286" s="382">
        <f>CZ286/ 'Pile Data and Eurocode Factors'!$C$14/ 'Pile Data and Eurocode Factors'!$C$15</f>
        <v>3754.540439283629</v>
      </c>
      <c r="DB286" s="382">
        <f t="shared" si="266"/>
        <v>6304.9602816392053</v>
      </c>
      <c r="DC286" s="382">
        <f>VLOOKUP(CQ286, 'Pile Data and Eurocode Factors'!$A$34:$J$39,3, FALSE)</f>
        <v>16826.141773161216</v>
      </c>
      <c r="DD286" s="403">
        <f t="shared" si="267"/>
        <v>6304.9602816392053</v>
      </c>
      <c r="DE286" s="420">
        <f xml:space="preserve"> Pile!$C$23- Pile!C286</f>
        <v>19.499999999999996</v>
      </c>
      <c r="DG286" s="382">
        <f t="shared" si="268"/>
        <v>1484.3896901576013</v>
      </c>
      <c r="DH286" s="382">
        <f t="shared" si="269"/>
        <v>2213.8450309986952</v>
      </c>
      <c r="DI286" s="382">
        <f t="shared" si="270"/>
        <v>3060.6297605674026</v>
      </c>
      <c r="DJ286" s="382">
        <f t="shared" si="271"/>
        <v>4024.7438788637237</v>
      </c>
      <c r="DK286" s="382">
        <f t="shared" si="272"/>
        <v>5106.187385887657</v>
      </c>
      <c r="DL286" s="382">
        <f t="shared" si="291"/>
        <v>6304.9602816392053</v>
      </c>
    </row>
    <row r="287" spans="2:116" s="308" customFormat="1" ht="15">
      <c r="B287" s="400">
        <v>6</v>
      </c>
      <c r="C287" s="401">
        <f>+C286- Pile!D$51/20</f>
        <v>-14.999999999999996</v>
      </c>
      <c r="D287" s="415" t="str">
        <f>B25</f>
        <v>Medium Sand/Gravel</v>
      </c>
      <c r="E287" s="415" t="str">
        <f>F25</f>
        <v>Granular</v>
      </c>
      <c r="F287" s="401">
        <f xml:space="preserve"> Pile!$E$51*(+C286-C287)+F286</f>
        <v>385.50000000000011</v>
      </c>
      <c r="G287" s="401">
        <f>IF(C287&gt; Pile!$C$54,0,( Pile!$C$54-C287)*9.81)</f>
        <v>-3.4852121189032916E-14</v>
      </c>
      <c r="H287" s="401">
        <f t="shared" si="238"/>
        <v>385.50000000000017</v>
      </c>
      <c r="I287" s="401">
        <f t="shared" si="311"/>
        <v>297.75000000000011</v>
      </c>
      <c r="J287" s="401">
        <f>IF(E287="Cohesive",(( Pile!$H$51- Pile!$G$51)/20)+J286,0)</f>
        <v>0</v>
      </c>
      <c r="K287" s="401">
        <f>IF(E287="Cohesive",( Pile!$G$51+ Pile!$J287)/2,0)</f>
        <v>0</v>
      </c>
      <c r="L287" s="401" t="str">
        <f>IF( Pile!I$51="",0, Pile!I$51)</f>
        <v>0</v>
      </c>
      <c r="M287" s="401" t="str">
        <f>IF( Pile!J$51="",0, Pile!J$51)</f>
        <v>0</v>
      </c>
      <c r="N287" s="401">
        <f>IF(E287="Granular", Pile!$K$51,0)</f>
        <v>26.092012099198989</v>
      </c>
      <c r="O287" s="416">
        <f>IF(AND(E287="Granular",D287&lt;&gt;"Made Ground"), Pile!$L$51,0)</f>
        <v>0.58446683387775955</v>
      </c>
      <c r="P287" s="401">
        <f>IF(OR(D287="Low Density Chalk",D287="Medium Density Chalk"), Pile!$M$51,0)</f>
        <v>0</v>
      </c>
      <c r="Q287" s="417">
        <f>IF(D287="High Density Chalk", Pile!$N$51,0)</f>
        <v>0</v>
      </c>
      <c r="R287" s="401">
        <f>IF( Pile!O$51="",0, Pile!O$51)</f>
        <v>0</v>
      </c>
      <c r="S287" s="418">
        <f t="shared" si="240"/>
        <v>174.02499978710298</v>
      </c>
      <c r="T287" s="382">
        <f xml:space="preserve"> Pile!$T$51</f>
        <v>1200</v>
      </c>
      <c r="U287" s="382">
        <f t="shared" si="241"/>
        <v>174.02499978710298</v>
      </c>
      <c r="V287" s="382">
        <f t="shared" si="242"/>
        <v>10058.470664241215</v>
      </c>
      <c r="W287" s="382">
        <f xml:space="preserve"> Pile!$V$51</f>
        <v>15000</v>
      </c>
      <c r="X287" s="382">
        <f t="shared" si="243"/>
        <v>10058.470664241215</v>
      </c>
      <c r="Y287" s="419">
        <v>450</v>
      </c>
      <c r="Z287" s="430">
        <f>PI()*Y287/1000*( Pile!$C$51- Pile!$C287)</f>
        <v>12.723450247038658</v>
      </c>
      <c r="AA287" s="382">
        <f t="shared" si="244"/>
        <v>0.15904312808798329</v>
      </c>
      <c r="AB287" s="382">
        <f t="shared" si="292"/>
        <v>2214.198426532118</v>
      </c>
      <c r="AC287" s="382">
        <f>Z287* Pile!$S$51</f>
        <v>0</v>
      </c>
      <c r="AD287" s="382">
        <f t="shared" si="298"/>
        <v>2214.198426532118</v>
      </c>
      <c r="AE287" s="382">
        <f>IF(AD287&gt;0,+AD287)/ 'Pile Data and Eurocode Factors'!$B$14/ 'Pile Data and Eurocode Factors'!$B$15+AE$281</f>
        <v>1161.614859978964</v>
      </c>
      <c r="AF287" s="382">
        <f t="shared" si="305"/>
        <v>1599.7306382221379</v>
      </c>
      <c r="AG287" s="382">
        <f>AA287* Pile!$U$51</f>
        <v>0</v>
      </c>
      <c r="AH287" s="382">
        <f t="shared" si="245"/>
        <v>1599.7306382221379</v>
      </c>
      <c r="AI287" s="382">
        <f>AH287/ 'Pile Data and Eurocode Factors'!$C$14/ 'Pile Data and Eurocode Factors'!$C$15</f>
        <v>571.33237079362073</v>
      </c>
      <c r="AJ287" s="382">
        <f t="shared" si="246"/>
        <v>1732.9472307725846</v>
      </c>
      <c r="AK287" s="382">
        <f>VLOOKUP(Y287, 'Pile Data and Eurocode Factors'!$A$34:$J$39,3, FALSE)</f>
        <v>2366.1761868507956</v>
      </c>
      <c r="AL287" s="403">
        <f t="shared" si="247"/>
        <v>1732.9472307725846</v>
      </c>
      <c r="AM287" s="419">
        <v>600</v>
      </c>
      <c r="AN287" s="430">
        <f>PI()*AM287/1000*( Pile!$C$51- Pile!$C287)</f>
        <v>16.964600329384876</v>
      </c>
      <c r="AO287" s="382">
        <f t="shared" si="248"/>
        <v>0.28274333882308139</v>
      </c>
      <c r="AP287" s="382">
        <f t="shared" si="293"/>
        <v>2952.26456870949</v>
      </c>
      <c r="AQ287" s="382">
        <f>AN287* Pile!$S$51</f>
        <v>0</v>
      </c>
      <c r="AR287" s="382">
        <f t="shared" si="299"/>
        <v>2952.26456870949</v>
      </c>
      <c r="AS287" s="382">
        <f>IF(AR287&gt;0,+AR287)/ 'Pile Data and Eurocode Factors'!$B$14/ 'Pile Data and Eurocode Factors'!$B$15+AS$281</f>
        <v>1548.8198133052849</v>
      </c>
      <c r="AT287" s="382">
        <f t="shared" si="306"/>
        <v>2843.9655790615784</v>
      </c>
      <c r="AU287" s="382">
        <f>AO287* Pile!$U$51</f>
        <v>0</v>
      </c>
      <c r="AV287" s="382">
        <f t="shared" si="249"/>
        <v>2843.9655790615784</v>
      </c>
      <c r="AW287" s="382">
        <f>AV287/ 'Pile Data and Eurocode Factors'!$C$14/ 'Pile Data and Eurocode Factors'!$C$15</f>
        <v>1015.7019925219923</v>
      </c>
      <c r="AX287" s="382">
        <f t="shared" si="250"/>
        <v>2564.5218058272771</v>
      </c>
      <c r="AY287" s="382">
        <f>VLOOKUP(AM287, 'Pile Data and Eurocode Factors'!$A$34:$J$39,3, FALSE)</f>
        <v>4206.5354432903041</v>
      </c>
      <c r="AZ287" s="403">
        <f t="shared" si="251"/>
        <v>2564.5218058272771</v>
      </c>
      <c r="BA287" s="419">
        <v>750</v>
      </c>
      <c r="BB287" s="430">
        <f>PI()*BA287/1000*( Pile!$C$51- Pile!$C287)</f>
        <v>21.205750411731096</v>
      </c>
      <c r="BC287" s="382">
        <f t="shared" si="252"/>
        <v>0.44178646691106466</v>
      </c>
      <c r="BD287" s="382">
        <f t="shared" si="294"/>
        <v>3690.330710886863</v>
      </c>
      <c r="BE287" s="382">
        <f>BB287* Pile!$S$51</f>
        <v>0</v>
      </c>
      <c r="BF287" s="382">
        <f t="shared" si="300"/>
        <v>3690.330710886863</v>
      </c>
      <c r="BG287" s="382">
        <f>IF(BF287&gt;0,+BF287)/ 'Pile Data and Eurocode Factors'!$B$14/ 'Pile Data and Eurocode Factors'!$B$15+BG$281</f>
        <v>1936.0247666316068</v>
      </c>
      <c r="BH287" s="382">
        <f t="shared" si="307"/>
        <v>4443.6962172837157</v>
      </c>
      <c r="BI287" s="382">
        <f>BC287* Pile!$U$51</f>
        <v>0</v>
      </c>
      <c r="BJ287" s="382">
        <f t="shared" si="253"/>
        <v>4443.6962172837157</v>
      </c>
      <c r="BK287" s="382">
        <f>BJ287/ 'Pile Data and Eurocode Factors'!$C$14/ 'Pile Data and Eurocode Factors'!$C$15</f>
        <v>1587.0343633156128</v>
      </c>
      <c r="BL287" s="382">
        <f t="shared" si="254"/>
        <v>3523.0591299472198</v>
      </c>
      <c r="BM287" s="382">
        <f>VLOOKUP(BA287, 'Pile Data and Eurocode Factors'!$A$34:$J$39,3, FALSE)</f>
        <v>6572.7116301410997</v>
      </c>
      <c r="BN287" s="403">
        <f t="shared" si="255"/>
        <v>3523.0591299472198</v>
      </c>
      <c r="BO287" s="419">
        <v>900</v>
      </c>
      <c r="BP287" s="430">
        <f>PI()*BO287/1000*( Pile!$C$51- Pile!$C287)</f>
        <v>25.446900494077315</v>
      </c>
      <c r="BQ287" s="382">
        <f t="shared" si="256"/>
        <v>0.63617251235193317</v>
      </c>
      <c r="BR287" s="382">
        <f t="shared" si="295"/>
        <v>4428.396853064236</v>
      </c>
      <c r="BS287" s="382">
        <f>BP287* Pile!$S$51</f>
        <v>0</v>
      </c>
      <c r="BT287" s="382">
        <f t="shared" si="301"/>
        <v>4428.396853064236</v>
      </c>
      <c r="BU287" s="382">
        <f>IF(BT287&gt;0,+BT287)/ 'Pile Data and Eurocode Factors'!$B$14/ 'Pile Data and Eurocode Factors'!$B$15+BU$281</f>
        <v>2323.229719957928</v>
      </c>
      <c r="BV287" s="382">
        <f t="shared" si="308"/>
        <v>6398.9225528885518</v>
      </c>
      <c r="BW287" s="382">
        <f>BQ287* Pile!$U$51</f>
        <v>0</v>
      </c>
      <c r="BX287" s="382">
        <f t="shared" si="257"/>
        <v>6398.9225528885518</v>
      </c>
      <c r="BY287" s="382">
        <f>BX287/ 'Pile Data and Eurocode Factors'!$C$14/ 'Pile Data and Eurocode Factors'!$C$15</f>
        <v>2285.3294831744829</v>
      </c>
      <c r="BZ287" s="382">
        <f t="shared" si="258"/>
        <v>4608.5592031324104</v>
      </c>
      <c r="CA287" s="382">
        <f>VLOOKUP(BO287, 'Pile Data and Eurocode Factors'!$A$34:$J$39,3, FALSE)</f>
        <v>9464.7047474031824</v>
      </c>
      <c r="CB287" s="403">
        <f t="shared" si="259"/>
        <v>4608.5592031324104</v>
      </c>
      <c r="CC287" s="419">
        <v>1050</v>
      </c>
      <c r="CD287" s="430">
        <f>PI()*CC287/1000*( Pile!$C$51- Pile!$C287)</f>
        <v>29.688050576423532</v>
      </c>
      <c r="CE287" s="382">
        <f t="shared" si="260"/>
        <v>0.86590147514568672</v>
      </c>
      <c r="CF287" s="382">
        <f t="shared" si="296"/>
        <v>5166.462995241608</v>
      </c>
      <c r="CG287" s="382">
        <f>CD287* Pile!$S$51</f>
        <v>0</v>
      </c>
      <c r="CH287" s="382">
        <f t="shared" si="302"/>
        <v>5166.462995241608</v>
      </c>
      <c r="CI287" s="382">
        <f>IF(CH287&gt;0,+CH287)/ 'Pile Data and Eurocode Factors'!$B$14/ 'Pile Data and Eurocode Factors'!$B$15+CI$281</f>
        <v>2710.4346732842491</v>
      </c>
      <c r="CJ287" s="382">
        <f t="shared" si="309"/>
        <v>8709.6445858760835</v>
      </c>
      <c r="CK287" s="382">
        <f>CE287* Pile!$U$51</f>
        <v>0</v>
      </c>
      <c r="CL287" s="382">
        <f t="shared" si="261"/>
        <v>8709.6445858760835</v>
      </c>
      <c r="CM287" s="382">
        <f>CL287/ 'Pile Data and Eurocode Factors'!$C$14/ 'Pile Data and Eurocode Factors'!$C$15</f>
        <v>3110.5873520986015</v>
      </c>
      <c r="CN287" s="382">
        <f t="shared" si="262"/>
        <v>5821.0220253828502</v>
      </c>
      <c r="CO287" s="382">
        <f>VLOOKUP(CC287, 'Pile Data and Eurocode Factors'!$A$34:$J$39,3, FALSE)</f>
        <v>12882.514795076555</v>
      </c>
      <c r="CP287" s="403">
        <f t="shared" si="263"/>
        <v>5821.0220253828502</v>
      </c>
      <c r="CQ287" s="419">
        <v>1200</v>
      </c>
      <c r="CR287" s="430">
        <f>PI()*CQ287/1000*( Pile!$C$51- Pile!$C287)</f>
        <v>33.929200658769751</v>
      </c>
      <c r="CS287" s="382">
        <f t="shared" si="264"/>
        <v>1.1309733552923256</v>
      </c>
      <c r="CT287" s="382">
        <f t="shared" si="297"/>
        <v>5904.5291374189801</v>
      </c>
      <c r="CU287" s="382">
        <f>CR287* Pile!$S$51</f>
        <v>0</v>
      </c>
      <c r="CV287" s="382">
        <f t="shared" si="303"/>
        <v>5904.5291374189801</v>
      </c>
      <c r="CW287" s="382">
        <f>IF(CV287&gt;0,+CV287)/ 'Pile Data and Eurocode Factors'!$B$14/ 'Pile Data and Eurocode Factors'!$B$15+CW$281</f>
        <v>3097.6396266105698</v>
      </c>
      <c r="CX287" s="382">
        <f t="shared" si="310"/>
        <v>11375.862316246314</v>
      </c>
      <c r="CY287" s="382">
        <f>CS287* Pile!$U$51</f>
        <v>0</v>
      </c>
      <c r="CZ287" s="382">
        <f t="shared" si="265"/>
        <v>11375.862316246314</v>
      </c>
      <c r="DA287" s="382">
        <f>CZ287/ 'Pile Data and Eurocode Factors'!$C$14/ 'Pile Data and Eurocode Factors'!$C$15</f>
        <v>4062.8079700879694</v>
      </c>
      <c r="DB287" s="382">
        <f t="shared" si="266"/>
        <v>7160.4475966985392</v>
      </c>
      <c r="DC287" s="382">
        <f>VLOOKUP(CQ287, 'Pile Data and Eurocode Factors'!$A$34:$J$39,3, FALSE)</f>
        <v>16826.141773161216</v>
      </c>
      <c r="DD287" s="403">
        <f t="shared" si="267"/>
        <v>7160.4475966985392</v>
      </c>
      <c r="DE287" s="420">
        <f xml:space="preserve"> Pile!$C$23- Pile!C287</f>
        <v>20.999999999999996</v>
      </c>
      <c r="DG287" s="382">
        <f t="shared" si="268"/>
        <v>1732.9472307725846</v>
      </c>
      <c r="DH287" s="382">
        <f t="shared" si="269"/>
        <v>2564.5218058272771</v>
      </c>
      <c r="DI287" s="382">
        <f t="shared" si="270"/>
        <v>3523.0591299472198</v>
      </c>
      <c r="DJ287" s="382">
        <f t="shared" si="271"/>
        <v>4608.5592031324104</v>
      </c>
      <c r="DK287" s="382">
        <f t="shared" si="272"/>
        <v>5821.0220253828502</v>
      </c>
      <c r="DL287" s="382">
        <f t="shared" si="291"/>
        <v>7160.4475966985392</v>
      </c>
    </row>
    <row r="288" spans="2:116" s="308" customFormat="1" ht="15">
      <c r="B288" s="400">
        <v>7</v>
      </c>
      <c r="C288" s="401">
        <f>+C287- Pile!D$51/20</f>
        <v>-16.499999999999996</v>
      </c>
      <c r="D288" s="415" t="str">
        <f>B25</f>
        <v>Medium Sand/Gravel</v>
      </c>
      <c r="E288" s="415" t="str">
        <f>F25</f>
        <v>Granular</v>
      </c>
      <c r="F288" s="401">
        <f xml:space="preserve"> Pile!$E$51*(+C287-C288)+F287</f>
        <v>414.75000000000011</v>
      </c>
      <c r="G288" s="401">
        <f>IF(C288&gt; Pile!$C$54,0,( Pile!$C$54-C288)*9.81)</f>
        <v>14.714999999999966</v>
      </c>
      <c r="H288" s="401">
        <f t="shared" si="238"/>
        <v>400.03500000000014</v>
      </c>
      <c r="I288" s="401">
        <f t="shared" si="311"/>
        <v>305.01750000000015</v>
      </c>
      <c r="J288" s="401">
        <f>IF(E288="Cohesive",(( Pile!$H$51- Pile!$G$51)/20)+J287,0)</f>
        <v>0</v>
      </c>
      <c r="K288" s="401">
        <f>IF(E288="Cohesive",( Pile!$G$51+ Pile!$J288)/2,0)</f>
        <v>0</v>
      </c>
      <c r="L288" s="401" t="str">
        <f>IF( Pile!I$51="",0, Pile!I$51)</f>
        <v>0</v>
      </c>
      <c r="M288" s="401" t="str">
        <f>IF( Pile!J$51="",0, Pile!J$51)</f>
        <v>0</v>
      </c>
      <c r="N288" s="401">
        <f>IF(E288="Granular", Pile!$K$51,0)</f>
        <v>26.092012099198989</v>
      </c>
      <c r="O288" s="416">
        <f>IF(AND(E288="Granular",D288&lt;&gt;"Made Ground"), Pile!$L$51,0)</f>
        <v>0.58446683387775955</v>
      </c>
      <c r="P288" s="401">
        <f>IF(OR(D288="Low Density Chalk",D288="Medium Density Chalk"), Pile!$M$51,0)</f>
        <v>0</v>
      </c>
      <c r="Q288" s="417">
        <f>IF(D288="High Density Chalk", Pile!$N$51,0)</f>
        <v>0</v>
      </c>
      <c r="R288" s="401">
        <f>IF( Pile!O$51="",0, Pile!O$51)</f>
        <v>0</v>
      </c>
      <c r="S288" s="418">
        <f t="shared" si="240"/>
        <v>178.27261250230961</v>
      </c>
      <c r="T288" s="382">
        <f xml:space="preserve"> Pile!$T$51</f>
        <v>1200</v>
      </c>
      <c r="U288" s="382">
        <f t="shared" si="241"/>
        <v>178.27261250230961</v>
      </c>
      <c r="V288" s="382">
        <f t="shared" si="242"/>
        <v>10437.71806010307</v>
      </c>
      <c r="W288" s="382">
        <f xml:space="preserve"> Pile!$V$51</f>
        <v>15000</v>
      </c>
      <c r="X288" s="382">
        <f t="shared" si="243"/>
        <v>10437.71806010307</v>
      </c>
      <c r="Y288" s="419">
        <v>450</v>
      </c>
      <c r="Z288" s="430">
        <f>PI()*Y288/1000*( Pile!$C$51- Pile!$C288)</f>
        <v>14.844025288211768</v>
      </c>
      <c r="AA288" s="382">
        <f t="shared" si="244"/>
        <v>0.15904312808798329</v>
      </c>
      <c r="AB288" s="382">
        <f t="shared" si="292"/>
        <v>2646.2831681798611</v>
      </c>
      <c r="AC288" s="382">
        <f>Z288* Pile!$S$51</f>
        <v>0</v>
      </c>
      <c r="AD288" s="382">
        <f t="shared" si="298"/>
        <v>2646.2831681798611</v>
      </c>
      <c r="AE288" s="382">
        <f>IF(AD288&gt;0,+AD288)/ 'Pile Data and Eurocode Factors'!$B$14/ 'Pile Data and Eurocode Factors'!$B$15+AE$281</f>
        <v>1354.5098339288495</v>
      </c>
      <c r="AF288" s="382">
        <f t="shared" si="305"/>
        <v>1660.0473303792292</v>
      </c>
      <c r="AG288" s="382">
        <f>AA288* Pile!$U$51</f>
        <v>0</v>
      </c>
      <c r="AH288" s="382">
        <f t="shared" si="245"/>
        <v>1660.0473303792292</v>
      </c>
      <c r="AI288" s="382">
        <f>AH288/ 'Pile Data and Eurocode Factors'!$C$14/ 'Pile Data and Eurocode Factors'!$C$15</f>
        <v>592.87404656401043</v>
      </c>
      <c r="AJ288" s="382">
        <f t="shared" si="246"/>
        <v>1947.38388049286</v>
      </c>
      <c r="AK288" s="382">
        <f>VLOOKUP(Y288, 'Pile Data and Eurocode Factors'!$A$34:$J$39,3, FALSE)</f>
        <v>2366.1761868507956</v>
      </c>
      <c r="AL288" s="403">
        <f t="shared" si="247"/>
        <v>1947.38388049286</v>
      </c>
      <c r="AM288" s="419">
        <v>600</v>
      </c>
      <c r="AN288" s="430">
        <f>PI()*AM288/1000*( Pile!$C$51- Pile!$C288)</f>
        <v>19.792033717615691</v>
      </c>
      <c r="AO288" s="382">
        <f t="shared" si="248"/>
        <v>0.28274333882308139</v>
      </c>
      <c r="AP288" s="382">
        <f t="shared" si="293"/>
        <v>3528.3775575731484</v>
      </c>
      <c r="AQ288" s="382">
        <f>AN288* Pile!$S$51</f>
        <v>0</v>
      </c>
      <c r="AR288" s="382">
        <f t="shared" si="299"/>
        <v>3528.3775575731484</v>
      </c>
      <c r="AS288" s="382">
        <f>IF(AR288&gt;0,+AR288)/ 'Pile Data and Eurocode Factors'!$B$14/ 'Pile Data and Eurocode Factors'!$B$15+AS$281</f>
        <v>1806.0131119051325</v>
      </c>
      <c r="AT288" s="382">
        <f t="shared" si="306"/>
        <v>2951.1952540075181</v>
      </c>
      <c r="AU288" s="382">
        <f>AO288* Pile!$U$51</f>
        <v>0</v>
      </c>
      <c r="AV288" s="382">
        <f t="shared" si="249"/>
        <v>2951.1952540075181</v>
      </c>
      <c r="AW288" s="382">
        <f>AV288/ 'Pile Data and Eurocode Factors'!$C$14/ 'Pile Data and Eurocode Factors'!$C$15</f>
        <v>1053.9983050026851</v>
      </c>
      <c r="AX288" s="382">
        <f t="shared" si="250"/>
        <v>2860.0114169078179</v>
      </c>
      <c r="AY288" s="382">
        <f>VLOOKUP(AM288, 'Pile Data and Eurocode Factors'!$A$34:$J$39,3, FALSE)</f>
        <v>4206.5354432903041</v>
      </c>
      <c r="AZ288" s="403">
        <f t="shared" si="251"/>
        <v>2860.0114169078179</v>
      </c>
      <c r="BA288" s="419">
        <v>750</v>
      </c>
      <c r="BB288" s="430">
        <f>PI()*BA288/1000*( Pile!$C$51- Pile!$C288)</f>
        <v>24.740042147019611</v>
      </c>
      <c r="BC288" s="382">
        <f t="shared" si="252"/>
        <v>0.44178646691106466</v>
      </c>
      <c r="BD288" s="382">
        <f t="shared" si="294"/>
        <v>4410.4719469664351</v>
      </c>
      <c r="BE288" s="382">
        <f>BB288* Pile!$S$51</f>
        <v>0</v>
      </c>
      <c r="BF288" s="382">
        <f t="shared" si="300"/>
        <v>4410.4719469664351</v>
      </c>
      <c r="BG288" s="382">
        <f>IF(BF288&gt;0,+BF288)/ 'Pile Data and Eurocode Factors'!$B$14/ 'Pile Data and Eurocode Factors'!$B$15+BG$281</f>
        <v>2257.5163898814158</v>
      </c>
      <c r="BH288" s="382">
        <f t="shared" si="307"/>
        <v>4611.2425843867468</v>
      </c>
      <c r="BI288" s="382">
        <f>BC288* Pile!$U$51</f>
        <v>0</v>
      </c>
      <c r="BJ288" s="382">
        <f t="shared" si="253"/>
        <v>4611.2425843867468</v>
      </c>
      <c r="BK288" s="382">
        <f>BJ288/ 'Pile Data and Eurocode Factors'!$C$14/ 'Pile Data and Eurocode Factors'!$C$15</f>
        <v>1646.8723515666954</v>
      </c>
      <c r="BL288" s="382">
        <f t="shared" si="254"/>
        <v>3904.3887414481114</v>
      </c>
      <c r="BM288" s="382">
        <f>VLOOKUP(BA288, 'Pile Data and Eurocode Factors'!$A$34:$J$39,3, FALSE)</f>
        <v>6572.7116301410997</v>
      </c>
      <c r="BN288" s="403">
        <f t="shared" si="255"/>
        <v>3904.3887414481114</v>
      </c>
      <c r="BO288" s="419">
        <v>900</v>
      </c>
      <c r="BP288" s="430">
        <f>PI()*BO288/1000*( Pile!$C$51- Pile!$C288)</f>
        <v>29.688050576423535</v>
      </c>
      <c r="BQ288" s="382">
        <f t="shared" si="256"/>
        <v>0.63617251235193317</v>
      </c>
      <c r="BR288" s="382">
        <f t="shared" si="295"/>
        <v>5292.5663363597223</v>
      </c>
      <c r="BS288" s="382">
        <f>BP288* Pile!$S$51</f>
        <v>0</v>
      </c>
      <c r="BT288" s="382">
        <f t="shared" si="301"/>
        <v>5292.5663363597223</v>
      </c>
      <c r="BU288" s="382">
        <f>IF(BT288&gt;0,+BT288)/ 'Pile Data and Eurocode Factors'!$B$14/ 'Pile Data and Eurocode Factors'!$B$15+BU$281</f>
        <v>2709.019667857699</v>
      </c>
      <c r="BV288" s="382">
        <f t="shared" si="308"/>
        <v>6640.1893215169166</v>
      </c>
      <c r="BW288" s="382">
        <f>BQ288* Pile!$U$51</f>
        <v>0</v>
      </c>
      <c r="BX288" s="382">
        <f t="shared" si="257"/>
        <v>6640.1893215169166</v>
      </c>
      <c r="BY288" s="382">
        <f>BX288/ 'Pile Data and Eurocode Factors'!$C$14/ 'Pile Data and Eurocode Factors'!$C$15</f>
        <v>2371.4961862560417</v>
      </c>
      <c r="BZ288" s="382">
        <f t="shared" si="258"/>
        <v>5080.5158541137407</v>
      </c>
      <c r="CA288" s="382">
        <f>VLOOKUP(BO288, 'Pile Data and Eurocode Factors'!$A$34:$J$39,3, FALSE)</f>
        <v>9464.7047474031824</v>
      </c>
      <c r="CB288" s="403">
        <f t="shared" si="259"/>
        <v>5080.5158541137407</v>
      </c>
      <c r="CC288" s="419">
        <v>1050</v>
      </c>
      <c r="CD288" s="430">
        <f>PI()*CC288/1000*( Pile!$C$51- Pile!$C288)</f>
        <v>34.636059005827455</v>
      </c>
      <c r="CE288" s="382">
        <f t="shared" si="260"/>
        <v>0.86590147514568672</v>
      </c>
      <c r="CF288" s="382">
        <f t="shared" si="296"/>
        <v>6174.6607257530095</v>
      </c>
      <c r="CG288" s="382">
        <f>CD288* Pile!$S$51</f>
        <v>0</v>
      </c>
      <c r="CH288" s="382">
        <f t="shared" si="302"/>
        <v>6174.6607257530095</v>
      </c>
      <c r="CI288" s="382">
        <f>IF(CH288&gt;0,+CH288)/ 'Pile Data and Eurocode Factors'!$B$14/ 'Pile Data and Eurocode Factors'!$B$15+CI$281</f>
        <v>3160.5229458339822</v>
      </c>
      <c r="CJ288" s="382">
        <f t="shared" si="309"/>
        <v>9038.0354653980248</v>
      </c>
      <c r="CK288" s="382">
        <f>CE288* Pile!$U$51</f>
        <v>0</v>
      </c>
      <c r="CL288" s="382">
        <f t="shared" si="261"/>
        <v>9038.0354653980248</v>
      </c>
      <c r="CM288" s="382">
        <f>CL288/ 'Pile Data and Eurocode Factors'!$C$14/ 'Pile Data and Eurocode Factors'!$C$15</f>
        <v>3227.8698090707235</v>
      </c>
      <c r="CN288" s="382">
        <f t="shared" si="262"/>
        <v>6388.3927549047057</v>
      </c>
      <c r="CO288" s="382">
        <f>VLOOKUP(CC288, 'Pile Data and Eurocode Factors'!$A$34:$J$39,3, FALSE)</f>
        <v>12882.514795076555</v>
      </c>
      <c r="CP288" s="403">
        <f t="shared" si="263"/>
        <v>6388.3927549047057</v>
      </c>
      <c r="CQ288" s="419">
        <v>1200</v>
      </c>
      <c r="CR288" s="430">
        <f>PI()*CQ288/1000*( Pile!$C$51- Pile!$C288)</f>
        <v>39.584067435231383</v>
      </c>
      <c r="CS288" s="382">
        <f t="shared" si="264"/>
        <v>1.1309733552923256</v>
      </c>
      <c r="CT288" s="382">
        <f t="shared" si="297"/>
        <v>7056.7551151462967</v>
      </c>
      <c r="CU288" s="382">
        <f>CR288* Pile!$S$51</f>
        <v>0</v>
      </c>
      <c r="CV288" s="382">
        <f t="shared" si="303"/>
        <v>7056.7551151462967</v>
      </c>
      <c r="CW288" s="382">
        <f>IF(CV288&gt;0,+CV288)/ 'Pile Data and Eurocode Factors'!$B$14/ 'Pile Data and Eurocode Factors'!$B$15+CW$281</f>
        <v>3612.026223810265</v>
      </c>
      <c r="CX288" s="382">
        <f t="shared" si="310"/>
        <v>11804.781016030072</v>
      </c>
      <c r="CY288" s="382">
        <f>CS288* Pile!$U$51</f>
        <v>0</v>
      </c>
      <c r="CZ288" s="382">
        <f t="shared" si="265"/>
        <v>11804.781016030072</v>
      </c>
      <c r="DA288" s="382">
        <f>CZ288/ 'Pile Data and Eurocode Factors'!$C$14/ 'Pile Data and Eurocode Factors'!$C$15</f>
        <v>4215.9932200107405</v>
      </c>
      <c r="DB288" s="382">
        <f t="shared" si="266"/>
        <v>7828.0194438210056</v>
      </c>
      <c r="DC288" s="382">
        <f>VLOOKUP(CQ288, 'Pile Data and Eurocode Factors'!$A$34:$J$39,3, FALSE)</f>
        <v>16826.141773161216</v>
      </c>
      <c r="DD288" s="403">
        <f t="shared" si="267"/>
        <v>7828.0194438210056</v>
      </c>
      <c r="DE288" s="420">
        <f xml:space="preserve"> Pile!$C$23- Pile!C288</f>
        <v>22.499999999999996</v>
      </c>
      <c r="DG288" s="382">
        <f t="shared" si="268"/>
        <v>1947.38388049286</v>
      </c>
      <c r="DH288" s="382">
        <f t="shared" si="269"/>
        <v>2860.0114169078179</v>
      </c>
      <c r="DI288" s="382">
        <f t="shared" si="270"/>
        <v>3904.3887414481114</v>
      </c>
      <c r="DJ288" s="382">
        <f t="shared" si="271"/>
        <v>5080.5158541137407</v>
      </c>
      <c r="DK288" s="382">
        <f t="shared" si="272"/>
        <v>6388.3927549047057</v>
      </c>
      <c r="DL288" s="382">
        <f t="shared" si="291"/>
        <v>7828.0194438210056</v>
      </c>
    </row>
    <row r="289" spans="2:116" s="308" customFormat="1" ht="15">
      <c r="B289" s="400">
        <v>8</v>
      </c>
      <c r="C289" s="401">
        <f>+C288- Pile!D$51/20</f>
        <v>-17.999999999999996</v>
      </c>
      <c r="D289" s="415" t="str">
        <f>B25</f>
        <v>Medium Sand/Gravel</v>
      </c>
      <c r="E289" s="415" t="str">
        <f>F25</f>
        <v>Granular</v>
      </c>
      <c r="F289" s="401">
        <f xml:space="preserve"> Pile!$E$51*(+C288-C289)+F288</f>
        <v>444.00000000000011</v>
      </c>
      <c r="G289" s="401">
        <f>IF(C289&gt; Pile!$C$54,0,( Pile!$C$54-C289)*9.81)</f>
        <v>29.429999999999968</v>
      </c>
      <c r="H289" s="401">
        <f t="shared" si="238"/>
        <v>414.57000000000016</v>
      </c>
      <c r="I289" s="401">
        <f t="shared" si="311"/>
        <v>312.28500000000014</v>
      </c>
      <c r="J289" s="401">
        <f>IF(E289="Cohesive",(( Pile!$H$51- Pile!$G$51)/20)+J288,0)</f>
        <v>0</v>
      </c>
      <c r="K289" s="401">
        <f>IF(E289="Cohesive",( Pile!$G$51+ Pile!$J289)/2,0)</f>
        <v>0</v>
      </c>
      <c r="L289" s="401" t="str">
        <f>IF( Pile!I$51="",0, Pile!I$51)</f>
        <v>0</v>
      </c>
      <c r="M289" s="401" t="str">
        <f>IF( Pile!J$51="",0, Pile!J$51)</f>
        <v>0</v>
      </c>
      <c r="N289" s="401">
        <f>IF(E289="Granular", Pile!$K$51,0)</f>
        <v>26.092012099198989</v>
      </c>
      <c r="O289" s="416">
        <f>IF(AND(E289="Granular",D289&lt;&gt;"Made Ground"), Pile!$L$51,0)</f>
        <v>0.58446683387775955</v>
      </c>
      <c r="P289" s="401">
        <f>IF(OR(D289="Low Density Chalk",D289="Medium Density Chalk"), Pile!$M$51,0)</f>
        <v>0</v>
      </c>
      <c r="Q289" s="417">
        <f>IF(D289="High Density Chalk", Pile!$N$51,0)</f>
        <v>0</v>
      </c>
      <c r="R289" s="401">
        <f>IF( Pile!O$51="",0, Pile!O$51)</f>
        <v>0</v>
      </c>
      <c r="S289" s="418">
        <f t="shared" si="240"/>
        <v>182.52022521751621</v>
      </c>
      <c r="T289" s="382">
        <f xml:space="preserve"> Pile!$T$51</f>
        <v>1200</v>
      </c>
      <c r="U289" s="382">
        <f t="shared" si="241"/>
        <v>182.52022521751621</v>
      </c>
      <c r="V289" s="382">
        <f t="shared" si="242"/>
        <v>10816.96545596493</v>
      </c>
      <c r="W289" s="382">
        <f xml:space="preserve"> Pile!$V$51</f>
        <v>15000</v>
      </c>
      <c r="X289" s="382">
        <f t="shared" si="243"/>
        <v>10816.96545596493</v>
      </c>
      <c r="Y289" s="419">
        <v>450</v>
      </c>
      <c r="Z289" s="430">
        <f>PI()*Y289/1000*( Pile!$C$51- Pile!$C289)</f>
        <v>16.964600329384879</v>
      </c>
      <c r="AA289" s="382">
        <f t="shared" si="244"/>
        <v>0.15904312808798329</v>
      </c>
      <c r="AB289" s="382">
        <f t="shared" si="292"/>
        <v>3096.3826728444778</v>
      </c>
      <c r="AC289" s="382">
        <f>Z289* Pile!$S$51</f>
        <v>0</v>
      </c>
      <c r="AD289" s="382">
        <f t="shared" si="298"/>
        <v>3096.3826728444778</v>
      </c>
      <c r="AE289" s="382">
        <f>IF(AD289&gt;0,+AD289)/ 'Pile Data and Eurocode Factors'!$B$14/ 'Pile Data and Eurocode Factors'!$B$15+AE$281</f>
        <v>1555.4471127969816</v>
      </c>
      <c r="AF289" s="382">
        <f t="shared" si="305"/>
        <v>1720.364022536321</v>
      </c>
      <c r="AG289" s="382">
        <f>AA289* Pile!$U$51</f>
        <v>0</v>
      </c>
      <c r="AH289" s="382">
        <f t="shared" si="245"/>
        <v>1720.364022536321</v>
      </c>
      <c r="AI289" s="382">
        <f>AH289/ 'Pile Data and Eurocode Factors'!$C$14/ 'Pile Data and Eurocode Factors'!$C$15</f>
        <v>614.41572233440036</v>
      </c>
      <c r="AJ289" s="382">
        <f t="shared" si="246"/>
        <v>2169.8628351313819</v>
      </c>
      <c r="AK289" s="382">
        <f>VLOOKUP(Y289, 'Pile Data and Eurocode Factors'!$A$34:$J$39,3, FALSE)</f>
        <v>2366.1761868507956</v>
      </c>
      <c r="AL289" s="403">
        <f t="shared" si="247"/>
        <v>2169.8628351313819</v>
      </c>
      <c r="AM289" s="419">
        <v>600</v>
      </c>
      <c r="AN289" s="430">
        <f>PI()*AM289/1000*( Pile!$C$51- Pile!$C289)</f>
        <v>22.619467105846503</v>
      </c>
      <c r="AO289" s="382">
        <f t="shared" si="248"/>
        <v>0.28274333882308139</v>
      </c>
      <c r="AP289" s="382">
        <f t="shared" si="293"/>
        <v>4128.5102304593038</v>
      </c>
      <c r="AQ289" s="382">
        <f>AN289* Pile!$S$51</f>
        <v>0</v>
      </c>
      <c r="AR289" s="382">
        <f t="shared" si="299"/>
        <v>4128.5102304593038</v>
      </c>
      <c r="AS289" s="382">
        <f>IF(AR289&gt;0,+AR289)/ 'Pile Data and Eurocode Factors'!$B$14/ 'Pile Data and Eurocode Factors'!$B$15+AS$281</f>
        <v>2073.9294837293091</v>
      </c>
      <c r="AT289" s="382">
        <f t="shared" si="306"/>
        <v>3058.4249289534591</v>
      </c>
      <c r="AU289" s="382">
        <f>AO289* Pile!$U$51</f>
        <v>0</v>
      </c>
      <c r="AV289" s="382">
        <f t="shared" si="249"/>
        <v>3058.4249289534591</v>
      </c>
      <c r="AW289" s="382">
        <f>AV289/ 'Pile Data and Eurocode Factors'!$C$14/ 'Pile Data and Eurocode Factors'!$C$15</f>
        <v>1092.2946174833783</v>
      </c>
      <c r="AX289" s="382">
        <f t="shared" si="250"/>
        <v>3166.2241012126874</v>
      </c>
      <c r="AY289" s="382">
        <f>VLOOKUP(AM289, 'Pile Data and Eurocode Factors'!$A$34:$J$39,3, FALSE)</f>
        <v>4206.5354432903041</v>
      </c>
      <c r="AZ289" s="403">
        <f t="shared" si="251"/>
        <v>3166.2241012126874</v>
      </c>
      <c r="BA289" s="419">
        <v>750</v>
      </c>
      <c r="BB289" s="430">
        <f>PI()*BA289/1000*( Pile!$C$51- Pile!$C289)</f>
        <v>28.274333882308131</v>
      </c>
      <c r="BC289" s="382">
        <f t="shared" si="252"/>
        <v>0.44178646691106466</v>
      </c>
      <c r="BD289" s="382">
        <f t="shared" si="294"/>
        <v>5160.6377880741293</v>
      </c>
      <c r="BE289" s="382">
        <f>BB289* Pile!$S$51</f>
        <v>0</v>
      </c>
      <c r="BF289" s="382">
        <f t="shared" si="300"/>
        <v>5160.6377880741293</v>
      </c>
      <c r="BG289" s="382">
        <f>IF(BF289&gt;0,+BF289)/ 'Pile Data and Eurocode Factors'!$B$14/ 'Pile Data and Eurocode Factors'!$B$15+BG$281</f>
        <v>2592.4118546616364</v>
      </c>
      <c r="BH289" s="382">
        <f t="shared" si="307"/>
        <v>4778.7889514897797</v>
      </c>
      <c r="BI289" s="382">
        <f>BC289* Pile!$U$51</f>
        <v>0</v>
      </c>
      <c r="BJ289" s="382">
        <f t="shared" si="253"/>
        <v>4778.7889514897797</v>
      </c>
      <c r="BK289" s="382">
        <f>BJ289/ 'Pile Data and Eurocode Factors'!$C$14/ 'Pile Data and Eurocode Factors'!$C$15</f>
        <v>1706.7103398177785</v>
      </c>
      <c r="BL289" s="382">
        <f t="shared" si="254"/>
        <v>4299.1221944794152</v>
      </c>
      <c r="BM289" s="382">
        <f>VLOOKUP(BA289, 'Pile Data and Eurocode Factors'!$A$34:$J$39,3, FALSE)</f>
        <v>6572.7116301410997</v>
      </c>
      <c r="BN289" s="403">
        <f t="shared" si="255"/>
        <v>4299.1221944794152</v>
      </c>
      <c r="BO289" s="419">
        <v>900</v>
      </c>
      <c r="BP289" s="430">
        <f>PI()*BO289/1000*( Pile!$C$51- Pile!$C289)</f>
        <v>33.929200658769759</v>
      </c>
      <c r="BQ289" s="382">
        <f t="shared" si="256"/>
        <v>0.63617251235193317</v>
      </c>
      <c r="BR289" s="382">
        <f t="shared" si="295"/>
        <v>6192.7653456889557</v>
      </c>
      <c r="BS289" s="382">
        <f>BP289* Pile!$S$51</f>
        <v>0</v>
      </c>
      <c r="BT289" s="382">
        <f t="shared" si="301"/>
        <v>6192.7653456889557</v>
      </c>
      <c r="BU289" s="382">
        <f>IF(BT289&gt;0,+BT289)/ 'Pile Data and Eurocode Factors'!$B$14/ 'Pile Data and Eurocode Factors'!$B$15+BU$281</f>
        <v>3110.8942255939633</v>
      </c>
      <c r="BV289" s="382">
        <f t="shared" si="308"/>
        <v>6881.4560901452842</v>
      </c>
      <c r="BW289" s="382">
        <f>BQ289* Pile!$U$51</f>
        <v>0</v>
      </c>
      <c r="BX289" s="382">
        <f t="shared" si="257"/>
        <v>6881.4560901452842</v>
      </c>
      <c r="BY289" s="382">
        <f>BX289/ 'Pile Data and Eurocode Factors'!$C$14/ 'Pile Data and Eurocode Factors'!$C$15</f>
        <v>2457.6628893376014</v>
      </c>
      <c r="BZ289" s="382">
        <f t="shared" si="258"/>
        <v>5568.5571149315647</v>
      </c>
      <c r="CA289" s="382">
        <f>VLOOKUP(BO289, 'Pile Data and Eurocode Factors'!$A$34:$J$39,3, FALSE)</f>
        <v>9464.7047474031824</v>
      </c>
      <c r="CB289" s="403">
        <f t="shared" si="259"/>
        <v>5568.5571149315647</v>
      </c>
      <c r="CC289" s="419">
        <v>1050</v>
      </c>
      <c r="CD289" s="430">
        <f>PI()*CC289/1000*( Pile!$C$51- Pile!$C289)</f>
        <v>39.584067435231383</v>
      </c>
      <c r="CE289" s="382">
        <f t="shared" si="260"/>
        <v>0.86590147514568672</v>
      </c>
      <c r="CF289" s="382">
        <f t="shared" si="296"/>
        <v>7224.8929033037812</v>
      </c>
      <c r="CG289" s="382">
        <f>CD289* Pile!$S$51</f>
        <v>0</v>
      </c>
      <c r="CH289" s="382">
        <f t="shared" si="302"/>
        <v>7224.8929033037812</v>
      </c>
      <c r="CI289" s="382">
        <f>IF(CH289&gt;0,+CH289)/ 'Pile Data and Eurocode Factors'!$B$14/ 'Pile Data and Eurocode Factors'!$B$15+CI$281</f>
        <v>3629.376596526291</v>
      </c>
      <c r="CJ289" s="382">
        <f t="shared" si="309"/>
        <v>9366.426344919968</v>
      </c>
      <c r="CK289" s="382">
        <f>CE289* Pile!$U$51</f>
        <v>0</v>
      </c>
      <c r="CL289" s="382">
        <f t="shared" si="261"/>
        <v>9366.426344919968</v>
      </c>
      <c r="CM289" s="382">
        <f>CL289/ 'Pile Data and Eurocode Factors'!$C$14/ 'Pile Data and Eurocode Factors'!$C$15</f>
        <v>3345.1522660428459</v>
      </c>
      <c r="CN289" s="382">
        <f t="shared" si="262"/>
        <v>6974.5288625691373</v>
      </c>
      <c r="CO289" s="382">
        <f>VLOOKUP(CC289, 'Pile Data and Eurocode Factors'!$A$34:$J$39,3, FALSE)</f>
        <v>12882.514795076555</v>
      </c>
      <c r="CP289" s="403">
        <f t="shared" si="263"/>
        <v>6974.5288625691373</v>
      </c>
      <c r="CQ289" s="419">
        <v>1200</v>
      </c>
      <c r="CR289" s="430">
        <f>PI()*CQ289/1000*( Pile!$C$51- Pile!$C289)</f>
        <v>45.238934211693007</v>
      </c>
      <c r="CS289" s="382">
        <f t="shared" si="264"/>
        <v>1.1309733552923256</v>
      </c>
      <c r="CT289" s="382">
        <f t="shared" si="297"/>
        <v>8257.0204609186076</v>
      </c>
      <c r="CU289" s="382">
        <f>CR289* Pile!$S$51</f>
        <v>0</v>
      </c>
      <c r="CV289" s="382">
        <f t="shared" si="303"/>
        <v>8257.0204609186076</v>
      </c>
      <c r="CW289" s="382">
        <f>IF(CV289&gt;0,+CV289)/ 'Pile Data and Eurocode Factors'!$B$14/ 'Pile Data and Eurocode Factors'!$B$15+CW$281</f>
        <v>4147.8589674586183</v>
      </c>
      <c r="CX289" s="382">
        <f t="shared" si="310"/>
        <v>12233.699715813837</v>
      </c>
      <c r="CY289" s="382">
        <f>CS289* Pile!$U$51</f>
        <v>0</v>
      </c>
      <c r="CZ289" s="382">
        <f t="shared" si="265"/>
        <v>12233.699715813837</v>
      </c>
      <c r="DA289" s="382">
        <f>CZ289/ 'Pile Data and Eurocode Factors'!$C$14/ 'Pile Data and Eurocode Factors'!$C$15</f>
        <v>4369.178469933513</v>
      </c>
      <c r="DB289" s="382">
        <f t="shared" si="266"/>
        <v>8517.0374373921313</v>
      </c>
      <c r="DC289" s="382">
        <f>VLOOKUP(CQ289, 'Pile Data and Eurocode Factors'!$A$34:$J$39,3, FALSE)</f>
        <v>16826.141773161216</v>
      </c>
      <c r="DD289" s="403">
        <f t="shared" si="267"/>
        <v>8517.0374373921313</v>
      </c>
      <c r="DE289" s="420">
        <f xml:space="preserve"> Pile!$C$23- Pile!C289</f>
        <v>23.999999999999996</v>
      </c>
      <c r="DG289" s="382">
        <f t="shared" si="268"/>
        <v>2169.8628351313819</v>
      </c>
      <c r="DH289" s="382">
        <f t="shared" si="269"/>
        <v>3166.2241012126874</v>
      </c>
      <c r="DI289" s="382">
        <f t="shared" si="270"/>
        <v>4299.1221944794152</v>
      </c>
      <c r="DJ289" s="382">
        <f t="shared" si="271"/>
        <v>5568.5571149315647</v>
      </c>
      <c r="DK289" s="382">
        <f t="shared" si="272"/>
        <v>6974.5288625691373</v>
      </c>
      <c r="DL289" s="382">
        <f t="shared" si="291"/>
        <v>8517.0374373921313</v>
      </c>
    </row>
    <row r="290" spans="2:116" s="308" customFormat="1" ht="15">
      <c r="B290" s="400">
        <v>9</v>
      </c>
      <c r="C290" s="401">
        <f>+C289- Pile!D$51/20</f>
        <v>-19.499999999999996</v>
      </c>
      <c r="D290" s="415" t="str">
        <f>B25</f>
        <v>Medium Sand/Gravel</v>
      </c>
      <c r="E290" s="415" t="str">
        <f>F25</f>
        <v>Granular</v>
      </c>
      <c r="F290" s="401">
        <f xml:space="preserve"> Pile!$E$51*(+C289-C290)+F289</f>
        <v>473.25000000000011</v>
      </c>
      <c r="G290" s="401">
        <f>IF(C290&gt; Pile!$C$54,0,( Pile!$C$54-C290)*9.81)</f>
        <v>44.144999999999968</v>
      </c>
      <c r="H290" s="401">
        <f t="shared" si="238"/>
        <v>429.10500000000013</v>
      </c>
      <c r="I290" s="401">
        <f t="shared" si="311"/>
        <v>319.55250000000012</v>
      </c>
      <c r="J290" s="401">
        <f>IF(E290="Cohesive",(( Pile!$H$51- Pile!$G$51)/20)+J289,0)</f>
        <v>0</v>
      </c>
      <c r="K290" s="401">
        <f>IF(E290="Cohesive",( Pile!$G$51+ Pile!$J290)/2,0)</f>
        <v>0</v>
      </c>
      <c r="L290" s="401" t="str">
        <f>IF( Pile!I$51="",0, Pile!I$51)</f>
        <v>0</v>
      </c>
      <c r="M290" s="401" t="str">
        <f>IF( Pile!J$51="",0, Pile!J$51)</f>
        <v>0</v>
      </c>
      <c r="N290" s="401">
        <f>IF(E290="Granular", Pile!$K$51,0)</f>
        <v>26.092012099198989</v>
      </c>
      <c r="O290" s="416">
        <f>IF(AND(E290="Granular",D290&lt;&gt;"Made Ground"), Pile!$L$51,0)</f>
        <v>0.58446683387775955</v>
      </c>
      <c r="P290" s="401">
        <f>IF(OR(D290="Low Density Chalk",D290="Medium Density Chalk"), Pile!$M$51,0)</f>
        <v>0</v>
      </c>
      <c r="Q290" s="417">
        <f>IF(D290="High Density Chalk", Pile!$N$51,0)</f>
        <v>0</v>
      </c>
      <c r="R290" s="401">
        <f>IF( Pile!O$51="",0, Pile!O$51)</f>
        <v>0</v>
      </c>
      <c r="S290" s="418">
        <f t="shared" si="240"/>
        <v>186.76783793272284</v>
      </c>
      <c r="T290" s="382">
        <f xml:space="preserve"> Pile!$T$51</f>
        <v>1200</v>
      </c>
      <c r="U290" s="382">
        <f t="shared" si="241"/>
        <v>186.76783793272284</v>
      </c>
      <c r="V290" s="382">
        <f t="shared" si="242"/>
        <v>11196.212851826785</v>
      </c>
      <c r="W290" s="382">
        <f xml:space="preserve"> Pile!$V$51</f>
        <v>15000</v>
      </c>
      <c r="X290" s="382">
        <f t="shared" si="243"/>
        <v>11196.212851826785</v>
      </c>
      <c r="Y290" s="419">
        <v>450</v>
      </c>
      <c r="Z290" s="430">
        <f>PI()*Y290/1000*( Pile!$C$51- Pile!$C290)</f>
        <v>19.085175370557987</v>
      </c>
      <c r="AA290" s="382">
        <f t="shared" si="244"/>
        <v>0.15904312808798329</v>
      </c>
      <c r="AB290" s="382">
        <f t="shared" si="292"/>
        <v>3564.4969405259676</v>
      </c>
      <c r="AC290" s="382">
        <f>Z290* Pile!$S$51</f>
        <v>0</v>
      </c>
      <c r="AD290" s="382">
        <f t="shared" si="298"/>
        <v>3564.4969405259676</v>
      </c>
      <c r="AE290" s="382">
        <f>IF(AD290&gt;0,+AD290)/ 'Pile Data and Eurocode Factors'!$B$14/ 'Pile Data and Eurocode Factors'!$B$15+AE$281</f>
        <v>1764.4266965833613</v>
      </c>
      <c r="AF290" s="382">
        <f t="shared" si="305"/>
        <v>1780.6807146934123</v>
      </c>
      <c r="AG290" s="382">
        <f>AA290* Pile!$U$51</f>
        <v>0</v>
      </c>
      <c r="AH290" s="382">
        <f t="shared" si="245"/>
        <v>1780.6807146934123</v>
      </c>
      <c r="AI290" s="382">
        <f>AH290/ 'Pile Data and Eurocode Factors'!$C$14/ 'Pile Data and Eurocode Factors'!$C$15</f>
        <v>635.95739810479017</v>
      </c>
      <c r="AJ290" s="382">
        <f t="shared" si="246"/>
        <v>2400.3840946881514</v>
      </c>
      <c r="AK290" s="382">
        <f>VLOOKUP(Y290, 'Pile Data and Eurocode Factors'!$A$34:$J$39,3, FALSE)</f>
        <v>2366.1761868507956</v>
      </c>
      <c r="AL290" s="403">
        <f t="shared" si="247"/>
        <v>2366.1761868507956</v>
      </c>
      <c r="AM290" s="419">
        <v>600</v>
      </c>
      <c r="AN290" s="430">
        <f>PI()*AM290/1000*( Pile!$C$51- Pile!$C290)</f>
        <v>25.446900494077319</v>
      </c>
      <c r="AO290" s="382">
        <f t="shared" si="248"/>
        <v>0.28274333882308139</v>
      </c>
      <c r="AP290" s="382">
        <f t="shared" si="293"/>
        <v>4752.6625873679577</v>
      </c>
      <c r="AQ290" s="382">
        <f>AN290* Pile!$S$51</f>
        <v>0</v>
      </c>
      <c r="AR290" s="382">
        <f t="shared" si="299"/>
        <v>4752.6625873679577</v>
      </c>
      <c r="AS290" s="382">
        <f>IF(AR290&gt;0,+AR290)/ 'Pile Data and Eurocode Factors'!$B$14/ 'Pile Data and Eurocode Factors'!$B$15+AS$281</f>
        <v>2352.568928777815</v>
      </c>
      <c r="AT290" s="382">
        <f t="shared" si="306"/>
        <v>3165.6546038993993</v>
      </c>
      <c r="AU290" s="382">
        <f>AO290* Pile!$U$51</f>
        <v>0</v>
      </c>
      <c r="AV290" s="382">
        <f t="shared" si="249"/>
        <v>3165.6546038993993</v>
      </c>
      <c r="AW290" s="382">
        <f>AV290/ 'Pile Data and Eurocode Factors'!$C$14/ 'Pile Data and Eurocode Factors'!$C$15</f>
        <v>1130.5909299640712</v>
      </c>
      <c r="AX290" s="382">
        <f t="shared" si="250"/>
        <v>3483.1598587418862</v>
      </c>
      <c r="AY290" s="382">
        <f>VLOOKUP(AM290, 'Pile Data and Eurocode Factors'!$A$34:$J$39,3, FALSE)</f>
        <v>4206.5354432903041</v>
      </c>
      <c r="AZ290" s="403">
        <f t="shared" si="251"/>
        <v>3483.1598587418862</v>
      </c>
      <c r="BA290" s="419">
        <v>750</v>
      </c>
      <c r="BB290" s="430">
        <f>PI()*BA290/1000*( Pile!$C$51- Pile!$C290)</f>
        <v>31.808625617596647</v>
      </c>
      <c r="BC290" s="382">
        <f t="shared" si="252"/>
        <v>0.44178646691106466</v>
      </c>
      <c r="BD290" s="382">
        <f t="shared" si="294"/>
        <v>5940.8282342099465</v>
      </c>
      <c r="BE290" s="382">
        <f>BB290* Pile!$S$51</f>
        <v>0</v>
      </c>
      <c r="BF290" s="382">
        <f t="shared" si="300"/>
        <v>5940.8282342099465</v>
      </c>
      <c r="BG290" s="382">
        <f>IF(BF290&gt;0,+BF290)/ 'Pile Data and Eurocode Factors'!$B$14/ 'Pile Data and Eurocode Factors'!$B$15+BG$281</f>
        <v>2940.7111609722688</v>
      </c>
      <c r="BH290" s="382">
        <f t="shared" si="307"/>
        <v>4946.3353185928108</v>
      </c>
      <c r="BI290" s="382">
        <f>BC290* Pile!$U$51</f>
        <v>0</v>
      </c>
      <c r="BJ290" s="382">
        <f t="shared" si="253"/>
        <v>4946.3353185928108</v>
      </c>
      <c r="BK290" s="382">
        <f>BJ290/ 'Pile Data and Eurocode Factors'!$C$14/ 'Pile Data and Eurocode Factors'!$C$15</f>
        <v>1766.5483280688611</v>
      </c>
      <c r="BL290" s="382">
        <f t="shared" si="254"/>
        <v>4707.2594890411301</v>
      </c>
      <c r="BM290" s="382">
        <f>VLOOKUP(BA290, 'Pile Data and Eurocode Factors'!$A$34:$J$39,3, FALSE)</f>
        <v>6572.7116301410997</v>
      </c>
      <c r="BN290" s="403">
        <f t="shared" si="255"/>
        <v>4707.2594890411301</v>
      </c>
      <c r="BO290" s="419">
        <v>900</v>
      </c>
      <c r="BP290" s="430">
        <f>PI()*BO290/1000*( Pile!$C$51- Pile!$C290)</f>
        <v>38.170350741115975</v>
      </c>
      <c r="BQ290" s="382">
        <f t="shared" si="256"/>
        <v>0.63617251235193317</v>
      </c>
      <c r="BR290" s="382">
        <f t="shared" si="295"/>
        <v>7128.9938810519352</v>
      </c>
      <c r="BS290" s="382">
        <f>BP290* Pile!$S$51</f>
        <v>0</v>
      </c>
      <c r="BT290" s="382">
        <f t="shared" si="301"/>
        <v>7128.9938810519352</v>
      </c>
      <c r="BU290" s="382">
        <f>IF(BT290&gt;0,+BT290)/ 'Pile Data and Eurocode Factors'!$B$14/ 'Pile Data and Eurocode Factors'!$B$15+BU$281</f>
        <v>3528.8533931667225</v>
      </c>
      <c r="BV290" s="382">
        <f t="shared" si="308"/>
        <v>7122.722858773649</v>
      </c>
      <c r="BW290" s="382">
        <f>BQ290* Pile!$U$51</f>
        <v>0</v>
      </c>
      <c r="BX290" s="382">
        <f t="shared" si="257"/>
        <v>7122.722858773649</v>
      </c>
      <c r="BY290" s="382">
        <f>BX290/ 'Pile Data and Eurocode Factors'!$C$14/ 'Pile Data and Eurocode Factors'!$C$15</f>
        <v>2543.8295924191607</v>
      </c>
      <c r="BZ290" s="382">
        <f t="shared" si="258"/>
        <v>6072.6829855858832</v>
      </c>
      <c r="CA290" s="382">
        <f>VLOOKUP(BO290, 'Pile Data and Eurocode Factors'!$A$34:$J$39,3, FALSE)</f>
        <v>9464.7047474031824</v>
      </c>
      <c r="CB290" s="403">
        <f t="shared" si="259"/>
        <v>6072.6829855858832</v>
      </c>
      <c r="CC290" s="419">
        <v>1050</v>
      </c>
      <c r="CD290" s="430">
        <f>PI()*CC290/1000*( Pile!$C$51- Pile!$C290)</f>
        <v>44.532075864635303</v>
      </c>
      <c r="CE290" s="382">
        <f t="shared" si="260"/>
        <v>0.86590147514568672</v>
      </c>
      <c r="CF290" s="382">
        <f t="shared" si="296"/>
        <v>8317.159527893924</v>
      </c>
      <c r="CG290" s="382">
        <f>CD290* Pile!$S$51</f>
        <v>0</v>
      </c>
      <c r="CH290" s="382">
        <f t="shared" si="302"/>
        <v>8317.159527893924</v>
      </c>
      <c r="CI290" s="382">
        <f>IF(CH290&gt;0,+CH290)/ 'Pile Data and Eurocode Factors'!$B$14/ 'Pile Data and Eurocode Factors'!$B$15+CI$281</f>
        <v>4116.9956253611763</v>
      </c>
      <c r="CJ290" s="382">
        <f t="shared" si="309"/>
        <v>9694.8172244419093</v>
      </c>
      <c r="CK290" s="382">
        <f>CE290* Pile!$U$51</f>
        <v>0</v>
      </c>
      <c r="CL290" s="382">
        <f t="shared" si="261"/>
        <v>9694.8172244419093</v>
      </c>
      <c r="CM290" s="382">
        <f>CL290/ 'Pile Data and Eurocode Factors'!$C$14/ 'Pile Data and Eurocode Factors'!$C$15</f>
        <v>3462.4347230149679</v>
      </c>
      <c r="CN290" s="382">
        <f t="shared" si="262"/>
        <v>7579.4303483761441</v>
      </c>
      <c r="CO290" s="382">
        <f>VLOOKUP(CC290, 'Pile Data and Eurocode Factors'!$A$34:$J$39,3, FALSE)</f>
        <v>12882.514795076555</v>
      </c>
      <c r="CP290" s="403">
        <f t="shared" si="263"/>
        <v>7579.4303483761441</v>
      </c>
      <c r="CQ290" s="419">
        <v>1200</v>
      </c>
      <c r="CR290" s="430">
        <f>PI()*CQ290/1000*( Pile!$C$51- Pile!$C290)</f>
        <v>50.893800988154638</v>
      </c>
      <c r="CS290" s="382">
        <f t="shared" si="264"/>
        <v>1.1309733552923256</v>
      </c>
      <c r="CT290" s="382">
        <f t="shared" si="297"/>
        <v>9505.3251747359154</v>
      </c>
      <c r="CU290" s="382">
        <f>CR290* Pile!$S$51</f>
        <v>0</v>
      </c>
      <c r="CV290" s="382">
        <f t="shared" si="303"/>
        <v>9505.3251747359154</v>
      </c>
      <c r="CW290" s="382">
        <f>IF(CV290&gt;0,+CV290)/ 'Pile Data and Eurocode Factors'!$B$14/ 'Pile Data and Eurocode Factors'!$B$15+CW$281</f>
        <v>4705.13785755563</v>
      </c>
      <c r="CX290" s="382">
        <f t="shared" si="310"/>
        <v>12662.618415597597</v>
      </c>
      <c r="CY290" s="382">
        <f>CS290* Pile!$U$51</f>
        <v>0</v>
      </c>
      <c r="CZ290" s="382">
        <f t="shared" si="265"/>
        <v>12662.618415597597</v>
      </c>
      <c r="DA290" s="382">
        <f>CZ290/ 'Pile Data and Eurocode Factors'!$C$14/ 'Pile Data and Eurocode Factors'!$C$15</f>
        <v>4522.3637198562847</v>
      </c>
      <c r="DB290" s="382">
        <f t="shared" si="266"/>
        <v>9227.5015774119147</v>
      </c>
      <c r="DC290" s="382">
        <f>VLOOKUP(CQ290, 'Pile Data and Eurocode Factors'!$A$34:$J$39,3, FALSE)</f>
        <v>16826.141773161216</v>
      </c>
      <c r="DD290" s="403">
        <f t="shared" si="267"/>
        <v>9227.5015774119147</v>
      </c>
      <c r="DE290" s="420">
        <f xml:space="preserve"> Pile!$C$23- Pile!C290</f>
        <v>25.499999999999996</v>
      </c>
      <c r="DG290" s="382">
        <f t="shared" si="268"/>
        <v>2366.1761868507956</v>
      </c>
      <c r="DH290" s="382">
        <f t="shared" si="269"/>
        <v>3483.1598587418862</v>
      </c>
      <c r="DI290" s="382">
        <f t="shared" si="270"/>
        <v>4707.2594890411301</v>
      </c>
      <c r="DJ290" s="382">
        <f t="shared" si="271"/>
        <v>6072.6829855858832</v>
      </c>
      <c r="DK290" s="382">
        <f t="shared" si="272"/>
        <v>7579.4303483761441</v>
      </c>
      <c r="DL290" s="382">
        <f t="shared" si="291"/>
        <v>9227.5015774119147</v>
      </c>
    </row>
    <row r="291" spans="2:116" s="308" customFormat="1" ht="15">
      <c r="B291" s="400">
        <v>10</v>
      </c>
      <c r="C291" s="401">
        <f>+C290- Pile!D$51/20</f>
        <v>-20.999999999999996</v>
      </c>
      <c r="D291" s="415" t="str">
        <f>B25</f>
        <v>Medium Sand/Gravel</v>
      </c>
      <c r="E291" s="415" t="str">
        <f>F25</f>
        <v>Granular</v>
      </c>
      <c r="F291" s="401">
        <f xml:space="preserve"> Pile!$E$51*(+C290-C291)+F290</f>
        <v>502.50000000000011</v>
      </c>
      <c r="G291" s="401">
        <f>IF(C291&gt; Pile!$C$54,0,( Pile!$C$54-C291)*9.81)</f>
        <v>58.859999999999971</v>
      </c>
      <c r="H291" s="401">
        <f t="shared" si="238"/>
        <v>443.64000000000016</v>
      </c>
      <c r="I291" s="401">
        <f t="shared" si="311"/>
        <v>326.82000000000016</v>
      </c>
      <c r="J291" s="401">
        <f>IF(E291="Cohesive",(( Pile!$H$51- Pile!$G$51)/20)+J290,0)</f>
        <v>0</v>
      </c>
      <c r="K291" s="401">
        <f>IF(E291="Cohesive",( Pile!$G$51+ Pile!$J291)/2,0)</f>
        <v>0</v>
      </c>
      <c r="L291" s="401" t="str">
        <f>IF( Pile!I$51="",0, Pile!I$51)</f>
        <v>0</v>
      </c>
      <c r="M291" s="401" t="str">
        <f>IF( Pile!J$51="",0, Pile!J$51)</f>
        <v>0</v>
      </c>
      <c r="N291" s="401">
        <f>IF(E291="Granular", Pile!$K$51,0)</f>
        <v>26.092012099198989</v>
      </c>
      <c r="O291" s="416">
        <f>IF(AND(E291="Granular",D291&lt;&gt;"Made Ground"), Pile!$L$51,0)</f>
        <v>0.58446683387775955</v>
      </c>
      <c r="P291" s="401">
        <f>IF(OR(D291="Low Density Chalk",D291="Medium Density Chalk"), Pile!$M$51,0)</f>
        <v>0</v>
      </c>
      <c r="Q291" s="417">
        <f>IF(D291="High Density Chalk", Pile!$N$51,0)</f>
        <v>0</v>
      </c>
      <c r="R291" s="401">
        <f>IF( Pile!O$51="",0, Pile!O$51)</f>
        <v>0</v>
      </c>
      <c r="S291" s="418">
        <f t="shared" si="240"/>
        <v>191.01545064792947</v>
      </c>
      <c r="T291" s="382">
        <f xml:space="preserve"> Pile!$T$51</f>
        <v>1200</v>
      </c>
      <c r="U291" s="382">
        <f t="shared" si="241"/>
        <v>191.01545064792947</v>
      </c>
      <c r="V291" s="382">
        <f t="shared" si="242"/>
        <v>11575.460247688643</v>
      </c>
      <c r="W291" s="382">
        <f xml:space="preserve"> Pile!$V$51</f>
        <v>15000</v>
      </c>
      <c r="X291" s="382">
        <f t="shared" si="243"/>
        <v>11575.460247688643</v>
      </c>
      <c r="Y291" s="419">
        <v>450</v>
      </c>
      <c r="Z291" s="430">
        <f>PI()*Y291/1000*( Pile!$C$51- Pile!$C291)</f>
        <v>21.205750411731099</v>
      </c>
      <c r="AA291" s="382">
        <f t="shared" si="244"/>
        <v>0.15904312808798329</v>
      </c>
      <c r="AB291" s="382">
        <f t="shared" si="292"/>
        <v>4050.6259712243318</v>
      </c>
      <c r="AC291" s="382">
        <f>Z291* Pile!$S$51</f>
        <v>0</v>
      </c>
      <c r="AD291" s="382">
        <f t="shared" si="298"/>
        <v>4050.6259712243318</v>
      </c>
      <c r="AE291" s="382">
        <f>IF(AD291&gt;0,+AD291)/ 'Pile Data and Eurocode Factors'!$B$14/ 'Pile Data and Eurocode Factors'!$B$15+AE$281</f>
        <v>1981.4485852879882</v>
      </c>
      <c r="AF291" s="382">
        <f t="shared" si="305"/>
        <v>1840.9974068505037</v>
      </c>
      <c r="AG291" s="382">
        <f>AA291* Pile!$U$51</f>
        <v>0</v>
      </c>
      <c r="AH291" s="382">
        <f t="shared" si="245"/>
        <v>1840.9974068505037</v>
      </c>
      <c r="AI291" s="382">
        <f>AH291/ 'Pile Data and Eurocode Factors'!$C$14/ 'Pile Data and Eurocode Factors'!$C$15</f>
        <v>657.49907387517999</v>
      </c>
      <c r="AJ291" s="382">
        <f t="shared" si="246"/>
        <v>2638.9476591631683</v>
      </c>
      <c r="AK291" s="382">
        <f>VLOOKUP(Y291, 'Pile Data and Eurocode Factors'!$A$34:$J$39,3, FALSE)</f>
        <v>2366.1761868507956</v>
      </c>
      <c r="AL291" s="403">
        <f t="shared" si="247"/>
        <v>2366.1761868507956</v>
      </c>
      <c r="AM291" s="419">
        <v>600</v>
      </c>
      <c r="AN291" s="430">
        <f>PI()*AM291/1000*( Pile!$C$51- Pile!$C291)</f>
        <v>28.274333882308131</v>
      </c>
      <c r="AO291" s="382">
        <f t="shared" si="248"/>
        <v>0.28274333882308139</v>
      </c>
      <c r="AP291" s="382">
        <f t="shared" si="293"/>
        <v>5400.8346282991088</v>
      </c>
      <c r="AQ291" s="382">
        <f>AN291* Pile!$S$51</f>
        <v>0</v>
      </c>
      <c r="AR291" s="382">
        <f t="shared" si="299"/>
        <v>5400.8346282991088</v>
      </c>
      <c r="AS291" s="382">
        <f>IF(AR291&gt;0,+AR291)/ 'Pile Data and Eurocode Factors'!$B$14/ 'Pile Data and Eurocode Factors'!$B$15+AS$281</f>
        <v>2641.9314470506506</v>
      </c>
      <c r="AT291" s="382">
        <f t="shared" si="306"/>
        <v>3272.8842788453398</v>
      </c>
      <c r="AU291" s="382">
        <f>AO291* Pile!$U$51</f>
        <v>0</v>
      </c>
      <c r="AV291" s="382">
        <f t="shared" si="249"/>
        <v>3272.8842788453398</v>
      </c>
      <c r="AW291" s="382">
        <f>AV291/ 'Pile Data and Eurocode Factors'!$C$14/ 'Pile Data and Eurocode Factors'!$C$15</f>
        <v>1168.8872424447643</v>
      </c>
      <c r="AX291" s="382">
        <f t="shared" si="250"/>
        <v>3810.8186894954151</v>
      </c>
      <c r="AY291" s="382">
        <f>VLOOKUP(AM291, 'Pile Data and Eurocode Factors'!$A$34:$J$39,3, FALSE)</f>
        <v>4206.5354432903041</v>
      </c>
      <c r="AZ291" s="403">
        <f t="shared" si="251"/>
        <v>3810.8186894954151</v>
      </c>
      <c r="BA291" s="419">
        <v>750</v>
      </c>
      <c r="BB291" s="430">
        <f>PI()*BA291/1000*( Pile!$C$51- Pile!$C291)</f>
        <v>35.342917352885166</v>
      </c>
      <c r="BC291" s="382">
        <f t="shared" si="252"/>
        <v>0.44178646691106466</v>
      </c>
      <c r="BD291" s="382">
        <f t="shared" si="294"/>
        <v>6751.0432853738866</v>
      </c>
      <c r="BE291" s="382">
        <f>BB291* Pile!$S$51</f>
        <v>0</v>
      </c>
      <c r="BF291" s="382">
        <f t="shared" si="300"/>
        <v>6751.0432853738866</v>
      </c>
      <c r="BG291" s="382">
        <f>IF(BF291&gt;0,+BF291)/ 'Pile Data and Eurocode Factors'!$B$14/ 'Pile Data and Eurocode Factors'!$B$15+BG$281</f>
        <v>3302.4143088133137</v>
      </c>
      <c r="BH291" s="382">
        <f t="shared" si="307"/>
        <v>5113.8816856958429</v>
      </c>
      <c r="BI291" s="382">
        <f>BC291* Pile!$U$51</f>
        <v>0</v>
      </c>
      <c r="BJ291" s="382">
        <f t="shared" si="253"/>
        <v>5113.8816856958429</v>
      </c>
      <c r="BK291" s="382">
        <f>BJ291/ 'Pile Data and Eurocode Factors'!$C$14/ 'Pile Data and Eurocode Factors'!$C$15</f>
        <v>1826.3863163199439</v>
      </c>
      <c r="BL291" s="382">
        <f t="shared" si="254"/>
        <v>5128.8006251332572</v>
      </c>
      <c r="BM291" s="382">
        <f>VLOOKUP(BA291, 'Pile Data and Eurocode Factors'!$A$34:$J$39,3, FALSE)</f>
        <v>6572.7116301410997</v>
      </c>
      <c r="BN291" s="403">
        <f t="shared" si="255"/>
        <v>5128.8006251332572</v>
      </c>
      <c r="BO291" s="419">
        <v>900</v>
      </c>
      <c r="BP291" s="430">
        <f>PI()*BO291/1000*( Pile!$C$51- Pile!$C291)</f>
        <v>42.411500823462198</v>
      </c>
      <c r="BQ291" s="382">
        <f t="shared" si="256"/>
        <v>0.63617251235193317</v>
      </c>
      <c r="BR291" s="382">
        <f t="shared" si="295"/>
        <v>8101.2519424486636</v>
      </c>
      <c r="BS291" s="382">
        <f>BP291* Pile!$S$51</f>
        <v>0</v>
      </c>
      <c r="BT291" s="382">
        <f t="shared" si="301"/>
        <v>8101.2519424486636</v>
      </c>
      <c r="BU291" s="382">
        <f>IF(BT291&gt;0,+BT291)/ 'Pile Data and Eurocode Factors'!$B$14/ 'Pile Data and Eurocode Factors'!$B$15+BU$281</f>
        <v>3962.8971705759764</v>
      </c>
      <c r="BV291" s="382">
        <f t="shared" si="308"/>
        <v>7363.9896274020148</v>
      </c>
      <c r="BW291" s="382">
        <f>BQ291* Pile!$U$51</f>
        <v>0</v>
      </c>
      <c r="BX291" s="382">
        <f t="shared" si="257"/>
        <v>7363.9896274020148</v>
      </c>
      <c r="BY291" s="382">
        <f>BX291/ 'Pile Data and Eurocode Factors'!$C$14/ 'Pile Data and Eurocode Factors'!$C$15</f>
        <v>2629.99629550072</v>
      </c>
      <c r="BZ291" s="382">
        <f t="shared" si="258"/>
        <v>6592.8934660766963</v>
      </c>
      <c r="CA291" s="382">
        <f>VLOOKUP(BO291, 'Pile Data and Eurocode Factors'!$A$34:$J$39,3, FALSE)</f>
        <v>9464.7047474031824</v>
      </c>
      <c r="CB291" s="403">
        <f t="shared" si="259"/>
        <v>6592.8934660766963</v>
      </c>
      <c r="CC291" s="419">
        <v>1050</v>
      </c>
      <c r="CD291" s="430">
        <f>PI()*CC291/1000*( Pile!$C$51- Pile!$C291)</f>
        <v>49.48008429403923</v>
      </c>
      <c r="CE291" s="382">
        <f t="shared" si="260"/>
        <v>0.86590147514568672</v>
      </c>
      <c r="CF291" s="382">
        <f t="shared" si="296"/>
        <v>9451.4605995234415</v>
      </c>
      <c r="CG291" s="382">
        <f>CD291* Pile!$S$51</f>
        <v>0</v>
      </c>
      <c r="CH291" s="382">
        <f t="shared" si="302"/>
        <v>9451.4605995234415</v>
      </c>
      <c r="CI291" s="382">
        <f>IF(CH291&gt;0,+CH291)/ 'Pile Data and Eurocode Factors'!$B$14/ 'Pile Data and Eurocode Factors'!$B$15+CI$281</f>
        <v>4623.3800323386386</v>
      </c>
      <c r="CJ291" s="382">
        <f t="shared" si="309"/>
        <v>10023.208103963852</v>
      </c>
      <c r="CK291" s="382">
        <f>CE291* Pile!$U$51</f>
        <v>0</v>
      </c>
      <c r="CL291" s="382">
        <f t="shared" si="261"/>
        <v>10023.208103963852</v>
      </c>
      <c r="CM291" s="382">
        <f>CL291/ 'Pile Data and Eurocode Factors'!$C$14/ 'Pile Data and Eurocode Factors'!$C$15</f>
        <v>3579.7171799870903</v>
      </c>
      <c r="CN291" s="382">
        <f t="shared" si="262"/>
        <v>8203.0972123257288</v>
      </c>
      <c r="CO291" s="382">
        <f>VLOOKUP(CC291, 'Pile Data and Eurocode Factors'!$A$34:$J$39,3, FALSE)</f>
        <v>12882.514795076555</v>
      </c>
      <c r="CP291" s="403">
        <f t="shared" si="263"/>
        <v>8203.0972123257288</v>
      </c>
      <c r="CQ291" s="419">
        <v>1200</v>
      </c>
      <c r="CR291" s="430">
        <f>PI()*CQ291/1000*( Pile!$C$51- Pile!$C291)</f>
        <v>56.548667764616262</v>
      </c>
      <c r="CS291" s="382">
        <f t="shared" si="264"/>
        <v>1.1309733552923256</v>
      </c>
      <c r="CT291" s="382">
        <f t="shared" si="297"/>
        <v>10801.669256598218</v>
      </c>
      <c r="CU291" s="382">
        <f>CR291* Pile!$S$51</f>
        <v>0</v>
      </c>
      <c r="CV291" s="382">
        <f t="shared" si="303"/>
        <v>10801.669256598218</v>
      </c>
      <c r="CW291" s="382">
        <f>IF(CV291&gt;0,+CV291)/ 'Pile Data and Eurocode Factors'!$B$14/ 'Pile Data and Eurocode Factors'!$B$15+CW$281</f>
        <v>5283.8628941013012</v>
      </c>
      <c r="CX291" s="382">
        <f t="shared" si="310"/>
        <v>13091.537115381359</v>
      </c>
      <c r="CY291" s="382">
        <f>CS291* Pile!$U$51</f>
        <v>0</v>
      </c>
      <c r="CZ291" s="382">
        <f t="shared" si="265"/>
        <v>13091.537115381359</v>
      </c>
      <c r="DA291" s="382">
        <f>CZ291/ 'Pile Data and Eurocode Factors'!$C$14/ 'Pile Data and Eurocode Factors'!$C$15</f>
        <v>4675.5489697790572</v>
      </c>
      <c r="DB291" s="382">
        <f t="shared" si="266"/>
        <v>9959.4118638803593</v>
      </c>
      <c r="DC291" s="382">
        <f>VLOOKUP(CQ291, 'Pile Data and Eurocode Factors'!$A$34:$J$39,3, FALSE)</f>
        <v>16826.141773161216</v>
      </c>
      <c r="DD291" s="403">
        <f t="shared" si="267"/>
        <v>9959.4118638803593</v>
      </c>
      <c r="DE291" s="420">
        <f xml:space="preserve"> Pile!$C$23- Pile!C291</f>
        <v>26.999999999999996</v>
      </c>
      <c r="DG291" s="382">
        <f t="shared" si="268"/>
        <v>2366.1761868507956</v>
      </c>
      <c r="DH291" s="382">
        <f t="shared" si="269"/>
        <v>3810.8186894954151</v>
      </c>
      <c r="DI291" s="382">
        <f t="shared" si="270"/>
        <v>5128.8006251332572</v>
      </c>
      <c r="DJ291" s="382">
        <f t="shared" si="271"/>
        <v>6592.8934660766963</v>
      </c>
      <c r="DK291" s="382">
        <f t="shared" si="272"/>
        <v>8203.0972123257288</v>
      </c>
      <c r="DL291" s="382">
        <f t="shared" si="291"/>
        <v>9959.4118638803593</v>
      </c>
    </row>
    <row r="292" spans="2:116" s="308" customFormat="1" ht="15">
      <c r="B292" s="400">
        <v>11</v>
      </c>
      <c r="C292" s="401">
        <f>+C291- Pile!D$51/20</f>
        <v>-22.499999999999996</v>
      </c>
      <c r="D292" s="415" t="str">
        <f>B25</f>
        <v>Medium Sand/Gravel</v>
      </c>
      <c r="E292" s="415" t="str">
        <f>F25</f>
        <v>Granular</v>
      </c>
      <c r="F292" s="401">
        <f xml:space="preserve"> Pile!$E$51*(+C291-C292)+F291</f>
        <v>531.75000000000011</v>
      </c>
      <c r="G292" s="401">
        <f>IF(C292&gt; Pile!$C$54,0,( Pile!$C$54-C292)*9.81)</f>
        <v>73.574999999999974</v>
      </c>
      <c r="H292" s="401">
        <f t="shared" si="238"/>
        <v>458.17500000000013</v>
      </c>
      <c r="I292" s="401">
        <f t="shared" si="311"/>
        <v>334.08750000000009</v>
      </c>
      <c r="J292" s="401">
        <f>IF(E292="Cohesive",(( Pile!$H$51- Pile!$G$51)/20)+J291,0)</f>
        <v>0</v>
      </c>
      <c r="K292" s="401">
        <f>IF(E292="Cohesive",( Pile!$G$51+ Pile!$J292)/2,0)</f>
        <v>0</v>
      </c>
      <c r="L292" s="401" t="str">
        <f>IF( Pile!I$51="",0, Pile!I$51)</f>
        <v>0</v>
      </c>
      <c r="M292" s="401" t="str">
        <f>IF( Pile!J$51="",0, Pile!J$51)</f>
        <v>0</v>
      </c>
      <c r="N292" s="401">
        <f>IF(E292="Granular", Pile!$K$51,0)</f>
        <v>26.092012099198989</v>
      </c>
      <c r="O292" s="416">
        <f>IF(AND(E292="Granular",D292&lt;&gt;"Made Ground"), Pile!$L$51,0)</f>
        <v>0.58446683387775955</v>
      </c>
      <c r="P292" s="401">
        <f>IF(OR(D292="Low Density Chalk",D292="Medium Density Chalk"), Pile!$M$51,0)</f>
        <v>0</v>
      </c>
      <c r="Q292" s="417">
        <f>IF(D292="High Density Chalk", Pile!$N$51,0)</f>
        <v>0</v>
      </c>
      <c r="R292" s="401">
        <f>IF( Pile!O$51="",0, Pile!O$51)</f>
        <v>0</v>
      </c>
      <c r="S292" s="418">
        <f t="shared" si="240"/>
        <v>195.26306336313604</v>
      </c>
      <c r="T292" s="382">
        <f xml:space="preserve"> Pile!$T$51</f>
        <v>1200</v>
      </c>
      <c r="U292" s="382">
        <f t="shared" si="241"/>
        <v>195.26306336313604</v>
      </c>
      <c r="V292" s="382">
        <f t="shared" si="242"/>
        <v>11954.707643550501</v>
      </c>
      <c r="W292" s="382">
        <f xml:space="preserve"> Pile!$V$51</f>
        <v>15000</v>
      </c>
      <c r="X292" s="382">
        <f t="shared" si="243"/>
        <v>11954.707643550501</v>
      </c>
      <c r="Y292" s="419">
        <v>450</v>
      </c>
      <c r="Z292" s="430">
        <f>PI()*Y292/1000*( Pile!$C$51- Pile!$C292)</f>
        <v>23.326325452904207</v>
      </c>
      <c r="AA292" s="382">
        <f t="shared" si="244"/>
        <v>0.15904312808798329</v>
      </c>
      <c r="AB292" s="382">
        <f t="shared" si="292"/>
        <v>4554.7697649395668</v>
      </c>
      <c r="AC292" s="382">
        <f>Z292* Pile!$S$51</f>
        <v>0</v>
      </c>
      <c r="AD292" s="382">
        <f t="shared" si="298"/>
        <v>4554.7697649395668</v>
      </c>
      <c r="AE292" s="382">
        <f>IF(AD292&gt;0,+AD292)/ 'Pile Data and Eurocode Factors'!$B$14/ 'Pile Data and Eurocode Factors'!$B$15+AE$281</f>
        <v>2206.512778910861</v>
      </c>
      <c r="AF292" s="382">
        <f t="shared" si="305"/>
        <v>1901.3140990075951</v>
      </c>
      <c r="AG292" s="382">
        <f>AA292* Pile!$U$51</f>
        <v>0</v>
      </c>
      <c r="AH292" s="382">
        <f t="shared" si="245"/>
        <v>1901.3140990075951</v>
      </c>
      <c r="AI292" s="382">
        <f>AH292/ 'Pile Data and Eurocode Factors'!$C$14/ 'Pile Data and Eurocode Factors'!$C$15</f>
        <v>679.04074964556969</v>
      </c>
      <c r="AJ292" s="382">
        <f t="shared" si="246"/>
        <v>2885.5535285564306</v>
      </c>
      <c r="AK292" s="382">
        <f>VLOOKUP(Y292, 'Pile Data and Eurocode Factors'!$A$34:$J$39,3, FALSE)</f>
        <v>2366.1761868507956</v>
      </c>
      <c r="AL292" s="403">
        <f t="shared" si="247"/>
        <v>2366.1761868507956</v>
      </c>
      <c r="AM292" s="419">
        <v>600</v>
      </c>
      <c r="AN292" s="430">
        <f>PI()*AM292/1000*( Pile!$C$51- Pile!$C292)</f>
        <v>31.101767270538947</v>
      </c>
      <c r="AO292" s="382">
        <f t="shared" si="248"/>
        <v>0.28274333882308139</v>
      </c>
      <c r="AP292" s="382">
        <f t="shared" si="293"/>
        <v>6073.026353252757</v>
      </c>
      <c r="AQ292" s="382">
        <f>AN292* Pile!$S$51</f>
        <v>0</v>
      </c>
      <c r="AR292" s="382">
        <f t="shared" si="299"/>
        <v>6073.026353252757</v>
      </c>
      <c r="AS292" s="382">
        <f>IF(AR292&gt;0,+AR292)/ 'Pile Data and Eurocode Factors'!$B$14/ 'Pile Data and Eurocode Factors'!$B$15+AS$281</f>
        <v>2942.017038547815</v>
      </c>
      <c r="AT292" s="382">
        <f t="shared" si="306"/>
        <v>3380.11395379128</v>
      </c>
      <c r="AU292" s="382">
        <f>AO292* Pile!$U$51</f>
        <v>0</v>
      </c>
      <c r="AV292" s="382">
        <f t="shared" si="249"/>
        <v>3380.11395379128</v>
      </c>
      <c r="AW292" s="382">
        <f>AV292/ 'Pile Data and Eurocode Factors'!$C$14/ 'Pile Data and Eurocode Factors'!$C$15</f>
        <v>1207.1835549254572</v>
      </c>
      <c r="AX292" s="382">
        <f t="shared" si="250"/>
        <v>4149.2005934732724</v>
      </c>
      <c r="AY292" s="382">
        <f>VLOOKUP(AM292, 'Pile Data and Eurocode Factors'!$A$34:$J$39,3, FALSE)</f>
        <v>4206.5354432903041</v>
      </c>
      <c r="AZ292" s="403">
        <f t="shared" si="251"/>
        <v>4149.2005934732724</v>
      </c>
      <c r="BA292" s="419">
        <v>750</v>
      </c>
      <c r="BB292" s="430">
        <f>PI()*BA292/1000*( Pile!$C$51- Pile!$C292)</f>
        <v>38.877209088173679</v>
      </c>
      <c r="BC292" s="382">
        <f t="shared" si="252"/>
        <v>0.44178646691106466</v>
      </c>
      <c r="BD292" s="382">
        <f t="shared" si="294"/>
        <v>7591.2829415659453</v>
      </c>
      <c r="BE292" s="382">
        <f>BB292* Pile!$S$51</f>
        <v>0</v>
      </c>
      <c r="BF292" s="382">
        <f t="shared" si="300"/>
        <v>7591.2829415659453</v>
      </c>
      <c r="BG292" s="382">
        <f>IF(BF292&gt;0,+BF292)/ 'Pile Data and Eurocode Factors'!$B$14/ 'Pile Data and Eurocode Factors'!$B$15+BG$281</f>
        <v>3677.521298184769</v>
      </c>
      <c r="BH292" s="382">
        <f t="shared" si="307"/>
        <v>5281.4280527988749</v>
      </c>
      <c r="BI292" s="382">
        <f>BC292* Pile!$U$51</f>
        <v>0</v>
      </c>
      <c r="BJ292" s="382">
        <f t="shared" si="253"/>
        <v>5281.4280527988749</v>
      </c>
      <c r="BK292" s="382">
        <f>BJ292/ 'Pile Data and Eurocode Factors'!$C$14/ 'Pile Data and Eurocode Factors'!$C$15</f>
        <v>1886.2243045710268</v>
      </c>
      <c r="BL292" s="382">
        <f t="shared" si="254"/>
        <v>5563.7456027557955</v>
      </c>
      <c r="BM292" s="382">
        <f>VLOOKUP(BA292, 'Pile Data and Eurocode Factors'!$A$34:$J$39,3, FALSE)</f>
        <v>6572.7116301410997</v>
      </c>
      <c r="BN292" s="403">
        <f t="shared" si="255"/>
        <v>5563.7456027557955</v>
      </c>
      <c r="BO292" s="419">
        <v>900</v>
      </c>
      <c r="BP292" s="430">
        <f>PI()*BO292/1000*( Pile!$C$51- Pile!$C292)</f>
        <v>46.652650905808414</v>
      </c>
      <c r="BQ292" s="382">
        <f t="shared" si="256"/>
        <v>0.63617251235193317</v>
      </c>
      <c r="BR292" s="382">
        <f t="shared" si="295"/>
        <v>9109.5395298791336</v>
      </c>
      <c r="BS292" s="382">
        <f>BP292* Pile!$S$51</f>
        <v>0</v>
      </c>
      <c r="BT292" s="382">
        <f t="shared" si="301"/>
        <v>9109.5395298791336</v>
      </c>
      <c r="BU292" s="382">
        <f>IF(BT292&gt;0,+BT292)/ 'Pile Data and Eurocode Factors'!$B$14/ 'Pile Data and Eurocode Factors'!$B$15+BU$281</f>
        <v>4413.025557821722</v>
      </c>
      <c r="BV292" s="382">
        <f t="shared" si="308"/>
        <v>7605.2563960303805</v>
      </c>
      <c r="BW292" s="382">
        <f>BQ292* Pile!$U$51</f>
        <v>0</v>
      </c>
      <c r="BX292" s="382">
        <f t="shared" si="257"/>
        <v>7605.2563960303805</v>
      </c>
      <c r="BY292" s="382">
        <f>BX292/ 'Pile Data and Eurocode Factors'!$C$14/ 'Pile Data and Eurocode Factors'!$C$15</f>
        <v>2716.1629985822788</v>
      </c>
      <c r="BZ292" s="382">
        <f t="shared" si="258"/>
        <v>7129.1885564040003</v>
      </c>
      <c r="CA292" s="382">
        <f>VLOOKUP(BO292, 'Pile Data and Eurocode Factors'!$A$34:$J$39,3, FALSE)</f>
        <v>9464.7047474031824</v>
      </c>
      <c r="CB292" s="403">
        <f t="shared" si="259"/>
        <v>7129.1885564040003</v>
      </c>
      <c r="CC292" s="419">
        <v>1050</v>
      </c>
      <c r="CD292" s="430">
        <f>PI()*CC292/1000*( Pile!$C$51- Pile!$C292)</f>
        <v>54.428092723443157</v>
      </c>
      <c r="CE292" s="382">
        <f t="shared" si="260"/>
        <v>0.86590147514568672</v>
      </c>
      <c r="CF292" s="382">
        <f t="shared" si="296"/>
        <v>10627.796118192326</v>
      </c>
      <c r="CG292" s="382">
        <f>CD292* Pile!$S$51</f>
        <v>0</v>
      </c>
      <c r="CH292" s="382">
        <f t="shared" si="302"/>
        <v>10627.796118192326</v>
      </c>
      <c r="CI292" s="382">
        <f>IF(CH292&gt;0,+CH292)/ 'Pile Data and Eurocode Factors'!$B$14/ 'Pile Data and Eurocode Factors'!$B$15+CI$281</f>
        <v>5148.529817458676</v>
      </c>
      <c r="CJ292" s="382">
        <f t="shared" si="309"/>
        <v>10351.598983485796</v>
      </c>
      <c r="CK292" s="382">
        <f>CE292* Pile!$U$51</f>
        <v>0</v>
      </c>
      <c r="CL292" s="382">
        <f t="shared" si="261"/>
        <v>10351.598983485796</v>
      </c>
      <c r="CM292" s="382">
        <f>CL292/ 'Pile Data and Eurocode Factors'!$C$14/ 'Pile Data and Eurocode Factors'!$C$15</f>
        <v>3696.9996369592131</v>
      </c>
      <c r="CN292" s="382">
        <f t="shared" si="262"/>
        <v>8845.5294544178887</v>
      </c>
      <c r="CO292" s="382">
        <f>VLOOKUP(CC292, 'Pile Data and Eurocode Factors'!$A$34:$J$39,3, FALSE)</f>
        <v>12882.514795076555</v>
      </c>
      <c r="CP292" s="403">
        <f t="shared" si="263"/>
        <v>8845.5294544178887</v>
      </c>
      <c r="CQ292" s="419">
        <v>1200</v>
      </c>
      <c r="CR292" s="430">
        <f>PI()*CQ292/1000*( Pile!$C$51- Pile!$C292)</f>
        <v>62.203534541077893</v>
      </c>
      <c r="CS292" s="382">
        <f t="shared" si="264"/>
        <v>1.1309733552923256</v>
      </c>
      <c r="CT292" s="382">
        <f t="shared" si="297"/>
        <v>12146.052706505514</v>
      </c>
      <c r="CU292" s="382">
        <f>CR292* Pile!$S$51</f>
        <v>0</v>
      </c>
      <c r="CV292" s="382">
        <f t="shared" si="303"/>
        <v>12146.052706505514</v>
      </c>
      <c r="CW292" s="382">
        <f>IF(CV292&gt;0,+CV292)/ 'Pile Data and Eurocode Factors'!$B$14/ 'Pile Data and Eurocode Factors'!$B$15+CW$281</f>
        <v>5884.03407709563</v>
      </c>
      <c r="CX292" s="382">
        <f t="shared" si="310"/>
        <v>13520.45581516512</v>
      </c>
      <c r="CY292" s="382">
        <f>CS292* Pile!$U$51</f>
        <v>0</v>
      </c>
      <c r="CZ292" s="382">
        <f t="shared" si="265"/>
        <v>13520.45581516512</v>
      </c>
      <c r="DA292" s="382">
        <f>CZ292/ 'Pile Data and Eurocode Factors'!$C$14/ 'Pile Data and Eurocode Factors'!$C$15</f>
        <v>4828.7342197018288</v>
      </c>
      <c r="DB292" s="382">
        <f t="shared" si="266"/>
        <v>10712.768296797458</v>
      </c>
      <c r="DC292" s="382">
        <f>VLOOKUP(CQ292, 'Pile Data and Eurocode Factors'!$A$34:$J$39,3, FALSE)</f>
        <v>16826.141773161216</v>
      </c>
      <c r="DD292" s="403">
        <f t="shared" si="267"/>
        <v>10712.768296797458</v>
      </c>
      <c r="DE292" s="420">
        <f xml:space="preserve"> Pile!$C$23- Pile!C292</f>
        <v>28.499999999999996</v>
      </c>
      <c r="DG292" s="382">
        <f t="shared" si="268"/>
        <v>2366.1761868507956</v>
      </c>
      <c r="DH292" s="382">
        <f t="shared" si="269"/>
        <v>4149.2005934732724</v>
      </c>
      <c r="DI292" s="382">
        <f t="shared" si="270"/>
        <v>5563.7456027557955</v>
      </c>
      <c r="DJ292" s="382">
        <f t="shared" si="271"/>
        <v>7129.1885564040003</v>
      </c>
      <c r="DK292" s="382">
        <f t="shared" si="272"/>
        <v>8845.5294544178887</v>
      </c>
      <c r="DL292" s="382">
        <f t="shared" si="291"/>
        <v>10712.768296797458</v>
      </c>
    </row>
    <row r="293" spans="2:116" s="308" customFormat="1" ht="15">
      <c r="B293" s="400">
        <v>12</v>
      </c>
      <c r="C293" s="401">
        <f>+C292- Pile!D$51/20</f>
        <v>-23.999999999999996</v>
      </c>
      <c r="D293" s="415" t="str">
        <f>B25</f>
        <v>Medium Sand/Gravel</v>
      </c>
      <c r="E293" s="415" t="str">
        <f>F25</f>
        <v>Granular</v>
      </c>
      <c r="F293" s="401">
        <f xml:space="preserve"> Pile!$E$51*(+C292-C293)+F292</f>
        <v>561.00000000000011</v>
      </c>
      <c r="G293" s="401">
        <f>IF(C293&gt; Pile!$C$54,0,( Pile!$C$54-C293)*9.81)</f>
        <v>88.289999999999964</v>
      </c>
      <c r="H293" s="401">
        <f t="shared" si="238"/>
        <v>472.71000000000015</v>
      </c>
      <c r="I293" s="401">
        <f t="shared" si="311"/>
        <v>341.35500000000013</v>
      </c>
      <c r="J293" s="401">
        <f>IF(E293="Cohesive",(( Pile!$H$51- Pile!$G$51)/20)+J292,0)</f>
        <v>0</v>
      </c>
      <c r="K293" s="401">
        <f>IF(E293="Cohesive",( Pile!$G$51+ Pile!$J293)/2,0)</f>
        <v>0</v>
      </c>
      <c r="L293" s="401" t="str">
        <f>IF( Pile!I$51="",0, Pile!I$51)</f>
        <v>0</v>
      </c>
      <c r="M293" s="401" t="str">
        <f>IF( Pile!J$51="",0, Pile!J$51)</f>
        <v>0</v>
      </c>
      <c r="N293" s="401">
        <f>IF(E293="Granular", Pile!$K$51,0)</f>
        <v>26.092012099198989</v>
      </c>
      <c r="O293" s="416">
        <f>IF(AND(E293="Granular",D293&lt;&gt;"Made Ground"), Pile!$L$51,0)</f>
        <v>0.58446683387775955</v>
      </c>
      <c r="P293" s="401">
        <f>IF(OR(D293="Low Density Chalk",D293="Medium Density Chalk"), Pile!$M$51,0)</f>
        <v>0</v>
      </c>
      <c r="Q293" s="417">
        <f>IF(D293="High Density Chalk", Pile!$N$51,0)</f>
        <v>0</v>
      </c>
      <c r="R293" s="401">
        <f>IF( Pile!O$51="",0, Pile!O$51)</f>
        <v>0</v>
      </c>
      <c r="S293" s="418">
        <f t="shared" si="240"/>
        <v>199.5106760783427</v>
      </c>
      <c r="T293" s="382">
        <f xml:space="preserve"> Pile!$T$51</f>
        <v>1200</v>
      </c>
      <c r="U293" s="382">
        <f t="shared" si="241"/>
        <v>199.5106760783427</v>
      </c>
      <c r="V293" s="382">
        <f t="shared" si="242"/>
        <v>12333.955039412358</v>
      </c>
      <c r="W293" s="382">
        <f xml:space="preserve"> Pile!$V$51</f>
        <v>15000</v>
      </c>
      <c r="X293" s="382">
        <f t="shared" si="243"/>
        <v>12333.955039412358</v>
      </c>
      <c r="Y293" s="419">
        <v>450</v>
      </c>
      <c r="Z293" s="430">
        <f>PI()*Y293/1000*( Pile!$C$51- Pile!$C293)</f>
        <v>25.446900494077319</v>
      </c>
      <c r="AA293" s="382">
        <f t="shared" si="244"/>
        <v>0.15904312808798329</v>
      </c>
      <c r="AB293" s="382">
        <f t="shared" si="292"/>
        <v>5076.9283216716785</v>
      </c>
      <c r="AC293" s="382">
        <f>Z293* Pile!$S$51</f>
        <v>0</v>
      </c>
      <c r="AD293" s="382">
        <f t="shared" si="298"/>
        <v>5076.9283216716785</v>
      </c>
      <c r="AE293" s="382">
        <f>IF(AD293&gt;0,+AD293)/ 'Pile Data and Eurocode Factors'!$B$14/ 'Pile Data and Eurocode Factors'!$B$15+AE$281</f>
        <v>2439.6192774519823</v>
      </c>
      <c r="AF293" s="382">
        <f t="shared" si="305"/>
        <v>1961.6307911646866</v>
      </c>
      <c r="AG293" s="382">
        <f>AA293* Pile!$U$51</f>
        <v>0</v>
      </c>
      <c r="AH293" s="382">
        <f t="shared" si="245"/>
        <v>1961.6307911646866</v>
      </c>
      <c r="AI293" s="382">
        <f>AH293/ 'Pile Data and Eurocode Factors'!$C$14/ 'Pile Data and Eurocode Factors'!$C$15</f>
        <v>700.58242541595951</v>
      </c>
      <c r="AJ293" s="382">
        <f t="shared" si="246"/>
        <v>3140.201702867942</v>
      </c>
      <c r="AK293" s="382">
        <f>VLOOKUP(Y293, 'Pile Data and Eurocode Factors'!$A$34:$J$39,3, FALSE)</f>
        <v>2366.1761868507956</v>
      </c>
      <c r="AL293" s="403">
        <f t="shared" si="247"/>
        <v>2366.1761868507956</v>
      </c>
      <c r="AM293" s="419">
        <v>600</v>
      </c>
      <c r="AN293" s="430">
        <f>PI()*AM293/1000*( Pile!$C$51- Pile!$C293)</f>
        <v>33.929200658769759</v>
      </c>
      <c r="AO293" s="382">
        <f t="shared" si="248"/>
        <v>0.28274333882308139</v>
      </c>
      <c r="AP293" s="382">
        <f t="shared" si="293"/>
        <v>6769.237762228905</v>
      </c>
      <c r="AQ293" s="382">
        <f>AN293* Pile!$S$51</f>
        <v>0</v>
      </c>
      <c r="AR293" s="382">
        <f t="shared" si="299"/>
        <v>6769.237762228905</v>
      </c>
      <c r="AS293" s="382">
        <f>IF(AR293&gt;0,+AR293)/ 'Pile Data and Eurocode Factors'!$B$14/ 'Pile Data and Eurocode Factors'!$B$15+AS$281</f>
        <v>3252.82570326931</v>
      </c>
      <c r="AT293" s="382">
        <f t="shared" si="306"/>
        <v>3487.3436287372206</v>
      </c>
      <c r="AU293" s="382">
        <f>AO293* Pile!$U$51</f>
        <v>0</v>
      </c>
      <c r="AV293" s="382">
        <f t="shared" si="249"/>
        <v>3487.3436287372206</v>
      </c>
      <c r="AW293" s="382">
        <f>AV293/ 'Pile Data and Eurocode Factors'!$C$14/ 'Pile Data and Eurocode Factors'!$C$15</f>
        <v>1245.4798674061503</v>
      </c>
      <c r="AX293" s="382">
        <f t="shared" si="250"/>
        <v>4498.3055706754603</v>
      </c>
      <c r="AY293" s="382">
        <f>VLOOKUP(AM293, 'Pile Data and Eurocode Factors'!$A$34:$J$39,3, FALSE)</f>
        <v>4206.5354432903041</v>
      </c>
      <c r="AZ293" s="403">
        <f t="shared" si="251"/>
        <v>4206.5354432903041</v>
      </c>
      <c r="BA293" s="419">
        <v>750</v>
      </c>
      <c r="BB293" s="430">
        <f>PI()*BA293/1000*( Pile!$C$51- Pile!$C293)</f>
        <v>42.411500823462198</v>
      </c>
      <c r="BC293" s="382">
        <f t="shared" si="252"/>
        <v>0.44178646691106466</v>
      </c>
      <c r="BD293" s="382">
        <f t="shared" si="294"/>
        <v>8461.5472027861306</v>
      </c>
      <c r="BE293" s="382">
        <f>BB293* Pile!$S$51</f>
        <v>0</v>
      </c>
      <c r="BF293" s="382">
        <f t="shared" si="300"/>
        <v>8461.5472027861306</v>
      </c>
      <c r="BG293" s="382">
        <f>IF(BF293&gt;0,+BF293)/ 'Pile Data and Eurocode Factors'!$B$14/ 'Pile Data and Eurocode Factors'!$B$15+BG$281</f>
        <v>4066.0321290866368</v>
      </c>
      <c r="BH293" s="382">
        <f t="shared" si="307"/>
        <v>5448.9744199019069</v>
      </c>
      <c r="BI293" s="382">
        <f>BC293* Pile!$U$51</f>
        <v>0</v>
      </c>
      <c r="BJ293" s="382">
        <f t="shared" si="253"/>
        <v>5448.9744199019069</v>
      </c>
      <c r="BK293" s="382">
        <f>BJ293/ 'Pile Data and Eurocode Factors'!$C$14/ 'Pile Data and Eurocode Factors'!$C$15</f>
        <v>1946.0622928221098</v>
      </c>
      <c r="BL293" s="382">
        <f t="shared" si="254"/>
        <v>6012.0944219087469</v>
      </c>
      <c r="BM293" s="382">
        <f>VLOOKUP(BA293, 'Pile Data and Eurocode Factors'!$A$34:$J$39,3, FALSE)</f>
        <v>6572.7116301410997</v>
      </c>
      <c r="BN293" s="403">
        <f t="shared" si="255"/>
        <v>6012.0944219087469</v>
      </c>
      <c r="BO293" s="419">
        <v>900</v>
      </c>
      <c r="BP293" s="430">
        <f>PI()*BO293/1000*( Pile!$C$51- Pile!$C293)</f>
        <v>50.893800988154638</v>
      </c>
      <c r="BQ293" s="382">
        <f t="shared" si="256"/>
        <v>0.63617251235193317</v>
      </c>
      <c r="BR293" s="382">
        <f t="shared" si="295"/>
        <v>10153.856643343357</v>
      </c>
      <c r="BS293" s="382">
        <f>BP293* Pile!$S$51</f>
        <v>0</v>
      </c>
      <c r="BT293" s="382">
        <f t="shared" si="301"/>
        <v>10153.856643343357</v>
      </c>
      <c r="BU293" s="382">
        <f>IF(BT293&gt;0,+BT293)/ 'Pile Data and Eurocode Factors'!$B$14/ 'Pile Data and Eurocode Factors'!$B$15+BU$281</f>
        <v>4879.2385549039645</v>
      </c>
      <c r="BV293" s="382">
        <f t="shared" si="308"/>
        <v>7846.5231646587463</v>
      </c>
      <c r="BW293" s="382">
        <f>BQ293* Pile!$U$51</f>
        <v>0</v>
      </c>
      <c r="BX293" s="382">
        <f t="shared" si="257"/>
        <v>7846.5231646587463</v>
      </c>
      <c r="BY293" s="382">
        <f>BX293/ 'Pile Data and Eurocode Factors'!$C$14/ 'Pile Data and Eurocode Factors'!$C$15</f>
        <v>2802.329701663838</v>
      </c>
      <c r="BZ293" s="382">
        <f t="shared" si="258"/>
        <v>7681.5682565678026</v>
      </c>
      <c r="CA293" s="382">
        <f>VLOOKUP(BO293, 'Pile Data and Eurocode Factors'!$A$34:$J$39,3, FALSE)</f>
        <v>9464.7047474031824</v>
      </c>
      <c r="CB293" s="403">
        <f t="shared" si="259"/>
        <v>7681.5682565678026</v>
      </c>
      <c r="CC293" s="419">
        <v>1050</v>
      </c>
      <c r="CD293" s="430">
        <f>PI()*CC293/1000*( Pile!$C$51- Pile!$C293)</f>
        <v>59.376101152847077</v>
      </c>
      <c r="CE293" s="382">
        <f t="shared" si="260"/>
        <v>0.86590147514568672</v>
      </c>
      <c r="CF293" s="382">
        <f t="shared" si="296"/>
        <v>11846.166083900584</v>
      </c>
      <c r="CG293" s="382">
        <f>CD293* Pile!$S$51</f>
        <v>0</v>
      </c>
      <c r="CH293" s="382">
        <f t="shared" si="302"/>
        <v>11846.166083900584</v>
      </c>
      <c r="CI293" s="382">
        <f>IF(CH293&gt;0,+CH293)/ 'Pile Data and Eurocode Factors'!$B$14/ 'Pile Data and Eurocode Factors'!$B$15+CI$281</f>
        <v>5692.4449807212923</v>
      </c>
      <c r="CJ293" s="382">
        <f t="shared" si="309"/>
        <v>10679.989863007737</v>
      </c>
      <c r="CK293" s="382">
        <f>CE293* Pile!$U$51</f>
        <v>0</v>
      </c>
      <c r="CL293" s="382">
        <f t="shared" si="261"/>
        <v>10679.989863007737</v>
      </c>
      <c r="CM293" s="382">
        <f>CL293/ 'Pile Data and Eurocode Factors'!$C$14/ 'Pile Data and Eurocode Factors'!$C$15</f>
        <v>3814.2820939313347</v>
      </c>
      <c r="CN293" s="382">
        <f t="shared" si="262"/>
        <v>9506.7270746526265</v>
      </c>
      <c r="CO293" s="382">
        <f>VLOOKUP(CC293, 'Pile Data and Eurocode Factors'!$A$34:$J$39,3, FALSE)</f>
        <v>12882.514795076555</v>
      </c>
      <c r="CP293" s="403">
        <f t="shared" si="263"/>
        <v>9506.7270746526265</v>
      </c>
      <c r="CQ293" s="419">
        <v>1200</v>
      </c>
      <c r="CR293" s="430">
        <f>PI()*CQ293/1000*( Pile!$C$51- Pile!$C293)</f>
        <v>67.858401317539517</v>
      </c>
      <c r="CS293" s="382">
        <f t="shared" si="264"/>
        <v>1.1309733552923256</v>
      </c>
      <c r="CT293" s="382">
        <f t="shared" si="297"/>
        <v>13538.47552445781</v>
      </c>
      <c r="CU293" s="382">
        <f>CR293* Pile!$S$51</f>
        <v>0</v>
      </c>
      <c r="CV293" s="382">
        <f t="shared" si="303"/>
        <v>13538.47552445781</v>
      </c>
      <c r="CW293" s="382">
        <f>IF(CV293&gt;0,+CV293)/ 'Pile Data and Eurocode Factors'!$B$14/ 'Pile Data and Eurocode Factors'!$B$15+CW$281</f>
        <v>6505.65140653862</v>
      </c>
      <c r="CX293" s="382">
        <f t="shared" si="310"/>
        <v>13949.374514948882</v>
      </c>
      <c r="CY293" s="382">
        <f>CS293* Pile!$U$51</f>
        <v>0</v>
      </c>
      <c r="CZ293" s="382">
        <f t="shared" si="265"/>
        <v>13949.374514948882</v>
      </c>
      <c r="DA293" s="382">
        <f>CZ293/ 'Pile Data and Eurocode Factors'!$C$14/ 'Pile Data and Eurocode Factors'!$C$15</f>
        <v>4981.9194696246013</v>
      </c>
      <c r="DB293" s="382">
        <f t="shared" si="266"/>
        <v>11487.570876163221</v>
      </c>
      <c r="DC293" s="382">
        <f>VLOOKUP(CQ293, 'Pile Data and Eurocode Factors'!$A$34:$J$39,3, FALSE)</f>
        <v>16826.141773161216</v>
      </c>
      <c r="DD293" s="403">
        <f t="shared" si="267"/>
        <v>11487.570876163221</v>
      </c>
      <c r="DE293" s="420">
        <f xml:space="preserve"> Pile!$C$23- Pile!C293</f>
        <v>29.999999999999996</v>
      </c>
      <c r="DG293" s="382">
        <f t="shared" si="268"/>
        <v>2366.1761868507956</v>
      </c>
      <c r="DH293" s="382">
        <f t="shared" si="269"/>
        <v>4206.5354432903041</v>
      </c>
      <c r="DI293" s="382">
        <f t="shared" si="270"/>
        <v>6012.0944219087469</v>
      </c>
      <c r="DJ293" s="382">
        <f t="shared" si="271"/>
        <v>7681.5682565678026</v>
      </c>
      <c r="DK293" s="382">
        <f t="shared" si="272"/>
        <v>9506.7270746526265</v>
      </c>
      <c r="DL293" s="382">
        <f t="shared" si="291"/>
        <v>11487.570876163221</v>
      </c>
    </row>
    <row r="294" spans="2:116" s="308" customFormat="1" ht="15">
      <c r="B294" s="400">
        <v>13</v>
      </c>
      <c r="C294" s="401">
        <f>+C293- Pile!D$51/20</f>
        <v>-25.499999999999996</v>
      </c>
      <c r="D294" s="415" t="str">
        <f>B25</f>
        <v>Medium Sand/Gravel</v>
      </c>
      <c r="E294" s="415" t="str">
        <f>F25</f>
        <v>Granular</v>
      </c>
      <c r="F294" s="401">
        <f xml:space="preserve"> Pile!$E$51*(+C293-C294)+F293</f>
        <v>590.25000000000011</v>
      </c>
      <c r="G294" s="401">
        <f>IF(C294&gt; Pile!$C$54,0,( Pile!$C$54-C294)*9.81)</f>
        <v>103.00499999999997</v>
      </c>
      <c r="H294" s="401">
        <f t="shared" si="238"/>
        <v>487.24500000000012</v>
      </c>
      <c r="I294" s="401">
        <f t="shared" si="311"/>
        <v>348.62250000000012</v>
      </c>
      <c r="J294" s="401">
        <f>IF(E294="Cohesive",(( Pile!$H$51- Pile!$G$51)/20)+J293,0)</f>
        <v>0</v>
      </c>
      <c r="K294" s="401">
        <f>IF(E294="Cohesive",( Pile!$G$51+ Pile!$J294)/2,0)</f>
        <v>0</v>
      </c>
      <c r="L294" s="401" t="str">
        <f>IF( Pile!I$51="",0, Pile!I$51)</f>
        <v>0</v>
      </c>
      <c r="M294" s="401" t="str">
        <f>IF( Pile!J$51="",0, Pile!J$51)</f>
        <v>0</v>
      </c>
      <c r="N294" s="401">
        <f>IF(E294="Granular", Pile!$K$51,0)</f>
        <v>26.092012099198989</v>
      </c>
      <c r="O294" s="416">
        <f>IF(AND(E294="Granular",D294&lt;&gt;"Made Ground"), Pile!$L$51,0)</f>
        <v>0.58446683387775955</v>
      </c>
      <c r="P294" s="401">
        <f>IF(OR(D294="Low Density Chalk",D294="Medium Density Chalk"), Pile!$M$51,0)</f>
        <v>0</v>
      </c>
      <c r="Q294" s="417">
        <f>IF(D294="High Density Chalk", Pile!$N$51,0)</f>
        <v>0</v>
      </c>
      <c r="R294" s="401">
        <f>IF( Pile!O$51="",0, Pile!O$51)</f>
        <v>0</v>
      </c>
      <c r="S294" s="418">
        <f t="shared" si="240"/>
        <v>203.7582887935493</v>
      </c>
      <c r="T294" s="382">
        <f xml:space="preserve"> Pile!$T$51</f>
        <v>1200</v>
      </c>
      <c r="U294" s="382">
        <f t="shared" si="241"/>
        <v>203.7582887935493</v>
      </c>
      <c r="V294" s="382">
        <f t="shared" si="242"/>
        <v>12713.202435274214</v>
      </c>
      <c r="W294" s="382">
        <f xml:space="preserve"> Pile!$V$51</f>
        <v>15000</v>
      </c>
      <c r="X294" s="382">
        <f t="shared" si="243"/>
        <v>12713.202435274214</v>
      </c>
      <c r="Y294" s="419">
        <v>450</v>
      </c>
      <c r="Z294" s="430">
        <f>PI()*Y294/1000*( Pile!$C$51- Pile!$C294)</f>
        <v>27.567475535250431</v>
      </c>
      <c r="AA294" s="382">
        <f t="shared" si="244"/>
        <v>0.15904312808798329</v>
      </c>
      <c r="AB294" s="382">
        <f t="shared" si="292"/>
        <v>5617.1016414206624</v>
      </c>
      <c r="AC294" s="382">
        <f>Z294* Pile!$S$51</f>
        <v>0</v>
      </c>
      <c r="AD294" s="382">
        <f t="shared" si="298"/>
        <v>5617.1016414206624</v>
      </c>
      <c r="AE294" s="382">
        <f>IF(AD294&gt;0,+AD294)/ 'Pile Data and Eurocode Factors'!$B$14/ 'Pile Data and Eurocode Factors'!$B$15+AE$281</f>
        <v>2680.7680809113504</v>
      </c>
      <c r="AF294" s="382">
        <f t="shared" si="305"/>
        <v>2021.947483321778</v>
      </c>
      <c r="AG294" s="382">
        <f>AA294* Pile!$U$51</f>
        <v>0</v>
      </c>
      <c r="AH294" s="382">
        <f t="shared" si="245"/>
        <v>2021.947483321778</v>
      </c>
      <c r="AI294" s="382">
        <f>AH294/ 'Pile Data and Eurocode Factors'!$C$14/ 'Pile Data and Eurocode Factors'!$C$15</f>
        <v>722.12410118634932</v>
      </c>
      <c r="AJ294" s="382">
        <f t="shared" si="246"/>
        <v>3402.8921820976998</v>
      </c>
      <c r="AK294" s="382">
        <f>VLOOKUP(Y294, 'Pile Data and Eurocode Factors'!$A$34:$J$39,3, FALSE)</f>
        <v>2366.1761868507956</v>
      </c>
      <c r="AL294" s="403">
        <f t="shared" si="247"/>
        <v>2366.1761868507956</v>
      </c>
      <c r="AM294" s="419">
        <v>600</v>
      </c>
      <c r="AN294" s="430">
        <f>PI()*AM294/1000*( Pile!$C$51- Pile!$C294)</f>
        <v>36.756634047000574</v>
      </c>
      <c r="AO294" s="382">
        <f t="shared" si="248"/>
        <v>0.28274333882308139</v>
      </c>
      <c r="AP294" s="382">
        <f t="shared" si="293"/>
        <v>7489.4688552275493</v>
      </c>
      <c r="AQ294" s="382">
        <f>AN294* Pile!$S$51</f>
        <v>0</v>
      </c>
      <c r="AR294" s="382">
        <f t="shared" si="299"/>
        <v>7489.4688552275493</v>
      </c>
      <c r="AS294" s="382">
        <f>IF(AR294&gt;0,+AR294)/ 'Pile Data and Eurocode Factors'!$B$14/ 'Pile Data and Eurocode Factors'!$B$15+AS$281</f>
        <v>3574.3574412151329</v>
      </c>
      <c r="AT294" s="382">
        <f t="shared" si="306"/>
        <v>3594.5733036831607</v>
      </c>
      <c r="AU294" s="382">
        <f>AO294* Pile!$U$51</f>
        <v>0</v>
      </c>
      <c r="AV294" s="382">
        <f t="shared" si="249"/>
        <v>3594.5733036831607</v>
      </c>
      <c r="AW294" s="382">
        <f>AV294/ 'Pile Data and Eurocode Factors'!$C$14/ 'Pile Data and Eurocode Factors'!$C$15</f>
        <v>1283.7761798868432</v>
      </c>
      <c r="AX294" s="382">
        <f t="shared" si="250"/>
        <v>4858.1336211019761</v>
      </c>
      <c r="AY294" s="382">
        <f>VLOOKUP(AM294, 'Pile Data and Eurocode Factors'!$A$34:$J$39,3, FALSE)</f>
        <v>4206.5354432903041</v>
      </c>
      <c r="AZ294" s="403">
        <f t="shared" si="251"/>
        <v>4206.5354432903041</v>
      </c>
      <c r="BA294" s="419">
        <v>750</v>
      </c>
      <c r="BB294" s="430">
        <f>PI()*BA294/1000*( Pile!$C$51- Pile!$C294)</f>
        <v>45.945792558750718</v>
      </c>
      <c r="BC294" s="382">
        <f t="shared" si="252"/>
        <v>0.44178646691106466</v>
      </c>
      <c r="BD294" s="382">
        <f t="shared" si="294"/>
        <v>9361.836069034438</v>
      </c>
      <c r="BE294" s="382">
        <f>BB294* Pile!$S$51</f>
        <v>0</v>
      </c>
      <c r="BF294" s="382">
        <f t="shared" si="300"/>
        <v>9361.836069034438</v>
      </c>
      <c r="BG294" s="382">
        <f>IF(BF294&gt;0,+BF294)/ 'Pile Data and Eurocode Factors'!$B$14/ 'Pile Data and Eurocode Factors'!$B$15+BG$281</f>
        <v>4467.9468015189168</v>
      </c>
      <c r="BH294" s="382">
        <f t="shared" si="307"/>
        <v>5616.520787004938</v>
      </c>
      <c r="BI294" s="382">
        <f>BC294* Pile!$U$51</f>
        <v>0</v>
      </c>
      <c r="BJ294" s="382">
        <f t="shared" si="253"/>
        <v>5616.520787004938</v>
      </c>
      <c r="BK294" s="382">
        <f>BJ294/ 'Pile Data and Eurocode Factors'!$C$14/ 'Pile Data and Eurocode Factors'!$C$15</f>
        <v>2005.9002810731922</v>
      </c>
      <c r="BL294" s="382">
        <f t="shared" si="254"/>
        <v>6473.8470825921086</v>
      </c>
      <c r="BM294" s="382">
        <f>VLOOKUP(BA294, 'Pile Data and Eurocode Factors'!$A$34:$J$39,3, FALSE)</f>
        <v>6572.7116301410997</v>
      </c>
      <c r="BN294" s="403">
        <f t="shared" si="255"/>
        <v>6473.8470825921086</v>
      </c>
      <c r="BO294" s="419">
        <v>900</v>
      </c>
      <c r="BP294" s="430">
        <f>PI()*BO294/1000*( Pile!$C$51- Pile!$C294)</f>
        <v>55.134951070500861</v>
      </c>
      <c r="BQ294" s="382">
        <f t="shared" si="256"/>
        <v>0.63617251235193317</v>
      </c>
      <c r="BR294" s="382">
        <f t="shared" si="295"/>
        <v>11234.203282841325</v>
      </c>
      <c r="BS294" s="382">
        <f>BP294* Pile!$S$51</f>
        <v>0</v>
      </c>
      <c r="BT294" s="382">
        <f t="shared" si="301"/>
        <v>11234.203282841325</v>
      </c>
      <c r="BU294" s="382">
        <f>IF(BT294&gt;0,+BT294)/ 'Pile Data and Eurocode Factors'!$B$14/ 'Pile Data and Eurocode Factors'!$B$15+BU$281</f>
        <v>5361.5361618227007</v>
      </c>
      <c r="BV294" s="382">
        <f t="shared" si="308"/>
        <v>8087.789933287112</v>
      </c>
      <c r="BW294" s="382">
        <f>BQ294* Pile!$U$51</f>
        <v>0</v>
      </c>
      <c r="BX294" s="382">
        <f t="shared" si="257"/>
        <v>8087.789933287112</v>
      </c>
      <c r="BY294" s="382">
        <f>BX294/ 'Pile Data and Eurocode Factors'!$C$14/ 'Pile Data and Eurocode Factors'!$C$15</f>
        <v>2888.4964047453973</v>
      </c>
      <c r="BZ294" s="382">
        <f t="shared" si="258"/>
        <v>8250.0325665680975</v>
      </c>
      <c r="CA294" s="382">
        <f>VLOOKUP(BO294, 'Pile Data and Eurocode Factors'!$A$34:$J$39,3, FALSE)</f>
        <v>9464.7047474031824</v>
      </c>
      <c r="CB294" s="403">
        <f t="shared" si="259"/>
        <v>8250.0325665680975</v>
      </c>
      <c r="CC294" s="419">
        <v>1050</v>
      </c>
      <c r="CD294" s="430">
        <f>PI()*CC294/1000*( Pile!$C$51- Pile!$C294)</f>
        <v>64.324109582250998</v>
      </c>
      <c r="CE294" s="382">
        <f t="shared" si="260"/>
        <v>0.86590147514568672</v>
      </c>
      <c r="CF294" s="382">
        <f t="shared" si="296"/>
        <v>13106.57049664821</v>
      </c>
      <c r="CG294" s="382">
        <f>CD294* Pile!$S$51</f>
        <v>0</v>
      </c>
      <c r="CH294" s="382">
        <f t="shared" si="302"/>
        <v>13106.57049664821</v>
      </c>
      <c r="CI294" s="382">
        <f>IF(CH294&gt;0,+CH294)/ 'Pile Data and Eurocode Factors'!$B$14/ 'Pile Data and Eurocode Factors'!$B$15+CI$281</f>
        <v>6255.1255221264819</v>
      </c>
      <c r="CJ294" s="382">
        <f t="shared" si="309"/>
        <v>11008.380742529678</v>
      </c>
      <c r="CK294" s="382">
        <f>CE294* Pile!$U$51</f>
        <v>0</v>
      </c>
      <c r="CL294" s="382">
        <f t="shared" si="261"/>
        <v>11008.380742529678</v>
      </c>
      <c r="CM294" s="382">
        <f>CL294/ 'Pile Data and Eurocode Factors'!$C$14/ 'Pile Data and Eurocode Factors'!$C$15</f>
        <v>3931.5645509034566</v>
      </c>
      <c r="CN294" s="382">
        <f t="shared" si="262"/>
        <v>10186.690073029939</v>
      </c>
      <c r="CO294" s="382">
        <f>VLOOKUP(CC294, 'Pile Data and Eurocode Factors'!$A$34:$J$39,3, FALSE)</f>
        <v>12882.514795076555</v>
      </c>
      <c r="CP294" s="403">
        <f t="shared" si="263"/>
        <v>10186.690073029939</v>
      </c>
      <c r="CQ294" s="419">
        <v>1200</v>
      </c>
      <c r="CR294" s="430">
        <f>PI()*CQ294/1000*( Pile!$C$51- Pile!$C294)</f>
        <v>73.513268094001148</v>
      </c>
      <c r="CS294" s="382">
        <f t="shared" si="264"/>
        <v>1.1309733552923256</v>
      </c>
      <c r="CT294" s="382">
        <f t="shared" si="297"/>
        <v>14978.937710455099</v>
      </c>
      <c r="CU294" s="382">
        <f>CR294* Pile!$S$51</f>
        <v>0</v>
      </c>
      <c r="CV294" s="382">
        <f t="shared" si="303"/>
        <v>14978.937710455099</v>
      </c>
      <c r="CW294" s="382">
        <f>IF(CV294&gt;0,+CV294)/ 'Pile Data and Eurocode Factors'!$B$14/ 'Pile Data and Eurocode Factors'!$B$15+CW$281</f>
        <v>7148.7148824302658</v>
      </c>
      <c r="CX294" s="382">
        <f t="shared" si="310"/>
        <v>14378.293214732643</v>
      </c>
      <c r="CY294" s="382">
        <f>CS294* Pile!$U$51</f>
        <v>0</v>
      </c>
      <c r="CZ294" s="382">
        <f t="shared" si="265"/>
        <v>14378.293214732643</v>
      </c>
      <c r="DA294" s="382">
        <f>CZ294/ 'Pile Data and Eurocode Factors'!$C$14/ 'Pile Data and Eurocode Factors'!$C$15</f>
        <v>5135.104719547373</v>
      </c>
      <c r="DB294" s="382">
        <f t="shared" si="266"/>
        <v>12283.819601977639</v>
      </c>
      <c r="DC294" s="382">
        <f>VLOOKUP(CQ294, 'Pile Data and Eurocode Factors'!$A$34:$J$39,3, FALSE)</f>
        <v>16826.141773161216</v>
      </c>
      <c r="DD294" s="403">
        <f t="shared" si="267"/>
        <v>12283.819601977639</v>
      </c>
      <c r="DE294" s="420">
        <f xml:space="preserve"> Pile!$C$23- Pile!C294</f>
        <v>31.499999999999996</v>
      </c>
      <c r="DG294" s="382">
        <f t="shared" si="268"/>
        <v>2366.1761868507956</v>
      </c>
      <c r="DH294" s="382">
        <f t="shared" si="269"/>
        <v>4206.5354432903041</v>
      </c>
      <c r="DI294" s="382">
        <f t="shared" si="270"/>
        <v>6473.8470825921086</v>
      </c>
      <c r="DJ294" s="382">
        <f t="shared" si="271"/>
        <v>8250.0325665680975</v>
      </c>
      <c r="DK294" s="382">
        <f t="shared" si="272"/>
        <v>10186.690073029939</v>
      </c>
      <c r="DL294" s="382">
        <f t="shared" si="291"/>
        <v>12283.819601977639</v>
      </c>
    </row>
    <row r="295" spans="2:116" s="308" customFormat="1" ht="15">
      <c r="B295" s="400">
        <v>14</v>
      </c>
      <c r="C295" s="401">
        <f>+C294- Pile!D$51/20</f>
        <v>-26.999999999999996</v>
      </c>
      <c r="D295" s="415" t="str">
        <f>B25</f>
        <v>Medium Sand/Gravel</v>
      </c>
      <c r="E295" s="415" t="str">
        <f>F25</f>
        <v>Granular</v>
      </c>
      <c r="F295" s="401">
        <f xml:space="preserve"> Pile!$E$51*(+C294-C295)+F294</f>
        <v>619.50000000000011</v>
      </c>
      <c r="G295" s="401">
        <f>IF(C295&gt; Pile!$C$54,0,( Pile!$C$54-C295)*9.81)</f>
        <v>117.71999999999997</v>
      </c>
      <c r="H295" s="401">
        <f t="shared" si="238"/>
        <v>501.78000000000014</v>
      </c>
      <c r="I295" s="401">
        <f t="shared" si="311"/>
        <v>355.8900000000001</v>
      </c>
      <c r="J295" s="401">
        <f>IF(E295="Cohesive",(( Pile!$H$51- Pile!$G$51)/20)+J294,0)</f>
        <v>0</v>
      </c>
      <c r="K295" s="401">
        <f>IF(E295="Cohesive",( Pile!$G$51+ Pile!$J295)/2,0)</f>
        <v>0</v>
      </c>
      <c r="L295" s="401" t="str">
        <f>IF( Pile!I$51="",0, Pile!I$51)</f>
        <v>0</v>
      </c>
      <c r="M295" s="401" t="str">
        <f>IF( Pile!J$51="",0, Pile!J$51)</f>
        <v>0</v>
      </c>
      <c r="N295" s="401">
        <f>IF(E295="Granular", Pile!$K$51,0)</f>
        <v>26.092012099198989</v>
      </c>
      <c r="O295" s="416">
        <f>IF(AND(E295="Granular",D295&lt;&gt;"Made Ground"), Pile!$L$51,0)</f>
        <v>0.58446683387775955</v>
      </c>
      <c r="P295" s="401">
        <f>IF(OR(D295="Low Density Chalk",D295="Medium Density Chalk"), Pile!$M$51,0)</f>
        <v>0</v>
      </c>
      <c r="Q295" s="417">
        <f>IF(D295="High Density Chalk", Pile!$N$51,0)</f>
        <v>0</v>
      </c>
      <c r="R295" s="401">
        <f>IF( Pile!O$51="",0, Pile!O$51)</f>
        <v>0</v>
      </c>
      <c r="S295" s="418">
        <f t="shared" si="240"/>
        <v>208.0059015087559</v>
      </c>
      <c r="T295" s="382">
        <f xml:space="preserve"> Pile!$T$51</f>
        <v>1200</v>
      </c>
      <c r="U295" s="382">
        <f t="shared" si="241"/>
        <v>208.0059015087559</v>
      </c>
      <c r="V295" s="382">
        <f t="shared" si="242"/>
        <v>13092.449831136073</v>
      </c>
      <c r="W295" s="382">
        <f xml:space="preserve"> Pile!$V$51</f>
        <v>15000</v>
      </c>
      <c r="X295" s="382">
        <f t="shared" si="243"/>
        <v>13092.449831136073</v>
      </c>
      <c r="Y295" s="419">
        <v>450</v>
      </c>
      <c r="Z295" s="430">
        <f>PI()*Y295/1000*( Pile!$C$51- Pile!$C295)</f>
        <v>29.688050576423539</v>
      </c>
      <c r="AA295" s="382">
        <f t="shared" si="244"/>
        <v>0.15904312808798329</v>
      </c>
      <c r="AB295" s="382">
        <f t="shared" si="292"/>
        <v>6175.2897241865185</v>
      </c>
      <c r="AC295" s="382">
        <f>Z295* Pile!$S$51</f>
        <v>0</v>
      </c>
      <c r="AD295" s="382">
        <f t="shared" si="298"/>
        <v>6175.2897241865185</v>
      </c>
      <c r="AE295" s="382">
        <f>IF(AD295&gt;0,+AD295)/ 'Pile Data and Eurocode Factors'!$B$14/ 'Pile Data and Eurocode Factors'!$B$15+AE$281</f>
        <v>2929.9591892889644</v>
      </c>
      <c r="AF295" s="382">
        <f t="shared" si="305"/>
        <v>2082.2641754788697</v>
      </c>
      <c r="AG295" s="382">
        <f>AA295* Pile!$U$51</f>
        <v>0</v>
      </c>
      <c r="AH295" s="382">
        <f t="shared" si="245"/>
        <v>2082.2641754788697</v>
      </c>
      <c r="AI295" s="382">
        <f>AH295/ 'Pile Data and Eurocode Factors'!$C$14/ 'Pile Data and Eurocode Factors'!$C$15</f>
        <v>743.66577695673925</v>
      </c>
      <c r="AJ295" s="382">
        <f t="shared" si="246"/>
        <v>3673.6249662457035</v>
      </c>
      <c r="AK295" s="382">
        <f>VLOOKUP(Y295, 'Pile Data and Eurocode Factors'!$A$34:$J$39,3, FALSE)</f>
        <v>2366.1761868507956</v>
      </c>
      <c r="AL295" s="403">
        <f t="shared" si="247"/>
        <v>2366.1761868507956</v>
      </c>
      <c r="AM295" s="419">
        <v>600</v>
      </c>
      <c r="AN295" s="430">
        <f>PI()*AM295/1000*( Pile!$C$51- Pile!$C295)</f>
        <v>39.58406743523139</v>
      </c>
      <c r="AO295" s="382">
        <f t="shared" si="248"/>
        <v>0.28274333882308139</v>
      </c>
      <c r="AP295" s="382">
        <f t="shared" si="293"/>
        <v>8233.7196322486925</v>
      </c>
      <c r="AQ295" s="382">
        <f>AN295* Pile!$S$51</f>
        <v>0</v>
      </c>
      <c r="AR295" s="382">
        <f t="shared" si="299"/>
        <v>8233.7196322486925</v>
      </c>
      <c r="AS295" s="382">
        <f>IF(AR295&gt;0,+AR295)/ 'Pile Data and Eurocode Factors'!$B$14/ 'Pile Data and Eurocode Factors'!$B$15+AS$281</f>
        <v>3906.6122523852864</v>
      </c>
      <c r="AT295" s="382">
        <f t="shared" si="306"/>
        <v>3701.8029786291013</v>
      </c>
      <c r="AU295" s="382">
        <f>AO295* Pile!$U$51</f>
        <v>0</v>
      </c>
      <c r="AV295" s="382">
        <f t="shared" si="249"/>
        <v>3701.8029786291013</v>
      </c>
      <c r="AW295" s="382">
        <f>AV295/ 'Pile Data and Eurocode Factors'!$C$14/ 'Pile Data and Eurocode Factors'!$C$15</f>
        <v>1322.0724923675364</v>
      </c>
      <c r="AX295" s="382">
        <f t="shared" si="250"/>
        <v>5228.6847447528226</v>
      </c>
      <c r="AY295" s="382">
        <f>VLOOKUP(AM295, 'Pile Data and Eurocode Factors'!$A$34:$J$39,3, FALSE)</f>
        <v>4206.5354432903041</v>
      </c>
      <c r="AZ295" s="403">
        <f t="shared" si="251"/>
        <v>4206.5354432903041</v>
      </c>
      <c r="BA295" s="419">
        <v>750</v>
      </c>
      <c r="BB295" s="430">
        <f>PI()*BA295/1000*( Pile!$C$51- Pile!$C295)</f>
        <v>49.48008429403923</v>
      </c>
      <c r="BC295" s="382">
        <f t="shared" si="252"/>
        <v>0.44178646691106466</v>
      </c>
      <c r="BD295" s="382">
        <f t="shared" si="294"/>
        <v>10292.149540310864</v>
      </c>
      <c r="BE295" s="382">
        <f>BB295* Pile!$S$51</f>
        <v>0</v>
      </c>
      <c r="BF295" s="382">
        <f t="shared" si="300"/>
        <v>10292.149540310864</v>
      </c>
      <c r="BG295" s="382">
        <f>IF(BF295&gt;0,+BF295)/ 'Pile Data and Eurocode Factors'!$B$14/ 'Pile Data and Eurocode Factors'!$B$15+BG$281</f>
        <v>4883.2653154816071</v>
      </c>
      <c r="BH295" s="382">
        <f t="shared" si="307"/>
        <v>5784.067154107971</v>
      </c>
      <c r="BI295" s="382">
        <f>BC295* Pile!$U$51</f>
        <v>0</v>
      </c>
      <c r="BJ295" s="382">
        <f t="shared" si="253"/>
        <v>5784.067154107971</v>
      </c>
      <c r="BK295" s="382">
        <f>BJ295/ 'Pile Data and Eurocode Factors'!$C$14/ 'Pile Data and Eurocode Factors'!$C$15</f>
        <v>2065.7382693242753</v>
      </c>
      <c r="BL295" s="382">
        <f t="shared" si="254"/>
        <v>6949.0035848058824</v>
      </c>
      <c r="BM295" s="382">
        <f>VLOOKUP(BA295, 'Pile Data and Eurocode Factors'!$A$34:$J$39,3, FALSE)</f>
        <v>6572.7116301410997</v>
      </c>
      <c r="BN295" s="403">
        <f t="shared" si="255"/>
        <v>6572.7116301410997</v>
      </c>
      <c r="BO295" s="419">
        <v>900</v>
      </c>
      <c r="BP295" s="430">
        <f>PI()*BO295/1000*( Pile!$C$51- Pile!$C295)</f>
        <v>59.376101152847077</v>
      </c>
      <c r="BQ295" s="382">
        <f t="shared" si="256"/>
        <v>0.63617251235193317</v>
      </c>
      <c r="BR295" s="382">
        <f t="shared" si="295"/>
        <v>12350.579448373037</v>
      </c>
      <c r="BS295" s="382">
        <f>BP295* Pile!$S$51</f>
        <v>0</v>
      </c>
      <c r="BT295" s="382">
        <f t="shared" si="301"/>
        <v>12350.579448373037</v>
      </c>
      <c r="BU295" s="382">
        <f>IF(BT295&gt;0,+BT295)/ 'Pile Data and Eurocode Factors'!$B$14/ 'Pile Data and Eurocode Factors'!$B$15+BU$281</f>
        <v>5859.9183785779287</v>
      </c>
      <c r="BV295" s="382">
        <f t="shared" si="308"/>
        <v>8329.0567019154787</v>
      </c>
      <c r="BW295" s="382">
        <f>BQ295* Pile!$U$51</f>
        <v>0</v>
      </c>
      <c r="BX295" s="382">
        <f t="shared" si="257"/>
        <v>8329.0567019154787</v>
      </c>
      <c r="BY295" s="382">
        <f>BX295/ 'Pile Data and Eurocode Factors'!$C$14/ 'Pile Data and Eurocode Factors'!$C$15</f>
        <v>2974.663107826957</v>
      </c>
      <c r="BZ295" s="382">
        <f t="shared" si="258"/>
        <v>8834.5814864048862</v>
      </c>
      <c r="CA295" s="382">
        <f>VLOOKUP(BO295, 'Pile Data and Eurocode Factors'!$A$34:$J$39,3, FALSE)</f>
        <v>9464.7047474031824</v>
      </c>
      <c r="CB295" s="403">
        <f t="shared" si="259"/>
        <v>8834.5814864048862</v>
      </c>
      <c r="CC295" s="419">
        <v>1050</v>
      </c>
      <c r="CD295" s="430">
        <f>PI()*CC295/1000*( Pile!$C$51- Pile!$C295)</f>
        <v>69.272118011654925</v>
      </c>
      <c r="CE295" s="382">
        <f t="shared" si="260"/>
        <v>0.86590147514568672</v>
      </c>
      <c r="CF295" s="382">
        <f t="shared" si="296"/>
        <v>14409.00935643521</v>
      </c>
      <c r="CG295" s="382">
        <f>CD295* Pile!$S$51</f>
        <v>0</v>
      </c>
      <c r="CH295" s="382">
        <f t="shared" si="302"/>
        <v>14409.00935643521</v>
      </c>
      <c r="CI295" s="382">
        <f>IF(CH295&gt;0,+CH295)/ 'Pile Data and Eurocode Factors'!$B$14/ 'Pile Data and Eurocode Factors'!$B$15+CI$281</f>
        <v>6836.5714416742503</v>
      </c>
      <c r="CJ295" s="382">
        <f t="shared" si="309"/>
        <v>11336.771622051623</v>
      </c>
      <c r="CK295" s="382">
        <f>CE295* Pile!$U$51</f>
        <v>0</v>
      </c>
      <c r="CL295" s="382">
        <f t="shared" si="261"/>
        <v>11336.771622051623</v>
      </c>
      <c r="CM295" s="382">
        <f>CL295/ 'Pile Data and Eurocode Factors'!$C$14/ 'Pile Data and Eurocode Factors'!$C$15</f>
        <v>4048.8470078755799</v>
      </c>
      <c r="CN295" s="382">
        <f t="shared" si="262"/>
        <v>10885.41844954983</v>
      </c>
      <c r="CO295" s="382">
        <f>VLOOKUP(CC295, 'Pile Data and Eurocode Factors'!$A$34:$J$39,3, FALSE)</f>
        <v>12882.514795076555</v>
      </c>
      <c r="CP295" s="403">
        <f t="shared" si="263"/>
        <v>10885.41844954983</v>
      </c>
      <c r="CQ295" s="419">
        <v>1200</v>
      </c>
      <c r="CR295" s="430">
        <f>PI()*CQ295/1000*( Pile!$C$51- Pile!$C295)</f>
        <v>79.168134870462779</v>
      </c>
      <c r="CS295" s="382">
        <f t="shared" si="264"/>
        <v>1.1309733552923256</v>
      </c>
      <c r="CT295" s="382">
        <f t="shared" si="297"/>
        <v>16467.439264497385</v>
      </c>
      <c r="CU295" s="382">
        <f>CR295* Pile!$S$51</f>
        <v>0</v>
      </c>
      <c r="CV295" s="382">
        <f t="shared" si="303"/>
        <v>16467.439264497385</v>
      </c>
      <c r="CW295" s="382">
        <f>IF(CV295&gt;0,+CV295)/ 'Pile Data and Eurocode Factors'!$B$14/ 'Pile Data and Eurocode Factors'!$B$15+CW$281</f>
        <v>7813.2245047705728</v>
      </c>
      <c r="CX295" s="382">
        <f t="shared" si="310"/>
        <v>14807.211914516405</v>
      </c>
      <c r="CY295" s="382">
        <f>CS295* Pile!$U$51</f>
        <v>0</v>
      </c>
      <c r="CZ295" s="382">
        <f t="shared" si="265"/>
        <v>14807.211914516405</v>
      </c>
      <c r="DA295" s="382">
        <f>CZ295/ 'Pile Data and Eurocode Factors'!$C$14/ 'Pile Data and Eurocode Factors'!$C$15</f>
        <v>5288.2899694701455</v>
      </c>
      <c r="DB295" s="382">
        <f t="shared" si="266"/>
        <v>13101.514474240717</v>
      </c>
      <c r="DC295" s="382">
        <f>VLOOKUP(CQ295, 'Pile Data and Eurocode Factors'!$A$34:$J$39,3, FALSE)</f>
        <v>16826.141773161216</v>
      </c>
      <c r="DD295" s="403">
        <f t="shared" si="267"/>
        <v>13101.514474240717</v>
      </c>
      <c r="DE295" s="420">
        <f xml:space="preserve"> Pile!$C$23- Pile!C295</f>
        <v>33</v>
      </c>
      <c r="DG295" s="382">
        <f t="shared" si="268"/>
        <v>2366.1761868507956</v>
      </c>
      <c r="DH295" s="382">
        <f t="shared" si="269"/>
        <v>4206.5354432903041</v>
      </c>
      <c r="DI295" s="382">
        <f t="shared" si="270"/>
        <v>6572.7116301410997</v>
      </c>
      <c r="DJ295" s="382">
        <f t="shared" si="271"/>
        <v>8834.5814864048862</v>
      </c>
      <c r="DK295" s="382">
        <f t="shared" si="272"/>
        <v>10885.41844954983</v>
      </c>
      <c r="DL295" s="382">
        <f t="shared" si="291"/>
        <v>13101.514474240717</v>
      </c>
    </row>
    <row r="296" spans="2:116" s="308" customFormat="1" ht="15">
      <c r="B296" s="400">
        <v>15</v>
      </c>
      <c r="C296" s="401">
        <f>+C295- Pile!D$51/20</f>
        <v>-28.499999999999996</v>
      </c>
      <c r="D296" s="415" t="str">
        <f>B25</f>
        <v>Medium Sand/Gravel</v>
      </c>
      <c r="E296" s="415" t="str">
        <f>F25</f>
        <v>Granular</v>
      </c>
      <c r="F296" s="401">
        <f xml:space="preserve"> Pile!$E$51*(+C295-C296)+F295</f>
        <v>648.75000000000011</v>
      </c>
      <c r="G296" s="401">
        <f>IF(C296&gt; Pile!$C$54,0,( Pile!$C$54-C296)*9.81)</f>
        <v>132.43499999999997</v>
      </c>
      <c r="H296" s="401">
        <f t="shared" si="238"/>
        <v>516.31500000000017</v>
      </c>
      <c r="I296" s="401">
        <f t="shared" si="311"/>
        <v>363.15750000000014</v>
      </c>
      <c r="J296" s="401">
        <f>IF(E296="Cohesive",(( Pile!$H$51- Pile!$G$51)/20)+J295,0)</f>
        <v>0</v>
      </c>
      <c r="K296" s="401">
        <f>IF(E296="Cohesive",( Pile!$G$51+ Pile!$J296)/2,0)</f>
        <v>0</v>
      </c>
      <c r="L296" s="401" t="str">
        <f>IF( Pile!I$51="",0, Pile!I$51)</f>
        <v>0</v>
      </c>
      <c r="M296" s="401" t="str">
        <f>IF( Pile!J$51="",0, Pile!J$51)</f>
        <v>0</v>
      </c>
      <c r="N296" s="401">
        <f>IF(E296="Granular", Pile!$K$51,0)</f>
        <v>26.092012099198989</v>
      </c>
      <c r="O296" s="416">
        <f>IF(AND(E296="Granular",D296&lt;&gt;"Made Ground"), Pile!$L$51,0)</f>
        <v>0.58446683387775955</v>
      </c>
      <c r="P296" s="401">
        <f>IF(OR(D296="Low Density Chalk",D296="Medium Density Chalk"), Pile!$M$51,0)</f>
        <v>0</v>
      </c>
      <c r="Q296" s="417">
        <f>IF(D296="High Density Chalk", Pile!$N$51,0)</f>
        <v>0</v>
      </c>
      <c r="R296" s="401">
        <f>IF( Pile!O$51="",0, Pile!O$51)</f>
        <v>0</v>
      </c>
      <c r="S296" s="418">
        <f t="shared" si="240"/>
        <v>212.25351422396255</v>
      </c>
      <c r="T296" s="382">
        <f xml:space="preserve"> Pile!$T$51</f>
        <v>1200</v>
      </c>
      <c r="U296" s="382">
        <f t="shared" si="241"/>
        <v>212.25351422396255</v>
      </c>
      <c r="V296" s="382">
        <f t="shared" si="242"/>
        <v>13471.697226997931</v>
      </c>
      <c r="W296" s="382">
        <f xml:space="preserve"> Pile!$V$51</f>
        <v>15000</v>
      </c>
      <c r="X296" s="382">
        <f t="shared" si="243"/>
        <v>13471.697226997931</v>
      </c>
      <c r="Y296" s="419">
        <v>450</v>
      </c>
      <c r="Z296" s="430">
        <f>PI()*Y296/1000*( Pile!$C$51- Pile!$C296)</f>
        <v>31.80862561759665</v>
      </c>
      <c r="AA296" s="382">
        <f t="shared" si="244"/>
        <v>0.15904312808798329</v>
      </c>
      <c r="AB296" s="382">
        <f t="shared" si="292"/>
        <v>6751.4925699692503</v>
      </c>
      <c r="AC296" s="382">
        <f>Z296* Pile!$S$51</f>
        <v>0</v>
      </c>
      <c r="AD296" s="382">
        <f t="shared" si="298"/>
        <v>6751.4925699692503</v>
      </c>
      <c r="AE296" s="382">
        <f>IF(AD296&gt;0,+AD296)/ 'Pile Data and Eurocode Factors'!$B$14/ 'Pile Data and Eurocode Factors'!$B$15+AE$281</f>
        <v>3187.192602584827</v>
      </c>
      <c r="AF296" s="382">
        <f t="shared" si="305"/>
        <v>2142.5808676359611</v>
      </c>
      <c r="AG296" s="382">
        <f>AA296* Pile!$U$51</f>
        <v>0</v>
      </c>
      <c r="AH296" s="382">
        <f t="shared" si="245"/>
        <v>2142.5808676359611</v>
      </c>
      <c r="AI296" s="382">
        <f>AH296/ 'Pile Data and Eurocode Factors'!$C$14/ 'Pile Data and Eurocode Factors'!$C$15</f>
        <v>765.20745272712907</v>
      </c>
      <c r="AJ296" s="382">
        <f t="shared" si="246"/>
        <v>3952.4000553119558</v>
      </c>
      <c r="AK296" s="382">
        <f>VLOOKUP(Y296, 'Pile Data and Eurocode Factors'!$A$34:$J$39,3, FALSE)</f>
        <v>2366.1761868507956</v>
      </c>
      <c r="AL296" s="403">
        <f t="shared" si="247"/>
        <v>2366.1761868507956</v>
      </c>
      <c r="AM296" s="419">
        <v>600</v>
      </c>
      <c r="AN296" s="430">
        <f>PI()*AM296/1000*( Pile!$C$51- Pile!$C296)</f>
        <v>42.411500823462198</v>
      </c>
      <c r="AO296" s="382">
        <f t="shared" si="248"/>
        <v>0.28274333882308139</v>
      </c>
      <c r="AP296" s="382">
        <f t="shared" si="293"/>
        <v>9001.9900932923338</v>
      </c>
      <c r="AQ296" s="382">
        <f>AN296* Pile!$S$51</f>
        <v>0</v>
      </c>
      <c r="AR296" s="382">
        <f t="shared" si="299"/>
        <v>9001.9900932923338</v>
      </c>
      <c r="AS296" s="382">
        <f>IF(AR296&gt;0,+AR296)/ 'Pile Data and Eurocode Factors'!$B$14/ 'Pile Data and Eurocode Factors'!$B$15+AS$281</f>
        <v>4249.5901367797696</v>
      </c>
      <c r="AT296" s="382">
        <f t="shared" si="306"/>
        <v>3809.0326535750419</v>
      </c>
      <c r="AU296" s="382">
        <f>AO296* Pile!$U$51</f>
        <v>0</v>
      </c>
      <c r="AV296" s="382">
        <f t="shared" si="249"/>
        <v>3809.0326535750419</v>
      </c>
      <c r="AW296" s="382">
        <f>AV296/ 'Pile Data and Eurocode Factors'!$C$14/ 'Pile Data and Eurocode Factors'!$C$15</f>
        <v>1360.3688048482293</v>
      </c>
      <c r="AX296" s="382">
        <f t="shared" si="250"/>
        <v>5609.9589416279987</v>
      </c>
      <c r="AY296" s="382">
        <f>VLOOKUP(AM296, 'Pile Data and Eurocode Factors'!$A$34:$J$39,3, FALSE)</f>
        <v>4206.5354432903041</v>
      </c>
      <c r="AZ296" s="403">
        <f t="shared" si="251"/>
        <v>4206.5354432903041</v>
      </c>
      <c r="BA296" s="419">
        <v>750</v>
      </c>
      <c r="BB296" s="430">
        <f>PI()*BA296/1000*( Pile!$C$51- Pile!$C296)</f>
        <v>53.01437602932775</v>
      </c>
      <c r="BC296" s="382">
        <f t="shared" si="252"/>
        <v>0.44178646691106466</v>
      </c>
      <c r="BD296" s="382">
        <f t="shared" si="294"/>
        <v>11252.487616615417</v>
      </c>
      <c r="BE296" s="382">
        <f>BB296* Pile!$S$51</f>
        <v>0</v>
      </c>
      <c r="BF296" s="382">
        <f t="shared" si="300"/>
        <v>11252.487616615417</v>
      </c>
      <c r="BG296" s="382">
        <f>IF(BF296&gt;0,+BF296)/ 'Pile Data and Eurocode Factors'!$B$14/ 'Pile Data and Eurocode Factors'!$B$15+BG$281</f>
        <v>5311.9876709747114</v>
      </c>
      <c r="BH296" s="382">
        <f t="shared" si="307"/>
        <v>5951.613521211003</v>
      </c>
      <c r="BI296" s="382">
        <f>BC296* Pile!$U$51</f>
        <v>0</v>
      </c>
      <c r="BJ296" s="382">
        <f t="shared" si="253"/>
        <v>5951.613521211003</v>
      </c>
      <c r="BK296" s="382">
        <f>BJ296/ 'Pile Data and Eurocode Factors'!$C$14/ 'Pile Data and Eurocode Factors'!$C$15</f>
        <v>2125.5762575753583</v>
      </c>
      <c r="BL296" s="382">
        <f t="shared" si="254"/>
        <v>7437.5639285500692</v>
      </c>
      <c r="BM296" s="382">
        <f>VLOOKUP(BA296, 'Pile Data and Eurocode Factors'!$A$34:$J$39,3, FALSE)</f>
        <v>6572.7116301410997</v>
      </c>
      <c r="BN296" s="403">
        <f t="shared" si="255"/>
        <v>6572.7116301410997</v>
      </c>
      <c r="BO296" s="419">
        <v>900</v>
      </c>
      <c r="BP296" s="430">
        <f>PI()*BO296/1000*( Pile!$C$51- Pile!$C296)</f>
        <v>63.617251235193301</v>
      </c>
      <c r="BQ296" s="382">
        <f t="shared" si="256"/>
        <v>0.63617251235193317</v>
      </c>
      <c r="BR296" s="382">
        <f t="shared" si="295"/>
        <v>13502.985139938501</v>
      </c>
      <c r="BS296" s="382">
        <f>BP296* Pile!$S$51</f>
        <v>0</v>
      </c>
      <c r="BT296" s="382">
        <f t="shared" si="301"/>
        <v>13502.985139938501</v>
      </c>
      <c r="BU296" s="382">
        <f>IF(BT296&gt;0,+BT296)/ 'Pile Data and Eurocode Factors'!$B$14/ 'Pile Data and Eurocode Factors'!$B$15+BU$281</f>
        <v>6374.385205169654</v>
      </c>
      <c r="BV296" s="382">
        <f t="shared" si="308"/>
        <v>8570.3234705438445</v>
      </c>
      <c r="BW296" s="382">
        <f>BQ296* Pile!$U$51</f>
        <v>0</v>
      </c>
      <c r="BX296" s="382">
        <f t="shared" si="257"/>
        <v>8570.3234705438445</v>
      </c>
      <c r="BY296" s="382">
        <f>BX296/ 'Pile Data and Eurocode Factors'!$C$14/ 'Pile Data and Eurocode Factors'!$C$15</f>
        <v>3060.8298109085163</v>
      </c>
      <c r="BZ296" s="382">
        <f t="shared" si="258"/>
        <v>9435.2150160781712</v>
      </c>
      <c r="CA296" s="382">
        <f>VLOOKUP(BO296, 'Pile Data and Eurocode Factors'!$A$34:$J$39,3, FALSE)</f>
        <v>9464.7047474031824</v>
      </c>
      <c r="CB296" s="403">
        <f t="shared" si="259"/>
        <v>9435.2150160781712</v>
      </c>
      <c r="CC296" s="419">
        <v>1050</v>
      </c>
      <c r="CD296" s="430">
        <f>PI()*CC296/1000*( Pile!$C$51- Pile!$C296)</f>
        <v>74.220126441058852</v>
      </c>
      <c r="CE296" s="382">
        <f t="shared" si="260"/>
        <v>0.86590147514568672</v>
      </c>
      <c r="CF296" s="382">
        <f t="shared" si="296"/>
        <v>15753.482663261584</v>
      </c>
      <c r="CG296" s="382">
        <f>CD296* Pile!$S$51</f>
        <v>0</v>
      </c>
      <c r="CH296" s="382">
        <f t="shared" si="302"/>
        <v>15753.482663261584</v>
      </c>
      <c r="CI296" s="382">
        <f>IF(CH296&gt;0,+CH296)/ 'Pile Data and Eurocode Factors'!$B$14/ 'Pile Data and Eurocode Factors'!$B$15+CI$281</f>
        <v>7436.7827393645948</v>
      </c>
      <c r="CJ296" s="382">
        <f t="shared" si="309"/>
        <v>11665.162501573564</v>
      </c>
      <c r="CK296" s="382">
        <f>CE296* Pile!$U$51</f>
        <v>0</v>
      </c>
      <c r="CL296" s="382">
        <f t="shared" si="261"/>
        <v>11665.162501573564</v>
      </c>
      <c r="CM296" s="382">
        <f>CL296/ 'Pile Data and Eurocode Factors'!$C$14/ 'Pile Data and Eurocode Factors'!$C$15</f>
        <v>4166.1294648477015</v>
      </c>
      <c r="CN296" s="382">
        <f t="shared" si="262"/>
        <v>11602.912204212296</v>
      </c>
      <c r="CO296" s="382">
        <f>VLOOKUP(CC296, 'Pile Data and Eurocode Factors'!$A$34:$J$39,3, FALSE)</f>
        <v>12882.514795076555</v>
      </c>
      <c r="CP296" s="403">
        <f t="shared" si="263"/>
        <v>11602.912204212296</v>
      </c>
      <c r="CQ296" s="419">
        <v>1200</v>
      </c>
      <c r="CR296" s="430">
        <f>PI()*CQ296/1000*( Pile!$C$51- Pile!$C296)</f>
        <v>84.823001646924396</v>
      </c>
      <c r="CS296" s="382">
        <f t="shared" si="264"/>
        <v>1.1309733552923256</v>
      </c>
      <c r="CT296" s="382">
        <f t="shared" si="297"/>
        <v>18003.980186584668</v>
      </c>
      <c r="CU296" s="382">
        <f>CR296* Pile!$S$51</f>
        <v>0</v>
      </c>
      <c r="CV296" s="382">
        <f t="shared" si="303"/>
        <v>18003.980186584668</v>
      </c>
      <c r="CW296" s="382">
        <f>IF(CV296&gt;0,+CV296)/ 'Pile Data and Eurocode Factors'!$B$14/ 'Pile Data and Eurocode Factors'!$B$15+CW$281</f>
        <v>8499.1802735595393</v>
      </c>
      <c r="CX296" s="382">
        <f t="shared" si="310"/>
        <v>15236.130614300168</v>
      </c>
      <c r="CY296" s="382">
        <f>CS296* Pile!$U$51</f>
        <v>0</v>
      </c>
      <c r="CZ296" s="382">
        <f t="shared" si="265"/>
        <v>15236.130614300168</v>
      </c>
      <c r="DA296" s="382">
        <f>CZ296/ 'Pile Data and Eurocode Factors'!$C$14/ 'Pile Data and Eurocode Factors'!$C$15</f>
        <v>5441.4752193929171</v>
      </c>
      <c r="DB296" s="382">
        <f t="shared" si="266"/>
        <v>13940.655492952457</v>
      </c>
      <c r="DC296" s="382">
        <f>VLOOKUP(CQ296, 'Pile Data and Eurocode Factors'!$A$34:$J$39,3, FALSE)</f>
        <v>16826.141773161216</v>
      </c>
      <c r="DD296" s="403">
        <f t="shared" si="267"/>
        <v>13940.655492952457</v>
      </c>
      <c r="DE296" s="420">
        <f xml:space="preserve"> Pile!$C$23- Pile!C296</f>
        <v>34.5</v>
      </c>
      <c r="DG296" s="382">
        <f t="shared" si="268"/>
        <v>2366.1761868507956</v>
      </c>
      <c r="DH296" s="382">
        <f t="shared" si="269"/>
        <v>4206.5354432903041</v>
      </c>
      <c r="DI296" s="382">
        <f t="shared" si="270"/>
        <v>6572.7116301410997</v>
      </c>
      <c r="DJ296" s="382">
        <f t="shared" si="271"/>
        <v>9435.2150160781712</v>
      </c>
      <c r="DK296" s="382">
        <f t="shared" si="272"/>
        <v>11602.912204212296</v>
      </c>
      <c r="DL296" s="382">
        <f t="shared" si="291"/>
        <v>13940.655492952457</v>
      </c>
    </row>
    <row r="297" spans="2:116" s="308" customFormat="1" ht="15">
      <c r="B297" s="400">
        <v>16</v>
      </c>
      <c r="C297" s="401">
        <f>+C296- Pile!D$51/20</f>
        <v>-29.999999999999996</v>
      </c>
      <c r="D297" s="415" t="str">
        <f>B25</f>
        <v>Medium Sand/Gravel</v>
      </c>
      <c r="E297" s="415" t="str">
        <f>F25</f>
        <v>Granular</v>
      </c>
      <c r="F297" s="401">
        <f xml:space="preserve"> Pile!$E$51*(+C296-C297)+F296</f>
        <v>678.00000000000011</v>
      </c>
      <c r="G297" s="401">
        <f>IF(C297&gt; Pile!$C$54,0,( Pile!$C$54-C297)*9.81)</f>
        <v>147.14999999999998</v>
      </c>
      <c r="H297" s="401">
        <f t="shared" si="238"/>
        <v>530.85000000000014</v>
      </c>
      <c r="I297" s="401">
        <f t="shared" si="311"/>
        <v>370.42500000000013</v>
      </c>
      <c r="J297" s="401">
        <f>IF(E297="Cohesive",(( Pile!$H$51- Pile!$G$51)/20)+J296,0)</f>
        <v>0</v>
      </c>
      <c r="K297" s="401">
        <f>IF(E297="Cohesive",( Pile!$G$51+ Pile!$J297)/2,0)</f>
        <v>0</v>
      </c>
      <c r="L297" s="401" t="str">
        <f>IF( Pile!I$51="",0, Pile!I$51)</f>
        <v>0</v>
      </c>
      <c r="M297" s="401" t="str">
        <f>IF( Pile!J$51="",0, Pile!J$51)</f>
        <v>0</v>
      </c>
      <c r="N297" s="401">
        <f>IF(E297="Granular", Pile!$K$51,0)</f>
        <v>26.092012099198989</v>
      </c>
      <c r="O297" s="416">
        <f>IF(AND(E297="Granular",D297&lt;&gt;"Made Ground"), Pile!$L$51,0)</f>
        <v>0.58446683387775955</v>
      </c>
      <c r="P297" s="401">
        <f>IF(OR(D297="Low Density Chalk",D297="Medium Density Chalk"), Pile!$M$51,0)</f>
        <v>0</v>
      </c>
      <c r="Q297" s="417">
        <f>IF(D297="High Density Chalk", Pile!$N$51,0)</f>
        <v>0</v>
      </c>
      <c r="R297" s="401">
        <f>IF( Pile!O$51="",0, Pile!O$51)</f>
        <v>0</v>
      </c>
      <c r="S297" s="418">
        <f t="shared" si="240"/>
        <v>216.50112693916915</v>
      </c>
      <c r="T297" s="382">
        <f xml:space="preserve"> Pile!$T$51</f>
        <v>1200</v>
      </c>
      <c r="U297" s="382">
        <f t="shared" si="241"/>
        <v>216.50112693916915</v>
      </c>
      <c r="V297" s="382">
        <f t="shared" si="242"/>
        <v>13850.944622859786</v>
      </c>
      <c r="W297" s="382">
        <f xml:space="preserve"> Pile!$V$51</f>
        <v>15000</v>
      </c>
      <c r="X297" s="382">
        <f t="shared" si="243"/>
        <v>13850.944622859786</v>
      </c>
      <c r="Y297" s="419">
        <v>450</v>
      </c>
      <c r="Z297" s="430">
        <f>PI()*Y297/1000*( Pile!$C$51- Pile!$C297)</f>
        <v>33.929200658769759</v>
      </c>
      <c r="AA297" s="382">
        <f t="shared" si="244"/>
        <v>0.15904312808798329</v>
      </c>
      <c r="AB297" s="382">
        <f t="shared" si="292"/>
        <v>7345.7101787688534</v>
      </c>
      <c r="AC297" s="382">
        <f>Z297* Pile!$S$51</f>
        <v>0</v>
      </c>
      <c r="AD297" s="382">
        <f t="shared" si="298"/>
        <v>7345.7101787688534</v>
      </c>
      <c r="AE297" s="382">
        <f>IF(AD297&gt;0,+AD297)/ 'Pile Data and Eurocode Factors'!$B$14/ 'Pile Data and Eurocode Factors'!$B$15+AE$281</f>
        <v>3452.4683207989356</v>
      </c>
      <c r="AF297" s="382">
        <f t="shared" si="305"/>
        <v>2202.8975597930526</v>
      </c>
      <c r="AG297" s="382">
        <f>AA297* Pile!$U$51</f>
        <v>0</v>
      </c>
      <c r="AH297" s="382">
        <f t="shared" si="245"/>
        <v>2202.8975597930526</v>
      </c>
      <c r="AI297" s="382">
        <f>AH297/ 'Pile Data and Eurocode Factors'!$C$14/ 'Pile Data and Eurocode Factors'!$C$15</f>
        <v>786.74912849751877</v>
      </c>
      <c r="AJ297" s="382">
        <f t="shared" si="246"/>
        <v>4239.2174492964541</v>
      </c>
      <c r="AK297" s="382">
        <f>VLOOKUP(Y297, 'Pile Data and Eurocode Factors'!$A$34:$J$39,3, FALSE)</f>
        <v>2366.1761868507956</v>
      </c>
      <c r="AL297" s="403">
        <f t="shared" si="247"/>
        <v>2366.1761868507956</v>
      </c>
      <c r="AM297" s="419">
        <v>600</v>
      </c>
      <c r="AN297" s="430">
        <f>PI()*AM297/1000*( Pile!$C$51- Pile!$C297)</f>
        <v>45.238934211693014</v>
      </c>
      <c r="AO297" s="382">
        <f t="shared" si="248"/>
        <v>0.28274333882308139</v>
      </c>
      <c r="AP297" s="382">
        <f t="shared" si="293"/>
        <v>9794.2802383584713</v>
      </c>
      <c r="AQ297" s="382">
        <f>AN297* Pile!$S$51</f>
        <v>0</v>
      </c>
      <c r="AR297" s="382">
        <f t="shared" si="299"/>
        <v>9794.2802383584713</v>
      </c>
      <c r="AS297" s="382">
        <f>IF(AR297&gt;0,+AR297)/ 'Pile Data and Eurocode Factors'!$B$14/ 'Pile Data and Eurocode Factors'!$B$15+AS$281</f>
        <v>4603.2910943985808</v>
      </c>
      <c r="AT297" s="382">
        <f t="shared" si="306"/>
        <v>3916.262328520982</v>
      </c>
      <c r="AU297" s="382">
        <f>AO297* Pile!$U$51</f>
        <v>0</v>
      </c>
      <c r="AV297" s="382">
        <f t="shared" si="249"/>
        <v>3916.262328520982</v>
      </c>
      <c r="AW297" s="382">
        <f>AV297/ 'Pile Data and Eurocode Factors'!$C$14/ 'Pile Data and Eurocode Factors'!$C$15</f>
        <v>1398.6651173289222</v>
      </c>
      <c r="AX297" s="382">
        <f t="shared" si="250"/>
        <v>6001.9562117275027</v>
      </c>
      <c r="AY297" s="382">
        <f>VLOOKUP(AM297, 'Pile Data and Eurocode Factors'!$A$34:$J$39,3, FALSE)</f>
        <v>4206.5354432903041</v>
      </c>
      <c r="AZ297" s="403">
        <f t="shared" si="251"/>
        <v>4206.5354432903041</v>
      </c>
      <c r="BA297" s="419">
        <v>750</v>
      </c>
      <c r="BB297" s="430">
        <f>PI()*BA297/1000*( Pile!$C$51- Pile!$C297)</f>
        <v>56.548667764616269</v>
      </c>
      <c r="BC297" s="382">
        <f t="shared" si="252"/>
        <v>0.44178646691106466</v>
      </c>
      <c r="BD297" s="382">
        <f t="shared" si="294"/>
        <v>12242.850297948089</v>
      </c>
      <c r="BE297" s="382">
        <f>BB297* Pile!$S$51</f>
        <v>0</v>
      </c>
      <c r="BF297" s="382">
        <f t="shared" si="300"/>
        <v>12242.850297948089</v>
      </c>
      <c r="BG297" s="382">
        <f>IF(BF297&gt;0,+BF297)/ 'Pile Data and Eurocode Factors'!$B$14/ 'Pile Data and Eurocode Factors'!$B$15+BG$281</f>
        <v>5754.1138679982259</v>
      </c>
      <c r="BH297" s="382">
        <f t="shared" si="307"/>
        <v>6119.1598883140341</v>
      </c>
      <c r="BI297" s="382">
        <f>BC297* Pile!$U$51</f>
        <v>0</v>
      </c>
      <c r="BJ297" s="382">
        <f t="shared" si="253"/>
        <v>6119.1598883140341</v>
      </c>
      <c r="BK297" s="382">
        <f>BJ297/ 'Pile Data and Eurocode Factors'!$C$14/ 'Pile Data and Eurocode Factors'!$C$15</f>
        <v>2185.4142458264409</v>
      </c>
      <c r="BL297" s="382">
        <f t="shared" si="254"/>
        <v>7939.5281138246664</v>
      </c>
      <c r="BM297" s="382">
        <f>VLOOKUP(BA297, 'Pile Data and Eurocode Factors'!$A$34:$J$39,3, FALSE)</f>
        <v>6572.7116301410997</v>
      </c>
      <c r="BN297" s="403">
        <f t="shared" si="255"/>
        <v>6572.7116301410997</v>
      </c>
      <c r="BO297" s="419">
        <v>900</v>
      </c>
      <c r="BP297" s="430">
        <f>PI()*BO297/1000*( Pile!$C$51- Pile!$C297)</f>
        <v>67.858401317539517</v>
      </c>
      <c r="BQ297" s="382">
        <f t="shared" si="256"/>
        <v>0.63617251235193317</v>
      </c>
      <c r="BR297" s="382">
        <f t="shared" si="295"/>
        <v>14691.420357537707</v>
      </c>
      <c r="BS297" s="382">
        <f>BP297* Pile!$S$51</f>
        <v>0</v>
      </c>
      <c r="BT297" s="382">
        <f t="shared" si="301"/>
        <v>14691.420357537707</v>
      </c>
      <c r="BU297" s="382">
        <f>IF(BT297&gt;0,+BT297)/ 'Pile Data and Eurocode Factors'!$B$14/ 'Pile Data and Eurocode Factors'!$B$15+BU$281</f>
        <v>6904.9366415978711</v>
      </c>
      <c r="BV297" s="382">
        <f t="shared" si="308"/>
        <v>8811.5902391722102</v>
      </c>
      <c r="BW297" s="382">
        <f>BQ297* Pile!$U$51</f>
        <v>0</v>
      </c>
      <c r="BX297" s="382">
        <f t="shared" si="257"/>
        <v>8811.5902391722102</v>
      </c>
      <c r="BY297" s="382">
        <f>BX297/ 'Pile Data and Eurocode Factors'!$C$14/ 'Pile Data and Eurocode Factors'!$C$15</f>
        <v>3146.9965139900751</v>
      </c>
      <c r="BZ297" s="382">
        <f t="shared" si="258"/>
        <v>10051.933155587947</v>
      </c>
      <c r="CA297" s="382">
        <f>VLOOKUP(BO297, 'Pile Data and Eurocode Factors'!$A$34:$J$39,3, FALSE)</f>
        <v>9464.7047474031824</v>
      </c>
      <c r="CB297" s="403">
        <f t="shared" si="259"/>
        <v>9464.7047474031824</v>
      </c>
      <c r="CC297" s="419">
        <v>1050</v>
      </c>
      <c r="CD297" s="430">
        <f>PI()*CC297/1000*( Pile!$C$51- Pile!$C297)</f>
        <v>79.168134870462779</v>
      </c>
      <c r="CE297" s="382">
        <f t="shared" si="260"/>
        <v>0.86590147514568672</v>
      </c>
      <c r="CF297" s="382">
        <f t="shared" si="296"/>
        <v>17139.990417127327</v>
      </c>
      <c r="CG297" s="382">
        <f>CD297* Pile!$S$51</f>
        <v>0</v>
      </c>
      <c r="CH297" s="382">
        <f t="shared" si="302"/>
        <v>17139.990417127327</v>
      </c>
      <c r="CI297" s="382">
        <f>IF(CH297&gt;0,+CH297)/ 'Pile Data and Eurocode Factors'!$B$14/ 'Pile Data and Eurocode Factors'!$B$15+CI$281</f>
        <v>8055.7594151975163</v>
      </c>
      <c r="CJ297" s="382">
        <f t="shared" si="309"/>
        <v>11993.553381095506</v>
      </c>
      <c r="CK297" s="382">
        <f>CE297* Pile!$U$51</f>
        <v>0</v>
      </c>
      <c r="CL297" s="382">
        <f t="shared" si="261"/>
        <v>11993.553381095506</v>
      </c>
      <c r="CM297" s="382">
        <f>CL297/ 'Pile Data and Eurocode Factors'!$C$14/ 'Pile Data and Eurocode Factors'!$C$15</f>
        <v>4283.4119218198239</v>
      </c>
      <c r="CN297" s="382">
        <f t="shared" si="262"/>
        <v>12339.17133701734</v>
      </c>
      <c r="CO297" s="382">
        <f>VLOOKUP(CC297, 'Pile Data and Eurocode Factors'!$A$34:$J$39,3, FALSE)</f>
        <v>12882.514795076555</v>
      </c>
      <c r="CP297" s="403">
        <f t="shared" si="263"/>
        <v>12339.17133701734</v>
      </c>
      <c r="CQ297" s="419">
        <v>1200</v>
      </c>
      <c r="CR297" s="430">
        <f>PI()*CQ297/1000*( Pile!$C$51- Pile!$C297)</f>
        <v>90.477868423386028</v>
      </c>
      <c r="CS297" s="382">
        <f t="shared" si="264"/>
        <v>1.1309733552923256</v>
      </c>
      <c r="CT297" s="382">
        <f t="shared" si="297"/>
        <v>19588.560476716943</v>
      </c>
      <c r="CU297" s="382">
        <f>CR297* Pile!$S$51</f>
        <v>0</v>
      </c>
      <c r="CV297" s="382">
        <f t="shared" si="303"/>
        <v>19588.560476716943</v>
      </c>
      <c r="CW297" s="382">
        <f>IF(CV297&gt;0,+CV297)/ 'Pile Data and Eurocode Factors'!$B$14/ 'Pile Data and Eurocode Factors'!$B$15+CW$281</f>
        <v>9206.5821887971615</v>
      </c>
      <c r="CX297" s="382">
        <f t="shared" si="310"/>
        <v>15665.049314083928</v>
      </c>
      <c r="CY297" s="382">
        <f>CS297* Pile!$U$51</f>
        <v>0</v>
      </c>
      <c r="CZ297" s="382">
        <f t="shared" si="265"/>
        <v>15665.049314083928</v>
      </c>
      <c r="DA297" s="382">
        <f>CZ297/ 'Pile Data and Eurocode Factors'!$C$14/ 'Pile Data and Eurocode Factors'!$C$15</f>
        <v>5594.6604693156887</v>
      </c>
      <c r="DB297" s="382">
        <f t="shared" si="266"/>
        <v>14801.242658112849</v>
      </c>
      <c r="DC297" s="382">
        <f>VLOOKUP(CQ297, 'Pile Data and Eurocode Factors'!$A$34:$J$39,3, FALSE)</f>
        <v>16826.141773161216</v>
      </c>
      <c r="DD297" s="403">
        <f t="shared" si="267"/>
        <v>14801.242658112849</v>
      </c>
      <c r="DE297" s="420">
        <f xml:space="preserve"> Pile!$C$23- Pile!C297</f>
        <v>36</v>
      </c>
      <c r="DG297" s="382">
        <f t="shared" si="268"/>
        <v>2366.1761868507956</v>
      </c>
      <c r="DH297" s="382">
        <f t="shared" si="269"/>
        <v>4206.5354432903041</v>
      </c>
      <c r="DI297" s="382">
        <f t="shared" si="270"/>
        <v>6572.7116301410997</v>
      </c>
      <c r="DJ297" s="382">
        <f t="shared" si="271"/>
        <v>9464.7047474031824</v>
      </c>
      <c r="DK297" s="382">
        <f t="shared" si="272"/>
        <v>12339.17133701734</v>
      </c>
      <c r="DL297" s="382">
        <f t="shared" si="291"/>
        <v>14801.242658112849</v>
      </c>
    </row>
    <row r="298" spans="2:116" s="308" customFormat="1" ht="15">
      <c r="B298" s="400">
        <v>17</v>
      </c>
      <c r="C298" s="401">
        <f>+C297- Pile!D$51/20</f>
        <v>-31.499999999999996</v>
      </c>
      <c r="D298" s="415" t="str">
        <f>B25</f>
        <v>Medium Sand/Gravel</v>
      </c>
      <c r="E298" s="415" t="str">
        <f>F25</f>
        <v>Granular</v>
      </c>
      <c r="F298" s="401">
        <f xml:space="preserve"> Pile!$E$51*(+C297-C298)+F297</f>
        <v>707.25000000000011</v>
      </c>
      <c r="G298" s="401">
        <f>IF(C298&gt; Pile!$C$54,0,( Pile!$C$54-C298)*9.81)</f>
        <v>161.86499999999998</v>
      </c>
      <c r="H298" s="401">
        <f t="shared" si="238"/>
        <v>545.3850000000001</v>
      </c>
      <c r="I298" s="401">
        <f t="shared" si="311"/>
        <v>377.69250000000011</v>
      </c>
      <c r="J298" s="401">
        <f>IF(E298="Cohesive",(( Pile!$H$51- Pile!$G$51)/20)+J297,0)</f>
        <v>0</v>
      </c>
      <c r="K298" s="401">
        <f>IF(E298="Cohesive",( Pile!$G$51+ Pile!$J298)/2,0)</f>
        <v>0</v>
      </c>
      <c r="L298" s="401" t="str">
        <f>IF( Pile!I$51="",0, Pile!I$51)</f>
        <v>0</v>
      </c>
      <c r="M298" s="401" t="str">
        <f>IF( Pile!J$51="",0, Pile!J$51)</f>
        <v>0</v>
      </c>
      <c r="N298" s="401">
        <f>IF(E298="Granular", Pile!$K$51,0)</f>
        <v>26.092012099198989</v>
      </c>
      <c r="O298" s="416">
        <f>IF(AND(E298="Granular",D298&lt;&gt;"Made Ground"), Pile!$L$51,0)</f>
        <v>0.58446683387775955</v>
      </c>
      <c r="P298" s="401">
        <f>IF(OR(D298="Low Density Chalk",D298="Medium Density Chalk"), Pile!$M$51,0)</f>
        <v>0</v>
      </c>
      <c r="Q298" s="417">
        <f>IF(D298="High Density Chalk", Pile!$N$51,0)</f>
        <v>0</v>
      </c>
      <c r="R298" s="401">
        <f>IF( Pile!O$51="",0, Pile!O$51)</f>
        <v>0</v>
      </c>
      <c r="S298" s="418">
        <f t="shared" si="240"/>
        <v>220.74873965437575</v>
      </c>
      <c r="T298" s="382">
        <f xml:space="preserve"> Pile!$T$51</f>
        <v>1200</v>
      </c>
      <c r="U298" s="382">
        <f t="shared" si="241"/>
        <v>220.74873965437575</v>
      </c>
      <c r="V298" s="382">
        <f t="shared" si="242"/>
        <v>14230.192018721644</v>
      </c>
      <c r="W298" s="382">
        <f xml:space="preserve"> Pile!$V$51</f>
        <v>15000</v>
      </c>
      <c r="X298" s="382">
        <f t="shared" si="243"/>
        <v>14230.192018721644</v>
      </c>
      <c r="Y298" s="419">
        <v>450</v>
      </c>
      <c r="Z298" s="430">
        <f>PI()*Y298/1000*( Pile!$C$51- Pile!$C298)</f>
        <v>36.04977569994287</v>
      </c>
      <c r="AA298" s="382">
        <f t="shared" si="244"/>
        <v>0.15904312808798329</v>
      </c>
      <c r="AB298" s="382">
        <f t="shared" si="292"/>
        <v>7957.9425505853305</v>
      </c>
      <c r="AC298" s="382">
        <f>Z298* Pile!$S$51</f>
        <v>0</v>
      </c>
      <c r="AD298" s="382">
        <f t="shared" si="298"/>
        <v>7957.9425505853305</v>
      </c>
      <c r="AE298" s="382">
        <f>IF(AD298&gt;0,+AD298)/ 'Pile Data and Eurocode Factors'!$B$14/ 'Pile Data and Eurocode Factors'!$B$15+AE$281</f>
        <v>3725.7863439312914</v>
      </c>
      <c r="AF298" s="382">
        <f t="shared" si="305"/>
        <v>2263.214251950144</v>
      </c>
      <c r="AG298" s="382">
        <f>AA298* Pile!$U$51</f>
        <v>0</v>
      </c>
      <c r="AH298" s="382">
        <f t="shared" si="245"/>
        <v>2263.214251950144</v>
      </c>
      <c r="AI298" s="382">
        <f>AH298/ 'Pile Data and Eurocode Factors'!$C$14/ 'Pile Data and Eurocode Factors'!$C$15</f>
        <v>808.29080426790858</v>
      </c>
      <c r="AJ298" s="382">
        <f t="shared" si="246"/>
        <v>4534.0771481991997</v>
      </c>
      <c r="AK298" s="382">
        <f>VLOOKUP(Y298, 'Pile Data and Eurocode Factors'!$A$34:$J$39,3, FALSE)</f>
        <v>2366.1761868507956</v>
      </c>
      <c r="AL298" s="403">
        <f t="shared" si="247"/>
        <v>2366.1761868507956</v>
      </c>
      <c r="AM298" s="419">
        <v>600</v>
      </c>
      <c r="AN298" s="430">
        <f>PI()*AM298/1000*( Pile!$C$51- Pile!$C298)</f>
        <v>48.066367599923829</v>
      </c>
      <c r="AO298" s="382">
        <f t="shared" si="248"/>
        <v>0.28274333882308139</v>
      </c>
      <c r="AP298" s="382">
        <f t="shared" si="293"/>
        <v>10610.590067447107</v>
      </c>
      <c r="AQ298" s="382">
        <f>AN298* Pile!$S$51</f>
        <v>0</v>
      </c>
      <c r="AR298" s="382">
        <f t="shared" si="299"/>
        <v>10610.590067447107</v>
      </c>
      <c r="AS298" s="382">
        <f>IF(AR298&gt;0,+AR298)/ 'Pile Data and Eurocode Factors'!$B$14/ 'Pile Data and Eurocode Factors'!$B$15+AS$281</f>
        <v>4967.7151252417216</v>
      </c>
      <c r="AT298" s="382">
        <f t="shared" si="306"/>
        <v>4023.4920034669221</v>
      </c>
      <c r="AU298" s="382">
        <f>AO298* Pile!$U$51</f>
        <v>0</v>
      </c>
      <c r="AV298" s="382">
        <f t="shared" si="249"/>
        <v>4023.4920034669221</v>
      </c>
      <c r="AW298" s="382">
        <f>AV298/ 'Pile Data and Eurocode Factors'!$C$14/ 'Pile Data and Eurocode Factors'!$C$15</f>
        <v>1436.9614298096151</v>
      </c>
      <c r="AX298" s="382">
        <f t="shared" si="250"/>
        <v>6404.6765550513364</v>
      </c>
      <c r="AY298" s="382">
        <f>VLOOKUP(AM298, 'Pile Data and Eurocode Factors'!$A$34:$J$39,3, FALSE)</f>
        <v>4206.5354432903041</v>
      </c>
      <c r="AZ298" s="403">
        <f t="shared" si="251"/>
        <v>4206.5354432903041</v>
      </c>
      <c r="BA298" s="419">
        <v>750</v>
      </c>
      <c r="BB298" s="430">
        <f>PI()*BA298/1000*( Pile!$C$51- Pile!$C298)</f>
        <v>60.082959499904788</v>
      </c>
      <c r="BC298" s="382">
        <f t="shared" si="252"/>
        <v>0.44178646691106466</v>
      </c>
      <c r="BD298" s="382">
        <f t="shared" si="294"/>
        <v>13263.237584308885</v>
      </c>
      <c r="BE298" s="382">
        <f>BB298* Pile!$S$51</f>
        <v>0</v>
      </c>
      <c r="BF298" s="382">
        <f t="shared" si="300"/>
        <v>13263.237584308885</v>
      </c>
      <c r="BG298" s="382">
        <f>IF(BF298&gt;0,+BF298)/ 'Pile Data and Eurocode Factors'!$B$14/ 'Pile Data and Eurocode Factors'!$B$15+BG$281</f>
        <v>6209.6439065521517</v>
      </c>
      <c r="BH298" s="382">
        <f t="shared" si="307"/>
        <v>6286.7062554170661</v>
      </c>
      <c r="BI298" s="382">
        <f>BC298* Pile!$U$51</f>
        <v>0</v>
      </c>
      <c r="BJ298" s="382">
        <f t="shared" si="253"/>
        <v>6286.7062554170661</v>
      </c>
      <c r="BK298" s="382">
        <f>BJ298/ 'Pile Data and Eurocode Factors'!$C$14/ 'Pile Data and Eurocode Factors'!$C$15</f>
        <v>2245.2522340775236</v>
      </c>
      <c r="BL298" s="382">
        <f t="shared" si="254"/>
        <v>8454.8961406296748</v>
      </c>
      <c r="BM298" s="382">
        <f>VLOOKUP(BA298, 'Pile Data and Eurocode Factors'!$A$34:$J$39,3, FALSE)</f>
        <v>6572.7116301410997</v>
      </c>
      <c r="BN298" s="403">
        <f t="shared" si="255"/>
        <v>6572.7116301410997</v>
      </c>
      <c r="BO298" s="419">
        <v>900</v>
      </c>
      <c r="BP298" s="430">
        <f>PI()*BO298/1000*( Pile!$C$51- Pile!$C298)</f>
        <v>72.09955139988574</v>
      </c>
      <c r="BQ298" s="382">
        <f t="shared" si="256"/>
        <v>0.63617251235193317</v>
      </c>
      <c r="BR298" s="382">
        <f t="shared" si="295"/>
        <v>15915.885101170661</v>
      </c>
      <c r="BS298" s="382">
        <f>BP298* Pile!$S$51</f>
        <v>0</v>
      </c>
      <c r="BT298" s="382">
        <f t="shared" si="301"/>
        <v>15915.885101170661</v>
      </c>
      <c r="BU298" s="382">
        <f>IF(BT298&gt;0,+BT298)/ 'Pile Data and Eurocode Factors'!$B$14/ 'Pile Data and Eurocode Factors'!$B$15+BU$281</f>
        <v>7451.5726878625828</v>
      </c>
      <c r="BV298" s="382">
        <f t="shared" si="308"/>
        <v>9052.857007800576</v>
      </c>
      <c r="BW298" s="382">
        <f>BQ298* Pile!$U$51</f>
        <v>0</v>
      </c>
      <c r="BX298" s="382">
        <f t="shared" si="257"/>
        <v>9052.857007800576</v>
      </c>
      <c r="BY298" s="382">
        <f>BX298/ 'Pile Data and Eurocode Factors'!$C$14/ 'Pile Data and Eurocode Factors'!$C$15</f>
        <v>3233.1632170716343</v>
      </c>
      <c r="BZ298" s="382">
        <f t="shared" si="258"/>
        <v>10684.735904934218</v>
      </c>
      <c r="CA298" s="382">
        <f>VLOOKUP(BO298, 'Pile Data and Eurocode Factors'!$A$34:$J$39,3, FALSE)</f>
        <v>9464.7047474031824</v>
      </c>
      <c r="CB298" s="403">
        <f t="shared" si="259"/>
        <v>9464.7047474031824</v>
      </c>
      <c r="CC298" s="419">
        <v>1050</v>
      </c>
      <c r="CD298" s="430">
        <f>PI()*CC298/1000*( Pile!$C$51- Pile!$C298)</f>
        <v>84.116143299866692</v>
      </c>
      <c r="CE298" s="382">
        <f t="shared" si="260"/>
        <v>0.86590147514568672</v>
      </c>
      <c r="CF298" s="382">
        <f t="shared" si="296"/>
        <v>18568.532618032437</v>
      </c>
      <c r="CG298" s="382">
        <f>CD298* Pile!$S$51</f>
        <v>0</v>
      </c>
      <c r="CH298" s="382">
        <f t="shared" si="302"/>
        <v>18568.532618032437</v>
      </c>
      <c r="CI298" s="382">
        <f>IF(CH298&gt;0,+CH298)/ 'Pile Data and Eurocode Factors'!$B$14/ 'Pile Data and Eurocode Factors'!$B$15+CI$281</f>
        <v>8693.5014691730121</v>
      </c>
      <c r="CJ298" s="382">
        <f t="shared" si="309"/>
        <v>12321.944260617449</v>
      </c>
      <c r="CK298" s="382">
        <f>CE298* Pile!$U$51</f>
        <v>0</v>
      </c>
      <c r="CL298" s="382">
        <f t="shared" si="261"/>
        <v>12321.944260617449</v>
      </c>
      <c r="CM298" s="382">
        <f>CL298/ 'Pile Data and Eurocode Factors'!$C$14/ 'Pile Data and Eurocode Factors'!$C$15</f>
        <v>4400.6943787919463</v>
      </c>
      <c r="CN298" s="382">
        <f t="shared" si="262"/>
        <v>13094.195847964958</v>
      </c>
      <c r="CO298" s="382">
        <f>VLOOKUP(CC298, 'Pile Data and Eurocode Factors'!$A$34:$J$39,3, FALSE)</f>
        <v>12882.514795076555</v>
      </c>
      <c r="CP298" s="403">
        <f t="shared" si="263"/>
        <v>12882.514795076555</v>
      </c>
      <c r="CQ298" s="419">
        <v>1200</v>
      </c>
      <c r="CR298" s="430">
        <f>PI()*CQ298/1000*( Pile!$C$51- Pile!$C298)</f>
        <v>96.132735199847659</v>
      </c>
      <c r="CS298" s="382">
        <f t="shared" si="264"/>
        <v>1.1309733552923256</v>
      </c>
      <c r="CT298" s="382">
        <f t="shared" si="297"/>
        <v>21221.180134894214</v>
      </c>
      <c r="CU298" s="382">
        <f>CR298* Pile!$S$51</f>
        <v>0</v>
      </c>
      <c r="CV298" s="382">
        <f t="shared" si="303"/>
        <v>21221.180134894214</v>
      </c>
      <c r="CW298" s="382">
        <f>IF(CV298&gt;0,+CV298)/ 'Pile Data and Eurocode Factors'!$B$14/ 'Pile Data and Eurocode Factors'!$B$15+CW$281</f>
        <v>9935.4302504834432</v>
      </c>
      <c r="CX298" s="382">
        <f t="shared" si="310"/>
        <v>16093.968013867689</v>
      </c>
      <c r="CY298" s="382">
        <f>CS298* Pile!$U$51</f>
        <v>0</v>
      </c>
      <c r="CZ298" s="382">
        <f t="shared" si="265"/>
        <v>16093.968013867689</v>
      </c>
      <c r="DA298" s="382">
        <f>CZ298/ 'Pile Data and Eurocode Factors'!$C$14/ 'Pile Data and Eurocode Factors'!$C$15</f>
        <v>5747.8457192384603</v>
      </c>
      <c r="DB298" s="382">
        <f t="shared" si="266"/>
        <v>15683.275969721904</v>
      </c>
      <c r="DC298" s="382">
        <f>VLOOKUP(CQ298, 'Pile Data and Eurocode Factors'!$A$34:$J$39,3, FALSE)</f>
        <v>16826.141773161216</v>
      </c>
      <c r="DD298" s="403">
        <f t="shared" si="267"/>
        <v>15683.275969721904</v>
      </c>
      <c r="DE298" s="420">
        <f xml:space="preserve"> Pile!$C$23- Pile!C298</f>
        <v>37.5</v>
      </c>
      <c r="DG298" s="382">
        <f t="shared" si="268"/>
        <v>2366.1761868507956</v>
      </c>
      <c r="DH298" s="382">
        <f t="shared" si="269"/>
        <v>4206.5354432903041</v>
      </c>
      <c r="DI298" s="382">
        <f t="shared" si="270"/>
        <v>6572.7116301410997</v>
      </c>
      <c r="DJ298" s="382">
        <f t="shared" si="271"/>
        <v>9464.7047474031824</v>
      </c>
      <c r="DK298" s="382">
        <f t="shared" si="272"/>
        <v>12882.514795076555</v>
      </c>
      <c r="DL298" s="382">
        <f t="shared" si="291"/>
        <v>15683.275969721904</v>
      </c>
    </row>
    <row r="299" spans="2:116" s="308" customFormat="1" ht="15">
      <c r="B299" s="400">
        <v>18</v>
      </c>
      <c r="C299" s="401">
        <f>+C298- Pile!D$51/20</f>
        <v>-33</v>
      </c>
      <c r="D299" s="415" t="str">
        <f>B25</f>
        <v>Medium Sand/Gravel</v>
      </c>
      <c r="E299" s="415" t="str">
        <f>F25</f>
        <v>Granular</v>
      </c>
      <c r="F299" s="401">
        <f xml:space="preserve"> Pile!$E$51*(+C298-C299)+F298</f>
        <v>736.50000000000023</v>
      </c>
      <c r="G299" s="401">
        <f>IF(C299&gt; Pile!$C$54,0,( Pile!$C$54-C299)*9.81)</f>
        <v>176.58</v>
      </c>
      <c r="H299" s="401">
        <f t="shared" si="238"/>
        <v>559.92000000000019</v>
      </c>
      <c r="I299" s="401">
        <f t="shared" si="311"/>
        <v>384.96000000000015</v>
      </c>
      <c r="J299" s="401">
        <f>IF(E299="Cohesive",(( Pile!$H$51- Pile!$G$51)/20)+J298,0)</f>
        <v>0</v>
      </c>
      <c r="K299" s="401">
        <f>IF(E299="Cohesive",( Pile!$G$51+ Pile!$J299)/2,0)</f>
        <v>0</v>
      </c>
      <c r="L299" s="401" t="str">
        <f>IF( Pile!I$51="",0, Pile!I$51)</f>
        <v>0</v>
      </c>
      <c r="M299" s="401" t="str">
        <f>IF( Pile!J$51="",0, Pile!J$51)</f>
        <v>0</v>
      </c>
      <c r="N299" s="401">
        <f>IF(E299="Granular", Pile!$K$51,0)</f>
        <v>26.092012099198989</v>
      </c>
      <c r="O299" s="416">
        <f>IF(AND(E299="Granular",D299&lt;&gt;"Made Ground"), Pile!$L$51,0)</f>
        <v>0.58446683387775955</v>
      </c>
      <c r="P299" s="401">
        <f>IF(OR(D299="Low Density Chalk",D299="Medium Density Chalk"), Pile!$M$51,0)</f>
        <v>0</v>
      </c>
      <c r="Q299" s="417">
        <f>IF(D299="High Density Chalk", Pile!$N$51,0)</f>
        <v>0</v>
      </c>
      <c r="R299" s="401">
        <f>IF( Pile!O$51="",0, Pile!O$51)</f>
        <v>0</v>
      </c>
      <c r="S299" s="418">
        <f t="shared" si="240"/>
        <v>224.99635236958241</v>
      </c>
      <c r="T299" s="382">
        <f xml:space="preserve"> Pile!$T$51</f>
        <v>1200</v>
      </c>
      <c r="U299" s="382">
        <f t="shared" si="241"/>
        <v>224.99635236958241</v>
      </c>
      <c r="V299" s="382">
        <f t="shared" si="242"/>
        <v>14609.439414583503</v>
      </c>
      <c r="W299" s="382">
        <f xml:space="preserve"> Pile!$V$51</f>
        <v>15000</v>
      </c>
      <c r="X299" s="382">
        <f t="shared" si="243"/>
        <v>14609.439414583503</v>
      </c>
      <c r="Y299" s="419">
        <v>450</v>
      </c>
      <c r="Z299" s="430">
        <f>PI()*Y299/1000*( Pile!$C$51- Pile!$C299)</f>
        <v>38.170350741115989</v>
      </c>
      <c r="AA299" s="382">
        <f t="shared" si="244"/>
        <v>0.15904312808798329</v>
      </c>
      <c r="AB299" s="382">
        <f t="shared" si="292"/>
        <v>8588.1896854186834</v>
      </c>
      <c r="AC299" s="382">
        <f>Z299* Pile!$S$51</f>
        <v>0</v>
      </c>
      <c r="AD299" s="382">
        <f t="shared" si="298"/>
        <v>8588.1896854186834</v>
      </c>
      <c r="AE299" s="382">
        <f>IF(AD299&gt;0,+AD299)/ 'Pile Data and Eurocode Factors'!$B$14/ 'Pile Data and Eurocode Factors'!$B$15+AE$281</f>
        <v>4007.146671981895</v>
      </c>
      <c r="AF299" s="382">
        <f t="shared" si="305"/>
        <v>2323.5309441072359</v>
      </c>
      <c r="AG299" s="382">
        <f>AA299* Pile!$U$51</f>
        <v>0</v>
      </c>
      <c r="AH299" s="382">
        <f t="shared" si="245"/>
        <v>2323.5309441072359</v>
      </c>
      <c r="AI299" s="382">
        <f>AH299/ 'Pile Data and Eurocode Factors'!$C$14/ 'Pile Data and Eurocode Factors'!$C$15</f>
        <v>829.83248003829863</v>
      </c>
      <c r="AJ299" s="382">
        <f t="shared" si="246"/>
        <v>4836.9791520201934</v>
      </c>
      <c r="AK299" s="382">
        <f>VLOOKUP(Y299, 'Pile Data and Eurocode Factors'!$A$34:$J$39,3, FALSE)</f>
        <v>2366.1761868507956</v>
      </c>
      <c r="AL299" s="403">
        <f t="shared" si="247"/>
        <v>2366.1761868507956</v>
      </c>
      <c r="AM299" s="419">
        <v>600</v>
      </c>
      <c r="AN299" s="430">
        <f>PI()*AM299/1000*( Pile!$C$51- Pile!$C299)</f>
        <v>50.893800988154652</v>
      </c>
      <c r="AO299" s="382">
        <f t="shared" si="248"/>
        <v>0.28274333882308139</v>
      </c>
      <c r="AP299" s="382">
        <f t="shared" si="293"/>
        <v>11450.919580558246</v>
      </c>
      <c r="AQ299" s="382">
        <f>AN299* Pile!$S$51</f>
        <v>0</v>
      </c>
      <c r="AR299" s="382">
        <f t="shared" si="299"/>
        <v>11450.919580558246</v>
      </c>
      <c r="AS299" s="382">
        <f>IF(AR299&gt;0,+AR299)/ 'Pile Data and Eurocode Factors'!$B$14/ 'Pile Data and Eurocode Factors'!$B$15+AS$281</f>
        <v>5342.8622293091939</v>
      </c>
      <c r="AT299" s="382">
        <f t="shared" si="306"/>
        <v>4130.7216784128632</v>
      </c>
      <c r="AU299" s="382">
        <f>AO299* Pile!$U$51</f>
        <v>0</v>
      </c>
      <c r="AV299" s="382">
        <f t="shared" si="249"/>
        <v>4130.7216784128632</v>
      </c>
      <c r="AW299" s="382">
        <f>AV299/ 'Pile Data and Eurocode Factors'!$C$14/ 'Pile Data and Eurocode Factors'!$C$15</f>
        <v>1475.2577422903084</v>
      </c>
      <c r="AX299" s="382">
        <f t="shared" si="250"/>
        <v>6818.1199715995026</v>
      </c>
      <c r="AY299" s="382">
        <f>VLOOKUP(AM299, 'Pile Data and Eurocode Factors'!$A$34:$J$39,3, FALSE)</f>
        <v>4206.5354432903041</v>
      </c>
      <c r="AZ299" s="403">
        <f t="shared" si="251"/>
        <v>4206.5354432903041</v>
      </c>
      <c r="BA299" s="419">
        <v>750</v>
      </c>
      <c r="BB299" s="430">
        <f>PI()*BA299/1000*( Pile!$C$51- Pile!$C299)</f>
        <v>63.617251235193308</v>
      </c>
      <c r="BC299" s="382">
        <f t="shared" si="252"/>
        <v>0.44178646691106466</v>
      </c>
      <c r="BD299" s="382">
        <f t="shared" si="294"/>
        <v>14313.649475697805</v>
      </c>
      <c r="BE299" s="382">
        <f>BB299* Pile!$S$51</f>
        <v>0</v>
      </c>
      <c r="BF299" s="382">
        <f t="shared" si="300"/>
        <v>14313.649475697805</v>
      </c>
      <c r="BG299" s="382">
        <f>IF(BF299&gt;0,+BF299)/ 'Pile Data and Eurocode Factors'!$B$14/ 'Pile Data and Eurocode Factors'!$B$15+BG$281</f>
        <v>6678.5777866364915</v>
      </c>
      <c r="BH299" s="382">
        <f t="shared" si="307"/>
        <v>6454.2526225200982</v>
      </c>
      <c r="BI299" s="382">
        <f>BC299* Pile!$U$51</f>
        <v>0</v>
      </c>
      <c r="BJ299" s="382">
        <f t="shared" si="253"/>
        <v>6454.2526225200982</v>
      </c>
      <c r="BK299" s="382">
        <f>BJ299/ 'Pile Data and Eurocode Factors'!$C$14/ 'Pile Data and Eurocode Factors'!$C$15</f>
        <v>2305.0902223286066</v>
      </c>
      <c r="BL299" s="382">
        <f t="shared" si="254"/>
        <v>8983.6680089650981</v>
      </c>
      <c r="BM299" s="382">
        <f>VLOOKUP(BA299, 'Pile Data and Eurocode Factors'!$A$34:$J$39,3, FALSE)</f>
        <v>6572.7116301410997</v>
      </c>
      <c r="BN299" s="403">
        <f t="shared" si="255"/>
        <v>6572.7116301410997</v>
      </c>
      <c r="BO299" s="419">
        <v>900</v>
      </c>
      <c r="BP299" s="430">
        <f>PI()*BO299/1000*( Pile!$C$51- Pile!$C299)</f>
        <v>76.340701482231978</v>
      </c>
      <c r="BQ299" s="382">
        <f t="shared" si="256"/>
        <v>0.63617251235193317</v>
      </c>
      <c r="BR299" s="382">
        <f t="shared" si="295"/>
        <v>17176.379370837367</v>
      </c>
      <c r="BS299" s="382">
        <f>BP299* Pile!$S$51</f>
        <v>0</v>
      </c>
      <c r="BT299" s="382">
        <f t="shared" si="301"/>
        <v>17176.379370837367</v>
      </c>
      <c r="BU299" s="382">
        <f>IF(BT299&gt;0,+BT299)/ 'Pile Data and Eurocode Factors'!$B$14/ 'Pile Data and Eurocode Factors'!$B$15+BU$281</f>
        <v>8014.29334396379</v>
      </c>
      <c r="BV299" s="382">
        <f t="shared" si="308"/>
        <v>9294.1237764289435</v>
      </c>
      <c r="BW299" s="382">
        <f>BQ299* Pile!$U$51</f>
        <v>0</v>
      </c>
      <c r="BX299" s="382">
        <f t="shared" si="257"/>
        <v>9294.1237764289435</v>
      </c>
      <c r="BY299" s="382">
        <f>BX299/ 'Pile Data and Eurocode Factors'!$C$14/ 'Pile Data and Eurocode Factors'!$C$15</f>
        <v>3319.3299201531945</v>
      </c>
      <c r="BZ299" s="382">
        <f t="shared" si="258"/>
        <v>11333.623264116985</v>
      </c>
      <c r="CA299" s="382">
        <f>VLOOKUP(BO299, 'Pile Data and Eurocode Factors'!$A$34:$J$39,3, FALSE)</f>
        <v>9464.7047474031824</v>
      </c>
      <c r="CB299" s="403">
        <f t="shared" si="259"/>
        <v>9464.7047474031824</v>
      </c>
      <c r="CC299" s="419">
        <v>1050</v>
      </c>
      <c r="CD299" s="430">
        <f>PI()*CC299/1000*( Pile!$C$51- Pile!$C299)</f>
        <v>89.064151729270634</v>
      </c>
      <c r="CE299" s="382">
        <f t="shared" si="260"/>
        <v>0.86590147514568672</v>
      </c>
      <c r="CF299" s="382">
        <f t="shared" si="296"/>
        <v>20039.109265976927</v>
      </c>
      <c r="CG299" s="382">
        <f>CD299* Pile!$S$51</f>
        <v>0</v>
      </c>
      <c r="CH299" s="382">
        <f t="shared" si="302"/>
        <v>20039.109265976927</v>
      </c>
      <c r="CI299" s="382">
        <f>IF(CH299&gt;0,+CH299)/ 'Pile Data and Eurocode Factors'!$B$14/ 'Pile Data and Eurocode Factors'!$B$15+CI$281</f>
        <v>9350.0089012910885</v>
      </c>
      <c r="CJ299" s="382">
        <f t="shared" si="309"/>
        <v>12650.335140139394</v>
      </c>
      <c r="CK299" s="382">
        <f>CE299* Pile!$U$51</f>
        <v>0</v>
      </c>
      <c r="CL299" s="382">
        <f t="shared" si="261"/>
        <v>12650.335140139394</v>
      </c>
      <c r="CM299" s="382">
        <f>CL299/ 'Pile Data and Eurocode Factors'!$C$14/ 'Pile Data and Eurocode Factors'!$C$15</f>
        <v>4517.9768357640696</v>
      </c>
      <c r="CN299" s="382">
        <f t="shared" si="262"/>
        <v>13867.985737055158</v>
      </c>
      <c r="CO299" s="382">
        <f>VLOOKUP(CC299, 'Pile Data and Eurocode Factors'!$A$34:$J$39,3, FALSE)</f>
        <v>12882.514795076555</v>
      </c>
      <c r="CP299" s="403">
        <f t="shared" si="263"/>
        <v>12882.514795076555</v>
      </c>
      <c r="CQ299" s="419">
        <v>1200</v>
      </c>
      <c r="CR299" s="430">
        <f>PI()*CQ299/1000*( Pile!$C$51- Pile!$C299)</f>
        <v>101.7876019763093</v>
      </c>
      <c r="CS299" s="382">
        <f t="shared" si="264"/>
        <v>1.1309733552923256</v>
      </c>
      <c r="CT299" s="382">
        <f t="shared" si="297"/>
        <v>22901.839161116492</v>
      </c>
      <c r="CU299" s="382">
        <f>CR299* Pile!$S$51</f>
        <v>0</v>
      </c>
      <c r="CV299" s="382">
        <f t="shared" si="303"/>
        <v>22901.839161116492</v>
      </c>
      <c r="CW299" s="382">
        <f>IF(CV299&gt;0,+CV299)/ 'Pile Data and Eurocode Factors'!$B$14/ 'Pile Data and Eurocode Factors'!$B$15+CW$281</f>
        <v>10685.724458618388</v>
      </c>
      <c r="CX299" s="382">
        <f t="shared" si="310"/>
        <v>16522.886713651453</v>
      </c>
      <c r="CY299" s="382">
        <f>CS299* Pile!$U$51</f>
        <v>0</v>
      </c>
      <c r="CZ299" s="382">
        <f t="shared" si="265"/>
        <v>16522.886713651453</v>
      </c>
      <c r="DA299" s="382">
        <f>CZ299/ 'Pile Data and Eurocode Factors'!$C$14/ 'Pile Data and Eurocode Factors'!$C$15</f>
        <v>5901.0309691612338</v>
      </c>
      <c r="DB299" s="382">
        <f t="shared" si="266"/>
        <v>16586.755427779623</v>
      </c>
      <c r="DC299" s="382">
        <f>VLOOKUP(CQ299, 'Pile Data and Eurocode Factors'!$A$34:$J$39,3, FALSE)</f>
        <v>16826.141773161216</v>
      </c>
      <c r="DD299" s="403">
        <f t="shared" si="267"/>
        <v>16586.755427779623</v>
      </c>
      <c r="DE299" s="420">
        <f xml:space="preserve"> Pile!$C$23- Pile!C299</f>
        <v>39</v>
      </c>
      <c r="DG299" s="382">
        <f t="shared" si="268"/>
        <v>2366.1761868507956</v>
      </c>
      <c r="DH299" s="382">
        <f t="shared" si="269"/>
        <v>4206.5354432903041</v>
      </c>
      <c r="DI299" s="382">
        <f t="shared" si="270"/>
        <v>6572.7116301410997</v>
      </c>
      <c r="DJ299" s="382">
        <f t="shared" si="271"/>
        <v>9464.7047474031824</v>
      </c>
      <c r="DK299" s="382">
        <f t="shared" si="272"/>
        <v>12882.514795076555</v>
      </c>
      <c r="DL299" s="382">
        <f t="shared" si="291"/>
        <v>16586.755427779623</v>
      </c>
    </row>
    <row r="300" spans="2:116" s="308" customFormat="1" ht="17.45" customHeight="1">
      <c r="B300" s="400">
        <v>19</v>
      </c>
      <c r="C300" s="401">
        <f>+C299- Pile!D$51/20</f>
        <v>-34.5</v>
      </c>
      <c r="D300" s="415" t="str">
        <f>B25</f>
        <v>Medium Sand/Gravel</v>
      </c>
      <c r="E300" s="415" t="str">
        <f>F25</f>
        <v>Granular</v>
      </c>
      <c r="F300" s="401">
        <f xml:space="preserve"> Pile!$E$51*(+C299-C300)+F299</f>
        <v>765.75000000000023</v>
      </c>
      <c r="G300" s="401">
        <f>IF(C300&gt; Pile!$C$54,0,( Pile!$C$54-C300)*9.81)</f>
        <v>191.29500000000002</v>
      </c>
      <c r="H300" s="401">
        <f t="shared" si="238"/>
        <v>574.45500000000015</v>
      </c>
      <c r="I300" s="401">
        <f t="shared" si="311"/>
        <v>392.22750000000013</v>
      </c>
      <c r="J300" s="401">
        <f>IF(E300="Cohesive",(( Pile!$H$51- Pile!$G$51)/20)+J299,0)</f>
        <v>0</v>
      </c>
      <c r="K300" s="401">
        <f>IF(E300="Cohesive",( Pile!$G$51+ Pile!$J300)/2,0)</f>
        <v>0</v>
      </c>
      <c r="L300" s="401" t="str">
        <f>IF( Pile!I$51="",0, Pile!I$51)</f>
        <v>0</v>
      </c>
      <c r="M300" s="401" t="str">
        <f>IF( Pile!J$51="",0, Pile!J$51)</f>
        <v>0</v>
      </c>
      <c r="N300" s="401">
        <f>IF(E300="Granular", Pile!$K$51,0)</f>
        <v>26.092012099198989</v>
      </c>
      <c r="O300" s="416">
        <f>IF(AND(E300="Granular",D300&lt;&gt;"Made Ground"), Pile!$L$51,0)</f>
        <v>0.58446683387775955</v>
      </c>
      <c r="P300" s="401">
        <f>IF(OR(D300="Low Density Chalk",D300="Medium Density Chalk"), Pile!$M$51,0)</f>
        <v>0</v>
      </c>
      <c r="Q300" s="417">
        <f>IF(D300="High Density Chalk", Pile!$N$51,0)</f>
        <v>0</v>
      </c>
      <c r="R300" s="401">
        <f>IF( Pile!O$51="",0, Pile!O$51)</f>
        <v>0</v>
      </c>
      <c r="S300" s="418">
        <f t="shared" si="240"/>
        <v>229.24396508478901</v>
      </c>
      <c r="T300" s="382">
        <f xml:space="preserve"> Pile!$T$51</f>
        <v>1200</v>
      </c>
      <c r="U300" s="382">
        <f t="shared" si="241"/>
        <v>229.24396508478901</v>
      </c>
      <c r="V300" s="382">
        <f t="shared" si="242"/>
        <v>14988.686810445359</v>
      </c>
      <c r="W300" s="382">
        <f xml:space="preserve"> Pile!$V$51</f>
        <v>15000</v>
      </c>
      <c r="X300" s="382">
        <f t="shared" si="243"/>
        <v>14988.686810445359</v>
      </c>
      <c r="Y300" s="419">
        <v>450</v>
      </c>
      <c r="Z300" s="430">
        <f>PI()*Y300/1000*( Pile!$C$51- Pile!$C300)</f>
        <v>40.290925782289094</v>
      </c>
      <c r="AA300" s="382">
        <f t="shared" si="244"/>
        <v>0.15904312808798329</v>
      </c>
      <c r="AB300" s="382">
        <f t="shared" si="292"/>
        <v>9236.4515832689067</v>
      </c>
      <c r="AC300" s="382">
        <f>Z300* Pile!$S$51</f>
        <v>0</v>
      </c>
      <c r="AD300" s="382">
        <f t="shared" si="298"/>
        <v>9236.4515832689067</v>
      </c>
      <c r="AE300" s="382">
        <f>IF(AD300&gt;0,+AD300)/ 'Pile Data and Eurocode Factors'!$B$14/ 'Pile Data and Eurocode Factors'!$B$15+AE$281</f>
        <v>4296.549304950745</v>
      </c>
      <c r="AF300" s="382">
        <f t="shared" si="305"/>
        <v>2383.8476362643269</v>
      </c>
      <c r="AG300" s="382">
        <f>AA300* Pile!$U$51</f>
        <v>0</v>
      </c>
      <c r="AH300" s="382">
        <f t="shared" si="245"/>
        <v>2383.8476362643269</v>
      </c>
      <c r="AI300" s="382">
        <f>AH300/ 'Pile Data and Eurocode Factors'!$C$14/ 'Pile Data and Eurocode Factors'!$C$15</f>
        <v>851.37415580868822</v>
      </c>
      <c r="AJ300" s="382">
        <f t="shared" si="246"/>
        <v>5147.9234607594335</v>
      </c>
      <c r="AK300" s="382">
        <f>VLOOKUP(Y300, 'Pile Data and Eurocode Factors'!$A$34:$J$39,3, FALSE)</f>
        <v>2366.1761868507956</v>
      </c>
      <c r="AL300" s="403">
        <f t="shared" si="247"/>
        <v>2366.1761868507956</v>
      </c>
      <c r="AM300" s="419">
        <v>600</v>
      </c>
      <c r="AN300" s="430">
        <f>PI()*AM300/1000*( Pile!$C$51- Pile!$C300)</f>
        <v>53.721234376385461</v>
      </c>
      <c r="AO300" s="382">
        <f t="shared" si="248"/>
        <v>0.28274333882308139</v>
      </c>
      <c r="AP300" s="382">
        <f t="shared" si="293"/>
        <v>12315.268777691876</v>
      </c>
      <c r="AQ300" s="382">
        <f>AN300* Pile!$S$51</f>
        <v>0</v>
      </c>
      <c r="AR300" s="382">
        <f t="shared" si="299"/>
        <v>12315.268777691876</v>
      </c>
      <c r="AS300" s="382">
        <f>IF(AR300&gt;0,+AR300)/ 'Pile Data and Eurocode Factors'!$B$14/ 'Pile Data and Eurocode Factors'!$B$15+AS$281</f>
        <v>5728.7324066009924</v>
      </c>
      <c r="AT300" s="382">
        <f t="shared" si="306"/>
        <v>4237.9513533588033</v>
      </c>
      <c r="AU300" s="382">
        <f>AO300* Pile!$U$51</f>
        <v>0</v>
      </c>
      <c r="AV300" s="382">
        <f t="shared" si="249"/>
        <v>4237.9513533588033</v>
      </c>
      <c r="AW300" s="382">
        <f>AV300/ 'Pile Data and Eurocode Factors'!$C$14/ 'Pile Data and Eurocode Factors'!$C$15</f>
        <v>1513.5540547710013</v>
      </c>
      <c r="AX300" s="382">
        <f t="shared" si="250"/>
        <v>7242.2864613719939</v>
      </c>
      <c r="AY300" s="382">
        <f>VLOOKUP(AM300, 'Pile Data and Eurocode Factors'!$A$34:$J$39,3, FALSE)</f>
        <v>4206.5354432903041</v>
      </c>
      <c r="AZ300" s="403">
        <f t="shared" si="251"/>
        <v>4206.5354432903041</v>
      </c>
      <c r="BA300" s="419">
        <v>750</v>
      </c>
      <c r="BB300" s="430">
        <f>PI()*BA300/1000*( Pile!$C$51- Pile!$C300)</f>
        <v>67.151542970481827</v>
      </c>
      <c r="BC300" s="382">
        <f t="shared" si="252"/>
        <v>0.44178646691106466</v>
      </c>
      <c r="BD300" s="382">
        <f t="shared" si="294"/>
        <v>15394.085972114844</v>
      </c>
      <c r="BE300" s="382">
        <f>BB300* Pile!$S$51</f>
        <v>0</v>
      </c>
      <c r="BF300" s="382">
        <f t="shared" si="300"/>
        <v>15394.085972114844</v>
      </c>
      <c r="BG300" s="382">
        <f>IF(BF300&gt;0,+BF300)/ 'Pile Data and Eurocode Factors'!$B$14/ 'Pile Data and Eurocode Factors'!$B$15+BG$281</f>
        <v>7160.9155082512416</v>
      </c>
      <c r="BH300" s="382">
        <f t="shared" si="307"/>
        <v>6621.7989896231302</v>
      </c>
      <c r="BI300" s="382">
        <f>BC300* Pile!$U$51</f>
        <v>0</v>
      </c>
      <c r="BJ300" s="382">
        <f t="shared" si="253"/>
        <v>6621.7989896231302</v>
      </c>
      <c r="BK300" s="382">
        <f>BJ300/ 'Pile Data and Eurocode Factors'!$C$14/ 'Pile Data and Eurocode Factors'!$C$15</f>
        <v>2364.9282105796897</v>
      </c>
      <c r="BL300" s="382">
        <f t="shared" si="254"/>
        <v>9525.8437188309308</v>
      </c>
      <c r="BM300" s="382">
        <f>VLOOKUP(BA300, 'Pile Data and Eurocode Factors'!$A$34:$J$39,3, FALSE)</f>
        <v>6572.7116301410997</v>
      </c>
      <c r="BN300" s="403">
        <f t="shared" si="255"/>
        <v>6572.7116301410997</v>
      </c>
      <c r="BO300" s="419">
        <v>900</v>
      </c>
      <c r="BP300" s="430">
        <f>PI()*BO300/1000*( Pile!$C$51- Pile!$C300)</f>
        <v>80.581851564578187</v>
      </c>
      <c r="BQ300" s="382">
        <f t="shared" si="256"/>
        <v>0.63617251235193317</v>
      </c>
      <c r="BR300" s="382">
        <f t="shared" si="295"/>
        <v>18472.903166537813</v>
      </c>
      <c r="BS300" s="382">
        <f>BP300* Pile!$S$51</f>
        <v>0</v>
      </c>
      <c r="BT300" s="382">
        <f t="shared" si="301"/>
        <v>18472.903166537813</v>
      </c>
      <c r="BU300" s="382">
        <f>IF(BT300&gt;0,+BT300)/ 'Pile Data and Eurocode Factors'!$B$14/ 'Pile Data and Eurocode Factors'!$B$15+BU$281</f>
        <v>8593.0986099014899</v>
      </c>
      <c r="BV300" s="382">
        <f t="shared" si="308"/>
        <v>9535.3905450573075</v>
      </c>
      <c r="BW300" s="382">
        <f>BQ300* Pile!$U$51</f>
        <v>0</v>
      </c>
      <c r="BX300" s="382">
        <f t="shared" si="257"/>
        <v>9535.3905450573075</v>
      </c>
      <c r="BY300" s="382">
        <f>BX300/ 'Pile Data and Eurocode Factors'!$C$14/ 'Pile Data and Eurocode Factors'!$C$15</f>
        <v>3405.4966232347529</v>
      </c>
      <c r="BZ300" s="382">
        <f t="shared" si="258"/>
        <v>11998.595233136242</v>
      </c>
      <c r="CA300" s="382">
        <f>VLOOKUP(BO300, 'Pile Data and Eurocode Factors'!$A$34:$J$39,3, FALSE)</f>
        <v>9464.7047474031824</v>
      </c>
      <c r="CB300" s="403">
        <f t="shared" si="259"/>
        <v>9464.7047474031824</v>
      </c>
      <c r="CC300" s="419">
        <v>1050</v>
      </c>
      <c r="CD300" s="430">
        <f>PI()*CC300/1000*( Pile!$C$51- Pile!$C300)</f>
        <v>94.012160158674561</v>
      </c>
      <c r="CE300" s="382">
        <f t="shared" si="260"/>
        <v>0.86590147514568672</v>
      </c>
      <c r="CF300" s="382">
        <f t="shared" si="296"/>
        <v>21551.720360960782</v>
      </c>
      <c r="CG300" s="382">
        <f>CD300* Pile!$S$51</f>
        <v>0</v>
      </c>
      <c r="CH300" s="382">
        <f t="shared" si="302"/>
        <v>21551.720360960782</v>
      </c>
      <c r="CI300" s="382">
        <f>IF(CH300&gt;0,+CH300)/ 'Pile Data and Eurocode Factors'!$B$14/ 'Pile Data and Eurocode Factors'!$B$15+CI$281</f>
        <v>10025.281711551737</v>
      </c>
      <c r="CJ300" s="382">
        <f t="shared" si="309"/>
        <v>12978.726019661333</v>
      </c>
      <c r="CK300" s="382">
        <f>CE300* Pile!$U$51</f>
        <v>0</v>
      </c>
      <c r="CL300" s="382">
        <f t="shared" si="261"/>
        <v>12978.726019661333</v>
      </c>
      <c r="CM300" s="382">
        <f>CL300/ 'Pile Data and Eurocode Factors'!$C$14/ 'Pile Data and Eurocode Factors'!$C$15</f>
        <v>4635.2592927361911</v>
      </c>
      <c r="CN300" s="382">
        <f t="shared" si="262"/>
        <v>14660.541004287928</v>
      </c>
      <c r="CO300" s="382">
        <f>VLOOKUP(CC300, 'Pile Data and Eurocode Factors'!$A$34:$J$39,3, FALSE)</f>
        <v>12882.514795076555</v>
      </c>
      <c r="CP300" s="403">
        <f t="shared" si="263"/>
        <v>12882.514795076555</v>
      </c>
      <c r="CQ300" s="419">
        <v>1200</v>
      </c>
      <c r="CR300" s="430">
        <f>PI()*CQ300/1000*( Pile!$C$51- Pile!$C300)</f>
        <v>107.44246875277092</v>
      </c>
      <c r="CS300" s="382">
        <f t="shared" si="264"/>
        <v>1.1309733552923256</v>
      </c>
      <c r="CT300" s="382">
        <f t="shared" si="297"/>
        <v>24630.537555383751</v>
      </c>
      <c r="CU300" s="382">
        <f>CR300* Pile!$S$51</f>
        <v>0</v>
      </c>
      <c r="CV300" s="382">
        <f t="shared" si="303"/>
        <v>24630.537555383751</v>
      </c>
      <c r="CW300" s="382">
        <f>IF(CV300&gt;0,+CV300)/ 'Pile Data and Eurocode Factors'!$B$14/ 'Pile Data and Eurocode Factors'!$B$15+CW$281</f>
        <v>11457.464813201985</v>
      </c>
      <c r="CX300" s="382">
        <f t="shared" si="310"/>
        <v>16951.805413435213</v>
      </c>
      <c r="CY300" s="382">
        <f>CS300* Pile!$U$51</f>
        <v>0</v>
      </c>
      <c r="CZ300" s="382">
        <f t="shared" si="265"/>
        <v>16951.805413435213</v>
      </c>
      <c r="DA300" s="382">
        <f>CZ300/ 'Pile Data and Eurocode Factors'!$C$14/ 'Pile Data and Eurocode Factors'!$C$15</f>
        <v>6054.2162190840054</v>
      </c>
      <c r="DB300" s="382">
        <f t="shared" si="266"/>
        <v>17511.681032285989</v>
      </c>
      <c r="DC300" s="382">
        <f>VLOOKUP(CQ300, 'Pile Data and Eurocode Factors'!$A$34:$J$39,3, FALSE)</f>
        <v>16826.141773161216</v>
      </c>
      <c r="DD300" s="403">
        <f t="shared" si="267"/>
        <v>16826.141773161216</v>
      </c>
      <c r="DE300" s="420">
        <f xml:space="preserve"> Pile!$C$23- Pile!C300</f>
        <v>40.5</v>
      </c>
      <c r="DG300" s="382">
        <f t="shared" si="268"/>
        <v>2366.1761868507956</v>
      </c>
      <c r="DH300" s="382">
        <f t="shared" si="269"/>
        <v>4206.5354432903041</v>
      </c>
      <c r="DI300" s="382">
        <f t="shared" si="270"/>
        <v>6572.7116301410997</v>
      </c>
      <c r="DJ300" s="382">
        <f t="shared" si="271"/>
        <v>9464.7047474031824</v>
      </c>
      <c r="DK300" s="382">
        <f t="shared" si="272"/>
        <v>12882.514795076555</v>
      </c>
      <c r="DL300" s="382">
        <f t="shared" si="291"/>
        <v>16826.141773161216</v>
      </c>
    </row>
    <row r="301" spans="2:116" s="308" customFormat="1" ht="15">
      <c r="B301" s="400">
        <v>20</v>
      </c>
      <c r="C301" s="401">
        <f>+C300- Pile!D$51/20</f>
        <v>-36</v>
      </c>
      <c r="D301" s="415" t="str">
        <f>B25</f>
        <v>Medium Sand/Gravel</v>
      </c>
      <c r="E301" s="415" t="str">
        <f>F25</f>
        <v>Granular</v>
      </c>
      <c r="F301" s="401">
        <f xml:space="preserve"> Pile!$E$51*(+C300-C301)+F300</f>
        <v>795.00000000000023</v>
      </c>
      <c r="G301" s="401">
        <f>IF(C301&gt; Pile!$C$54,0,( Pile!$C$54-C301)*9.81)</f>
        <v>206.01000000000002</v>
      </c>
      <c r="H301" s="401">
        <f t="shared" si="238"/>
        <v>588.99000000000024</v>
      </c>
      <c r="I301" s="401">
        <f t="shared" si="311"/>
        <v>399.49500000000018</v>
      </c>
      <c r="J301" s="401">
        <f>IF(E301="Cohesive",(( Pile!$H$51- Pile!$G$51)/20)+J300,0)</f>
        <v>0</v>
      </c>
      <c r="K301" s="401">
        <f>IF(E301="Cohesive",( Pile!$G$51+ Pile!$J301)/2,0)</f>
        <v>0</v>
      </c>
      <c r="L301" s="401" t="str">
        <f>IF( Pile!I$51="",0, Pile!I$51)</f>
        <v>0</v>
      </c>
      <c r="M301" s="401" t="str">
        <f>IF( Pile!J$51="",0, Pile!J$51)</f>
        <v>0</v>
      </c>
      <c r="N301" s="401">
        <f>IF(E301="Granular", Pile!$K$51,0)</f>
        <v>26.092012099198989</v>
      </c>
      <c r="O301" s="416">
        <f>IF(AND(E301="Granular",D301&lt;&gt;"Made Ground"), Pile!$L$51,0)</f>
        <v>0.58446683387775955</v>
      </c>
      <c r="P301" s="401">
        <f>IF(OR(D301="Low Density Chalk",D301="Medium Density Chalk"), Pile!$M$51,0)</f>
        <v>0</v>
      </c>
      <c r="Q301" s="417">
        <f>IF(D301="High Density Chalk", Pile!$N$51,0)</f>
        <v>0</v>
      </c>
      <c r="R301" s="401">
        <f>IF( Pile!O$51="",0, Pile!O$51)</f>
        <v>0</v>
      </c>
      <c r="S301" s="418">
        <f t="shared" si="240"/>
        <v>233.49157779999567</v>
      </c>
      <c r="T301" s="382">
        <f xml:space="preserve"> Pile!$T$51</f>
        <v>1200</v>
      </c>
      <c r="U301" s="382">
        <f t="shared" si="241"/>
        <v>233.49157779999567</v>
      </c>
      <c r="V301" s="382">
        <f t="shared" si="242"/>
        <v>15367.934206307218</v>
      </c>
      <c r="W301" s="382">
        <f xml:space="preserve"> Pile!$V$51</f>
        <v>15000</v>
      </c>
      <c r="X301" s="382">
        <f t="shared" si="243"/>
        <v>15000</v>
      </c>
      <c r="Y301" s="419">
        <v>450</v>
      </c>
      <c r="Z301" s="430">
        <f>PI()*Y301/1000*( Pile!$C$51- Pile!$C301)</f>
        <v>42.411500823462205</v>
      </c>
      <c r="AA301" s="382">
        <f t="shared" si="244"/>
        <v>0.15904312808798329</v>
      </c>
      <c r="AB301" s="382">
        <f t="shared" si="292"/>
        <v>9902.7282441360057</v>
      </c>
      <c r="AC301" s="382">
        <f>Z301* Pile!$S$51</f>
        <v>0</v>
      </c>
      <c r="AD301" s="382">
        <f t="shared" si="298"/>
        <v>9902.7282441360057</v>
      </c>
      <c r="AE301" s="382">
        <f>IF(AD301&gt;0,+AD301)/ 'Pile Data and Eurocode Factors'!$B$14/ 'Pile Data and Eurocode Factors'!$B$15+AE$281</f>
        <v>4593.9942428378417</v>
      </c>
      <c r="AF301" s="382">
        <f t="shared" si="305"/>
        <v>2385.6469213197493</v>
      </c>
      <c r="AG301" s="382">
        <f>AA301* Pile!$U$51</f>
        <v>0</v>
      </c>
      <c r="AH301" s="382">
        <f t="shared" si="245"/>
        <v>2385.6469213197493</v>
      </c>
      <c r="AI301" s="382">
        <f>AH301/ 'Pile Data and Eurocode Factors'!$C$14/ 'Pile Data and Eurocode Factors'!$C$15</f>
        <v>852.01675761419619</v>
      </c>
      <c r="AJ301" s="382">
        <f t="shared" si="246"/>
        <v>5446.0110004520375</v>
      </c>
      <c r="AK301" s="382">
        <f>VLOOKUP(Y301, 'Pile Data and Eurocode Factors'!$A$34:$J$39,3, FALSE)</f>
        <v>2366.1761868507956</v>
      </c>
      <c r="AL301" s="403">
        <f t="shared" si="247"/>
        <v>2366.1761868507956</v>
      </c>
      <c r="AM301" s="419">
        <v>600</v>
      </c>
      <c r="AN301" s="430">
        <f>PI()*AM301/1000*( Pile!$C$51- Pile!$C301)</f>
        <v>56.548667764616276</v>
      </c>
      <c r="AO301" s="382">
        <f t="shared" si="248"/>
        <v>0.28274333882308139</v>
      </c>
      <c r="AP301" s="382">
        <f t="shared" si="293"/>
        <v>13203.637658848009</v>
      </c>
      <c r="AQ301" s="382">
        <f>AN301* Pile!$S$51</f>
        <v>0</v>
      </c>
      <c r="AR301" s="382">
        <f t="shared" si="299"/>
        <v>13203.637658848009</v>
      </c>
      <c r="AS301" s="382">
        <f>IF(AR301&gt;0,+AR301)/ 'Pile Data and Eurocode Factors'!$B$14/ 'Pile Data and Eurocode Factors'!$B$15+AS$281</f>
        <v>6125.3256571171241</v>
      </c>
      <c r="AT301" s="382">
        <f t="shared" si="306"/>
        <v>4241.1500823462211</v>
      </c>
      <c r="AU301" s="382">
        <f>AO301* Pile!$U$51</f>
        <v>0</v>
      </c>
      <c r="AV301" s="382">
        <f t="shared" si="249"/>
        <v>4241.1500823462211</v>
      </c>
      <c r="AW301" s="382">
        <f>AV301/ 'Pile Data and Eurocode Factors'!$C$14/ 'Pile Data and Eurocode Factors'!$C$15</f>
        <v>1514.6964579807934</v>
      </c>
      <c r="AX301" s="382">
        <f t="shared" si="250"/>
        <v>7640.0221150979178</v>
      </c>
      <c r="AY301" s="382">
        <f>VLOOKUP(AM301, 'Pile Data and Eurocode Factors'!$A$34:$J$39,3, FALSE)</f>
        <v>4206.5354432903041</v>
      </c>
      <c r="AZ301" s="403">
        <f t="shared" si="251"/>
        <v>4206.5354432903041</v>
      </c>
      <c r="BA301" s="419">
        <v>750</v>
      </c>
      <c r="BB301" s="430">
        <f>PI()*BA301/1000*( Pile!$C$51- Pile!$C301)</f>
        <v>70.685834705770347</v>
      </c>
      <c r="BC301" s="382">
        <f t="shared" si="252"/>
        <v>0.44178646691106466</v>
      </c>
      <c r="BD301" s="382">
        <f t="shared" si="294"/>
        <v>16504.54707356001</v>
      </c>
      <c r="BE301" s="382">
        <f>BB301* Pile!$S$51</f>
        <v>0</v>
      </c>
      <c r="BF301" s="382">
        <f t="shared" si="300"/>
        <v>16504.54707356001</v>
      </c>
      <c r="BG301" s="382">
        <f>IF(BF301&gt;0,+BF301)/ 'Pile Data and Eurocode Factors'!$B$14/ 'Pile Data and Eurocode Factors'!$B$15+BG$281</f>
        <v>7656.6570713964047</v>
      </c>
      <c r="BH301" s="382">
        <f t="shared" si="307"/>
        <v>6626.7970036659699</v>
      </c>
      <c r="BI301" s="382">
        <f>BC301* Pile!$U$51</f>
        <v>0</v>
      </c>
      <c r="BJ301" s="382">
        <f t="shared" si="253"/>
        <v>6626.7970036659699</v>
      </c>
      <c r="BK301" s="382">
        <f>BJ301/ 'Pile Data and Eurocode Factors'!$C$14/ 'Pile Data and Eurocode Factors'!$C$15</f>
        <v>2366.7132155949894</v>
      </c>
      <c r="BL301" s="382">
        <f t="shared" si="254"/>
        <v>10023.370286991394</v>
      </c>
      <c r="BM301" s="382">
        <f>VLOOKUP(BA301, 'Pile Data and Eurocode Factors'!$A$34:$J$39,3, FALSE)</f>
        <v>6572.7116301410997</v>
      </c>
      <c r="BN301" s="403">
        <f t="shared" si="255"/>
        <v>6572.7116301410997</v>
      </c>
      <c r="BO301" s="419">
        <v>900</v>
      </c>
      <c r="BP301" s="430">
        <f>PI()*BO301/1000*( Pile!$C$51- Pile!$C301)</f>
        <v>84.823001646924411</v>
      </c>
      <c r="BQ301" s="382">
        <f t="shared" si="256"/>
        <v>0.63617251235193317</v>
      </c>
      <c r="BR301" s="382">
        <f t="shared" si="295"/>
        <v>19805.456488272011</v>
      </c>
      <c r="BS301" s="382">
        <f>BP301* Pile!$S$51</f>
        <v>0</v>
      </c>
      <c r="BT301" s="382">
        <f t="shared" si="301"/>
        <v>19805.456488272011</v>
      </c>
      <c r="BU301" s="382">
        <f>IF(BT301&gt;0,+BT301)/ 'Pile Data and Eurocode Factors'!$B$14/ 'Pile Data and Eurocode Factors'!$B$15+BU$281</f>
        <v>9187.9884856756835</v>
      </c>
      <c r="BV301" s="382">
        <f t="shared" si="308"/>
        <v>9542.587685278997</v>
      </c>
      <c r="BW301" s="382">
        <f>BQ301* Pile!$U$51</f>
        <v>0</v>
      </c>
      <c r="BX301" s="382">
        <f t="shared" si="257"/>
        <v>9542.587685278997</v>
      </c>
      <c r="BY301" s="382">
        <f>BX301/ 'Pile Data and Eurocode Factors'!$C$14/ 'Pile Data and Eurocode Factors'!$C$15</f>
        <v>3408.0670304567848</v>
      </c>
      <c r="BZ301" s="382">
        <f t="shared" si="258"/>
        <v>12596.055516132468</v>
      </c>
      <c r="CA301" s="382">
        <f>VLOOKUP(BO301, 'Pile Data and Eurocode Factors'!$A$34:$J$39,3, FALSE)</f>
        <v>9464.7047474031824</v>
      </c>
      <c r="CB301" s="403">
        <f t="shared" si="259"/>
        <v>9464.7047474031824</v>
      </c>
      <c r="CC301" s="419">
        <v>1050</v>
      </c>
      <c r="CD301" s="430">
        <f>PI()*CC301/1000*( Pile!$C$51- Pile!$C301)</f>
        <v>98.960168588078488</v>
      </c>
      <c r="CE301" s="382">
        <f t="shared" si="260"/>
        <v>0.86590147514568672</v>
      </c>
      <c r="CF301" s="382">
        <f t="shared" si="296"/>
        <v>23106.365902984016</v>
      </c>
      <c r="CG301" s="382">
        <f>CD301* Pile!$S$51</f>
        <v>0</v>
      </c>
      <c r="CH301" s="382">
        <f t="shared" si="302"/>
        <v>23106.365902984016</v>
      </c>
      <c r="CI301" s="382">
        <f>IF(CH301&gt;0,+CH301)/ 'Pile Data and Eurocode Factors'!$B$14/ 'Pile Data and Eurocode Factors'!$B$15+CI$281</f>
        <v>10719.319899954968</v>
      </c>
      <c r="CJ301" s="382">
        <f t="shared" si="309"/>
        <v>12988.522127185301</v>
      </c>
      <c r="CK301" s="382">
        <f>CE301* Pile!$U$51</f>
        <v>0</v>
      </c>
      <c r="CL301" s="382">
        <f t="shared" si="261"/>
        <v>12988.522127185301</v>
      </c>
      <c r="CM301" s="382">
        <f>CL301/ 'Pile Data and Eurocode Factors'!$C$14/ 'Pile Data and Eurocode Factors'!$C$15</f>
        <v>4638.7579025661789</v>
      </c>
      <c r="CN301" s="382">
        <f t="shared" si="262"/>
        <v>15358.077802521148</v>
      </c>
      <c r="CO301" s="382">
        <f>VLOOKUP(CC301, 'Pile Data and Eurocode Factors'!$A$34:$J$39,3, FALSE)</f>
        <v>12882.514795076555</v>
      </c>
      <c r="CP301" s="403">
        <f t="shared" si="263"/>
        <v>12882.514795076555</v>
      </c>
      <c r="CQ301" s="419">
        <v>1200</v>
      </c>
      <c r="CR301" s="430">
        <f>PI()*CQ301/1000*( Pile!$C$51- Pile!$C301)</f>
        <v>113.09733552923255</v>
      </c>
      <c r="CS301" s="382">
        <f t="shared" si="264"/>
        <v>1.1309733552923256</v>
      </c>
      <c r="CT301" s="382">
        <f t="shared" si="297"/>
        <v>26407.275317696018</v>
      </c>
      <c r="CU301" s="382">
        <f>CR301* Pile!$S$51</f>
        <v>0</v>
      </c>
      <c r="CV301" s="382">
        <f t="shared" si="303"/>
        <v>26407.275317696018</v>
      </c>
      <c r="CW301" s="382">
        <f>IF(CV301&gt;0,+CV301)/ 'Pile Data and Eurocode Factors'!$B$14/ 'Pile Data and Eurocode Factors'!$B$15+CW$281</f>
        <v>12250.651314234248</v>
      </c>
      <c r="CX301" s="382">
        <f t="shared" si="310"/>
        <v>16964.600329384884</v>
      </c>
      <c r="CY301" s="382">
        <f>CS301* Pile!$U$51</f>
        <v>0</v>
      </c>
      <c r="CZ301" s="382">
        <f t="shared" si="265"/>
        <v>16964.600329384884</v>
      </c>
      <c r="DA301" s="382">
        <f>CZ301/ 'Pile Data and Eurocode Factors'!$C$14/ 'Pile Data and Eurocode Factors'!$C$15</f>
        <v>6058.7858319231736</v>
      </c>
      <c r="DB301" s="382">
        <f t="shared" si="266"/>
        <v>18309.437146157423</v>
      </c>
      <c r="DC301" s="382">
        <f>VLOOKUP(CQ301, 'Pile Data and Eurocode Factors'!$A$34:$J$39,3, FALSE)</f>
        <v>16826.141773161216</v>
      </c>
      <c r="DD301" s="403">
        <f t="shared" si="267"/>
        <v>16826.141773161216</v>
      </c>
      <c r="DE301" s="420">
        <f xml:space="preserve"> Pile!$C$23- Pile!C301</f>
        <v>42</v>
      </c>
      <c r="DG301" s="382">
        <f t="shared" si="268"/>
        <v>2366.1761868507956</v>
      </c>
      <c r="DH301" s="382">
        <f t="shared" si="269"/>
        <v>4206.5354432903041</v>
      </c>
      <c r="DI301" s="382">
        <f t="shared" si="270"/>
        <v>6572.7116301410997</v>
      </c>
      <c r="DJ301" s="382">
        <f t="shared" si="271"/>
        <v>9464.7047474031824</v>
      </c>
      <c r="DK301" s="382">
        <f t="shared" si="272"/>
        <v>12882.514795076555</v>
      </c>
      <c r="DL301" s="382">
        <f t="shared" si="291"/>
        <v>16826.141773161216</v>
      </c>
    </row>
    <row r="302" spans="2:116" s="414" customFormat="1" ht="15">
      <c r="B302" s="404">
        <v>1</v>
      </c>
      <c r="C302" s="405">
        <f>+C301- Pile!D$52/20</f>
        <v>-36.299999999999997</v>
      </c>
      <c r="D302" s="406" t="str">
        <f>B26</f>
        <v>Medium Density Chalk</v>
      </c>
      <c r="E302" s="406" t="str">
        <f>F26</f>
        <v>Chalk</v>
      </c>
      <c r="F302" s="405">
        <f xml:space="preserve"> Pile!$E$52*(+C301-C302)+F301</f>
        <v>801.06993750000015</v>
      </c>
      <c r="G302" s="405">
        <f>IF(C302&gt; Pile!$C$54,0,( Pile!$C$54-C302)*9.81)</f>
        <v>208.95299999999997</v>
      </c>
      <c r="H302" s="405">
        <f t="shared" si="238"/>
        <v>592.11693750000018</v>
      </c>
      <c r="I302" s="405">
        <f t="shared" ref="I302:I321" si="312">($H$301+H302)/2</f>
        <v>590.55346875000021</v>
      </c>
      <c r="J302" s="405">
        <f>IF(E302="Cohesive", Pile!$G$52+(( Pile!$H$52- Pile!$G$52)/20),0)</f>
        <v>0</v>
      </c>
      <c r="K302" s="405">
        <f>IF(E302="Cohesive",( Pile!$G$52+ Pile!$J302)/2,0)</f>
        <v>0</v>
      </c>
      <c r="L302" s="405" t="str">
        <f>IF( Pile!I$52="",0, Pile!I$52)</f>
        <v>0</v>
      </c>
      <c r="M302" s="405" t="str">
        <f>IF( Pile!J$52="",0, Pile!J$52)</f>
        <v>0</v>
      </c>
      <c r="N302" s="405">
        <f>IF(E302="Granular", Pile!$K$52,0)</f>
        <v>0</v>
      </c>
      <c r="O302" s="407">
        <f>IF(AND(E302="Granular",D302&lt;&gt;"Made Ground"), Pile!$L$52,0)</f>
        <v>0</v>
      </c>
      <c r="P302" s="405">
        <f>IF(OR(D302="Low Density Chalk",D302="Medium Density Chalk"), Pile!$M$52,0)</f>
        <v>0.45</v>
      </c>
      <c r="Q302" s="408">
        <f>IF(D302="High Density Chalk", Pile!$N$52,0)</f>
        <v>0</v>
      </c>
      <c r="R302" s="405">
        <f>IF( Pile!O$52="",0, Pile!O$52)</f>
        <v>6000</v>
      </c>
      <c r="S302" s="409">
        <f t="shared" si="240"/>
        <v>265.74906093750008</v>
      </c>
      <c r="T302" s="410">
        <f xml:space="preserve"> Pile!$T$52</f>
        <v>100</v>
      </c>
      <c r="U302" s="410">
        <f t="shared" si="241"/>
        <v>100</v>
      </c>
      <c r="V302" s="410">
        <f t="shared" si="242"/>
        <v>6000</v>
      </c>
      <c r="W302" s="410">
        <f xml:space="preserve"> Pile!$V$52</f>
        <v>1000</v>
      </c>
      <c r="X302" s="410">
        <f t="shared" si="243"/>
        <v>1000</v>
      </c>
      <c r="Y302" s="411">
        <v>450</v>
      </c>
      <c r="Z302" s="429">
        <f>PI()*Y302/1000*( Pile!$C$52- Pile!$C302)</f>
        <v>0.42411500823461806</v>
      </c>
      <c r="AA302" s="410">
        <f t="shared" si="244"/>
        <v>0.15904312808798329</v>
      </c>
      <c r="AB302" s="410">
        <f t="shared" si="292"/>
        <v>42.411500823461807</v>
      </c>
      <c r="AC302" s="410">
        <f>Z302* Pile!$S$52</f>
        <v>42.411500823461807</v>
      </c>
      <c r="AD302" s="410">
        <f t="shared" si="298"/>
        <v>42.411500823461807</v>
      </c>
      <c r="AE302" s="410">
        <f>IF(AD302&gt;0,+AD302)/ 'Pile Data and Eurocode Factors'!$B$14/ 'Pile Data and Eurocode Factors'!$B$15+AE$301</f>
        <v>4612.9279485626012</v>
      </c>
      <c r="AF302" s="410">
        <f t="shared" si="305"/>
        <v>159.04312808798329</v>
      </c>
      <c r="AG302" s="410">
        <f>AA302* Pile!$U$52</f>
        <v>0</v>
      </c>
      <c r="AH302" s="410">
        <f t="shared" si="245"/>
        <v>159.04312808798329</v>
      </c>
      <c r="AI302" s="410">
        <f>AH302/ 'Pile Data and Eurocode Factors'!$C$14/ 'Pile Data and Eurocode Factors'!$C$15</f>
        <v>56.801117174279753</v>
      </c>
      <c r="AJ302" s="410">
        <f t="shared" si="246"/>
        <v>4669.7290657368812</v>
      </c>
      <c r="AK302" s="410">
        <f>VLOOKUP(Y302, 'Pile Data and Eurocode Factors'!$A$34:$J$39,3, FALSE)</f>
        <v>2366.1761868507956</v>
      </c>
      <c r="AL302" s="412">
        <f t="shared" si="247"/>
        <v>2366.1761868507956</v>
      </c>
      <c r="AM302" s="411">
        <v>600</v>
      </c>
      <c r="AN302" s="429">
        <f>PI()*AM302/1000*( Pile!$C$52- Pile!$C302)</f>
        <v>0.56548667764615745</v>
      </c>
      <c r="AO302" s="410">
        <f t="shared" si="248"/>
        <v>0.28274333882308139</v>
      </c>
      <c r="AP302" s="410">
        <f t="shared" si="293"/>
        <v>56.548667764615743</v>
      </c>
      <c r="AQ302" s="410">
        <f>AN302* Pile!$S$52</f>
        <v>56.548667764615743</v>
      </c>
      <c r="AR302" s="410">
        <f t="shared" si="299"/>
        <v>56.548667764615743</v>
      </c>
      <c r="AS302" s="410">
        <f>IF(AR302&gt;0,+AR302)/ 'Pile Data and Eurocode Factors'!$B$14/ 'Pile Data and Eurocode Factors'!$B$15+AS$301</f>
        <v>6150.57059808347</v>
      </c>
      <c r="AT302" s="410">
        <f t="shared" si="306"/>
        <v>282.74333882308139</v>
      </c>
      <c r="AU302" s="410">
        <f>AO302* Pile!$U$52</f>
        <v>0</v>
      </c>
      <c r="AV302" s="410">
        <f t="shared" si="249"/>
        <v>282.74333882308139</v>
      </c>
      <c r="AW302" s="410">
        <f>AV302/ 'Pile Data and Eurocode Factors'!$C$14/ 'Pile Data and Eurocode Factors'!$C$15</f>
        <v>100.97976386538622</v>
      </c>
      <c r="AX302" s="410">
        <f t="shared" si="250"/>
        <v>6251.5503619488563</v>
      </c>
      <c r="AY302" s="410">
        <f>VLOOKUP(AM302, 'Pile Data and Eurocode Factors'!$A$34:$J$39,3, FALSE)</f>
        <v>4206.5354432903041</v>
      </c>
      <c r="AZ302" s="412">
        <f t="shared" si="251"/>
        <v>4206.5354432903041</v>
      </c>
      <c r="BA302" s="411">
        <v>750</v>
      </c>
      <c r="BB302" s="429">
        <f>PI()*BA302/1000*( Pile!$C$52- Pile!$C302)</f>
        <v>0.70685834705769679</v>
      </c>
      <c r="BC302" s="410">
        <f t="shared" si="252"/>
        <v>0.44178646691106466</v>
      </c>
      <c r="BD302" s="410">
        <f t="shared" si="294"/>
        <v>70.685834705769679</v>
      </c>
      <c r="BE302" s="410">
        <f>BB302* Pile!$S$52</f>
        <v>70.685834705769679</v>
      </c>
      <c r="BF302" s="410">
        <f t="shared" si="300"/>
        <v>70.685834705769679</v>
      </c>
      <c r="BG302" s="410">
        <f>IF(BF302&gt;0,+BF302)/ 'Pile Data and Eurocode Factors'!$B$14/ 'Pile Data and Eurocode Factors'!$B$15+BG$301</f>
        <v>7688.213247604338</v>
      </c>
      <c r="BH302" s="410">
        <f t="shared" si="307"/>
        <v>441.78646691106468</v>
      </c>
      <c r="BI302" s="410">
        <f>BC302* Pile!$U$52</f>
        <v>0</v>
      </c>
      <c r="BJ302" s="410">
        <f t="shared" si="253"/>
        <v>441.78646691106468</v>
      </c>
      <c r="BK302" s="410">
        <f>BJ302/ 'Pile Data and Eurocode Factors'!$C$14/ 'Pile Data and Eurocode Factors'!$C$15</f>
        <v>157.78088103966596</v>
      </c>
      <c r="BL302" s="410">
        <f t="shared" si="254"/>
        <v>7845.9941286440044</v>
      </c>
      <c r="BM302" s="410">
        <f>VLOOKUP(BA302, 'Pile Data and Eurocode Factors'!$A$34:$J$39,3, FALSE)</f>
        <v>6572.7116301410997</v>
      </c>
      <c r="BN302" s="412">
        <f t="shared" si="255"/>
        <v>6572.7116301410997</v>
      </c>
      <c r="BO302" s="411">
        <v>900</v>
      </c>
      <c r="BP302" s="429">
        <f>PI()*BO302/1000*( Pile!$C$52- Pile!$C302)</f>
        <v>0.84823001646923613</v>
      </c>
      <c r="BQ302" s="410">
        <f t="shared" si="256"/>
        <v>0.63617251235193317</v>
      </c>
      <c r="BR302" s="410">
        <f t="shared" si="295"/>
        <v>84.823001646923615</v>
      </c>
      <c r="BS302" s="410">
        <f>BP302* Pile!$S$52</f>
        <v>84.823001646923615</v>
      </c>
      <c r="BT302" s="410">
        <f t="shared" si="301"/>
        <v>84.823001646923615</v>
      </c>
      <c r="BU302" s="410">
        <f>IF(BT302&gt;0,+BT302)/ 'Pile Data and Eurocode Factors'!$B$14/ 'Pile Data and Eurocode Factors'!$B$15+BU$301</f>
        <v>9225.8558971252023</v>
      </c>
      <c r="BV302" s="410">
        <f t="shared" si="308"/>
        <v>636.17251235193316</v>
      </c>
      <c r="BW302" s="410">
        <f>BQ302* Pile!$U$52</f>
        <v>0</v>
      </c>
      <c r="BX302" s="410">
        <f t="shared" si="257"/>
        <v>636.17251235193316</v>
      </c>
      <c r="BY302" s="410">
        <f>BX302/ 'Pile Data and Eurocode Factors'!$C$14/ 'Pile Data and Eurocode Factors'!$C$15</f>
        <v>227.20446869711901</v>
      </c>
      <c r="BZ302" s="410">
        <f t="shared" si="258"/>
        <v>9453.0603658223208</v>
      </c>
      <c r="CA302" s="410">
        <f>VLOOKUP(BO302, 'Pile Data and Eurocode Factors'!$A$34:$J$39,3, FALSE)</f>
        <v>9464.7047474031824</v>
      </c>
      <c r="CB302" s="412">
        <f t="shared" si="259"/>
        <v>9453.0603658223208</v>
      </c>
      <c r="CC302" s="411">
        <v>1050</v>
      </c>
      <c r="CD302" s="429">
        <f>PI()*CC302/1000*( Pile!$C$52- Pile!$C302)</f>
        <v>0.98960168588077546</v>
      </c>
      <c r="CE302" s="410">
        <f t="shared" si="260"/>
        <v>0.86590147514568672</v>
      </c>
      <c r="CF302" s="410">
        <f t="shared" si="296"/>
        <v>98.960168588077551</v>
      </c>
      <c r="CG302" s="410">
        <f>CD302* Pile!$S$52</f>
        <v>98.960168588077551</v>
      </c>
      <c r="CH302" s="410">
        <f t="shared" si="302"/>
        <v>98.960168588077551</v>
      </c>
      <c r="CI302" s="410">
        <f>IF(CH302&gt;0,+CH302)/ 'Pile Data and Eurocode Factors'!$B$14/ 'Pile Data and Eurocode Factors'!$B$15+CI$301</f>
        <v>10763.498546646073</v>
      </c>
      <c r="CJ302" s="410">
        <f t="shared" si="309"/>
        <v>865.90147514568673</v>
      </c>
      <c r="CK302" s="410">
        <f>CE302* Pile!$U$52</f>
        <v>0</v>
      </c>
      <c r="CL302" s="410">
        <f t="shared" si="261"/>
        <v>865.90147514568673</v>
      </c>
      <c r="CM302" s="410">
        <f>CL302/ 'Pile Data and Eurocode Factors'!$C$14/ 'Pile Data and Eurocode Factors'!$C$15</f>
        <v>309.25052683774527</v>
      </c>
      <c r="CN302" s="410">
        <f t="shared" si="262"/>
        <v>11072.749073483817</v>
      </c>
      <c r="CO302" s="410">
        <f>VLOOKUP(CC302, 'Pile Data and Eurocode Factors'!$A$34:$J$39,3, FALSE)</f>
        <v>12882.514795076555</v>
      </c>
      <c r="CP302" s="412">
        <f t="shared" si="263"/>
        <v>11072.749073483817</v>
      </c>
      <c r="CQ302" s="411">
        <v>1200</v>
      </c>
      <c r="CR302" s="429">
        <f>PI()*CQ302/1000*( Pile!$C$52- Pile!$C302)</f>
        <v>1.1309733552923149</v>
      </c>
      <c r="CS302" s="410">
        <f t="shared" si="264"/>
        <v>1.1309733552923256</v>
      </c>
      <c r="CT302" s="410">
        <f t="shared" si="297"/>
        <v>113.09733552923149</v>
      </c>
      <c r="CU302" s="410">
        <f>CR302* Pile!$S$52</f>
        <v>113.09733552923149</v>
      </c>
      <c r="CV302" s="410">
        <f t="shared" si="303"/>
        <v>113.09733552923149</v>
      </c>
      <c r="CW302" s="410">
        <f>IF(CV302&gt;0,+CV302)/ 'Pile Data and Eurocode Factors'!$B$14/ 'Pile Data and Eurocode Factors'!$B$15+CW$301</f>
        <v>12301.14119616694</v>
      </c>
      <c r="CX302" s="410">
        <f t="shared" si="310"/>
        <v>1130.9733552923256</v>
      </c>
      <c r="CY302" s="410">
        <f>CS302* Pile!$U$52</f>
        <v>0</v>
      </c>
      <c r="CZ302" s="410">
        <f t="shared" si="265"/>
        <v>1130.9733552923256</v>
      </c>
      <c r="DA302" s="410">
        <f>CZ302/ 'Pile Data and Eurocode Factors'!$C$14/ 'Pile Data and Eurocode Factors'!$C$15</f>
        <v>403.91905546154487</v>
      </c>
      <c r="DB302" s="410">
        <f t="shared" si="266"/>
        <v>12705.060251628485</v>
      </c>
      <c r="DC302" s="410">
        <f>VLOOKUP(CQ302, 'Pile Data and Eurocode Factors'!$A$34:$J$39,3, FALSE)</f>
        <v>16826.141773161216</v>
      </c>
      <c r="DD302" s="412">
        <f t="shared" si="267"/>
        <v>12705.060251628485</v>
      </c>
      <c r="DE302" s="413">
        <f xml:space="preserve"> Pile!$C$23- Pile!C302</f>
        <v>42.3</v>
      </c>
      <c r="DG302" s="410">
        <f t="shared" si="268"/>
        <v>2366.1761868507956</v>
      </c>
      <c r="DH302" s="410">
        <f t="shared" si="269"/>
        <v>4206.5354432903041</v>
      </c>
      <c r="DI302" s="410">
        <f t="shared" si="270"/>
        <v>6572.7116301410997</v>
      </c>
      <c r="DJ302" s="410">
        <f t="shared" si="271"/>
        <v>9453.0603658223208</v>
      </c>
      <c r="DK302" s="410">
        <f t="shared" si="272"/>
        <v>11072.749073483817</v>
      </c>
      <c r="DL302" s="410">
        <f t="shared" si="291"/>
        <v>12705.060251628485</v>
      </c>
    </row>
    <row r="303" spans="2:116" s="308" customFormat="1" ht="15">
      <c r="B303" s="400">
        <v>2</v>
      </c>
      <c r="C303" s="401">
        <f>+C302- Pile!D$52/20</f>
        <v>-36.599999999999994</v>
      </c>
      <c r="D303" s="415" t="str">
        <f>B26</f>
        <v>Medium Density Chalk</v>
      </c>
      <c r="E303" s="415" t="str">
        <f>F26</f>
        <v>Chalk</v>
      </c>
      <c r="F303" s="401">
        <f xml:space="preserve"> Pile!$E$52*( Pile!$C$52- Pile!C303)+$F$301</f>
        <v>807.13987500000007</v>
      </c>
      <c r="G303" s="401">
        <f>IF(C303&gt; Pile!$C$54,0,( Pile!$C$54-C303)*9.81)</f>
        <v>211.89599999999996</v>
      </c>
      <c r="H303" s="401">
        <f t="shared" si="238"/>
        <v>595.24387500000012</v>
      </c>
      <c r="I303" s="401">
        <f t="shared" si="312"/>
        <v>592.11693750000018</v>
      </c>
      <c r="J303" s="401">
        <f>IF(E303="Cohesive",(( Pile!$H$52- Pile!$G$52)/20)+J302,0)</f>
        <v>0</v>
      </c>
      <c r="K303" s="401">
        <f>IF(E303="Cohesive",( Pile!$G$52+ Pile!$J303)/2,0)</f>
        <v>0</v>
      </c>
      <c r="L303" s="401" t="str">
        <f>IF( Pile!I$52="",0, Pile!I$52)</f>
        <v>0</v>
      </c>
      <c r="M303" s="401" t="str">
        <f>IF( Pile!J$52="",0, Pile!J$52)</f>
        <v>0</v>
      </c>
      <c r="N303" s="401">
        <f>IF(E303="Granular", Pile!$K$52,0)</f>
        <v>0</v>
      </c>
      <c r="O303" s="416">
        <f>IF(AND(E303="Granular",D303&lt;&gt;"Made Ground"), Pile!$L$52,0)</f>
        <v>0</v>
      </c>
      <c r="P303" s="401">
        <f>IF(OR(D303="Low Density Chalk",D303="Medium Density Chalk"), Pile!$M$52,0)</f>
        <v>0.45</v>
      </c>
      <c r="Q303" s="417">
        <f>IF(D303="High Density Chalk", Pile!$N$52,0)</f>
        <v>0</v>
      </c>
      <c r="R303" s="401">
        <f>IF( Pile!O$52="",0, Pile!O$52)</f>
        <v>6000</v>
      </c>
      <c r="S303" s="418">
        <f t="shared" si="240"/>
        <v>266.45262187500009</v>
      </c>
      <c r="T303" s="382">
        <f xml:space="preserve"> Pile!$T$52</f>
        <v>100</v>
      </c>
      <c r="U303" s="382">
        <f t="shared" si="241"/>
        <v>100</v>
      </c>
      <c r="V303" s="382">
        <f t="shared" si="242"/>
        <v>6000</v>
      </c>
      <c r="W303" s="382">
        <f xml:space="preserve"> Pile!$V$52</f>
        <v>1000</v>
      </c>
      <c r="X303" s="382">
        <f t="shared" si="243"/>
        <v>1000</v>
      </c>
      <c r="Y303" s="419">
        <v>450</v>
      </c>
      <c r="Z303" s="430">
        <f>PI()*Y303/1000*( Pile!$C$52- Pile!$C303)</f>
        <v>0.84823001646923613</v>
      </c>
      <c r="AA303" s="382">
        <f t="shared" si="244"/>
        <v>0.15904312808798329</v>
      </c>
      <c r="AB303" s="382">
        <f t="shared" si="292"/>
        <v>84.823001646923615</v>
      </c>
      <c r="AC303" s="382">
        <f>Z303* Pile!$S$52</f>
        <v>84.823001646923615</v>
      </c>
      <c r="AD303" s="382">
        <f t="shared" si="298"/>
        <v>84.823001646923615</v>
      </c>
      <c r="AE303" s="382">
        <f>IF(AD303&gt;0,+AD303)/ 'Pile Data and Eurocode Factors'!$B$14/ 'Pile Data and Eurocode Factors'!$B$15+AE$301</f>
        <v>4631.8616542873615</v>
      </c>
      <c r="AF303" s="382">
        <f t="shared" si="305"/>
        <v>159.04312808798329</v>
      </c>
      <c r="AG303" s="382">
        <f>AA303* Pile!$U$52</f>
        <v>0</v>
      </c>
      <c r="AH303" s="382">
        <f t="shared" si="245"/>
        <v>159.04312808798329</v>
      </c>
      <c r="AI303" s="382">
        <f>AH303/ 'Pile Data and Eurocode Factors'!$C$14/ 'Pile Data and Eurocode Factors'!$C$15</f>
        <v>56.801117174279753</v>
      </c>
      <c r="AJ303" s="382">
        <f t="shared" si="246"/>
        <v>4688.6627714616416</v>
      </c>
      <c r="AK303" s="382">
        <f>VLOOKUP(Y303, 'Pile Data and Eurocode Factors'!$A$34:$J$39,3, FALSE)</f>
        <v>2366.1761868507956</v>
      </c>
      <c r="AL303" s="403">
        <f t="shared" si="247"/>
        <v>2366.1761868507956</v>
      </c>
      <c r="AM303" s="419">
        <v>600</v>
      </c>
      <c r="AN303" s="430">
        <f>PI()*AM303/1000*( Pile!$C$52- Pile!$C303)</f>
        <v>1.1309733552923149</v>
      </c>
      <c r="AO303" s="382">
        <f t="shared" si="248"/>
        <v>0.28274333882308139</v>
      </c>
      <c r="AP303" s="382">
        <f t="shared" si="293"/>
        <v>113.09733552923149</v>
      </c>
      <c r="AQ303" s="382">
        <f>AN303* Pile!$S$52</f>
        <v>113.09733552923149</v>
      </c>
      <c r="AR303" s="382">
        <f t="shared" si="299"/>
        <v>113.09733552923149</v>
      </c>
      <c r="AS303" s="382">
        <f>IF(AR303&gt;0,+AR303)/ 'Pile Data and Eurocode Factors'!$B$14/ 'Pile Data and Eurocode Factors'!$B$15+AS$301</f>
        <v>6175.8155390498168</v>
      </c>
      <c r="AT303" s="382">
        <f t="shared" si="306"/>
        <v>282.74333882308139</v>
      </c>
      <c r="AU303" s="382">
        <f>AO303* Pile!$U$52</f>
        <v>0</v>
      </c>
      <c r="AV303" s="382">
        <f t="shared" si="249"/>
        <v>282.74333882308139</v>
      </c>
      <c r="AW303" s="382">
        <f>AV303/ 'Pile Data and Eurocode Factors'!$C$14/ 'Pile Data and Eurocode Factors'!$C$15</f>
        <v>100.97976386538622</v>
      </c>
      <c r="AX303" s="382">
        <f t="shared" si="250"/>
        <v>6276.7953029152031</v>
      </c>
      <c r="AY303" s="382">
        <f>VLOOKUP(AM303, 'Pile Data and Eurocode Factors'!$A$34:$J$39,3, FALSE)</f>
        <v>4206.5354432903041</v>
      </c>
      <c r="AZ303" s="403">
        <f t="shared" si="251"/>
        <v>4206.5354432903041</v>
      </c>
      <c r="BA303" s="419">
        <v>750</v>
      </c>
      <c r="BB303" s="430">
        <f>PI()*BA303/1000*( Pile!$C$52- Pile!$C303)</f>
        <v>1.4137166941153936</v>
      </c>
      <c r="BC303" s="382">
        <f t="shared" si="252"/>
        <v>0.44178646691106466</v>
      </c>
      <c r="BD303" s="382">
        <f t="shared" si="294"/>
        <v>141.37166941153936</v>
      </c>
      <c r="BE303" s="382">
        <f>BB303* Pile!$S$52</f>
        <v>141.37166941153936</v>
      </c>
      <c r="BF303" s="382">
        <f t="shared" si="300"/>
        <v>141.37166941153936</v>
      </c>
      <c r="BG303" s="382">
        <f>IF(BF303&gt;0,+BF303)/ 'Pile Data and Eurocode Factors'!$B$14/ 'Pile Data and Eurocode Factors'!$B$15+BG$301</f>
        <v>7719.7694238122704</v>
      </c>
      <c r="BH303" s="382">
        <f t="shared" si="307"/>
        <v>441.78646691106468</v>
      </c>
      <c r="BI303" s="382">
        <f>BC303* Pile!$U$52</f>
        <v>0</v>
      </c>
      <c r="BJ303" s="382">
        <f t="shared" si="253"/>
        <v>441.78646691106468</v>
      </c>
      <c r="BK303" s="382">
        <f>BJ303/ 'Pile Data and Eurocode Factors'!$C$14/ 'Pile Data and Eurocode Factors'!$C$15</f>
        <v>157.78088103966596</v>
      </c>
      <c r="BL303" s="382">
        <f t="shared" si="254"/>
        <v>7877.5503048519367</v>
      </c>
      <c r="BM303" s="382">
        <f>VLOOKUP(BA303, 'Pile Data and Eurocode Factors'!$A$34:$J$39,3, FALSE)</f>
        <v>6572.7116301410997</v>
      </c>
      <c r="BN303" s="403">
        <f t="shared" si="255"/>
        <v>6572.7116301410997</v>
      </c>
      <c r="BO303" s="419">
        <v>900</v>
      </c>
      <c r="BP303" s="430">
        <f>PI()*BO303/1000*( Pile!$C$52- Pile!$C303)</f>
        <v>1.6964600329384723</v>
      </c>
      <c r="BQ303" s="382">
        <f t="shared" si="256"/>
        <v>0.63617251235193317</v>
      </c>
      <c r="BR303" s="382">
        <f t="shared" si="295"/>
        <v>169.64600329384723</v>
      </c>
      <c r="BS303" s="382">
        <f>BP303* Pile!$S$52</f>
        <v>169.64600329384723</v>
      </c>
      <c r="BT303" s="382">
        <f t="shared" si="301"/>
        <v>169.64600329384723</v>
      </c>
      <c r="BU303" s="382">
        <f>IF(BT303&gt;0,+BT303)/ 'Pile Data and Eurocode Factors'!$B$14/ 'Pile Data and Eurocode Factors'!$B$15+BU$301</f>
        <v>9263.723308574723</v>
      </c>
      <c r="BV303" s="382">
        <f t="shared" si="308"/>
        <v>636.17251235193316</v>
      </c>
      <c r="BW303" s="382">
        <f>BQ303* Pile!$U$52</f>
        <v>0</v>
      </c>
      <c r="BX303" s="382">
        <f t="shared" si="257"/>
        <v>636.17251235193316</v>
      </c>
      <c r="BY303" s="382">
        <f>BX303/ 'Pile Data and Eurocode Factors'!$C$14/ 'Pile Data and Eurocode Factors'!$C$15</f>
        <v>227.20446869711901</v>
      </c>
      <c r="BZ303" s="382">
        <f t="shared" si="258"/>
        <v>9490.9277772718415</v>
      </c>
      <c r="CA303" s="382">
        <f>VLOOKUP(BO303, 'Pile Data and Eurocode Factors'!$A$34:$J$39,3, FALSE)</f>
        <v>9464.7047474031824</v>
      </c>
      <c r="CB303" s="403">
        <f t="shared" si="259"/>
        <v>9464.7047474031824</v>
      </c>
      <c r="CC303" s="419">
        <v>1050</v>
      </c>
      <c r="CD303" s="430">
        <f>PI()*CC303/1000*( Pile!$C$52- Pile!$C303)</f>
        <v>1.9792033717615509</v>
      </c>
      <c r="CE303" s="382">
        <f t="shared" si="260"/>
        <v>0.86590147514568672</v>
      </c>
      <c r="CF303" s="382">
        <f t="shared" si="296"/>
        <v>197.9203371761551</v>
      </c>
      <c r="CG303" s="382">
        <f>CD303* Pile!$S$52</f>
        <v>197.9203371761551</v>
      </c>
      <c r="CH303" s="382">
        <f t="shared" si="302"/>
        <v>197.9203371761551</v>
      </c>
      <c r="CI303" s="382">
        <f>IF(CH303&gt;0,+CH303)/ 'Pile Data and Eurocode Factors'!$B$14/ 'Pile Data and Eurocode Factors'!$B$15+CI$301</f>
        <v>10807.67719333718</v>
      </c>
      <c r="CJ303" s="382">
        <f t="shared" si="309"/>
        <v>865.90147514568673</v>
      </c>
      <c r="CK303" s="382">
        <f>CE303* Pile!$U$52</f>
        <v>0</v>
      </c>
      <c r="CL303" s="382">
        <f t="shared" si="261"/>
        <v>865.90147514568673</v>
      </c>
      <c r="CM303" s="382">
        <f>CL303/ 'Pile Data and Eurocode Factors'!$C$14/ 'Pile Data and Eurocode Factors'!$C$15</f>
        <v>309.25052683774527</v>
      </c>
      <c r="CN303" s="382">
        <f t="shared" si="262"/>
        <v>11116.927720174925</v>
      </c>
      <c r="CO303" s="382">
        <f>VLOOKUP(CC303, 'Pile Data and Eurocode Factors'!$A$34:$J$39,3, FALSE)</f>
        <v>12882.514795076555</v>
      </c>
      <c r="CP303" s="403">
        <f t="shared" si="263"/>
        <v>11116.927720174925</v>
      </c>
      <c r="CQ303" s="419">
        <v>1200</v>
      </c>
      <c r="CR303" s="430">
        <f>PI()*CQ303/1000*( Pile!$C$52- Pile!$C303)</f>
        <v>2.2619467105846298</v>
      </c>
      <c r="CS303" s="382">
        <f t="shared" si="264"/>
        <v>1.1309733552923256</v>
      </c>
      <c r="CT303" s="382">
        <f t="shared" si="297"/>
        <v>226.19467105846297</v>
      </c>
      <c r="CU303" s="382">
        <f>CR303* Pile!$S$52</f>
        <v>226.19467105846297</v>
      </c>
      <c r="CV303" s="382">
        <f t="shared" si="303"/>
        <v>226.19467105846297</v>
      </c>
      <c r="CW303" s="382">
        <f>IF(CV303&gt;0,+CV303)/ 'Pile Data and Eurocode Factors'!$B$14/ 'Pile Data and Eurocode Factors'!$B$15+CW$301</f>
        <v>12351.631078099634</v>
      </c>
      <c r="CX303" s="382">
        <f t="shared" si="310"/>
        <v>1130.9733552923256</v>
      </c>
      <c r="CY303" s="382">
        <f>CS303* Pile!$U$52</f>
        <v>0</v>
      </c>
      <c r="CZ303" s="382">
        <f t="shared" si="265"/>
        <v>1130.9733552923256</v>
      </c>
      <c r="DA303" s="382">
        <f>CZ303/ 'Pile Data and Eurocode Factors'!$C$14/ 'Pile Data and Eurocode Factors'!$C$15</f>
        <v>403.91905546154487</v>
      </c>
      <c r="DB303" s="382">
        <f t="shared" si="266"/>
        <v>12755.550133561179</v>
      </c>
      <c r="DC303" s="382">
        <f>VLOOKUP(CQ303, 'Pile Data and Eurocode Factors'!$A$34:$J$39,3, FALSE)</f>
        <v>16826.141773161216</v>
      </c>
      <c r="DD303" s="403">
        <f t="shared" si="267"/>
        <v>12755.550133561179</v>
      </c>
      <c r="DE303" s="420">
        <f xml:space="preserve"> Pile!$C$23- Pile!C303</f>
        <v>42.599999999999994</v>
      </c>
      <c r="DG303" s="382">
        <f t="shared" si="268"/>
        <v>2366.1761868507956</v>
      </c>
      <c r="DH303" s="382">
        <f t="shared" si="269"/>
        <v>4206.5354432903041</v>
      </c>
      <c r="DI303" s="382">
        <f t="shared" si="270"/>
        <v>6572.7116301410997</v>
      </c>
      <c r="DJ303" s="382">
        <f t="shared" si="271"/>
        <v>9464.7047474031824</v>
      </c>
      <c r="DK303" s="382">
        <f t="shared" si="272"/>
        <v>11116.927720174925</v>
      </c>
      <c r="DL303" s="382">
        <f t="shared" si="291"/>
        <v>12755.550133561179</v>
      </c>
    </row>
    <row r="304" spans="2:116" s="308" customFormat="1" ht="15">
      <c r="B304" s="400">
        <v>3</v>
      </c>
      <c r="C304" s="401">
        <f>+C303- Pile!D$52/20</f>
        <v>-36.899999999999991</v>
      </c>
      <c r="D304" s="415" t="str">
        <f>B26</f>
        <v>Medium Density Chalk</v>
      </c>
      <c r="E304" s="415" t="str">
        <f>F26</f>
        <v>Chalk</v>
      </c>
      <c r="F304" s="401">
        <f xml:space="preserve"> Pile!$E$52*( Pile!$C$52- Pile!C304)+$F$301</f>
        <v>813.2098125</v>
      </c>
      <c r="G304" s="401">
        <f>IF(C304&gt; Pile!$C$54,0,( Pile!$C$54-C304)*9.81)</f>
        <v>214.83899999999991</v>
      </c>
      <c r="H304" s="401">
        <f t="shared" si="238"/>
        <v>598.37081250000006</v>
      </c>
      <c r="I304" s="401">
        <f t="shared" si="312"/>
        <v>593.68040625000015</v>
      </c>
      <c r="J304" s="401">
        <f>IF(E304="Cohesive",(( Pile!$H$52- Pile!$G$52)/20)+J303,0)</f>
        <v>0</v>
      </c>
      <c r="K304" s="401">
        <f>IF(E304="Cohesive",( Pile!$G$52+ Pile!$J304)/2,0)</f>
        <v>0</v>
      </c>
      <c r="L304" s="401" t="str">
        <f>IF( Pile!I$52="",0, Pile!I$52)</f>
        <v>0</v>
      </c>
      <c r="M304" s="401" t="str">
        <f>IF( Pile!J$52="",0, Pile!J$52)</f>
        <v>0</v>
      </c>
      <c r="N304" s="401">
        <f>IF(E304="Granular", Pile!$K$52,0)</f>
        <v>0</v>
      </c>
      <c r="O304" s="416">
        <f>IF(AND(E304="Granular",D304&lt;&gt;"Made Ground"), Pile!$L$52,0)</f>
        <v>0</v>
      </c>
      <c r="P304" s="401">
        <f>IF(OR(D304="Low Density Chalk",D304="Medium Density Chalk"), Pile!$M$52,0)</f>
        <v>0.45</v>
      </c>
      <c r="Q304" s="417">
        <f>IF(D304="High Density Chalk", Pile!$N$52,0)</f>
        <v>0</v>
      </c>
      <c r="R304" s="401">
        <f>IF( Pile!O$52="",0, Pile!O$52)</f>
        <v>6000</v>
      </c>
      <c r="S304" s="418">
        <f t="shared" si="240"/>
        <v>267.15618281250005</v>
      </c>
      <c r="T304" s="382">
        <f xml:space="preserve"> Pile!$T$52</f>
        <v>100</v>
      </c>
      <c r="U304" s="382">
        <f t="shared" si="241"/>
        <v>100</v>
      </c>
      <c r="V304" s="382">
        <f t="shared" si="242"/>
        <v>6000</v>
      </c>
      <c r="W304" s="382">
        <f xml:space="preserve"> Pile!$V$52</f>
        <v>1000</v>
      </c>
      <c r="X304" s="382">
        <f t="shared" si="243"/>
        <v>1000</v>
      </c>
      <c r="Y304" s="419">
        <v>450</v>
      </c>
      <c r="Z304" s="430">
        <f>PI()*Y304/1000*( Pile!$C$52- Pile!$C304)</f>
        <v>1.2723450247038541</v>
      </c>
      <c r="AA304" s="382">
        <f t="shared" si="244"/>
        <v>0.15904312808798329</v>
      </c>
      <c r="AB304" s="382">
        <f t="shared" si="292"/>
        <v>127.23450247038541</v>
      </c>
      <c r="AC304" s="382">
        <f>Z304* Pile!$S$52</f>
        <v>127.23450247038541</v>
      </c>
      <c r="AD304" s="382">
        <f t="shared" si="298"/>
        <v>127.23450247038541</v>
      </c>
      <c r="AE304" s="382">
        <f>IF(AD304&gt;0,+AD304)/ 'Pile Data and Eurocode Factors'!$B$14/ 'Pile Data and Eurocode Factors'!$B$15+AE$301</f>
        <v>4650.7953600121209</v>
      </c>
      <c r="AF304" s="382">
        <f t="shared" si="305"/>
        <v>159.04312808798329</v>
      </c>
      <c r="AG304" s="382">
        <f>AA304* Pile!$U$52</f>
        <v>0</v>
      </c>
      <c r="AH304" s="382">
        <f t="shared" si="245"/>
        <v>159.04312808798329</v>
      </c>
      <c r="AI304" s="382">
        <f>AH304/ 'Pile Data and Eurocode Factors'!$C$14/ 'Pile Data and Eurocode Factors'!$C$15</f>
        <v>56.801117174279753</v>
      </c>
      <c r="AJ304" s="382">
        <f t="shared" si="246"/>
        <v>4707.596477186401</v>
      </c>
      <c r="AK304" s="382">
        <f>VLOOKUP(Y304, 'Pile Data and Eurocode Factors'!$A$34:$J$39,3, FALSE)</f>
        <v>2366.1761868507956</v>
      </c>
      <c r="AL304" s="403">
        <f t="shared" si="247"/>
        <v>2366.1761868507956</v>
      </c>
      <c r="AM304" s="419">
        <v>600</v>
      </c>
      <c r="AN304" s="430">
        <f>PI()*AM304/1000*( Pile!$C$52- Pile!$C304)</f>
        <v>1.6964600329384723</v>
      </c>
      <c r="AO304" s="382">
        <f t="shared" si="248"/>
        <v>0.28274333882308139</v>
      </c>
      <c r="AP304" s="382">
        <f t="shared" si="293"/>
        <v>169.64600329384723</v>
      </c>
      <c r="AQ304" s="382">
        <f>AN304* Pile!$S$52</f>
        <v>169.64600329384723</v>
      </c>
      <c r="AR304" s="382">
        <f t="shared" si="299"/>
        <v>169.64600329384723</v>
      </c>
      <c r="AS304" s="382">
        <f>IF(AR304&gt;0,+AR304)/ 'Pile Data and Eurocode Factors'!$B$14/ 'Pile Data and Eurocode Factors'!$B$15+AS$301</f>
        <v>6201.0604800161627</v>
      </c>
      <c r="AT304" s="382">
        <f t="shared" si="306"/>
        <v>282.74333882308139</v>
      </c>
      <c r="AU304" s="382">
        <f>AO304* Pile!$U$52</f>
        <v>0</v>
      </c>
      <c r="AV304" s="382">
        <f t="shared" si="249"/>
        <v>282.74333882308139</v>
      </c>
      <c r="AW304" s="382">
        <f>AV304/ 'Pile Data and Eurocode Factors'!$C$14/ 'Pile Data and Eurocode Factors'!$C$15</f>
        <v>100.97976386538622</v>
      </c>
      <c r="AX304" s="382">
        <f t="shared" si="250"/>
        <v>6302.040243881549</v>
      </c>
      <c r="AY304" s="382">
        <f>VLOOKUP(AM304, 'Pile Data and Eurocode Factors'!$A$34:$J$39,3, FALSE)</f>
        <v>4206.5354432903041</v>
      </c>
      <c r="AZ304" s="403">
        <f t="shared" si="251"/>
        <v>4206.5354432903041</v>
      </c>
      <c r="BA304" s="419">
        <v>750</v>
      </c>
      <c r="BB304" s="430">
        <f>PI()*BA304/1000*( Pile!$C$52- Pile!$C304)</f>
        <v>2.1205750411730904</v>
      </c>
      <c r="BC304" s="382">
        <f t="shared" si="252"/>
        <v>0.44178646691106466</v>
      </c>
      <c r="BD304" s="382">
        <f t="shared" si="294"/>
        <v>212.05750411730904</v>
      </c>
      <c r="BE304" s="382">
        <f>BB304* Pile!$S$52</f>
        <v>212.05750411730904</v>
      </c>
      <c r="BF304" s="382">
        <f t="shared" si="300"/>
        <v>212.05750411730904</v>
      </c>
      <c r="BG304" s="382">
        <f>IF(BF304&gt;0,+BF304)/ 'Pile Data and Eurocode Factors'!$B$14/ 'Pile Data and Eurocode Factors'!$B$15+BG$301</f>
        <v>7751.3256000202036</v>
      </c>
      <c r="BH304" s="382">
        <f t="shared" si="307"/>
        <v>441.78646691106468</v>
      </c>
      <c r="BI304" s="382">
        <f>BC304* Pile!$U$52</f>
        <v>0</v>
      </c>
      <c r="BJ304" s="382">
        <f t="shared" si="253"/>
        <v>441.78646691106468</v>
      </c>
      <c r="BK304" s="382">
        <f>BJ304/ 'Pile Data and Eurocode Factors'!$C$14/ 'Pile Data and Eurocode Factors'!$C$15</f>
        <v>157.78088103966596</v>
      </c>
      <c r="BL304" s="382">
        <f t="shared" si="254"/>
        <v>7909.10648105987</v>
      </c>
      <c r="BM304" s="382">
        <f>VLOOKUP(BA304, 'Pile Data and Eurocode Factors'!$A$34:$J$39,3, FALSE)</f>
        <v>6572.7116301410997</v>
      </c>
      <c r="BN304" s="403">
        <f t="shared" si="255"/>
        <v>6572.7116301410997</v>
      </c>
      <c r="BO304" s="419">
        <v>900</v>
      </c>
      <c r="BP304" s="430">
        <f>PI()*BO304/1000*( Pile!$C$52- Pile!$C304)</f>
        <v>2.5446900494077083</v>
      </c>
      <c r="BQ304" s="382">
        <f t="shared" si="256"/>
        <v>0.63617251235193317</v>
      </c>
      <c r="BR304" s="382">
        <f t="shared" si="295"/>
        <v>254.46900494077082</v>
      </c>
      <c r="BS304" s="382">
        <f>BP304* Pile!$S$52</f>
        <v>254.46900494077082</v>
      </c>
      <c r="BT304" s="382">
        <f t="shared" si="301"/>
        <v>254.46900494077082</v>
      </c>
      <c r="BU304" s="382">
        <f>IF(BT304&gt;0,+BT304)/ 'Pile Data and Eurocode Factors'!$B$14/ 'Pile Data and Eurocode Factors'!$B$15+BU$301</f>
        <v>9301.5907200242418</v>
      </c>
      <c r="BV304" s="382">
        <f t="shared" si="308"/>
        <v>636.17251235193316</v>
      </c>
      <c r="BW304" s="382">
        <f>BQ304* Pile!$U$52</f>
        <v>0</v>
      </c>
      <c r="BX304" s="382">
        <f t="shared" si="257"/>
        <v>636.17251235193316</v>
      </c>
      <c r="BY304" s="382">
        <f>BX304/ 'Pile Data and Eurocode Factors'!$C$14/ 'Pile Data and Eurocode Factors'!$C$15</f>
        <v>227.20446869711901</v>
      </c>
      <c r="BZ304" s="382">
        <f t="shared" si="258"/>
        <v>9528.7951887213603</v>
      </c>
      <c r="CA304" s="382">
        <f>VLOOKUP(BO304, 'Pile Data and Eurocode Factors'!$A$34:$J$39,3, FALSE)</f>
        <v>9464.7047474031824</v>
      </c>
      <c r="CB304" s="403">
        <f t="shared" si="259"/>
        <v>9464.7047474031824</v>
      </c>
      <c r="CC304" s="419">
        <v>1050</v>
      </c>
      <c r="CD304" s="430">
        <f>PI()*CC304/1000*( Pile!$C$52- Pile!$C304)</f>
        <v>2.9688050576423262</v>
      </c>
      <c r="CE304" s="382">
        <f t="shared" si="260"/>
        <v>0.86590147514568672</v>
      </c>
      <c r="CF304" s="382">
        <f t="shared" si="296"/>
        <v>296.88050576423262</v>
      </c>
      <c r="CG304" s="382">
        <f>CD304* Pile!$S$52</f>
        <v>296.88050576423262</v>
      </c>
      <c r="CH304" s="382">
        <f t="shared" si="302"/>
        <v>296.88050576423262</v>
      </c>
      <c r="CI304" s="382">
        <f>IF(CH304&gt;0,+CH304)/ 'Pile Data and Eurocode Factors'!$B$14/ 'Pile Data and Eurocode Factors'!$B$15+CI$301</f>
        <v>10851.855840028285</v>
      </c>
      <c r="CJ304" s="382">
        <f t="shared" si="309"/>
        <v>865.90147514568673</v>
      </c>
      <c r="CK304" s="382">
        <f>CE304* Pile!$U$52</f>
        <v>0</v>
      </c>
      <c r="CL304" s="382">
        <f t="shared" si="261"/>
        <v>865.90147514568673</v>
      </c>
      <c r="CM304" s="382">
        <f>CL304/ 'Pile Data and Eurocode Factors'!$C$14/ 'Pile Data and Eurocode Factors'!$C$15</f>
        <v>309.25052683774527</v>
      </c>
      <c r="CN304" s="382">
        <f t="shared" si="262"/>
        <v>11161.10636686603</v>
      </c>
      <c r="CO304" s="382">
        <f>VLOOKUP(CC304, 'Pile Data and Eurocode Factors'!$A$34:$J$39,3, FALSE)</f>
        <v>12882.514795076555</v>
      </c>
      <c r="CP304" s="403">
        <f t="shared" si="263"/>
        <v>11161.10636686603</v>
      </c>
      <c r="CQ304" s="419">
        <v>1200</v>
      </c>
      <c r="CR304" s="430">
        <f>PI()*CQ304/1000*( Pile!$C$52- Pile!$C304)</f>
        <v>3.3929200658769445</v>
      </c>
      <c r="CS304" s="382">
        <f t="shared" si="264"/>
        <v>1.1309733552923256</v>
      </c>
      <c r="CT304" s="382">
        <f t="shared" si="297"/>
        <v>339.29200658769446</v>
      </c>
      <c r="CU304" s="382">
        <f>CR304* Pile!$S$52</f>
        <v>339.29200658769446</v>
      </c>
      <c r="CV304" s="382">
        <f t="shared" si="303"/>
        <v>339.29200658769446</v>
      </c>
      <c r="CW304" s="382">
        <f>IF(CV304&gt;0,+CV304)/ 'Pile Data and Eurocode Factors'!$B$14/ 'Pile Data and Eurocode Factors'!$B$15+CW$301</f>
        <v>12402.120960032325</v>
      </c>
      <c r="CX304" s="382">
        <f t="shared" si="310"/>
        <v>1130.9733552923256</v>
      </c>
      <c r="CY304" s="382">
        <f>CS304* Pile!$U$52</f>
        <v>0</v>
      </c>
      <c r="CZ304" s="382">
        <f t="shared" si="265"/>
        <v>1130.9733552923256</v>
      </c>
      <c r="DA304" s="382">
        <f>CZ304/ 'Pile Data and Eurocode Factors'!$C$14/ 'Pile Data and Eurocode Factors'!$C$15</f>
        <v>403.91905546154487</v>
      </c>
      <c r="DB304" s="382">
        <f t="shared" si="266"/>
        <v>12806.040015493871</v>
      </c>
      <c r="DC304" s="382">
        <f>VLOOKUP(CQ304, 'Pile Data and Eurocode Factors'!$A$34:$J$39,3, FALSE)</f>
        <v>16826.141773161216</v>
      </c>
      <c r="DD304" s="403">
        <f t="shared" si="267"/>
        <v>12806.040015493871</v>
      </c>
      <c r="DE304" s="420">
        <f xml:space="preserve"> Pile!$C$23- Pile!C304</f>
        <v>42.899999999999991</v>
      </c>
      <c r="DG304" s="382">
        <f t="shared" si="268"/>
        <v>2366.1761868507956</v>
      </c>
      <c r="DH304" s="382">
        <f t="shared" si="269"/>
        <v>4206.5354432903041</v>
      </c>
      <c r="DI304" s="382">
        <f t="shared" si="270"/>
        <v>6572.7116301410997</v>
      </c>
      <c r="DJ304" s="382">
        <f t="shared" si="271"/>
        <v>9464.7047474031824</v>
      </c>
      <c r="DK304" s="382">
        <f t="shared" si="272"/>
        <v>11161.10636686603</v>
      </c>
      <c r="DL304" s="382">
        <f t="shared" si="291"/>
        <v>12806.040015493871</v>
      </c>
    </row>
    <row r="305" spans="2:116" s="308" customFormat="1" ht="15">
      <c r="B305" s="400">
        <v>4</v>
      </c>
      <c r="C305" s="401">
        <f>+C304- Pile!D$52/20</f>
        <v>-37.199999999999989</v>
      </c>
      <c r="D305" s="415" t="str">
        <f>B26</f>
        <v>Medium Density Chalk</v>
      </c>
      <c r="E305" s="415" t="str">
        <f>F26</f>
        <v>Chalk</v>
      </c>
      <c r="F305" s="401">
        <f xml:space="preserve"> Pile!$E$52*( Pile!$C$52- Pile!C305)+$F$301</f>
        <v>819.27975000000004</v>
      </c>
      <c r="G305" s="401">
        <f>IF(C305&gt; Pile!$C$54,0,( Pile!$C$54-C305)*9.81)</f>
        <v>217.7819999999999</v>
      </c>
      <c r="H305" s="401">
        <f t="shared" si="238"/>
        <v>601.49775000000011</v>
      </c>
      <c r="I305" s="401">
        <f t="shared" si="312"/>
        <v>595.24387500000012</v>
      </c>
      <c r="J305" s="401">
        <f>IF(E305="Cohesive",(( Pile!$H$52- Pile!$G$52)/20)+J304,0)</f>
        <v>0</v>
      </c>
      <c r="K305" s="401">
        <f>IF(E305="Cohesive",( Pile!$G$52+ Pile!$J305)/2,0)</f>
        <v>0</v>
      </c>
      <c r="L305" s="401" t="str">
        <f>IF( Pile!I$52="",0, Pile!I$52)</f>
        <v>0</v>
      </c>
      <c r="M305" s="401" t="str">
        <f>IF( Pile!J$52="",0, Pile!J$52)</f>
        <v>0</v>
      </c>
      <c r="N305" s="401">
        <f>IF(E305="Granular", Pile!$K$52,0)</f>
        <v>0</v>
      </c>
      <c r="O305" s="416">
        <f>IF(AND(E305="Granular",D305&lt;&gt;"Made Ground"), Pile!$L$52,0)</f>
        <v>0</v>
      </c>
      <c r="P305" s="401">
        <f>IF(OR(D305="Low Density Chalk",D305="Medium Density Chalk"), Pile!$M$52,0)</f>
        <v>0.45</v>
      </c>
      <c r="Q305" s="417">
        <f>IF(D305="High Density Chalk", Pile!$N$52,0)</f>
        <v>0</v>
      </c>
      <c r="R305" s="401">
        <f>IF( Pile!O$52="",0, Pile!O$52)</f>
        <v>6000</v>
      </c>
      <c r="S305" s="418">
        <f t="shared" si="240"/>
        <v>267.85974375000006</v>
      </c>
      <c r="T305" s="382">
        <f xml:space="preserve"> Pile!$T$52</f>
        <v>100</v>
      </c>
      <c r="U305" s="382">
        <f t="shared" si="241"/>
        <v>100</v>
      </c>
      <c r="V305" s="382">
        <f t="shared" si="242"/>
        <v>6000</v>
      </c>
      <c r="W305" s="382">
        <f xml:space="preserve"> Pile!$V$52</f>
        <v>1000</v>
      </c>
      <c r="X305" s="382">
        <f t="shared" si="243"/>
        <v>1000</v>
      </c>
      <c r="Y305" s="419">
        <v>450</v>
      </c>
      <c r="Z305" s="430">
        <f>PI()*Y305/1000*( Pile!$C$52- Pile!$C305)</f>
        <v>1.6964600329384723</v>
      </c>
      <c r="AA305" s="382">
        <f t="shared" si="244"/>
        <v>0.15904312808798329</v>
      </c>
      <c r="AB305" s="382">
        <f t="shared" si="292"/>
        <v>169.64600329384723</v>
      </c>
      <c r="AC305" s="382">
        <f>Z305* Pile!$S$52</f>
        <v>169.64600329384723</v>
      </c>
      <c r="AD305" s="382">
        <f t="shared" si="298"/>
        <v>169.64600329384723</v>
      </c>
      <c r="AE305" s="382">
        <f>IF(AD305&gt;0,+AD305)/ 'Pile Data and Eurocode Factors'!$B$14/ 'Pile Data and Eurocode Factors'!$B$15+AE$301</f>
        <v>4669.7290657368803</v>
      </c>
      <c r="AF305" s="382">
        <f t="shared" si="305"/>
        <v>159.04312808798329</v>
      </c>
      <c r="AG305" s="382">
        <f>AA305* Pile!$U$52</f>
        <v>0</v>
      </c>
      <c r="AH305" s="382">
        <f t="shared" si="245"/>
        <v>159.04312808798329</v>
      </c>
      <c r="AI305" s="382">
        <f>AH305/ 'Pile Data and Eurocode Factors'!$C$14/ 'Pile Data and Eurocode Factors'!$C$15</f>
        <v>56.801117174279753</v>
      </c>
      <c r="AJ305" s="382">
        <f t="shared" si="246"/>
        <v>4726.5301829111604</v>
      </c>
      <c r="AK305" s="382">
        <f>VLOOKUP(Y305, 'Pile Data and Eurocode Factors'!$A$34:$J$39,3, FALSE)</f>
        <v>2366.1761868507956</v>
      </c>
      <c r="AL305" s="403">
        <f t="shared" si="247"/>
        <v>2366.1761868507956</v>
      </c>
      <c r="AM305" s="419">
        <v>600</v>
      </c>
      <c r="AN305" s="430">
        <f>PI()*AM305/1000*( Pile!$C$52- Pile!$C305)</f>
        <v>2.2619467105846298</v>
      </c>
      <c r="AO305" s="382">
        <f t="shared" si="248"/>
        <v>0.28274333882308139</v>
      </c>
      <c r="AP305" s="382">
        <f t="shared" si="293"/>
        <v>226.19467105846297</v>
      </c>
      <c r="AQ305" s="382">
        <f>AN305* Pile!$S$52</f>
        <v>226.19467105846297</v>
      </c>
      <c r="AR305" s="382">
        <f t="shared" si="299"/>
        <v>226.19467105846297</v>
      </c>
      <c r="AS305" s="382">
        <f>IF(AR305&gt;0,+AR305)/ 'Pile Data and Eurocode Factors'!$B$14/ 'Pile Data and Eurocode Factors'!$B$15+AS$301</f>
        <v>6226.3054209825095</v>
      </c>
      <c r="AT305" s="382">
        <f t="shared" si="306"/>
        <v>282.74333882308139</v>
      </c>
      <c r="AU305" s="382">
        <f>AO305* Pile!$U$52</f>
        <v>0</v>
      </c>
      <c r="AV305" s="382">
        <f t="shared" si="249"/>
        <v>282.74333882308139</v>
      </c>
      <c r="AW305" s="382">
        <f>AV305/ 'Pile Data and Eurocode Factors'!$C$14/ 'Pile Data and Eurocode Factors'!$C$15</f>
        <v>100.97976386538622</v>
      </c>
      <c r="AX305" s="382">
        <f t="shared" si="250"/>
        <v>6327.2851848478958</v>
      </c>
      <c r="AY305" s="382">
        <f>VLOOKUP(AM305, 'Pile Data and Eurocode Factors'!$A$34:$J$39,3, FALSE)</f>
        <v>4206.5354432903041</v>
      </c>
      <c r="AZ305" s="403">
        <f t="shared" si="251"/>
        <v>4206.5354432903041</v>
      </c>
      <c r="BA305" s="419">
        <v>750</v>
      </c>
      <c r="BB305" s="430">
        <f>PI()*BA305/1000*( Pile!$C$52- Pile!$C305)</f>
        <v>2.8274333882307872</v>
      </c>
      <c r="BC305" s="382">
        <f t="shared" si="252"/>
        <v>0.44178646691106466</v>
      </c>
      <c r="BD305" s="382">
        <f t="shared" si="294"/>
        <v>282.74333882307872</v>
      </c>
      <c r="BE305" s="382">
        <f>BB305* Pile!$S$52</f>
        <v>282.74333882307872</v>
      </c>
      <c r="BF305" s="382">
        <f t="shared" si="300"/>
        <v>282.74333882307872</v>
      </c>
      <c r="BG305" s="382">
        <f>IF(BF305&gt;0,+BF305)/ 'Pile Data and Eurocode Factors'!$B$14/ 'Pile Data and Eurocode Factors'!$B$15+BG$301</f>
        <v>7782.881776228136</v>
      </c>
      <c r="BH305" s="382">
        <f t="shared" si="307"/>
        <v>441.78646691106468</v>
      </c>
      <c r="BI305" s="382">
        <f>BC305* Pile!$U$52</f>
        <v>0</v>
      </c>
      <c r="BJ305" s="382">
        <f t="shared" si="253"/>
        <v>441.78646691106468</v>
      </c>
      <c r="BK305" s="382">
        <f>BJ305/ 'Pile Data and Eurocode Factors'!$C$14/ 'Pile Data and Eurocode Factors'!$C$15</f>
        <v>157.78088103966596</v>
      </c>
      <c r="BL305" s="382">
        <f t="shared" si="254"/>
        <v>7940.6626572678024</v>
      </c>
      <c r="BM305" s="382">
        <f>VLOOKUP(BA305, 'Pile Data and Eurocode Factors'!$A$34:$J$39,3, FALSE)</f>
        <v>6572.7116301410997</v>
      </c>
      <c r="BN305" s="403">
        <f t="shared" si="255"/>
        <v>6572.7116301410997</v>
      </c>
      <c r="BO305" s="419">
        <v>900</v>
      </c>
      <c r="BP305" s="430">
        <f>PI()*BO305/1000*( Pile!$C$52- Pile!$C305)</f>
        <v>3.3929200658769445</v>
      </c>
      <c r="BQ305" s="382">
        <f t="shared" si="256"/>
        <v>0.63617251235193317</v>
      </c>
      <c r="BR305" s="382">
        <f t="shared" si="295"/>
        <v>339.29200658769446</v>
      </c>
      <c r="BS305" s="382">
        <f>BP305* Pile!$S$52</f>
        <v>339.29200658769446</v>
      </c>
      <c r="BT305" s="382">
        <f t="shared" si="301"/>
        <v>339.29200658769446</v>
      </c>
      <c r="BU305" s="382">
        <f>IF(BT305&gt;0,+BT305)/ 'Pile Data and Eurocode Factors'!$B$14/ 'Pile Data and Eurocode Factors'!$B$15+BU$301</f>
        <v>9339.4581314737607</v>
      </c>
      <c r="BV305" s="382">
        <f t="shared" si="308"/>
        <v>636.17251235193316</v>
      </c>
      <c r="BW305" s="382">
        <f>BQ305* Pile!$U$52</f>
        <v>0</v>
      </c>
      <c r="BX305" s="382">
        <f t="shared" si="257"/>
        <v>636.17251235193316</v>
      </c>
      <c r="BY305" s="382">
        <f>BX305/ 'Pile Data and Eurocode Factors'!$C$14/ 'Pile Data and Eurocode Factors'!$C$15</f>
        <v>227.20446869711901</v>
      </c>
      <c r="BZ305" s="382">
        <f t="shared" si="258"/>
        <v>9566.6626001708792</v>
      </c>
      <c r="CA305" s="382">
        <f>VLOOKUP(BO305, 'Pile Data and Eurocode Factors'!$A$34:$J$39,3, FALSE)</f>
        <v>9464.7047474031824</v>
      </c>
      <c r="CB305" s="403">
        <f t="shared" si="259"/>
        <v>9464.7047474031824</v>
      </c>
      <c r="CC305" s="419">
        <v>1050</v>
      </c>
      <c r="CD305" s="430">
        <f>PI()*CC305/1000*( Pile!$C$52- Pile!$C305)</f>
        <v>3.9584067435231018</v>
      </c>
      <c r="CE305" s="382">
        <f t="shared" si="260"/>
        <v>0.86590147514568672</v>
      </c>
      <c r="CF305" s="382">
        <f t="shared" si="296"/>
        <v>395.8406743523102</v>
      </c>
      <c r="CG305" s="382">
        <f>CD305* Pile!$S$52</f>
        <v>395.8406743523102</v>
      </c>
      <c r="CH305" s="382">
        <f t="shared" si="302"/>
        <v>395.8406743523102</v>
      </c>
      <c r="CI305" s="382">
        <f>IF(CH305&gt;0,+CH305)/ 'Pile Data and Eurocode Factors'!$B$14/ 'Pile Data and Eurocode Factors'!$B$15+CI$301</f>
        <v>10896.034486719393</v>
      </c>
      <c r="CJ305" s="382">
        <f t="shared" si="309"/>
        <v>865.90147514568673</v>
      </c>
      <c r="CK305" s="382">
        <f>CE305* Pile!$U$52</f>
        <v>0</v>
      </c>
      <c r="CL305" s="382">
        <f t="shared" si="261"/>
        <v>865.90147514568673</v>
      </c>
      <c r="CM305" s="382">
        <f>CL305/ 'Pile Data and Eurocode Factors'!$C$14/ 'Pile Data and Eurocode Factors'!$C$15</f>
        <v>309.25052683774527</v>
      </c>
      <c r="CN305" s="382">
        <f t="shared" si="262"/>
        <v>11205.285013557137</v>
      </c>
      <c r="CO305" s="382">
        <f>VLOOKUP(CC305, 'Pile Data and Eurocode Factors'!$A$34:$J$39,3, FALSE)</f>
        <v>12882.514795076555</v>
      </c>
      <c r="CP305" s="403">
        <f t="shared" si="263"/>
        <v>11205.285013557137</v>
      </c>
      <c r="CQ305" s="419">
        <v>1200</v>
      </c>
      <c r="CR305" s="430">
        <f>PI()*CQ305/1000*( Pile!$C$52- Pile!$C305)</f>
        <v>4.5238934211692596</v>
      </c>
      <c r="CS305" s="382">
        <f t="shared" si="264"/>
        <v>1.1309733552923256</v>
      </c>
      <c r="CT305" s="382">
        <f t="shared" si="297"/>
        <v>452.38934211692595</v>
      </c>
      <c r="CU305" s="382">
        <f>CR305* Pile!$S$52</f>
        <v>452.38934211692595</v>
      </c>
      <c r="CV305" s="382">
        <f t="shared" si="303"/>
        <v>452.38934211692595</v>
      </c>
      <c r="CW305" s="382">
        <f>IF(CV305&gt;0,+CV305)/ 'Pile Data and Eurocode Factors'!$B$14/ 'Pile Data and Eurocode Factors'!$B$15+CW$301</f>
        <v>12452.610841965019</v>
      </c>
      <c r="CX305" s="382">
        <f t="shared" si="310"/>
        <v>1130.9733552923256</v>
      </c>
      <c r="CY305" s="382">
        <f>CS305* Pile!$U$52</f>
        <v>0</v>
      </c>
      <c r="CZ305" s="382">
        <f t="shared" si="265"/>
        <v>1130.9733552923256</v>
      </c>
      <c r="DA305" s="382">
        <f>CZ305/ 'Pile Data and Eurocode Factors'!$C$14/ 'Pile Data and Eurocode Factors'!$C$15</f>
        <v>403.91905546154487</v>
      </c>
      <c r="DB305" s="382">
        <f t="shared" si="266"/>
        <v>12856.529897426564</v>
      </c>
      <c r="DC305" s="382">
        <f>VLOOKUP(CQ305, 'Pile Data and Eurocode Factors'!$A$34:$J$39,3, FALSE)</f>
        <v>16826.141773161216</v>
      </c>
      <c r="DD305" s="403">
        <f t="shared" si="267"/>
        <v>12856.529897426564</v>
      </c>
      <c r="DE305" s="420">
        <f xml:space="preserve"> Pile!$C$23- Pile!C305</f>
        <v>43.199999999999989</v>
      </c>
      <c r="DG305" s="382">
        <f t="shared" si="268"/>
        <v>2366.1761868507956</v>
      </c>
      <c r="DH305" s="382">
        <f t="shared" si="269"/>
        <v>4206.5354432903041</v>
      </c>
      <c r="DI305" s="382">
        <f t="shared" si="270"/>
        <v>6572.7116301410997</v>
      </c>
      <c r="DJ305" s="382">
        <f t="shared" si="271"/>
        <v>9464.7047474031824</v>
      </c>
      <c r="DK305" s="382">
        <f t="shared" si="272"/>
        <v>11205.285013557137</v>
      </c>
      <c r="DL305" s="382">
        <f t="shared" si="291"/>
        <v>12856.529897426564</v>
      </c>
    </row>
    <row r="306" spans="2:116" s="308" customFormat="1" ht="15">
      <c r="B306" s="400">
        <v>5</v>
      </c>
      <c r="C306" s="401">
        <f>+C305- Pile!D$52/20</f>
        <v>-37.499999999999986</v>
      </c>
      <c r="D306" s="415" t="str">
        <f>B26</f>
        <v>Medium Density Chalk</v>
      </c>
      <c r="E306" s="415" t="str">
        <f>F26</f>
        <v>Chalk</v>
      </c>
      <c r="F306" s="401">
        <f xml:space="preserve"> Pile!$E$52*( Pile!$C$52- Pile!C306)+$F$301</f>
        <v>825.34968749999996</v>
      </c>
      <c r="G306" s="401">
        <f>IF(C306&gt; Pile!$C$54,0,( Pile!$C$54-C306)*9.81)</f>
        <v>220.72499999999988</v>
      </c>
      <c r="H306" s="401">
        <f t="shared" ref="H306:H321" si="313">F306-G306</f>
        <v>604.62468750000005</v>
      </c>
      <c r="I306" s="401">
        <f t="shared" si="312"/>
        <v>596.8073437500002</v>
      </c>
      <c r="J306" s="401">
        <f>IF(E306="Cohesive",(( Pile!$H$52- Pile!$G$52)/20)+J305,0)</f>
        <v>0</v>
      </c>
      <c r="K306" s="401">
        <f>IF(E306="Cohesive",( Pile!$G$52+ Pile!$J306)/2,0)</f>
        <v>0</v>
      </c>
      <c r="L306" s="401" t="str">
        <f>IF( Pile!I$52="",0, Pile!I$52)</f>
        <v>0</v>
      </c>
      <c r="M306" s="401" t="str">
        <f>IF( Pile!J$52="",0, Pile!J$52)</f>
        <v>0</v>
      </c>
      <c r="N306" s="401">
        <f>IF(E306="Granular", Pile!$K$52,0)</f>
        <v>0</v>
      </c>
      <c r="O306" s="416">
        <f>IF(AND(E306="Granular",D306&lt;&gt;"Made Ground"), Pile!$L$52,0)</f>
        <v>0</v>
      </c>
      <c r="P306" s="401">
        <f>IF(OR(D306="Low Density Chalk",D306="Medium Density Chalk"), Pile!$M$52,0)</f>
        <v>0.45</v>
      </c>
      <c r="Q306" s="417">
        <f>IF(D306="High Density Chalk", Pile!$N$52,0)</f>
        <v>0</v>
      </c>
      <c r="R306" s="401">
        <f>IF( Pile!O$52="",0, Pile!O$52)</f>
        <v>6000</v>
      </c>
      <c r="S306" s="418">
        <f t="shared" ref="S306:S321" si="314">P306*I306+L306*K306+O306*I306+Q306*I306</f>
        <v>268.56330468750008</v>
      </c>
      <c r="T306" s="382">
        <f xml:space="preserve"> Pile!$T$52</f>
        <v>100</v>
      </c>
      <c r="U306" s="382">
        <f t="shared" ref="U306:U321" si="315">IF(T306&gt;0,MIN(S306:T306),S306)</f>
        <v>100</v>
      </c>
      <c r="V306" s="382">
        <f t="shared" ref="V306:V321" si="316">R306+M306*J306+N306*H306</f>
        <v>6000</v>
      </c>
      <c r="W306" s="382">
        <f xml:space="preserve"> Pile!$V$52</f>
        <v>1000</v>
      </c>
      <c r="X306" s="382">
        <f t="shared" ref="X306:X321" si="317">IF(W306&gt;0,MIN(V306:W306),V306)</f>
        <v>1000</v>
      </c>
      <c r="Y306" s="419">
        <v>450</v>
      </c>
      <c r="Z306" s="430">
        <f>PI()*Y306/1000*( Pile!$C$52- Pile!$C306)</f>
        <v>2.1205750411730904</v>
      </c>
      <c r="AA306" s="382">
        <f t="shared" ref="AA306:AA321" si="318">PI()*(Y306/2000)^2</f>
        <v>0.15904312808798329</v>
      </c>
      <c r="AB306" s="382">
        <f t="shared" si="292"/>
        <v>212.05750411730904</v>
      </c>
      <c r="AC306" s="382">
        <f>Z306* Pile!$S$52</f>
        <v>212.05750411730904</v>
      </c>
      <c r="AD306" s="382">
        <f t="shared" si="298"/>
        <v>212.05750411730904</v>
      </c>
      <c r="AE306" s="382">
        <f>IF(AD306&gt;0,+AD306)/ 'Pile Data and Eurocode Factors'!$B$14/ 'Pile Data and Eurocode Factors'!$B$15+AE$301</f>
        <v>4688.6627714616407</v>
      </c>
      <c r="AF306" s="382">
        <f t="shared" si="305"/>
        <v>159.04312808798329</v>
      </c>
      <c r="AG306" s="382">
        <f>AA306* Pile!$U$52</f>
        <v>0</v>
      </c>
      <c r="AH306" s="382">
        <f t="shared" ref="AH306:AH321" si="319">IF(AG306&gt;0,MIN(AF306:AG306),AF306)</f>
        <v>159.04312808798329</v>
      </c>
      <c r="AI306" s="382">
        <f>AH306/ 'Pile Data and Eurocode Factors'!$C$14/ 'Pile Data and Eurocode Factors'!$C$15</f>
        <v>56.801117174279753</v>
      </c>
      <c r="AJ306" s="382">
        <f t="shared" ref="AJ306:AJ321" si="320">AI306+AE306</f>
        <v>4745.4638886359207</v>
      </c>
      <c r="AK306" s="382">
        <f>VLOOKUP(Y306, 'Pile Data and Eurocode Factors'!$A$34:$J$39,3, FALSE)</f>
        <v>2366.1761868507956</v>
      </c>
      <c r="AL306" s="403">
        <f t="shared" ref="AL306:AL321" si="321">MIN(AJ306:AK306)</f>
        <v>2366.1761868507956</v>
      </c>
      <c r="AM306" s="419">
        <v>600</v>
      </c>
      <c r="AN306" s="430">
        <f>PI()*AM306/1000*( Pile!$C$52- Pile!$C306)</f>
        <v>2.8274333882307872</v>
      </c>
      <c r="AO306" s="382">
        <f t="shared" ref="AO306:AO321" si="322">PI()*(AM306/2000)^2</f>
        <v>0.28274333882308139</v>
      </c>
      <c r="AP306" s="382">
        <f t="shared" si="293"/>
        <v>282.74333882307872</v>
      </c>
      <c r="AQ306" s="382">
        <f>AN306* Pile!$S$52</f>
        <v>282.74333882307872</v>
      </c>
      <c r="AR306" s="382">
        <f t="shared" si="299"/>
        <v>282.74333882307872</v>
      </c>
      <c r="AS306" s="382">
        <f>IF(AR306&gt;0,+AR306)/ 'Pile Data and Eurocode Factors'!$B$14/ 'Pile Data and Eurocode Factors'!$B$15+AS$301</f>
        <v>6251.5503619488554</v>
      </c>
      <c r="AT306" s="382">
        <f t="shared" si="306"/>
        <v>282.74333882308139</v>
      </c>
      <c r="AU306" s="382">
        <f>AO306* Pile!$U$52</f>
        <v>0</v>
      </c>
      <c r="AV306" s="382">
        <f t="shared" ref="AV306:AV321" si="323">IF(AU306&gt;0,MIN(AT306:AU306),AT306)</f>
        <v>282.74333882308139</v>
      </c>
      <c r="AW306" s="382">
        <f>AV306/ 'Pile Data and Eurocode Factors'!$C$14/ 'Pile Data and Eurocode Factors'!$C$15</f>
        <v>100.97976386538622</v>
      </c>
      <c r="AX306" s="382">
        <f t="shared" ref="AX306:AX321" si="324">AW306+AS306</f>
        <v>6352.5301258142417</v>
      </c>
      <c r="AY306" s="382">
        <f>VLOOKUP(AM306, 'Pile Data and Eurocode Factors'!$A$34:$J$39,3, FALSE)</f>
        <v>4206.5354432903041</v>
      </c>
      <c r="AZ306" s="403">
        <f t="shared" ref="AZ306:AZ321" si="325">MIN(AX306:AY306)</f>
        <v>4206.5354432903041</v>
      </c>
      <c r="BA306" s="419">
        <v>750</v>
      </c>
      <c r="BB306" s="430">
        <f>PI()*BA306/1000*( Pile!$C$52- Pile!$C306)</f>
        <v>3.5342917352884839</v>
      </c>
      <c r="BC306" s="382">
        <f t="shared" ref="BC306:BC321" si="326">PI()*(BA306/2000)^2</f>
        <v>0.44178646691106466</v>
      </c>
      <c r="BD306" s="382">
        <f t="shared" si="294"/>
        <v>353.42917352884842</v>
      </c>
      <c r="BE306" s="382">
        <f>BB306* Pile!$S$52</f>
        <v>353.42917352884842</v>
      </c>
      <c r="BF306" s="382">
        <f t="shared" si="300"/>
        <v>353.42917352884842</v>
      </c>
      <c r="BG306" s="382">
        <f>IF(BF306&gt;0,+BF306)/ 'Pile Data and Eurocode Factors'!$B$14/ 'Pile Data and Eurocode Factors'!$B$15+BG$301</f>
        <v>7814.4379524360693</v>
      </c>
      <c r="BH306" s="382">
        <f t="shared" si="307"/>
        <v>441.78646691106468</v>
      </c>
      <c r="BI306" s="382">
        <f>BC306* Pile!$U$52</f>
        <v>0</v>
      </c>
      <c r="BJ306" s="382">
        <f t="shared" ref="BJ306:BJ321" si="327">IF(BI306&gt;0,MIN(BH306:BI306),BH306)</f>
        <v>441.78646691106468</v>
      </c>
      <c r="BK306" s="382">
        <f>BJ306/ 'Pile Data and Eurocode Factors'!$C$14/ 'Pile Data and Eurocode Factors'!$C$15</f>
        <v>157.78088103966596</v>
      </c>
      <c r="BL306" s="382">
        <f t="shared" ref="BL306:BL321" si="328">BK306+BG306</f>
        <v>7972.2188334757357</v>
      </c>
      <c r="BM306" s="382">
        <f>VLOOKUP(BA306, 'Pile Data and Eurocode Factors'!$A$34:$J$39,3, FALSE)</f>
        <v>6572.7116301410997</v>
      </c>
      <c r="BN306" s="403">
        <f t="shared" ref="BN306:BN321" si="329">MIN(BL306:BM306)</f>
        <v>6572.7116301410997</v>
      </c>
      <c r="BO306" s="419">
        <v>900</v>
      </c>
      <c r="BP306" s="430">
        <f>PI()*BO306/1000*( Pile!$C$52- Pile!$C306)</f>
        <v>4.2411500823461807</v>
      </c>
      <c r="BQ306" s="382">
        <f t="shared" ref="BQ306:BQ321" si="330">PI()*(BO306/2000)^2</f>
        <v>0.63617251235193317</v>
      </c>
      <c r="BR306" s="382">
        <f t="shared" si="295"/>
        <v>424.11500823461807</v>
      </c>
      <c r="BS306" s="382">
        <f>BP306* Pile!$S$52</f>
        <v>424.11500823461807</v>
      </c>
      <c r="BT306" s="382">
        <f t="shared" si="301"/>
        <v>424.11500823461807</v>
      </c>
      <c r="BU306" s="382">
        <f>IF(BT306&gt;0,+BT306)/ 'Pile Data and Eurocode Factors'!$B$14/ 'Pile Data and Eurocode Factors'!$B$15+BU$301</f>
        <v>9377.3255429232813</v>
      </c>
      <c r="BV306" s="382">
        <f t="shared" si="308"/>
        <v>636.17251235193316</v>
      </c>
      <c r="BW306" s="382">
        <f>BQ306* Pile!$U$52</f>
        <v>0</v>
      </c>
      <c r="BX306" s="382">
        <f t="shared" ref="BX306:BX321" si="331">IF(BW306&gt;0,MIN(BV306:BW306),BV306)</f>
        <v>636.17251235193316</v>
      </c>
      <c r="BY306" s="382">
        <f>BX306/ 'Pile Data and Eurocode Factors'!$C$14/ 'Pile Data and Eurocode Factors'!$C$15</f>
        <v>227.20446869711901</v>
      </c>
      <c r="BZ306" s="382">
        <f t="shared" ref="BZ306:BZ321" si="332">BY306+BU306</f>
        <v>9604.5300116203998</v>
      </c>
      <c r="CA306" s="382">
        <f>VLOOKUP(BO306, 'Pile Data and Eurocode Factors'!$A$34:$J$39,3, FALSE)</f>
        <v>9464.7047474031824</v>
      </c>
      <c r="CB306" s="403">
        <f t="shared" ref="CB306:CB321" si="333">MIN(BZ306:CA306)</f>
        <v>9464.7047474031824</v>
      </c>
      <c r="CC306" s="419">
        <v>1050</v>
      </c>
      <c r="CD306" s="430">
        <f>PI()*CC306/1000*( Pile!$C$52- Pile!$C306)</f>
        <v>4.9480084294038775</v>
      </c>
      <c r="CE306" s="382">
        <f t="shared" ref="CE306:CE321" si="334">PI()*(CC306/2000)^2</f>
        <v>0.86590147514568672</v>
      </c>
      <c r="CF306" s="382">
        <f t="shared" si="296"/>
        <v>494.80084294038772</v>
      </c>
      <c r="CG306" s="382">
        <f>CD306* Pile!$S$52</f>
        <v>494.80084294038772</v>
      </c>
      <c r="CH306" s="382">
        <f t="shared" si="302"/>
        <v>494.80084294038772</v>
      </c>
      <c r="CI306" s="382">
        <f>IF(CH306&gt;0,+CH306)/ 'Pile Data and Eurocode Factors'!$B$14/ 'Pile Data and Eurocode Factors'!$B$15+CI$301</f>
        <v>10940.213133410498</v>
      </c>
      <c r="CJ306" s="382">
        <f t="shared" si="309"/>
        <v>865.90147514568673</v>
      </c>
      <c r="CK306" s="382">
        <f>CE306* Pile!$U$52</f>
        <v>0</v>
      </c>
      <c r="CL306" s="382">
        <f t="shared" ref="CL306:CL321" si="335">IF(CK306&gt;0,MIN(CJ306:CK306),CJ306)</f>
        <v>865.90147514568673</v>
      </c>
      <c r="CM306" s="382">
        <f>CL306/ 'Pile Data and Eurocode Factors'!$C$14/ 'Pile Data and Eurocode Factors'!$C$15</f>
        <v>309.25052683774527</v>
      </c>
      <c r="CN306" s="382">
        <f t="shared" ref="CN306:CN321" si="336">CM306+CI306</f>
        <v>11249.463660248242</v>
      </c>
      <c r="CO306" s="382">
        <f>VLOOKUP(CC306, 'Pile Data and Eurocode Factors'!$A$34:$J$39,3, FALSE)</f>
        <v>12882.514795076555</v>
      </c>
      <c r="CP306" s="403">
        <f t="shared" ref="CP306:CP321" si="337">MIN(CN306:CO306)</f>
        <v>11249.463660248242</v>
      </c>
      <c r="CQ306" s="419">
        <v>1200</v>
      </c>
      <c r="CR306" s="430">
        <f>PI()*CQ306/1000*( Pile!$C$52- Pile!$C306)</f>
        <v>5.6548667764615743</v>
      </c>
      <c r="CS306" s="382">
        <f t="shared" ref="CS306:CS321" si="338">PI()*(CQ306/2000)^2</f>
        <v>1.1309733552923256</v>
      </c>
      <c r="CT306" s="382">
        <f t="shared" si="297"/>
        <v>565.48667764615743</v>
      </c>
      <c r="CU306" s="382">
        <f>CR306* Pile!$S$52</f>
        <v>565.48667764615743</v>
      </c>
      <c r="CV306" s="382">
        <f t="shared" si="303"/>
        <v>565.48667764615743</v>
      </c>
      <c r="CW306" s="382">
        <f>IF(CV306&gt;0,+CV306)/ 'Pile Data and Eurocode Factors'!$B$14/ 'Pile Data and Eurocode Factors'!$B$15+CW$301</f>
        <v>12503.100723897711</v>
      </c>
      <c r="CX306" s="382">
        <f t="shared" si="310"/>
        <v>1130.9733552923256</v>
      </c>
      <c r="CY306" s="382">
        <f>CS306* Pile!$U$52</f>
        <v>0</v>
      </c>
      <c r="CZ306" s="382">
        <f t="shared" ref="CZ306:CZ321" si="339">IF(CY306&gt;0,MIN(CX306:CY306),CX306)</f>
        <v>1130.9733552923256</v>
      </c>
      <c r="DA306" s="382">
        <f>CZ306/ 'Pile Data and Eurocode Factors'!$C$14/ 'Pile Data and Eurocode Factors'!$C$15</f>
        <v>403.91905546154487</v>
      </c>
      <c r="DB306" s="382">
        <f t="shared" ref="DB306:DB321" si="340">DA306+CW306</f>
        <v>12907.019779359256</v>
      </c>
      <c r="DC306" s="382">
        <f>VLOOKUP(CQ306, 'Pile Data and Eurocode Factors'!$A$34:$J$39,3, FALSE)</f>
        <v>16826.141773161216</v>
      </c>
      <c r="DD306" s="403">
        <f t="shared" ref="DD306:DD321" si="341">MIN(DB306:DC306)</f>
        <v>12907.019779359256</v>
      </c>
      <c r="DE306" s="420">
        <f xml:space="preserve"> Pile!$C$23- Pile!C306</f>
        <v>43.499999999999986</v>
      </c>
      <c r="DG306" s="382">
        <f t="shared" ref="DG306:DG321" si="342">$AL306</f>
        <v>2366.1761868507956</v>
      </c>
      <c r="DH306" s="382">
        <f t="shared" ref="DH306:DH321" si="343">$AZ306</f>
        <v>4206.5354432903041</v>
      </c>
      <c r="DI306" s="382">
        <f t="shared" ref="DI306:DI321" si="344">$BN306</f>
        <v>6572.7116301410997</v>
      </c>
      <c r="DJ306" s="382">
        <f t="shared" ref="DJ306:DJ321" si="345">$CB306</f>
        <v>9464.7047474031824</v>
      </c>
      <c r="DK306" s="382">
        <f t="shared" ref="DK306:DK321" si="346">$CP306</f>
        <v>11249.463660248242</v>
      </c>
      <c r="DL306" s="382">
        <f t="shared" si="291"/>
        <v>12907.019779359256</v>
      </c>
    </row>
    <row r="307" spans="2:116" s="308" customFormat="1" ht="15">
      <c r="B307" s="400">
        <v>6</v>
      </c>
      <c r="C307" s="401">
        <f>+C306- Pile!D$52/20</f>
        <v>-37.799999999999983</v>
      </c>
      <c r="D307" s="415" t="str">
        <f>B26</f>
        <v>Medium Density Chalk</v>
      </c>
      <c r="E307" s="415" t="str">
        <f>F26</f>
        <v>Chalk</v>
      </c>
      <c r="F307" s="401">
        <f xml:space="preserve"> Pile!$E$52*( Pile!$C$52- Pile!C307)+$F$301</f>
        <v>831.41962499999988</v>
      </c>
      <c r="G307" s="401">
        <f>IF(C307&gt; Pile!$C$54,0,( Pile!$C$54-C307)*9.81)</f>
        <v>223.66799999999984</v>
      </c>
      <c r="H307" s="401">
        <f t="shared" si="313"/>
        <v>607.7516250000001</v>
      </c>
      <c r="I307" s="401">
        <f t="shared" si="312"/>
        <v>598.37081250000017</v>
      </c>
      <c r="J307" s="401">
        <f>IF(E307="Cohesive",(( Pile!$H$52- Pile!$G$52)/20)+J306,0)</f>
        <v>0</v>
      </c>
      <c r="K307" s="401">
        <f>IF(E307="Cohesive",( Pile!$G$52+ Pile!$J307)/2,0)</f>
        <v>0</v>
      </c>
      <c r="L307" s="401" t="str">
        <f>IF( Pile!I$52="",0, Pile!I$52)</f>
        <v>0</v>
      </c>
      <c r="M307" s="401" t="str">
        <f>IF( Pile!J$52="",0, Pile!J$52)</f>
        <v>0</v>
      </c>
      <c r="N307" s="401">
        <f>IF(E307="Granular", Pile!$K$52,0)</f>
        <v>0</v>
      </c>
      <c r="O307" s="416">
        <f>IF(AND(E307="Granular",D307&lt;&gt;"Made Ground"), Pile!$L$52,0)</f>
        <v>0</v>
      </c>
      <c r="P307" s="401">
        <f>IF(OR(D307="Low Density Chalk",D307="Medium Density Chalk"), Pile!$M$52,0)</f>
        <v>0.45</v>
      </c>
      <c r="Q307" s="417">
        <f>IF(D307="High Density Chalk", Pile!$N$52,0)</f>
        <v>0</v>
      </c>
      <c r="R307" s="401">
        <f>IF( Pile!O$52="",0, Pile!O$52)</f>
        <v>6000</v>
      </c>
      <c r="S307" s="418">
        <f t="shared" si="314"/>
        <v>269.26686562500009</v>
      </c>
      <c r="T307" s="382">
        <f xml:space="preserve"> Pile!$T$52</f>
        <v>100</v>
      </c>
      <c r="U307" s="382">
        <f t="shared" si="315"/>
        <v>100</v>
      </c>
      <c r="V307" s="382">
        <f t="shared" si="316"/>
        <v>6000</v>
      </c>
      <c r="W307" s="382">
        <f xml:space="preserve"> Pile!$V$52</f>
        <v>1000</v>
      </c>
      <c r="X307" s="382">
        <f t="shared" si="317"/>
        <v>1000</v>
      </c>
      <c r="Y307" s="419">
        <v>450</v>
      </c>
      <c r="Z307" s="430">
        <f>PI()*Y307/1000*( Pile!$C$52- Pile!$C307)</f>
        <v>2.5446900494077083</v>
      </c>
      <c r="AA307" s="382">
        <f t="shared" si="318"/>
        <v>0.15904312808798329</v>
      </c>
      <c r="AB307" s="382">
        <f t="shared" si="292"/>
        <v>254.46900494077082</v>
      </c>
      <c r="AC307" s="382">
        <f>Z307* Pile!$S$52</f>
        <v>254.46900494077082</v>
      </c>
      <c r="AD307" s="382">
        <f t="shared" si="298"/>
        <v>254.46900494077082</v>
      </c>
      <c r="AE307" s="382">
        <f>IF(AD307&gt;0,+AD307)/ 'Pile Data and Eurocode Factors'!$B$14/ 'Pile Data and Eurocode Factors'!$B$15+AE$301</f>
        <v>4707.5964771864001</v>
      </c>
      <c r="AF307" s="382">
        <f t="shared" si="305"/>
        <v>159.04312808798329</v>
      </c>
      <c r="AG307" s="382">
        <f>AA307* Pile!$U$52</f>
        <v>0</v>
      </c>
      <c r="AH307" s="382">
        <f t="shared" si="319"/>
        <v>159.04312808798329</v>
      </c>
      <c r="AI307" s="382">
        <f>AH307/ 'Pile Data and Eurocode Factors'!$C$14/ 'Pile Data and Eurocode Factors'!$C$15</f>
        <v>56.801117174279753</v>
      </c>
      <c r="AJ307" s="382">
        <f t="shared" si="320"/>
        <v>4764.3975943606802</v>
      </c>
      <c r="AK307" s="382">
        <f>VLOOKUP(Y307, 'Pile Data and Eurocode Factors'!$A$34:$J$39,3, FALSE)</f>
        <v>2366.1761868507956</v>
      </c>
      <c r="AL307" s="403">
        <f t="shared" si="321"/>
        <v>2366.1761868507956</v>
      </c>
      <c r="AM307" s="419">
        <v>600</v>
      </c>
      <c r="AN307" s="430">
        <f>PI()*AM307/1000*( Pile!$C$52- Pile!$C307)</f>
        <v>3.3929200658769445</v>
      </c>
      <c r="AO307" s="382">
        <f t="shared" si="322"/>
        <v>0.28274333882308139</v>
      </c>
      <c r="AP307" s="382">
        <f t="shared" si="293"/>
        <v>339.29200658769446</v>
      </c>
      <c r="AQ307" s="382">
        <f>AN307* Pile!$S$52</f>
        <v>339.29200658769446</v>
      </c>
      <c r="AR307" s="382">
        <f t="shared" si="299"/>
        <v>339.29200658769446</v>
      </c>
      <c r="AS307" s="382">
        <f>IF(AR307&gt;0,+AR307)/ 'Pile Data and Eurocode Factors'!$B$14/ 'Pile Data and Eurocode Factors'!$B$15+AS$301</f>
        <v>6276.7953029152022</v>
      </c>
      <c r="AT307" s="382">
        <f t="shared" si="306"/>
        <v>282.74333882308139</v>
      </c>
      <c r="AU307" s="382">
        <f>AO307* Pile!$U$52</f>
        <v>0</v>
      </c>
      <c r="AV307" s="382">
        <f t="shared" si="323"/>
        <v>282.74333882308139</v>
      </c>
      <c r="AW307" s="382">
        <f>AV307/ 'Pile Data and Eurocode Factors'!$C$14/ 'Pile Data and Eurocode Factors'!$C$15</f>
        <v>100.97976386538622</v>
      </c>
      <c r="AX307" s="382">
        <f t="shared" si="324"/>
        <v>6377.7750667805885</v>
      </c>
      <c r="AY307" s="382">
        <f>VLOOKUP(AM307, 'Pile Data and Eurocode Factors'!$A$34:$J$39,3, FALSE)</f>
        <v>4206.5354432903041</v>
      </c>
      <c r="AZ307" s="403">
        <f t="shared" si="325"/>
        <v>4206.5354432903041</v>
      </c>
      <c r="BA307" s="419">
        <v>750</v>
      </c>
      <c r="BB307" s="430">
        <f>PI()*BA307/1000*( Pile!$C$52- Pile!$C307)</f>
        <v>4.2411500823461807</v>
      </c>
      <c r="BC307" s="382">
        <f t="shared" si="326"/>
        <v>0.44178646691106466</v>
      </c>
      <c r="BD307" s="382">
        <f t="shared" si="294"/>
        <v>424.11500823461807</v>
      </c>
      <c r="BE307" s="382">
        <f>BB307* Pile!$S$52</f>
        <v>424.11500823461807</v>
      </c>
      <c r="BF307" s="382">
        <f t="shared" si="300"/>
        <v>424.11500823461807</v>
      </c>
      <c r="BG307" s="382">
        <f>IF(BF307&gt;0,+BF307)/ 'Pile Data and Eurocode Factors'!$B$14/ 'Pile Data and Eurocode Factors'!$B$15+BG$301</f>
        <v>7845.9941286440016</v>
      </c>
      <c r="BH307" s="382">
        <f t="shared" si="307"/>
        <v>441.78646691106468</v>
      </c>
      <c r="BI307" s="382">
        <f>BC307* Pile!$U$52</f>
        <v>0</v>
      </c>
      <c r="BJ307" s="382">
        <f t="shared" si="327"/>
        <v>441.78646691106468</v>
      </c>
      <c r="BK307" s="382">
        <f>BJ307/ 'Pile Data and Eurocode Factors'!$C$14/ 'Pile Data and Eurocode Factors'!$C$15</f>
        <v>157.78088103966596</v>
      </c>
      <c r="BL307" s="382">
        <f t="shared" si="328"/>
        <v>8003.775009683668</v>
      </c>
      <c r="BM307" s="382">
        <f>VLOOKUP(BA307, 'Pile Data and Eurocode Factors'!$A$34:$J$39,3, FALSE)</f>
        <v>6572.7116301410997</v>
      </c>
      <c r="BN307" s="403">
        <f t="shared" si="329"/>
        <v>6572.7116301410997</v>
      </c>
      <c r="BO307" s="419">
        <v>900</v>
      </c>
      <c r="BP307" s="430">
        <f>PI()*BO307/1000*( Pile!$C$52- Pile!$C307)</f>
        <v>5.0893800988154165</v>
      </c>
      <c r="BQ307" s="382">
        <f t="shared" si="330"/>
        <v>0.63617251235193317</v>
      </c>
      <c r="BR307" s="382">
        <f t="shared" si="295"/>
        <v>508.93800988154163</v>
      </c>
      <c r="BS307" s="382">
        <f>BP307* Pile!$S$52</f>
        <v>508.93800988154163</v>
      </c>
      <c r="BT307" s="382">
        <f t="shared" si="301"/>
        <v>508.93800988154163</v>
      </c>
      <c r="BU307" s="382">
        <f>IF(BT307&gt;0,+BT307)/ 'Pile Data and Eurocode Factors'!$B$14/ 'Pile Data and Eurocode Factors'!$B$15+BU$301</f>
        <v>9415.1929543728002</v>
      </c>
      <c r="BV307" s="382">
        <f t="shared" si="308"/>
        <v>636.17251235193316</v>
      </c>
      <c r="BW307" s="382">
        <f>BQ307* Pile!$U$52</f>
        <v>0</v>
      </c>
      <c r="BX307" s="382">
        <f t="shared" si="331"/>
        <v>636.17251235193316</v>
      </c>
      <c r="BY307" s="382">
        <f>BX307/ 'Pile Data and Eurocode Factors'!$C$14/ 'Pile Data and Eurocode Factors'!$C$15</f>
        <v>227.20446869711901</v>
      </c>
      <c r="BZ307" s="382">
        <f t="shared" si="332"/>
        <v>9642.3974230699187</v>
      </c>
      <c r="CA307" s="382">
        <f>VLOOKUP(BO307, 'Pile Data and Eurocode Factors'!$A$34:$J$39,3, FALSE)</f>
        <v>9464.7047474031824</v>
      </c>
      <c r="CB307" s="403">
        <f t="shared" si="333"/>
        <v>9464.7047474031824</v>
      </c>
      <c r="CC307" s="419">
        <v>1050</v>
      </c>
      <c r="CD307" s="430">
        <f>PI()*CC307/1000*( Pile!$C$52- Pile!$C307)</f>
        <v>5.9376101152846523</v>
      </c>
      <c r="CE307" s="382">
        <f t="shared" si="334"/>
        <v>0.86590147514568672</v>
      </c>
      <c r="CF307" s="382">
        <f t="shared" si="296"/>
        <v>593.76101152846525</v>
      </c>
      <c r="CG307" s="382">
        <f>CD307* Pile!$S$52</f>
        <v>593.76101152846525</v>
      </c>
      <c r="CH307" s="382">
        <f t="shared" si="302"/>
        <v>593.76101152846525</v>
      </c>
      <c r="CI307" s="382">
        <f>IF(CH307&gt;0,+CH307)/ 'Pile Data and Eurocode Factors'!$B$14/ 'Pile Data and Eurocode Factors'!$B$15+CI$301</f>
        <v>10984.391780101603</v>
      </c>
      <c r="CJ307" s="382">
        <f t="shared" si="309"/>
        <v>865.90147514568673</v>
      </c>
      <c r="CK307" s="382">
        <f>CE307* Pile!$U$52</f>
        <v>0</v>
      </c>
      <c r="CL307" s="382">
        <f t="shared" si="335"/>
        <v>865.90147514568673</v>
      </c>
      <c r="CM307" s="382">
        <f>CL307/ 'Pile Data and Eurocode Factors'!$C$14/ 'Pile Data and Eurocode Factors'!$C$15</f>
        <v>309.25052683774527</v>
      </c>
      <c r="CN307" s="382">
        <f t="shared" si="336"/>
        <v>11293.642306939348</v>
      </c>
      <c r="CO307" s="382">
        <f>VLOOKUP(CC307, 'Pile Data and Eurocode Factors'!$A$34:$J$39,3, FALSE)</f>
        <v>12882.514795076555</v>
      </c>
      <c r="CP307" s="403">
        <f t="shared" si="337"/>
        <v>11293.642306939348</v>
      </c>
      <c r="CQ307" s="419">
        <v>1200</v>
      </c>
      <c r="CR307" s="430">
        <f>PI()*CQ307/1000*( Pile!$C$52- Pile!$C307)</f>
        <v>6.785840131753889</v>
      </c>
      <c r="CS307" s="382">
        <f t="shared" si="338"/>
        <v>1.1309733552923256</v>
      </c>
      <c r="CT307" s="382">
        <f t="shared" si="297"/>
        <v>678.58401317538892</v>
      </c>
      <c r="CU307" s="382">
        <f>CR307* Pile!$S$52</f>
        <v>678.58401317538892</v>
      </c>
      <c r="CV307" s="382">
        <f t="shared" si="303"/>
        <v>678.58401317538892</v>
      </c>
      <c r="CW307" s="382">
        <f>IF(CV307&gt;0,+CV307)/ 'Pile Data and Eurocode Factors'!$B$14/ 'Pile Data and Eurocode Factors'!$B$15+CW$301</f>
        <v>12553.590605830404</v>
      </c>
      <c r="CX307" s="382">
        <f t="shared" si="310"/>
        <v>1130.9733552923256</v>
      </c>
      <c r="CY307" s="382">
        <f>CS307* Pile!$U$52</f>
        <v>0</v>
      </c>
      <c r="CZ307" s="382">
        <f t="shared" si="339"/>
        <v>1130.9733552923256</v>
      </c>
      <c r="DA307" s="382">
        <f>CZ307/ 'Pile Data and Eurocode Factors'!$C$14/ 'Pile Data and Eurocode Factors'!$C$15</f>
        <v>403.91905546154487</v>
      </c>
      <c r="DB307" s="382">
        <f t="shared" si="340"/>
        <v>12957.50966129195</v>
      </c>
      <c r="DC307" s="382">
        <f>VLOOKUP(CQ307, 'Pile Data and Eurocode Factors'!$A$34:$J$39,3, FALSE)</f>
        <v>16826.141773161216</v>
      </c>
      <c r="DD307" s="403">
        <f t="shared" si="341"/>
        <v>12957.50966129195</v>
      </c>
      <c r="DE307" s="420">
        <f xml:space="preserve"> Pile!$C$23- Pile!C307</f>
        <v>43.799999999999983</v>
      </c>
      <c r="DG307" s="382">
        <f t="shared" si="342"/>
        <v>2366.1761868507956</v>
      </c>
      <c r="DH307" s="382">
        <f t="shared" si="343"/>
        <v>4206.5354432903041</v>
      </c>
      <c r="DI307" s="382">
        <f t="shared" si="344"/>
        <v>6572.7116301410997</v>
      </c>
      <c r="DJ307" s="382">
        <f t="shared" si="345"/>
        <v>9464.7047474031824</v>
      </c>
      <c r="DK307" s="382">
        <f t="shared" si="346"/>
        <v>11293.642306939348</v>
      </c>
      <c r="DL307" s="382">
        <f t="shared" ref="DL307:DL321" si="347">DD307</f>
        <v>12957.50966129195</v>
      </c>
    </row>
    <row r="308" spans="2:116" s="308" customFormat="1" ht="15">
      <c r="B308" s="400">
        <v>7</v>
      </c>
      <c r="C308" s="401">
        <f>+C307- Pile!D$52/20</f>
        <v>-38.09999999999998</v>
      </c>
      <c r="D308" s="415" t="str">
        <f>B26</f>
        <v>Medium Density Chalk</v>
      </c>
      <c r="E308" s="415" t="str">
        <f>F26</f>
        <v>Chalk</v>
      </c>
      <c r="F308" s="401">
        <f xml:space="preserve"> Pile!$E$52*( Pile!$C$52- Pile!C308)+$F$301</f>
        <v>837.48956249999981</v>
      </c>
      <c r="G308" s="401">
        <f>IF(C308&gt; Pile!$C$54,0,( Pile!$C$54-C308)*9.81)</f>
        <v>226.61099999999982</v>
      </c>
      <c r="H308" s="401">
        <f t="shared" si="313"/>
        <v>610.87856250000004</v>
      </c>
      <c r="I308" s="401">
        <f t="shared" si="312"/>
        <v>599.93428125000014</v>
      </c>
      <c r="J308" s="401">
        <f>IF(E308="Cohesive",(( Pile!$H$52- Pile!$G$52)/20)+J307,0)</f>
        <v>0</v>
      </c>
      <c r="K308" s="401">
        <f>IF(E308="Cohesive",( Pile!$G$52+ Pile!$J308)/2,0)</f>
        <v>0</v>
      </c>
      <c r="L308" s="401" t="str">
        <f>IF( Pile!I$52="",0, Pile!I$52)</f>
        <v>0</v>
      </c>
      <c r="M308" s="401" t="str">
        <f>IF( Pile!J$52="",0, Pile!J$52)</f>
        <v>0</v>
      </c>
      <c r="N308" s="401">
        <f>IF(E308="Granular", Pile!$K$52,0)</f>
        <v>0</v>
      </c>
      <c r="O308" s="416">
        <f>IF(AND(E308="Granular",D308&lt;&gt;"Made Ground"), Pile!$L$52,0)</f>
        <v>0</v>
      </c>
      <c r="P308" s="401">
        <f>IF(OR(D308="Low Density Chalk",D308="Medium Density Chalk"), Pile!$M$52,0)</f>
        <v>0.45</v>
      </c>
      <c r="Q308" s="417">
        <f>IF(D308="High Density Chalk", Pile!$N$52,0)</f>
        <v>0</v>
      </c>
      <c r="R308" s="401">
        <f>IF( Pile!O$52="",0, Pile!O$52)</f>
        <v>6000</v>
      </c>
      <c r="S308" s="418">
        <f t="shared" si="314"/>
        <v>269.97042656250005</v>
      </c>
      <c r="T308" s="382">
        <f xml:space="preserve"> Pile!$T$52</f>
        <v>100</v>
      </c>
      <c r="U308" s="382">
        <f t="shared" si="315"/>
        <v>100</v>
      </c>
      <c r="V308" s="382">
        <f t="shared" si="316"/>
        <v>6000</v>
      </c>
      <c r="W308" s="382">
        <f xml:space="preserve"> Pile!$V$52</f>
        <v>1000</v>
      </c>
      <c r="X308" s="382">
        <f t="shared" si="317"/>
        <v>1000</v>
      </c>
      <c r="Y308" s="419">
        <v>450</v>
      </c>
      <c r="Z308" s="430">
        <f>PI()*Y308/1000*( Pile!$C$52- Pile!$C308)</f>
        <v>2.9688050576423262</v>
      </c>
      <c r="AA308" s="382">
        <f t="shared" si="318"/>
        <v>0.15904312808798329</v>
      </c>
      <c r="AB308" s="382">
        <f t="shared" si="292"/>
        <v>296.88050576423262</v>
      </c>
      <c r="AC308" s="382">
        <f>Z308* Pile!$S$52</f>
        <v>296.88050576423262</v>
      </c>
      <c r="AD308" s="382">
        <f t="shared" si="298"/>
        <v>296.88050576423262</v>
      </c>
      <c r="AE308" s="382">
        <f>IF(AD308&gt;0,+AD308)/ 'Pile Data and Eurocode Factors'!$B$14/ 'Pile Data and Eurocode Factors'!$B$15+AE$301</f>
        <v>4726.5301829111595</v>
      </c>
      <c r="AF308" s="382">
        <f t="shared" si="305"/>
        <v>159.04312808798329</v>
      </c>
      <c r="AG308" s="382">
        <f>AA308* Pile!$U$52</f>
        <v>0</v>
      </c>
      <c r="AH308" s="382">
        <f t="shared" si="319"/>
        <v>159.04312808798329</v>
      </c>
      <c r="AI308" s="382">
        <f>AH308/ 'Pile Data and Eurocode Factors'!$C$14/ 'Pile Data and Eurocode Factors'!$C$15</f>
        <v>56.801117174279753</v>
      </c>
      <c r="AJ308" s="382">
        <f t="shared" si="320"/>
        <v>4783.3313000854396</v>
      </c>
      <c r="AK308" s="382">
        <f>VLOOKUP(Y308, 'Pile Data and Eurocode Factors'!$A$34:$J$39,3, FALSE)</f>
        <v>2366.1761868507956</v>
      </c>
      <c r="AL308" s="403">
        <f t="shared" si="321"/>
        <v>2366.1761868507956</v>
      </c>
      <c r="AM308" s="419">
        <v>600</v>
      </c>
      <c r="AN308" s="430">
        <f>PI()*AM308/1000*( Pile!$C$52- Pile!$C308)</f>
        <v>3.9584067435231018</v>
      </c>
      <c r="AO308" s="382">
        <f t="shared" si="322"/>
        <v>0.28274333882308139</v>
      </c>
      <c r="AP308" s="382">
        <f t="shared" si="293"/>
        <v>395.8406743523102</v>
      </c>
      <c r="AQ308" s="382">
        <f>AN308* Pile!$S$52</f>
        <v>395.8406743523102</v>
      </c>
      <c r="AR308" s="382">
        <f t="shared" si="299"/>
        <v>395.8406743523102</v>
      </c>
      <c r="AS308" s="382">
        <f>IF(AR308&gt;0,+AR308)/ 'Pile Data and Eurocode Factors'!$B$14/ 'Pile Data and Eurocode Factors'!$B$15+AS$301</f>
        <v>6302.0402438815481</v>
      </c>
      <c r="AT308" s="382">
        <f t="shared" si="306"/>
        <v>282.74333882308139</v>
      </c>
      <c r="AU308" s="382">
        <f>AO308* Pile!$U$52</f>
        <v>0</v>
      </c>
      <c r="AV308" s="382">
        <f t="shared" si="323"/>
        <v>282.74333882308139</v>
      </c>
      <c r="AW308" s="382">
        <f>AV308/ 'Pile Data and Eurocode Factors'!$C$14/ 'Pile Data and Eurocode Factors'!$C$15</f>
        <v>100.97976386538622</v>
      </c>
      <c r="AX308" s="382">
        <f t="shared" si="324"/>
        <v>6403.0200077469344</v>
      </c>
      <c r="AY308" s="382">
        <f>VLOOKUP(AM308, 'Pile Data and Eurocode Factors'!$A$34:$J$39,3, FALSE)</f>
        <v>4206.5354432903041</v>
      </c>
      <c r="AZ308" s="403">
        <f t="shared" si="325"/>
        <v>4206.5354432903041</v>
      </c>
      <c r="BA308" s="419">
        <v>750</v>
      </c>
      <c r="BB308" s="430">
        <f>PI()*BA308/1000*( Pile!$C$52- Pile!$C308)</f>
        <v>4.9480084294038775</v>
      </c>
      <c r="BC308" s="382">
        <f t="shared" si="326"/>
        <v>0.44178646691106466</v>
      </c>
      <c r="BD308" s="382">
        <f t="shared" si="294"/>
        <v>494.80084294038772</v>
      </c>
      <c r="BE308" s="382">
        <f>BB308* Pile!$S$52</f>
        <v>494.80084294038772</v>
      </c>
      <c r="BF308" s="382">
        <f t="shared" si="300"/>
        <v>494.80084294038772</v>
      </c>
      <c r="BG308" s="382">
        <f>IF(BF308&gt;0,+BF308)/ 'Pile Data and Eurocode Factors'!$B$14/ 'Pile Data and Eurocode Factors'!$B$15+BG$301</f>
        <v>7877.5503048519349</v>
      </c>
      <c r="BH308" s="382">
        <f t="shared" si="307"/>
        <v>441.78646691106468</v>
      </c>
      <c r="BI308" s="382">
        <f>BC308* Pile!$U$52</f>
        <v>0</v>
      </c>
      <c r="BJ308" s="382">
        <f t="shared" si="327"/>
        <v>441.78646691106468</v>
      </c>
      <c r="BK308" s="382">
        <f>BJ308/ 'Pile Data and Eurocode Factors'!$C$14/ 'Pile Data and Eurocode Factors'!$C$15</f>
        <v>157.78088103966596</v>
      </c>
      <c r="BL308" s="382">
        <f t="shared" si="328"/>
        <v>8035.3311858916013</v>
      </c>
      <c r="BM308" s="382">
        <f>VLOOKUP(BA308, 'Pile Data and Eurocode Factors'!$A$34:$J$39,3, FALSE)</f>
        <v>6572.7116301410997</v>
      </c>
      <c r="BN308" s="403">
        <f t="shared" si="329"/>
        <v>6572.7116301410997</v>
      </c>
      <c r="BO308" s="419">
        <v>900</v>
      </c>
      <c r="BP308" s="430">
        <f>PI()*BO308/1000*( Pile!$C$52- Pile!$C308)</f>
        <v>5.9376101152846523</v>
      </c>
      <c r="BQ308" s="382">
        <f t="shared" si="330"/>
        <v>0.63617251235193317</v>
      </c>
      <c r="BR308" s="382">
        <f t="shared" si="295"/>
        <v>593.76101152846525</v>
      </c>
      <c r="BS308" s="382">
        <f>BP308* Pile!$S$52</f>
        <v>593.76101152846525</v>
      </c>
      <c r="BT308" s="382">
        <f t="shared" si="301"/>
        <v>593.76101152846525</v>
      </c>
      <c r="BU308" s="382">
        <f>IF(BT308&gt;0,+BT308)/ 'Pile Data and Eurocode Factors'!$B$14/ 'Pile Data and Eurocode Factors'!$B$15+BU$301</f>
        <v>9453.060365822319</v>
      </c>
      <c r="BV308" s="382">
        <f t="shared" si="308"/>
        <v>636.17251235193316</v>
      </c>
      <c r="BW308" s="382">
        <f>BQ308* Pile!$U$52</f>
        <v>0</v>
      </c>
      <c r="BX308" s="382">
        <f t="shared" si="331"/>
        <v>636.17251235193316</v>
      </c>
      <c r="BY308" s="382">
        <f>BX308/ 'Pile Data and Eurocode Factors'!$C$14/ 'Pile Data and Eurocode Factors'!$C$15</f>
        <v>227.20446869711901</v>
      </c>
      <c r="BZ308" s="382">
        <f t="shared" si="332"/>
        <v>9680.2648345194375</v>
      </c>
      <c r="CA308" s="382">
        <f>VLOOKUP(BO308, 'Pile Data and Eurocode Factors'!$A$34:$J$39,3, FALSE)</f>
        <v>9464.7047474031824</v>
      </c>
      <c r="CB308" s="403">
        <f t="shared" si="333"/>
        <v>9464.7047474031824</v>
      </c>
      <c r="CC308" s="419">
        <v>1050</v>
      </c>
      <c r="CD308" s="430">
        <f>PI()*CC308/1000*( Pile!$C$52- Pile!$C308)</f>
        <v>6.927211801165428</v>
      </c>
      <c r="CE308" s="382">
        <f t="shared" si="334"/>
        <v>0.86590147514568672</v>
      </c>
      <c r="CF308" s="382">
        <f t="shared" si="296"/>
        <v>692.72118011654277</v>
      </c>
      <c r="CG308" s="382">
        <f>CD308* Pile!$S$52</f>
        <v>692.72118011654277</v>
      </c>
      <c r="CH308" s="382">
        <f t="shared" si="302"/>
        <v>692.72118011654277</v>
      </c>
      <c r="CI308" s="382">
        <f>IF(CH308&gt;0,+CH308)/ 'Pile Data and Eurocode Factors'!$B$14/ 'Pile Data and Eurocode Factors'!$B$15+CI$301</f>
        <v>11028.57042679271</v>
      </c>
      <c r="CJ308" s="382">
        <f t="shared" si="309"/>
        <v>865.90147514568673</v>
      </c>
      <c r="CK308" s="382">
        <f>CE308* Pile!$U$52</f>
        <v>0</v>
      </c>
      <c r="CL308" s="382">
        <f t="shared" si="335"/>
        <v>865.90147514568673</v>
      </c>
      <c r="CM308" s="382">
        <f>CL308/ 'Pile Data and Eurocode Factors'!$C$14/ 'Pile Data and Eurocode Factors'!$C$15</f>
        <v>309.25052683774527</v>
      </c>
      <c r="CN308" s="382">
        <f t="shared" si="336"/>
        <v>11337.820953630455</v>
      </c>
      <c r="CO308" s="382">
        <f>VLOOKUP(CC308, 'Pile Data and Eurocode Factors'!$A$34:$J$39,3, FALSE)</f>
        <v>12882.514795076555</v>
      </c>
      <c r="CP308" s="403">
        <f t="shared" si="337"/>
        <v>11337.820953630455</v>
      </c>
      <c r="CQ308" s="419">
        <v>1200</v>
      </c>
      <c r="CR308" s="430">
        <f>PI()*CQ308/1000*( Pile!$C$52- Pile!$C308)</f>
        <v>7.9168134870462037</v>
      </c>
      <c r="CS308" s="382">
        <f t="shared" si="338"/>
        <v>1.1309733552923256</v>
      </c>
      <c r="CT308" s="382">
        <f t="shared" si="297"/>
        <v>791.6813487046204</v>
      </c>
      <c r="CU308" s="382">
        <f>CR308* Pile!$S$52</f>
        <v>791.6813487046204</v>
      </c>
      <c r="CV308" s="382">
        <f t="shared" si="303"/>
        <v>791.6813487046204</v>
      </c>
      <c r="CW308" s="382">
        <f>IF(CV308&gt;0,+CV308)/ 'Pile Data and Eurocode Factors'!$B$14/ 'Pile Data and Eurocode Factors'!$B$15+CW$301</f>
        <v>12604.080487763096</v>
      </c>
      <c r="CX308" s="382">
        <f t="shared" si="310"/>
        <v>1130.9733552923256</v>
      </c>
      <c r="CY308" s="382">
        <f>CS308* Pile!$U$52</f>
        <v>0</v>
      </c>
      <c r="CZ308" s="382">
        <f t="shared" si="339"/>
        <v>1130.9733552923256</v>
      </c>
      <c r="DA308" s="382">
        <f>CZ308/ 'Pile Data and Eurocode Factors'!$C$14/ 'Pile Data and Eurocode Factors'!$C$15</f>
        <v>403.91905546154487</v>
      </c>
      <c r="DB308" s="382">
        <f t="shared" si="340"/>
        <v>13007.999543224641</v>
      </c>
      <c r="DC308" s="382">
        <f>VLOOKUP(CQ308, 'Pile Data and Eurocode Factors'!$A$34:$J$39,3, FALSE)</f>
        <v>16826.141773161216</v>
      </c>
      <c r="DD308" s="403">
        <f t="shared" si="341"/>
        <v>13007.999543224641</v>
      </c>
      <c r="DE308" s="420">
        <f xml:space="preserve"> Pile!$C$23- Pile!C308</f>
        <v>44.09999999999998</v>
      </c>
      <c r="DG308" s="382">
        <f t="shared" si="342"/>
        <v>2366.1761868507956</v>
      </c>
      <c r="DH308" s="382">
        <f t="shared" si="343"/>
        <v>4206.5354432903041</v>
      </c>
      <c r="DI308" s="382">
        <f t="shared" si="344"/>
        <v>6572.7116301410997</v>
      </c>
      <c r="DJ308" s="382">
        <f t="shared" si="345"/>
        <v>9464.7047474031824</v>
      </c>
      <c r="DK308" s="382">
        <f t="shared" si="346"/>
        <v>11337.820953630455</v>
      </c>
      <c r="DL308" s="382">
        <f t="shared" si="347"/>
        <v>13007.999543224641</v>
      </c>
    </row>
    <row r="309" spans="2:116" s="308" customFormat="1" ht="15">
      <c r="B309" s="400">
        <v>8</v>
      </c>
      <c r="C309" s="401">
        <f>+C308- Pile!D$52/20</f>
        <v>-38.399999999999977</v>
      </c>
      <c r="D309" s="415" t="str">
        <f>B26</f>
        <v>Medium Density Chalk</v>
      </c>
      <c r="E309" s="415" t="str">
        <f>F26</f>
        <v>Chalk</v>
      </c>
      <c r="F309" s="401">
        <f xml:space="preserve"> Pile!$E$52*( Pile!$C$52- Pile!C309)+$F$301</f>
        <v>843.55949999999973</v>
      </c>
      <c r="G309" s="401">
        <f>IF(C309&gt; Pile!$C$54,0,( Pile!$C$54-C309)*9.81)</f>
        <v>229.55399999999977</v>
      </c>
      <c r="H309" s="401">
        <f t="shared" si="313"/>
        <v>614.00549999999998</v>
      </c>
      <c r="I309" s="401">
        <f t="shared" si="312"/>
        <v>601.49775000000011</v>
      </c>
      <c r="J309" s="401">
        <f>IF(E309="Cohesive",(( Pile!$H$52- Pile!$G$52)/20)+J308,0)</f>
        <v>0</v>
      </c>
      <c r="K309" s="401">
        <f>IF(E309="Cohesive",( Pile!$G$52+ Pile!$J309)/2,0)</f>
        <v>0</v>
      </c>
      <c r="L309" s="401" t="str">
        <f>IF( Pile!I$52="",0, Pile!I$52)</f>
        <v>0</v>
      </c>
      <c r="M309" s="401" t="str">
        <f>IF( Pile!J$52="",0, Pile!J$52)</f>
        <v>0</v>
      </c>
      <c r="N309" s="401">
        <f>IF(E309="Granular", Pile!$K$52,0)</f>
        <v>0</v>
      </c>
      <c r="O309" s="416">
        <f>IF(AND(E309="Granular",D309&lt;&gt;"Made Ground"), Pile!$L$52,0)</f>
        <v>0</v>
      </c>
      <c r="P309" s="401">
        <f>IF(OR(D309="Low Density Chalk",D309="Medium Density Chalk"), Pile!$M$52,0)</f>
        <v>0.45</v>
      </c>
      <c r="Q309" s="417">
        <f>IF(D309="High Density Chalk", Pile!$N$52,0)</f>
        <v>0</v>
      </c>
      <c r="R309" s="401">
        <f>IF( Pile!O$52="",0, Pile!O$52)</f>
        <v>6000</v>
      </c>
      <c r="S309" s="418">
        <f t="shared" si="314"/>
        <v>270.67398750000007</v>
      </c>
      <c r="T309" s="382">
        <f xml:space="preserve"> Pile!$T$52</f>
        <v>100</v>
      </c>
      <c r="U309" s="382">
        <f t="shared" si="315"/>
        <v>100</v>
      </c>
      <c r="V309" s="382">
        <f t="shared" si="316"/>
        <v>6000</v>
      </c>
      <c r="W309" s="382">
        <f xml:space="preserve"> Pile!$V$52</f>
        <v>1000</v>
      </c>
      <c r="X309" s="382">
        <f t="shared" si="317"/>
        <v>1000</v>
      </c>
      <c r="Y309" s="419">
        <v>450</v>
      </c>
      <c r="Z309" s="430">
        <f>PI()*Y309/1000*( Pile!$C$52- Pile!$C309)</f>
        <v>3.3929200658769445</v>
      </c>
      <c r="AA309" s="382">
        <f t="shared" si="318"/>
        <v>0.15904312808798329</v>
      </c>
      <c r="AB309" s="382">
        <f t="shared" si="292"/>
        <v>339.29200658769446</v>
      </c>
      <c r="AC309" s="382">
        <f>Z309* Pile!$S$52</f>
        <v>339.29200658769446</v>
      </c>
      <c r="AD309" s="382">
        <f t="shared" si="298"/>
        <v>339.29200658769446</v>
      </c>
      <c r="AE309" s="382">
        <f>IF(AD309&gt;0,+AD309)/ 'Pile Data and Eurocode Factors'!$B$14/ 'Pile Data and Eurocode Factors'!$B$15+AE$301</f>
        <v>4745.4638886359198</v>
      </c>
      <c r="AF309" s="382">
        <f t="shared" si="305"/>
        <v>159.04312808798329</v>
      </c>
      <c r="AG309" s="382">
        <f>AA309* Pile!$U$52</f>
        <v>0</v>
      </c>
      <c r="AH309" s="382">
        <f t="shared" si="319"/>
        <v>159.04312808798329</v>
      </c>
      <c r="AI309" s="382">
        <f>AH309/ 'Pile Data and Eurocode Factors'!$C$14/ 'Pile Data and Eurocode Factors'!$C$15</f>
        <v>56.801117174279753</v>
      </c>
      <c r="AJ309" s="382">
        <f t="shared" si="320"/>
        <v>4802.2650058101999</v>
      </c>
      <c r="AK309" s="382">
        <f>VLOOKUP(Y309, 'Pile Data and Eurocode Factors'!$A$34:$J$39,3, FALSE)</f>
        <v>2366.1761868507956</v>
      </c>
      <c r="AL309" s="403">
        <f t="shared" si="321"/>
        <v>2366.1761868507956</v>
      </c>
      <c r="AM309" s="419">
        <v>600</v>
      </c>
      <c r="AN309" s="430">
        <f>PI()*AM309/1000*( Pile!$C$52- Pile!$C309)</f>
        <v>4.5238934211692596</v>
      </c>
      <c r="AO309" s="382">
        <f t="shared" si="322"/>
        <v>0.28274333882308139</v>
      </c>
      <c r="AP309" s="382">
        <f t="shared" si="293"/>
        <v>452.38934211692595</v>
      </c>
      <c r="AQ309" s="382">
        <f>AN309* Pile!$S$52</f>
        <v>452.38934211692595</v>
      </c>
      <c r="AR309" s="382">
        <f t="shared" si="299"/>
        <v>452.38934211692595</v>
      </c>
      <c r="AS309" s="382">
        <f>IF(AR309&gt;0,+AR309)/ 'Pile Data and Eurocode Factors'!$B$14/ 'Pile Data and Eurocode Factors'!$B$15+AS$301</f>
        <v>6327.2851848478949</v>
      </c>
      <c r="AT309" s="382">
        <f t="shared" si="306"/>
        <v>282.74333882308139</v>
      </c>
      <c r="AU309" s="382">
        <f>AO309* Pile!$U$52</f>
        <v>0</v>
      </c>
      <c r="AV309" s="382">
        <f t="shared" si="323"/>
        <v>282.74333882308139</v>
      </c>
      <c r="AW309" s="382">
        <f>AV309/ 'Pile Data and Eurocode Factors'!$C$14/ 'Pile Data and Eurocode Factors'!$C$15</f>
        <v>100.97976386538622</v>
      </c>
      <c r="AX309" s="382">
        <f t="shared" si="324"/>
        <v>6428.2649487132812</v>
      </c>
      <c r="AY309" s="382">
        <f>VLOOKUP(AM309, 'Pile Data and Eurocode Factors'!$A$34:$J$39,3, FALSE)</f>
        <v>4206.5354432903041</v>
      </c>
      <c r="AZ309" s="403">
        <f t="shared" si="325"/>
        <v>4206.5354432903041</v>
      </c>
      <c r="BA309" s="419">
        <v>750</v>
      </c>
      <c r="BB309" s="430">
        <f>PI()*BA309/1000*( Pile!$C$52- Pile!$C309)</f>
        <v>5.6548667764615743</v>
      </c>
      <c r="BC309" s="382">
        <f t="shared" si="326"/>
        <v>0.44178646691106466</v>
      </c>
      <c r="BD309" s="382">
        <f t="shared" si="294"/>
        <v>565.48667764615743</v>
      </c>
      <c r="BE309" s="382">
        <f>BB309* Pile!$S$52</f>
        <v>565.48667764615743</v>
      </c>
      <c r="BF309" s="382">
        <f t="shared" si="300"/>
        <v>565.48667764615743</v>
      </c>
      <c r="BG309" s="382">
        <f>IF(BF309&gt;0,+BF309)/ 'Pile Data and Eurocode Factors'!$B$14/ 'Pile Data and Eurocode Factors'!$B$15+BG$301</f>
        <v>7909.1064810598682</v>
      </c>
      <c r="BH309" s="382">
        <f t="shared" si="307"/>
        <v>441.78646691106468</v>
      </c>
      <c r="BI309" s="382">
        <f>BC309* Pile!$U$52</f>
        <v>0</v>
      </c>
      <c r="BJ309" s="382">
        <f t="shared" si="327"/>
        <v>441.78646691106468</v>
      </c>
      <c r="BK309" s="382">
        <f>BJ309/ 'Pile Data and Eurocode Factors'!$C$14/ 'Pile Data and Eurocode Factors'!$C$15</f>
        <v>157.78088103966596</v>
      </c>
      <c r="BL309" s="382">
        <f t="shared" si="328"/>
        <v>8066.8873620995346</v>
      </c>
      <c r="BM309" s="382">
        <f>VLOOKUP(BA309, 'Pile Data and Eurocode Factors'!$A$34:$J$39,3, FALSE)</f>
        <v>6572.7116301410997</v>
      </c>
      <c r="BN309" s="403">
        <f t="shared" si="329"/>
        <v>6572.7116301410997</v>
      </c>
      <c r="BO309" s="419">
        <v>900</v>
      </c>
      <c r="BP309" s="430">
        <f>PI()*BO309/1000*( Pile!$C$52- Pile!$C309)</f>
        <v>6.785840131753889</v>
      </c>
      <c r="BQ309" s="382">
        <f t="shared" si="330"/>
        <v>0.63617251235193317</v>
      </c>
      <c r="BR309" s="382">
        <f t="shared" si="295"/>
        <v>678.58401317538892</v>
      </c>
      <c r="BS309" s="382">
        <f>BP309* Pile!$S$52</f>
        <v>678.58401317538892</v>
      </c>
      <c r="BT309" s="382">
        <f t="shared" si="301"/>
        <v>678.58401317538892</v>
      </c>
      <c r="BU309" s="382">
        <f>IF(BT309&gt;0,+BT309)/ 'Pile Data and Eurocode Factors'!$B$14/ 'Pile Data and Eurocode Factors'!$B$15+BU$301</f>
        <v>9490.9277772718397</v>
      </c>
      <c r="BV309" s="382">
        <f t="shared" si="308"/>
        <v>636.17251235193316</v>
      </c>
      <c r="BW309" s="382">
        <f>BQ309* Pile!$U$52</f>
        <v>0</v>
      </c>
      <c r="BX309" s="382">
        <f t="shared" si="331"/>
        <v>636.17251235193316</v>
      </c>
      <c r="BY309" s="382">
        <f>BX309/ 'Pile Data and Eurocode Factors'!$C$14/ 'Pile Data and Eurocode Factors'!$C$15</f>
        <v>227.20446869711901</v>
      </c>
      <c r="BZ309" s="382">
        <f t="shared" si="332"/>
        <v>9718.1322459689582</v>
      </c>
      <c r="CA309" s="382">
        <f>VLOOKUP(BO309, 'Pile Data and Eurocode Factors'!$A$34:$J$39,3, FALSE)</f>
        <v>9464.7047474031824</v>
      </c>
      <c r="CB309" s="403">
        <f t="shared" si="333"/>
        <v>9464.7047474031824</v>
      </c>
      <c r="CC309" s="419">
        <v>1050</v>
      </c>
      <c r="CD309" s="430">
        <f>PI()*CC309/1000*( Pile!$C$52- Pile!$C309)</f>
        <v>7.9168134870462037</v>
      </c>
      <c r="CE309" s="382">
        <f t="shared" si="334"/>
        <v>0.86590147514568672</v>
      </c>
      <c r="CF309" s="382">
        <f t="shared" si="296"/>
        <v>791.6813487046204</v>
      </c>
      <c r="CG309" s="382">
        <f>CD309* Pile!$S$52</f>
        <v>791.6813487046204</v>
      </c>
      <c r="CH309" s="382">
        <f t="shared" si="302"/>
        <v>791.6813487046204</v>
      </c>
      <c r="CI309" s="382">
        <f>IF(CH309&gt;0,+CH309)/ 'Pile Data and Eurocode Factors'!$B$14/ 'Pile Data and Eurocode Factors'!$B$15+CI$301</f>
        <v>11072.749073483816</v>
      </c>
      <c r="CJ309" s="382">
        <f t="shared" si="309"/>
        <v>865.90147514568673</v>
      </c>
      <c r="CK309" s="382">
        <f>CE309* Pile!$U$52</f>
        <v>0</v>
      </c>
      <c r="CL309" s="382">
        <f t="shared" si="335"/>
        <v>865.90147514568673</v>
      </c>
      <c r="CM309" s="382">
        <f>CL309/ 'Pile Data and Eurocode Factors'!$C$14/ 'Pile Data and Eurocode Factors'!$C$15</f>
        <v>309.25052683774527</v>
      </c>
      <c r="CN309" s="382">
        <f t="shared" si="336"/>
        <v>11381.99960032156</v>
      </c>
      <c r="CO309" s="382">
        <f>VLOOKUP(CC309, 'Pile Data and Eurocode Factors'!$A$34:$J$39,3, FALSE)</f>
        <v>12882.514795076555</v>
      </c>
      <c r="CP309" s="403">
        <f t="shared" si="337"/>
        <v>11381.99960032156</v>
      </c>
      <c r="CQ309" s="419">
        <v>1200</v>
      </c>
      <c r="CR309" s="430">
        <f>PI()*CQ309/1000*( Pile!$C$52- Pile!$C309)</f>
        <v>9.0477868423385193</v>
      </c>
      <c r="CS309" s="382">
        <f t="shared" si="338"/>
        <v>1.1309733552923256</v>
      </c>
      <c r="CT309" s="382">
        <f t="shared" si="297"/>
        <v>904.77868423385189</v>
      </c>
      <c r="CU309" s="382">
        <f>CR309* Pile!$S$52</f>
        <v>904.77868423385189</v>
      </c>
      <c r="CV309" s="382">
        <f t="shared" si="303"/>
        <v>904.77868423385189</v>
      </c>
      <c r="CW309" s="382">
        <f>IF(CV309&gt;0,+CV309)/ 'Pile Data and Eurocode Factors'!$B$14/ 'Pile Data and Eurocode Factors'!$B$15+CW$301</f>
        <v>12654.57036969579</v>
      </c>
      <c r="CX309" s="382">
        <f t="shared" si="310"/>
        <v>1130.9733552923256</v>
      </c>
      <c r="CY309" s="382">
        <f>CS309* Pile!$U$52</f>
        <v>0</v>
      </c>
      <c r="CZ309" s="382">
        <f t="shared" si="339"/>
        <v>1130.9733552923256</v>
      </c>
      <c r="DA309" s="382">
        <f>CZ309/ 'Pile Data and Eurocode Factors'!$C$14/ 'Pile Data and Eurocode Factors'!$C$15</f>
        <v>403.91905546154487</v>
      </c>
      <c r="DB309" s="382">
        <f t="shared" si="340"/>
        <v>13058.489425157335</v>
      </c>
      <c r="DC309" s="382">
        <f>VLOOKUP(CQ309, 'Pile Data and Eurocode Factors'!$A$34:$J$39,3, FALSE)</f>
        <v>16826.141773161216</v>
      </c>
      <c r="DD309" s="403">
        <f t="shared" si="341"/>
        <v>13058.489425157335</v>
      </c>
      <c r="DE309" s="420">
        <f xml:space="preserve"> Pile!$C$23- Pile!C309</f>
        <v>44.399999999999977</v>
      </c>
      <c r="DG309" s="382">
        <f t="shared" si="342"/>
        <v>2366.1761868507956</v>
      </c>
      <c r="DH309" s="382">
        <f t="shared" si="343"/>
        <v>4206.5354432903041</v>
      </c>
      <c r="DI309" s="382">
        <f t="shared" si="344"/>
        <v>6572.7116301410997</v>
      </c>
      <c r="DJ309" s="382">
        <f t="shared" si="345"/>
        <v>9464.7047474031824</v>
      </c>
      <c r="DK309" s="382">
        <f t="shared" si="346"/>
        <v>11381.99960032156</v>
      </c>
      <c r="DL309" s="382">
        <f t="shared" si="347"/>
        <v>13058.489425157335</v>
      </c>
    </row>
    <row r="310" spans="2:116" s="308" customFormat="1" ht="15">
      <c r="B310" s="400">
        <v>9</v>
      </c>
      <c r="C310" s="401">
        <f>+C309- Pile!D$52/20</f>
        <v>-38.699999999999974</v>
      </c>
      <c r="D310" s="415" t="str">
        <f>B26</f>
        <v>Medium Density Chalk</v>
      </c>
      <c r="E310" s="415" t="str">
        <f>F26</f>
        <v>Chalk</v>
      </c>
      <c r="F310" s="401">
        <f xml:space="preserve"> Pile!$E$52*( Pile!$C$52- Pile!C310)+$F$301</f>
        <v>849.62943749999977</v>
      </c>
      <c r="G310" s="401">
        <f>IF(C310&gt; Pile!$C$54,0,( Pile!$C$54-C310)*9.81)</f>
        <v>232.49699999999976</v>
      </c>
      <c r="H310" s="401">
        <f t="shared" si="313"/>
        <v>617.13243750000004</v>
      </c>
      <c r="I310" s="401">
        <f t="shared" si="312"/>
        <v>603.06121875000008</v>
      </c>
      <c r="J310" s="401">
        <f>IF(E310="Cohesive",(( Pile!$H$52- Pile!$G$52)/20)+J309,0)</f>
        <v>0</v>
      </c>
      <c r="K310" s="401">
        <f>IF(E310="Cohesive",( Pile!$G$52+ Pile!$J310)/2,0)</f>
        <v>0</v>
      </c>
      <c r="L310" s="401" t="str">
        <f>IF( Pile!I$52="",0, Pile!I$52)</f>
        <v>0</v>
      </c>
      <c r="M310" s="401" t="str">
        <f>IF( Pile!J$52="",0, Pile!J$52)</f>
        <v>0</v>
      </c>
      <c r="N310" s="401">
        <f>IF(E310="Granular", Pile!$K$52,0)</f>
        <v>0</v>
      </c>
      <c r="O310" s="416">
        <f>IF(AND(E310="Granular",D310&lt;&gt;"Made Ground"), Pile!$L$52,0)</f>
        <v>0</v>
      </c>
      <c r="P310" s="401">
        <f>IF(OR(D310="Low Density Chalk",D310="Medium Density Chalk"), Pile!$M$52,0)</f>
        <v>0.45</v>
      </c>
      <c r="Q310" s="417">
        <f>IF(D310="High Density Chalk", Pile!$N$52,0)</f>
        <v>0</v>
      </c>
      <c r="R310" s="401">
        <f>IF( Pile!O$52="",0, Pile!O$52)</f>
        <v>6000</v>
      </c>
      <c r="S310" s="418">
        <f t="shared" si="314"/>
        <v>271.37754843750002</v>
      </c>
      <c r="T310" s="382">
        <f xml:space="preserve"> Pile!$T$52</f>
        <v>100</v>
      </c>
      <c r="U310" s="382">
        <f t="shared" si="315"/>
        <v>100</v>
      </c>
      <c r="V310" s="382">
        <f t="shared" si="316"/>
        <v>6000</v>
      </c>
      <c r="W310" s="382">
        <f xml:space="preserve"> Pile!$V$52</f>
        <v>1000</v>
      </c>
      <c r="X310" s="382">
        <f t="shared" si="317"/>
        <v>1000</v>
      </c>
      <c r="Y310" s="419">
        <v>450</v>
      </c>
      <c r="Z310" s="430">
        <f>PI()*Y310/1000*( Pile!$C$52- Pile!$C310)</f>
        <v>3.8170350741115624</v>
      </c>
      <c r="AA310" s="382">
        <f t="shared" si="318"/>
        <v>0.15904312808798329</v>
      </c>
      <c r="AB310" s="382">
        <f t="shared" si="292"/>
        <v>381.70350741115624</v>
      </c>
      <c r="AC310" s="382">
        <f>Z310* Pile!$S$52</f>
        <v>381.70350741115624</v>
      </c>
      <c r="AD310" s="382">
        <f t="shared" si="298"/>
        <v>381.70350741115624</v>
      </c>
      <c r="AE310" s="382">
        <f>IF(AD310&gt;0,+AD310)/ 'Pile Data and Eurocode Factors'!$B$14/ 'Pile Data and Eurocode Factors'!$B$15+AE$301</f>
        <v>4764.3975943606792</v>
      </c>
      <c r="AF310" s="382">
        <f t="shared" si="305"/>
        <v>159.04312808798329</v>
      </c>
      <c r="AG310" s="382">
        <f>AA310* Pile!$U$52</f>
        <v>0</v>
      </c>
      <c r="AH310" s="382">
        <f t="shared" si="319"/>
        <v>159.04312808798329</v>
      </c>
      <c r="AI310" s="382">
        <f>AH310/ 'Pile Data and Eurocode Factors'!$C$14/ 'Pile Data and Eurocode Factors'!$C$15</f>
        <v>56.801117174279753</v>
      </c>
      <c r="AJ310" s="382">
        <f t="shared" si="320"/>
        <v>4821.1987115349593</v>
      </c>
      <c r="AK310" s="382">
        <f>VLOOKUP(Y310, 'Pile Data and Eurocode Factors'!$A$34:$J$39,3, FALSE)</f>
        <v>2366.1761868507956</v>
      </c>
      <c r="AL310" s="403">
        <f t="shared" si="321"/>
        <v>2366.1761868507956</v>
      </c>
      <c r="AM310" s="419">
        <v>600</v>
      </c>
      <c r="AN310" s="430">
        <f>PI()*AM310/1000*( Pile!$C$52- Pile!$C310)</f>
        <v>5.0893800988154165</v>
      </c>
      <c r="AO310" s="382">
        <f t="shared" si="322"/>
        <v>0.28274333882308139</v>
      </c>
      <c r="AP310" s="382">
        <f t="shared" si="293"/>
        <v>508.93800988154163</v>
      </c>
      <c r="AQ310" s="382">
        <f>AN310* Pile!$S$52</f>
        <v>508.93800988154163</v>
      </c>
      <c r="AR310" s="382">
        <f t="shared" si="299"/>
        <v>508.93800988154163</v>
      </c>
      <c r="AS310" s="382">
        <f>IF(AR310&gt;0,+AR310)/ 'Pile Data and Eurocode Factors'!$B$14/ 'Pile Data and Eurocode Factors'!$B$15+AS$301</f>
        <v>6352.5301258142408</v>
      </c>
      <c r="AT310" s="382">
        <f t="shared" si="306"/>
        <v>282.74333882308139</v>
      </c>
      <c r="AU310" s="382">
        <f>AO310* Pile!$U$52</f>
        <v>0</v>
      </c>
      <c r="AV310" s="382">
        <f t="shared" si="323"/>
        <v>282.74333882308139</v>
      </c>
      <c r="AW310" s="382">
        <f>AV310/ 'Pile Data and Eurocode Factors'!$C$14/ 'Pile Data and Eurocode Factors'!$C$15</f>
        <v>100.97976386538622</v>
      </c>
      <c r="AX310" s="382">
        <f t="shared" si="324"/>
        <v>6453.5098896796271</v>
      </c>
      <c r="AY310" s="382">
        <f>VLOOKUP(AM310, 'Pile Data and Eurocode Factors'!$A$34:$J$39,3, FALSE)</f>
        <v>4206.5354432903041</v>
      </c>
      <c r="AZ310" s="403">
        <f t="shared" si="325"/>
        <v>4206.5354432903041</v>
      </c>
      <c r="BA310" s="419">
        <v>750</v>
      </c>
      <c r="BB310" s="430">
        <f>PI()*BA310/1000*( Pile!$C$52- Pile!$C310)</f>
        <v>6.3617251235192711</v>
      </c>
      <c r="BC310" s="382">
        <f t="shared" si="326"/>
        <v>0.44178646691106466</v>
      </c>
      <c r="BD310" s="382">
        <f t="shared" si="294"/>
        <v>636.17251235192714</v>
      </c>
      <c r="BE310" s="382">
        <f>BB310* Pile!$S$52</f>
        <v>636.17251235192714</v>
      </c>
      <c r="BF310" s="382">
        <f t="shared" si="300"/>
        <v>636.17251235192714</v>
      </c>
      <c r="BG310" s="382">
        <f>IF(BF310&gt;0,+BF310)/ 'Pile Data and Eurocode Factors'!$B$14/ 'Pile Data and Eurocode Factors'!$B$15+BG$301</f>
        <v>7940.6626572678006</v>
      </c>
      <c r="BH310" s="382">
        <f t="shared" si="307"/>
        <v>441.78646691106468</v>
      </c>
      <c r="BI310" s="382">
        <f>BC310* Pile!$U$52</f>
        <v>0</v>
      </c>
      <c r="BJ310" s="382">
        <f t="shared" si="327"/>
        <v>441.78646691106468</v>
      </c>
      <c r="BK310" s="382">
        <f>BJ310/ 'Pile Data and Eurocode Factors'!$C$14/ 'Pile Data and Eurocode Factors'!$C$15</f>
        <v>157.78088103966596</v>
      </c>
      <c r="BL310" s="382">
        <f t="shared" si="328"/>
        <v>8098.443538307467</v>
      </c>
      <c r="BM310" s="382">
        <f>VLOOKUP(BA310, 'Pile Data and Eurocode Factors'!$A$34:$J$39,3, FALSE)</f>
        <v>6572.7116301410997</v>
      </c>
      <c r="BN310" s="403">
        <f t="shared" si="329"/>
        <v>6572.7116301410997</v>
      </c>
      <c r="BO310" s="419">
        <v>900</v>
      </c>
      <c r="BP310" s="430">
        <f>PI()*BO310/1000*( Pile!$C$52- Pile!$C310)</f>
        <v>7.6340701482231248</v>
      </c>
      <c r="BQ310" s="382">
        <f t="shared" si="330"/>
        <v>0.63617251235193317</v>
      </c>
      <c r="BR310" s="382">
        <f t="shared" si="295"/>
        <v>763.40701482231248</v>
      </c>
      <c r="BS310" s="382">
        <f>BP310* Pile!$S$52</f>
        <v>763.40701482231248</v>
      </c>
      <c r="BT310" s="382">
        <f t="shared" si="301"/>
        <v>763.40701482231248</v>
      </c>
      <c r="BU310" s="382">
        <f>IF(BT310&gt;0,+BT310)/ 'Pile Data and Eurocode Factors'!$B$14/ 'Pile Data and Eurocode Factors'!$B$15+BU$301</f>
        <v>9528.7951887213585</v>
      </c>
      <c r="BV310" s="382">
        <f t="shared" si="308"/>
        <v>636.17251235193316</v>
      </c>
      <c r="BW310" s="382">
        <f>BQ310* Pile!$U$52</f>
        <v>0</v>
      </c>
      <c r="BX310" s="382">
        <f t="shared" si="331"/>
        <v>636.17251235193316</v>
      </c>
      <c r="BY310" s="382">
        <f>BX310/ 'Pile Data and Eurocode Factors'!$C$14/ 'Pile Data and Eurocode Factors'!$C$15</f>
        <v>227.20446869711901</v>
      </c>
      <c r="BZ310" s="382">
        <f t="shared" si="332"/>
        <v>9755.999657418477</v>
      </c>
      <c r="CA310" s="382">
        <f>VLOOKUP(BO310, 'Pile Data and Eurocode Factors'!$A$34:$J$39,3, FALSE)</f>
        <v>9464.7047474031824</v>
      </c>
      <c r="CB310" s="403">
        <f t="shared" si="333"/>
        <v>9464.7047474031824</v>
      </c>
      <c r="CC310" s="419">
        <v>1050</v>
      </c>
      <c r="CD310" s="430">
        <f>PI()*CC310/1000*( Pile!$C$52- Pile!$C310)</f>
        <v>8.9064151729269785</v>
      </c>
      <c r="CE310" s="382">
        <f t="shared" si="334"/>
        <v>0.86590147514568672</v>
      </c>
      <c r="CF310" s="382">
        <f t="shared" si="296"/>
        <v>890.64151729269781</v>
      </c>
      <c r="CG310" s="382">
        <f>CD310* Pile!$S$52</f>
        <v>890.64151729269781</v>
      </c>
      <c r="CH310" s="382">
        <f t="shared" si="302"/>
        <v>890.64151729269781</v>
      </c>
      <c r="CI310" s="382">
        <f>IF(CH310&gt;0,+CH310)/ 'Pile Data and Eurocode Factors'!$B$14/ 'Pile Data and Eurocode Factors'!$B$15+CI$301</f>
        <v>11116.927720174923</v>
      </c>
      <c r="CJ310" s="382">
        <f t="shared" si="309"/>
        <v>865.90147514568673</v>
      </c>
      <c r="CK310" s="382">
        <f>CE310* Pile!$U$52</f>
        <v>0</v>
      </c>
      <c r="CL310" s="382">
        <f t="shared" si="335"/>
        <v>865.90147514568673</v>
      </c>
      <c r="CM310" s="382">
        <f>CL310/ 'Pile Data and Eurocode Factors'!$C$14/ 'Pile Data and Eurocode Factors'!$C$15</f>
        <v>309.25052683774527</v>
      </c>
      <c r="CN310" s="382">
        <f t="shared" si="336"/>
        <v>11426.178247012667</v>
      </c>
      <c r="CO310" s="382">
        <f>VLOOKUP(CC310, 'Pile Data and Eurocode Factors'!$A$34:$J$39,3, FALSE)</f>
        <v>12882.514795076555</v>
      </c>
      <c r="CP310" s="403">
        <f t="shared" si="337"/>
        <v>11426.178247012667</v>
      </c>
      <c r="CQ310" s="419">
        <v>1200</v>
      </c>
      <c r="CR310" s="430">
        <f>PI()*CQ310/1000*( Pile!$C$52- Pile!$C310)</f>
        <v>10.178760197630833</v>
      </c>
      <c r="CS310" s="382">
        <f t="shared" si="338"/>
        <v>1.1309733552923256</v>
      </c>
      <c r="CT310" s="382">
        <f t="shared" si="297"/>
        <v>1017.8760197630833</v>
      </c>
      <c r="CU310" s="382">
        <f>CR310* Pile!$S$52</f>
        <v>1017.8760197630833</v>
      </c>
      <c r="CV310" s="382">
        <f t="shared" si="303"/>
        <v>1017.8760197630833</v>
      </c>
      <c r="CW310" s="382">
        <f>IF(CV310&gt;0,+CV310)/ 'Pile Data and Eurocode Factors'!$B$14/ 'Pile Data and Eurocode Factors'!$B$15+CW$301</f>
        <v>12705.060251628482</v>
      </c>
      <c r="CX310" s="382">
        <f t="shared" si="310"/>
        <v>1130.9733552923256</v>
      </c>
      <c r="CY310" s="382">
        <f>CS310* Pile!$U$52</f>
        <v>0</v>
      </c>
      <c r="CZ310" s="382">
        <f t="shared" si="339"/>
        <v>1130.9733552923256</v>
      </c>
      <c r="DA310" s="382">
        <f>CZ310/ 'Pile Data and Eurocode Factors'!$C$14/ 'Pile Data and Eurocode Factors'!$C$15</f>
        <v>403.91905546154487</v>
      </c>
      <c r="DB310" s="382">
        <f t="shared" si="340"/>
        <v>13108.979307090027</v>
      </c>
      <c r="DC310" s="382">
        <f>VLOOKUP(CQ310, 'Pile Data and Eurocode Factors'!$A$34:$J$39,3, FALSE)</f>
        <v>16826.141773161216</v>
      </c>
      <c r="DD310" s="403">
        <f t="shared" si="341"/>
        <v>13108.979307090027</v>
      </c>
      <c r="DE310" s="420">
        <f xml:space="preserve"> Pile!$C$23- Pile!C310</f>
        <v>44.699999999999974</v>
      </c>
      <c r="DG310" s="382">
        <f t="shared" si="342"/>
        <v>2366.1761868507956</v>
      </c>
      <c r="DH310" s="382">
        <f t="shared" si="343"/>
        <v>4206.5354432903041</v>
      </c>
      <c r="DI310" s="382">
        <f t="shared" si="344"/>
        <v>6572.7116301410997</v>
      </c>
      <c r="DJ310" s="382">
        <f t="shared" si="345"/>
        <v>9464.7047474031824</v>
      </c>
      <c r="DK310" s="382">
        <f t="shared" si="346"/>
        <v>11426.178247012667</v>
      </c>
      <c r="DL310" s="382">
        <f t="shared" si="347"/>
        <v>13108.979307090027</v>
      </c>
    </row>
    <row r="311" spans="2:116" s="308" customFormat="1" ht="15">
      <c r="B311" s="400">
        <v>10</v>
      </c>
      <c r="C311" s="401">
        <f>+C310- Pile!D$52/20</f>
        <v>-38.999999999999972</v>
      </c>
      <c r="D311" s="415" t="str">
        <f>B26</f>
        <v>Medium Density Chalk</v>
      </c>
      <c r="E311" s="415" t="str">
        <f>F26</f>
        <v>Chalk</v>
      </c>
      <c r="F311" s="401">
        <f xml:space="preserve"> Pile!$E$52*( Pile!$C$52- Pile!C311)+$F$301</f>
        <v>855.69937499999969</v>
      </c>
      <c r="G311" s="401">
        <f>IF(C311&gt; Pile!$C$54,0,( Pile!$C$54-C311)*9.81)</f>
        <v>235.43999999999974</v>
      </c>
      <c r="H311" s="401">
        <f t="shared" si="313"/>
        <v>620.25937499999998</v>
      </c>
      <c r="I311" s="401">
        <f t="shared" si="312"/>
        <v>604.62468750000016</v>
      </c>
      <c r="J311" s="401">
        <f>IF(E311="Cohesive",(( Pile!$H$52- Pile!$G$52)/20)+J310,0)</f>
        <v>0</v>
      </c>
      <c r="K311" s="401">
        <f>IF(E311="Cohesive",( Pile!$G$52+ Pile!$J311)/2,0)</f>
        <v>0</v>
      </c>
      <c r="L311" s="401" t="str">
        <f>IF( Pile!I$52="",0, Pile!I$52)</f>
        <v>0</v>
      </c>
      <c r="M311" s="401" t="str">
        <f>IF( Pile!J$52="",0, Pile!J$52)</f>
        <v>0</v>
      </c>
      <c r="N311" s="401">
        <f>IF(E311="Granular", Pile!$K$52,0)</f>
        <v>0</v>
      </c>
      <c r="O311" s="416">
        <f>IF(AND(E311="Granular",D311&lt;&gt;"Made Ground"), Pile!$L$52,0)</f>
        <v>0</v>
      </c>
      <c r="P311" s="401">
        <f>IF(OR(D311="Low Density Chalk",D311="Medium Density Chalk"), Pile!$M$52,0)</f>
        <v>0.45</v>
      </c>
      <c r="Q311" s="417">
        <f>IF(D311="High Density Chalk", Pile!$N$52,0)</f>
        <v>0</v>
      </c>
      <c r="R311" s="401">
        <f>IF( Pile!O$52="",0, Pile!O$52)</f>
        <v>6000</v>
      </c>
      <c r="S311" s="418">
        <f t="shared" si="314"/>
        <v>272.0811093750001</v>
      </c>
      <c r="T311" s="382">
        <f xml:space="preserve"> Pile!$T$52</f>
        <v>100</v>
      </c>
      <c r="U311" s="382">
        <f t="shared" si="315"/>
        <v>100</v>
      </c>
      <c r="V311" s="382">
        <f t="shared" si="316"/>
        <v>6000</v>
      </c>
      <c r="W311" s="382">
        <f xml:space="preserve"> Pile!$V$52</f>
        <v>1000</v>
      </c>
      <c r="X311" s="382">
        <f t="shared" si="317"/>
        <v>1000</v>
      </c>
      <c r="Y311" s="419">
        <v>450</v>
      </c>
      <c r="Z311" s="430">
        <f>PI()*Y311/1000*( Pile!$C$52- Pile!$C311)</f>
        <v>4.2411500823461807</v>
      </c>
      <c r="AA311" s="382">
        <f t="shared" si="318"/>
        <v>0.15904312808798329</v>
      </c>
      <c r="AB311" s="382">
        <f t="shared" si="292"/>
        <v>424.11500823461807</v>
      </c>
      <c r="AC311" s="382">
        <f>Z311* Pile!$S$52</f>
        <v>424.11500823461807</v>
      </c>
      <c r="AD311" s="382">
        <f t="shared" si="298"/>
        <v>424.11500823461807</v>
      </c>
      <c r="AE311" s="382">
        <f>IF(AD311&gt;0,+AD311)/ 'Pile Data and Eurocode Factors'!$B$14/ 'Pile Data and Eurocode Factors'!$B$15+AE$301</f>
        <v>4783.3313000854387</v>
      </c>
      <c r="AF311" s="382">
        <f t="shared" si="305"/>
        <v>159.04312808798329</v>
      </c>
      <c r="AG311" s="382">
        <f>AA311* Pile!$U$52</f>
        <v>0</v>
      </c>
      <c r="AH311" s="382">
        <f t="shared" si="319"/>
        <v>159.04312808798329</v>
      </c>
      <c r="AI311" s="382">
        <f>AH311/ 'Pile Data and Eurocode Factors'!$C$14/ 'Pile Data and Eurocode Factors'!$C$15</f>
        <v>56.801117174279753</v>
      </c>
      <c r="AJ311" s="382">
        <f t="shared" si="320"/>
        <v>4840.1324172597187</v>
      </c>
      <c r="AK311" s="382">
        <f>VLOOKUP(Y311, 'Pile Data and Eurocode Factors'!$A$34:$J$39,3, FALSE)</f>
        <v>2366.1761868507956</v>
      </c>
      <c r="AL311" s="403">
        <f t="shared" si="321"/>
        <v>2366.1761868507956</v>
      </c>
      <c r="AM311" s="419">
        <v>600</v>
      </c>
      <c r="AN311" s="430">
        <f>PI()*AM311/1000*( Pile!$C$52- Pile!$C311)</f>
        <v>5.6548667764615743</v>
      </c>
      <c r="AO311" s="382">
        <f t="shared" si="322"/>
        <v>0.28274333882308139</v>
      </c>
      <c r="AP311" s="382">
        <f t="shared" si="293"/>
        <v>565.48667764615743</v>
      </c>
      <c r="AQ311" s="382">
        <f>AN311* Pile!$S$52</f>
        <v>565.48667764615743</v>
      </c>
      <c r="AR311" s="382">
        <f t="shared" si="299"/>
        <v>565.48667764615743</v>
      </c>
      <c r="AS311" s="382">
        <f>IF(AR311&gt;0,+AR311)/ 'Pile Data and Eurocode Factors'!$B$14/ 'Pile Data and Eurocode Factors'!$B$15+AS$301</f>
        <v>6377.7750667805876</v>
      </c>
      <c r="AT311" s="382">
        <f t="shared" si="306"/>
        <v>282.74333882308139</v>
      </c>
      <c r="AU311" s="382">
        <f>AO311* Pile!$U$52</f>
        <v>0</v>
      </c>
      <c r="AV311" s="382">
        <f t="shared" si="323"/>
        <v>282.74333882308139</v>
      </c>
      <c r="AW311" s="382">
        <f>AV311/ 'Pile Data and Eurocode Factors'!$C$14/ 'Pile Data and Eurocode Factors'!$C$15</f>
        <v>100.97976386538622</v>
      </c>
      <c r="AX311" s="382">
        <f t="shared" si="324"/>
        <v>6478.7548306459739</v>
      </c>
      <c r="AY311" s="382">
        <f>VLOOKUP(AM311, 'Pile Data and Eurocode Factors'!$A$34:$J$39,3, FALSE)</f>
        <v>4206.5354432903041</v>
      </c>
      <c r="AZ311" s="403">
        <f t="shared" si="325"/>
        <v>4206.5354432903041</v>
      </c>
      <c r="BA311" s="419">
        <v>750</v>
      </c>
      <c r="BB311" s="430">
        <f>PI()*BA311/1000*( Pile!$C$52- Pile!$C311)</f>
        <v>7.0685834705769679</v>
      </c>
      <c r="BC311" s="382">
        <f t="shared" si="326"/>
        <v>0.44178646691106466</v>
      </c>
      <c r="BD311" s="382">
        <f t="shared" si="294"/>
        <v>706.85834705769685</v>
      </c>
      <c r="BE311" s="382">
        <f>BB311* Pile!$S$52</f>
        <v>706.85834705769685</v>
      </c>
      <c r="BF311" s="382">
        <f t="shared" si="300"/>
        <v>706.85834705769685</v>
      </c>
      <c r="BG311" s="382">
        <f>IF(BF311&gt;0,+BF311)/ 'Pile Data and Eurocode Factors'!$B$14/ 'Pile Data and Eurocode Factors'!$B$15+BG$301</f>
        <v>7972.2188334757338</v>
      </c>
      <c r="BH311" s="382">
        <f t="shared" si="307"/>
        <v>441.78646691106468</v>
      </c>
      <c r="BI311" s="382">
        <f>BC311* Pile!$U$52</f>
        <v>0</v>
      </c>
      <c r="BJ311" s="382">
        <f t="shared" si="327"/>
        <v>441.78646691106468</v>
      </c>
      <c r="BK311" s="382">
        <f>BJ311/ 'Pile Data and Eurocode Factors'!$C$14/ 'Pile Data and Eurocode Factors'!$C$15</f>
        <v>157.78088103966596</v>
      </c>
      <c r="BL311" s="382">
        <f t="shared" si="328"/>
        <v>8129.9997145154002</v>
      </c>
      <c r="BM311" s="382">
        <f>VLOOKUP(BA311, 'Pile Data and Eurocode Factors'!$A$34:$J$39,3, FALSE)</f>
        <v>6572.7116301410997</v>
      </c>
      <c r="BN311" s="403">
        <f t="shared" si="329"/>
        <v>6572.7116301410997</v>
      </c>
      <c r="BO311" s="419">
        <v>900</v>
      </c>
      <c r="BP311" s="430">
        <f>PI()*BO311/1000*( Pile!$C$52- Pile!$C311)</f>
        <v>8.4823001646923615</v>
      </c>
      <c r="BQ311" s="382">
        <f t="shared" si="330"/>
        <v>0.63617251235193317</v>
      </c>
      <c r="BR311" s="382">
        <f t="shared" si="295"/>
        <v>848.23001646923615</v>
      </c>
      <c r="BS311" s="382">
        <f>BP311* Pile!$S$52</f>
        <v>848.23001646923615</v>
      </c>
      <c r="BT311" s="382">
        <f t="shared" si="301"/>
        <v>848.23001646923615</v>
      </c>
      <c r="BU311" s="382">
        <f>IF(BT311&gt;0,+BT311)/ 'Pile Data and Eurocode Factors'!$B$14/ 'Pile Data and Eurocode Factors'!$B$15+BU$301</f>
        <v>9566.6626001708773</v>
      </c>
      <c r="BV311" s="382">
        <f t="shared" si="308"/>
        <v>636.17251235193316</v>
      </c>
      <c r="BW311" s="382">
        <f>BQ311* Pile!$U$52</f>
        <v>0</v>
      </c>
      <c r="BX311" s="382">
        <f t="shared" si="331"/>
        <v>636.17251235193316</v>
      </c>
      <c r="BY311" s="382">
        <f>BX311/ 'Pile Data and Eurocode Factors'!$C$14/ 'Pile Data and Eurocode Factors'!$C$15</f>
        <v>227.20446869711901</v>
      </c>
      <c r="BZ311" s="382">
        <f t="shared" si="332"/>
        <v>9793.8670688679958</v>
      </c>
      <c r="CA311" s="382">
        <f>VLOOKUP(BO311, 'Pile Data and Eurocode Factors'!$A$34:$J$39,3, FALSE)</f>
        <v>9464.7047474031824</v>
      </c>
      <c r="CB311" s="403">
        <f t="shared" si="333"/>
        <v>9464.7047474031824</v>
      </c>
      <c r="CC311" s="419">
        <v>1050</v>
      </c>
      <c r="CD311" s="430">
        <f>PI()*CC311/1000*( Pile!$C$52- Pile!$C311)</f>
        <v>9.8960168588077551</v>
      </c>
      <c r="CE311" s="382">
        <f t="shared" si="334"/>
        <v>0.86590147514568672</v>
      </c>
      <c r="CF311" s="382">
        <f t="shared" si="296"/>
        <v>989.60168588077545</v>
      </c>
      <c r="CG311" s="382">
        <f>CD311* Pile!$S$52</f>
        <v>989.60168588077545</v>
      </c>
      <c r="CH311" s="382">
        <f t="shared" si="302"/>
        <v>989.60168588077545</v>
      </c>
      <c r="CI311" s="382">
        <f>IF(CH311&gt;0,+CH311)/ 'Pile Data and Eurocode Factors'!$B$14/ 'Pile Data and Eurocode Factors'!$B$15+CI$301</f>
        <v>11161.106366866028</v>
      </c>
      <c r="CJ311" s="382">
        <f t="shared" si="309"/>
        <v>865.90147514568673</v>
      </c>
      <c r="CK311" s="382">
        <f>CE311* Pile!$U$52</f>
        <v>0</v>
      </c>
      <c r="CL311" s="382">
        <f t="shared" si="335"/>
        <v>865.90147514568673</v>
      </c>
      <c r="CM311" s="382">
        <f>CL311/ 'Pile Data and Eurocode Factors'!$C$14/ 'Pile Data and Eurocode Factors'!$C$15</f>
        <v>309.25052683774527</v>
      </c>
      <c r="CN311" s="382">
        <f t="shared" si="336"/>
        <v>11470.356893703773</v>
      </c>
      <c r="CO311" s="382">
        <f>VLOOKUP(CC311, 'Pile Data and Eurocode Factors'!$A$34:$J$39,3, FALSE)</f>
        <v>12882.514795076555</v>
      </c>
      <c r="CP311" s="403">
        <f t="shared" si="337"/>
        <v>11470.356893703773</v>
      </c>
      <c r="CQ311" s="419">
        <v>1200</v>
      </c>
      <c r="CR311" s="430">
        <f>PI()*CQ311/1000*( Pile!$C$52- Pile!$C311)</f>
        <v>11.309733552923149</v>
      </c>
      <c r="CS311" s="382">
        <f t="shared" si="338"/>
        <v>1.1309733552923256</v>
      </c>
      <c r="CT311" s="382">
        <f t="shared" si="297"/>
        <v>1130.9733552923149</v>
      </c>
      <c r="CU311" s="382">
        <f>CR311* Pile!$S$52</f>
        <v>1130.9733552923149</v>
      </c>
      <c r="CV311" s="382">
        <f t="shared" si="303"/>
        <v>1130.9733552923149</v>
      </c>
      <c r="CW311" s="382">
        <f>IF(CV311&gt;0,+CV311)/ 'Pile Data and Eurocode Factors'!$B$14/ 'Pile Data and Eurocode Factors'!$B$15+CW$301</f>
        <v>12755.550133561175</v>
      </c>
      <c r="CX311" s="382">
        <f t="shared" si="310"/>
        <v>1130.9733552923256</v>
      </c>
      <c r="CY311" s="382">
        <f>CS311* Pile!$U$52</f>
        <v>0</v>
      </c>
      <c r="CZ311" s="382">
        <f t="shared" si="339"/>
        <v>1130.9733552923256</v>
      </c>
      <c r="DA311" s="382">
        <f>CZ311/ 'Pile Data and Eurocode Factors'!$C$14/ 'Pile Data and Eurocode Factors'!$C$15</f>
        <v>403.91905546154487</v>
      </c>
      <c r="DB311" s="382">
        <f t="shared" si="340"/>
        <v>13159.46918902272</v>
      </c>
      <c r="DC311" s="382">
        <f>VLOOKUP(CQ311, 'Pile Data and Eurocode Factors'!$A$34:$J$39,3, FALSE)</f>
        <v>16826.141773161216</v>
      </c>
      <c r="DD311" s="403">
        <f t="shared" si="341"/>
        <v>13159.46918902272</v>
      </c>
      <c r="DE311" s="420">
        <f xml:space="preserve"> Pile!$C$23- Pile!C311</f>
        <v>44.999999999999972</v>
      </c>
      <c r="DG311" s="382">
        <f t="shared" si="342"/>
        <v>2366.1761868507956</v>
      </c>
      <c r="DH311" s="382">
        <f t="shared" si="343"/>
        <v>4206.5354432903041</v>
      </c>
      <c r="DI311" s="382">
        <f t="shared" si="344"/>
        <v>6572.7116301410997</v>
      </c>
      <c r="DJ311" s="382">
        <f t="shared" si="345"/>
        <v>9464.7047474031824</v>
      </c>
      <c r="DK311" s="382">
        <f t="shared" si="346"/>
        <v>11470.356893703773</v>
      </c>
      <c r="DL311" s="382">
        <f t="shared" si="347"/>
        <v>13159.46918902272</v>
      </c>
    </row>
    <row r="312" spans="2:116" s="308" customFormat="1" ht="15">
      <c r="B312" s="400">
        <v>11</v>
      </c>
      <c r="C312" s="401">
        <f>+C311- Pile!D$52/20</f>
        <v>-39.299999999999969</v>
      </c>
      <c r="D312" s="415" t="str">
        <f>B26</f>
        <v>Medium Density Chalk</v>
      </c>
      <c r="E312" s="415" t="str">
        <f>F26</f>
        <v>Chalk</v>
      </c>
      <c r="F312" s="401">
        <f xml:space="preserve"> Pile!$E$52*( Pile!$C$52- Pile!C312)+$F$301</f>
        <v>861.76931249999961</v>
      </c>
      <c r="G312" s="401">
        <f>IF(C312&gt; Pile!$C$54,0,( Pile!$C$54-C312)*9.81)</f>
        <v>238.3829999999997</v>
      </c>
      <c r="H312" s="401">
        <f t="shared" si="313"/>
        <v>623.38631249999992</v>
      </c>
      <c r="I312" s="401">
        <f t="shared" si="312"/>
        <v>606.18815625000002</v>
      </c>
      <c r="J312" s="401">
        <f>IF(E312="Cohesive",(( Pile!$H$52- Pile!$G$52)/20)+J311,0)</f>
        <v>0</v>
      </c>
      <c r="K312" s="401">
        <f>IF(E312="Cohesive",( Pile!$G$52+ Pile!$J312)/2,0)</f>
        <v>0</v>
      </c>
      <c r="L312" s="401" t="str">
        <f>IF( Pile!I$52="",0, Pile!I$52)</f>
        <v>0</v>
      </c>
      <c r="M312" s="401" t="str">
        <f>IF( Pile!J$52="",0, Pile!J$52)</f>
        <v>0</v>
      </c>
      <c r="N312" s="401">
        <f>IF(E312="Granular", Pile!$K$52,0)</f>
        <v>0</v>
      </c>
      <c r="O312" s="416">
        <f>IF(AND(E312="Granular",D312&lt;&gt;"Made Ground"), Pile!$L$52,0)</f>
        <v>0</v>
      </c>
      <c r="P312" s="401">
        <f>IF(OR(D312="Low Density Chalk",D312="Medium Density Chalk"), Pile!$M$52,0)</f>
        <v>0.45</v>
      </c>
      <c r="Q312" s="417">
        <f>IF(D312="High Density Chalk", Pile!$N$52,0)</f>
        <v>0</v>
      </c>
      <c r="R312" s="401">
        <f>IF( Pile!O$52="",0, Pile!O$52)</f>
        <v>6000</v>
      </c>
      <c r="S312" s="418">
        <f t="shared" si="314"/>
        <v>272.7846703125</v>
      </c>
      <c r="T312" s="382">
        <f xml:space="preserve"> Pile!$T$52</f>
        <v>100</v>
      </c>
      <c r="U312" s="382">
        <f t="shared" si="315"/>
        <v>100</v>
      </c>
      <c r="V312" s="382">
        <f t="shared" si="316"/>
        <v>6000</v>
      </c>
      <c r="W312" s="382">
        <f xml:space="preserve"> Pile!$V$52</f>
        <v>1000</v>
      </c>
      <c r="X312" s="382">
        <f t="shared" si="317"/>
        <v>1000</v>
      </c>
      <c r="Y312" s="419">
        <v>450</v>
      </c>
      <c r="Z312" s="430">
        <f>PI()*Y312/1000*( Pile!$C$52- Pile!$C312)</f>
        <v>4.6652650905807986</v>
      </c>
      <c r="AA312" s="382">
        <f t="shared" si="318"/>
        <v>0.15904312808798329</v>
      </c>
      <c r="AB312" s="382">
        <f t="shared" ref="AB312:AB321" si="348">+$U312*Z312</f>
        <v>466.52650905807985</v>
      </c>
      <c r="AC312" s="382">
        <f>Z312* Pile!$S$52</f>
        <v>466.52650905807985</v>
      </c>
      <c r="AD312" s="382">
        <f t="shared" si="298"/>
        <v>466.52650905807985</v>
      </c>
      <c r="AE312" s="382">
        <f>IF(AD312&gt;0,+AD312)/ 'Pile Data and Eurocode Factors'!$B$14/ 'Pile Data and Eurocode Factors'!$B$15+AE$301</f>
        <v>4802.265005810199</v>
      </c>
      <c r="AF312" s="382">
        <f t="shared" si="305"/>
        <v>159.04312808798329</v>
      </c>
      <c r="AG312" s="382">
        <f>AA312* Pile!$U$52</f>
        <v>0</v>
      </c>
      <c r="AH312" s="382">
        <f t="shared" si="319"/>
        <v>159.04312808798329</v>
      </c>
      <c r="AI312" s="382">
        <f>AH312/ 'Pile Data and Eurocode Factors'!$C$14/ 'Pile Data and Eurocode Factors'!$C$15</f>
        <v>56.801117174279753</v>
      </c>
      <c r="AJ312" s="382">
        <f t="shared" si="320"/>
        <v>4859.0661229844791</v>
      </c>
      <c r="AK312" s="382">
        <f>VLOOKUP(Y312, 'Pile Data and Eurocode Factors'!$A$34:$J$39,3, FALSE)</f>
        <v>2366.1761868507956</v>
      </c>
      <c r="AL312" s="403">
        <f t="shared" si="321"/>
        <v>2366.1761868507956</v>
      </c>
      <c r="AM312" s="419">
        <v>600</v>
      </c>
      <c r="AN312" s="430">
        <f>PI()*AM312/1000*( Pile!$C$52- Pile!$C312)</f>
        <v>6.2203534541077312</v>
      </c>
      <c r="AO312" s="382">
        <f t="shared" si="322"/>
        <v>0.28274333882308139</v>
      </c>
      <c r="AP312" s="382">
        <f t="shared" ref="AP312:AP321" si="349">+$U312*AN312</f>
        <v>622.03534541077317</v>
      </c>
      <c r="AQ312" s="382">
        <f>AN312* Pile!$S$52</f>
        <v>622.03534541077317</v>
      </c>
      <c r="AR312" s="382">
        <f t="shared" si="299"/>
        <v>622.03534541077317</v>
      </c>
      <c r="AS312" s="382">
        <f>IF(AR312&gt;0,+AR312)/ 'Pile Data and Eurocode Factors'!$B$14/ 'Pile Data and Eurocode Factors'!$B$15+AS$301</f>
        <v>6403.0200077469335</v>
      </c>
      <c r="AT312" s="382">
        <f t="shared" si="306"/>
        <v>282.74333882308139</v>
      </c>
      <c r="AU312" s="382">
        <f>AO312* Pile!$U$52</f>
        <v>0</v>
      </c>
      <c r="AV312" s="382">
        <f t="shared" si="323"/>
        <v>282.74333882308139</v>
      </c>
      <c r="AW312" s="382">
        <f>AV312/ 'Pile Data and Eurocode Factors'!$C$14/ 'Pile Data and Eurocode Factors'!$C$15</f>
        <v>100.97976386538622</v>
      </c>
      <c r="AX312" s="382">
        <f t="shared" si="324"/>
        <v>6503.9997716123198</v>
      </c>
      <c r="AY312" s="382">
        <f>VLOOKUP(AM312, 'Pile Data and Eurocode Factors'!$A$34:$J$39,3, FALSE)</f>
        <v>4206.5354432903041</v>
      </c>
      <c r="AZ312" s="403">
        <f t="shared" si="325"/>
        <v>4206.5354432903041</v>
      </c>
      <c r="BA312" s="419">
        <v>750</v>
      </c>
      <c r="BB312" s="430">
        <f>PI()*BA312/1000*( Pile!$C$52- Pile!$C312)</f>
        <v>7.7754418176346647</v>
      </c>
      <c r="BC312" s="382">
        <f t="shared" si="326"/>
        <v>0.44178646691106466</v>
      </c>
      <c r="BD312" s="382">
        <f t="shared" ref="BD312:BD321" si="350">+$U312*BB312</f>
        <v>777.54418176346644</v>
      </c>
      <c r="BE312" s="382">
        <f>BB312* Pile!$S$52</f>
        <v>777.54418176346644</v>
      </c>
      <c r="BF312" s="382">
        <f t="shared" si="300"/>
        <v>777.54418176346644</v>
      </c>
      <c r="BG312" s="382">
        <f>IF(BF312&gt;0,+BF312)/ 'Pile Data and Eurocode Factors'!$B$14/ 'Pile Data and Eurocode Factors'!$B$15+BG$301</f>
        <v>8003.7750096836662</v>
      </c>
      <c r="BH312" s="382">
        <f t="shared" si="307"/>
        <v>441.78646691106468</v>
      </c>
      <c r="BI312" s="382">
        <f>BC312* Pile!$U$52</f>
        <v>0</v>
      </c>
      <c r="BJ312" s="382">
        <f t="shared" si="327"/>
        <v>441.78646691106468</v>
      </c>
      <c r="BK312" s="382">
        <f>BJ312/ 'Pile Data and Eurocode Factors'!$C$14/ 'Pile Data and Eurocode Factors'!$C$15</f>
        <v>157.78088103966596</v>
      </c>
      <c r="BL312" s="382">
        <f t="shared" si="328"/>
        <v>8161.5558907233326</v>
      </c>
      <c r="BM312" s="382">
        <f>VLOOKUP(BA312, 'Pile Data and Eurocode Factors'!$A$34:$J$39,3, FALSE)</f>
        <v>6572.7116301410997</v>
      </c>
      <c r="BN312" s="403">
        <f t="shared" si="329"/>
        <v>6572.7116301410997</v>
      </c>
      <c r="BO312" s="419">
        <v>900</v>
      </c>
      <c r="BP312" s="430">
        <f>PI()*BO312/1000*( Pile!$C$52- Pile!$C312)</f>
        <v>9.3305301811615973</v>
      </c>
      <c r="BQ312" s="382">
        <f t="shared" si="330"/>
        <v>0.63617251235193317</v>
      </c>
      <c r="BR312" s="382">
        <f t="shared" ref="BR312:BR321" si="351">+$U312*BP312</f>
        <v>933.05301811615971</v>
      </c>
      <c r="BS312" s="382">
        <f>BP312* Pile!$S$52</f>
        <v>933.05301811615971</v>
      </c>
      <c r="BT312" s="382">
        <f t="shared" si="301"/>
        <v>933.05301811615971</v>
      </c>
      <c r="BU312" s="382">
        <f>IF(BT312&gt;0,+BT312)/ 'Pile Data and Eurocode Factors'!$B$14/ 'Pile Data and Eurocode Factors'!$B$15+BU$301</f>
        <v>9604.530011620398</v>
      </c>
      <c r="BV312" s="382">
        <f t="shared" si="308"/>
        <v>636.17251235193316</v>
      </c>
      <c r="BW312" s="382">
        <f>BQ312* Pile!$U$52</f>
        <v>0</v>
      </c>
      <c r="BX312" s="382">
        <f t="shared" si="331"/>
        <v>636.17251235193316</v>
      </c>
      <c r="BY312" s="382">
        <f>BX312/ 'Pile Data and Eurocode Factors'!$C$14/ 'Pile Data and Eurocode Factors'!$C$15</f>
        <v>227.20446869711901</v>
      </c>
      <c r="BZ312" s="382">
        <f t="shared" si="332"/>
        <v>9831.7344803175165</v>
      </c>
      <c r="CA312" s="382">
        <f>VLOOKUP(BO312, 'Pile Data and Eurocode Factors'!$A$34:$J$39,3, FALSE)</f>
        <v>9464.7047474031824</v>
      </c>
      <c r="CB312" s="403">
        <f t="shared" si="333"/>
        <v>9464.7047474031824</v>
      </c>
      <c r="CC312" s="419">
        <v>1050</v>
      </c>
      <c r="CD312" s="430">
        <f>PI()*CC312/1000*( Pile!$C$52- Pile!$C312)</f>
        <v>10.88561854468853</v>
      </c>
      <c r="CE312" s="382">
        <f t="shared" si="334"/>
        <v>0.86590147514568672</v>
      </c>
      <c r="CF312" s="382">
        <f t="shared" ref="CF312:CF321" si="352">+$U312*CD312</f>
        <v>1088.561854468853</v>
      </c>
      <c r="CG312" s="382">
        <f>CD312* Pile!$S$52</f>
        <v>1088.561854468853</v>
      </c>
      <c r="CH312" s="382">
        <f t="shared" si="302"/>
        <v>1088.561854468853</v>
      </c>
      <c r="CI312" s="382">
        <f>IF(CH312&gt;0,+CH312)/ 'Pile Data and Eurocode Factors'!$B$14/ 'Pile Data and Eurocode Factors'!$B$15+CI$301</f>
        <v>11205.285013557133</v>
      </c>
      <c r="CJ312" s="382">
        <f t="shared" si="309"/>
        <v>865.90147514568673</v>
      </c>
      <c r="CK312" s="382">
        <f>CE312* Pile!$U$52</f>
        <v>0</v>
      </c>
      <c r="CL312" s="382">
        <f t="shared" si="335"/>
        <v>865.90147514568673</v>
      </c>
      <c r="CM312" s="382">
        <f>CL312/ 'Pile Data and Eurocode Factors'!$C$14/ 'Pile Data and Eurocode Factors'!$C$15</f>
        <v>309.25052683774527</v>
      </c>
      <c r="CN312" s="382">
        <f t="shared" si="336"/>
        <v>11514.535540394878</v>
      </c>
      <c r="CO312" s="382">
        <f>VLOOKUP(CC312, 'Pile Data and Eurocode Factors'!$A$34:$J$39,3, FALSE)</f>
        <v>12882.514795076555</v>
      </c>
      <c r="CP312" s="403">
        <f t="shared" si="337"/>
        <v>11514.535540394878</v>
      </c>
      <c r="CQ312" s="419">
        <v>1200</v>
      </c>
      <c r="CR312" s="430">
        <f>PI()*CQ312/1000*( Pile!$C$52- Pile!$C312)</f>
        <v>12.440706908215462</v>
      </c>
      <c r="CS312" s="382">
        <f t="shared" si="338"/>
        <v>1.1309733552923256</v>
      </c>
      <c r="CT312" s="382">
        <f t="shared" ref="CT312:CT321" si="353">+$U312*CR312</f>
        <v>1244.0706908215463</v>
      </c>
      <c r="CU312" s="382">
        <f>CR312* Pile!$S$52</f>
        <v>1244.0706908215463</v>
      </c>
      <c r="CV312" s="382">
        <f t="shared" si="303"/>
        <v>1244.0706908215463</v>
      </c>
      <c r="CW312" s="382">
        <f>IF(CV312&gt;0,+CV312)/ 'Pile Data and Eurocode Factors'!$B$14/ 'Pile Data and Eurocode Factors'!$B$15+CW$301</f>
        <v>12806.040015493867</v>
      </c>
      <c r="CX312" s="382">
        <f t="shared" si="310"/>
        <v>1130.9733552923256</v>
      </c>
      <c r="CY312" s="382">
        <f>CS312* Pile!$U$52</f>
        <v>0</v>
      </c>
      <c r="CZ312" s="382">
        <f t="shared" si="339"/>
        <v>1130.9733552923256</v>
      </c>
      <c r="DA312" s="382">
        <f>CZ312/ 'Pile Data and Eurocode Factors'!$C$14/ 'Pile Data and Eurocode Factors'!$C$15</f>
        <v>403.91905546154487</v>
      </c>
      <c r="DB312" s="382">
        <f t="shared" si="340"/>
        <v>13209.959070955412</v>
      </c>
      <c r="DC312" s="382">
        <f>VLOOKUP(CQ312, 'Pile Data and Eurocode Factors'!$A$34:$J$39,3, FALSE)</f>
        <v>16826.141773161216</v>
      </c>
      <c r="DD312" s="403">
        <f t="shared" si="341"/>
        <v>13209.959070955412</v>
      </c>
      <c r="DE312" s="420">
        <f xml:space="preserve"> Pile!$C$23- Pile!C312</f>
        <v>45.299999999999969</v>
      </c>
      <c r="DG312" s="382">
        <f t="shared" si="342"/>
        <v>2366.1761868507956</v>
      </c>
      <c r="DH312" s="382">
        <f t="shared" si="343"/>
        <v>4206.5354432903041</v>
      </c>
      <c r="DI312" s="382">
        <f t="shared" si="344"/>
        <v>6572.7116301410997</v>
      </c>
      <c r="DJ312" s="382">
        <f t="shared" si="345"/>
        <v>9464.7047474031824</v>
      </c>
      <c r="DK312" s="382">
        <f t="shared" si="346"/>
        <v>11514.535540394878</v>
      </c>
      <c r="DL312" s="382">
        <f t="shared" si="347"/>
        <v>13209.959070955412</v>
      </c>
    </row>
    <row r="313" spans="2:116" s="308" customFormat="1" ht="15">
      <c r="B313" s="400">
        <v>12</v>
      </c>
      <c r="C313" s="401">
        <f>+C312- Pile!D$52/20</f>
        <v>-39.599999999999966</v>
      </c>
      <c r="D313" s="415" t="str">
        <f>B26</f>
        <v>Medium Density Chalk</v>
      </c>
      <c r="E313" s="415" t="str">
        <f>F26</f>
        <v>Chalk</v>
      </c>
      <c r="F313" s="401">
        <f xml:space="preserve"> Pile!$E$52*( Pile!$C$52- Pile!C313)+$F$301</f>
        <v>867.83924999999954</v>
      </c>
      <c r="G313" s="401">
        <f>IF(C313&gt; Pile!$C$54,0,( Pile!$C$54-C313)*9.81)</f>
        <v>241.32599999999968</v>
      </c>
      <c r="H313" s="401">
        <f t="shared" si="313"/>
        <v>626.51324999999986</v>
      </c>
      <c r="I313" s="401">
        <f t="shared" si="312"/>
        <v>607.7516250000001</v>
      </c>
      <c r="J313" s="401">
        <f>IF(E313="Cohesive",(( Pile!$H$52- Pile!$G$52)/20)+J312,0)</f>
        <v>0</v>
      </c>
      <c r="K313" s="401">
        <f>IF(E313="Cohesive",( Pile!$G$52+ Pile!$J313)/2,0)</f>
        <v>0</v>
      </c>
      <c r="L313" s="401" t="str">
        <f>IF( Pile!I$52="",0, Pile!I$52)</f>
        <v>0</v>
      </c>
      <c r="M313" s="401" t="str">
        <f>IF( Pile!J$52="",0, Pile!J$52)</f>
        <v>0</v>
      </c>
      <c r="N313" s="401">
        <f>IF(E313="Granular", Pile!$K$52,0)</f>
        <v>0</v>
      </c>
      <c r="O313" s="416">
        <f>IF(AND(E313="Granular",D313&lt;&gt;"Made Ground"), Pile!$L$52,0)</f>
        <v>0</v>
      </c>
      <c r="P313" s="401">
        <f>IF(OR(D313="Low Density Chalk",D313="Medium Density Chalk"), Pile!$M$52,0)</f>
        <v>0.45</v>
      </c>
      <c r="Q313" s="417">
        <f>IF(D313="High Density Chalk", Pile!$N$52,0)</f>
        <v>0</v>
      </c>
      <c r="R313" s="401">
        <f>IF( Pile!O$52="",0, Pile!O$52)</f>
        <v>6000</v>
      </c>
      <c r="S313" s="418">
        <f t="shared" si="314"/>
        <v>273.48823125000007</v>
      </c>
      <c r="T313" s="382">
        <f xml:space="preserve"> Pile!$T$52</f>
        <v>100</v>
      </c>
      <c r="U313" s="382">
        <f t="shared" si="315"/>
        <v>100</v>
      </c>
      <c r="V313" s="382">
        <f t="shared" si="316"/>
        <v>6000</v>
      </c>
      <c r="W313" s="382">
        <f xml:space="preserve"> Pile!$V$52</f>
        <v>1000</v>
      </c>
      <c r="X313" s="382">
        <f t="shared" si="317"/>
        <v>1000</v>
      </c>
      <c r="Y313" s="419">
        <v>450</v>
      </c>
      <c r="Z313" s="430">
        <f>PI()*Y313/1000*( Pile!$C$52- Pile!$C313)</f>
        <v>5.0893800988154165</v>
      </c>
      <c r="AA313" s="382">
        <f t="shared" si="318"/>
        <v>0.15904312808798329</v>
      </c>
      <c r="AB313" s="382">
        <f t="shared" si="348"/>
        <v>508.93800988154163</v>
      </c>
      <c r="AC313" s="382">
        <f>Z313* Pile!$S$52</f>
        <v>508.93800988154163</v>
      </c>
      <c r="AD313" s="382">
        <f t="shared" si="298"/>
        <v>508.93800988154163</v>
      </c>
      <c r="AE313" s="382">
        <f>IF(AD313&gt;0,+AD313)/ 'Pile Data and Eurocode Factors'!$B$14/ 'Pile Data and Eurocode Factors'!$B$15+AE$301</f>
        <v>4821.1987115349584</v>
      </c>
      <c r="AF313" s="382">
        <f t="shared" si="305"/>
        <v>159.04312808798329</v>
      </c>
      <c r="AG313" s="382">
        <f>AA313* Pile!$U$52</f>
        <v>0</v>
      </c>
      <c r="AH313" s="382">
        <f t="shared" si="319"/>
        <v>159.04312808798329</v>
      </c>
      <c r="AI313" s="382">
        <f>AH313/ 'Pile Data and Eurocode Factors'!$C$14/ 'Pile Data and Eurocode Factors'!$C$15</f>
        <v>56.801117174279753</v>
      </c>
      <c r="AJ313" s="382">
        <f t="shared" si="320"/>
        <v>4877.9998287092385</v>
      </c>
      <c r="AK313" s="382">
        <f>VLOOKUP(Y313, 'Pile Data and Eurocode Factors'!$A$34:$J$39,3, FALSE)</f>
        <v>2366.1761868507956</v>
      </c>
      <c r="AL313" s="403">
        <f t="shared" si="321"/>
        <v>2366.1761868507956</v>
      </c>
      <c r="AM313" s="419">
        <v>600</v>
      </c>
      <c r="AN313" s="430">
        <f>PI()*AM313/1000*( Pile!$C$52- Pile!$C313)</f>
        <v>6.785840131753889</v>
      </c>
      <c r="AO313" s="382">
        <f t="shared" si="322"/>
        <v>0.28274333882308139</v>
      </c>
      <c r="AP313" s="382">
        <f t="shared" si="349"/>
        <v>678.58401317538892</v>
      </c>
      <c r="AQ313" s="382">
        <f>AN313* Pile!$S$52</f>
        <v>678.58401317538892</v>
      </c>
      <c r="AR313" s="382">
        <f t="shared" si="299"/>
        <v>678.58401317538892</v>
      </c>
      <c r="AS313" s="382">
        <f>IF(AR313&gt;0,+AR313)/ 'Pile Data and Eurocode Factors'!$B$14/ 'Pile Data and Eurocode Factors'!$B$15+AS$301</f>
        <v>6428.2649487132803</v>
      </c>
      <c r="AT313" s="382">
        <f t="shared" si="306"/>
        <v>282.74333882308139</v>
      </c>
      <c r="AU313" s="382">
        <f>AO313* Pile!$U$52</f>
        <v>0</v>
      </c>
      <c r="AV313" s="382">
        <f t="shared" si="323"/>
        <v>282.74333882308139</v>
      </c>
      <c r="AW313" s="382">
        <f>AV313/ 'Pile Data and Eurocode Factors'!$C$14/ 'Pile Data and Eurocode Factors'!$C$15</f>
        <v>100.97976386538622</v>
      </c>
      <c r="AX313" s="382">
        <f t="shared" si="324"/>
        <v>6529.2447125786666</v>
      </c>
      <c r="AY313" s="382">
        <f>VLOOKUP(AM313, 'Pile Data and Eurocode Factors'!$A$34:$J$39,3, FALSE)</f>
        <v>4206.5354432903041</v>
      </c>
      <c r="AZ313" s="403">
        <f t="shared" si="325"/>
        <v>4206.5354432903041</v>
      </c>
      <c r="BA313" s="419">
        <v>750</v>
      </c>
      <c r="BB313" s="430">
        <f>PI()*BA313/1000*( Pile!$C$52- Pile!$C313)</f>
        <v>8.4823001646923615</v>
      </c>
      <c r="BC313" s="382">
        <f t="shared" si="326"/>
        <v>0.44178646691106466</v>
      </c>
      <c r="BD313" s="382">
        <f t="shared" si="350"/>
        <v>848.23001646923615</v>
      </c>
      <c r="BE313" s="382">
        <f>BB313* Pile!$S$52</f>
        <v>848.23001646923615</v>
      </c>
      <c r="BF313" s="382">
        <f t="shared" si="300"/>
        <v>848.23001646923615</v>
      </c>
      <c r="BG313" s="382">
        <f>IF(BF313&gt;0,+BF313)/ 'Pile Data and Eurocode Factors'!$B$14/ 'Pile Data and Eurocode Factors'!$B$15+BG$301</f>
        <v>8035.3311858915995</v>
      </c>
      <c r="BH313" s="382">
        <f t="shared" si="307"/>
        <v>441.78646691106468</v>
      </c>
      <c r="BI313" s="382">
        <f>BC313* Pile!$U$52</f>
        <v>0</v>
      </c>
      <c r="BJ313" s="382">
        <f t="shared" si="327"/>
        <v>441.78646691106468</v>
      </c>
      <c r="BK313" s="382">
        <f>BJ313/ 'Pile Data and Eurocode Factors'!$C$14/ 'Pile Data and Eurocode Factors'!$C$15</f>
        <v>157.78088103966596</v>
      </c>
      <c r="BL313" s="382">
        <f t="shared" si="328"/>
        <v>8193.1120669312659</v>
      </c>
      <c r="BM313" s="382">
        <f>VLOOKUP(BA313, 'Pile Data and Eurocode Factors'!$A$34:$J$39,3, FALSE)</f>
        <v>6572.7116301410997</v>
      </c>
      <c r="BN313" s="403">
        <f t="shared" si="329"/>
        <v>6572.7116301410997</v>
      </c>
      <c r="BO313" s="419">
        <v>900</v>
      </c>
      <c r="BP313" s="430">
        <f>PI()*BO313/1000*( Pile!$C$52- Pile!$C313)</f>
        <v>10.178760197630833</v>
      </c>
      <c r="BQ313" s="382">
        <f t="shared" si="330"/>
        <v>0.63617251235193317</v>
      </c>
      <c r="BR313" s="382">
        <f t="shared" si="351"/>
        <v>1017.8760197630833</v>
      </c>
      <c r="BS313" s="382">
        <f>BP313* Pile!$S$52</f>
        <v>1017.8760197630833</v>
      </c>
      <c r="BT313" s="382">
        <f t="shared" si="301"/>
        <v>1017.8760197630833</v>
      </c>
      <c r="BU313" s="382">
        <f>IF(BT313&gt;0,+BT313)/ 'Pile Data and Eurocode Factors'!$B$14/ 'Pile Data and Eurocode Factors'!$B$15+BU$301</f>
        <v>9642.3974230699168</v>
      </c>
      <c r="BV313" s="382">
        <f t="shared" si="308"/>
        <v>636.17251235193316</v>
      </c>
      <c r="BW313" s="382">
        <f>BQ313* Pile!$U$52</f>
        <v>0</v>
      </c>
      <c r="BX313" s="382">
        <f t="shared" si="331"/>
        <v>636.17251235193316</v>
      </c>
      <c r="BY313" s="382">
        <f>BX313/ 'Pile Data and Eurocode Factors'!$C$14/ 'Pile Data and Eurocode Factors'!$C$15</f>
        <v>227.20446869711901</v>
      </c>
      <c r="BZ313" s="382">
        <f t="shared" si="332"/>
        <v>9869.6018917670353</v>
      </c>
      <c r="CA313" s="382">
        <f>VLOOKUP(BO313, 'Pile Data and Eurocode Factors'!$A$34:$J$39,3, FALSE)</f>
        <v>9464.7047474031824</v>
      </c>
      <c r="CB313" s="403">
        <f t="shared" si="333"/>
        <v>9464.7047474031824</v>
      </c>
      <c r="CC313" s="419">
        <v>1050</v>
      </c>
      <c r="CD313" s="430">
        <f>PI()*CC313/1000*( Pile!$C$52- Pile!$C313)</f>
        <v>11.875220230569305</v>
      </c>
      <c r="CE313" s="382">
        <f t="shared" si="334"/>
        <v>0.86590147514568672</v>
      </c>
      <c r="CF313" s="382">
        <f t="shared" si="352"/>
        <v>1187.5220230569305</v>
      </c>
      <c r="CG313" s="382">
        <f>CD313* Pile!$S$52</f>
        <v>1187.5220230569305</v>
      </c>
      <c r="CH313" s="382">
        <f t="shared" si="302"/>
        <v>1187.5220230569305</v>
      </c>
      <c r="CI313" s="382">
        <f>IF(CH313&gt;0,+CH313)/ 'Pile Data and Eurocode Factors'!$B$14/ 'Pile Data and Eurocode Factors'!$B$15+CI$301</f>
        <v>11249.463660248241</v>
      </c>
      <c r="CJ313" s="382">
        <f t="shared" si="309"/>
        <v>865.90147514568673</v>
      </c>
      <c r="CK313" s="382">
        <f>CE313* Pile!$U$52</f>
        <v>0</v>
      </c>
      <c r="CL313" s="382">
        <f t="shared" si="335"/>
        <v>865.90147514568673</v>
      </c>
      <c r="CM313" s="382">
        <f>CL313/ 'Pile Data and Eurocode Factors'!$C$14/ 'Pile Data and Eurocode Factors'!$C$15</f>
        <v>309.25052683774527</v>
      </c>
      <c r="CN313" s="382">
        <f t="shared" si="336"/>
        <v>11558.714187085985</v>
      </c>
      <c r="CO313" s="382">
        <f>VLOOKUP(CC313, 'Pile Data and Eurocode Factors'!$A$34:$J$39,3, FALSE)</f>
        <v>12882.514795076555</v>
      </c>
      <c r="CP313" s="403">
        <f t="shared" si="337"/>
        <v>11558.714187085985</v>
      </c>
      <c r="CQ313" s="419">
        <v>1200</v>
      </c>
      <c r="CR313" s="430">
        <f>PI()*CQ313/1000*( Pile!$C$52- Pile!$C313)</f>
        <v>13.571680263507778</v>
      </c>
      <c r="CS313" s="382">
        <f t="shared" si="338"/>
        <v>1.1309733552923256</v>
      </c>
      <c r="CT313" s="382">
        <f t="shared" si="353"/>
        <v>1357.1680263507778</v>
      </c>
      <c r="CU313" s="382">
        <f>CR313* Pile!$S$52</f>
        <v>1357.1680263507778</v>
      </c>
      <c r="CV313" s="382">
        <f t="shared" si="303"/>
        <v>1357.1680263507778</v>
      </c>
      <c r="CW313" s="382">
        <f>IF(CV313&gt;0,+CV313)/ 'Pile Data and Eurocode Factors'!$B$14/ 'Pile Data and Eurocode Factors'!$B$15+CW$301</f>
        <v>12856.529897426561</v>
      </c>
      <c r="CX313" s="382">
        <f t="shared" si="310"/>
        <v>1130.9733552923256</v>
      </c>
      <c r="CY313" s="382">
        <f>CS313* Pile!$U$52</f>
        <v>0</v>
      </c>
      <c r="CZ313" s="382">
        <f t="shared" si="339"/>
        <v>1130.9733552923256</v>
      </c>
      <c r="DA313" s="382">
        <f>CZ313/ 'Pile Data and Eurocode Factors'!$C$14/ 'Pile Data and Eurocode Factors'!$C$15</f>
        <v>403.91905546154487</v>
      </c>
      <c r="DB313" s="382">
        <f t="shared" si="340"/>
        <v>13260.448952888106</v>
      </c>
      <c r="DC313" s="382">
        <f>VLOOKUP(CQ313, 'Pile Data and Eurocode Factors'!$A$34:$J$39,3, FALSE)</f>
        <v>16826.141773161216</v>
      </c>
      <c r="DD313" s="403">
        <f t="shared" si="341"/>
        <v>13260.448952888106</v>
      </c>
      <c r="DE313" s="420">
        <f xml:space="preserve"> Pile!$C$23- Pile!C313</f>
        <v>45.599999999999966</v>
      </c>
      <c r="DG313" s="382">
        <f t="shared" si="342"/>
        <v>2366.1761868507956</v>
      </c>
      <c r="DH313" s="382">
        <f t="shared" si="343"/>
        <v>4206.5354432903041</v>
      </c>
      <c r="DI313" s="382">
        <f t="shared" si="344"/>
        <v>6572.7116301410997</v>
      </c>
      <c r="DJ313" s="382">
        <f t="shared" si="345"/>
        <v>9464.7047474031824</v>
      </c>
      <c r="DK313" s="382">
        <f t="shared" si="346"/>
        <v>11558.714187085985</v>
      </c>
      <c r="DL313" s="382">
        <f t="shared" si="347"/>
        <v>13260.448952888106</v>
      </c>
    </row>
    <row r="314" spans="2:116" s="308" customFormat="1" ht="15">
      <c r="B314" s="400">
        <v>13</v>
      </c>
      <c r="C314" s="401">
        <f>+C313- Pile!D$52/20</f>
        <v>-39.899999999999963</v>
      </c>
      <c r="D314" s="415" t="str">
        <f>B26</f>
        <v>Medium Density Chalk</v>
      </c>
      <c r="E314" s="415" t="str">
        <f>F26</f>
        <v>Chalk</v>
      </c>
      <c r="F314" s="401">
        <f xml:space="preserve"> Pile!$E$52*( Pile!$C$52- Pile!C314)+$F$301</f>
        <v>873.90918749999946</v>
      </c>
      <c r="G314" s="401">
        <f>IF(C314&gt; Pile!$C$54,0,( Pile!$C$54-C314)*9.81)</f>
        <v>244.26899999999964</v>
      </c>
      <c r="H314" s="401">
        <f t="shared" si="313"/>
        <v>629.6401874999998</v>
      </c>
      <c r="I314" s="401">
        <f t="shared" si="312"/>
        <v>609.31509374999996</v>
      </c>
      <c r="J314" s="401">
        <f>IF(E314="Cohesive",(( Pile!$H$52- Pile!$G$52)/20)+J313,0)</f>
        <v>0</v>
      </c>
      <c r="K314" s="401">
        <f>IF(E314="Cohesive",( Pile!$G$52+ Pile!$J314)/2,0)</f>
        <v>0</v>
      </c>
      <c r="L314" s="401" t="str">
        <f>IF( Pile!I$52="",0, Pile!I$52)</f>
        <v>0</v>
      </c>
      <c r="M314" s="401" t="str">
        <f>IF( Pile!J$52="",0, Pile!J$52)</f>
        <v>0</v>
      </c>
      <c r="N314" s="401">
        <f>IF(E314="Granular", Pile!$K$52,0)</f>
        <v>0</v>
      </c>
      <c r="O314" s="416">
        <f>IF(AND(E314="Granular",D314&lt;&gt;"Made Ground"), Pile!$L$52,0)</f>
        <v>0</v>
      </c>
      <c r="P314" s="401">
        <f>IF(OR(D314="Low Density Chalk",D314="Medium Density Chalk"), Pile!$M$52,0)</f>
        <v>0.45</v>
      </c>
      <c r="Q314" s="417">
        <f>IF(D314="High Density Chalk", Pile!$N$52,0)</f>
        <v>0</v>
      </c>
      <c r="R314" s="401">
        <f>IF( Pile!O$52="",0, Pile!O$52)</f>
        <v>6000</v>
      </c>
      <c r="S314" s="418">
        <f t="shared" si="314"/>
        <v>274.19179218749997</v>
      </c>
      <c r="T314" s="382">
        <f xml:space="preserve"> Pile!$T$52</f>
        <v>100</v>
      </c>
      <c r="U314" s="382">
        <f t="shared" si="315"/>
        <v>100</v>
      </c>
      <c r="V314" s="382">
        <f t="shared" si="316"/>
        <v>6000</v>
      </c>
      <c r="W314" s="382">
        <f xml:space="preserve"> Pile!$V$52</f>
        <v>1000</v>
      </c>
      <c r="X314" s="382">
        <f t="shared" si="317"/>
        <v>1000</v>
      </c>
      <c r="Y314" s="419">
        <v>450</v>
      </c>
      <c r="Z314" s="430">
        <f>PI()*Y314/1000*( Pile!$C$52- Pile!$C314)</f>
        <v>5.5134951070500344</v>
      </c>
      <c r="AA314" s="382">
        <f t="shared" si="318"/>
        <v>0.15904312808798329</v>
      </c>
      <c r="AB314" s="382">
        <f t="shared" si="348"/>
        <v>551.34951070500347</v>
      </c>
      <c r="AC314" s="382">
        <f>Z314* Pile!$S$52</f>
        <v>551.34951070500347</v>
      </c>
      <c r="AD314" s="382">
        <f t="shared" ref="AD314:AD321" si="354">IF(AC314&gt;0,MIN(AB314:AC314),AB314)</f>
        <v>551.34951070500347</v>
      </c>
      <c r="AE314" s="382">
        <f>IF(AD314&gt;0,+AD314)/ 'Pile Data and Eurocode Factors'!$B$14/ 'Pile Data and Eurocode Factors'!$B$15+AE$301</f>
        <v>4840.1324172597178</v>
      </c>
      <c r="AF314" s="382">
        <f t="shared" si="305"/>
        <v>159.04312808798329</v>
      </c>
      <c r="AG314" s="382">
        <f>AA314* Pile!$U$52</f>
        <v>0</v>
      </c>
      <c r="AH314" s="382">
        <f t="shared" si="319"/>
        <v>159.04312808798329</v>
      </c>
      <c r="AI314" s="382">
        <f>AH314/ 'Pile Data and Eurocode Factors'!$C$14/ 'Pile Data and Eurocode Factors'!$C$15</f>
        <v>56.801117174279753</v>
      </c>
      <c r="AJ314" s="382">
        <f t="shared" si="320"/>
        <v>4896.9335344339979</v>
      </c>
      <c r="AK314" s="382">
        <f>VLOOKUP(Y314, 'Pile Data and Eurocode Factors'!$A$34:$J$39,3, FALSE)</f>
        <v>2366.1761868507956</v>
      </c>
      <c r="AL314" s="403">
        <f t="shared" si="321"/>
        <v>2366.1761868507956</v>
      </c>
      <c r="AM314" s="419">
        <v>600</v>
      </c>
      <c r="AN314" s="430">
        <f>PI()*AM314/1000*( Pile!$C$52- Pile!$C314)</f>
        <v>7.3513268094000459</v>
      </c>
      <c r="AO314" s="382">
        <f t="shared" si="322"/>
        <v>0.28274333882308139</v>
      </c>
      <c r="AP314" s="382">
        <f t="shared" si="349"/>
        <v>735.13268094000455</v>
      </c>
      <c r="AQ314" s="382">
        <f>AN314* Pile!$S$52</f>
        <v>735.13268094000455</v>
      </c>
      <c r="AR314" s="382">
        <f t="shared" ref="AR314:AR321" si="355">IF(AQ314&gt;0,MIN(AP314:AQ314),AP314)</f>
        <v>735.13268094000455</v>
      </c>
      <c r="AS314" s="382">
        <f>IF(AR314&gt;0,+AR314)/ 'Pile Data and Eurocode Factors'!$B$14/ 'Pile Data and Eurocode Factors'!$B$15+AS$301</f>
        <v>6453.5098896796262</v>
      </c>
      <c r="AT314" s="382">
        <f t="shared" si="306"/>
        <v>282.74333882308139</v>
      </c>
      <c r="AU314" s="382">
        <f>AO314* Pile!$U$52</f>
        <v>0</v>
      </c>
      <c r="AV314" s="382">
        <f t="shared" si="323"/>
        <v>282.74333882308139</v>
      </c>
      <c r="AW314" s="382">
        <f>AV314/ 'Pile Data and Eurocode Factors'!$C$14/ 'Pile Data and Eurocode Factors'!$C$15</f>
        <v>100.97976386538622</v>
      </c>
      <c r="AX314" s="382">
        <f t="shared" si="324"/>
        <v>6554.4896535450125</v>
      </c>
      <c r="AY314" s="382">
        <f>VLOOKUP(AM314, 'Pile Data and Eurocode Factors'!$A$34:$J$39,3, FALSE)</f>
        <v>4206.5354432903041</v>
      </c>
      <c r="AZ314" s="403">
        <f t="shared" si="325"/>
        <v>4206.5354432903041</v>
      </c>
      <c r="BA314" s="419">
        <v>750</v>
      </c>
      <c r="BB314" s="430">
        <f>PI()*BA314/1000*( Pile!$C$52- Pile!$C314)</f>
        <v>9.1891585117500583</v>
      </c>
      <c r="BC314" s="382">
        <f t="shared" si="326"/>
        <v>0.44178646691106466</v>
      </c>
      <c r="BD314" s="382">
        <f t="shared" si="350"/>
        <v>918.91585117500586</v>
      </c>
      <c r="BE314" s="382">
        <f>BB314* Pile!$S$52</f>
        <v>918.91585117500586</v>
      </c>
      <c r="BF314" s="382">
        <f t="shared" ref="BF314:BF321" si="356">IF(BE314&gt;0,MIN(BD314:BE314),BD314)</f>
        <v>918.91585117500586</v>
      </c>
      <c r="BG314" s="382">
        <f>IF(BF314&gt;0,+BF314)/ 'Pile Data and Eurocode Factors'!$B$14/ 'Pile Data and Eurocode Factors'!$B$15+BG$301</f>
        <v>8066.8873620995328</v>
      </c>
      <c r="BH314" s="382">
        <f t="shared" si="307"/>
        <v>441.78646691106468</v>
      </c>
      <c r="BI314" s="382">
        <f>BC314* Pile!$U$52</f>
        <v>0</v>
      </c>
      <c r="BJ314" s="382">
        <f t="shared" si="327"/>
        <v>441.78646691106468</v>
      </c>
      <c r="BK314" s="382">
        <f>BJ314/ 'Pile Data and Eurocode Factors'!$C$14/ 'Pile Data and Eurocode Factors'!$C$15</f>
        <v>157.78088103966596</v>
      </c>
      <c r="BL314" s="382">
        <f t="shared" si="328"/>
        <v>8224.6682431391982</v>
      </c>
      <c r="BM314" s="382">
        <f>VLOOKUP(BA314, 'Pile Data and Eurocode Factors'!$A$34:$J$39,3, FALSE)</f>
        <v>6572.7116301410997</v>
      </c>
      <c r="BN314" s="403">
        <f t="shared" si="329"/>
        <v>6572.7116301410997</v>
      </c>
      <c r="BO314" s="419">
        <v>900</v>
      </c>
      <c r="BP314" s="430">
        <f>PI()*BO314/1000*( Pile!$C$52- Pile!$C314)</f>
        <v>11.026990214100069</v>
      </c>
      <c r="BQ314" s="382">
        <f t="shared" si="330"/>
        <v>0.63617251235193317</v>
      </c>
      <c r="BR314" s="382">
        <f t="shared" si="351"/>
        <v>1102.6990214100069</v>
      </c>
      <c r="BS314" s="382">
        <f>BP314* Pile!$S$52</f>
        <v>1102.6990214100069</v>
      </c>
      <c r="BT314" s="382">
        <f t="shared" ref="BT314:BT321" si="357">IF(BS314&gt;0,MIN(BR314:BS314),BR314)</f>
        <v>1102.6990214100069</v>
      </c>
      <c r="BU314" s="382">
        <f>IF(BT314&gt;0,+BT314)/ 'Pile Data and Eurocode Factors'!$B$14/ 'Pile Data and Eurocode Factors'!$B$15+BU$301</f>
        <v>9680.2648345194357</v>
      </c>
      <c r="BV314" s="382">
        <f t="shared" si="308"/>
        <v>636.17251235193316</v>
      </c>
      <c r="BW314" s="382">
        <f>BQ314* Pile!$U$52</f>
        <v>0</v>
      </c>
      <c r="BX314" s="382">
        <f t="shared" si="331"/>
        <v>636.17251235193316</v>
      </c>
      <c r="BY314" s="382">
        <f>BX314/ 'Pile Data and Eurocode Factors'!$C$14/ 'Pile Data and Eurocode Factors'!$C$15</f>
        <v>227.20446869711901</v>
      </c>
      <c r="BZ314" s="382">
        <f t="shared" si="332"/>
        <v>9907.4693032165542</v>
      </c>
      <c r="CA314" s="382">
        <f>VLOOKUP(BO314, 'Pile Data and Eurocode Factors'!$A$34:$J$39,3, FALSE)</f>
        <v>9464.7047474031824</v>
      </c>
      <c r="CB314" s="403">
        <f t="shared" si="333"/>
        <v>9464.7047474031824</v>
      </c>
      <c r="CC314" s="419">
        <v>1050</v>
      </c>
      <c r="CD314" s="430">
        <f>PI()*CC314/1000*( Pile!$C$52- Pile!$C314)</f>
        <v>12.864821916450081</v>
      </c>
      <c r="CE314" s="382">
        <f t="shared" si="334"/>
        <v>0.86590147514568672</v>
      </c>
      <c r="CF314" s="382">
        <f t="shared" si="352"/>
        <v>1286.482191645008</v>
      </c>
      <c r="CG314" s="382">
        <f>CD314* Pile!$S$52</f>
        <v>1286.482191645008</v>
      </c>
      <c r="CH314" s="382">
        <f t="shared" ref="CH314:CH321" si="358">IF(CG314&gt;0,MIN(CF314:CG314),CF314)</f>
        <v>1286.482191645008</v>
      </c>
      <c r="CI314" s="382">
        <f>IF(CH314&gt;0,+CH314)/ 'Pile Data and Eurocode Factors'!$B$14/ 'Pile Data and Eurocode Factors'!$B$15+CI$301</f>
        <v>11293.642306939346</v>
      </c>
      <c r="CJ314" s="382">
        <f t="shared" si="309"/>
        <v>865.90147514568673</v>
      </c>
      <c r="CK314" s="382">
        <f>CE314* Pile!$U$52</f>
        <v>0</v>
      </c>
      <c r="CL314" s="382">
        <f t="shared" si="335"/>
        <v>865.90147514568673</v>
      </c>
      <c r="CM314" s="382">
        <f>CL314/ 'Pile Data and Eurocode Factors'!$C$14/ 'Pile Data and Eurocode Factors'!$C$15</f>
        <v>309.25052683774527</v>
      </c>
      <c r="CN314" s="382">
        <f t="shared" si="336"/>
        <v>11602.89283377709</v>
      </c>
      <c r="CO314" s="382">
        <f>VLOOKUP(CC314, 'Pile Data and Eurocode Factors'!$A$34:$J$39,3, FALSE)</f>
        <v>12882.514795076555</v>
      </c>
      <c r="CP314" s="403">
        <f t="shared" si="337"/>
        <v>11602.89283377709</v>
      </c>
      <c r="CQ314" s="419">
        <v>1200</v>
      </c>
      <c r="CR314" s="430">
        <f>PI()*CQ314/1000*( Pile!$C$52- Pile!$C314)</f>
        <v>14.702653618800092</v>
      </c>
      <c r="CS314" s="382">
        <f t="shared" si="338"/>
        <v>1.1309733552923256</v>
      </c>
      <c r="CT314" s="382">
        <f t="shared" si="353"/>
        <v>1470.2653618800091</v>
      </c>
      <c r="CU314" s="382">
        <f>CR314* Pile!$S$52</f>
        <v>1470.2653618800091</v>
      </c>
      <c r="CV314" s="382">
        <f t="shared" ref="CV314:CV321" si="359">IF(CU314&gt;0,MIN(CT314:CU314),CT314)</f>
        <v>1470.2653618800091</v>
      </c>
      <c r="CW314" s="382">
        <f>IF(CV314&gt;0,+CV314)/ 'Pile Data and Eurocode Factors'!$B$14/ 'Pile Data and Eurocode Factors'!$B$15+CW$301</f>
        <v>12907.019779359252</v>
      </c>
      <c r="CX314" s="382">
        <f t="shared" si="310"/>
        <v>1130.9733552923256</v>
      </c>
      <c r="CY314" s="382">
        <f>CS314* Pile!$U$52</f>
        <v>0</v>
      </c>
      <c r="CZ314" s="382">
        <f t="shared" si="339"/>
        <v>1130.9733552923256</v>
      </c>
      <c r="DA314" s="382">
        <f>CZ314/ 'Pile Data and Eurocode Factors'!$C$14/ 'Pile Data and Eurocode Factors'!$C$15</f>
        <v>403.91905546154487</v>
      </c>
      <c r="DB314" s="382">
        <f t="shared" si="340"/>
        <v>13310.938834820798</v>
      </c>
      <c r="DC314" s="382">
        <f>VLOOKUP(CQ314, 'Pile Data and Eurocode Factors'!$A$34:$J$39,3, FALSE)</f>
        <v>16826.141773161216</v>
      </c>
      <c r="DD314" s="403">
        <f t="shared" si="341"/>
        <v>13310.938834820798</v>
      </c>
      <c r="DE314" s="420">
        <f xml:space="preserve"> Pile!$C$23- Pile!C314</f>
        <v>45.899999999999963</v>
      </c>
      <c r="DG314" s="382">
        <f t="shared" si="342"/>
        <v>2366.1761868507956</v>
      </c>
      <c r="DH314" s="382">
        <f t="shared" si="343"/>
        <v>4206.5354432903041</v>
      </c>
      <c r="DI314" s="382">
        <f t="shared" si="344"/>
        <v>6572.7116301410997</v>
      </c>
      <c r="DJ314" s="382">
        <f t="shared" si="345"/>
        <v>9464.7047474031824</v>
      </c>
      <c r="DK314" s="382">
        <f t="shared" si="346"/>
        <v>11602.89283377709</v>
      </c>
      <c r="DL314" s="382">
        <f t="shared" si="347"/>
        <v>13310.938834820798</v>
      </c>
    </row>
    <row r="315" spans="2:116" s="308" customFormat="1" ht="15">
      <c r="B315" s="400">
        <v>14</v>
      </c>
      <c r="C315" s="401">
        <f>+C314- Pile!D$52/20</f>
        <v>-40.19999999999996</v>
      </c>
      <c r="D315" s="415" t="str">
        <f>B26</f>
        <v>Medium Density Chalk</v>
      </c>
      <c r="E315" s="415" t="str">
        <f>F26</f>
        <v>Chalk</v>
      </c>
      <c r="F315" s="401">
        <f xml:space="preserve"> Pile!$E$52*( Pile!$C$52- Pile!C315)+$F$301</f>
        <v>879.97912499999939</v>
      </c>
      <c r="G315" s="401">
        <f>IF(C315&gt; Pile!$C$54,0,( Pile!$C$54-C315)*9.81)</f>
        <v>247.21199999999962</v>
      </c>
      <c r="H315" s="401">
        <f t="shared" si="313"/>
        <v>632.76712499999974</v>
      </c>
      <c r="I315" s="401">
        <f t="shared" si="312"/>
        <v>610.87856250000004</v>
      </c>
      <c r="J315" s="401">
        <f>IF(E315="Cohesive",(( Pile!$H$52- Pile!$G$52)/20)+J314,0)</f>
        <v>0</v>
      </c>
      <c r="K315" s="401">
        <f>IF(E315="Cohesive",( Pile!$G$52+ Pile!$J315)/2,0)</f>
        <v>0</v>
      </c>
      <c r="L315" s="401" t="str">
        <f>IF( Pile!I$52="",0, Pile!I$52)</f>
        <v>0</v>
      </c>
      <c r="M315" s="401" t="str">
        <f>IF( Pile!J$52="",0, Pile!J$52)</f>
        <v>0</v>
      </c>
      <c r="N315" s="401">
        <f>IF(E315="Granular", Pile!$K$52,0)</f>
        <v>0</v>
      </c>
      <c r="O315" s="416">
        <f>IF(AND(E315="Granular",D315&lt;&gt;"Made Ground"), Pile!$L$52,0)</f>
        <v>0</v>
      </c>
      <c r="P315" s="401">
        <f>IF(OR(D315="Low Density Chalk",D315="Medium Density Chalk"), Pile!$M$52,0)</f>
        <v>0.45</v>
      </c>
      <c r="Q315" s="417">
        <f>IF(D315="High Density Chalk", Pile!$N$52,0)</f>
        <v>0</v>
      </c>
      <c r="R315" s="401">
        <f>IF( Pile!O$52="",0, Pile!O$52)</f>
        <v>6000</v>
      </c>
      <c r="S315" s="418">
        <f t="shared" si="314"/>
        <v>274.89535312500004</v>
      </c>
      <c r="T315" s="382">
        <f xml:space="preserve"> Pile!$T$52</f>
        <v>100</v>
      </c>
      <c r="U315" s="382">
        <f t="shared" si="315"/>
        <v>100</v>
      </c>
      <c r="V315" s="382">
        <f t="shared" si="316"/>
        <v>6000</v>
      </c>
      <c r="W315" s="382">
        <f xml:space="preserve"> Pile!$V$52</f>
        <v>1000</v>
      </c>
      <c r="X315" s="382">
        <f t="shared" si="317"/>
        <v>1000</v>
      </c>
      <c r="Y315" s="419">
        <v>450</v>
      </c>
      <c r="Z315" s="430">
        <f>PI()*Y315/1000*( Pile!$C$52- Pile!$C315)</f>
        <v>5.9376101152846523</v>
      </c>
      <c r="AA315" s="382">
        <f t="shared" si="318"/>
        <v>0.15904312808798329</v>
      </c>
      <c r="AB315" s="382">
        <f t="shared" si="348"/>
        <v>593.76101152846525</v>
      </c>
      <c r="AC315" s="382">
        <f>Z315* Pile!$S$52</f>
        <v>593.76101152846525</v>
      </c>
      <c r="AD315" s="382">
        <f t="shared" si="354"/>
        <v>593.76101152846525</v>
      </c>
      <c r="AE315" s="382">
        <f>IF(AD315&gt;0,+AD315)/ 'Pile Data and Eurocode Factors'!$B$14/ 'Pile Data and Eurocode Factors'!$B$15+AE$301</f>
        <v>4859.0661229844782</v>
      </c>
      <c r="AF315" s="382">
        <f t="shared" si="305"/>
        <v>159.04312808798329</v>
      </c>
      <c r="AG315" s="382">
        <f>AA315* Pile!$U$52</f>
        <v>0</v>
      </c>
      <c r="AH315" s="382">
        <f t="shared" si="319"/>
        <v>159.04312808798329</v>
      </c>
      <c r="AI315" s="382">
        <f>AH315/ 'Pile Data and Eurocode Factors'!$C$14/ 'Pile Data and Eurocode Factors'!$C$15</f>
        <v>56.801117174279753</v>
      </c>
      <c r="AJ315" s="382">
        <f t="shared" si="320"/>
        <v>4915.8672401587582</v>
      </c>
      <c r="AK315" s="382">
        <f>VLOOKUP(Y315, 'Pile Data and Eurocode Factors'!$A$34:$J$39,3, FALSE)</f>
        <v>2366.1761868507956</v>
      </c>
      <c r="AL315" s="403">
        <f t="shared" si="321"/>
        <v>2366.1761868507956</v>
      </c>
      <c r="AM315" s="419">
        <v>600</v>
      </c>
      <c r="AN315" s="430">
        <f>PI()*AM315/1000*( Pile!$C$52- Pile!$C315)</f>
        <v>7.9168134870462037</v>
      </c>
      <c r="AO315" s="382">
        <f t="shared" si="322"/>
        <v>0.28274333882308139</v>
      </c>
      <c r="AP315" s="382">
        <f t="shared" si="349"/>
        <v>791.6813487046204</v>
      </c>
      <c r="AQ315" s="382">
        <f>AN315* Pile!$S$52</f>
        <v>791.6813487046204</v>
      </c>
      <c r="AR315" s="382">
        <f t="shared" si="355"/>
        <v>791.6813487046204</v>
      </c>
      <c r="AS315" s="382">
        <f>IF(AR315&gt;0,+AR315)/ 'Pile Data and Eurocode Factors'!$B$14/ 'Pile Data and Eurocode Factors'!$B$15+AS$301</f>
        <v>6478.7548306459721</v>
      </c>
      <c r="AT315" s="382">
        <f t="shared" si="306"/>
        <v>282.74333882308139</v>
      </c>
      <c r="AU315" s="382">
        <f>AO315* Pile!$U$52</f>
        <v>0</v>
      </c>
      <c r="AV315" s="382">
        <f t="shared" si="323"/>
        <v>282.74333882308139</v>
      </c>
      <c r="AW315" s="382">
        <f>AV315/ 'Pile Data and Eurocode Factors'!$C$14/ 'Pile Data and Eurocode Factors'!$C$15</f>
        <v>100.97976386538622</v>
      </c>
      <c r="AX315" s="382">
        <f t="shared" si="324"/>
        <v>6579.7345945113584</v>
      </c>
      <c r="AY315" s="382">
        <f>VLOOKUP(AM315, 'Pile Data and Eurocode Factors'!$A$34:$J$39,3, FALSE)</f>
        <v>4206.5354432903041</v>
      </c>
      <c r="AZ315" s="403">
        <f t="shared" si="325"/>
        <v>4206.5354432903041</v>
      </c>
      <c r="BA315" s="419">
        <v>750</v>
      </c>
      <c r="BB315" s="430">
        <f>PI()*BA315/1000*( Pile!$C$52- Pile!$C315)</f>
        <v>9.8960168588077551</v>
      </c>
      <c r="BC315" s="382">
        <f t="shared" si="326"/>
        <v>0.44178646691106466</v>
      </c>
      <c r="BD315" s="382">
        <f t="shared" si="350"/>
        <v>989.60168588077545</v>
      </c>
      <c r="BE315" s="382">
        <f>BB315* Pile!$S$52</f>
        <v>989.60168588077545</v>
      </c>
      <c r="BF315" s="382">
        <f t="shared" si="356"/>
        <v>989.60168588077545</v>
      </c>
      <c r="BG315" s="382">
        <f>IF(BF315&gt;0,+BF315)/ 'Pile Data and Eurocode Factors'!$B$14/ 'Pile Data and Eurocode Factors'!$B$15+BG$301</f>
        <v>8098.4435383074651</v>
      </c>
      <c r="BH315" s="382">
        <f t="shared" si="307"/>
        <v>441.78646691106468</v>
      </c>
      <c r="BI315" s="382">
        <f>BC315* Pile!$U$52</f>
        <v>0</v>
      </c>
      <c r="BJ315" s="382">
        <f t="shared" si="327"/>
        <v>441.78646691106468</v>
      </c>
      <c r="BK315" s="382">
        <f>BJ315/ 'Pile Data and Eurocode Factors'!$C$14/ 'Pile Data and Eurocode Factors'!$C$15</f>
        <v>157.78088103966596</v>
      </c>
      <c r="BL315" s="382">
        <f t="shared" si="328"/>
        <v>8256.2244193471306</v>
      </c>
      <c r="BM315" s="382">
        <f>VLOOKUP(BA315, 'Pile Data and Eurocode Factors'!$A$34:$J$39,3, FALSE)</f>
        <v>6572.7116301410997</v>
      </c>
      <c r="BN315" s="403">
        <f t="shared" si="329"/>
        <v>6572.7116301410997</v>
      </c>
      <c r="BO315" s="419">
        <v>900</v>
      </c>
      <c r="BP315" s="430">
        <f>PI()*BO315/1000*( Pile!$C$52- Pile!$C315)</f>
        <v>11.875220230569305</v>
      </c>
      <c r="BQ315" s="382">
        <f t="shared" si="330"/>
        <v>0.63617251235193317</v>
      </c>
      <c r="BR315" s="382">
        <f t="shared" si="351"/>
        <v>1187.5220230569305</v>
      </c>
      <c r="BS315" s="382">
        <f>BP315* Pile!$S$52</f>
        <v>1187.5220230569305</v>
      </c>
      <c r="BT315" s="382">
        <f t="shared" si="357"/>
        <v>1187.5220230569305</v>
      </c>
      <c r="BU315" s="382">
        <f>IF(BT315&gt;0,+BT315)/ 'Pile Data and Eurocode Factors'!$B$14/ 'Pile Data and Eurocode Factors'!$B$15+BU$301</f>
        <v>9718.1322459689563</v>
      </c>
      <c r="BV315" s="382">
        <f t="shared" si="308"/>
        <v>636.17251235193316</v>
      </c>
      <c r="BW315" s="382">
        <f>BQ315* Pile!$U$52</f>
        <v>0</v>
      </c>
      <c r="BX315" s="382">
        <f t="shared" si="331"/>
        <v>636.17251235193316</v>
      </c>
      <c r="BY315" s="382">
        <f>BX315/ 'Pile Data and Eurocode Factors'!$C$14/ 'Pile Data and Eurocode Factors'!$C$15</f>
        <v>227.20446869711901</v>
      </c>
      <c r="BZ315" s="382">
        <f t="shared" si="332"/>
        <v>9945.3367146660748</v>
      </c>
      <c r="CA315" s="382">
        <f>VLOOKUP(BO315, 'Pile Data and Eurocode Factors'!$A$34:$J$39,3, FALSE)</f>
        <v>9464.7047474031824</v>
      </c>
      <c r="CB315" s="403">
        <f t="shared" si="333"/>
        <v>9464.7047474031824</v>
      </c>
      <c r="CC315" s="419">
        <v>1050</v>
      </c>
      <c r="CD315" s="430">
        <f>PI()*CC315/1000*( Pile!$C$52- Pile!$C315)</f>
        <v>13.854423602330856</v>
      </c>
      <c r="CE315" s="382">
        <f t="shared" si="334"/>
        <v>0.86590147514568672</v>
      </c>
      <c r="CF315" s="382">
        <f t="shared" si="352"/>
        <v>1385.4423602330855</v>
      </c>
      <c r="CG315" s="382">
        <f>CD315* Pile!$S$52</f>
        <v>1385.4423602330855</v>
      </c>
      <c r="CH315" s="382">
        <f t="shared" si="358"/>
        <v>1385.4423602330855</v>
      </c>
      <c r="CI315" s="382">
        <f>IF(CH315&gt;0,+CH315)/ 'Pile Data and Eurocode Factors'!$B$14/ 'Pile Data and Eurocode Factors'!$B$15+CI$301</f>
        <v>11337.820953630453</v>
      </c>
      <c r="CJ315" s="382">
        <f t="shared" si="309"/>
        <v>865.90147514568673</v>
      </c>
      <c r="CK315" s="382">
        <f>CE315* Pile!$U$52</f>
        <v>0</v>
      </c>
      <c r="CL315" s="382">
        <f t="shared" si="335"/>
        <v>865.90147514568673</v>
      </c>
      <c r="CM315" s="382">
        <f>CL315/ 'Pile Data and Eurocode Factors'!$C$14/ 'Pile Data and Eurocode Factors'!$C$15</f>
        <v>309.25052683774527</v>
      </c>
      <c r="CN315" s="382">
        <f t="shared" si="336"/>
        <v>11647.071480468197</v>
      </c>
      <c r="CO315" s="382">
        <f>VLOOKUP(CC315, 'Pile Data and Eurocode Factors'!$A$34:$J$39,3, FALSE)</f>
        <v>12882.514795076555</v>
      </c>
      <c r="CP315" s="403">
        <f t="shared" si="337"/>
        <v>11647.071480468197</v>
      </c>
      <c r="CQ315" s="419">
        <v>1200</v>
      </c>
      <c r="CR315" s="430">
        <f>PI()*CQ315/1000*( Pile!$C$52- Pile!$C315)</f>
        <v>15.833626974092407</v>
      </c>
      <c r="CS315" s="382">
        <f t="shared" si="338"/>
        <v>1.1309733552923256</v>
      </c>
      <c r="CT315" s="382">
        <f t="shared" si="353"/>
        <v>1583.3626974092408</v>
      </c>
      <c r="CU315" s="382">
        <f>CR315* Pile!$S$52</f>
        <v>1583.3626974092408</v>
      </c>
      <c r="CV315" s="382">
        <f t="shared" si="359"/>
        <v>1583.3626974092408</v>
      </c>
      <c r="CW315" s="382">
        <f>IF(CV315&gt;0,+CV315)/ 'Pile Data and Eurocode Factors'!$B$14/ 'Pile Data and Eurocode Factors'!$B$15+CW$301</f>
        <v>12957.509661291944</v>
      </c>
      <c r="CX315" s="382">
        <f t="shared" si="310"/>
        <v>1130.9733552923256</v>
      </c>
      <c r="CY315" s="382">
        <f>CS315* Pile!$U$52</f>
        <v>0</v>
      </c>
      <c r="CZ315" s="382">
        <f t="shared" si="339"/>
        <v>1130.9733552923256</v>
      </c>
      <c r="DA315" s="382">
        <f>CZ315/ 'Pile Data and Eurocode Factors'!$C$14/ 'Pile Data and Eurocode Factors'!$C$15</f>
        <v>403.91905546154487</v>
      </c>
      <c r="DB315" s="382">
        <f t="shared" si="340"/>
        <v>13361.428716753489</v>
      </c>
      <c r="DC315" s="382">
        <f>VLOOKUP(CQ315, 'Pile Data and Eurocode Factors'!$A$34:$J$39,3, FALSE)</f>
        <v>16826.141773161216</v>
      </c>
      <c r="DD315" s="403">
        <f t="shared" si="341"/>
        <v>13361.428716753489</v>
      </c>
      <c r="DE315" s="420">
        <f xml:space="preserve"> Pile!$C$23- Pile!C315</f>
        <v>46.19999999999996</v>
      </c>
      <c r="DG315" s="382">
        <f t="shared" si="342"/>
        <v>2366.1761868507956</v>
      </c>
      <c r="DH315" s="382">
        <f t="shared" si="343"/>
        <v>4206.5354432903041</v>
      </c>
      <c r="DI315" s="382">
        <f t="shared" si="344"/>
        <v>6572.7116301410997</v>
      </c>
      <c r="DJ315" s="382">
        <f t="shared" si="345"/>
        <v>9464.7047474031824</v>
      </c>
      <c r="DK315" s="382">
        <f t="shared" si="346"/>
        <v>11647.071480468197</v>
      </c>
      <c r="DL315" s="382">
        <f t="shared" si="347"/>
        <v>13361.428716753489</v>
      </c>
    </row>
    <row r="316" spans="2:116" s="308" customFormat="1" ht="15">
      <c r="B316" s="400">
        <v>15</v>
      </c>
      <c r="C316" s="401">
        <f>+C315- Pile!D$52/20</f>
        <v>-40.499999999999957</v>
      </c>
      <c r="D316" s="415" t="str">
        <f>B26</f>
        <v>Medium Density Chalk</v>
      </c>
      <c r="E316" s="415" t="str">
        <f>F26</f>
        <v>Chalk</v>
      </c>
      <c r="F316" s="401">
        <f xml:space="preserve"> Pile!$E$52*( Pile!$C$52- Pile!C316)+$F$301</f>
        <v>886.04906249999931</v>
      </c>
      <c r="G316" s="401">
        <f>IF(C316&gt; Pile!$C$54,0,( Pile!$C$54-C316)*9.81)</f>
        <v>250.1549999999996</v>
      </c>
      <c r="H316" s="401">
        <f t="shared" si="313"/>
        <v>635.89406249999968</v>
      </c>
      <c r="I316" s="401">
        <f t="shared" si="312"/>
        <v>612.4420312499999</v>
      </c>
      <c r="J316" s="401">
        <f>IF(E316="Cohesive",(( Pile!$H$52- Pile!$G$52)/20)+J315,0)</f>
        <v>0</v>
      </c>
      <c r="K316" s="401">
        <f>IF(E316="Cohesive",( Pile!$G$52+ Pile!$J316)/2,0)</f>
        <v>0</v>
      </c>
      <c r="L316" s="401" t="str">
        <f>IF( Pile!I$52="",0, Pile!I$52)</f>
        <v>0</v>
      </c>
      <c r="M316" s="401" t="str">
        <f>IF( Pile!J$52="",0, Pile!J$52)</f>
        <v>0</v>
      </c>
      <c r="N316" s="401">
        <f>IF(E316="Granular", Pile!$K$52,0)</f>
        <v>0</v>
      </c>
      <c r="O316" s="416">
        <f>IF(AND(E316="Granular",D316&lt;&gt;"Made Ground"), Pile!$L$52,0)</f>
        <v>0</v>
      </c>
      <c r="P316" s="401">
        <f>IF(OR(D316="Low Density Chalk",D316="Medium Density Chalk"), Pile!$M$52,0)</f>
        <v>0.45</v>
      </c>
      <c r="Q316" s="417">
        <f>IF(D316="High Density Chalk", Pile!$N$52,0)</f>
        <v>0</v>
      </c>
      <c r="R316" s="401">
        <f>IF( Pile!O$52="",0, Pile!O$52)</f>
        <v>6000</v>
      </c>
      <c r="S316" s="418">
        <f t="shared" si="314"/>
        <v>275.59891406249994</v>
      </c>
      <c r="T316" s="382">
        <f xml:space="preserve"> Pile!$T$52</f>
        <v>100</v>
      </c>
      <c r="U316" s="382">
        <f t="shared" si="315"/>
        <v>100</v>
      </c>
      <c r="V316" s="382">
        <f t="shared" si="316"/>
        <v>6000</v>
      </c>
      <c r="W316" s="382">
        <f xml:space="preserve"> Pile!$V$52</f>
        <v>1000</v>
      </c>
      <c r="X316" s="382">
        <f t="shared" si="317"/>
        <v>1000</v>
      </c>
      <c r="Y316" s="419">
        <v>450</v>
      </c>
      <c r="Z316" s="430">
        <f>PI()*Y316/1000*( Pile!$C$52- Pile!$C316)</f>
        <v>6.3617251235192711</v>
      </c>
      <c r="AA316" s="382">
        <f t="shared" si="318"/>
        <v>0.15904312808798329</v>
      </c>
      <c r="AB316" s="382">
        <f t="shared" si="348"/>
        <v>636.17251235192714</v>
      </c>
      <c r="AC316" s="382">
        <f>Z316* Pile!$S$52</f>
        <v>636.17251235192714</v>
      </c>
      <c r="AD316" s="382">
        <f t="shared" si="354"/>
        <v>636.17251235192714</v>
      </c>
      <c r="AE316" s="382">
        <f>IF(AD316&gt;0,+AD316)/ 'Pile Data and Eurocode Factors'!$B$14/ 'Pile Data and Eurocode Factors'!$B$15+AE$301</f>
        <v>4877.9998287092376</v>
      </c>
      <c r="AF316" s="382">
        <f t="shared" si="305"/>
        <v>159.04312808798329</v>
      </c>
      <c r="AG316" s="382">
        <f>AA316* Pile!$U$52</f>
        <v>0</v>
      </c>
      <c r="AH316" s="382">
        <f t="shared" si="319"/>
        <v>159.04312808798329</v>
      </c>
      <c r="AI316" s="382">
        <f>AH316/ 'Pile Data and Eurocode Factors'!$C$14/ 'Pile Data and Eurocode Factors'!$C$15</f>
        <v>56.801117174279753</v>
      </c>
      <c r="AJ316" s="382">
        <f t="shared" si="320"/>
        <v>4934.8009458835177</v>
      </c>
      <c r="AK316" s="382">
        <f>VLOOKUP(Y316, 'Pile Data and Eurocode Factors'!$A$34:$J$39,3, FALSE)</f>
        <v>2366.1761868507956</v>
      </c>
      <c r="AL316" s="403">
        <f t="shared" si="321"/>
        <v>2366.1761868507956</v>
      </c>
      <c r="AM316" s="419">
        <v>600</v>
      </c>
      <c r="AN316" s="430">
        <f>PI()*AM316/1000*( Pile!$C$52- Pile!$C316)</f>
        <v>8.4823001646923615</v>
      </c>
      <c r="AO316" s="382">
        <f t="shared" si="322"/>
        <v>0.28274333882308139</v>
      </c>
      <c r="AP316" s="382">
        <f t="shared" si="349"/>
        <v>848.23001646923615</v>
      </c>
      <c r="AQ316" s="382">
        <f>AN316* Pile!$S$52</f>
        <v>848.23001646923615</v>
      </c>
      <c r="AR316" s="382">
        <f t="shared" si="355"/>
        <v>848.23001646923615</v>
      </c>
      <c r="AS316" s="382">
        <f>IF(AR316&gt;0,+AR316)/ 'Pile Data and Eurocode Factors'!$B$14/ 'Pile Data and Eurocode Factors'!$B$15+AS$301</f>
        <v>6503.9997716123189</v>
      </c>
      <c r="AT316" s="382">
        <f t="shared" si="306"/>
        <v>282.74333882308139</v>
      </c>
      <c r="AU316" s="382">
        <f>AO316* Pile!$U$52</f>
        <v>0</v>
      </c>
      <c r="AV316" s="382">
        <f t="shared" si="323"/>
        <v>282.74333882308139</v>
      </c>
      <c r="AW316" s="382">
        <f>AV316/ 'Pile Data and Eurocode Factors'!$C$14/ 'Pile Data and Eurocode Factors'!$C$15</f>
        <v>100.97976386538622</v>
      </c>
      <c r="AX316" s="382">
        <f t="shared" si="324"/>
        <v>6604.9795354777052</v>
      </c>
      <c r="AY316" s="382">
        <f>VLOOKUP(AM316, 'Pile Data and Eurocode Factors'!$A$34:$J$39,3, FALSE)</f>
        <v>4206.5354432903041</v>
      </c>
      <c r="AZ316" s="403">
        <f t="shared" si="325"/>
        <v>4206.5354432903041</v>
      </c>
      <c r="BA316" s="419">
        <v>750</v>
      </c>
      <c r="BB316" s="430">
        <f>PI()*BA316/1000*( Pile!$C$52- Pile!$C316)</f>
        <v>10.602875205865452</v>
      </c>
      <c r="BC316" s="382">
        <f t="shared" si="326"/>
        <v>0.44178646691106466</v>
      </c>
      <c r="BD316" s="382">
        <f t="shared" si="350"/>
        <v>1060.2875205865453</v>
      </c>
      <c r="BE316" s="382">
        <f>BB316* Pile!$S$52</f>
        <v>1060.2875205865453</v>
      </c>
      <c r="BF316" s="382">
        <f t="shared" si="356"/>
        <v>1060.2875205865453</v>
      </c>
      <c r="BG316" s="382">
        <f>IF(BF316&gt;0,+BF316)/ 'Pile Data and Eurocode Factors'!$B$14/ 'Pile Data and Eurocode Factors'!$B$15+BG$301</f>
        <v>8129.9997145153984</v>
      </c>
      <c r="BH316" s="382">
        <f t="shared" si="307"/>
        <v>441.78646691106468</v>
      </c>
      <c r="BI316" s="382">
        <f>BC316* Pile!$U$52</f>
        <v>0</v>
      </c>
      <c r="BJ316" s="382">
        <f t="shared" si="327"/>
        <v>441.78646691106468</v>
      </c>
      <c r="BK316" s="382">
        <f>BJ316/ 'Pile Data and Eurocode Factors'!$C$14/ 'Pile Data and Eurocode Factors'!$C$15</f>
        <v>157.78088103966596</v>
      </c>
      <c r="BL316" s="382">
        <f t="shared" si="328"/>
        <v>8287.7805955550648</v>
      </c>
      <c r="BM316" s="382">
        <f>VLOOKUP(BA316, 'Pile Data and Eurocode Factors'!$A$34:$J$39,3, FALSE)</f>
        <v>6572.7116301410997</v>
      </c>
      <c r="BN316" s="403">
        <f t="shared" si="329"/>
        <v>6572.7116301410997</v>
      </c>
      <c r="BO316" s="419">
        <v>900</v>
      </c>
      <c r="BP316" s="430">
        <f>PI()*BO316/1000*( Pile!$C$52- Pile!$C316)</f>
        <v>12.723450247038542</v>
      </c>
      <c r="BQ316" s="382">
        <f t="shared" si="330"/>
        <v>0.63617251235193317</v>
      </c>
      <c r="BR316" s="382">
        <f t="shared" si="351"/>
        <v>1272.3450247038543</v>
      </c>
      <c r="BS316" s="382">
        <f>BP316* Pile!$S$52</f>
        <v>1272.3450247038543</v>
      </c>
      <c r="BT316" s="382">
        <f t="shared" si="357"/>
        <v>1272.3450247038543</v>
      </c>
      <c r="BU316" s="382">
        <f>IF(BT316&gt;0,+BT316)/ 'Pile Data and Eurocode Factors'!$B$14/ 'Pile Data and Eurocode Factors'!$B$15+BU$301</f>
        <v>9755.9996574184752</v>
      </c>
      <c r="BV316" s="382">
        <f t="shared" si="308"/>
        <v>636.17251235193316</v>
      </c>
      <c r="BW316" s="382">
        <f>BQ316* Pile!$U$52</f>
        <v>0</v>
      </c>
      <c r="BX316" s="382">
        <f t="shared" si="331"/>
        <v>636.17251235193316</v>
      </c>
      <c r="BY316" s="382">
        <f>BX316/ 'Pile Data and Eurocode Factors'!$C$14/ 'Pile Data and Eurocode Factors'!$C$15</f>
        <v>227.20446869711901</v>
      </c>
      <c r="BZ316" s="382">
        <f t="shared" si="332"/>
        <v>9983.2041261155937</v>
      </c>
      <c r="CA316" s="382">
        <f>VLOOKUP(BO316, 'Pile Data and Eurocode Factors'!$A$34:$J$39,3, FALSE)</f>
        <v>9464.7047474031824</v>
      </c>
      <c r="CB316" s="403">
        <f t="shared" si="333"/>
        <v>9464.7047474031824</v>
      </c>
      <c r="CC316" s="419">
        <v>1050</v>
      </c>
      <c r="CD316" s="430">
        <f>PI()*CC316/1000*( Pile!$C$52- Pile!$C316)</f>
        <v>14.844025288211633</v>
      </c>
      <c r="CE316" s="382">
        <f t="shared" si="334"/>
        <v>0.86590147514568672</v>
      </c>
      <c r="CF316" s="382">
        <f t="shared" si="352"/>
        <v>1484.4025288211633</v>
      </c>
      <c r="CG316" s="382">
        <f>CD316* Pile!$S$52</f>
        <v>1484.4025288211633</v>
      </c>
      <c r="CH316" s="382">
        <f t="shared" si="358"/>
        <v>1484.4025288211633</v>
      </c>
      <c r="CI316" s="382">
        <f>IF(CH316&gt;0,+CH316)/ 'Pile Data and Eurocode Factors'!$B$14/ 'Pile Data and Eurocode Factors'!$B$15+CI$301</f>
        <v>11381.999600321558</v>
      </c>
      <c r="CJ316" s="382">
        <f t="shared" si="309"/>
        <v>865.90147514568673</v>
      </c>
      <c r="CK316" s="382">
        <f>CE316* Pile!$U$52</f>
        <v>0</v>
      </c>
      <c r="CL316" s="382">
        <f t="shared" si="335"/>
        <v>865.90147514568673</v>
      </c>
      <c r="CM316" s="382">
        <f>CL316/ 'Pile Data and Eurocode Factors'!$C$14/ 'Pile Data and Eurocode Factors'!$C$15</f>
        <v>309.25052683774527</v>
      </c>
      <c r="CN316" s="382">
        <f t="shared" si="336"/>
        <v>11691.250127159303</v>
      </c>
      <c r="CO316" s="382">
        <f>VLOOKUP(CC316, 'Pile Data and Eurocode Factors'!$A$34:$J$39,3, FALSE)</f>
        <v>12882.514795076555</v>
      </c>
      <c r="CP316" s="403">
        <f t="shared" si="337"/>
        <v>11691.250127159303</v>
      </c>
      <c r="CQ316" s="419">
        <v>1200</v>
      </c>
      <c r="CR316" s="430">
        <f>PI()*CQ316/1000*( Pile!$C$52- Pile!$C316)</f>
        <v>16.964600329384723</v>
      </c>
      <c r="CS316" s="382">
        <f t="shared" si="338"/>
        <v>1.1309733552923256</v>
      </c>
      <c r="CT316" s="382">
        <f t="shared" si="353"/>
        <v>1696.4600329384723</v>
      </c>
      <c r="CU316" s="382">
        <f>CR316* Pile!$S$52</f>
        <v>1696.4600329384723</v>
      </c>
      <c r="CV316" s="382">
        <f t="shared" si="359"/>
        <v>1696.4600329384723</v>
      </c>
      <c r="CW316" s="382">
        <f>IF(CV316&gt;0,+CV316)/ 'Pile Data and Eurocode Factors'!$B$14/ 'Pile Data and Eurocode Factors'!$B$15+CW$301</f>
        <v>13007.999543224638</v>
      </c>
      <c r="CX316" s="382">
        <f t="shared" si="310"/>
        <v>1130.9733552923256</v>
      </c>
      <c r="CY316" s="382">
        <f>CS316* Pile!$U$52</f>
        <v>0</v>
      </c>
      <c r="CZ316" s="382">
        <f t="shared" si="339"/>
        <v>1130.9733552923256</v>
      </c>
      <c r="DA316" s="382">
        <f>CZ316/ 'Pile Data and Eurocode Factors'!$C$14/ 'Pile Data and Eurocode Factors'!$C$15</f>
        <v>403.91905546154487</v>
      </c>
      <c r="DB316" s="382">
        <f t="shared" si="340"/>
        <v>13411.918598686183</v>
      </c>
      <c r="DC316" s="382">
        <f>VLOOKUP(CQ316, 'Pile Data and Eurocode Factors'!$A$34:$J$39,3, FALSE)</f>
        <v>16826.141773161216</v>
      </c>
      <c r="DD316" s="403">
        <f t="shared" si="341"/>
        <v>13411.918598686183</v>
      </c>
      <c r="DE316" s="420">
        <f xml:space="preserve"> Pile!$C$23- Pile!C316</f>
        <v>46.499999999999957</v>
      </c>
      <c r="DG316" s="382">
        <f t="shared" si="342"/>
        <v>2366.1761868507956</v>
      </c>
      <c r="DH316" s="382">
        <f t="shared" si="343"/>
        <v>4206.5354432903041</v>
      </c>
      <c r="DI316" s="382">
        <f t="shared" si="344"/>
        <v>6572.7116301410997</v>
      </c>
      <c r="DJ316" s="382">
        <f t="shared" si="345"/>
        <v>9464.7047474031824</v>
      </c>
      <c r="DK316" s="382">
        <f t="shared" si="346"/>
        <v>11691.250127159303</v>
      </c>
      <c r="DL316" s="382">
        <f t="shared" si="347"/>
        <v>13411.918598686183</v>
      </c>
    </row>
    <row r="317" spans="2:116" s="308" customFormat="1" ht="15">
      <c r="B317" s="400">
        <v>16</v>
      </c>
      <c r="C317" s="401">
        <f>+C316- Pile!D$52/20</f>
        <v>-40.799999999999955</v>
      </c>
      <c r="D317" s="415" t="str">
        <f>B26</f>
        <v>Medium Density Chalk</v>
      </c>
      <c r="E317" s="415" t="str">
        <f>F26</f>
        <v>Chalk</v>
      </c>
      <c r="F317" s="401">
        <f xml:space="preserve"> Pile!$E$52*( Pile!$C$52- Pile!C317)+$F$301</f>
        <v>892.11899999999935</v>
      </c>
      <c r="G317" s="401">
        <f>IF(C317&gt; Pile!$C$54,0,( Pile!$C$54-C317)*9.81)</f>
        <v>253.09799999999956</v>
      </c>
      <c r="H317" s="401">
        <f t="shared" si="313"/>
        <v>639.02099999999973</v>
      </c>
      <c r="I317" s="401">
        <f t="shared" si="312"/>
        <v>614.00549999999998</v>
      </c>
      <c r="J317" s="401">
        <f>IF(E317="Cohesive",(( Pile!$H$52- Pile!$G$52)/20)+J316,0)</f>
        <v>0</v>
      </c>
      <c r="K317" s="401">
        <f>IF(E317="Cohesive",( Pile!$G$52+ Pile!$J317)/2,0)</f>
        <v>0</v>
      </c>
      <c r="L317" s="401" t="str">
        <f>IF( Pile!I$52="",0, Pile!I$52)</f>
        <v>0</v>
      </c>
      <c r="M317" s="401" t="str">
        <f>IF( Pile!J$52="",0, Pile!J$52)</f>
        <v>0</v>
      </c>
      <c r="N317" s="401">
        <f>IF(E317="Granular", Pile!$K$52,0)</f>
        <v>0</v>
      </c>
      <c r="O317" s="416">
        <f>IF(AND(E317="Granular",D317&lt;&gt;"Made Ground"), Pile!$L$52,0)</f>
        <v>0</v>
      </c>
      <c r="P317" s="401">
        <f>IF(OR(D317="Low Density Chalk",D317="Medium Density Chalk"), Pile!$M$52,0)</f>
        <v>0.45</v>
      </c>
      <c r="Q317" s="417">
        <f>IF(D317="High Density Chalk", Pile!$N$52,0)</f>
        <v>0</v>
      </c>
      <c r="R317" s="401">
        <f>IF( Pile!O$52="",0, Pile!O$52)</f>
        <v>6000</v>
      </c>
      <c r="S317" s="418">
        <f t="shared" si="314"/>
        <v>276.30247500000002</v>
      </c>
      <c r="T317" s="382">
        <f xml:space="preserve"> Pile!$T$52</f>
        <v>100</v>
      </c>
      <c r="U317" s="382">
        <f t="shared" si="315"/>
        <v>100</v>
      </c>
      <c r="V317" s="382">
        <f t="shared" si="316"/>
        <v>6000</v>
      </c>
      <c r="W317" s="382">
        <f xml:space="preserve"> Pile!$V$52</f>
        <v>1000</v>
      </c>
      <c r="X317" s="382">
        <f t="shared" si="317"/>
        <v>1000</v>
      </c>
      <c r="Y317" s="419">
        <v>450</v>
      </c>
      <c r="Z317" s="430">
        <f>PI()*Y317/1000*( Pile!$C$52- Pile!$C317)</f>
        <v>6.785840131753889</v>
      </c>
      <c r="AA317" s="382">
        <f t="shared" si="318"/>
        <v>0.15904312808798329</v>
      </c>
      <c r="AB317" s="382">
        <f t="shared" si="348"/>
        <v>678.58401317538892</v>
      </c>
      <c r="AC317" s="382">
        <f>Z317* Pile!$S$52</f>
        <v>678.58401317538892</v>
      </c>
      <c r="AD317" s="382">
        <f t="shared" si="354"/>
        <v>678.58401317538892</v>
      </c>
      <c r="AE317" s="382">
        <f>IF(AD317&gt;0,+AD317)/ 'Pile Data and Eurocode Factors'!$B$14/ 'Pile Data and Eurocode Factors'!$B$15+AE$301</f>
        <v>4896.9335344339979</v>
      </c>
      <c r="AF317" s="382">
        <f t="shared" si="305"/>
        <v>159.04312808798329</v>
      </c>
      <c r="AG317" s="382">
        <f>AA317* Pile!$U$52</f>
        <v>0</v>
      </c>
      <c r="AH317" s="382">
        <f t="shared" si="319"/>
        <v>159.04312808798329</v>
      </c>
      <c r="AI317" s="382">
        <f>AH317/ 'Pile Data and Eurocode Factors'!$C$14/ 'Pile Data and Eurocode Factors'!$C$15</f>
        <v>56.801117174279753</v>
      </c>
      <c r="AJ317" s="382">
        <f t="shared" si="320"/>
        <v>4953.734651608278</v>
      </c>
      <c r="AK317" s="382">
        <f>VLOOKUP(Y317, 'Pile Data and Eurocode Factors'!$A$34:$J$39,3, FALSE)</f>
        <v>2366.1761868507956</v>
      </c>
      <c r="AL317" s="403">
        <f t="shared" si="321"/>
        <v>2366.1761868507956</v>
      </c>
      <c r="AM317" s="419">
        <v>600</v>
      </c>
      <c r="AN317" s="430">
        <f>PI()*AM317/1000*( Pile!$C$52- Pile!$C317)</f>
        <v>9.0477868423385193</v>
      </c>
      <c r="AO317" s="382">
        <f t="shared" si="322"/>
        <v>0.28274333882308139</v>
      </c>
      <c r="AP317" s="382">
        <f t="shared" si="349"/>
        <v>904.77868423385189</v>
      </c>
      <c r="AQ317" s="382">
        <f>AN317* Pile!$S$52</f>
        <v>904.77868423385189</v>
      </c>
      <c r="AR317" s="382">
        <f t="shared" si="355"/>
        <v>904.77868423385189</v>
      </c>
      <c r="AS317" s="382">
        <f>IF(AR317&gt;0,+AR317)/ 'Pile Data and Eurocode Factors'!$B$14/ 'Pile Data and Eurocode Factors'!$B$15+AS$301</f>
        <v>6529.2447125786648</v>
      </c>
      <c r="AT317" s="382">
        <f t="shared" si="306"/>
        <v>282.74333882308139</v>
      </c>
      <c r="AU317" s="382">
        <f>AO317* Pile!$U$52</f>
        <v>0</v>
      </c>
      <c r="AV317" s="382">
        <f t="shared" si="323"/>
        <v>282.74333882308139</v>
      </c>
      <c r="AW317" s="382">
        <f>AV317/ 'Pile Data and Eurocode Factors'!$C$14/ 'Pile Data and Eurocode Factors'!$C$15</f>
        <v>100.97976386538622</v>
      </c>
      <c r="AX317" s="382">
        <f t="shared" si="324"/>
        <v>6630.2244764440511</v>
      </c>
      <c r="AY317" s="382">
        <f>VLOOKUP(AM317, 'Pile Data and Eurocode Factors'!$A$34:$J$39,3, FALSE)</f>
        <v>4206.5354432903041</v>
      </c>
      <c r="AZ317" s="403">
        <f t="shared" si="325"/>
        <v>4206.5354432903041</v>
      </c>
      <c r="BA317" s="419">
        <v>750</v>
      </c>
      <c r="BB317" s="430">
        <f>PI()*BA317/1000*( Pile!$C$52- Pile!$C317)</f>
        <v>11.309733552923149</v>
      </c>
      <c r="BC317" s="382">
        <f t="shared" si="326"/>
        <v>0.44178646691106466</v>
      </c>
      <c r="BD317" s="382">
        <f t="shared" si="350"/>
        <v>1130.9733552923149</v>
      </c>
      <c r="BE317" s="382">
        <f>BB317* Pile!$S$52</f>
        <v>1130.9733552923149</v>
      </c>
      <c r="BF317" s="382">
        <f t="shared" si="356"/>
        <v>1130.9733552923149</v>
      </c>
      <c r="BG317" s="382">
        <f>IF(BF317&gt;0,+BF317)/ 'Pile Data and Eurocode Factors'!$B$14/ 'Pile Data and Eurocode Factors'!$B$15+BG$301</f>
        <v>8161.5558907233308</v>
      </c>
      <c r="BH317" s="382">
        <f t="shared" si="307"/>
        <v>441.78646691106468</v>
      </c>
      <c r="BI317" s="382">
        <f>BC317* Pile!$U$52</f>
        <v>0</v>
      </c>
      <c r="BJ317" s="382">
        <f t="shared" si="327"/>
        <v>441.78646691106468</v>
      </c>
      <c r="BK317" s="382">
        <f>BJ317/ 'Pile Data and Eurocode Factors'!$C$14/ 'Pile Data and Eurocode Factors'!$C$15</f>
        <v>157.78088103966596</v>
      </c>
      <c r="BL317" s="382">
        <f t="shared" si="328"/>
        <v>8319.3367717629972</v>
      </c>
      <c r="BM317" s="382">
        <f>VLOOKUP(BA317, 'Pile Data and Eurocode Factors'!$A$34:$J$39,3, FALSE)</f>
        <v>6572.7116301410997</v>
      </c>
      <c r="BN317" s="403">
        <f t="shared" si="329"/>
        <v>6572.7116301410997</v>
      </c>
      <c r="BO317" s="419">
        <v>900</v>
      </c>
      <c r="BP317" s="430">
        <f>PI()*BO317/1000*( Pile!$C$52- Pile!$C317)</f>
        <v>13.571680263507778</v>
      </c>
      <c r="BQ317" s="382">
        <f t="shared" si="330"/>
        <v>0.63617251235193317</v>
      </c>
      <c r="BR317" s="382">
        <f t="shared" si="351"/>
        <v>1357.1680263507778</v>
      </c>
      <c r="BS317" s="382">
        <f>BP317* Pile!$S$52</f>
        <v>1357.1680263507778</v>
      </c>
      <c r="BT317" s="382">
        <f t="shared" si="357"/>
        <v>1357.1680263507778</v>
      </c>
      <c r="BU317" s="382">
        <f>IF(BT317&gt;0,+BT317)/ 'Pile Data and Eurocode Factors'!$B$14/ 'Pile Data and Eurocode Factors'!$B$15+BU$301</f>
        <v>9793.8670688679958</v>
      </c>
      <c r="BV317" s="382">
        <f t="shared" si="308"/>
        <v>636.17251235193316</v>
      </c>
      <c r="BW317" s="382">
        <f>BQ317* Pile!$U$52</f>
        <v>0</v>
      </c>
      <c r="BX317" s="382">
        <f t="shared" si="331"/>
        <v>636.17251235193316</v>
      </c>
      <c r="BY317" s="382">
        <f>BX317/ 'Pile Data and Eurocode Factors'!$C$14/ 'Pile Data and Eurocode Factors'!$C$15</f>
        <v>227.20446869711901</v>
      </c>
      <c r="BZ317" s="382">
        <f t="shared" si="332"/>
        <v>10021.071537565114</v>
      </c>
      <c r="CA317" s="382">
        <f>VLOOKUP(BO317, 'Pile Data and Eurocode Factors'!$A$34:$J$39,3, FALSE)</f>
        <v>9464.7047474031824</v>
      </c>
      <c r="CB317" s="403">
        <f t="shared" si="333"/>
        <v>9464.7047474031824</v>
      </c>
      <c r="CC317" s="419">
        <v>1050</v>
      </c>
      <c r="CD317" s="430">
        <f>PI()*CC317/1000*( Pile!$C$52- Pile!$C317)</f>
        <v>15.833626974092407</v>
      </c>
      <c r="CE317" s="382">
        <f t="shared" si="334"/>
        <v>0.86590147514568672</v>
      </c>
      <c r="CF317" s="382">
        <f t="shared" si="352"/>
        <v>1583.3626974092408</v>
      </c>
      <c r="CG317" s="382">
        <f>CD317* Pile!$S$52</f>
        <v>1583.3626974092408</v>
      </c>
      <c r="CH317" s="382">
        <f t="shared" si="358"/>
        <v>1583.3626974092408</v>
      </c>
      <c r="CI317" s="382">
        <f>IF(CH317&gt;0,+CH317)/ 'Pile Data and Eurocode Factors'!$B$14/ 'Pile Data and Eurocode Factors'!$B$15+CI$301</f>
        <v>11426.178247012664</v>
      </c>
      <c r="CJ317" s="382">
        <f t="shared" si="309"/>
        <v>865.90147514568673</v>
      </c>
      <c r="CK317" s="382">
        <f>CE317* Pile!$U$52</f>
        <v>0</v>
      </c>
      <c r="CL317" s="382">
        <f t="shared" si="335"/>
        <v>865.90147514568673</v>
      </c>
      <c r="CM317" s="382">
        <f>CL317/ 'Pile Data and Eurocode Factors'!$C$14/ 'Pile Data and Eurocode Factors'!$C$15</f>
        <v>309.25052683774527</v>
      </c>
      <c r="CN317" s="382">
        <f t="shared" si="336"/>
        <v>11735.428773850408</v>
      </c>
      <c r="CO317" s="382">
        <f>VLOOKUP(CC317, 'Pile Data and Eurocode Factors'!$A$34:$J$39,3, FALSE)</f>
        <v>12882.514795076555</v>
      </c>
      <c r="CP317" s="403">
        <f t="shared" si="337"/>
        <v>11735.428773850408</v>
      </c>
      <c r="CQ317" s="419">
        <v>1200</v>
      </c>
      <c r="CR317" s="430">
        <f>PI()*CQ317/1000*( Pile!$C$52- Pile!$C317)</f>
        <v>18.095573684677039</v>
      </c>
      <c r="CS317" s="382">
        <f t="shared" si="338"/>
        <v>1.1309733552923256</v>
      </c>
      <c r="CT317" s="382">
        <f t="shared" si="353"/>
        <v>1809.5573684677038</v>
      </c>
      <c r="CU317" s="382">
        <f>CR317* Pile!$S$52</f>
        <v>1809.5573684677038</v>
      </c>
      <c r="CV317" s="382">
        <f t="shared" si="359"/>
        <v>1809.5573684677038</v>
      </c>
      <c r="CW317" s="382">
        <f>IF(CV317&gt;0,+CV317)/ 'Pile Data and Eurocode Factors'!$B$14/ 'Pile Data and Eurocode Factors'!$B$15+CW$301</f>
        <v>13058.48942515733</v>
      </c>
      <c r="CX317" s="382">
        <f t="shared" si="310"/>
        <v>1130.9733552923256</v>
      </c>
      <c r="CY317" s="382">
        <f>CS317* Pile!$U$52</f>
        <v>0</v>
      </c>
      <c r="CZ317" s="382">
        <f t="shared" si="339"/>
        <v>1130.9733552923256</v>
      </c>
      <c r="DA317" s="382">
        <f>CZ317/ 'Pile Data and Eurocode Factors'!$C$14/ 'Pile Data and Eurocode Factors'!$C$15</f>
        <v>403.91905546154487</v>
      </c>
      <c r="DB317" s="382">
        <f t="shared" si="340"/>
        <v>13462.408480618875</v>
      </c>
      <c r="DC317" s="382">
        <f>VLOOKUP(CQ317, 'Pile Data and Eurocode Factors'!$A$34:$J$39,3, FALSE)</f>
        <v>16826.141773161216</v>
      </c>
      <c r="DD317" s="403">
        <f t="shared" si="341"/>
        <v>13462.408480618875</v>
      </c>
      <c r="DE317" s="420">
        <f xml:space="preserve"> Pile!$C$23- Pile!C317</f>
        <v>46.799999999999955</v>
      </c>
      <c r="DG317" s="382">
        <f t="shared" si="342"/>
        <v>2366.1761868507956</v>
      </c>
      <c r="DH317" s="382">
        <f t="shared" si="343"/>
        <v>4206.5354432903041</v>
      </c>
      <c r="DI317" s="382">
        <f t="shared" si="344"/>
        <v>6572.7116301410997</v>
      </c>
      <c r="DJ317" s="382">
        <f t="shared" si="345"/>
        <v>9464.7047474031824</v>
      </c>
      <c r="DK317" s="382">
        <f t="shared" si="346"/>
        <v>11735.428773850408</v>
      </c>
      <c r="DL317" s="382">
        <f t="shared" si="347"/>
        <v>13462.408480618875</v>
      </c>
    </row>
    <row r="318" spans="2:116" s="308" customFormat="1" ht="15">
      <c r="B318" s="400">
        <v>17</v>
      </c>
      <c r="C318" s="401">
        <f>+C317- Pile!D$52/20</f>
        <v>-41.099999999999952</v>
      </c>
      <c r="D318" s="415" t="str">
        <f>B26</f>
        <v>Medium Density Chalk</v>
      </c>
      <c r="E318" s="415" t="str">
        <f>F26</f>
        <v>Chalk</v>
      </c>
      <c r="F318" s="401">
        <f xml:space="preserve"> Pile!$E$52*( Pile!$C$52- Pile!C318)+$F$301</f>
        <v>898.18893749999927</v>
      </c>
      <c r="G318" s="401">
        <f>IF(C318&gt; Pile!$C$54,0,( Pile!$C$54-C318)*9.81)</f>
        <v>256.04099999999954</v>
      </c>
      <c r="H318" s="401">
        <f t="shared" si="313"/>
        <v>642.14793749999967</v>
      </c>
      <c r="I318" s="401">
        <f t="shared" si="312"/>
        <v>615.56896874999995</v>
      </c>
      <c r="J318" s="401">
        <f>IF(E318="Cohesive",(( Pile!$H$52- Pile!$G$52)/20)+J317,0)</f>
        <v>0</v>
      </c>
      <c r="K318" s="401">
        <f>IF(E318="Cohesive",( Pile!$G$52+ Pile!$J318)/2,0)</f>
        <v>0</v>
      </c>
      <c r="L318" s="401" t="str">
        <f>IF( Pile!I$52="",0, Pile!I$52)</f>
        <v>0</v>
      </c>
      <c r="M318" s="401" t="str">
        <f>IF( Pile!J$52="",0, Pile!J$52)</f>
        <v>0</v>
      </c>
      <c r="N318" s="401">
        <f>IF(E318="Granular", Pile!$K$52,0)</f>
        <v>0</v>
      </c>
      <c r="O318" s="416">
        <f>IF(AND(E318="Granular",D318&lt;&gt;"Made Ground"), Pile!$L$52,0)</f>
        <v>0</v>
      </c>
      <c r="P318" s="401">
        <f>IF(OR(D318="Low Density Chalk",D318="Medium Density Chalk"), Pile!$M$52,0)</f>
        <v>0.45</v>
      </c>
      <c r="Q318" s="417">
        <f>IF(D318="High Density Chalk", Pile!$N$52,0)</f>
        <v>0</v>
      </c>
      <c r="R318" s="401">
        <f>IF( Pile!O$52="",0, Pile!O$52)</f>
        <v>6000</v>
      </c>
      <c r="S318" s="418">
        <f t="shared" si="314"/>
        <v>277.00603593749997</v>
      </c>
      <c r="T318" s="382">
        <f xml:space="preserve"> Pile!$T$52</f>
        <v>100</v>
      </c>
      <c r="U318" s="382">
        <f t="shared" si="315"/>
        <v>100</v>
      </c>
      <c r="V318" s="382">
        <f t="shared" si="316"/>
        <v>6000</v>
      </c>
      <c r="W318" s="382">
        <f xml:space="preserve"> Pile!$V$52</f>
        <v>1000</v>
      </c>
      <c r="X318" s="382">
        <f t="shared" si="317"/>
        <v>1000</v>
      </c>
      <c r="Y318" s="419">
        <v>450</v>
      </c>
      <c r="Z318" s="430">
        <f>PI()*Y318/1000*( Pile!$C$52- Pile!$C318)</f>
        <v>7.2099551399885069</v>
      </c>
      <c r="AA318" s="382">
        <f t="shared" si="318"/>
        <v>0.15904312808798329</v>
      </c>
      <c r="AB318" s="382">
        <f t="shared" si="348"/>
        <v>720.9955139988507</v>
      </c>
      <c r="AC318" s="382">
        <f>Z318* Pile!$S$52</f>
        <v>720.9955139988507</v>
      </c>
      <c r="AD318" s="382">
        <f t="shared" si="354"/>
        <v>720.9955139988507</v>
      </c>
      <c r="AE318" s="382">
        <f>IF(AD318&gt;0,+AD318)/ 'Pile Data and Eurocode Factors'!$B$14/ 'Pile Data and Eurocode Factors'!$B$15+AE$301</f>
        <v>4915.8672401587573</v>
      </c>
      <c r="AF318" s="382">
        <f t="shared" si="305"/>
        <v>159.04312808798329</v>
      </c>
      <c r="AG318" s="382">
        <f>AA318* Pile!$U$52</f>
        <v>0</v>
      </c>
      <c r="AH318" s="382">
        <f t="shared" si="319"/>
        <v>159.04312808798329</v>
      </c>
      <c r="AI318" s="382">
        <f>AH318/ 'Pile Data and Eurocode Factors'!$C$14/ 'Pile Data and Eurocode Factors'!$C$15</f>
        <v>56.801117174279753</v>
      </c>
      <c r="AJ318" s="382">
        <f t="shared" si="320"/>
        <v>4972.6683573330374</v>
      </c>
      <c r="AK318" s="382">
        <f>VLOOKUP(Y318, 'Pile Data and Eurocode Factors'!$A$34:$J$39,3, FALSE)</f>
        <v>2366.1761868507956</v>
      </c>
      <c r="AL318" s="403">
        <f t="shared" si="321"/>
        <v>2366.1761868507956</v>
      </c>
      <c r="AM318" s="419">
        <v>600</v>
      </c>
      <c r="AN318" s="430">
        <f>PI()*AM318/1000*( Pile!$C$52- Pile!$C318)</f>
        <v>9.6132735199846753</v>
      </c>
      <c r="AO318" s="382">
        <f t="shared" si="322"/>
        <v>0.28274333882308139</v>
      </c>
      <c r="AP318" s="382">
        <f t="shared" si="349"/>
        <v>961.32735199846752</v>
      </c>
      <c r="AQ318" s="382">
        <f>AN318* Pile!$S$52</f>
        <v>961.32735199846752</v>
      </c>
      <c r="AR318" s="382">
        <f t="shared" si="355"/>
        <v>961.32735199846752</v>
      </c>
      <c r="AS318" s="382">
        <f>IF(AR318&gt;0,+AR318)/ 'Pile Data and Eurocode Factors'!$B$14/ 'Pile Data and Eurocode Factors'!$B$15+AS$301</f>
        <v>6554.4896535450116</v>
      </c>
      <c r="AT318" s="382">
        <f t="shared" si="306"/>
        <v>282.74333882308139</v>
      </c>
      <c r="AU318" s="382">
        <f>AO318* Pile!$U$52</f>
        <v>0</v>
      </c>
      <c r="AV318" s="382">
        <f t="shared" si="323"/>
        <v>282.74333882308139</v>
      </c>
      <c r="AW318" s="382">
        <f>AV318/ 'Pile Data and Eurocode Factors'!$C$14/ 'Pile Data and Eurocode Factors'!$C$15</f>
        <v>100.97976386538622</v>
      </c>
      <c r="AX318" s="382">
        <f t="shared" si="324"/>
        <v>6655.4694174103979</v>
      </c>
      <c r="AY318" s="382">
        <f>VLOOKUP(AM318, 'Pile Data and Eurocode Factors'!$A$34:$J$39,3, FALSE)</f>
        <v>4206.5354432903041</v>
      </c>
      <c r="AZ318" s="403">
        <f t="shared" si="325"/>
        <v>4206.5354432903041</v>
      </c>
      <c r="BA318" s="419">
        <v>750</v>
      </c>
      <c r="BB318" s="430">
        <f>PI()*BA318/1000*( Pile!$C$52- Pile!$C318)</f>
        <v>12.016591899980845</v>
      </c>
      <c r="BC318" s="382">
        <f t="shared" si="326"/>
        <v>0.44178646691106466</v>
      </c>
      <c r="BD318" s="382">
        <f t="shared" si="350"/>
        <v>1201.6591899980845</v>
      </c>
      <c r="BE318" s="382">
        <f>BB318* Pile!$S$52</f>
        <v>1201.6591899980845</v>
      </c>
      <c r="BF318" s="382">
        <f t="shared" si="356"/>
        <v>1201.6591899980845</v>
      </c>
      <c r="BG318" s="382">
        <f>IF(BF318&gt;0,+BF318)/ 'Pile Data and Eurocode Factors'!$B$14/ 'Pile Data and Eurocode Factors'!$B$15+BG$301</f>
        <v>8193.1120669312641</v>
      </c>
      <c r="BH318" s="382">
        <f t="shared" si="307"/>
        <v>441.78646691106468</v>
      </c>
      <c r="BI318" s="382">
        <f>BC318* Pile!$U$52</f>
        <v>0</v>
      </c>
      <c r="BJ318" s="382">
        <f t="shared" si="327"/>
        <v>441.78646691106468</v>
      </c>
      <c r="BK318" s="382">
        <f>BJ318/ 'Pile Data and Eurocode Factors'!$C$14/ 'Pile Data and Eurocode Factors'!$C$15</f>
        <v>157.78088103966596</v>
      </c>
      <c r="BL318" s="382">
        <f t="shared" si="328"/>
        <v>8350.8929479709295</v>
      </c>
      <c r="BM318" s="382">
        <f>VLOOKUP(BA318, 'Pile Data and Eurocode Factors'!$A$34:$J$39,3, FALSE)</f>
        <v>6572.7116301410997</v>
      </c>
      <c r="BN318" s="403">
        <f t="shared" si="329"/>
        <v>6572.7116301410997</v>
      </c>
      <c r="BO318" s="419">
        <v>900</v>
      </c>
      <c r="BP318" s="430">
        <f>PI()*BO318/1000*( Pile!$C$52- Pile!$C318)</f>
        <v>14.419910279977014</v>
      </c>
      <c r="BQ318" s="382">
        <f t="shared" si="330"/>
        <v>0.63617251235193317</v>
      </c>
      <c r="BR318" s="382">
        <f t="shared" si="351"/>
        <v>1441.9910279977014</v>
      </c>
      <c r="BS318" s="382">
        <f>BP318* Pile!$S$52</f>
        <v>1441.9910279977014</v>
      </c>
      <c r="BT318" s="382">
        <f t="shared" si="357"/>
        <v>1441.9910279977014</v>
      </c>
      <c r="BU318" s="382">
        <f>IF(BT318&gt;0,+BT318)/ 'Pile Data and Eurocode Factors'!$B$14/ 'Pile Data and Eurocode Factors'!$B$15+BU$301</f>
        <v>9831.7344803175147</v>
      </c>
      <c r="BV318" s="382">
        <f t="shared" si="308"/>
        <v>636.17251235193316</v>
      </c>
      <c r="BW318" s="382">
        <f>BQ318* Pile!$U$52</f>
        <v>0</v>
      </c>
      <c r="BX318" s="382">
        <f t="shared" si="331"/>
        <v>636.17251235193316</v>
      </c>
      <c r="BY318" s="382">
        <f>BX318/ 'Pile Data and Eurocode Factors'!$C$14/ 'Pile Data and Eurocode Factors'!$C$15</f>
        <v>227.20446869711901</v>
      </c>
      <c r="BZ318" s="382">
        <f t="shared" si="332"/>
        <v>10058.938949014633</v>
      </c>
      <c r="CA318" s="382">
        <f>VLOOKUP(BO318, 'Pile Data and Eurocode Factors'!$A$34:$J$39,3, FALSE)</f>
        <v>9464.7047474031824</v>
      </c>
      <c r="CB318" s="403">
        <f t="shared" si="333"/>
        <v>9464.7047474031824</v>
      </c>
      <c r="CC318" s="419">
        <v>1050</v>
      </c>
      <c r="CD318" s="430">
        <f>PI()*CC318/1000*( Pile!$C$52- Pile!$C318)</f>
        <v>16.823228659973182</v>
      </c>
      <c r="CE318" s="382">
        <f t="shared" si="334"/>
        <v>0.86590147514568672</v>
      </c>
      <c r="CF318" s="382">
        <f t="shared" si="352"/>
        <v>1682.3228659973183</v>
      </c>
      <c r="CG318" s="382">
        <f>CD318* Pile!$S$52</f>
        <v>1682.3228659973183</v>
      </c>
      <c r="CH318" s="382">
        <f t="shared" si="358"/>
        <v>1682.3228659973183</v>
      </c>
      <c r="CI318" s="382">
        <f>IF(CH318&gt;0,+CH318)/ 'Pile Data and Eurocode Factors'!$B$14/ 'Pile Data and Eurocode Factors'!$B$15+CI$301</f>
        <v>11470.356893703771</v>
      </c>
      <c r="CJ318" s="382">
        <f t="shared" si="309"/>
        <v>865.90147514568673</v>
      </c>
      <c r="CK318" s="382">
        <f>CE318* Pile!$U$52</f>
        <v>0</v>
      </c>
      <c r="CL318" s="382">
        <f t="shared" si="335"/>
        <v>865.90147514568673</v>
      </c>
      <c r="CM318" s="382">
        <f>CL318/ 'Pile Data and Eurocode Factors'!$C$14/ 'Pile Data and Eurocode Factors'!$C$15</f>
        <v>309.25052683774527</v>
      </c>
      <c r="CN318" s="382">
        <f t="shared" si="336"/>
        <v>11779.607420541515</v>
      </c>
      <c r="CO318" s="382">
        <f>VLOOKUP(CC318, 'Pile Data and Eurocode Factors'!$A$34:$J$39,3, FALSE)</f>
        <v>12882.514795076555</v>
      </c>
      <c r="CP318" s="403">
        <f t="shared" si="337"/>
        <v>11779.607420541515</v>
      </c>
      <c r="CQ318" s="419">
        <v>1200</v>
      </c>
      <c r="CR318" s="430">
        <f>PI()*CQ318/1000*( Pile!$C$52- Pile!$C318)</f>
        <v>19.226547039969351</v>
      </c>
      <c r="CS318" s="382">
        <f t="shared" si="338"/>
        <v>1.1309733552923256</v>
      </c>
      <c r="CT318" s="382">
        <f t="shared" si="353"/>
        <v>1922.654703996935</v>
      </c>
      <c r="CU318" s="382">
        <f>CR318* Pile!$S$52</f>
        <v>1922.654703996935</v>
      </c>
      <c r="CV318" s="382">
        <f t="shared" si="359"/>
        <v>1922.654703996935</v>
      </c>
      <c r="CW318" s="382">
        <f>IF(CV318&gt;0,+CV318)/ 'Pile Data and Eurocode Factors'!$B$14/ 'Pile Data and Eurocode Factors'!$B$15+CW$301</f>
        <v>13108.979307090023</v>
      </c>
      <c r="CX318" s="382">
        <f t="shared" si="310"/>
        <v>1130.9733552923256</v>
      </c>
      <c r="CY318" s="382">
        <f>CS318* Pile!$U$52</f>
        <v>0</v>
      </c>
      <c r="CZ318" s="382">
        <f t="shared" si="339"/>
        <v>1130.9733552923256</v>
      </c>
      <c r="DA318" s="382">
        <f>CZ318/ 'Pile Data and Eurocode Factors'!$C$14/ 'Pile Data and Eurocode Factors'!$C$15</f>
        <v>403.91905546154487</v>
      </c>
      <c r="DB318" s="382">
        <f t="shared" si="340"/>
        <v>13512.898362551568</v>
      </c>
      <c r="DC318" s="382">
        <f>VLOOKUP(CQ318, 'Pile Data and Eurocode Factors'!$A$34:$J$39,3, FALSE)</f>
        <v>16826.141773161216</v>
      </c>
      <c r="DD318" s="403">
        <f t="shared" si="341"/>
        <v>13512.898362551568</v>
      </c>
      <c r="DE318" s="420">
        <f xml:space="preserve"> Pile!$C$23- Pile!C318</f>
        <v>47.099999999999952</v>
      </c>
      <c r="DG318" s="382">
        <f t="shared" si="342"/>
        <v>2366.1761868507956</v>
      </c>
      <c r="DH318" s="382">
        <f t="shared" si="343"/>
        <v>4206.5354432903041</v>
      </c>
      <c r="DI318" s="382">
        <f t="shared" si="344"/>
        <v>6572.7116301410997</v>
      </c>
      <c r="DJ318" s="382">
        <f t="shared" si="345"/>
        <v>9464.7047474031824</v>
      </c>
      <c r="DK318" s="382">
        <f t="shared" si="346"/>
        <v>11779.607420541515</v>
      </c>
      <c r="DL318" s="382">
        <f t="shared" si="347"/>
        <v>13512.898362551568</v>
      </c>
    </row>
    <row r="319" spans="2:116" s="308" customFormat="1" ht="15">
      <c r="B319" s="400">
        <v>18</v>
      </c>
      <c r="C319" s="401">
        <f>+C318- Pile!D$52/20</f>
        <v>-41.399999999999949</v>
      </c>
      <c r="D319" s="415" t="str">
        <f>B26</f>
        <v>Medium Density Chalk</v>
      </c>
      <c r="E319" s="415" t="str">
        <f>F26</f>
        <v>Chalk</v>
      </c>
      <c r="F319" s="401">
        <f xml:space="preserve"> Pile!$E$52*( Pile!$C$52- Pile!C319)+$F$301</f>
        <v>904.25887499999919</v>
      </c>
      <c r="G319" s="401">
        <f>IF(C319&gt; Pile!$C$54,0,( Pile!$C$54-C319)*9.81)</f>
        <v>258.98399999999953</v>
      </c>
      <c r="H319" s="401">
        <f t="shared" si="313"/>
        <v>645.27487499999961</v>
      </c>
      <c r="I319" s="401">
        <f t="shared" si="312"/>
        <v>617.13243749999992</v>
      </c>
      <c r="J319" s="401">
        <f>IF(E319="Cohesive",(( Pile!$H$52- Pile!$G$52)/20)+J318,0)</f>
        <v>0</v>
      </c>
      <c r="K319" s="401">
        <f>IF(E319="Cohesive",( Pile!$G$52+ Pile!$J319)/2,0)</f>
        <v>0</v>
      </c>
      <c r="L319" s="401" t="str">
        <f>IF( Pile!I$52="",0, Pile!I$52)</f>
        <v>0</v>
      </c>
      <c r="M319" s="401" t="str">
        <f>IF( Pile!J$52="",0, Pile!J$52)</f>
        <v>0</v>
      </c>
      <c r="N319" s="401">
        <f>IF(E319="Granular", Pile!$K$52,0)</f>
        <v>0</v>
      </c>
      <c r="O319" s="416">
        <f>IF(AND(E319="Granular",D319&lt;&gt;"Made Ground"), Pile!$L$52,0)</f>
        <v>0</v>
      </c>
      <c r="P319" s="401">
        <f>IF(OR(D319="Low Density Chalk",D319="Medium Density Chalk"), Pile!$M$52,0)</f>
        <v>0.45</v>
      </c>
      <c r="Q319" s="417">
        <f>IF(D319="High Density Chalk", Pile!$N$52,0)</f>
        <v>0</v>
      </c>
      <c r="R319" s="401">
        <f>IF( Pile!O$52="",0, Pile!O$52)</f>
        <v>6000</v>
      </c>
      <c r="S319" s="418">
        <f t="shared" si="314"/>
        <v>277.70959687499999</v>
      </c>
      <c r="T319" s="382">
        <f xml:space="preserve"> Pile!$T$52</f>
        <v>100</v>
      </c>
      <c r="U319" s="382">
        <f t="shared" si="315"/>
        <v>100</v>
      </c>
      <c r="V319" s="382">
        <f t="shared" si="316"/>
        <v>6000</v>
      </c>
      <c r="W319" s="382">
        <f xml:space="preserve"> Pile!$V$52</f>
        <v>1000</v>
      </c>
      <c r="X319" s="382">
        <f t="shared" si="317"/>
        <v>1000</v>
      </c>
      <c r="Y319" s="419">
        <v>450</v>
      </c>
      <c r="Z319" s="430">
        <f>PI()*Y319/1000*( Pile!$C$52- Pile!$C319)</f>
        <v>7.6340701482231248</v>
      </c>
      <c r="AA319" s="382">
        <f t="shared" si="318"/>
        <v>0.15904312808798329</v>
      </c>
      <c r="AB319" s="382">
        <f t="shared" si="348"/>
        <v>763.40701482231248</v>
      </c>
      <c r="AC319" s="382">
        <f>Z319* Pile!$S$52</f>
        <v>763.40701482231248</v>
      </c>
      <c r="AD319" s="382">
        <f t="shared" si="354"/>
        <v>763.40701482231248</v>
      </c>
      <c r="AE319" s="382">
        <f>IF(AD319&gt;0,+AD319)/ 'Pile Data and Eurocode Factors'!$B$14/ 'Pile Data and Eurocode Factors'!$B$15+AE$301</f>
        <v>4934.8009458835168</v>
      </c>
      <c r="AF319" s="382">
        <f t="shared" si="305"/>
        <v>159.04312808798329</v>
      </c>
      <c r="AG319" s="382">
        <f>AA319* Pile!$U$52</f>
        <v>0</v>
      </c>
      <c r="AH319" s="382">
        <f t="shared" si="319"/>
        <v>159.04312808798329</v>
      </c>
      <c r="AI319" s="382">
        <f>AH319/ 'Pile Data and Eurocode Factors'!$C$14/ 'Pile Data and Eurocode Factors'!$C$15</f>
        <v>56.801117174279753</v>
      </c>
      <c r="AJ319" s="382">
        <f t="shared" si="320"/>
        <v>4991.6020630577968</v>
      </c>
      <c r="AK319" s="382">
        <f>VLOOKUP(Y319, 'Pile Data and Eurocode Factors'!$A$34:$J$39,3, FALSE)</f>
        <v>2366.1761868507956</v>
      </c>
      <c r="AL319" s="403">
        <f t="shared" si="321"/>
        <v>2366.1761868507956</v>
      </c>
      <c r="AM319" s="419">
        <v>600</v>
      </c>
      <c r="AN319" s="430">
        <f>PI()*AM319/1000*( Pile!$C$52- Pile!$C319)</f>
        <v>10.178760197630833</v>
      </c>
      <c r="AO319" s="382">
        <f t="shared" si="322"/>
        <v>0.28274333882308139</v>
      </c>
      <c r="AP319" s="382">
        <f t="shared" si="349"/>
        <v>1017.8760197630833</v>
      </c>
      <c r="AQ319" s="382">
        <f>AN319* Pile!$S$52</f>
        <v>1017.8760197630833</v>
      </c>
      <c r="AR319" s="382">
        <f t="shared" si="355"/>
        <v>1017.8760197630833</v>
      </c>
      <c r="AS319" s="382">
        <f>IF(AR319&gt;0,+AR319)/ 'Pile Data and Eurocode Factors'!$B$14/ 'Pile Data and Eurocode Factors'!$B$15+AS$301</f>
        <v>6579.7345945113575</v>
      </c>
      <c r="AT319" s="382">
        <f t="shared" si="306"/>
        <v>282.74333882308139</v>
      </c>
      <c r="AU319" s="382">
        <f>AO319* Pile!$U$52</f>
        <v>0</v>
      </c>
      <c r="AV319" s="382">
        <f t="shared" si="323"/>
        <v>282.74333882308139</v>
      </c>
      <c r="AW319" s="382">
        <f>AV319/ 'Pile Data and Eurocode Factors'!$C$14/ 'Pile Data and Eurocode Factors'!$C$15</f>
        <v>100.97976386538622</v>
      </c>
      <c r="AX319" s="382">
        <f t="shared" si="324"/>
        <v>6680.7143583767438</v>
      </c>
      <c r="AY319" s="382">
        <f>VLOOKUP(AM319, 'Pile Data and Eurocode Factors'!$A$34:$J$39,3, FALSE)</f>
        <v>4206.5354432903041</v>
      </c>
      <c r="AZ319" s="403">
        <f t="shared" si="325"/>
        <v>4206.5354432903041</v>
      </c>
      <c r="BA319" s="419">
        <v>750</v>
      </c>
      <c r="BB319" s="430">
        <f>PI()*BA319/1000*( Pile!$C$52- Pile!$C319)</f>
        <v>12.723450247038542</v>
      </c>
      <c r="BC319" s="382">
        <f t="shared" si="326"/>
        <v>0.44178646691106466</v>
      </c>
      <c r="BD319" s="382">
        <f t="shared" si="350"/>
        <v>1272.3450247038543</v>
      </c>
      <c r="BE319" s="382">
        <f>BB319* Pile!$S$52</f>
        <v>1272.3450247038543</v>
      </c>
      <c r="BF319" s="382">
        <f t="shared" si="356"/>
        <v>1272.3450247038543</v>
      </c>
      <c r="BG319" s="382">
        <f>IF(BF319&gt;0,+BF319)/ 'Pile Data and Eurocode Factors'!$B$14/ 'Pile Data and Eurocode Factors'!$B$15+BG$301</f>
        <v>8224.6682431391964</v>
      </c>
      <c r="BH319" s="382">
        <f t="shared" si="307"/>
        <v>441.78646691106468</v>
      </c>
      <c r="BI319" s="382">
        <f>BC319* Pile!$U$52</f>
        <v>0</v>
      </c>
      <c r="BJ319" s="382">
        <f t="shared" si="327"/>
        <v>441.78646691106468</v>
      </c>
      <c r="BK319" s="382">
        <f>BJ319/ 'Pile Data and Eurocode Factors'!$C$14/ 'Pile Data and Eurocode Factors'!$C$15</f>
        <v>157.78088103966596</v>
      </c>
      <c r="BL319" s="382">
        <f t="shared" si="328"/>
        <v>8382.4491241788619</v>
      </c>
      <c r="BM319" s="382">
        <f>VLOOKUP(BA319, 'Pile Data and Eurocode Factors'!$A$34:$J$39,3, FALSE)</f>
        <v>6572.7116301410997</v>
      </c>
      <c r="BN319" s="403">
        <f t="shared" si="329"/>
        <v>6572.7116301410997</v>
      </c>
      <c r="BO319" s="419">
        <v>900</v>
      </c>
      <c r="BP319" s="430">
        <f>PI()*BO319/1000*( Pile!$C$52- Pile!$C319)</f>
        <v>15.26814029644625</v>
      </c>
      <c r="BQ319" s="382">
        <f t="shared" si="330"/>
        <v>0.63617251235193317</v>
      </c>
      <c r="BR319" s="382">
        <f t="shared" si="351"/>
        <v>1526.814029644625</v>
      </c>
      <c r="BS319" s="382">
        <f>BP319* Pile!$S$52</f>
        <v>1526.814029644625</v>
      </c>
      <c r="BT319" s="382">
        <f t="shared" si="357"/>
        <v>1526.814029644625</v>
      </c>
      <c r="BU319" s="382">
        <f>IF(BT319&gt;0,+BT319)/ 'Pile Data and Eurocode Factors'!$B$14/ 'Pile Data and Eurocode Factors'!$B$15+BU$301</f>
        <v>9869.6018917670335</v>
      </c>
      <c r="BV319" s="382">
        <f t="shared" si="308"/>
        <v>636.17251235193316</v>
      </c>
      <c r="BW319" s="382">
        <f>BQ319* Pile!$U$52</f>
        <v>0</v>
      </c>
      <c r="BX319" s="382">
        <f t="shared" si="331"/>
        <v>636.17251235193316</v>
      </c>
      <c r="BY319" s="382">
        <f>BX319/ 'Pile Data and Eurocode Factors'!$C$14/ 'Pile Data and Eurocode Factors'!$C$15</f>
        <v>227.20446869711901</v>
      </c>
      <c r="BZ319" s="382">
        <f t="shared" si="332"/>
        <v>10096.806360464152</v>
      </c>
      <c r="CA319" s="382">
        <f>VLOOKUP(BO319, 'Pile Data and Eurocode Factors'!$A$34:$J$39,3, FALSE)</f>
        <v>9464.7047474031824</v>
      </c>
      <c r="CB319" s="403">
        <f t="shared" si="333"/>
        <v>9464.7047474031824</v>
      </c>
      <c r="CC319" s="419">
        <v>1050</v>
      </c>
      <c r="CD319" s="430">
        <f>PI()*CC319/1000*( Pile!$C$52- Pile!$C319)</f>
        <v>17.812830345853957</v>
      </c>
      <c r="CE319" s="382">
        <f t="shared" si="334"/>
        <v>0.86590147514568672</v>
      </c>
      <c r="CF319" s="382">
        <f t="shared" si="352"/>
        <v>1781.2830345853956</v>
      </c>
      <c r="CG319" s="382">
        <f>CD319* Pile!$S$52</f>
        <v>1781.2830345853956</v>
      </c>
      <c r="CH319" s="382">
        <f t="shared" si="358"/>
        <v>1781.2830345853956</v>
      </c>
      <c r="CI319" s="382">
        <f>IF(CH319&gt;0,+CH319)/ 'Pile Data and Eurocode Factors'!$B$14/ 'Pile Data and Eurocode Factors'!$B$15+CI$301</f>
        <v>11514.535540394876</v>
      </c>
      <c r="CJ319" s="382">
        <f t="shared" si="309"/>
        <v>865.90147514568673</v>
      </c>
      <c r="CK319" s="382">
        <f>CE319* Pile!$U$52</f>
        <v>0</v>
      </c>
      <c r="CL319" s="382">
        <f t="shared" si="335"/>
        <v>865.90147514568673</v>
      </c>
      <c r="CM319" s="382">
        <f>CL319/ 'Pile Data and Eurocode Factors'!$C$14/ 'Pile Data and Eurocode Factors'!$C$15</f>
        <v>309.25052683774527</v>
      </c>
      <c r="CN319" s="382">
        <f t="shared" si="336"/>
        <v>11823.786067232621</v>
      </c>
      <c r="CO319" s="382">
        <f>VLOOKUP(CC319, 'Pile Data and Eurocode Factors'!$A$34:$J$39,3, FALSE)</f>
        <v>12882.514795076555</v>
      </c>
      <c r="CP319" s="403">
        <f t="shared" si="337"/>
        <v>11823.786067232621</v>
      </c>
      <c r="CQ319" s="419">
        <v>1200</v>
      </c>
      <c r="CR319" s="430">
        <f>PI()*CQ319/1000*( Pile!$C$52- Pile!$C319)</f>
        <v>20.357520395261666</v>
      </c>
      <c r="CS319" s="382">
        <f t="shared" si="338"/>
        <v>1.1309733552923256</v>
      </c>
      <c r="CT319" s="382">
        <f t="shared" si="353"/>
        <v>2035.7520395261665</v>
      </c>
      <c r="CU319" s="382">
        <f>CR319* Pile!$S$52</f>
        <v>2035.7520395261665</v>
      </c>
      <c r="CV319" s="382">
        <f t="shared" si="359"/>
        <v>2035.7520395261665</v>
      </c>
      <c r="CW319" s="382">
        <f>IF(CV319&gt;0,+CV319)/ 'Pile Data and Eurocode Factors'!$B$14/ 'Pile Data and Eurocode Factors'!$B$15+CW$301</f>
        <v>13159.469189022715</v>
      </c>
      <c r="CX319" s="382">
        <f t="shared" si="310"/>
        <v>1130.9733552923256</v>
      </c>
      <c r="CY319" s="382">
        <f>CS319* Pile!$U$52</f>
        <v>0</v>
      </c>
      <c r="CZ319" s="382">
        <f t="shared" si="339"/>
        <v>1130.9733552923256</v>
      </c>
      <c r="DA319" s="382">
        <f>CZ319/ 'Pile Data and Eurocode Factors'!$C$14/ 'Pile Data and Eurocode Factors'!$C$15</f>
        <v>403.91905546154487</v>
      </c>
      <c r="DB319" s="382">
        <f t="shared" si="340"/>
        <v>13563.38824448426</v>
      </c>
      <c r="DC319" s="382">
        <f>VLOOKUP(CQ319, 'Pile Data and Eurocode Factors'!$A$34:$J$39,3, FALSE)</f>
        <v>16826.141773161216</v>
      </c>
      <c r="DD319" s="403">
        <f t="shared" si="341"/>
        <v>13563.38824448426</v>
      </c>
      <c r="DE319" s="420">
        <f xml:space="preserve"> Pile!$C$23- Pile!C319</f>
        <v>47.399999999999949</v>
      </c>
      <c r="DG319" s="382">
        <f t="shared" si="342"/>
        <v>2366.1761868507956</v>
      </c>
      <c r="DH319" s="382">
        <f t="shared" si="343"/>
        <v>4206.5354432903041</v>
      </c>
      <c r="DI319" s="382">
        <f t="shared" si="344"/>
        <v>6572.7116301410997</v>
      </c>
      <c r="DJ319" s="382">
        <f t="shared" si="345"/>
        <v>9464.7047474031824</v>
      </c>
      <c r="DK319" s="382">
        <f t="shared" si="346"/>
        <v>11823.786067232621</v>
      </c>
      <c r="DL319" s="382">
        <f t="shared" si="347"/>
        <v>13563.38824448426</v>
      </c>
    </row>
    <row r="320" spans="2:116" s="308" customFormat="1" ht="15">
      <c r="B320" s="400">
        <v>19</v>
      </c>
      <c r="C320" s="401">
        <f>+C319- Pile!D$52/20</f>
        <v>-41.699999999999946</v>
      </c>
      <c r="D320" s="415" t="str">
        <f>B26</f>
        <v>Medium Density Chalk</v>
      </c>
      <c r="E320" s="415" t="str">
        <f>F26</f>
        <v>Chalk</v>
      </c>
      <c r="F320" s="401">
        <f xml:space="preserve"> Pile!$E$52*( Pile!$C$52- Pile!C320)+$F$301</f>
        <v>910.32881249999912</v>
      </c>
      <c r="G320" s="401">
        <f>IF(C320&gt; Pile!$C$54,0,( Pile!$C$54-C320)*9.81)</f>
        <v>261.92699999999951</v>
      </c>
      <c r="H320" s="401">
        <f t="shared" si="313"/>
        <v>648.40181249999955</v>
      </c>
      <c r="I320" s="401">
        <f t="shared" si="312"/>
        <v>618.69590624999989</v>
      </c>
      <c r="J320" s="401">
        <f>IF(E320="Cohesive",(( Pile!$H$52- Pile!$G$52)/20)+J319,0)</f>
        <v>0</v>
      </c>
      <c r="K320" s="401">
        <f>IF(E320="Cohesive",( Pile!$G$52+ Pile!$J320)/2,0)</f>
        <v>0</v>
      </c>
      <c r="L320" s="401" t="str">
        <f>IF( Pile!I$52="",0, Pile!I$52)</f>
        <v>0</v>
      </c>
      <c r="M320" s="401" t="str">
        <f>IF( Pile!J$52="",0, Pile!J$52)</f>
        <v>0</v>
      </c>
      <c r="N320" s="401">
        <f>IF(E320="Granular", Pile!$K$52,0)</f>
        <v>0</v>
      </c>
      <c r="O320" s="416">
        <f>IF(AND(E320="Granular",D320&lt;&gt;"Made Ground"), Pile!$L$52,0)</f>
        <v>0</v>
      </c>
      <c r="P320" s="401">
        <f>IF(OR(D320="Low Density Chalk",D320="Medium Density Chalk"), Pile!$M$52,0)</f>
        <v>0.45</v>
      </c>
      <c r="Q320" s="417">
        <f>IF(D320="High Density Chalk", Pile!$N$52,0)</f>
        <v>0</v>
      </c>
      <c r="R320" s="401">
        <f>IF( Pile!O$52="",0, Pile!O$52)</f>
        <v>6000</v>
      </c>
      <c r="S320" s="418">
        <f t="shared" si="314"/>
        <v>278.41315781249995</v>
      </c>
      <c r="T320" s="382">
        <f xml:space="preserve"> Pile!$T$52</f>
        <v>100</v>
      </c>
      <c r="U320" s="382">
        <f t="shared" si="315"/>
        <v>100</v>
      </c>
      <c r="V320" s="382">
        <f t="shared" si="316"/>
        <v>6000</v>
      </c>
      <c r="W320" s="382">
        <f xml:space="preserve"> Pile!$V$52</f>
        <v>1000</v>
      </c>
      <c r="X320" s="382">
        <f t="shared" si="317"/>
        <v>1000</v>
      </c>
      <c r="Y320" s="419">
        <v>450</v>
      </c>
      <c r="Z320" s="430">
        <f>PI()*Y320/1000*( Pile!$C$52- Pile!$C320)</f>
        <v>8.0581851564577427</v>
      </c>
      <c r="AA320" s="382">
        <f t="shared" si="318"/>
        <v>0.15904312808798329</v>
      </c>
      <c r="AB320" s="382">
        <f t="shared" si="348"/>
        <v>805.81851564577426</v>
      </c>
      <c r="AC320" s="382">
        <f>Z320* Pile!$S$52</f>
        <v>805.81851564577426</v>
      </c>
      <c r="AD320" s="382">
        <f t="shared" si="354"/>
        <v>805.81851564577426</v>
      </c>
      <c r="AE320" s="382">
        <f>IF(AD320&gt;0,+AD320)/ 'Pile Data and Eurocode Factors'!$B$14/ 'Pile Data and Eurocode Factors'!$B$15+AE$301</f>
        <v>4953.7346516082762</v>
      </c>
      <c r="AF320" s="382">
        <f t="shared" si="305"/>
        <v>159.04312808798329</v>
      </c>
      <c r="AG320" s="382">
        <f>AA320* Pile!$U$52</f>
        <v>0</v>
      </c>
      <c r="AH320" s="382">
        <f t="shared" si="319"/>
        <v>159.04312808798329</v>
      </c>
      <c r="AI320" s="382">
        <f>AH320/ 'Pile Data and Eurocode Factors'!$C$14/ 'Pile Data and Eurocode Factors'!$C$15</f>
        <v>56.801117174279753</v>
      </c>
      <c r="AJ320" s="382">
        <f t="shared" si="320"/>
        <v>5010.5357687825563</v>
      </c>
      <c r="AK320" s="382">
        <f>VLOOKUP(Y320, 'Pile Data and Eurocode Factors'!$A$34:$J$39,3, FALSE)</f>
        <v>2366.1761868507956</v>
      </c>
      <c r="AL320" s="403">
        <f t="shared" si="321"/>
        <v>2366.1761868507956</v>
      </c>
      <c r="AM320" s="419">
        <v>600</v>
      </c>
      <c r="AN320" s="430">
        <f>PI()*AM320/1000*( Pile!$C$52- Pile!$C320)</f>
        <v>10.744246875276991</v>
      </c>
      <c r="AO320" s="382">
        <f t="shared" si="322"/>
        <v>0.28274333882308139</v>
      </c>
      <c r="AP320" s="382">
        <f t="shared" si="349"/>
        <v>1074.424687527699</v>
      </c>
      <c r="AQ320" s="382">
        <f>AN320* Pile!$S$52</f>
        <v>1074.424687527699</v>
      </c>
      <c r="AR320" s="382">
        <f t="shared" si="355"/>
        <v>1074.424687527699</v>
      </c>
      <c r="AS320" s="382">
        <f>IF(AR320&gt;0,+AR320)/ 'Pile Data and Eurocode Factors'!$B$14/ 'Pile Data and Eurocode Factors'!$B$15+AS$301</f>
        <v>6604.9795354777043</v>
      </c>
      <c r="AT320" s="382">
        <f t="shared" si="306"/>
        <v>282.74333882308139</v>
      </c>
      <c r="AU320" s="382">
        <f>AO320* Pile!$U$52</f>
        <v>0</v>
      </c>
      <c r="AV320" s="382">
        <f t="shared" si="323"/>
        <v>282.74333882308139</v>
      </c>
      <c r="AW320" s="382">
        <f>AV320/ 'Pile Data and Eurocode Factors'!$C$14/ 'Pile Data and Eurocode Factors'!$C$15</f>
        <v>100.97976386538622</v>
      </c>
      <c r="AX320" s="382">
        <f t="shared" si="324"/>
        <v>6705.9592993430906</v>
      </c>
      <c r="AY320" s="382">
        <f>VLOOKUP(AM320, 'Pile Data and Eurocode Factors'!$A$34:$J$39,3, FALSE)</f>
        <v>4206.5354432903041</v>
      </c>
      <c r="AZ320" s="403">
        <f t="shared" si="325"/>
        <v>4206.5354432903041</v>
      </c>
      <c r="BA320" s="419">
        <v>750</v>
      </c>
      <c r="BB320" s="430">
        <f>PI()*BA320/1000*( Pile!$C$52- Pile!$C320)</f>
        <v>13.430308594096239</v>
      </c>
      <c r="BC320" s="382">
        <f t="shared" si="326"/>
        <v>0.44178646691106466</v>
      </c>
      <c r="BD320" s="382">
        <f t="shared" si="350"/>
        <v>1343.0308594096239</v>
      </c>
      <c r="BE320" s="382">
        <f>BB320* Pile!$S$52</f>
        <v>1343.0308594096239</v>
      </c>
      <c r="BF320" s="382">
        <f t="shared" si="356"/>
        <v>1343.0308594096239</v>
      </c>
      <c r="BG320" s="382">
        <f>IF(BF320&gt;0,+BF320)/ 'Pile Data and Eurocode Factors'!$B$14/ 'Pile Data and Eurocode Factors'!$B$15+BG$301</f>
        <v>8256.2244193471306</v>
      </c>
      <c r="BH320" s="382">
        <f t="shared" si="307"/>
        <v>441.78646691106468</v>
      </c>
      <c r="BI320" s="382">
        <f>BC320* Pile!$U$52</f>
        <v>0</v>
      </c>
      <c r="BJ320" s="382">
        <f t="shared" si="327"/>
        <v>441.78646691106468</v>
      </c>
      <c r="BK320" s="382">
        <f>BJ320/ 'Pile Data and Eurocode Factors'!$C$14/ 'Pile Data and Eurocode Factors'!$C$15</f>
        <v>157.78088103966596</v>
      </c>
      <c r="BL320" s="382">
        <f t="shared" si="328"/>
        <v>8414.0053003867961</v>
      </c>
      <c r="BM320" s="382">
        <f>VLOOKUP(BA320, 'Pile Data and Eurocode Factors'!$A$34:$J$39,3, FALSE)</f>
        <v>6572.7116301410997</v>
      </c>
      <c r="BN320" s="403">
        <f t="shared" si="329"/>
        <v>6572.7116301410997</v>
      </c>
      <c r="BO320" s="419">
        <v>900</v>
      </c>
      <c r="BP320" s="430">
        <f>PI()*BO320/1000*( Pile!$C$52- Pile!$C320)</f>
        <v>16.116370312915485</v>
      </c>
      <c r="BQ320" s="382">
        <f t="shared" si="330"/>
        <v>0.63617251235193317</v>
      </c>
      <c r="BR320" s="382">
        <f t="shared" si="351"/>
        <v>1611.6370312915485</v>
      </c>
      <c r="BS320" s="382">
        <f>BP320* Pile!$S$52</f>
        <v>1611.6370312915485</v>
      </c>
      <c r="BT320" s="382">
        <f t="shared" si="357"/>
        <v>1611.6370312915485</v>
      </c>
      <c r="BU320" s="382">
        <f>IF(BT320&gt;0,+BT320)/ 'Pile Data and Eurocode Factors'!$B$14/ 'Pile Data and Eurocode Factors'!$B$15+BU$301</f>
        <v>9907.4693032165524</v>
      </c>
      <c r="BV320" s="382">
        <f t="shared" si="308"/>
        <v>636.17251235193316</v>
      </c>
      <c r="BW320" s="382">
        <f>BQ320* Pile!$U$52</f>
        <v>0</v>
      </c>
      <c r="BX320" s="382">
        <f t="shared" si="331"/>
        <v>636.17251235193316</v>
      </c>
      <c r="BY320" s="382">
        <f>BX320/ 'Pile Data and Eurocode Factors'!$C$14/ 'Pile Data and Eurocode Factors'!$C$15</f>
        <v>227.20446869711901</v>
      </c>
      <c r="BZ320" s="382">
        <f t="shared" si="332"/>
        <v>10134.673771913671</v>
      </c>
      <c r="CA320" s="382">
        <f>VLOOKUP(BO320, 'Pile Data and Eurocode Factors'!$A$34:$J$39,3, FALSE)</f>
        <v>9464.7047474031824</v>
      </c>
      <c r="CB320" s="403">
        <f t="shared" si="333"/>
        <v>9464.7047474031824</v>
      </c>
      <c r="CC320" s="419">
        <v>1050</v>
      </c>
      <c r="CD320" s="430">
        <f>PI()*CC320/1000*( Pile!$C$52- Pile!$C320)</f>
        <v>18.802432031734735</v>
      </c>
      <c r="CE320" s="382">
        <f t="shared" si="334"/>
        <v>0.86590147514568672</v>
      </c>
      <c r="CF320" s="382">
        <f t="shared" si="352"/>
        <v>1880.2432031734736</v>
      </c>
      <c r="CG320" s="382">
        <f>CD320* Pile!$S$52</f>
        <v>1880.2432031734736</v>
      </c>
      <c r="CH320" s="382">
        <f t="shared" si="358"/>
        <v>1880.2432031734736</v>
      </c>
      <c r="CI320" s="382">
        <f>IF(CH320&gt;0,+CH320)/ 'Pile Data and Eurocode Factors'!$B$14/ 'Pile Data and Eurocode Factors'!$B$15+CI$301</f>
        <v>11558.714187085983</v>
      </c>
      <c r="CJ320" s="382">
        <f t="shared" si="309"/>
        <v>865.90147514568673</v>
      </c>
      <c r="CK320" s="382">
        <f>CE320* Pile!$U$52</f>
        <v>0</v>
      </c>
      <c r="CL320" s="382">
        <f t="shared" si="335"/>
        <v>865.90147514568673</v>
      </c>
      <c r="CM320" s="382">
        <f>CL320/ 'Pile Data and Eurocode Factors'!$C$14/ 'Pile Data and Eurocode Factors'!$C$15</f>
        <v>309.25052683774527</v>
      </c>
      <c r="CN320" s="382">
        <f t="shared" si="336"/>
        <v>11867.964713923728</v>
      </c>
      <c r="CO320" s="382">
        <f>VLOOKUP(CC320, 'Pile Data and Eurocode Factors'!$A$34:$J$39,3, FALSE)</f>
        <v>12882.514795076555</v>
      </c>
      <c r="CP320" s="403">
        <f t="shared" si="337"/>
        <v>11867.964713923728</v>
      </c>
      <c r="CQ320" s="419">
        <v>1200</v>
      </c>
      <c r="CR320" s="430">
        <f>PI()*CQ320/1000*( Pile!$C$52- Pile!$C320)</f>
        <v>21.488493750553982</v>
      </c>
      <c r="CS320" s="382">
        <f t="shared" si="338"/>
        <v>1.1309733552923256</v>
      </c>
      <c r="CT320" s="382">
        <f t="shared" si="353"/>
        <v>2148.849375055398</v>
      </c>
      <c r="CU320" s="382">
        <f>CR320* Pile!$S$52</f>
        <v>2148.849375055398</v>
      </c>
      <c r="CV320" s="382">
        <f t="shared" si="359"/>
        <v>2148.849375055398</v>
      </c>
      <c r="CW320" s="382">
        <f>IF(CV320&gt;0,+CV320)/ 'Pile Data and Eurocode Factors'!$B$14/ 'Pile Data and Eurocode Factors'!$B$15+CW$301</f>
        <v>13209.959070955409</v>
      </c>
      <c r="CX320" s="382">
        <f t="shared" si="310"/>
        <v>1130.9733552923256</v>
      </c>
      <c r="CY320" s="382">
        <f>CS320* Pile!$U$52</f>
        <v>0</v>
      </c>
      <c r="CZ320" s="382">
        <f t="shared" si="339"/>
        <v>1130.9733552923256</v>
      </c>
      <c r="DA320" s="382">
        <f>CZ320/ 'Pile Data and Eurocode Factors'!$C$14/ 'Pile Data and Eurocode Factors'!$C$15</f>
        <v>403.91905546154487</v>
      </c>
      <c r="DB320" s="382">
        <f t="shared" si="340"/>
        <v>13613.878126416954</v>
      </c>
      <c r="DC320" s="382">
        <f>VLOOKUP(CQ320, 'Pile Data and Eurocode Factors'!$A$34:$J$39,3, FALSE)</f>
        <v>16826.141773161216</v>
      </c>
      <c r="DD320" s="403">
        <f t="shared" si="341"/>
        <v>13613.878126416954</v>
      </c>
      <c r="DE320" s="420">
        <f xml:space="preserve"> Pile!$C$23- Pile!C320</f>
        <v>47.699999999999946</v>
      </c>
      <c r="DG320" s="382">
        <f t="shared" si="342"/>
        <v>2366.1761868507956</v>
      </c>
      <c r="DH320" s="382">
        <f t="shared" si="343"/>
        <v>4206.5354432903041</v>
      </c>
      <c r="DI320" s="382">
        <f t="shared" si="344"/>
        <v>6572.7116301410997</v>
      </c>
      <c r="DJ320" s="382">
        <f t="shared" si="345"/>
        <v>9464.7047474031824</v>
      </c>
      <c r="DK320" s="382">
        <f t="shared" si="346"/>
        <v>11867.964713923728</v>
      </c>
      <c r="DL320" s="382">
        <f t="shared" si="347"/>
        <v>13613.878126416954</v>
      </c>
    </row>
    <row r="321" spans="1:156" s="308" customFormat="1" ht="15.75" thickBot="1">
      <c r="B321" s="400">
        <v>20</v>
      </c>
      <c r="C321" s="401">
        <f>+C320- Pile!D$52/20</f>
        <v>-41.999999999999943</v>
      </c>
      <c r="D321" s="415" t="str">
        <f>B26</f>
        <v>Medium Density Chalk</v>
      </c>
      <c r="E321" s="415" t="str">
        <f>F26</f>
        <v>Chalk</v>
      </c>
      <c r="F321" s="401">
        <f xml:space="preserve"> Pile!$E$52*( Pile!$C$52- Pile!C321)+$F$301</f>
        <v>916.39874999999904</v>
      </c>
      <c r="G321" s="401">
        <f>IF(C321&gt; Pile!$C$54,0,( Pile!$C$54-C321)*9.81)</f>
        <v>264.86999999999944</v>
      </c>
      <c r="H321" s="401">
        <f t="shared" si="313"/>
        <v>651.5287499999996</v>
      </c>
      <c r="I321" s="401">
        <f t="shared" si="312"/>
        <v>620.25937499999986</v>
      </c>
      <c r="J321" s="401">
        <f>IF(E321="Cohesive",(( Pile!$H$52- Pile!$G$52)/20)+J320,0)</f>
        <v>0</v>
      </c>
      <c r="K321" s="401">
        <f>IF(E321="Cohesive",( Pile!$G$52+ Pile!$J321)/2,0)</f>
        <v>0</v>
      </c>
      <c r="L321" s="401" t="str">
        <f>IF( Pile!I$52="",0, Pile!I$52)</f>
        <v>0</v>
      </c>
      <c r="M321" s="401" t="str">
        <f>IF( Pile!J$52="",0, Pile!J$52)</f>
        <v>0</v>
      </c>
      <c r="N321" s="401">
        <f>IF(E321="Granular", Pile!$K$52,0)</f>
        <v>0</v>
      </c>
      <c r="O321" s="416">
        <f>IF(AND(E321="Granular",D321&lt;&gt;"Made Ground"), Pile!$L$52,0)</f>
        <v>0</v>
      </c>
      <c r="P321" s="401">
        <f>IF(OR(D321="Low Density Chalk",D321="Medium Density Chalk"), Pile!$M$52,0)</f>
        <v>0.45</v>
      </c>
      <c r="Q321" s="417">
        <f>IF(D321="High Density Chalk", Pile!$N$52,0)</f>
        <v>0</v>
      </c>
      <c r="R321" s="401">
        <f>IF( Pile!O$52="",0, Pile!O$52)</f>
        <v>6000</v>
      </c>
      <c r="S321" s="418">
        <f t="shared" si="314"/>
        <v>279.11671874999996</v>
      </c>
      <c r="T321" s="382">
        <f xml:space="preserve"> Pile!$T$52</f>
        <v>100</v>
      </c>
      <c r="U321" s="382">
        <f t="shared" si="315"/>
        <v>100</v>
      </c>
      <c r="V321" s="382">
        <f t="shared" si="316"/>
        <v>6000</v>
      </c>
      <c r="W321" s="382">
        <f xml:space="preserve"> Pile!$V$52</f>
        <v>1000</v>
      </c>
      <c r="X321" s="382">
        <f t="shared" si="317"/>
        <v>1000</v>
      </c>
      <c r="Y321" s="422">
        <v>450</v>
      </c>
      <c r="Z321" s="431">
        <f>PI()*Y321/1000*( Pile!$C$52- Pile!$C321)</f>
        <v>8.4823001646923615</v>
      </c>
      <c r="AA321" s="423">
        <f t="shared" si="318"/>
        <v>0.15904312808798329</v>
      </c>
      <c r="AB321" s="423">
        <f t="shared" si="348"/>
        <v>848.23001646923615</v>
      </c>
      <c r="AC321" s="423">
        <f>Z321* Pile!$S$52</f>
        <v>848.23001646923615</v>
      </c>
      <c r="AD321" s="423">
        <f t="shared" si="354"/>
        <v>848.23001646923615</v>
      </c>
      <c r="AE321" s="423">
        <f>IF(AD321&gt;0,+AD321)/ 'Pile Data and Eurocode Factors'!$B$14/ 'Pile Data and Eurocode Factors'!$B$15+AE$301</f>
        <v>4972.6683573330365</v>
      </c>
      <c r="AF321" s="423">
        <f t="shared" si="305"/>
        <v>159.04312808798329</v>
      </c>
      <c r="AG321" s="423">
        <f>AA321* Pile!$U$52</f>
        <v>0</v>
      </c>
      <c r="AH321" s="423">
        <f t="shared" si="319"/>
        <v>159.04312808798329</v>
      </c>
      <c r="AI321" s="423">
        <f>AH321/ 'Pile Data and Eurocode Factors'!$C$14/ 'Pile Data and Eurocode Factors'!$C$15</f>
        <v>56.801117174279753</v>
      </c>
      <c r="AJ321" s="423">
        <f t="shared" si="320"/>
        <v>5029.4694745073166</v>
      </c>
      <c r="AK321" s="423">
        <f>VLOOKUP(Y321, 'Pile Data and Eurocode Factors'!$A$34:$J$39,3, FALSE)</f>
        <v>2366.1761868507956</v>
      </c>
      <c r="AL321" s="424">
        <f t="shared" si="321"/>
        <v>2366.1761868507956</v>
      </c>
      <c r="AM321" s="422">
        <v>600</v>
      </c>
      <c r="AN321" s="431">
        <f>PI()*AM321/1000*( Pile!$C$52- Pile!$C321)</f>
        <v>11.309733552923149</v>
      </c>
      <c r="AO321" s="423">
        <f t="shared" si="322"/>
        <v>0.28274333882308139</v>
      </c>
      <c r="AP321" s="423">
        <f t="shared" si="349"/>
        <v>1130.9733552923149</v>
      </c>
      <c r="AQ321" s="423">
        <f>AN321* Pile!$S$52</f>
        <v>1130.9733552923149</v>
      </c>
      <c r="AR321" s="423">
        <f t="shared" si="355"/>
        <v>1130.9733552923149</v>
      </c>
      <c r="AS321" s="423">
        <f>IF(AR321&gt;0,+AR321)/ 'Pile Data and Eurocode Factors'!$B$14/ 'Pile Data and Eurocode Factors'!$B$15+AS$301</f>
        <v>6630.2244764440502</v>
      </c>
      <c r="AT321" s="423">
        <f t="shared" si="306"/>
        <v>282.74333882308139</v>
      </c>
      <c r="AU321" s="423">
        <f>AO321* Pile!$U$52</f>
        <v>0</v>
      </c>
      <c r="AV321" s="423">
        <f t="shared" si="323"/>
        <v>282.74333882308139</v>
      </c>
      <c r="AW321" s="423">
        <f>AV321/ 'Pile Data and Eurocode Factors'!$C$14/ 'Pile Data and Eurocode Factors'!$C$15</f>
        <v>100.97976386538622</v>
      </c>
      <c r="AX321" s="423">
        <f t="shared" si="324"/>
        <v>6731.2042403094365</v>
      </c>
      <c r="AY321" s="423">
        <f>VLOOKUP(AM321, 'Pile Data and Eurocode Factors'!$A$34:$J$39,3, FALSE)</f>
        <v>4206.5354432903041</v>
      </c>
      <c r="AZ321" s="424">
        <f t="shared" si="325"/>
        <v>4206.5354432903041</v>
      </c>
      <c r="BA321" s="422">
        <v>750</v>
      </c>
      <c r="BB321" s="431">
        <f>PI()*BA321/1000*( Pile!$C$52- Pile!$C321)</f>
        <v>14.137166941153936</v>
      </c>
      <c r="BC321" s="423">
        <f t="shared" si="326"/>
        <v>0.44178646691106466</v>
      </c>
      <c r="BD321" s="423">
        <f t="shared" si="350"/>
        <v>1413.7166941153937</v>
      </c>
      <c r="BE321" s="423">
        <f>BB321* Pile!$S$52</f>
        <v>1413.7166941153937</v>
      </c>
      <c r="BF321" s="423">
        <f t="shared" si="356"/>
        <v>1413.7166941153937</v>
      </c>
      <c r="BG321" s="423">
        <f>IF(BF321&gt;0,+BF321)/ 'Pile Data and Eurocode Factors'!$B$14/ 'Pile Data and Eurocode Factors'!$B$15+BG$301</f>
        <v>8287.780595555063</v>
      </c>
      <c r="BH321" s="423">
        <f t="shared" si="307"/>
        <v>441.78646691106468</v>
      </c>
      <c r="BI321" s="423">
        <f>BC321* Pile!$U$52</f>
        <v>0</v>
      </c>
      <c r="BJ321" s="423">
        <f t="shared" si="327"/>
        <v>441.78646691106468</v>
      </c>
      <c r="BK321" s="423">
        <f>BJ321/ 'Pile Data and Eurocode Factors'!$C$14/ 'Pile Data and Eurocode Factors'!$C$15</f>
        <v>157.78088103966596</v>
      </c>
      <c r="BL321" s="423">
        <f t="shared" si="328"/>
        <v>8445.5614765947284</v>
      </c>
      <c r="BM321" s="423">
        <f>VLOOKUP(BA321, 'Pile Data and Eurocode Factors'!$A$34:$J$39,3, FALSE)</f>
        <v>6572.7116301410997</v>
      </c>
      <c r="BN321" s="424">
        <f t="shared" si="329"/>
        <v>6572.7116301410997</v>
      </c>
      <c r="BO321" s="422">
        <v>900</v>
      </c>
      <c r="BP321" s="431">
        <f>PI()*BO321/1000*( Pile!$C$52- Pile!$C321)</f>
        <v>16.964600329384723</v>
      </c>
      <c r="BQ321" s="423">
        <f t="shared" si="330"/>
        <v>0.63617251235193317</v>
      </c>
      <c r="BR321" s="423">
        <f t="shared" si="351"/>
        <v>1696.4600329384723</v>
      </c>
      <c r="BS321" s="423">
        <f>BP321* Pile!$S$52</f>
        <v>1696.4600329384723</v>
      </c>
      <c r="BT321" s="423">
        <f t="shared" si="357"/>
        <v>1696.4600329384723</v>
      </c>
      <c r="BU321" s="423">
        <f>IF(BT321&gt;0,+BT321)/ 'Pile Data and Eurocode Factors'!$B$14/ 'Pile Data and Eurocode Factors'!$B$15+BU$301</f>
        <v>9945.336714666073</v>
      </c>
      <c r="BV321" s="423">
        <f t="shared" si="308"/>
        <v>636.17251235193316</v>
      </c>
      <c r="BW321" s="423">
        <f>BQ321* Pile!$U$52</f>
        <v>0</v>
      </c>
      <c r="BX321" s="423">
        <f t="shared" si="331"/>
        <v>636.17251235193316</v>
      </c>
      <c r="BY321" s="423">
        <f>BX321/ 'Pile Data and Eurocode Factors'!$C$14/ 'Pile Data and Eurocode Factors'!$C$15</f>
        <v>227.20446869711901</v>
      </c>
      <c r="BZ321" s="423">
        <f t="shared" si="332"/>
        <v>10172.541183363192</v>
      </c>
      <c r="CA321" s="423">
        <f>VLOOKUP(BO321, 'Pile Data and Eurocode Factors'!$A$34:$J$39,3, FALSE)</f>
        <v>9464.7047474031824</v>
      </c>
      <c r="CB321" s="424">
        <f t="shared" si="333"/>
        <v>9464.7047474031824</v>
      </c>
      <c r="CC321" s="422">
        <v>1050</v>
      </c>
      <c r="CD321" s="431">
        <f>PI()*CC321/1000*( Pile!$C$52- Pile!$C321)</f>
        <v>19.79203371761551</v>
      </c>
      <c r="CE321" s="423">
        <f t="shared" si="334"/>
        <v>0.86590147514568672</v>
      </c>
      <c r="CF321" s="423">
        <f t="shared" si="352"/>
        <v>1979.2033717615509</v>
      </c>
      <c r="CG321" s="423">
        <f>CD321* Pile!$S$52</f>
        <v>1979.2033717615509</v>
      </c>
      <c r="CH321" s="423">
        <f t="shared" si="358"/>
        <v>1979.2033717615509</v>
      </c>
      <c r="CI321" s="423">
        <f>IF(CH321&gt;0,+CH321)/ 'Pile Data and Eurocode Factors'!$B$14/ 'Pile Data and Eurocode Factors'!$B$15+CI$301</f>
        <v>11602.892833777089</v>
      </c>
      <c r="CJ321" s="423">
        <f t="shared" si="309"/>
        <v>865.90147514568673</v>
      </c>
      <c r="CK321" s="423">
        <f>CE321* Pile!$U$52</f>
        <v>0</v>
      </c>
      <c r="CL321" s="423">
        <f t="shared" si="335"/>
        <v>865.90147514568673</v>
      </c>
      <c r="CM321" s="423">
        <f>CL321/ 'Pile Data and Eurocode Factors'!$C$14/ 'Pile Data and Eurocode Factors'!$C$15</f>
        <v>309.25052683774527</v>
      </c>
      <c r="CN321" s="423">
        <f t="shared" si="336"/>
        <v>11912.143360614833</v>
      </c>
      <c r="CO321" s="423">
        <f>VLOOKUP(CC321, 'Pile Data and Eurocode Factors'!$A$34:$J$39,3, FALSE)</f>
        <v>12882.514795076555</v>
      </c>
      <c r="CP321" s="424">
        <f t="shared" si="337"/>
        <v>11912.143360614833</v>
      </c>
      <c r="CQ321" s="422">
        <v>1200</v>
      </c>
      <c r="CR321" s="431">
        <f>PI()*CQ321/1000*( Pile!$C$52- Pile!$C321)</f>
        <v>22.619467105846297</v>
      </c>
      <c r="CS321" s="423">
        <f t="shared" si="338"/>
        <v>1.1309733552923256</v>
      </c>
      <c r="CT321" s="423">
        <f t="shared" si="353"/>
        <v>2261.9467105846297</v>
      </c>
      <c r="CU321" s="423">
        <f>CR321* Pile!$S$52</f>
        <v>2261.9467105846297</v>
      </c>
      <c r="CV321" s="423">
        <f t="shared" si="359"/>
        <v>2261.9467105846297</v>
      </c>
      <c r="CW321" s="423">
        <f>IF(CV321&gt;0,+CV321)/ 'Pile Data and Eurocode Factors'!$B$14/ 'Pile Data and Eurocode Factors'!$B$15+CW$301</f>
        <v>13260.4489528881</v>
      </c>
      <c r="CX321" s="423">
        <f t="shared" si="310"/>
        <v>1130.9733552923256</v>
      </c>
      <c r="CY321" s="423">
        <f>CS321* Pile!$U$52</f>
        <v>0</v>
      </c>
      <c r="CZ321" s="423">
        <f t="shared" si="339"/>
        <v>1130.9733552923256</v>
      </c>
      <c r="DA321" s="423">
        <f>CZ321/ 'Pile Data and Eurocode Factors'!$C$14/ 'Pile Data and Eurocode Factors'!$C$15</f>
        <v>403.91905546154487</v>
      </c>
      <c r="DB321" s="423">
        <f t="shared" si="340"/>
        <v>13664.368008349646</v>
      </c>
      <c r="DC321" s="423">
        <f>VLOOKUP(CQ321, 'Pile Data and Eurocode Factors'!$A$34:$J$39,3, FALSE)</f>
        <v>16826.141773161216</v>
      </c>
      <c r="DD321" s="424">
        <f t="shared" si="341"/>
        <v>13664.368008349646</v>
      </c>
      <c r="DE321" s="420">
        <f xml:space="preserve"> Pile!$C$23- Pile!C321</f>
        <v>47.999999999999943</v>
      </c>
      <c r="DG321" s="382">
        <f t="shared" si="342"/>
        <v>2366.1761868507956</v>
      </c>
      <c r="DH321" s="382">
        <f t="shared" si="343"/>
        <v>4206.5354432903041</v>
      </c>
      <c r="DI321" s="382">
        <f t="shared" si="344"/>
        <v>6572.7116301410997</v>
      </c>
      <c r="DJ321" s="382">
        <f t="shared" si="345"/>
        <v>9464.7047474031824</v>
      </c>
      <c r="DK321" s="382">
        <f t="shared" si="346"/>
        <v>11912.143360614833</v>
      </c>
      <c r="DL321" s="382">
        <f t="shared" si="347"/>
        <v>13664.368008349646</v>
      </c>
    </row>
    <row r="322" spans="1:156">
      <c r="O322" s="434"/>
      <c r="P322" s="434"/>
      <c r="Q322" s="434"/>
      <c r="R322" s="434"/>
      <c r="S322" s="434"/>
      <c r="T322" s="434"/>
      <c r="U322" s="434"/>
      <c r="V322" s="434"/>
      <c r="W322" s="434"/>
      <c r="X322" s="434"/>
      <c r="Y322" s="435"/>
      <c r="Z322" s="435"/>
      <c r="AA322" s="435"/>
      <c r="AB322" s="435"/>
      <c r="AC322" s="435"/>
      <c r="AD322" s="435"/>
      <c r="AE322" s="435"/>
      <c r="AF322" s="435"/>
      <c r="AG322" s="435"/>
      <c r="AH322" s="435"/>
      <c r="AI322" s="435"/>
      <c r="AJ322" s="435"/>
      <c r="AK322" s="435"/>
      <c r="AL322" s="435"/>
      <c r="AM322" s="434"/>
      <c r="AN322" s="434"/>
      <c r="AO322" s="434"/>
      <c r="AP322" s="434"/>
      <c r="AQ322" s="434"/>
      <c r="AR322" s="434"/>
      <c r="AS322" s="434"/>
      <c r="AT322" s="434"/>
      <c r="AU322" s="434"/>
      <c r="AV322" s="434"/>
      <c r="AW322" s="434"/>
      <c r="AX322" s="434"/>
      <c r="AY322" s="434"/>
      <c r="AZ322" s="434"/>
      <c r="BA322" s="434"/>
      <c r="BB322" s="434"/>
      <c r="BC322" s="434"/>
      <c r="BD322" s="434"/>
      <c r="BE322" s="434"/>
      <c r="BF322" s="434"/>
      <c r="BG322" s="434"/>
      <c r="BH322" s="434"/>
      <c r="BI322" s="434"/>
      <c r="BJ322" s="434"/>
      <c r="BK322" s="434"/>
      <c r="BL322" s="434"/>
      <c r="BM322" s="434"/>
      <c r="BN322" s="434"/>
      <c r="BO322" s="434"/>
      <c r="BP322" s="434"/>
      <c r="BQ322" s="434"/>
      <c r="BR322" s="434"/>
      <c r="BS322" s="434"/>
      <c r="BT322" s="434"/>
      <c r="BU322" s="434"/>
      <c r="BV322" s="434"/>
      <c r="BW322" s="434"/>
      <c r="BX322" s="434"/>
      <c r="BY322" s="434"/>
      <c r="BZ322" s="434"/>
      <c r="CA322" s="434"/>
      <c r="CB322" s="434"/>
      <c r="CC322" s="434"/>
      <c r="CD322" s="434"/>
      <c r="CE322" s="434"/>
      <c r="CF322" s="434"/>
      <c r="CG322" s="434"/>
      <c r="CH322" s="434"/>
      <c r="CI322" s="434"/>
      <c r="CJ322" s="434"/>
      <c r="CK322" s="434"/>
      <c r="CL322" s="434"/>
      <c r="CM322" s="434"/>
      <c r="CN322" s="434"/>
      <c r="CO322" s="434"/>
      <c r="CP322" s="434"/>
      <c r="CQ322" s="434"/>
      <c r="CR322" s="434"/>
      <c r="CS322" s="434"/>
      <c r="CT322" s="434"/>
      <c r="CU322" s="434"/>
      <c r="CV322" s="434"/>
      <c r="CW322" s="434"/>
      <c r="CX322" s="436"/>
      <c r="CY322" s="436"/>
    </row>
    <row r="323" spans="1:156">
      <c r="C323" s="300"/>
      <c r="D323" s="434"/>
      <c r="E323" s="434"/>
      <c r="F323" s="434"/>
      <c r="G323" s="434"/>
      <c r="H323" s="434"/>
      <c r="I323" s="434"/>
      <c r="J323" s="434"/>
      <c r="K323" s="434"/>
      <c r="L323" s="434"/>
      <c r="M323" s="434"/>
      <c r="N323" s="434"/>
      <c r="O323" s="434"/>
      <c r="P323" s="434"/>
      <c r="Q323" s="434"/>
      <c r="R323" s="434"/>
      <c r="S323" s="434"/>
      <c r="T323" s="434"/>
      <c r="U323" s="434"/>
      <c r="V323" s="434"/>
      <c r="W323" s="434"/>
      <c r="X323" s="434"/>
      <c r="Y323" s="435"/>
      <c r="Z323" s="435"/>
      <c r="AA323" s="435"/>
      <c r="AB323" s="435"/>
      <c r="AC323" s="435"/>
      <c r="AD323" s="435"/>
      <c r="AE323" s="435"/>
      <c r="AF323" s="435"/>
      <c r="AG323" s="435"/>
      <c r="AH323" s="435"/>
      <c r="AI323" s="435"/>
      <c r="AJ323" s="435"/>
      <c r="AK323" s="435"/>
      <c r="AL323" s="435"/>
      <c r="AM323" s="434"/>
      <c r="AN323" s="434"/>
      <c r="AO323" s="434"/>
      <c r="AP323" s="434"/>
      <c r="AQ323" s="434"/>
      <c r="AR323" s="434"/>
      <c r="AS323" s="434"/>
      <c r="AT323" s="434"/>
      <c r="AU323" s="434"/>
      <c r="AV323" s="434"/>
      <c r="AW323" s="434"/>
      <c r="AX323" s="434"/>
      <c r="AY323" s="434"/>
      <c r="AZ323" s="434"/>
      <c r="BA323" s="434"/>
      <c r="BB323" s="434"/>
      <c r="BC323" s="434"/>
      <c r="BD323" s="434"/>
      <c r="BE323" s="434"/>
      <c r="BF323" s="434"/>
      <c r="BG323" s="434"/>
      <c r="BH323" s="434"/>
      <c r="BI323" s="434"/>
      <c r="BJ323" s="434"/>
      <c r="BK323" s="434"/>
      <c r="BL323" s="434"/>
      <c r="BM323" s="434"/>
      <c r="BN323" s="434"/>
      <c r="BO323" s="434"/>
      <c r="BP323" s="434"/>
      <c r="BQ323" s="434"/>
      <c r="BR323" s="434"/>
      <c r="BS323" s="434"/>
      <c r="BT323" s="434"/>
      <c r="BU323" s="434"/>
      <c r="BV323" s="434"/>
      <c r="BW323" s="434"/>
      <c r="BX323" s="434"/>
      <c r="BY323" s="434"/>
      <c r="BZ323" s="434"/>
      <c r="CA323" s="434"/>
      <c r="CB323" s="434"/>
      <c r="CC323" s="434"/>
      <c r="CD323" s="434"/>
      <c r="CE323" s="434"/>
      <c r="CF323" s="434"/>
      <c r="CG323" s="434"/>
      <c r="CH323" s="434"/>
      <c r="CI323" s="434"/>
      <c r="CJ323" s="434"/>
      <c r="CK323" s="434"/>
      <c r="CL323" s="434"/>
      <c r="CM323" s="434"/>
      <c r="CN323" s="434"/>
      <c r="CO323" s="434"/>
      <c r="CP323" s="434"/>
      <c r="CQ323" s="434"/>
      <c r="CR323" s="434"/>
      <c r="CS323" s="434"/>
      <c r="CT323" s="434"/>
      <c r="CU323" s="434"/>
      <c r="CV323" s="434"/>
      <c r="CW323" s="434"/>
      <c r="CX323" s="436"/>
      <c r="CY323" s="436"/>
    </row>
    <row r="324" spans="1:156">
      <c r="T324" s="434"/>
      <c r="U324" s="434"/>
      <c r="V324" s="434"/>
      <c r="W324" s="434"/>
      <c r="X324" s="434"/>
      <c r="Y324" s="435"/>
      <c r="Z324" s="435"/>
      <c r="AA324" s="435"/>
      <c r="AB324" s="435"/>
      <c r="AC324" s="435"/>
      <c r="AD324" s="435"/>
      <c r="AE324" s="435"/>
      <c r="AF324" s="435"/>
      <c r="AG324" s="435"/>
      <c r="AH324" s="435"/>
      <c r="AI324" s="435"/>
      <c r="AJ324" s="435"/>
      <c r="AK324" s="435"/>
      <c r="AL324" s="435"/>
      <c r="AM324" s="434"/>
      <c r="AN324" s="434"/>
      <c r="AO324" s="434"/>
      <c r="AP324" s="434"/>
      <c r="AQ324" s="434"/>
      <c r="AR324" s="434"/>
      <c r="AS324" s="434"/>
      <c r="AT324" s="434"/>
      <c r="AU324" s="434"/>
      <c r="AV324" s="434"/>
      <c r="AW324" s="434"/>
      <c r="AX324" s="434"/>
      <c r="AY324" s="434"/>
      <c r="AZ324" s="434"/>
      <c r="BA324" s="434"/>
      <c r="BB324" s="434"/>
      <c r="BC324" s="434"/>
      <c r="BD324" s="434"/>
      <c r="BE324" s="434"/>
      <c r="BF324" s="434"/>
      <c r="BG324" s="434"/>
      <c r="BH324" s="434"/>
      <c r="BI324" s="434"/>
      <c r="BJ324" s="434"/>
      <c r="BK324" s="434"/>
      <c r="BL324" s="434"/>
      <c r="BM324" s="434"/>
      <c r="BN324" s="434"/>
      <c r="BO324" s="434"/>
      <c r="BP324" s="434"/>
      <c r="BQ324" s="434"/>
      <c r="BR324" s="434"/>
      <c r="BS324" s="434"/>
      <c r="BT324" s="434"/>
      <c r="BU324" s="434"/>
      <c r="BV324" s="434"/>
      <c r="BW324" s="434"/>
      <c r="BX324" s="434"/>
      <c r="BY324" s="434"/>
      <c r="BZ324" s="434"/>
      <c r="CA324" s="434"/>
      <c r="CB324" s="434"/>
      <c r="CC324" s="434"/>
      <c r="CD324" s="434"/>
      <c r="CE324" s="434"/>
      <c r="CF324" s="434"/>
      <c r="CG324" s="434"/>
      <c r="CH324" s="434"/>
      <c r="CI324" s="434"/>
      <c r="CJ324" s="434"/>
      <c r="CK324" s="434"/>
      <c r="CL324" s="434"/>
      <c r="CM324" s="434"/>
      <c r="CN324" s="434"/>
      <c r="CO324" s="434"/>
      <c r="CP324" s="434"/>
      <c r="CQ324" s="434"/>
      <c r="CR324" s="434"/>
      <c r="CS324" s="434"/>
      <c r="CT324" s="434"/>
      <c r="CU324" s="434"/>
      <c r="CV324" s="434"/>
      <c r="CW324" s="434"/>
      <c r="CX324" s="436"/>
      <c r="CY324" s="436"/>
    </row>
    <row r="325" spans="1:156">
      <c r="Y325" s="437"/>
      <c r="Z325" s="437"/>
      <c r="AA325" s="437"/>
      <c r="AB325" s="435"/>
      <c r="AC325" s="435"/>
      <c r="AD325" s="435"/>
      <c r="AE325" s="435"/>
      <c r="AF325" s="435"/>
      <c r="AG325" s="435"/>
      <c r="AH325" s="435"/>
      <c r="AI325" s="435"/>
      <c r="AJ325" s="435"/>
      <c r="AK325" s="435"/>
      <c r="AL325" s="435"/>
      <c r="AM325" s="434"/>
      <c r="AN325" s="434"/>
      <c r="AO325" s="434"/>
      <c r="AP325" s="434"/>
      <c r="AQ325" s="434"/>
      <c r="AR325" s="434"/>
      <c r="AS325" s="434"/>
      <c r="AT325" s="434"/>
      <c r="AU325" s="434"/>
      <c r="AV325" s="434"/>
      <c r="AW325" s="434"/>
      <c r="AX325" s="434"/>
      <c r="AY325" s="434"/>
      <c r="AZ325" s="434"/>
      <c r="BA325" s="434"/>
      <c r="BB325" s="434"/>
      <c r="BC325" s="434"/>
      <c r="BD325" s="434"/>
      <c r="BE325" s="434"/>
      <c r="BF325" s="434"/>
      <c r="BG325" s="434"/>
      <c r="BH325" s="434"/>
      <c r="BI325" s="434"/>
      <c r="BJ325" s="434"/>
      <c r="BK325" s="434"/>
      <c r="BL325" s="434"/>
      <c r="BM325" s="434"/>
      <c r="BN325" s="434"/>
      <c r="BO325" s="434"/>
      <c r="BP325" s="434"/>
      <c r="BQ325" s="434"/>
      <c r="BR325" s="434"/>
      <c r="BS325" s="434"/>
      <c r="BT325" s="434"/>
      <c r="BU325" s="434"/>
      <c r="BV325" s="434"/>
      <c r="BW325" s="434"/>
      <c r="BX325" s="434"/>
      <c r="BY325" s="434"/>
      <c r="BZ325" s="434"/>
      <c r="CA325" s="434"/>
      <c r="CB325" s="434"/>
      <c r="CC325" s="434"/>
      <c r="CD325" s="434"/>
      <c r="CE325" s="434"/>
      <c r="CF325" s="434"/>
      <c r="CG325" s="434"/>
      <c r="CH325" s="434"/>
      <c r="CI325" s="434"/>
      <c r="CJ325" s="434"/>
      <c r="CK325" s="434"/>
      <c r="CL325" s="434"/>
      <c r="CM325" s="434"/>
      <c r="CN325" s="434"/>
      <c r="CO325" s="434"/>
      <c r="CP325" s="434"/>
      <c r="CQ325" s="434"/>
      <c r="CR325" s="434"/>
      <c r="CS325" s="434"/>
      <c r="CT325" s="434"/>
      <c r="CU325" s="434"/>
      <c r="CV325" s="434"/>
      <c r="CW325" s="434"/>
      <c r="CX325" s="436"/>
      <c r="CY325" s="436"/>
    </row>
    <row r="326" spans="1:156">
      <c r="Y326" s="437"/>
      <c r="Z326" s="437"/>
      <c r="AA326" s="437"/>
      <c r="AB326" s="438"/>
      <c r="AC326" s="438"/>
      <c r="AD326" s="438"/>
      <c r="AE326" s="438"/>
      <c r="AF326" s="438"/>
      <c r="AG326" s="438"/>
      <c r="AH326" s="438"/>
      <c r="AI326" s="438"/>
      <c r="AJ326" s="438"/>
      <c r="AK326" s="438"/>
      <c r="AL326" s="438"/>
      <c r="AM326" s="436"/>
      <c r="AN326" s="436"/>
      <c r="AO326" s="436"/>
      <c r="AP326" s="436"/>
      <c r="AQ326" s="436"/>
      <c r="AR326" s="436"/>
      <c r="AS326" s="436"/>
      <c r="AT326" s="436"/>
      <c r="AU326" s="436"/>
      <c r="AV326" s="436"/>
      <c r="AW326" s="436"/>
      <c r="AX326" s="436"/>
      <c r="AY326" s="436"/>
      <c r="AZ326" s="436"/>
      <c r="BA326" s="436"/>
      <c r="BB326" s="436"/>
      <c r="BC326" s="436"/>
      <c r="BD326" s="436"/>
      <c r="BE326" s="436"/>
      <c r="BF326" s="436"/>
      <c r="BG326" s="436"/>
      <c r="BH326" s="436"/>
      <c r="BI326" s="436"/>
      <c r="BJ326" s="436"/>
      <c r="BK326" s="436"/>
      <c r="BL326" s="436"/>
      <c r="BM326" s="436"/>
      <c r="BN326" s="436"/>
      <c r="BO326" s="436"/>
      <c r="BP326" s="436"/>
      <c r="BQ326" s="436"/>
      <c r="BR326" s="436"/>
      <c r="BS326" s="436"/>
      <c r="BT326" s="436"/>
      <c r="BU326" s="436"/>
      <c r="BV326" s="436"/>
      <c r="BW326" s="436"/>
      <c r="BX326" s="436"/>
      <c r="BY326" s="436"/>
      <c r="BZ326" s="436"/>
      <c r="CA326" s="436"/>
      <c r="CB326" s="436"/>
      <c r="CC326" s="436"/>
      <c r="CD326" s="436"/>
      <c r="CE326" s="436"/>
      <c r="CF326" s="436"/>
      <c r="CG326" s="436"/>
      <c r="CH326" s="436"/>
      <c r="CI326" s="436"/>
      <c r="CJ326" s="436"/>
      <c r="CK326" s="436"/>
      <c r="CL326" s="436"/>
      <c r="CM326" s="436"/>
      <c r="CN326" s="436"/>
      <c r="CO326" s="436"/>
      <c r="CP326" s="436"/>
      <c r="CQ326" s="436"/>
      <c r="CR326" s="436"/>
      <c r="CS326" s="436"/>
      <c r="CT326" s="436"/>
      <c r="CU326" s="436"/>
      <c r="CV326" s="436"/>
      <c r="CW326" s="436"/>
      <c r="CX326" s="436"/>
      <c r="CY326" s="436"/>
    </row>
    <row r="327" spans="1:156" s="440" customFormat="1" ht="26.25">
      <c r="A327" s="439" t="s">
        <v>851</v>
      </c>
      <c r="Y327" s="441"/>
      <c r="Z327" s="441"/>
      <c r="AA327" s="441"/>
      <c r="AB327" s="442"/>
      <c r="AC327" s="442"/>
      <c r="AD327" s="442"/>
      <c r="AE327" s="442"/>
      <c r="AF327" s="442"/>
      <c r="AG327" s="442"/>
      <c r="AH327" s="442"/>
      <c r="AI327" s="442"/>
      <c r="AJ327" s="442"/>
      <c r="AK327" s="442"/>
      <c r="AL327" s="442"/>
      <c r="AM327" s="443"/>
      <c r="AN327" s="443"/>
      <c r="AO327" s="443"/>
      <c r="AP327" s="443"/>
      <c r="AQ327" s="443"/>
      <c r="AR327" s="443"/>
      <c r="AS327" s="443"/>
      <c r="AT327" s="443"/>
      <c r="AU327" s="443"/>
      <c r="AV327" s="443"/>
      <c r="AW327" s="443"/>
      <c r="AX327" s="443"/>
      <c r="AY327" s="443"/>
      <c r="AZ327" s="443"/>
      <c r="BA327" s="443"/>
      <c r="BB327" s="443"/>
      <c r="BC327" s="443"/>
      <c r="BD327" s="443"/>
      <c r="BE327" s="443"/>
      <c r="BF327" s="443"/>
      <c r="BG327" s="443"/>
      <c r="BH327" s="443"/>
      <c r="BI327" s="443"/>
      <c r="BJ327" s="443"/>
      <c r="BK327" s="443"/>
      <c r="BL327" s="443"/>
      <c r="BM327" s="443"/>
      <c r="BN327" s="443"/>
      <c r="BO327" s="443"/>
      <c r="BP327" s="443"/>
      <c r="BQ327" s="443"/>
      <c r="BR327" s="443"/>
      <c r="BS327" s="443"/>
      <c r="BT327" s="443"/>
      <c r="BU327" s="443"/>
      <c r="BV327" s="443"/>
      <c r="BW327" s="443"/>
      <c r="BX327" s="443"/>
      <c r="BY327" s="443"/>
      <c r="BZ327" s="443"/>
      <c r="CA327" s="443"/>
      <c r="CB327" s="443"/>
      <c r="CC327" s="443"/>
      <c r="CD327" s="443"/>
      <c r="CE327" s="443"/>
      <c r="CF327" s="443"/>
      <c r="CG327" s="443"/>
      <c r="CH327" s="443"/>
      <c r="CI327" s="443"/>
      <c r="CJ327" s="443"/>
      <c r="CK327" s="443"/>
      <c r="CL327" s="443"/>
      <c r="CM327" s="443"/>
      <c r="CN327" s="443"/>
      <c r="CO327" s="443"/>
      <c r="CP327" s="443"/>
      <c r="CQ327" s="443"/>
      <c r="CR327" s="443"/>
      <c r="CS327" s="443"/>
      <c r="CT327" s="443"/>
      <c r="CU327" s="443"/>
      <c r="CV327" s="443"/>
      <c r="CW327" s="443"/>
      <c r="CX327" s="443"/>
      <c r="CY327" s="443"/>
    </row>
    <row r="328" spans="1:156">
      <c r="Y328" s="437"/>
      <c r="Z328" s="437"/>
      <c r="AA328" s="437"/>
      <c r="AB328" s="438"/>
      <c r="AC328" s="438"/>
      <c r="AD328" s="438"/>
      <c r="AE328" s="438"/>
      <c r="AF328" s="438"/>
      <c r="AG328" s="438"/>
      <c r="AH328" s="438"/>
      <c r="AI328" s="438"/>
      <c r="AJ328" s="438"/>
      <c r="AK328" s="438"/>
      <c r="AL328" s="438"/>
      <c r="AM328" s="436"/>
      <c r="AN328" s="436"/>
      <c r="AO328" s="436"/>
      <c r="AP328" s="436"/>
      <c r="AQ328" s="436"/>
      <c r="BH328" s="436"/>
      <c r="BI328" s="436"/>
      <c r="BJ328" s="436"/>
      <c r="BK328" s="436"/>
      <c r="BL328" s="436"/>
      <c r="BM328" s="436"/>
      <c r="BN328" s="436"/>
      <c r="BO328" s="436"/>
      <c r="BP328" s="436"/>
      <c r="BQ328" s="436"/>
      <c r="BR328" s="436"/>
      <c r="BS328" s="436"/>
      <c r="BT328" s="436"/>
      <c r="BU328" s="436"/>
      <c r="BV328" s="436"/>
      <c r="BW328" s="436"/>
      <c r="BX328" s="436"/>
      <c r="BY328" s="436"/>
      <c r="BZ328" s="436"/>
      <c r="CA328" s="436"/>
      <c r="CB328" s="436"/>
      <c r="CC328" s="436"/>
      <c r="CD328" s="436"/>
      <c r="CE328" s="436"/>
      <c r="CF328" s="436"/>
      <c r="CG328" s="436"/>
      <c r="CH328" s="436"/>
      <c r="CI328" s="436"/>
      <c r="CJ328" s="436"/>
      <c r="CK328" s="436"/>
      <c r="CL328" s="436"/>
      <c r="CM328" s="436"/>
      <c r="CN328" s="436"/>
      <c r="CO328" s="436"/>
      <c r="CP328" s="436"/>
      <c r="CQ328" s="436"/>
      <c r="CR328" s="436"/>
      <c r="CS328" s="436"/>
      <c r="CT328" s="436"/>
      <c r="CU328" s="436"/>
      <c r="CV328" s="436"/>
      <c r="CW328" s="436"/>
      <c r="CX328" s="436"/>
      <c r="CY328" s="436"/>
    </row>
    <row r="329" spans="1:156" s="444" customFormat="1" ht="26.25">
      <c r="B329" s="444" t="s">
        <v>852</v>
      </c>
      <c r="O329" s="444" t="s">
        <v>853</v>
      </c>
      <c r="AB329" s="444" t="s">
        <v>854</v>
      </c>
      <c r="AI329" s="445"/>
      <c r="AJ329" s="445"/>
      <c r="AK329" s="445"/>
      <c r="AL329" s="445"/>
      <c r="AO329" s="444" t="s">
        <v>855</v>
      </c>
      <c r="BB329" s="444" t="s">
        <v>856</v>
      </c>
      <c r="BO329" s="444" t="s">
        <v>857</v>
      </c>
      <c r="CB329" s="444" t="s">
        <v>858</v>
      </c>
      <c r="CO329" s="444" t="s">
        <v>859</v>
      </c>
      <c r="DB329" s="444" t="s">
        <v>860</v>
      </c>
      <c r="DO329" s="444" t="s">
        <v>861</v>
      </c>
      <c r="EB329" s="444" t="s">
        <v>862</v>
      </c>
      <c r="EO329" s="444" t="s">
        <v>740</v>
      </c>
    </row>
    <row r="330" spans="1:156" ht="23.25">
      <c r="B330" s="446" t="s">
        <v>863</v>
      </c>
      <c r="O330" s="446" t="s">
        <v>863</v>
      </c>
      <c r="AB330" s="446" t="s">
        <v>863</v>
      </c>
      <c r="AO330" s="446" t="s">
        <v>863</v>
      </c>
      <c r="BB330" s="446" t="s">
        <v>863</v>
      </c>
      <c r="BO330" s="446" t="s">
        <v>863</v>
      </c>
      <c r="CB330" s="446" t="s">
        <v>863</v>
      </c>
      <c r="CO330" s="446" t="s">
        <v>863</v>
      </c>
      <c r="DB330" s="446" t="s">
        <v>863</v>
      </c>
      <c r="DO330" s="446" t="s">
        <v>863</v>
      </c>
      <c r="EB330" s="446" t="s">
        <v>863</v>
      </c>
      <c r="EO330" s="446" t="s">
        <v>863</v>
      </c>
    </row>
    <row r="333" spans="1:156" ht="15" thickBot="1"/>
    <row r="334" spans="1:156" ht="15.75" thickBot="1">
      <c r="E334" s="447" t="s">
        <v>864</v>
      </c>
      <c r="F334" s="448"/>
      <c r="G334" s="449"/>
      <c r="H334" s="447" t="s">
        <v>865</v>
      </c>
      <c r="I334" s="448"/>
      <c r="J334" s="449"/>
      <c r="K334" s="447" t="s">
        <v>866</v>
      </c>
      <c r="L334" s="448"/>
      <c r="M334" s="449"/>
      <c r="R334" s="447" t="s">
        <v>864</v>
      </c>
      <c r="S334" s="448"/>
      <c r="T334" s="449"/>
      <c r="U334" s="447" t="s">
        <v>865</v>
      </c>
      <c r="V334" s="448"/>
      <c r="W334" s="449"/>
      <c r="X334" s="447" t="s">
        <v>866</v>
      </c>
      <c r="Y334" s="448"/>
      <c r="Z334" s="449"/>
      <c r="AE334" s="447" t="s">
        <v>864</v>
      </c>
      <c r="AF334" s="448"/>
      <c r="AG334" s="449"/>
      <c r="AH334" s="447" t="s">
        <v>865</v>
      </c>
      <c r="AI334" s="448"/>
      <c r="AJ334" s="449"/>
      <c r="AK334" s="447" t="s">
        <v>866</v>
      </c>
      <c r="AL334" s="448"/>
      <c r="AM334" s="449"/>
      <c r="AR334" s="447" t="s">
        <v>864</v>
      </c>
      <c r="AS334" s="448"/>
      <c r="AT334" s="449"/>
      <c r="AU334" s="447" t="s">
        <v>865</v>
      </c>
      <c r="AV334" s="448"/>
      <c r="AW334" s="449"/>
      <c r="AX334" s="447" t="s">
        <v>866</v>
      </c>
      <c r="AY334" s="448"/>
      <c r="AZ334" s="449"/>
      <c r="BE334" s="447" t="s">
        <v>864</v>
      </c>
      <c r="BF334" s="448"/>
      <c r="BG334" s="449"/>
      <c r="BH334" s="447" t="s">
        <v>865</v>
      </c>
      <c r="BI334" s="448"/>
      <c r="BJ334" s="449"/>
      <c r="BK334" s="447" t="s">
        <v>866</v>
      </c>
      <c r="BL334" s="448"/>
      <c r="BM334" s="449"/>
      <c r="BR334" s="447" t="s">
        <v>864</v>
      </c>
      <c r="BS334" s="448"/>
      <c r="BT334" s="449"/>
      <c r="BU334" s="447" t="s">
        <v>865</v>
      </c>
      <c r="BV334" s="448"/>
      <c r="BW334" s="449"/>
      <c r="BX334" s="447" t="s">
        <v>866</v>
      </c>
      <c r="BY334" s="448"/>
      <c r="BZ334" s="449"/>
      <c r="CE334" s="447" t="s">
        <v>864</v>
      </c>
      <c r="CF334" s="448"/>
      <c r="CG334" s="449"/>
      <c r="CH334" s="447" t="s">
        <v>865</v>
      </c>
      <c r="CI334" s="448"/>
      <c r="CJ334" s="449"/>
      <c r="CK334" s="447" t="s">
        <v>866</v>
      </c>
      <c r="CL334" s="448"/>
      <c r="CM334" s="449"/>
      <c r="CR334" s="447" t="s">
        <v>864</v>
      </c>
      <c r="CS334" s="448"/>
      <c r="CT334" s="449"/>
      <c r="CU334" s="447" t="s">
        <v>865</v>
      </c>
      <c r="CV334" s="448"/>
      <c r="CW334" s="449"/>
      <c r="CX334" s="447" t="s">
        <v>866</v>
      </c>
      <c r="CY334" s="448"/>
      <c r="CZ334" s="449"/>
      <c r="DE334" s="447" t="s">
        <v>864</v>
      </c>
      <c r="DF334" s="448"/>
      <c r="DG334" s="449"/>
      <c r="DH334" s="447" t="s">
        <v>865</v>
      </c>
      <c r="DI334" s="448"/>
      <c r="DJ334" s="449"/>
      <c r="DK334" s="447" t="s">
        <v>866</v>
      </c>
      <c r="DL334" s="448"/>
      <c r="DM334" s="449"/>
      <c r="DR334" s="447" t="s">
        <v>864</v>
      </c>
      <c r="DS334" s="448"/>
      <c r="DT334" s="449"/>
      <c r="DU334" s="447" t="s">
        <v>865</v>
      </c>
      <c r="DV334" s="448"/>
      <c r="DW334" s="449"/>
      <c r="DX334" s="447" t="s">
        <v>866</v>
      </c>
      <c r="DY334" s="448"/>
      <c r="DZ334" s="449"/>
      <c r="EE334" s="447" t="s">
        <v>864</v>
      </c>
      <c r="EF334" s="448"/>
      <c r="EG334" s="449"/>
      <c r="EH334" s="447" t="s">
        <v>865</v>
      </c>
      <c r="EI334" s="448"/>
      <c r="EJ334" s="449"/>
      <c r="EK334" s="447" t="s">
        <v>866</v>
      </c>
      <c r="EL334" s="448"/>
      <c r="EM334" s="449"/>
      <c r="ER334" s="447" t="s">
        <v>864</v>
      </c>
      <c r="ES334" s="448"/>
      <c r="ET334" s="449"/>
      <c r="EU334" s="447" t="s">
        <v>865</v>
      </c>
      <c r="EV334" s="448"/>
      <c r="EW334" s="449"/>
      <c r="EX334" s="447" t="s">
        <v>866</v>
      </c>
      <c r="EY334" s="448"/>
      <c r="EZ334" s="449"/>
    </row>
    <row r="335" spans="1:156" ht="180.75" thickBot="1">
      <c r="B335" s="450" t="s">
        <v>867</v>
      </c>
      <c r="C335" s="451" t="s">
        <v>868</v>
      </c>
      <c r="D335" s="451" t="s">
        <v>869</v>
      </c>
      <c r="E335" s="452" t="s">
        <v>870</v>
      </c>
      <c r="F335" s="452" t="s">
        <v>871</v>
      </c>
      <c r="G335" s="453" t="s">
        <v>872</v>
      </c>
      <c r="H335" s="454" t="s">
        <v>870</v>
      </c>
      <c r="I335" s="452" t="s">
        <v>871</v>
      </c>
      <c r="J335" s="453" t="s">
        <v>872</v>
      </c>
      <c r="K335" s="455" t="s">
        <v>870</v>
      </c>
      <c r="L335" s="456" t="s">
        <v>871</v>
      </c>
      <c r="M335" s="457" t="s">
        <v>872</v>
      </c>
      <c r="O335" s="450" t="s">
        <v>867</v>
      </c>
      <c r="P335" s="451" t="s">
        <v>868</v>
      </c>
      <c r="Q335" s="451" t="s">
        <v>869</v>
      </c>
      <c r="R335" s="452" t="s">
        <v>870</v>
      </c>
      <c r="S335" s="452" t="s">
        <v>871</v>
      </c>
      <c r="T335" s="453" t="s">
        <v>872</v>
      </c>
      <c r="U335" s="454" t="s">
        <v>870</v>
      </c>
      <c r="V335" s="452" t="s">
        <v>871</v>
      </c>
      <c r="W335" s="453" t="s">
        <v>872</v>
      </c>
      <c r="X335" s="455" t="s">
        <v>870</v>
      </c>
      <c r="Y335" s="456" t="s">
        <v>871</v>
      </c>
      <c r="Z335" s="457" t="s">
        <v>872</v>
      </c>
      <c r="AB335" s="450" t="s">
        <v>867</v>
      </c>
      <c r="AC335" s="451" t="s">
        <v>868</v>
      </c>
      <c r="AD335" s="451" t="s">
        <v>869</v>
      </c>
      <c r="AE335" s="452" t="s">
        <v>870</v>
      </c>
      <c r="AF335" s="452" t="s">
        <v>871</v>
      </c>
      <c r="AG335" s="453" t="s">
        <v>872</v>
      </c>
      <c r="AH335" s="454" t="s">
        <v>870</v>
      </c>
      <c r="AI335" s="452" t="s">
        <v>871</v>
      </c>
      <c r="AJ335" s="453" t="s">
        <v>872</v>
      </c>
      <c r="AK335" s="455" t="s">
        <v>870</v>
      </c>
      <c r="AL335" s="456" t="s">
        <v>871</v>
      </c>
      <c r="AM335" s="457" t="s">
        <v>872</v>
      </c>
      <c r="AO335" s="450" t="s">
        <v>867</v>
      </c>
      <c r="AP335" s="451" t="s">
        <v>868</v>
      </c>
      <c r="AQ335" s="451" t="s">
        <v>869</v>
      </c>
      <c r="AR335" s="452" t="s">
        <v>870</v>
      </c>
      <c r="AS335" s="452" t="s">
        <v>871</v>
      </c>
      <c r="AT335" s="453" t="s">
        <v>872</v>
      </c>
      <c r="AU335" s="454" t="s">
        <v>870</v>
      </c>
      <c r="AV335" s="452" t="s">
        <v>871</v>
      </c>
      <c r="AW335" s="453" t="s">
        <v>872</v>
      </c>
      <c r="AX335" s="455" t="s">
        <v>870</v>
      </c>
      <c r="AY335" s="456" t="s">
        <v>871</v>
      </c>
      <c r="AZ335" s="457" t="s">
        <v>872</v>
      </c>
      <c r="BB335" s="450" t="s">
        <v>867</v>
      </c>
      <c r="BC335" s="451" t="s">
        <v>868</v>
      </c>
      <c r="BD335" s="451" t="s">
        <v>869</v>
      </c>
      <c r="BE335" s="452" t="s">
        <v>870</v>
      </c>
      <c r="BF335" s="452" t="s">
        <v>871</v>
      </c>
      <c r="BG335" s="453" t="s">
        <v>872</v>
      </c>
      <c r="BH335" s="454" t="s">
        <v>870</v>
      </c>
      <c r="BI335" s="452" t="s">
        <v>871</v>
      </c>
      <c r="BJ335" s="453" t="s">
        <v>872</v>
      </c>
      <c r="BK335" s="455" t="s">
        <v>870</v>
      </c>
      <c r="BL335" s="456" t="s">
        <v>871</v>
      </c>
      <c r="BM335" s="457" t="s">
        <v>872</v>
      </c>
      <c r="BO335" s="450" t="s">
        <v>867</v>
      </c>
      <c r="BP335" s="451" t="s">
        <v>868</v>
      </c>
      <c r="BQ335" s="451" t="s">
        <v>869</v>
      </c>
      <c r="BR335" s="452" t="s">
        <v>870</v>
      </c>
      <c r="BS335" s="452" t="s">
        <v>871</v>
      </c>
      <c r="BT335" s="453" t="s">
        <v>872</v>
      </c>
      <c r="BU335" s="454" t="s">
        <v>870</v>
      </c>
      <c r="BV335" s="452" t="s">
        <v>871</v>
      </c>
      <c r="BW335" s="453" t="s">
        <v>872</v>
      </c>
      <c r="BX335" s="455" t="s">
        <v>870</v>
      </c>
      <c r="BY335" s="456" t="s">
        <v>871</v>
      </c>
      <c r="BZ335" s="457" t="s">
        <v>872</v>
      </c>
      <c r="CB335" s="450" t="s">
        <v>867</v>
      </c>
      <c r="CC335" s="451" t="s">
        <v>868</v>
      </c>
      <c r="CD335" s="451" t="s">
        <v>869</v>
      </c>
      <c r="CE335" s="452" t="s">
        <v>870</v>
      </c>
      <c r="CF335" s="452" t="s">
        <v>871</v>
      </c>
      <c r="CG335" s="453" t="s">
        <v>872</v>
      </c>
      <c r="CH335" s="454" t="s">
        <v>870</v>
      </c>
      <c r="CI335" s="452" t="s">
        <v>871</v>
      </c>
      <c r="CJ335" s="453" t="s">
        <v>872</v>
      </c>
      <c r="CK335" s="455" t="s">
        <v>870</v>
      </c>
      <c r="CL335" s="456" t="s">
        <v>871</v>
      </c>
      <c r="CM335" s="457" t="s">
        <v>872</v>
      </c>
      <c r="CO335" s="450" t="s">
        <v>867</v>
      </c>
      <c r="CP335" s="451" t="s">
        <v>868</v>
      </c>
      <c r="CQ335" s="451" t="s">
        <v>869</v>
      </c>
      <c r="CR335" s="452" t="s">
        <v>870</v>
      </c>
      <c r="CS335" s="452" t="s">
        <v>871</v>
      </c>
      <c r="CT335" s="453" t="s">
        <v>872</v>
      </c>
      <c r="CU335" s="454" t="s">
        <v>870</v>
      </c>
      <c r="CV335" s="452" t="s">
        <v>871</v>
      </c>
      <c r="CW335" s="453" t="s">
        <v>872</v>
      </c>
      <c r="CX335" s="455" t="s">
        <v>870</v>
      </c>
      <c r="CY335" s="456" t="s">
        <v>871</v>
      </c>
      <c r="CZ335" s="457" t="s">
        <v>872</v>
      </c>
      <c r="DB335" s="450" t="s">
        <v>867</v>
      </c>
      <c r="DC335" s="451" t="s">
        <v>868</v>
      </c>
      <c r="DD335" s="451" t="s">
        <v>869</v>
      </c>
      <c r="DE335" s="452" t="s">
        <v>870</v>
      </c>
      <c r="DF335" s="452" t="s">
        <v>871</v>
      </c>
      <c r="DG335" s="453" t="s">
        <v>872</v>
      </c>
      <c r="DH335" s="454" t="s">
        <v>870</v>
      </c>
      <c r="DI335" s="452" t="s">
        <v>871</v>
      </c>
      <c r="DJ335" s="453" t="s">
        <v>872</v>
      </c>
      <c r="DK335" s="455" t="s">
        <v>870</v>
      </c>
      <c r="DL335" s="456" t="s">
        <v>871</v>
      </c>
      <c r="DM335" s="457" t="s">
        <v>872</v>
      </c>
      <c r="DO335" s="450" t="s">
        <v>867</v>
      </c>
      <c r="DP335" s="451" t="s">
        <v>868</v>
      </c>
      <c r="DQ335" s="451" t="s">
        <v>869</v>
      </c>
      <c r="DR335" s="452" t="s">
        <v>870</v>
      </c>
      <c r="DS335" s="452" t="s">
        <v>871</v>
      </c>
      <c r="DT335" s="453" t="s">
        <v>872</v>
      </c>
      <c r="DU335" s="454" t="s">
        <v>870</v>
      </c>
      <c r="DV335" s="452" t="s">
        <v>871</v>
      </c>
      <c r="DW335" s="453" t="s">
        <v>872</v>
      </c>
      <c r="DX335" s="455" t="s">
        <v>870</v>
      </c>
      <c r="DY335" s="456" t="s">
        <v>871</v>
      </c>
      <c r="DZ335" s="457" t="s">
        <v>872</v>
      </c>
      <c r="EB335" s="450" t="s">
        <v>867</v>
      </c>
      <c r="EC335" s="451" t="s">
        <v>868</v>
      </c>
      <c r="ED335" s="451" t="s">
        <v>869</v>
      </c>
      <c r="EE335" s="452" t="s">
        <v>870</v>
      </c>
      <c r="EF335" s="452" t="s">
        <v>871</v>
      </c>
      <c r="EG335" s="453" t="s">
        <v>872</v>
      </c>
      <c r="EH335" s="454" t="s">
        <v>870</v>
      </c>
      <c r="EI335" s="452" t="s">
        <v>871</v>
      </c>
      <c r="EJ335" s="453" t="s">
        <v>872</v>
      </c>
      <c r="EK335" s="455" t="s">
        <v>870</v>
      </c>
      <c r="EL335" s="456" t="s">
        <v>871</v>
      </c>
      <c r="EM335" s="457" t="s">
        <v>872</v>
      </c>
      <c r="EO335" s="450" t="s">
        <v>867</v>
      </c>
      <c r="EP335" s="451" t="s">
        <v>868</v>
      </c>
      <c r="EQ335" s="451" t="s">
        <v>869</v>
      </c>
      <c r="ER335" s="452" t="s">
        <v>870</v>
      </c>
      <c r="ES335" s="452" t="s">
        <v>871</v>
      </c>
      <c r="ET335" s="453" t="s">
        <v>872</v>
      </c>
      <c r="EU335" s="454" t="s">
        <v>870</v>
      </c>
      <c r="EV335" s="452" t="s">
        <v>871</v>
      </c>
      <c r="EW335" s="453" t="s">
        <v>872</v>
      </c>
      <c r="EX335" s="455" t="s">
        <v>870</v>
      </c>
      <c r="EY335" s="456" t="s">
        <v>871</v>
      </c>
      <c r="EZ335" s="457" t="s">
        <v>872</v>
      </c>
    </row>
    <row r="336" spans="1:156" ht="15">
      <c r="B336" s="458">
        <v>1</v>
      </c>
      <c r="C336" s="459">
        <v>450</v>
      </c>
      <c r="D336" s="460">
        <f>Inputs!$D$39</f>
        <v>63</v>
      </c>
      <c r="E336" s="461">
        <f>_xlfn.MINIFS($DE$70:$DE$149,$DG$70:$DG$149,"&gt;"&amp;Inputs!$H$39)</f>
        <v>14.999999999999996</v>
      </c>
      <c r="F336" s="461">
        <f>_xlfn.MINIFS($DE$156:$DE$235,$DG$156:$DG$235,"&gt;"&amp;Inputs!$H$39)</f>
        <v>13.499999999999996</v>
      </c>
      <c r="G336" s="462">
        <f>_xlfn.MINIFS($DE$242:$DE$321,$DG$242:$DG$321,"&gt;"&amp;Inputs!$H$39)</f>
        <v>14.999999999999996</v>
      </c>
      <c r="H336" s="463">
        <f>IF(Inputs!$F$39&gt;MAX(Pile!$DG$70:$DG$149),999999,IF(Pile!E336/(Pile!C336/1000)&gt;50,999999,IF(Pile!E336&lt;2,999999,Pile!E336)))</f>
        <v>14.999999999999996</v>
      </c>
      <c r="I336" s="464">
        <f>IF(Inputs!E31="Yes",999999,IF(Pile!F336/(Pile!C336/1000)&gt;50,999999,IF(Pile!F336&lt;2,999999,Pile!F336)))</f>
        <v>13.499999999999996</v>
      </c>
      <c r="J336" s="464">
        <f>IF(Inputs!$F$39&gt;MAX(Pile!$DG$242:$DG$321),999999,IF(Pile!G336/(Pile!C336/1000)&gt;50,999999,IF(Pile!G336&lt;2,999999,IF(G336&gt;25,999999,Pile!G336))))</f>
        <v>14.999999999999996</v>
      </c>
      <c r="K336" s="463">
        <f>IF(ISNUMBER(H336),D336*(PI()*(C336/2000)^2)*H336,H336)+N336</f>
        <v>185.73325604314417</v>
      </c>
      <c r="L336" s="464">
        <f>IF(ISNUMBER(I336),D336*(PI()*(C336/2000)^2)*I336,I336)+N336</f>
        <v>170.70368043882976</v>
      </c>
      <c r="M336" s="465">
        <f>IF(ISNUMBER(J336),D336*(PI()*(C336/2000)^2)*J336,J336)+N336</f>
        <v>185.73325604314417</v>
      </c>
      <c r="N336" s="466">
        <f>Inputs!$D$39*D459</f>
        <v>35.4375</v>
      </c>
      <c r="O336" s="458">
        <v>1</v>
      </c>
      <c r="P336" s="459">
        <v>450</v>
      </c>
      <c r="Q336" s="460">
        <f>Inputs!$D$39</f>
        <v>63</v>
      </c>
      <c r="R336" s="461">
        <f>_xlfn.MINIFS($DE$70:$DE$149,$DG$70:$DG$149,"&gt;"&amp;Inputs!$H$46)</f>
        <v>14.999999999999996</v>
      </c>
      <c r="S336" s="461">
        <f>_xlfn.MINIFS($DE$156:$DE$235,$DG$156:$DG$235,"&gt;"&amp;Inputs!$H$46)</f>
        <v>13.499999999999996</v>
      </c>
      <c r="T336" s="462">
        <f>_xlfn.MINIFS($DE$242:$DE$321,$DG$242:$DG$321,"&gt;"&amp;Inputs!$H$46)</f>
        <v>14.999999999999996</v>
      </c>
      <c r="U336" s="463">
        <f>IF(Inputs!$F$46&gt;MAX(Pile!$DG$70:$DG$149),999999,IF(Pile!R336/(Pile!P336/1000)&gt;50,999999,IF(Pile!R336&lt;2,999999,Pile!R336)))</f>
        <v>14.999999999999996</v>
      </c>
      <c r="V336" s="464">
        <f>IF(Inputs!R31="Yes",999999,IF(Pile!S336/(Pile!P336/1000)&gt;50,999999,IF(Pile!S336&lt;2,999999,Pile!S336)))</f>
        <v>13.499999999999996</v>
      </c>
      <c r="W336" s="464">
        <f>IF(Inputs!$F$46&gt;MAX(Pile!$DG$242:$DG$321),999999,IF(Pile!T336/(Pile!P336/1000)&gt;50,999999,IF(Pile!T336&lt;2,999999,IF(T336&gt;25,999999,Pile!T336))))</f>
        <v>14.999999999999996</v>
      </c>
      <c r="X336" s="463">
        <f>IF(ISNUMBER(U336),Q336*(PI()*(P336/2000)^2)*U336,U336)+AA336</f>
        <v>185.73325604314417</v>
      </c>
      <c r="Y336" s="464">
        <f>IF(ISNUMBER(V336),Q336*(PI()*(P336/2000)^2)*V336,V336)+AA336</f>
        <v>170.70368043882976</v>
      </c>
      <c r="Z336" s="465">
        <f>IF(ISNUMBER(W336),Q336*(PI()*(P336/2000)^2)*W336,W336)+AA336</f>
        <v>185.73325604314417</v>
      </c>
      <c r="AA336" s="467">
        <f>N336</f>
        <v>35.4375</v>
      </c>
      <c r="AB336" s="468">
        <v>1</v>
      </c>
      <c r="AC336" s="469">
        <v>450</v>
      </c>
      <c r="AD336" s="470">
        <f>Inputs!$D$39</f>
        <v>63</v>
      </c>
      <c r="AE336" s="461">
        <f>_xlfn.MINIFS($DE$70:$DE$149,$DG$70:$DG$149,"&gt;"&amp;Inputs!$H$53)</f>
        <v>14.999999999999996</v>
      </c>
      <c r="AF336" s="461">
        <f>_xlfn.MINIFS($DE$156:$DE$235,$DG$156:$DG$235,"&gt;"&amp;Inputs!$H$53)</f>
        <v>13.499999999999996</v>
      </c>
      <c r="AG336" s="462">
        <f>_xlfn.MINIFS($DE$242:$DE$321,$DG$242:$DG$321,"&gt;"&amp;Inputs!$H$53)</f>
        <v>13.499999999999996</v>
      </c>
      <c r="AH336" s="463">
        <f>IF(Inputs!$F$53&gt;MAX(Pile!$DG$70:$DG$149),999999,IF(Pile!AE336/(Pile!AC336/1000)&gt;50,999999,IF(Pile!AE336&lt;2,999999,Pile!AE336)))</f>
        <v>14.999999999999996</v>
      </c>
      <c r="AI336" s="464">
        <f>IF(Inputs!AE31="Yes",999999,IF(Pile!AF336/(Pile!AC336/1000)&gt;50,999999,IF(Pile!AF336&lt;2,999999,Pile!AF336)))</f>
        <v>13.499999999999996</v>
      </c>
      <c r="AJ336" s="464">
        <f>IF(Inputs!$F$53&gt;MAX(Pile!$DG$242:$DG$321),999999,IF(Pile!AG336/(Pile!AC336/1000)&gt;50,999999,IF(Pile!AG336&lt;2,999999,IF(AG336&gt;25,999999,Pile!AG336))))</f>
        <v>13.499999999999996</v>
      </c>
      <c r="AK336" s="463">
        <f>IF(ISNUMBER(AH336),AD336*(PI()*(AC336/2000)^2)*AH336,AH336)+AN336</f>
        <v>185.73325604314417</v>
      </c>
      <c r="AL336" s="464">
        <f>IF(ISNUMBER(AI336),AD336*(PI()*(AC336/2000)^2)*AI336,AI336)+AN336</f>
        <v>170.70368043882976</v>
      </c>
      <c r="AM336" s="465">
        <f>IF(ISNUMBER(AJ336),AD336*(PI()*(AC336/2000)^2)*AJ336,AJ336)+AN336</f>
        <v>170.70368043882976</v>
      </c>
      <c r="AN336" s="471">
        <f>N336</f>
        <v>35.4375</v>
      </c>
      <c r="AO336" s="468">
        <v>1</v>
      </c>
      <c r="AP336" s="469">
        <v>450</v>
      </c>
      <c r="AQ336" s="470">
        <f>Inputs!$D$39</f>
        <v>63</v>
      </c>
      <c r="AR336" s="461">
        <f>_xlfn.MINIFS($DE$70:$DE$149,$DG$70:$DG$149,"&gt;"&amp;Inputs!$H$60)</f>
        <v>13.499999999999996</v>
      </c>
      <c r="AS336" s="461">
        <f>_xlfn.MINIFS($DE$156:$DE$235,$DG$156:$DG$235,"&gt;"&amp;Inputs!$H$60)</f>
        <v>13.499999999999996</v>
      </c>
      <c r="AT336" s="462">
        <f>_xlfn.MINIFS($DE$242:$DE$321,$DG$242:$DG$321,"&gt;"&amp;Inputs!$H$60)</f>
        <v>13.499999999999996</v>
      </c>
      <c r="AU336" s="463">
        <f>IF(Inputs!$F$60&gt;MAX(Pile!$DG$70:$DG$149),999999,IF(Pile!AR336/(Pile!AP336/1000)&gt;50,999999,IF(Pile!AR336&lt;2,999999,Pile!AR336)))</f>
        <v>13.499999999999996</v>
      </c>
      <c r="AV336" s="464">
        <f>IF(Inputs!AR31="Yes",999999,IF(Pile!AS336/(Pile!AP336/1000)&gt;50,999999,IF(Pile!AS336&lt;2,999999,Pile!AS336)))</f>
        <v>13.499999999999996</v>
      </c>
      <c r="AW336" s="464">
        <f>IF(Inputs!$F$60&gt;MAX(Pile!$DG$242:$DG$321),999999,IF(Pile!AT336/(Pile!AP336/1000)&gt;50,999999,IF(Pile!AT336&lt;2,999999,IF(AT336&gt;25,999999,Pile!AT336))))</f>
        <v>13.499999999999996</v>
      </c>
      <c r="AX336" s="463">
        <f>IF(ISNUMBER(AU336),AQ336*(PI()*(AP336/2000)^2)*AU336,AU336)+BA336</f>
        <v>170.70368043882976</v>
      </c>
      <c r="AY336" s="464">
        <f>IF(ISNUMBER(AV336),AQ336*(PI()*(AP336/2000)^2)*AV336,AV336)+BA336</f>
        <v>170.70368043882976</v>
      </c>
      <c r="AZ336" s="465">
        <f>IF(ISNUMBER(AW336),AQ336*(PI()*(AP336/2000)^2)*AW336,AW336)+BA336</f>
        <v>170.70368043882976</v>
      </c>
      <c r="BA336" s="467">
        <f>AA336</f>
        <v>35.4375</v>
      </c>
      <c r="BB336" s="468">
        <v>1</v>
      </c>
      <c r="BC336" s="469">
        <v>450</v>
      </c>
      <c r="BD336" s="470">
        <f>Inputs!$D$39</f>
        <v>63</v>
      </c>
      <c r="BE336" s="461">
        <f>_xlfn.MINIFS($DE$70:$DE$149,$DG$70:$DG$149,"&gt;"&amp;Inputs!$H$67)</f>
        <v>14.999999999999996</v>
      </c>
      <c r="BF336" s="461">
        <f>_xlfn.MINIFS($DE$156:$DE$235,$DG$156:$DG$235,"&gt;"&amp;Inputs!$H$67)</f>
        <v>13.499999999999996</v>
      </c>
      <c r="BG336" s="462">
        <f>_xlfn.MINIFS($DE$242:$DE$321,$DG$242:$DG$321,"&gt;"&amp;Inputs!$H$67)</f>
        <v>14.999999999999996</v>
      </c>
      <c r="BH336" s="463">
        <f>IF(Inputs!$F$67&gt;MAX(Pile!$DG$70:$DG$149),999999,IF(Pile!BE336/(Pile!BC336/1000)&gt;50,999999,IF(Pile!BE336&lt;2,999999,Pile!BE336)))</f>
        <v>14.999999999999996</v>
      </c>
      <c r="BI336" s="464">
        <f>IF(Inputs!BE31="Yes",999999,IF(Pile!BF336/(Pile!BC336/1000)&gt;50,999999,IF(Pile!BF336&lt;2,999999,Pile!BF336)))</f>
        <v>13.499999999999996</v>
      </c>
      <c r="BJ336" s="464">
        <f>IF(Inputs!$F$67&gt;MAX(Pile!$DG$242:$DG$321),999999,IF(Pile!BG336/(Pile!BC336/1000)&gt;50,999999,IF(Pile!BG336&lt;2,999999,IF(BG336&gt;25,999999,Pile!BG336))))</f>
        <v>14.999999999999996</v>
      </c>
      <c r="BK336" s="463">
        <f>IF(ISNUMBER(BH336),BD336*(PI()*(BC336/2000)^2)*BH336,BH336)+BN336</f>
        <v>185.73325604314417</v>
      </c>
      <c r="BL336" s="464">
        <f>IF(ISNUMBER(BI336),BD336*(PI()*(BC336/2000)^2)*BI336,BI336)+BN336</f>
        <v>170.70368043882976</v>
      </c>
      <c r="BM336" s="465">
        <f>IF(ISNUMBER(BJ336),BD336*(PI()*(BC336/2000)^2)*BJ336,BJ336)+BN336</f>
        <v>185.73325604314417</v>
      </c>
      <c r="BN336" s="467">
        <f>BA336</f>
        <v>35.4375</v>
      </c>
      <c r="BO336" s="468">
        <v>1</v>
      </c>
      <c r="BP336" s="469">
        <v>450</v>
      </c>
      <c r="BQ336" s="470">
        <f>Inputs!$D$39</f>
        <v>63</v>
      </c>
      <c r="BR336" s="461">
        <f>_xlfn.MINIFS($DE$70:$DE$149,$DG$70:$DG$149,"&gt;"&amp;Inputs!$H$74)</f>
        <v>16.499999999999996</v>
      </c>
      <c r="BS336" s="461">
        <f>_xlfn.MINIFS($DE$156:$DE$235,$DG$156:$DG$235,"&gt;"&amp;Inputs!$H$74)</f>
        <v>14.999999999999996</v>
      </c>
      <c r="BT336" s="462">
        <f>_xlfn.MINIFS($DE$242:$DE$321,$DG$242:$DG$321,"&gt;"&amp;Inputs!$H$74)</f>
        <v>14.999999999999996</v>
      </c>
      <c r="BU336" s="463">
        <f>IF(Inputs!$F$74&gt;MAX(Pile!$DG$70:$DG$149),999999,IF(Pile!BR336/(Pile!BP336/1000)&gt;50,999999,IF(Pile!BR336&lt;2,999999,Pile!BR336)))</f>
        <v>16.499999999999996</v>
      </c>
      <c r="BV336" s="464">
        <f>IF(Inputs!BR31="Yes",999999,IF(Pile!BS336/(Pile!BP336/1000)&gt;50,999999,IF(Pile!BS336&lt;2,999999,Pile!BS336)))</f>
        <v>14.999999999999996</v>
      </c>
      <c r="BW336" s="464">
        <f>IF(Inputs!$F$74&gt;MAX(Pile!$DG$242:$DG$321),999999,IF(Pile!BT336/(Pile!BP336/1000)&gt;50,999999,IF(Pile!BT336&lt;2,999999,IF(BT336&gt;25,999999,Pile!BT336))))</f>
        <v>14.999999999999996</v>
      </c>
      <c r="BX336" s="463">
        <f>IF(ISNUMBER(BU336),BQ336*(PI()*(BP336/2000)^2)*BU336,BU336)+CA336</f>
        <v>200.7628316474586</v>
      </c>
      <c r="BY336" s="464">
        <f>IF(ISNUMBER(BV336),BQ336*(PI()*(BP336/2000)^2)*BV336,BV336)+CA336</f>
        <v>185.73325604314417</v>
      </c>
      <c r="BZ336" s="465">
        <f>IF(ISNUMBER(BW336),BQ336*(PI()*(BP336/2000)^2)*BW336,BW336)+CA336</f>
        <v>185.73325604314417</v>
      </c>
      <c r="CA336" s="467">
        <f>BN336</f>
        <v>35.4375</v>
      </c>
      <c r="CB336" s="468">
        <v>1</v>
      </c>
      <c r="CC336" s="469">
        <v>450</v>
      </c>
      <c r="CD336" s="470">
        <f>Inputs!$D$39</f>
        <v>63</v>
      </c>
      <c r="CE336" s="461">
        <f>_xlfn.MINIFS($DE$70:$DE$149,$DG$70:$DG$149,"&gt;"&amp;Inputs!$H$81)</f>
        <v>13.499999999999996</v>
      </c>
      <c r="CF336" s="461">
        <f>_xlfn.MINIFS($DE$156:$DE$235,$DG$156:$DG$235,"&gt;"&amp;Inputs!$H$81)</f>
        <v>13.499999999999996</v>
      </c>
      <c r="CG336" s="462">
        <f>_xlfn.MINIFS($DE$242:$DE$321,$DG$242:$DG$321,"&gt;"&amp;Inputs!$H$81)</f>
        <v>13.499999999999996</v>
      </c>
      <c r="CH336" s="463">
        <f>IF(Inputs!$F$81&gt;MAX(Pile!$DG$70:$DG$149),999999,IF(Pile!CE336/(Pile!CC336/1000)&gt;50,999999,IF(Pile!CE336&lt;2,999999,Pile!CE336)))</f>
        <v>13.499999999999996</v>
      </c>
      <c r="CI336" s="464">
        <f>IF(Inputs!CE31="Yes",999999,IF(Pile!CF336/(Pile!CC336/1000)&gt;50,999999,IF(Pile!CF336&lt;2,999999,Pile!CF336)))</f>
        <v>13.499999999999996</v>
      </c>
      <c r="CJ336" s="464">
        <f>IF(Inputs!$F$81&gt;MAX(Pile!$DG$242:$DG$321),999999,IF(Pile!CG336/(Pile!CC336/1000)&gt;50,999999,IF(Pile!CG336&lt;2,999999,IF(CG336&gt;25,999999,Pile!CG336))))</f>
        <v>13.499999999999996</v>
      </c>
      <c r="CK336" s="463">
        <f>IF(ISNUMBER(CH336),CD336*(PI()*(CC336/2000)^2)*CH336,CH336)+CN336</f>
        <v>170.70368043882976</v>
      </c>
      <c r="CL336" s="464">
        <f>IF(ISNUMBER(CI336),CD336*(PI()*(CC336/2000)^2)*CI336,CI336)+CN336</f>
        <v>170.70368043882976</v>
      </c>
      <c r="CM336" s="465">
        <f>IF(ISNUMBER(CJ336),CD336*(PI()*(CC336/2000)^2)*CJ336,CJ336)+CN336</f>
        <v>170.70368043882976</v>
      </c>
      <c r="CN336" s="467">
        <f>CA336</f>
        <v>35.4375</v>
      </c>
      <c r="CO336" s="468">
        <v>1</v>
      </c>
      <c r="CP336" s="469">
        <v>450</v>
      </c>
      <c r="CQ336" s="470">
        <f>Inputs!$D$39</f>
        <v>63</v>
      </c>
      <c r="CR336" s="461">
        <f>_xlfn.MINIFS($DE$70:$DE$149,$DG$70:$DG$149,"&gt;"&amp;Inputs!$H$88)</f>
        <v>13.499999999999996</v>
      </c>
      <c r="CS336" s="461">
        <f>_xlfn.MINIFS($DE$156:$DE$235,$DG$156:$DG$235,"&gt;"&amp;Inputs!$H$88)</f>
        <v>13.499999999999996</v>
      </c>
      <c r="CT336" s="462">
        <f>_xlfn.MINIFS($DE$242:$DE$321,$DG$242:$DG$321,"&gt;"&amp;Inputs!$H$88)</f>
        <v>13.499999999999996</v>
      </c>
      <c r="CU336" s="463">
        <f>IF(Inputs!$F$88&gt;MAX(Pile!$DG$70:$DG$149),999999,IF(Pile!CR336/(Pile!CP336/1000)&gt;50,999999,IF(Pile!CR336&lt;2,999999,Pile!CR336)))</f>
        <v>13.499999999999996</v>
      </c>
      <c r="CV336" s="464">
        <f>IF(Inputs!CR31="Yes",999999,IF(Pile!CS336/(Pile!CP336/1000)&gt;50,999999,IF(Pile!CS336&lt;2,999999,Pile!CS336)))</f>
        <v>13.499999999999996</v>
      </c>
      <c r="CW336" s="464">
        <f>IF(Inputs!$F$88&gt;MAX(Pile!$DG$242:$DG$321),999999,IF(Pile!CT336/(Pile!CP336/1000)&gt;50,999999,IF(Pile!CT336&lt;2,999999,IF(CT336&gt;25,999999,Pile!CT336))))</f>
        <v>13.499999999999996</v>
      </c>
      <c r="CX336" s="463">
        <f>IF(ISNUMBER(CU336),CQ336*(PI()*(CP336/2000)^2)*CU336,CU336)+DA336</f>
        <v>170.70368043882976</v>
      </c>
      <c r="CY336" s="464">
        <f>IF(ISNUMBER(CV336),CQ336*(PI()*(CP336/2000)^2)*CV336,CV336)+DA336</f>
        <v>170.70368043882976</v>
      </c>
      <c r="CZ336" s="465">
        <f>IF(ISNUMBER(CW336),CQ336*(PI()*(CP336/2000)^2)*CW336,CW336)+DA336</f>
        <v>170.70368043882976</v>
      </c>
      <c r="DA336" s="467">
        <f>CN336</f>
        <v>35.4375</v>
      </c>
      <c r="DB336" s="468">
        <v>1</v>
      </c>
      <c r="DC336" s="469">
        <v>450</v>
      </c>
      <c r="DD336" s="470">
        <f>Inputs!$D$39</f>
        <v>63</v>
      </c>
      <c r="DE336" s="461">
        <f>_xlfn.MINIFS($DE$70:$DE$149,$DG$70:$DG$149,"&gt;"&amp;Inputs!$H$95)</f>
        <v>13.499999999999996</v>
      </c>
      <c r="DF336" s="461">
        <f>_xlfn.MINIFS($DE$156:$DE$235,$DG$156:$DG$235,"&gt;"&amp;Inputs!$H$95)</f>
        <v>13.499999999999996</v>
      </c>
      <c r="DG336" s="462">
        <f>_xlfn.MINIFS($DE$242:$DE$321,$DG$242:$DG$321,"&gt;"&amp;Inputs!$H$95)</f>
        <v>13.499999999999996</v>
      </c>
      <c r="DH336" s="463">
        <f>IF(Inputs!$F$95&gt;MAX(Pile!$DG$70:$DG$149),999999,IF(Pile!DE336/(Pile!DC336/1000)&gt;50,999999,IF(Pile!DE336&lt;2,999999,Pile!DE336)))</f>
        <v>13.499999999999996</v>
      </c>
      <c r="DI336" s="464">
        <f>IF(Inputs!DE31="Yes",999999,IF(Pile!DF336/(Pile!DC336/1000)&gt;50,999999,IF(Pile!DF336&lt;2,999999,Pile!DF336)))</f>
        <v>13.499999999999996</v>
      </c>
      <c r="DJ336" s="464">
        <f>IF(Inputs!$F$95&gt;MAX(Pile!$DG$242:$DG$321),999999,IF(Pile!DG336/(Pile!DC336/1000)&gt;50,999999,IF(Pile!DG336&lt;2,999999,IF(DG336&gt;25,999999,Pile!DG336))))</f>
        <v>13.499999999999996</v>
      </c>
      <c r="DK336" s="463">
        <f>IF(ISNUMBER(DH336),DD336*(PI()*(DC336/2000)^2)*DH336,DH336)+DN336</f>
        <v>170.70368043882976</v>
      </c>
      <c r="DL336" s="464">
        <f>IF(ISNUMBER(DI336),DD336*(PI()*(DC336/2000)^2)*DI336,DI336)+DN336</f>
        <v>170.70368043882976</v>
      </c>
      <c r="DM336" s="465">
        <f>IF(ISNUMBER(DJ336),DD336*(PI()*(DC336/2000)^2)*DJ336,DJ336)+DN336</f>
        <v>170.70368043882976</v>
      </c>
      <c r="DN336" s="467">
        <f>DA336</f>
        <v>35.4375</v>
      </c>
      <c r="DO336" s="468">
        <v>1</v>
      </c>
      <c r="DP336" s="469">
        <v>450</v>
      </c>
      <c r="DQ336" s="470">
        <f>Inputs!$D$39</f>
        <v>63</v>
      </c>
      <c r="DR336" s="461">
        <f>_xlfn.MINIFS($DE$70:$DE$149,$DG$70:$DG$149,"&gt;"&amp;Inputs!$H$102)</f>
        <v>13.499999999999996</v>
      </c>
      <c r="DS336" s="461">
        <f>_xlfn.MINIFS($DE$156:$DE$235,$DG$156:$DG$235,"&gt;"&amp;Inputs!$H$102)</f>
        <v>13.499999999999996</v>
      </c>
      <c r="DT336" s="462">
        <f>_xlfn.MINIFS($DE$242:$DE$321,$DG$242:$DG$321,"&gt;"&amp;Inputs!$H$102)</f>
        <v>13.499999999999996</v>
      </c>
      <c r="DU336" s="463">
        <f>IF(Inputs!$F$102&gt;MAX(Pile!$DG$70:$DG$149),999999,IF(Pile!DR336/(Pile!DP336/1000)&gt;50,999999,IF(Pile!DR336&lt;2,999999,Pile!DR336)))</f>
        <v>13.499999999999996</v>
      </c>
      <c r="DV336" s="464">
        <f>IF(Inputs!DR31="Yes",999999,IF(Pile!DS336/(Pile!DP336/1000)&gt;50,999999,IF(Pile!DS336&lt;2,999999,Pile!DS336)))</f>
        <v>13.499999999999996</v>
      </c>
      <c r="DW336" s="464">
        <f>IF(Inputs!$F$102&gt;MAX(Pile!$DG$242:$DG$321),999999,IF(Pile!DT336/(Pile!DP336/1000)&gt;50,999999,IF(Pile!DT336&lt;2,999999,IF(DT336&gt;25,999999,Pile!DT336))))</f>
        <v>13.499999999999996</v>
      </c>
      <c r="DX336" s="463">
        <f>IF(ISNUMBER(DU336),DQ336*(PI()*(DP336/2000)^2)*DU336,DU336)+EA336</f>
        <v>170.70368043882976</v>
      </c>
      <c r="DY336" s="464">
        <f>IF(ISNUMBER(DV336),DQ336*(PI()*(DP336/2000)^2)*DV336,DV336)+EA336</f>
        <v>170.70368043882976</v>
      </c>
      <c r="DZ336" s="465">
        <f>IF(ISNUMBER(DW336),DQ336*(PI()*(DP336/2000)^2)*DW336,DW336)+EA336</f>
        <v>170.70368043882976</v>
      </c>
      <c r="EA336" s="467">
        <f>DN336</f>
        <v>35.4375</v>
      </c>
      <c r="EB336" s="468">
        <v>1</v>
      </c>
      <c r="EC336" s="469">
        <v>450</v>
      </c>
      <c r="ED336" s="470">
        <f>Inputs!$D$39</f>
        <v>63</v>
      </c>
      <c r="EE336" s="461">
        <f>_xlfn.MINIFS($DE$70:$DE$149,$DG$70:$DG$149,"&gt;"&amp;Inputs!$H$109)</f>
        <v>13.499999999999996</v>
      </c>
      <c r="EF336" s="461">
        <f>_xlfn.MINIFS($DE$156:$DE$235,$DG$156:$DG$235,"&gt;"&amp;Inputs!$H$109)</f>
        <v>13.499999999999996</v>
      </c>
      <c r="EG336" s="462">
        <f>_xlfn.MINIFS($DE$242:$DE$321,$DG$242:$DG$321,"&gt;"&amp;Inputs!$H$109)</f>
        <v>13.499999999999996</v>
      </c>
      <c r="EH336" s="463">
        <f>IF(Inputs!$F$109&gt;MAX(Pile!$DG$70:$DG$149),999999,IF(Pile!EE336/(Pile!EC336/1000)&gt;50,999999,IF(Pile!EE336&lt;2,999999,Pile!EE336)))</f>
        <v>13.499999999999996</v>
      </c>
      <c r="EI336" s="464">
        <f>IF(Inputs!EE31="Yes",999999,IF(Pile!EF336/(Pile!EC336/1000)&gt;50,999999,IF(Pile!EF336&lt;2,999999,Pile!EF336)))</f>
        <v>13.499999999999996</v>
      </c>
      <c r="EJ336" s="464">
        <f>IF(Inputs!$F$109&gt;MAX(Pile!$DG$242:$DG$321),999999,IF(Pile!EG336/(Pile!EC336/1000)&gt;50,999999,IF(Pile!EG336&lt;2,999999,IF(EG336&gt;25,999999,Pile!EG336))))</f>
        <v>13.499999999999996</v>
      </c>
      <c r="EK336" s="463">
        <f>IF(ISNUMBER(EH336),ED336*(PI()*(EC336/2000)^2)*EH336,EH336)+EN336</f>
        <v>170.70368043882976</v>
      </c>
      <c r="EL336" s="464">
        <f>IF(ISNUMBER(EI336),ED336*(PI()*(EC336/2000)^2)*EI336,EI336)+EN336</f>
        <v>170.70368043882976</v>
      </c>
      <c r="EM336" s="465">
        <f>IF(ISNUMBER(EJ336),ED336*(PI()*(EC336/2000)^2)*EJ336,EJ336)+EN336</f>
        <v>170.70368043882976</v>
      </c>
      <c r="EN336" s="467">
        <f>EA336</f>
        <v>35.4375</v>
      </c>
      <c r="EO336" s="468">
        <v>1</v>
      </c>
      <c r="EP336" s="469">
        <v>450</v>
      </c>
      <c r="EQ336" s="470">
        <f>Inputs!$D$39</f>
        <v>63</v>
      </c>
      <c r="ER336" s="461">
        <f>_xlfn.MINIFS($DE$70:$DE$149,$DG$70:$DG$149,"&gt;"&amp;Inputs!$H$116)</f>
        <v>0.29999999999999982</v>
      </c>
      <c r="ES336" s="461">
        <f>_xlfn.MINIFS($DE$156:$DE$235,$DG$156:$DG$235,"&gt;"&amp;Inputs!$H$116)</f>
        <v>0.29999999999999982</v>
      </c>
      <c r="ET336" s="462">
        <f>_xlfn.MINIFS($DE$242:$DE$321,$DG$242:$DG$321,"&gt;"&amp;Inputs!$H$116)</f>
        <v>0.29999999999999982</v>
      </c>
      <c r="EU336" s="463">
        <f>IF(Inputs!$F$116&gt;MAX(Pile!$DG$70:$DG$149),999999,IF(Pile!ER336/(Pile!EP336/1000)&gt;50,999999,IF(Pile!ER336&lt;2,999999,Pile!ER336)))</f>
        <v>999999</v>
      </c>
      <c r="EV336" s="464">
        <f>IF(Inputs!ER31="Yes",999999,IF(Inputs!$F$116&gt;MAX(Pile!$DG$156:$DG$235),999999,IF(Pile!ES336/(Pile!EP336/1000)&gt;50,999999,IF(Pile!ES336&lt;2,999999,Pile!ES336))))</f>
        <v>999999</v>
      </c>
      <c r="EW336" s="464">
        <f>IF(Inputs!$F$116&gt;MAX(Pile!$DG$242:$DG$321),999999,IF(Pile!ET336/(Pile!EP336/1000)&gt;50,999999,IF(Pile!ET336&lt;2,999999,IF(ET336&gt;25,999999,Pile!ET336))))</f>
        <v>999999</v>
      </c>
      <c r="EX336" s="472">
        <f t="shared" ref="EX336:EX359" si="360">IF(ISNUMBER(EU336),EQ336*(PI()*(EP336/2000)^2)*EU336,EU336)</f>
        <v>10019707.049825877</v>
      </c>
      <c r="EY336" s="473">
        <f t="shared" ref="EY336:EY359" si="361">IF(ISNUMBER(EV336),EQ336*(PI()*(EP336/2000)^2)*EV336,EV336)</f>
        <v>10019707.049825877</v>
      </c>
      <c r="EZ336" s="474">
        <f t="shared" ref="EZ336:EZ359" si="362">IF(ISNUMBER(EW336),EQ336*(PI()*(EP336/2000)^2)*EW336,EW336)</f>
        <v>10019707.049825877</v>
      </c>
    </row>
    <row r="337" spans="1:156" ht="15">
      <c r="B337" s="475">
        <v>1</v>
      </c>
      <c r="C337" s="476">
        <v>600</v>
      </c>
      <c r="D337" s="460">
        <f>Inputs!$D$39</f>
        <v>63</v>
      </c>
      <c r="E337" s="461">
        <f>_xlfn.MINIFS($DE$70:$DE$149,$DH$70:$DH$149,"&gt;"&amp;Inputs!$H$39)</f>
        <v>13.499999999999996</v>
      </c>
      <c r="F337" s="461">
        <f>_xlfn.MINIFS($DE$156:$DE$235,$DH$156:$DH$235,"&gt;"&amp;Inputs!$H$39)</f>
        <v>13.499999999999996</v>
      </c>
      <c r="G337" s="462">
        <f>_xlfn.MINIFS($DE$242:$DE$321,$DH$242:$DH$321,"&gt;"&amp;Inputs!$H$39)</f>
        <v>13.499999999999996</v>
      </c>
      <c r="H337" s="477">
        <f>IF(Inputs!$F$39&gt;MAX(Pile!$DH$70:$DH$149),999999,IF(Pile!E337/(Pile!C337/1000)&gt;50,999999,IF(Pile!E337&lt;2,999999,Pile!E337)))</f>
        <v>13.499999999999996</v>
      </c>
      <c r="I337" s="461">
        <f>IF(Inputs!E32="Yes",999999,IF(Pile!F337/(Pile!C337/1000)&gt;50,999999,IF(Pile!F337&lt;2,999999,Pile!F337)))</f>
        <v>13.499999999999996</v>
      </c>
      <c r="J337" s="461">
        <f>IF(Inputs!$F$39&gt;MAX(Pile!$DH$242:$DH$321),999999,IF(Pile!G337/(Pile!C337/1000)&gt;50,999999,IF(Pile!G337&lt;2,999999,IF(G337&gt;25,999999,Pile!G337))))</f>
        <v>13.499999999999996</v>
      </c>
      <c r="K337" s="477">
        <f t="shared" ref="K337:K359" si="363">IF(ISNUMBER(H337),D337*(PI()*(C337/2000)^2)*H337,H337)+N337</f>
        <v>311.91520966903067</v>
      </c>
      <c r="L337" s="461">
        <f t="shared" ref="L337:L359" si="364">IF(ISNUMBER(I337),D337*(PI()*(C337/2000)^2)*I337,I337)+N337</f>
        <v>311.91520966903067</v>
      </c>
      <c r="M337" s="462">
        <f t="shared" ref="M337:M359" si="365">IF(ISNUMBER(J337),D337*(PI()*(C337/2000)^2)*J337,J337)+N337</f>
        <v>311.91520966903067</v>
      </c>
      <c r="N337" s="466">
        <f>Inputs!$D$39*D460</f>
        <v>71.441999999999993</v>
      </c>
      <c r="O337" s="475">
        <v>1</v>
      </c>
      <c r="P337" s="476">
        <v>600</v>
      </c>
      <c r="Q337" s="460">
        <f>Inputs!$D$39</f>
        <v>63</v>
      </c>
      <c r="R337" s="461">
        <f>_xlfn.MINIFS($DE$70:$DE$149,$DH$70:$DH$149,"&gt;"&amp;Inputs!$H$46)</f>
        <v>13.499999999999996</v>
      </c>
      <c r="S337" s="461">
        <f>_xlfn.MINIFS($DE$156:$DE$235,$DH$156:$DH$235,"&gt;"&amp;Inputs!$H$46)</f>
        <v>13.499999999999996</v>
      </c>
      <c r="T337" s="462">
        <f>_xlfn.MINIFS($DE$242:$DE$321,$DH$242:$DH$321,"&gt;"&amp;Inputs!$H$46)</f>
        <v>13.499999999999996</v>
      </c>
      <c r="U337" s="477">
        <f>IF(Inputs!$F$46&gt;MAX(Pile!$DH$70:$DH$149),999999,IF(Pile!R337/(Pile!P337/1000)&gt;50,999999,IF(Pile!R337&lt;2,999999,Pile!R337)))</f>
        <v>13.499999999999996</v>
      </c>
      <c r="V337" s="461">
        <f>IF(Inputs!R32="Yes",999999,IF(Pile!S337/(Pile!P337/1000)&gt;50,999999,IF(Pile!S337&lt;2,999999,Pile!S337)))</f>
        <v>13.499999999999996</v>
      </c>
      <c r="W337" s="461">
        <f>IF(Inputs!$F$46&gt;MAX(Pile!$DH$242:$DH$321),999999,IF(Pile!T337/(Pile!P337/1000)&gt;50,999999,IF(Pile!T337&lt;2,999999,IF(T337&gt;25,999999,Pile!T337))))</f>
        <v>13.499999999999996</v>
      </c>
      <c r="X337" s="477">
        <f t="shared" ref="X337:X359" si="366">IF(ISNUMBER(U337),Q337*(PI()*(P337/2000)^2)*U337,U337)+AA337</f>
        <v>311.91520966903067</v>
      </c>
      <c r="Y337" s="461">
        <f t="shared" ref="Y337:Y359" si="367">IF(ISNUMBER(V337),Q337*(PI()*(P337/2000)^2)*V337,V337)+AA337</f>
        <v>311.91520966903067</v>
      </c>
      <c r="Z337" s="462">
        <f t="shared" ref="Z337:Z359" si="368">IF(ISNUMBER(W337),Q337*(PI()*(P337/2000)^2)*W337,W337)+AA337</f>
        <v>311.91520966903067</v>
      </c>
      <c r="AA337" s="467">
        <f t="shared" ref="AA337:AA400" si="369">N337</f>
        <v>71.441999999999993</v>
      </c>
      <c r="AB337" s="478">
        <v>1</v>
      </c>
      <c r="AC337" s="479">
        <v>600</v>
      </c>
      <c r="AD337" s="470">
        <f>Inputs!$D$39</f>
        <v>63</v>
      </c>
      <c r="AE337" s="461">
        <f>_xlfn.MINIFS($DE$70:$DE$149,$DH$70:$DH$149,"&gt;"&amp;Inputs!$H$53)</f>
        <v>13.499999999999996</v>
      </c>
      <c r="AF337" s="461">
        <f>_xlfn.MINIFS($DE$156:$DE$235,$DH$156:$DH$235,"&gt;"&amp;Inputs!$H$53)</f>
        <v>13.499999999999996</v>
      </c>
      <c r="AG337" s="462">
        <f>_xlfn.MINIFS($DE$242:$DE$321,$DH$242:$DH$321,"&gt;"&amp;Inputs!$H$53)</f>
        <v>13.499999999999996</v>
      </c>
      <c r="AH337" s="477">
        <f>IF(Inputs!$F$53&gt;MAX(Pile!$DH$70:$DH$149),999999,IF(Pile!AE337/(Pile!AC337/1000)&gt;50,999999,IF(Pile!AE337&lt;2,999999,Pile!AE337)))</f>
        <v>13.499999999999996</v>
      </c>
      <c r="AI337" s="461">
        <f>IF(Inputs!AE32="Yes",999999,IF(Pile!AF337/(Pile!AC337/1000)&gt;50,999999,IF(Pile!AF337&lt;2,999999,Pile!AF337)))</f>
        <v>13.499999999999996</v>
      </c>
      <c r="AJ337" s="461">
        <f>IF(Inputs!$F$53&gt;MAX(Pile!$DH$242:$DH$321),999999,IF(Pile!AG337/(Pile!AC337/1000)&gt;50,999999,IF(Pile!AG337&lt;2,999999,IF(AG337&gt;25,999999,Pile!AG337))))</f>
        <v>13.499999999999996</v>
      </c>
      <c r="AK337" s="477">
        <f t="shared" ref="AK337:AK359" si="370">IF(ISNUMBER(AH337),AD337*(PI()*(AC337/2000)^2)*AH337,AH337)+AN337</f>
        <v>311.91520966903067</v>
      </c>
      <c r="AL337" s="461">
        <f t="shared" ref="AL337:AL359" si="371">IF(ISNUMBER(AI337),AD337*(PI()*(AC337/2000)^2)*AI337,AI337)+AN337</f>
        <v>311.91520966903067</v>
      </c>
      <c r="AM337" s="462">
        <f t="shared" ref="AM337:AM359" si="372">IF(ISNUMBER(AJ337),AD337*(PI()*(AC337/2000)^2)*AJ337,AJ337)+AN337</f>
        <v>311.91520966903067</v>
      </c>
      <c r="AN337" s="471">
        <f t="shared" ref="AN337:AN359" si="373">N337</f>
        <v>71.441999999999993</v>
      </c>
      <c r="AO337" s="478">
        <v>1</v>
      </c>
      <c r="AP337" s="479">
        <v>600</v>
      </c>
      <c r="AQ337" s="470">
        <f>Inputs!$D$39</f>
        <v>63</v>
      </c>
      <c r="AR337" s="461">
        <f>_xlfn.MINIFS($DE$70:$DE$149,$DH$70:$DH$149,"&gt;"&amp;Inputs!$H$60)</f>
        <v>13.499999999999996</v>
      </c>
      <c r="AS337" s="461">
        <f>_xlfn.MINIFS($DE$156:$DE$235,$DH$156:$DH$235,"&gt;"&amp;Inputs!$H$60)</f>
        <v>13.499999999999996</v>
      </c>
      <c r="AT337" s="462">
        <f>_xlfn.MINIFS($DE$242:$DE$321,$DH$242:$DH$321,"&gt;"&amp;Inputs!$H$60)</f>
        <v>13.499999999999996</v>
      </c>
      <c r="AU337" s="477">
        <f>IF(Inputs!$F$60&gt;MAX(Pile!$DH$70:$DH$149),999999,IF(Pile!AR337/(Pile!AP337/1000)&gt;50,999999,IF(Pile!AR337&lt;2,999999,Pile!AR337)))</f>
        <v>13.499999999999996</v>
      </c>
      <c r="AV337" s="461">
        <f>IF(Inputs!AR32="Yes",999999,IF(Pile!AS337/(Pile!AP337/1000)&gt;50,999999,IF(Pile!AS337&lt;2,999999,Pile!AS337)))</f>
        <v>13.499999999999996</v>
      </c>
      <c r="AW337" s="461">
        <f>IF(Inputs!$F$60&gt;MAX(Pile!$DH$242:$DH$321),999999,IF(Pile!AT337/(Pile!AP337/1000)&gt;50,999999,IF(Pile!AT337&lt;2,999999,IF(AT337&gt;25,999999,Pile!AT337))))</f>
        <v>13.499999999999996</v>
      </c>
      <c r="AX337" s="477">
        <f t="shared" ref="AX337:AX359" si="374">IF(ISNUMBER(AU337),AQ337*(PI()*(AP337/2000)^2)*AU337,AU337)+BA337</f>
        <v>311.91520966903067</v>
      </c>
      <c r="AY337" s="461">
        <f t="shared" ref="AY337:AY359" si="375">IF(ISNUMBER(AV337),AQ337*(PI()*(AP337/2000)^2)*AV337,AV337)+BA337</f>
        <v>311.91520966903067</v>
      </c>
      <c r="AZ337" s="462">
        <f t="shared" ref="AZ337:AZ359" si="376">IF(ISNUMBER(AW337),AQ337*(PI()*(AP337/2000)^2)*AW337,AW337)+BA337</f>
        <v>311.91520966903067</v>
      </c>
      <c r="BA337" s="467">
        <f t="shared" ref="BA337:BA359" si="377">AA337</f>
        <v>71.441999999999993</v>
      </c>
      <c r="BB337" s="478">
        <v>1</v>
      </c>
      <c r="BC337" s="479">
        <v>600</v>
      </c>
      <c r="BD337" s="470">
        <f>Inputs!$D$39</f>
        <v>63</v>
      </c>
      <c r="BE337" s="461">
        <f>_xlfn.MINIFS($DE$70:$DE$149,$DH$70:$DH$149,"&gt;"&amp;Inputs!$H$67)</f>
        <v>13.499999999999996</v>
      </c>
      <c r="BF337" s="461">
        <f>_xlfn.MINIFS($DE$156:$DE$235,$DH$156:$DH$235,"&gt;"&amp;Inputs!$H$67)</f>
        <v>13.499999999999996</v>
      </c>
      <c r="BG337" s="462">
        <f>_xlfn.MINIFS($DE$242:$DE$321,$DH$242:$DH$321,"&gt;"&amp;Inputs!$H$67)</f>
        <v>13.499999999999996</v>
      </c>
      <c r="BH337" s="477">
        <f>IF(Inputs!$F$67&gt;MAX(Pile!$DH$70:$DH$149),999999,IF(Pile!BE337/(Pile!BC337/1000)&gt;50,999999,IF(Pile!BE337&lt;2,999999,Pile!BE337)))</f>
        <v>13.499999999999996</v>
      </c>
      <c r="BI337" s="461">
        <f>IF(Inputs!BE32="Yes",999999,IF(Pile!BF337/(Pile!BC337/1000)&gt;50,999999,IF(Pile!BF337&lt;2,999999,Pile!BF337)))</f>
        <v>13.499999999999996</v>
      </c>
      <c r="BJ337" s="461">
        <f>IF(Inputs!$F$67&gt;MAX(Pile!$DH$242:$DH$321),999999,IF(Pile!BG337/(Pile!BC337/1000)&gt;50,999999,IF(Pile!BG337&lt;2,999999,IF(BG337&gt;25,999999,Pile!BG337))))</f>
        <v>13.499999999999996</v>
      </c>
      <c r="BK337" s="477">
        <f t="shared" ref="BK337:BK359" si="378">IF(ISNUMBER(BH337),BD337*(PI()*(BC337/2000)^2)*BH337,BH337)+BN337</f>
        <v>311.91520966903067</v>
      </c>
      <c r="BL337" s="461">
        <f t="shared" ref="BL337:BL359" si="379">IF(ISNUMBER(BI337),BD337*(PI()*(BC337/2000)^2)*BI337,BI337)+BN337</f>
        <v>311.91520966903067</v>
      </c>
      <c r="BM337" s="462">
        <f t="shared" ref="BM337:BM359" si="380">IF(ISNUMBER(BJ337),BD337*(PI()*(BC337/2000)^2)*BJ337,BJ337)+BN337</f>
        <v>311.91520966903067</v>
      </c>
      <c r="BN337" s="467">
        <f t="shared" ref="BN337:BN358" si="381">BA337</f>
        <v>71.441999999999993</v>
      </c>
      <c r="BO337" s="478">
        <v>1</v>
      </c>
      <c r="BP337" s="479">
        <v>600</v>
      </c>
      <c r="BQ337" s="470">
        <f>Inputs!$D$39</f>
        <v>63</v>
      </c>
      <c r="BR337" s="461">
        <f>_xlfn.MINIFS($DE$70:$DE$149,$DH$70:$DH$149,"&gt;"&amp;Inputs!$H$74)</f>
        <v>13.499999999999996</v>
      </c>
      <c r="BS337" s="461">
        <f>_xlfn.MINIFS($DE$156:$DE$235,$DH$156:$DH$235,"&gt;"&amp;Inputs!$H$74)</f>
        <v>13.499999999999996</v>
      </c>
      <c r="BT337" s="462">
        <f>_xlfn.MINIFS($DE$242:$DE$321,$DH$242:$DH$321,"&gt;"&amp;Inputs!$H$74)</f>
        <v>13.499999999999996</v>
      </c>
      <c r="BU337" s="477">
        <f>IF(Inputs!$F$74&gt;MAX(Pile!$DH$70:$DH$149),999999,IF(Pile!BR337/(Pile!BP337/1000)&gt;50,999999,IF(Pile!BR337&lt;2,999999,Pile!BR337)))</f>
        <v>13.499999999999996</v>
      </c>
      <c r="BV337" s="461">
        <f>IF(Inputs!BR32="Yes",999999,IF(Pile!BS337/(Pile!BP337/1000)&gt;50,999999,IF(Pile!BS337&lt;2,999999,Pile!BS337)))</f>
        <v>13.499999999999996</v>
      </c>
      <c r="BW337" s="461">
        <f>IF(Inputs!$F$74&gt;MAX(Pile!$DH$242:$DH$321),999999,IF(Pile!BT337/(Pile!BP337/1000)&gt;50,999999,IF(Pile!BT337&lt;2,999999,IF(BT337&gt;25,999999,Pile!BT337))))</f>
        <v>13.499999999999996</v>
      </c>
      <c r="BX337" s="477">
        <f t="shared" ref="BX337:BX359" si="382">IF(ISNUMBER(BU337),BQ337*(PI()*(BP337/2000)^2)*BU337,BU337)+CA337</f>
        <v>311.91520966903067</v>
      </c>
      <c r="BY337" s="461">
        <f t="shared" ref="BY337:BY359" si="383">IF(ISNUMBER(BV337),BQ337*(PI()*(BP337/2000)^2)*BV337,BV337)+CA337</f>
        <v>311.91520966903067</v>
      </c>
      <c r="BZ337" s="462">
        <f t="shared" ref="BZ337:BZ359" si="384">IF(ISNUMBER(BW337),BQ337*(PI()*(BP337/2000)^2)*BW337,BW337)+CA337</f>
        <v>311.91520966903067</v>
      </c>
      <c r="CA337" s="467">
        <f t="shared" ref="CA337:CA359" si="385">BN337</f>
        <v>71.441999999999993</v>
      </c>
      <c r="CB337" s="478">
        <v>1</v>
      </c>
      <c r="CC337" s="479">
        <v>600</v>
      </c>
      <c r="CD337" s="470">
        <f>Inputs!$D$39</f>
        <v>63</v>
      </c>
      <c r="CE337" s="461">
        <f>_xlfn.MINIFS($DE$70:$DE$149,$DH$70:$DH$149,"&gt;"&amp;Inputs!$H$81)</f>
        <v>13.499999999999996</v>
      </c>
      <c r="CF337" s="461">
        <f>_xlfn.MINIFS($DE$156:$DE$235,$DH$156:$DH$235,"&gt;"&amp;Inputs!$H$81)</f>
        <v>13.499999999999996</v>
      </c>
      <c r="CG337" s="462">
        <f>_xlfn.MINIFS($DE$242:$DE$321,$DH$242:$DH$321,"&gt;"&amp;Inputs!$H$81)</f>
        <v>13.499999999999996</v>
      </c>
      <c r="CH337" s="477">
        <f>IF(Inputs!$F$81&gt;MAX(Pile!$DH$70:$DH$149),999999,IF(Pile!CE337/(Pile!CC337/1000)&gt;50,999999,IF(Pile!CE337&lt;2,999999,Pile!CE337)))</f>
        <v>13.499999999999996</v>
      </c>
      <c r="CI337" s="461">
        <f>IF(Inputs!CE32="Yes",999999,IF(Pile!CF337/(Pile!CC337/1000)&gt;50,999999,IF(Pile!CF337&lt;2,999999,Pile!CF337)))</f>
        <v>13.499999999999996</v>
      </c>
      <c r="CJ337" s="461">
        <f>IF(Inputs!$F$81&gt;MAX(Pile!$DH$242:$DH$321),999999,IF(Pile!CG337/(Pile!CC337/1000)&gt;50,999999,IF(Pile!CG337&lt;2,999999,IF(CG337&gt;25,999999,Pile!CG337))))</f>
        <v>13.499999999999996</v>
      </c>
      <c r="CK337" s="477">
        <f t="shared" ref="CK337:CK359" si="386">IF(ISNUMBER(CH337),CD337*(PI()*(CC337/2000)^2)*CH337,CH337)+CN337</f>
        <v>311.91520966903067</v>
      </c>
      <c r="CL337" s="461">
        <f t="shared" ref="CL337:CL359" si="387">IF(ISNUMBER(CI337),CD337*(PI()*(CC337/2000)^2)*CI337,CI337)+CN337</f>
        <v>311.91520966903067</v>
      </c>
      <c r="CM337" s="462">
        <f t="shared" ref="CM337:CM359" si="388">IF(ISNUMBER(CJ337),CD337*(PI()*(CC337/2000)^2)*CJ337,CJ337)+CN337</f>
        <v>311.91520966903067</v>
      </c>
      <c r="CN337" s="467">
        <f t="shared" ref="CN337:CN359" si="389">CA337</f>
        <v>71.441999999999993</v>
      </c>
      <c r="CO337" s="478">
        <v>1</v>
      </c>
      <c r="CP337" s="479">
        <v>600</v>
      </c>
      <c r="CQ337" s="470">
        <f>Inputs!$D$39</f>
        <v>63</v>
      </c>
      <c r="CR337" s="461">
        <f>_xlfn.MINIFS($DE$70:$DE$149,$DH$70:$DH$149,"&gt;"&amp;Inputs!$H$88)</f>
        <v>13.499999999999996</v>
      </c>
      <c r="CS337" s="461">
        <f>_xlfn.MINIFS($DE$156:$DE$235,$DH$156:$DH$235,"&gt;"&amp;Inputs!$H$88)</f>
        <v>13.499999999999996</v>
      </c>
      <c r="CT337" s="462">
        <f>_xlfn.MINIFS($DE$242:$DE$321,$DH$242:$DH$321,"&gt;"&amp;Inputs!$H$88)</f>
        <v>13.499999999999996</v>
      </c>
      <c r="CU337" s="477">
        <f>IF(Inputs!$F$88&gt;MAX(Pile!$DH$70:$DH$149),999999,IF(Pile!CR337/(Pile!CP337/1000)&gt;50,999999,IF(Pile!CR337&lt;2,999999,Pile!CR337)))</f>
        <v>13.499999999999996</v>
      </c>
      <c r="CV337" s="461">
        <f>IF(Inputs!CR32="Yes",999999,IF(Pile!CS337/(Pile!CP337/1000)&gt;50,999999,IF(Pile!CS337&lt;2,999999,Pile!CS337)))</f>
        <v>13.499999999999996</v>
      </c>
      <c r="CW337" s="461">
        <f>IF(Inputs!$F$88&gt;MAX(Pile!$DH$242:$DH$321),999999,IF(Pile!CT337/(Pile!CP337/1000)&gt;50,999999,IF(Pile!CT337&lt;2,999999,IF(CT337&gt;25,999999,Pile!CT337))))</f>
        <v>13.499999999999996</v>
      </c>
      <c r="CX337" s="477">
        <f t="shared" ref="CX337:CX359" si="390">IF(ISNUMBER(CU337),CQ337*(PI()*(CP337/2000)^2)*CU337,CU337)+DA337</f>
        <v>311.91520966903067</v>
      </c>
      <c r="CY337" s="461">
        <f t="shared" ref="CY337:CY359" si="391">IF(ISNUMBER(CV337),CQ337*(PI()*(CP337/2000)^2)*CV337,CV337)+DA337</f>
        <v>311.91520966903067</v>
      </c>
      <c r="CZ337" s="462">
        <f t="shared" ref="CZ337:CZ359" si="392">IF(ISNUMBER(CW337),CQ337*(PI()*(CP337/2000)^2)*CW337,CW337)+DA337</f>
        <v>311.91520966903067</v>
      </c>
      <c r="DA337" s="467">
        <f t="shared" ref="DA337:DA359" si="393">CN337</f>
        <v>71.441999999999993</v>
      </c>
      <c r="DB337" s="478">
        <v>1</v>
      </c>
      <c r="DC337" s="479">
        <v>600</v>
      </c>
      <c r="DD337" s="470">
        <f>Inputs!$D$39</f>
        <v>63</v>
      </c>
      <c r="DE337" s="461">
        <f>_xlfn.MINIFS($DE$70:$DE$149,$DH$70:$DH$149,"&gt;"&amp;Inputs!$H$95)</f>
        <v>13.499999999999996</v>
      </c>
      <c r="DF337" s="461">
        <f>_xlfn.MINIFS($DE$156:$DE$235,$DH$156:$DH$235,"&gt;"&amp;Inputs!$H$95)</f>
        <v>13.499999999999996</v>
      </c>
      <c r="DG337" s="462">
        <f>_xlfn.MINIFS($DE$242:$DE$321,$DH$242:$DH$321,"&gt;"&amp;Inputs!$H$95)</f>
        <v>13.499999999999996</v>
      </c>
      <c r="DH337" s="477">
        <f>IF(Inputs!$F$95&gt;MAX(Pile!$DH$70:$DH$149),999999,IF(Pile!DE337/(Pile!DC337/1000)&gt;50,999999,IF(Pile!DE337&lt;2,999999,Pile!DE337)))</f>
        <v>13.499999999999996</v>
      </c>
      <c r="DI337" s="461">
        <f>IF(Inputs!DE32="Yes",999999,IF(Pile!DF337/(Pile!DC337/1000)&gt;50,999999,IF(Pile!DF337&lt;2,999999,Pile!DF337)))</f>
        <v>13.499999999999996</v>
      </c>
      <c r="DJ337" s="461">
        <f>IF(Inputs!$F$95&gt;MAX(Pile!$DH$242:$DH$321),999999,IF(Pile!DG337/(Pile!DC337/1000)&gt;50,999999,IF(Pile!DG337&lt;2,999999,IF(DG337&gt;25,999999,Pile!DG337))))</f>
        <v>13.499999999999996</v>
      </c>
      <c r="DK337" s="477">
        <f t="shared" ref="DK337:DK359" si="394">IF(ISNUMBER(DH337),DD337*(PI()*(DC337/2000)^2)*DH337,DH337)+DN337</f>
        <v>311.91520966903067</v>
      </c>
      <c r="DL337" s="461">
        <f t="shared" ref="DL337:DL359" si="395">IF(ISNUMBER(DI337),DD337*(PI()*(DC337/2000)^2)*DI337,DI337)+DN337</f>
        <v>311.91520966903067</v>
      </c>
      <c r="DM337" s="462">
        <f t="shared" ref="DM337:DM359" si="396">IF(ISNUMBER(DJ337),DD337*(PI()*(DC337/2000)^2)*DJ337,DJ337)+DN337</f>
        <v>311.91520966903067</v>
      </c>
      <c r="DN337" s="467">
        <f t="shared" ref="DN337:DN359" si="397">DA337</f>
        <v>71.441999999999993</v>
      </c>
      <c r="DO337" s="478">
        <v>1</v>
      </c>
      <c r="DP337" s="479">
        <v>600</v>
      </c>
      <c r="DQ337" s="470">
        <f>Inputs!$D$39</f>
        <v>63</v>
      </c>
      <c r="DR337" s="461">
        <f>_xlfn.MINIFS($DE$70:$DE$149,$DH$70:$DH$149,"&gt;"&amp;Inputs!$H$102)</f>
        <v>13.499999999999996</v>
      </c>
      <c r="DS337" s="461">
        <f>_xlfn.MINIFS($DE$156:$DE$235,$DH$156:$DH$235,"&gt;"&amp;Inputs!$H$102)</f>
        <v>5.9999999999999982</v>
      </c>
      <c r="DT337" s="462">
        <f>_xlfn.MINIFS($DE$242:$DE$321,$DH$242:$DH$321,"&gt;"&amp;Inputs!$H$102)</f>
        <v>13.499999999999996</v>
      </c>
      <c r="DU337" s="477">
        <f>IF(Inputs!$F$102&gt;MAX(Pile!$DH$70:$DH$149),999999,IF(Pile!DR337/(Pile!DP337/1000)&gt;50,999999,IF(Pile!DR337&lt;2,999999,Pile!DR337)))</f>
        <v>13.499999999999996</v>
      </c>
      <c r="DV337" s="461">
        <f>IF(Inputs!DR32="Yes",999999,IF(Pile!DS337/(Pile!DP337/1000)&gt;50,999999,IF(Pile!DS337&lt;2,999999,Pile!DS337)))</f>
        <v>5.9999999999999982</v>
      </c>
      <c r="DW337" s="461">
        <f>IF(Inputs!$F$102&gt;MAX(Pile!$DH$242:$DH$321),999999,IF(Pile!DT337/(Pile!DP337/1000)&gt;50,999999,IF(Pile!DT337&lt;2,999999,IF(DT337&gt;25,999999,Pile!DT337))))</f>
        <v>13.499999999999996</v>
      </c>
      <c r="DX337" s="477">
        <f t="shared" ref="DX337:DX359" si="398">IF(ISNUMBER(DU337),DQ337*(PI()*(DP337/2000)^2)*DU337,DU337)+EA337</f>
        <v>311.91520966903067</v>
      </c>
      <c r="DY337" s="461">
        <f t="shared" ref="DY337:DY359" si="399">IF(ISNUMBER(DV337),DQ337*(PI()*(DP337/2000)^2)*DV337,DV337)+EA337</f>
        <v>178.31898207512472</v>
      </c>
      <c r="DZ337" s="462">
        <f t="shared" ref="DZ337:DZ359" si="400">IF(ISNUMBER(DW337),DQ337*(PI()*(DP337/2000)^2)*DW337,DW337)+EA337</f>
        <v>311.91520966903067</v>
      </c>
      <c r="EA337" s="467">
        <f t="shared" ref="EA337:EA359" si="401">DN337</f>
        <v>71.441999999999993</v>
      </c>
      <c r="EB337" s="478">
        <v>1</v>
      </c>
      <c r="EC337" s="479">
        <v>600</v>
      </c>
      <c r="ED337" s="470">
        <f>Inputs!$D$39</f>
        <v>63</v>
      </c>
      <c r="EE337" s="461">
        <f>_xlfn.MINIFS($DE$70:$DE$149,$DH$70:$DH$149,"&gt;"&amp;Inputs!$H$109)</f>
        <v>13.499999999999996</v>
      </c>
      <c r="EF337" s="461">
        <f>_xlfn.MINIFS($DE$156:$DE$235,$DH$156:$DH$235,"&gt;"&amp;Inputs!$H$109)</f>
        <v>11.099999999999996</v>
      </c>
      <c r="EG337" s="462">
        <f>_xlfn.MINIFS($DE$242:$DE$321,$DH$242:$DH$321,"&gt;"&amp;Inputs!$H$109)</f>
        <v>13.499999999999996</v>
      </c>
      <c r="EH337" s="477">
        <f>IF(Inputs!$F$109&gt;MAX(Pile!$DH$70:$DH$149),999999,IF(Pile!EE337/(Pile!EC337/1000)&gt;50,999999,IF(Pile!EE337&lt;2,999999,Pile!EE337)))</f>
        <v>13.499999999999996</v>
      </c>
      <c r="EI337" s="461">
        <f>IF(Inputs!EE32="Yes",999999,IF(Pile!EF337/(Pile!EC337/1000)&gt;50,999999,IF(Pile!EF337&lt;2,999999,Pile!EF337)))</f>
        <v>11.099999999999996</v>
      </c>
      <c r="EJ337" s="461">
        <f>IF(Inputs!$F$109&gt;MAX(Pile!$DH$242:$DH$321),999999,IF(Pile!EG337/(Pile!EC337/1000)&gt;50,999999,IF(Pile!EG337&lt;2,999999,IF(EG337&gt;25,999999,Pile!EG337))))</f>
        <v>13.499999999999996</v>
      </c>
      <c r="EK337" s="477">
        <f t="shared" ref="EK337:EK359" si="402">IF(ISNUMBER(EH337),ED337*(PI()*(EC337/2000)^2)*EH337,EH337)+EN337</f>
        <v>311.91520966903067</v>
      </c>
      <c r="EL337" s="461">
        <f t="shared" ref="EL337:EL359" si="403">IF(ISNUMBER(EI337),ED337*(PI()*(EC337/2000)^2)*EI337,EI337)+EN337</f>
        <v>269.16441683898074</v>
      </c>
      <c r="EM337" s="462">
        <f t="shared" ref="EM337:EM359" si="404">IF(ISNUMBER(EJ337),ED337*(PI()*(EC337/2000)^2)*EJ337,EJ337)+EN337</f>
        <v>311.91520966903067</v>
      </c>
      <c r="EN337" s="467">
        <f t="shared" ref="EN337:EN359" si="405">EA337</f>
        <v>71.441999999999993</v>
      </c>
      <c r="EO337" s="478">
        <v>1</v>
      </c>
      <c r="EP337" s="479">
        <v>600</v>
      </c>
      <c r="EQ337" s="470">
        <f>Inputs!$D$39</f>
        <v>63</v>
      </c>
      <c r="ER337" s="461">
        <f>_xlfn.MINIFS($DE$70:$DE$149,$DH$70:$DH$149,"&gt;"&amp;Inputs!$H$116)</f>
        <v>0.29999999999999982</v>
      </c>
      <c r="ES337" s="461">
        <f>_xlfn.MINIFS($DE$156:$DE$235,$DH$156:$DH$235,"&gt;"&amp;Inputs!$H$116)</f>
        <v>0.29999999999999982</v>
      </c>
      <c r="ET337" s="462">
        <f>_xlfn.MINIFS($DE$242:$DE$321,$DH$242:$DH$321,"&gt;"&amp;Inputs!$H$116)</f>
        <v>0.29999999999999982</v>
      </c>
      <c r="EU337" s="477">
        <f>IF(Inputs!$F$116&gt;MAX(Pile!$DH$70:$DH$149),999999,IF(Pile!ER337/(Pile!EP337/1000)&gt;50,999999,IF(Pile!ER337&lt;2,999999,Pile!ER337)))</f>
        <v>999999</v>
      </c>
      <c r="EV337" s="461">
        <f>IF(Inputs!ER32="Yes",999999,IF(Inputs!$F$116&gt;MAX(Pile!$DG$156:$DG$235),999999,IF(Pile!ES337/(Pile!EP337/1000)&gt;50,999999,IF(Pile!ES337&lt;2,999999,Pile!ES337))))</f>
        <v>999999</v>
      </c>
      <c r="EW337" s="461">
        <f>IF(Inputs!$F$116&gt;MAX(Pile!$DH$242:$DH$321),999999,IF(Pile!ET337/(Pile!EP337/1000)&gt;50,999999,IF(Pile!ET337&lt;2,999999,IF(ET337&gt;25,999999,Pile!ET337))))</f>
        <v>999999</v>
      </c>
      <c r="EX337" s="480">
        <f t="shared" si="360"/>
        <v>17812812.533023782</v>
      </c>
      <c r="EY337" s="481">
        <f t="shared" si="361"/>
        <v>17812812.533023782</v>
      </c>
      <c r="EZ337" s="482">
        <f t="shared" si="362"/>
        <v>17812812.533023782</v>
      </c>
    </row>
    <row r="338" spans="1:156" ht="15">
      <c r="A338" s="437"/>
      <c r="B338" s="475">
        <v>1</v>
      </c>
      <c r="C338" s="476">
        <v>750</v>
      </c>
      <c r="D338" s="460">
        <f>Inputs!$D$39</f>
        <v>63</v>
      </c>
      <c r="E338" s="461">
        <f>_xlfn.MINIFS($DE$70:$DE$149,$DI$70:$DI$149,"&gt;"&amp;Inputs!$H$39)</f>
        <v>13.499999999999996</v>
      </c>
      <c r="F338" s="461">
        <f>_xlfn.MINIFS($DE$156:$DE$235,$DI$156:$DI$235,"&gt;"&amp;Inputs!$H$39)</f>
        <v>13.499999999999996</v>
      </c>
      <c r="G338" s="462">
        <f>_xlfn.MINIFS($DE$242:$DE$321,$DI$242:$DI$321,"&gt;"&amp;Inputs!$H$39)</f>
        <v>13.499999999999996</v>
      </c>
      <c r="H338" s="477">
        <f>IF(Inputs!$F$39&gt;MAX(Pile!$DI$70:$DI$149),999999,IF(Pile!E338/(Pile!C338/1000)&gt;50,999999,IF(Pile!E338&lt;2,999999,Pile!E338)))</f>
        <v>13.499999999999996</v>
      </c>
      <c r="I338" s="461">
        <f>IF(Inputs!E33="Yes",999999,IF(Pile!F338/(Pile!C338/1000)&gt;50,999999,IF(Pile!F338&lt;2,999999,Pile!F338)))</f>
        <v>13.499999999999996</v>
      </c>
      <c r="J338" s="461">
        <f>IF(Inputs!$F$39&gt;MAX(Pile!$DI$242:$DI$321),999999,IF(Pile!G338/(Pile!C338/1000)&gt;50,999999,IF(Pile!G338&lt;2,999999,IF(G338&gt;25,999999,Pile!G338))))</f>
        <v>13.499999999999996</v>
      </c>
      <c r="K338" s="477">
        <f t="shared" si="363"/>
        <v>500.76289010786041</v>
      </c>
      <c r="L338" s="461">
        <f t="shared" si="364"/>
        <v>500.76289010786041</v>
      </c>
      <c r="M338" s="462">
        <f t="shared" si="365"/>
        <v>500.76289010786041</v>
      </c>
      <c r="N338" s="466">
        <f>Inputs!$D$39*D461</f>
        <v>125.02350000000001</v>
      </c>
      <c r="O338" s="475">
        <v>1</v>
      </c>
      <c r="P338" s="476">
        <v>750</v>
      </c>
      <c r="Q338" s="460">
        <f>Inputs!$D$39</f>
        <v>63</v>
      </c>
      <c r="R338" s="461">
        <f>_xlfn.MINIFS($DE$70:$DE$149,$DI$70:$DI$149,"&gt;"&amp;Inputs!$H$46)</f>
        <v>13.499999999999996</v>
      </c>
      <c r="S338" s="461">
        <f>_xlfn.MINIFS($DE$156:$DE$235,$DI$156:$DI$235,"&gt;"&amp;Inputs!$H$46)</f>
        <v>13.499999999999996</v>
      </c>
      <c r="T338" s="462">
        <f>_xlfn.MINIFS($DE$242:$DE$321,$DI$242:$DI$321,"&gt;"&amp;Inputs!$H$46)</f>
        <v>13.499999999999996</v>
      </c>
      <c r="U338" s="477">
        <f>IF(Inputs!$F$46&gt;MAX(Pile!$DI$70:$DI$149),999999,IF(Pile!R338/(Pile!P338/1000)&gt;50,999999,IF(Pile!R338&lt;2,999999,Pile!R338)))</f>
        <v>13.499999999999996</v>
      </c>
      <c r="V338" s="461">
        <f>IF(Inputs!R33="Yes",999999,IF(Pile!S338/(Pile!P338/1000)&gt;50,999999,IF(Pile!S338&lt;2,999999,Pile!S338)))</f>
        <v>13.499999999999996</v>
      </c>
      <c r="W338" s="461">
        <f>IF(Inputs!$F$46&gt;MAX(Pile!$DI$242:$DI$321),999999,IF(Pile!T338/(Pile!P338/1000)&gt;50,999999,IF(Pile!T338&lt;2,999999,IF(T338&gt;25,999999,Pile!T338))))</f>
        <v>13.499999999999996</v>
      </c>
      <c r="X338" s="477">
        <f t="shared" si="366"/>
        <v>500.76289010786041</v>
      </c>
      <c r="Y338" s="461">
        <f t="shared" si="367"/>
        <v>500.76289010786041</v>
      </c>
      <c r="Z338" s="462">
        <f t="shared" si="368"/>
        <v>500.76289010786041</v>
      </c>
      <c r="AA338" s="467">
        <f t="shared" si="369"/>
        <v>125.02350000000001</v>
      </c>
      <c r="AB338" s="478">
        <v>1</v>
      </c>
      <c r="AC338" s="479">
        <v>750</v>
      </c>
      <c r="AD338" s="470">
        <f>Inputs!$D$39</f>
        <v>63</v>
      </c>
      <c r="AE338" s="461">
        <f>_xlfn.MINIFS($DE$70:$DE$149,$DI$70:$DI$149,"&gt;"&amp;Inputs!$H$53)</f>
        <v>13.499999999999996</v>
      </c>
      <c r="AF338" s="461">
        <f>_xlfn.MINIFS($DE$156:$DE$235,$DI$156:$DI$235,"&gt;"&amp;Inputs!$H$53)</f>
        <v>13.499999999999996</v>
      </c>
      <c r="AG338" s="462">
        <f>_xlfn.MINIFS($DE$242:$DE$321,$DI$242:$DI$321,"&gt;"&amp;Inputs!$H$53)</f>
        <v>13.499999999999996</v>
      </c>
      <c r="AH338" s="477">
        <f>IF(Inputs!$F$53&gt;MAX(Pile!$DI$70:$DI$149),999999,IF(Pile!AE338/(Pile!AC338/1000)&gt;50,999999,IF(Pile!AE338&lt;2,999999,Pile!AE338)))</f>
        <v>13.499999999999996</v>
      </c>
      <c r="AI338" s="461">
        <f>IF(Inputs!AE33="Yes",999999,IF(Pile!AF338/(Pile!AC338/1000)&gt;50,999999,IF(Pile!AF338&lt;2,999999,Pile!AF338)))</f>
        <v>13.499999999999996</v>
      </c>
      <c r="AJ338" s="461">
        <f>IF(Inputs!$F$53&gt;MAX(Pile!$DI$242:$DI$321),999999,IF(Pile!AG338/(Pile!AC338/1000)&gt;50,999999,IF(Pile!AG338&lt;2,999999,IF(AG338&gt;25,999999,Pile!AG338))))</f>
        <v>13.499999999999996</v>
      </c>
      <c r="AK338" s="477">
        <f t="shared" si="370"/>
        <v>500.76289010786041</v>
      </c>
      <c r="AL338" s="461">
        <f t="shared" si="371"/>
        <v>500.76289010786041</v>
      </c>
      <c r="AM338" s="462">
        <f t="shared" si="372"/>
        <v>500.76289010786041</v>
      </c>
      <c r="AN338" s="471">
        <f t="shared" si="373"/>
        <v>125.02350000000001</v>
      </c>
      <c r="AO338" s="478">
        <v>1</v>
      </c>
      <c r="AP338" s="479">
        <v>750</v>
      </c>
      <c r="AQ338" s="470">
        <f>Inputs!$D$39</f>
        <v>63</v>
      </c>
      <c r="AR338" s="461">
        <f>_xlfn.MINIFS($DE$70:$DE$149,$DI$70:$DI$149,"&gt;"&amp;Inputs!$H$60)</f>
        <v>13.499999999999996</v>
      </c>
      <c r="AS338" s="461">
        <f>_xlfn.MINIFS($DE$156:$DE$235,$DI$156:$DI$235,"&gt;"&amp;Inputs!$H$60)</f>
        <v>13.499999999999996</v>
      </c>
      <c r="AT338" s="462">
        <f>_xlfn.MINIFS($DE$242:$DE$321,$DI$242:$DI$321,"&gt;"&amp;Inputs!$H$60)</f>
        <v>13.499999999999996</v>
      </c>
      <c r="AU338" s="477">
        <f>IF(Inputs!$F$60&gt;MAX(Pile!$DI$70:$DI$149),999999,IF(Pile!AR338/(Pile!AP338/1000)&gt;50,999999,IF(Pile!AR338&lt;2,999999,Pile!AR338)))</f>
        <v>13.499999999999996</v>
      </c>
      <c r="AV338" s="461">
        <f>IF(Inputs!AR33="Yes",999999,IF(Pile!AS338/(Pile!AP338/1000)&gt;50,999999,IF(Pile!AS338&lt;2,999999,Pile!AS338)))</f>
        <v>13.499999999999996</v>
      </c>
      <c r="AW338" s="461">
        <f>IF(Inputs!$F$60&gt;MAX(Pile!$DI$242:$DI$321),999999,IF(Pile!AT338/(Pile!AP338/1000)&gt;50,999999,IF(Pile!AT338&lt;2,999999,IF(AT338&gt;25,999999,Pile!AT338))))</f>
        <v>13.499999999999996</v>
      </c>
      <c r="AX338" s="477">
        <f t="shared" si="374"/>
        <v>500.76289010786041</v>
      </c>
      <c r="AY338" s="461">
        <f t="shared" si="375"/>
        <v>500.76289010786041</v>
      </c>
      <c r="AZ338" s="462">
        <f t="shared" si="376"/>
        <v>500.76289010786041</v>
      </c>
      <c r="BA338" s="467">
        <f t="shared" si="377"/>
        <v>125.02350000000001</v>
      </c>
      <c r="BB338" s="478">
        <v>1</v>
      </c>
      <c r="BC338" s="479">
        <v>750</v>
      </c>
      <c r="BD338" s="470">
        <f>Inputs!$D$39</f>
        <v>63</v>
      </c>
      <c r="BE338" s="461">
        <f>_xlfn.MINIFS($DE$70:$DE$149,$DI$70:$DI$149,"&gt;"&amp;Inputs!$H$67)</f>
        <v>13.499999999999996</v>
      </c>
      <c r="BF338" s="461">
        <f>_xlfn.MINIFS($DE$156:$DE$235,$DI$156:$DI$235,"&gt;"&amp;Inputs!$H$67)</f>
        <v>13.499999999999996</v>
      </c>
      <c r="BG338" s="462">
        <f>_xlfn.MINIFS($DE$242:$DE$321,$DI$242:$DI$321,"&gt;"&amp;Inputs!$H$67)</f>
        <v>13.499999999999996</v>
      </c>
      <c r="BH338" s="477">
        <f>IF(Inputs!$F$67&gt;MAX(Pile!$DI$70:$DI$149),999999,IF(Pile!BE338/(Pile!BC338/1000)&gt;50,999999,IF(Pile!BE338&lt;2,999999,Pile!BE338)))</f>
        <v>13.499999999999996</v>
      </c>
      <c r="BI338" s="461">
        <f>IF(Inputs!BE33="Yes",999999,IF(Pile!BF338/(Pile!BC338/1000)&gt;50,999999,IF(Pile!BF338&lt;2,999999,Pile!BF338)))</f>
        <v>13.499999999999996</v>
      </c>
      <c r="BJ338" s="461">
        <f>IF(Inputs!$F$67&gt;MAX(Pile!$DI$242:$DI$321),999999,IF(Pile!BG338/(Pile!BC338/1000)&gt;50,999999,IF(Pile!BG338&lt;2,999999,IF(BG338&gt;25,999999,Pile!BG338))))</f>
        <v>13.499999999999996</v>
      </c>
      <c r="BK338" s="477">
        <f t="shared" si="378"/>
        <v>500.76289010786041</v>
      </c>
      <c r="BL338" s="461">
        <f t="shared" si="379"/>
        <v>500.76289010786041</v>
      </c>
      <c r="BM338" s="462">
        <f t="shared" si="380"/>
        <v>500.76289010786041</v>
      </c>
      <c r="BN338" s="467">
        <f t="shared" si="381"/>
        <v>125.02350000000001</v>
      </c>
      <c r="BO338" s="478">
        <v>1</v>
      </c>
      <c r="BP338" s="479">
        <v>750</v>
      </c>
      <c r="BQ338" s="470">
        <f>Inputs!$D$39</f>
        <v>63</v>
      </c>
      <c r="BR338" s="461">
        <f>_xlfn.MINIFS($DE$70:$DE$149,$DI$70:$DI$149,"&gt;"&amp;Inputs!$H$74)</f>
        <v>13.499999999999996</v>
      </c>
      <c r="BS338" s="461">
        <f>_xlfn.MINIFS($DE$156:$DE$235,$DI$156:$DI$235,"&gt;"&amp;Inputs!$H$74)</f>
        <v>13.499999999999996</v>
      </c>
      <c r="BT338" s="462">
        <f>_xlfn.MINIFS($DE$242:$DE$321,$DI$242:$DI$321,"&gt;"&amp;Inputs!$H$74)</f>
        <v>13.499999999999996</v>
      </c>
      <c r="BU338" s="477">
        <f>IF(Inputs!$F$74&gt;MAX(Pile!$DI$70:$DI$149),999999,IF(Pile!BR338/(Pile!BP338/1000)&gt;50,999999,IF(Pile!BR338&lt;2,999999,Pile!BR338)))</f>
        <v>13.499999999999996</v>
      </c>
      <c r="BV338" s="461">
        <f>IF(Inputs!BR33="Yes",999999,IF(Pile!BS338/(Pile!BP338/1000)&gt;50,999999,IF(Pile!BS338&lt;2,999999,Pile!BS338)))</f>
        <v>13.499999999999996</v>
      </c>
      <c r="BW338" s="461">
        <f>IF(Inputs!$F$74&gt;MAX(Pile!$DI$242:$DI$321),999999,IF(Pile!BT338/(Pile!BP338/1000)&gt;50,999999,IF(Pile!BT338&lt;2,999999,IF(BT338&gt;25,999999,Pile!BT338))))</f>
        <v>13.499999999999996</v>
      </c>
      <c r="BX338" s="477">
        <f t="shared" si="382"/>
        <v>500.76289010786041</v>
      </c>
      <c r="BY338" s="461">
        <f t="shared" si="383"/>
        <v>500.76289010786041</v>
      </c>
      <c r="BZ338" s="462">
        <f t="shared" si="384"/>
        <v>500.76289010786041</v>
      </c>
      <c r="CA338" s="467">
        <f t="shared" si="385"/>
        <v>125.02350000000001</v>
      </c>
      <c r="CB338" s="478">
        <v>1</v>
      </c>
      <c r="CC338" s="479">
        <v>750</v>
      </c>
      <c r="CD338" s="470">
        <f>Inputs!$D$39</f>
        <v>63</v>
      </c>
      <c r="CE338" s="461">
        <f>_xlfn.MINIFS($DE$70:$DE$149,$DI$70:$DI$149,"&gt;"&amp;Inputs!$H$81)</f>
        <v>13.499999999999996</v>
      </c>
      <c r="CF338" s="461">
        <f>_xlfn.MINIFS($DE$156:$DE$235,$DI$156:$DI$235,"&gt;"&amp;Inputs!$H$81)</f>
        <v>13.499999999999996</v>
      </c>
      <c r="CG338" s="462">
        <f>_xlfn.MINIFS($DE$242:$DE$321,$DI$242:$DI$321,"&gt;"&amp;Inputs!$H$81)</f>
        <v>13.499999999999996</v>
      </c>
      <c r="CH338" s="477">
        <f>IF(Inputs!$F$81&gt;MAX(Pile!$DI$70:$DI$149),999999,IF(Pile!CE338/(Pile!CC338/1000)&gt;50,999999,IF(Pile!CE338&lt;2,999999,Pile!CE338)))</f>
        <v>13.499999999999996</v>
      </c>
      <c r="CI338" s="461">
        <f>IF(Inputs!CE33="Yes",999999,IF(Pile!CF338/(Pile!CC338/1000)&gt;50,999999,IF(Pile!CF338&lt;2,999999,Pile!CF338)))</f>
        <v>13.499999999999996</v>
      </c>
      <c r="CJ338" s="461">
        <f>IF(Inputs!$F$81&gt;MAX(Pile!$DI$242:$DI$321),999999,IF(Pile!CG338/(Pile!CC338/1000)&gt;50,999999,IF(Pile!CG338&lt;2,999999,IF(CG338&gt;25,999999,Pile!CG338))))</f>
        <v>13.499999999999996</v>
      </c>
      <c r="CK338" s="477">
        <f t="shared" si="386"/>
        <v>500.76289010786041</v>
      </c>
      <c r="CL338" s="461">
        <f t="shared" si="387"/>
        <v>500.76289010786041</v>
      </c>
      <c r="CM338" s="462">
        <f t="shared" si="388"/>
        <v>500.76289010786041</v>
      </c>
      <c r="CN338" s="467">
        <f t="shared" si="389"/>
        <v>125.02350000000001</v>
      </c>
      <c r="CO338" s="478">
        <v>1</v>
      </c>
      <c r="CP338" s="479">
        <v>750</v>
      </c>
      <c r="CQ338" s="470">
        <f>Inputs!$D$39</f>
        <v>63</v>
      </c>
      <c r="CR338" s="461">
        <f>_xlfn.MINIFS($DE$70:$DE$149,$DI$70:$DI$149,"&gt;"&amp;Inputs!$H$88)</f>
        <v>13.499999999999996</v>
      </c>
      <c r="CS338" s="461">
        <f>_xlfn.MINIFS($DE$156:$DE$235,$DI$156:$DI$235,"&gt;"&amp;Inputs!$H$88)</f>
        <v>13.499999999999996</v>
      </c>
      <c r="CT338" s="462">
        <f>_xlfn.MINIFS($DE$242:$DE$321,$DI$242:$DI$321,"&gt;"&amp;Inputs!$H$88)</f>
        <v>13.499999999999996</v>
      </c>
      <c r="CU338" s="477">
        <f>IF(Inputs!$F$88&gt;MAX(Pile!$DI$70:$DI$149),999999,IF(Pile!CR338/(Pile!CP338/1000)&gt;50,999999,IF(Pile!CR338&lt;2,999999,Pile!CR338)))</f>
        <v>13.499999999999996</v>
      </c>
      <c r="CV338" s="461">
        <f>IF(Inputs!CR33="Yes",999999,IF(Pile!CS338/(Pile!CP338/1000)&gt;50,999999,IF(Pile!CS338&lt;2,999999,Pile!CS338)))</f>
        <v>13.499999999999996</v>
      </c>
      <c r="CW338" s="461">
        <f>IF(Inputs!$F$88&gt;MAX(Pile!$DI$242:$DI$321),999999,IF(Pile!CT338/(Pile!CP338/1000)&gt;50,999999,IF(Pile!CT338&lt;2,999999,IF(CT338&gt;25,999999,Pile!CT338))))</f>
        <v>13.499999999999996</v>
      </c>
      <c r="CX338" s="477">
        <f t="shared" si="390"/>
        <v>500.76289010786041</v>
      </c>
      <c r="CY338" s="461">
        <f t="shared" si="391"/>
        <v>500.76289010786041</v>
      </c>
      <c r="CZ338" s="462">
        <f t="shared" si="392"/>
        <v>500.76289010786041</v>
      </c>
      <c r="DA338" s="467">
        <f t="shared" si="393"/>
        <v>125.02350000000001</v>
      </c>
      <c r="DB338" s="478">
        <v>1</v>
      </c>
      <c r="DC338" s="479">
        <v>750</v>
      </c>
      <c r="DD338" s="470">
        <f>Inputs!$D$39</f>
        <v>63</v>
      </c>
      <c r="DE338" s="461">
        <f>_xlfn.MINIFS($DE$70:$DE$149,$DI$70:$DI$149,"&gt;"&amp;Inputs!$H$95)</f>
        <v>13.499999999999996</v>
      </c>
      <c r="DF338" s="461">
        <f>_xlfn.MINIFS($DE$156:$DE$235,$DI$156:$DI$235,"&gt;"&amp;Inputs!$H$95)</f>
        <v>13.499999999999996</v>
      </c>
      <c r="DG338" s="462">
        <f>_xlfn.MINIFS($DE$242:$DE$321,$DI$242:$DI$321,"&gt;"&amp;Inputs!$H$95)</f>
        <v>13.499999999999996</v>
      </c>
      <c r="DH338" s="477">
        <f>IF(Inputs!$F$95&gt;MAX(Pile!$DI$70:$DI$149),999999,IF(Pile!DE338/(Pile!DC338/1000)&gt;50,999999,IF(Pile!DE338&lt;2,999999,Pile!DE338)))</f>
        <v>13.499999999999996</v>
      </c>
      <c r="DI338" s="461">
        <f>IF(Inputs!DE33="Yes",999999,IF(Pile!DF338/(Pile!DC338/1000)&gt;50,999999,IF(Pile!DF338&lt;2,999999,Pile!DF338)))</f>
        <v>13.499999999999996</v>
      </c>
      <c r="DJ338" s="461">
        <f>IF(Inputs!$F$95&gt;MAX(Pile!$DI$242:$DI$321),999999,IF(Pile!DG338/(Pile!DC338/1000)&gt;50,999999,IF(Pile!DG338&lt;2,999999,IF(DG338&gt;25,999999,Pile!DG338))))</f>
        <v>13.499999999999996</v>
      </c>
      <c r="DK338" s="477">
        <f t="shared" si="394"/>
        <v>500.76289010786041</v>
      </c>
      <c r="DL338" s="461">
        <f t="shared" si="395"/>
        <v>500.76289010786041</v>
      </c>
      <c r="DM338" s="462">
        <f t="shared" si="396"/>
        <v>500.76289010786041</v>
      </c>
      <c r="DN338" s="467">
        <f t="shared" si="397"/>
        <v>125.02350000000001</v>
      </c>
      <c r="DO338" s="478">
        <v>1</v>
      </c>
      <c r="DP338" s="479">
        <v>750</v>
      </c>
      <c r="DQ338" s="470">
        <f>Inputs!$D$39</f>
        <v>63</v>
      </c>
      <c r="DR338" s="461">
        <f>_xlfn.MINIFS($DE$70:$DE$149,$DI$70:$DI$149,"&gt;"&amp;Inputs!$H$102)</f>
        <v>5.0999999999999979</v>
      </c>
      <c r="DS338" s="461">
        <f>_xlfn.MINIFS($DE$156:$DE$235,$DI$156:$DI$235,"&gt;"&amp;Inputs!$H$102)</f>
        <v>4.4999999999999982</v>
      </c>
      <c r="DT338" s="462">
        <f>_xlfn.MINIFS($DE$242:$DE$321,$DI$242:$DI$321,"&gt;"&amp;Inputs!$H$102)</f>
        <v>4.799999999999998</v>
      </c>
      <c r="DU338" s="477">
        <f>IF(Inputs!$F$102&gt;MAX(Pile!$DI$70:$DI$149),999999,IF(Pile!DR338/(Pile!DP338/1000)&gt;50,999999,IF(Pile!DR338&lt;2,999999,Pile!DR338)))</f>
        <v>5.0999999999999979</v>
      </c>
      <c r="DV338" s="461">
        <f>IF(Inputs!DR33="Yes",999999,IF(Pile!DS338/(Pile!DP338/1000)&gt;50,999999,IF(Pile!DS338&lt;2,999999,Pile!DS338)))</f>
        <v>4.4999999999999982</v>
      </c>
      <c r="DW338" s="461">
        <f>IF(Inputs!$F$102&gt;MAX(Pile!$DI$242:$DI$321),999999,IF(Pile!DT338/(Pile!DP338/1000)&gt;50,999999,IF(Pile!DT338&lt;2,999999,IF(DT338&gt;25,999999,Pile!DT338))))</f>
        <v>4.799999999999998</v>
      </c>
      <c r="DX338" s="477">
        <f t="shared" si="398"/>
        <v>266.96949181852506</v>
      </c>
      <c r="DY338" s="461">
        <f t="shared" si="399"/>
        <v>250.26996336928681</v>
      </c>
      <c r="DZ338" s="462">
        <f t="shared" si="400"/>
        <v>258.61972759390591</v>
      </c>
      <c r="EA338" s="467">
        <f t="shared" si="401"/>
        <v>125.02350000000001</v>
      </c>
      <c r="EB338" s="478">
        <v>1</v>
      </c>
      <c r="EC338" s="479">
        <v>750</v>
      </c>
      <c r="ED338" s="470">
        <f>Inputs!$D$39</f>
        <v>63</v>
      </c>
      <c r="EE338" s="461">
        <f>_xlfn.MINIFS($DE$70:$DE$149,$DI$70:$DI$149,"&gt;"&amp;Inputs!$H$109)</f>
        <v>5.0999999999999979</v>
      </c>
      <c r="EF338" s="461">
        <f>_xlfn.MINIFS($DE$156:$DE$235,$DI$156:$DI$235,"&gt;"&amp;Inputs!$H$109)</f>
        <v>4.799999999999998</v>
      </c>
      <c r="EG338" s="462">
        <f>_xlfn.MINIFS($DE$242:$DE$321,$DI$242:$DI$321,"&gt;"&amp;Inputs!$H$109)</f>
        <v>4.799999999999998</v>
      </c>
      <c r="EH338" s="477">
        <f>IF(Inputs!$F$109&gt;MAX(Pile!$DI$70:$DI$149),999999,IF(Pile!EE338/(Pile!EC338/1000)&gt;50,999999,IF(Pile!EE338&lt;2,999999,Pile!EE338)))</f>
        <v>5.0999999999999979</v>
      </c>
      <c r="EI338" s="461">
        <f>IF(Inputs!EE33="Yes",999999,IF(Pile!EF338/(Pile!EC338/1000)&gt;50,999999,IF(Pile!EF338&lt;2,999999,Pile!EF338)))</f>
        <v>4.799999999999998</v>
      </c>
      <c r="EJ338" s="461">
        <f>IF(Inputs!$F$109&gt;MAX(Pile!$DI$242:$DI$321),999999,IF(Pile!EG338/(Pile!EC338/1000)&gt;50,999999,IF(Pile!EG338&lt;2,999999,IF(EG338&gt;25,999999,Pile!EG338))))</f>
        <v>4.799999999999998</v>
      </c>
      <c r="EK338" s="477">
        <f t="shared" si="402"/>
        <v>266.96949181852506</v>
      </c>
      <c r="EL338" s="461">
        <f t="shared" si="403"/>
        <v>258.61972759390591</v>
      </c>
      <c r="EM338" s="462">
        <f t="shared" si="404"/>
        <v>258.61972759390591</v>
      </c>
      <c r="EN338" s="467">
        <f t="shared" si="405"/>
        <v>125.02350000000001</v>
      </c>
      <c r="EO338" s="478">
        <v>1</v>
      </c>
      <c r="EP338" s="479">
        <v>750</v>
      </c>
      <c r="EQ338" s="470">
        <f>Inputs!$D$39</f>
        <v>63</v>
      </c>
      <c r="ER338" s="461">
        <f>_xlfn.MINIFS($DE$70:$DE$149,$DI$70:$DI$149,"&gt;"&amp;Inputs!$H$116)</f>
        <v>0.29999999999999982</v>
      </c>
      <c r="ES338" s="461">
        <f>_xlfn.MINIFS($DE$156:$DE$235,$DI$156:$DI$235,"&gt;"&amp;Inputs!$H$116)</f>
        <v>0.29999999999999982</v>
      </c>
      <c r="ET338" s="462">
        <f>_xlfn.MINIFS($DE$242:$DE$321,$DI$242:$DI$321,"&gt;"&amp;Inputs!$H$116)</f>
        <v>0.29999999999999982</v>
      </c>
      <c r="EU338" s="477">
        <f>IF(Inputs!$F$116&gt;MAX(Pile!$DI$70:$DI$149),999999,IF(Pile!ER338/(Pile!EP338/1000)&gt;50,999999,IF(Pile!ER338&lt;2,999999,Pile!ER338)))</f>
        <v>999999</v>
      </c>
      <c r="EV338" s="461">
        <f>IF(Inputs!ER33="Yes",999999,IF(Inputs!$F$116&gt;MAX(Pile!$DG$156:$DG$235),999999,IF(Pile!ES338/(Pile!EP338/1000)&gt;50,999999,IF(Pile!ES338&lt;2,999999,Pile!ES338))))</f>
        <v>999999</v>
      </c>
      <c r="EW338" s="461">
        <f>IF(Inputs!$F$116&gt;MAX(Pile!$DI$242:$DI$321),999999,IF(Pile!ET338/(Pile!EP338/1000)&gt;50,999999,IF(Pile!ET338&lt;2,999999,IF(ET338&gt;25,999999,Pile!ET338))))</f>
        <v>999999</v>
      </c>
      <c r="EX338" s="480">
        <f t="shared" si="360"/>
        <v>27832519.582849659</v>
      </c>
      <c r="EY338" s="481">
        <f t="shared" si="361"/>
        <v>27832519.582849659</v>
      </c>
      <c r="EZ338" s="482">
        <f t="shared" si="362"/>
        <v>27832519.582849659</v>
      </c>
    </row>
    <row r="339" spans="1:156" ht="15">
      <c r="B339" s="475">
        <v>1</v>
      </c>
      <c r="C339" s="476">
        <v>900</v>
      </c>
      <c r="D339" s="460">
        <f>Inputs!$D$39</f>
        <v>63</v>
      </c>
      <c r="E339" s="461">
        <f>_xlfn.MINIFS($DE$70:$DE$149,$DJ$70:$DJ$149,"&gt;"&amp;Inputs!$H$39)</f>
        <v>13.499999999999996</v>
      </c>
      <c r="F339" s="461">
        <f>_xlfn.MINIFS($DE$156:$DE$235,$DJ$156:$DJ$235,"&gt;"&amp;Inputs!$H$39)</f>
        <v>0</v>
      </c>
      <c r="G339" s="462">
        <f>_xlfn.MINIFS($DE$242:$DE$321,$DJ$242:$DJ$321,"&gt;"&amp;Inputs!$H$39)</f>
        <v>13.499999999999996</v>
      </c>
      <c r="H339" s="477">
        <f>IF(Inputs!$F$39&gt;MAX(Pile!$DJ$70:$DJ$149),999999,IF(Pile!E339/(Pile!C339/1000)&gt;50,999999,IF(Pile!E339&lt;2,999999,Pile!E339)))</f>
        <v>13.499999999999996</v>
      </c>
      <c r="I339" s="461">
        <f>IF(Inputs!E34="Yes",999999,IF(Pile!F339/(Pile!C339/1000)&gt;50,999999,IF(Pile!F339&lt;2,999999,Pile!F339)))</f>
        <v>999999</v>
      </c>
      <c r="J339" s="461">
        <f>IF(Inputs!$F$39&gt;MAX(Pile!$DJ$242:$DJ$321),999999,IF(Pile!G339/(Pile!C339/1000)&gt;50,999999,IF(Pile!G339&lt;2,999999,IF(G339&gt;25,999999,Pile!G339))))</f>
        <v>13.499999999999996</v>
      </c>
      <c r="K339" s="477">
        <f t="shared" si="363"/>
        <v>740.648721755319</v>
      </c>
      <c r="L339" s="461">
        <f t="shared" si="364"/>
        <v>40079027.783303507</v>
      </c>
      <c r="M339" s="462">
        <f t="shared" si="365"/>
        <v>740.648721755319</v>
      </c>
      <c r="N339" s="466">
        <f>Inputs!$D$39*D462</f>
        <v>199.584</v>
      </c>
      <c r="O339" s="475">
        <v>1</v>
      </c>
      <c r="P339" s="476">
        <v>900</v>
      </c>
      <c r="Q339" s="460">
        <f>Inputs!$D$39</f>
        <v>63</v>
      </c>
      <c r="R339" s="461">
        <f>_xlfn.MINIFS($DE$70:$DE$149,$DJ$70:$DJ$149,"&gt;"&amp;Inputs!$H$46)</f>
        <v>13.499999999999996</v>
      </c>
      <c r="S339" s="461">
        <f>_xlfn.MINIFS($DE$156:$DE$235,$DJ$156:$DJ$235,"&gt;"&amp;Inputs!$H$46)</f>
        <v>0</v>
      </c>
      <c r="T339" s="462">
        <f>_xlfn.MINIFS($DE$242:$DE$321,$DJ$242:$DJ$321,"&gt;"&amp;Inputs!$H$46)</f>
        <v>13.499999999999996</v>
      </c>
      <c r="U339" s="477">
        <f>IF(Inputs!$F$46&gt;MAX(Pile!$DJ$70:$DJ$149),999999,IF(Pile!R339/(Pile!P339/1000)&gt;50,999999,IF(Pile!R339&lt;2,999999,Pile!R339)))</f>
        <v>13.499999999999996</v>
      </c>
      <c r="V339" s="461">
        <f>IF(Inputs!R34="Yes",999999,IF(Pile!S339/(Pile!P339/1000)&gt;50,999999,IF(Pile!S339&lt;2,999999,Pile!S339)))</f>
        <v>999999</v>
      </c>
      <c r="W339" s="461">
        <f>IF(Inputs!$F$46&gt;MAX(Pile!$DJ$242:$DJ$321),999999,IF(Pile!T339/(Pile!P339/1000)&gt;50,999999,IF(Pile!T339&lt;2,999999,IF(T339&gt;25,999999,Pile!T339))))</f>
        <v>13.499999999999996</v>
      </c>
      <c r="X339" s="477">
        <f t="shared" si="366"/>
        <v>740.648721755319</v>
      </c>
      <c r="Y339" s="461">
        <f t="shared" si="367"/>
        <v>40079027.783303507</v>
      </c>
      <c r="Z339" s="462">
        <f t="shared" si="368"/>
        <v>740.648721755319</v>
      </c>
      <c r="AA339" s="467">
        <f t="shared" si="369"/>
        <v>199.584</v>
      </c>
      <c r="AB339" s="478">
        <v>1</v>
      </c>
      <c r="AC339" s="479">
        <v>900</v>
      </c>
      <c r="AD339" s="470">
        <f>Inputs!$D$39</f>
        <v>63</v>
      </c>
      <c r="AE339" s="461">
        <f>_xlfn.MINIFS($DE$70:$DE$149,$DJ$70:$DJ$149,"&gt;"&amp;Inputs!$H$53)</f>
        <v>13.499999999999996</v>
      </c>
      <c r="AF339" s="461">
        <f>_xlfn.MINIFS($DE$156:$DE$235,$DJ$156:$DJ$235,"&gt;"&amp;Inputs!$H$53)</f>
        <v>0</v>
      </c>
      <c r="AG339" s="462">
        <f>_xlfn.MINIFS($DE$242:$DE$321,$DJ$242:$DJ$321,"&gt;"&amp;Inputs!$H$53)</f>
        <v>13.499999999999996</v>
      </c>
      <c r="AH339" s="477">
        <f>IF(Inputs!$F$53&gt;MAX(Pile!$DJ$70:$DJ$149),999999,IF(Pile!AE339/(Pile!AC339/1000)&gt;50,999999,IF(Pile!AE339&lt;2,999999,Pile!AE339)))</f>
        <v>13.499999999999996</v>
      </c>
      <c r="AI339" s="461">
        <f>IF(Inputs!AE34="Yes",999999,IF(Pile!AF339/(Pile!AC339/1000)&gt;50,999999,IF(Pile!AF339&lt;2,999999,Pile!AF339)))</f>
        <v>999999</v>
      </c>
      <c r="AJ339" s="461">
        <f>IF(Inputs!$F$53&gt;MAX(Pile!$DJ$242:$DJ$321),999999,IF(Pile!AG339/(Pile!AC339/1000)&gt;50,999999,IF(Pile!AG339&lt;2,999999,IF(AG339&gt;25,999999,Pile!AG339))))</f>
        <v>13.499999999999996</v>
      </c>
      <c r="AK339" s="477">
        <f t="shared" si="370"/>
        <v>740.648721755319</v>
      </c>
      <c r="AL339" s="461">
        <f t="shared" si="371"/>
        <v>40079027.783303507</v>
      </c>
      <c r="AM339" s="462">
        <f t="shared" si="372"/>
        <v>740.648721755319</v>
      </c>
      <c r="AN339" s="471">
        <f t="shared" si="373"/>
        <v>199.584</v>
      </c>
      <c r="AO339" s="478">
        <v>1</v>
      </c>
      <c r="AP339" s="479">
        <v>900</v>
      </c>
      <c r="AQ339" s="470">
        <f>Inputs!$D$39</f>
        <v>63</v>
      </c>
      <c r="AR339" s="461">
        <f>_xlfn.MINIFS($DE$70:$DE$149,$DJ$70:$DJ$149,"&gt;"&amp;Inputs!$H$60)</f>
        <v>13.499999999999996</v>
      </c>
      <c r="AS339" s="461">
        <f>_xlfn.MINIFS($DE$156:$DE$235,$DJ$156:$DJ$235,"&gt;"&amp;Inputs!$H$60)</f>
        <v>0</v>
      </c>
      <c r="AT339" s="462">
        <f>_xlfn.MINIFS($DE$242:$DE$321,$DJ$242:$DJ$321,"&gt;"&amp;Inputs!$H$60)</f>
        <v>5.9999999999999982</v>
      </c>
      <c r="AU339" s="477">
        <f>IF(Inputs!$F$60&gt;MAX(Pile!$DJ$70:$DJ$149),999999,IF(Pile!AR339/(Pile!AP339/1000)&gt;50,999999,IF(Pile!AR339&lt;2,999999,Pile!AR339)))</f>
        <v>13.499999999999996</v>
      </c>
      <c r="AV339" s="461">
        <f>IF(Inputs!AR34="Yes",999999,IF(Pile!AS339/(Pile!AP339/1000)&gt;50,999999,IF(Pile!AS339&lt;2,999999,Pile!AS339)))</f>
        <v>999999</v>
      </c>
      <c r="AW339" s="461">
        <f>IF(Inputs!$F$60&gt;MAX(Pile!$DJ$242:$DJ$321),999999,IF(Pile!AT339/(Pile!AP339/1000)&gt;50,999999,IF(Pile!AT339&lt;2,999999,IF(AT339&gt;25,999999,Pile!AT339))))</f>
        <v>5.9999999999999982</v>
      </c>
      <c r="AX339" s="477">
        <f t="shared" si="374"/>
        <v>740.648721755319</v>
      </c>
      <c r="AY339" s="461">
        <f t="shared" si="375"/>
        <v>40079027.783303507</v>
      </c>
      <c r="AZ339" s="462">
        <f t="shared" si="376"/>
        <v>440.05720966903067</v>
      </c>
      <c r="BA339" s="467">
        <f t="shared" si="377"/>
        <v>199.584</v>
      </c>
      <c r="BB339" s="478">
        <v>1</v>
      </c>
      <c r="BC339" s="479">
        <v>900</v>
      </c>
      <c r="BD339" s="470">
        <f>Inputs!$D$39</f>
        <v>63</v>
      </c>
      <c r="BE339" s="461">
        <f>_xlfn.MINIFS($DE$70:$DE$149,$DJ$70:$DJ$149,"&gt;"&amp;Inputs!$H$67)</f>
        <v>13.499999999999996</v>
      </c>
      <c r="BF339" s="461">
        <f>_xlfn.MINIFS($DE$156:$DE$235,$DJ$156:$DJ$235,"&gt;"&amp;Inputs!$H$67)</f>
        <v>0</v>
      </c>
      <c r="BG339" s="462">
        <f>_xlfn.MINIFS($DE$242:$DE$321,$DJ$242:$DJ$321,"&gt;"&amp;Inputs!$H$67)</f>
        <v>13.499999999999996</v>
      </c>
      <c r="BH339" s="477">
        <f>IF(Inputs!$F$67&gt;MAX(Pile!$DJ$70:$DJ$149),999999,IF(Pile!BE339/(Pile!BC339/1000)&gt;50,999999,IF(Pile!BE339&lt;2,999999,Pile!BE339)))</f>
        <v>13.499999999999996</v>
      </c>
      <c r="BI339" s="461">
        <f>IF(Inputs!BE34="Yes",999999,IF(Pile!BF339/(Pile!BC339/1000)&gt;50,999999,IF(Pile!BF339&lt;2,999999,Pile!BF339)))</f>
        <v>999999</v>
      </c>
      <c r="BJ339" s="461">
        <f>IF(Inputs!$F$67&gt;MAX(Pile!$DJ$242:$DJ$321),999999,IF(Pile!BG339/(Pile!BC339/1000)&gt;50,999999,IF(Pile!BG339&lt;2,999999,IF(BG339&gt;25,999999,Pile!BG339))))</f>
        <v>13.499999999999996</v>
      </c>
      <c r="BK339" s="477">
        <f t="shared" si="378"/>
        <v>740.648721755319</v>
      </c>
      <c r="BL339" s="461">
        <f t="shared" si="379"/>
        <v>40079027.783303507</v>
      </c>
      <c r="BM339" s="462">
        <f t="shared" si="380"/>
        <v>740.648721755319</v>
      </c>
      <c r="BN339" s="467">
        <f t="shared" si="381"/>
        <v>199.584</v>
      </c>
      <c r="BO339" s="478">
        <v>1</v>
      </c>
      <c r="BP339" s="479">
        <v>900</v>
      </c>
      <c r="BQ339" s="470">
        <f>Inputs!$D$39</f>
        <v>63</v>
      </c>
      <c r="BR339" s="461">
        <f>_xlfn.MINIFS($DE$70:$DE$149,$DJ$70:$DJ$149,"&gt;"&amp;Inputs!$H$74)</f>
        <v>13.499999999999996</v>
      </c>
      <c r="BS339" s="461">
        <f>_xlfn.MINIFS($DE$156:$DE$235,$DJ$156:$DJ$235,"&gt;"&amp;Inputs!$H$74)</f>
        <v>0</v>
      </c>
      <c r="BT339" s="462">
        <f>_xlfn.MINIFS($DE$242:$DE$321,$DJ$242:$DJ$321,"&gt;"&amp;Inputs!$H$74)</f>
        <v>13.499999999999996</v>
      </c>
      <c r="BU339" s="477">
        <f>IF(Inputs!$F$74&gt;MAX(Pile!$DJ$70:$DJ$149),999999,IF(Pile!BR339/(Pile!BP339/1000)&gt;50,999999,IF(Pile!BR339&lt;2,999999,Pile!BR339)))</f>
        <v>13.499999999999996</v>
      </c>
      <c r="BV339" s="461">
        <f>IF(Inputs!BR34="Yes",999999,IF(Pile!BS339/(Pile!BP339/1000)&gt;50,999999,IF(Pile!BS339&lt;2,999999,Pile!BS339)))</f>
        <v>999999</v>
      </c>
      <c r="BW339" s="461">
        <f>IF(Inputs!$F$74&gt;MAX(Pile!$DJ$242:$DJ$321),999999,IF(Pile!BT339/(Pile!BP339/1000)&gt;50,999999,IF(Pile!BT339&lt;2,999999,IF(BT339&gt;25,999999,Pile!BT339))))</f>
        <v>13.499999999999996</v>
      </c>
      <c r="BX339" s="477">
        <f t="shared" si="382"/>
        <v>740.648721755319</v>
      </c>
      <c r="BY339" s="461">
        <f t="shared" si="383"/>
        <v>40079027.783303507</v>
      </c>
      <c r="BZ339" s="462">
        <f t="shared" si="384"/>
        <v>740.648721755319</v>
      </c>
      <c r="CA339" s="467">
        <f t="shared" si="385"/>
        <v>199.584</v>
      </c>
      <c r="CB339" s="478">
        <v>1</v>
      </c>
      <c r="CC339" s="479">
        <v>900</v>
      </c>
      <c r="CD339" s="470">
        <f>Inputs!$D$39</f>
        <v>63</v>
      </c>
      <c r="CE339" s="461">
        <f>_xlfn.MINIFS($DE$70:$DE$149,$DJ$70:$DJ$149,"&gt;"&amp;Inputs!$H$81)</f>
        <v>13.499999999999996</v>
      </c>
      <c r="CF339" s="461">
        <f>_xlfn.MINIFS($DE$156:$DE$235,$DJ$156:$DJ$235,"&gt;"&amp;Inputs!$H$81)</f>
        <v>0</v>
      </c>
      <c r="CG339" s="462">
        <f>_xlfn.MINIFS($DE$242:$DE$321,$DJ$242:$DJ$321,"&gt;"&amp;Inputs!$H$81)</f>
        <v>5.9999999999999982</v>
      </c>
      <c r="CH339" s="477">
        <f>IF(Inputs!$F$81&gt;MAX(Pile!$DJ$70:$DJ$149),999999,IF(Pile!CE339/(Pile!CC339/1000)&gt;50,999999,IF(Pile!CE339&lt;2,999999,Pile!CE339)))</f>
        <v>13.499999999999996</v>
      </c>
      <c r="CI339" s="461">
        <f>IF(Inputs!CE34="Yes",999999,IF(Pile!CF339/(Pile!CC339/1000)&gt;50,999999,IF(Pile!CF339&lt;2,999999,Pile!CF339)))</f>
        <v>999999</v>
      </c>
      <c r="CJ339" s="461">
        <f>IF(Inputs!$F$81&gt;MAX(Pile!$DJ$242:$DJ$321),999999,IF(Pile!CG339/(Pile!CC339/1000)&gt;50,999999,IF(Pile!CG339&lt;2,999999,IF(CG339&gt;25,999999,Pile!CG339))))</f>
        <v>5.9999999999999982</v>
      </c>
      <c r="CK339" s="477">
        <f t="shared" si="386"/>
        <v>740.648721755319</v>
      </c>
      <c r="CL339" s="461">
        <f t="shared" si="387"/>
        <v>40079027.783303507</v>
      </c>
      <c r="CM339" s="462">
        <f t="shared" si="388"/>
        <v>440.05720966903067</v>
      </c>
      <c r="CN339" s="467">
        <f t="shared" si="389"/>
        <v>199.584</v>
      </c>
      <c r="CO339" s="478">
        <v>1</v>
      </c>
      <c r="CP339" s="479">
        <v>900</v>
      </c>
      <c r="CQ339" s="470">
        <f>Inputs!$D$39</f>
        <v>63</v>
      </c>
      <c r="CR339" s="461">
        <f>_xlfn.MINIFS($DE$70:$DE$149,$DJ$70:$DJ$149,"&gt;"&amp;Inputs!$H$88)</f>
        <v>5.6999999999999975</v>
      </c>
      <c r="CS339" s="461">
        <f>_xlfn.MINIFS($DE$156:$DE$235,$DJ$156:$DJ$235,"&gt;"&amp;Inputs!$H$88)</f>
        <v>0</v>
      </c>
      <c r="CT339" s="462">
        <f>_xlfn.MINIFS($DE$242:$DE$321,$DJ$242:$DJ$321,"&gt;"&amp;Inputs!$H$88)</f>
        <v>5.3999999999999977</v>
      </c>
      <c r="CU339" s="477">
        <f>IF(Inputs!$F$88&gt;MAX(Pile!$DJ$70:$DJ$149),999999,IF(Pile!CR339/(Pile!CP339/1000)&gt;50,999999,IF(Pile!CR339&lt;2,999999,Pile!CR339)))</f>
        <v>5.6999999999999975</v>
      </c>
      <c r="CV339" s="461">
        <f>IF(Inputs!CR34="Yes",999999,IF(Pile!CS339/(Pile!CP339/1000)&gt;50,999999,IF(Pile!CS339&lt;2,999999,Pile!CS339)))</f>
        <v>999999</v>
      </c>
      <c r="CW339" s="461">
        <f>IF(Inputs!$F$88&gt;MAX(Pile!$DJ$242:$DJ$321),999999,IF(Pile!CT339/(Pile!CP339/1000)&gt;50,999999,IF(Pile!CT339&lt;2,999999,IF(CT339&gt;25,999999,Pile!CT339))))</f>
        <v>5.3999999999999977</v>
      </c>
      <c r="CX339" s="477">
        <f t="shared" si="390"/>
        <v>428.03354918557909</v>
      </c>
      <c r="CY339" s="461">
        <f t="shared" si="391"/>
        <v>40079027.783303507</v>
      </c>
      <c r="CZ339" s="462">
        <f t="shared" si="392"/>
        <v>416.00988870212757</v>
      </c>
      <c r="DA339" s="467">
        <f t="shared" si="393"/>
        <v>199.584</v>
      </c>
      <c r="DB339" s="478">
        <v>1</v>
      </c>
      <c r="DC339" s="479">
        <v>900</v>
      </c>
      <c r="DD339" s="470">
        <f>Inputs!$D$39</f>
        <v>63</v>
      </c>
      <c r="DE339" s="461">
        <f>_xlfn.MINIFS($DE$70:$DE$149,$DJ$70:$DJ$149,"&gt;"&amp;Inputs!$H$95)</f>
        <v>5.6999999999999975</v>
      </c>
      <c r="DF339" s="461">
        <f>_xlfn.MINIFS($DE$156:$DE$235,$DJ$156:$DJ$235,"&gt;"&amp;Inputs!$H$95)</f>
        <v>0</v>
      </c>
      <c r="DG339" s="462">
        <f>_xlfn.MINIFS($DE$242:$DE$321,$DJ$242:$DJ$321,"&gt;"&amp;Inputs!$H$95)</f>
        <v>5.3999999999999977</v>
      </c>
      <c r="DH339" s="477">
        <f>IF(Inputs!$F$95&gt;MAX(Pile!$DJ$70:$DJ$149),999999,IF(Pile!DE339/(Pile!DC339/1000)&gt;50,999999,IF(Pile!DE339&lt;2,999999,Pile!DE339)))</f>
        <v>5.6999999999999975</v>
      </c>
      <c r="DI339" s="461">
        <f>IF(Inputs!DE34="Yes",999999,IF(Pile!DF339/(Pile!DC339/1000)&gt;50,999999,IF(Pile!DF339&lt;2,999999,Pile!DF339)))</f>
        <v>999999</v>
      </c>
      <c r="DJ339" s="461">
        <f>IF(Inputs!$F$95&gt;MAX(Pile!$DJ$242:$DJ$321),999999,IF(Pile!DG339/(Pile!DC339/1000)&gt;50,999999,IF(Pile!DG339&lt;2,999999,IF(DG339&gt;25,999999,Pile!DG339))))</f>
        <v>5.3999999999999977</v>
      </c>
      <c r="DK339" s="477">
        <f t="shared" si="394"/>
        <v>428.03354918557909</v>
      </c>
      <c r="DL339" s="461">
        <f t="shared" si="395"/>
        <v>40079027.783303507</v>
      </c>
      <c r="DM339" s="462">
        <f t="shared" si="396"/>
        <v>416.00988870212757</v>
      </c>
      <c r="DN339" s="467">
        <f t="shared" si="397"/>
        <v>199.584</v>
      </c>
      <c r="DO339" s="478">
        <v>1</v>
      </c>
      <c r="DP339" s="479">
        <v>900</v>
      </c>
      <c r="DQ339" s="470">
        <f>Inputs!$D$39</f>
        <v>63</v>
      </c>
      <c r="DR339" s="461">
        <f>_xlfn.MINIFS($DE$70:$DE$149,$DJ$70:$DJ$149,"&gt;"&amp;Inputs!$H$102)</f>
        <v>3.8999999999999977</v>
      </c>
      <c r="DS339" s="461">
        <f>_xlfn.MINIFS($DE$156:$DE$235,$DJ$156:$DJ$235,"&gt;"&amp;Inputs!$H$102)</f>
        <v>0</v>
      </c>
      <c r="DT339" s="462">
        <f>_xlfn.MINIFS($DE$242:$DE$321,$DJ$242:$DJ$321,"&gt;"&amp;Inputs!$H$102)</f>
        <v>3.8999999999999977</v>
      </c>
      <c r="DU339" s="477">
        <f>IF(Inputs!$F$102&gt;MAX(Pile!$DJ$70:$DJ$149),999999,IF(Pile!DR339/(Pile!DP339/1000)&gt;50,999999,IF(Pile!DR339&lt;2,999999,Pile!DR339)))</f>
        <v>3.8999999999999977</v>
      </c>
      <c r="DV339" s="461">
        <f>IF(Inputs!DR34="Yes",999999,IF(Pile!DS339/(Pile!DP339/1000)&gt;50,999999,IF(Pile!DS339&lt;2,999999,Pile!DS339)))</f>
        <v>999999</v>
      </c>
      <c r="DW339" s="461">
        <f>IF(Inputs!$F$102&gt;MAX(Pile!$DJ$242:$DJ$321),999999,IF(Pile!DT339/(Pile!DP339/1000)&gt;50,999999,IF(Pile!DT339&lt;2,999999,IF(DT339&gt;25,999999,Pile!DT339))))</f>
        <v>3.8999999999999977</v>
      </c>
      <c r="DX339" s="477">
        <f t="shared" si="398"/>
        <v>355.8915862848699</v>
      </c>
      <c r="DY339" s="461">
        <f t="shared" si="399"/>
        <v>40079027.783303507</v>
      </c>
      <c r="DZ339" s="462">
        <f t="shared" si="400"/>
        <v>355.8915862848699</v>
      </c>
      <c r="EA339" s="467">
        <f t="shared" si="401"/>
        <v>199.584</v>
      </c>
      <c r="EB339" s="478">
        <v>1</v>
      </c>
      <c r="EC339" s="479">
        <v>900</v>
      </c>
      <c r="ED339" s="470">
        <f>Inputs!$D$39</f>
        <v>63</v>
      </c>
      <c r="EE339" s="461">
        <f>_xlfn.MINIFS($DE$70:$DE$149,$DJ$70:$DJ$149,"&gt;"&amp;Inputs!$H$109)</f>
        <v>3.8999999999999977</v>
      </c>
      <c r="EF339" s="461">
        <f>_xlfn.MINIFS($DE$156:$DE$235,$DJ$156:$DJ$235,"&gt;"&amp;Inputs!$H$109)</f>
        <v>0</v>
      </c>
      <c r="EG339" s="462">
        <f>_xlfn.MINIFS($DE$242:$DE$321,$DJ$242:$DJ$321,"&gt;"&amp;Inputs!$H$109)</f>
        <v>3.8999999999999977</v>
      </c>
      <c r="EH339" s="477">
        <f>IF(Inputs!$F$109&gt;MAX(Pile!$DJ$70:$DJ$149),999999,IF(Pile!EE339/(Pile!EC339/1000)&gt;50,999999,IF(Pile!EE339&lt;2,999999,Pile!EE339)))</f>
        <v>3.8999999999999977</v>
      </c>
      <c r="EI339" s="461">
        <f>IF(Inputs!EE34="Yes",999999,IF(Pile!EF339/(Pile!EC339/1000)&gt;50,999999,IF(Pile!EF339&lt;2,999999,Pile!EF339)))</f>
        <v>999999</v>
      </c>
      <c r="EJ339" s="461">
        <f>IF(Inputs!$F$109&gt;MAX(Pile!$DJ$242:$DJ$321),999999,IF(Pile!EG339/(Pile!EC339/1000)&gt;50,999999,IF(Pile!EG339&lt;2,999999,IF(EG339&gt;25,999999,Pile!EG339))))</f>
        <v>3.8999999999999977</v>
      </c>
      <c r="EK339" s="477">
        <f t="shared" si="402"/>
        <v>355.8915862848699</v>
      </c>
      <c r="EL339" s="461">
        <f t="shared" si="403"/>
        <v>40079027.783303507</v>
      </c>
      <c r="EM339" s="462">
        <f t="shared" si="404"/>
        <v>355.8915862848699</v>
      </c>
      <c r="EN339" s="467">
        <f t="shared" si="405"/>
        <v>199.584</v>
      </c>
      <c r="EO339" s="478">
        <v>1</v>
      </c>
      <c r="EP339" s="479">
        <v>900</v>
      </c>
      <c r="EQ339" s="470">
        <f>Inputs!$D$39</f>
        <v>63</v>
      </c>
      <c r="ER339" s="461">
        <f>_xlfn.MINIFS($DE$70:$DE$149,$DJ$70:$DJ$149,"&gt;"&amp;Inputs!$H$116)</f>
        <v>0.29999999999999982</v>
      </c>
      <c r="ES339" s="461">
        <f>_xlfn.MINIFS($DE$156:$DE$235,$DJ$156:$DJ$235,"&gt;"&amp;Inputs!$H$116)</f>
        <v>0</v>
      </c>
      <c r="ET339" s="462">
        <f>_xlfn.MINIFS($DE$242:$DE$321,$DJ$242:$DJ$321,"&gt;"&amp;Inputs!$H$116)</f>
        <v>0.29999999999999982</v>
      </c>
      <c r="EU339" s="477">
        <f>IF(Inputs!$F$116&gt;MAX(Pile!$DJ$70:$DJ$149),999999,IF(Pile!ER339/(Pile!EP339/1000)&gt;50,999999,IF(Pile!ER339&lt;2,999999,Pile!ER339)))</f>
        <v>999999</v>
      </c>
      <c r="EV339" s="461">
        <f>IF(Inputs!ER34="Yes",999999,IF(Inputs!$F$116&gt;MAX(Pile!$DG$156:$DG$235),999999,IF(Pile!ES339/(Pile!EP339/1000)&gt;50,999999,IF(Pile!ES339&lt;2,999999,Pile!ES339))))</f>
        <v>999999</v>
      </c>
      <c r="EW339" s="461">
        <f>IF(Inputs!$F$116&gt;MAX(Pile!$DJ$242:$DJ$321),999999,IF(Pile!ET339/(Pile!EP339/1000)&gt;50,999999,IF(Pile!ET339&lt;2,999999,IF(ET339&gt;25,999999,Pile!ET339))))</f>
        <v>999999</v>
      </c>
      <c r="EX339" s="480">
        <f t="shared" si="360"/>
        <v>40078828.199303508</v>
      </c>
      <c r="EY339" s="481">
        <f t="shared" si="361"/>
        <v>40078828.199303508</v>
      </c>
      <c r="EZ339" s="482">
        <f t="shared" si="362"/>
        <v>40078828.199303508</v>
      </c>
    </row>
    <row r="340" spans="1:156" ht="15">
      <c r="B340" s="475">
        <v>1</v>
      </c>
      <c r="C340" s="476">
        <v>1050</v>
      </c>
      <c r="D340" s="460">
        <f>Inputs!$D$39</f>
        <v>63</v>
      </c>
      <c r="E340" s="461">
        <f>_xlfn.MINIFS($DE$70:$DE$149,$DK$70:$DK$149,"&gt;"&amp;Inputs!$H$39)</f>
        <v>5.9999999999999982</v>
      </c>
      <c r="F340" s="461">
        <f>_xlfn.MINIFS($DE$156:$DE$235,$DK$156:$DK$235,"&gt;"&amp;Inputs!$H$39)</f>
        <v>0</v>
      </c>
      <c r="G340" s="462">
        <f>_xlfn.MINIFS($DE$242:$DE$321,$DK$242:$DK$321,"&gt;"&amp;Inputs!$H$39)</f>
        <v>5.6999999999999975</v>
      </c>
      <c r="H340" s="477">
        <f>IF(Inputs!$F$39&gt;MAX(Pile!$DK$70:$DK$149),999999,IF(Pile!E340/(Pile!C340/1000)&gt;50,999999,IF(Pile!E340&lt;2,999999,Pile!E340)))</f>
        <v>5.9999999999999982</v>
      </c>
      <c r="I340" s="461">
        <f>IF(Inputs!E35="Yes",999999,IF(Pile!F340/(Pile!C340/1000)&gt;50,999999,IF(Pile!F340&lt;2,999999,Pile!F340)))</f>
        <v>999999</v>
      </c>
      <c r="J340" s="461">
        <f>IF(Inputs!$F$39&gt;MAX(Pile!$DK$242:$DK$321),999999,IF(Pile!G340/(Pile!C340/1000)&gt;50,999999,IF(Pile!G340&lt;2,999999,IF(G340&gt;25,999999,Pile!G340))))</f>
        <v>5.6999999999999975</v>
      </c>
      <c r="K340" s="477">
        <f t="shared" si="363"/>
        <v>625.83625760506948</v>
      </c>
      <c r="L340" s="461">
        <f t="shared" si="364"/>
        <v>54552036.907885328</v>
      </c>
      <c r="M340" s="462">
        <f t="shared" si="365"/>
        <v>609.47071972481604</v>
      </c>
      <c r="N340" s="466">
        <f>Inputs!$D$39*D463</f>
        <v>298.52550000000002</v>
      </c>
      <c r="O340" s="475">
        <v>1</v>
      </c>
      <c r="P340" s="476">
        <v>1050</v>
      </c>
      <c r="Q340" s="460">
        <f>Inputs!$D$39</f>
        <v>63</v>
      </c>
      <c r="R340" s="461">
        <f>_xlfn.MINIFS($DE$70:$DE$149,$DK$70:$DK$149,"&gt;"&amp;Inputs!$H$46)</f>
        <v>5.9999999999999982</v>
      </c>
      <c r="S340" s="461">
        <f>_xlfn.MINIFS($DE$156:$DE$235,$DK$156:$DK$235,"&gt;"&amp;Inputs!$H$46)</f>
        <v>0</v>
      </c>
      <c r="T340" s="462">
        <f>_xlfn.MINIFS($DE$242:$DE$321,$DK$242:$DK$321,"&gt;"&amp;Inputs!$H$46)</f>
        <v>5.6999999999999975</v>
      </c>
      <c r="U340" s="477">
        <f>IF(Inputs!$F$46&gt;MAX(Pile!$DK$70:$DK$149),999999,IF(Pile!R340/(Pile!P340/1000)&gt;50,999999,IF(Pile!R340&lt;2,999999,Pile!R340)))</f>
        <v>5.9999999999999982</v>
      </c>
      <c r="V340" s="461">
        <f>IF(Inputs!R35="Yes",999999,IF(Pile!S340/(Pile!P340/1000)&gt;50,999999,IF(Pile!S340&lt;2,999999,Pile!S340)))</f>
        <v>999999</v>
      </c>
      <c r="W340" s="461">
        <f>IF(Inputs!$F$46&gt;MAX(Pile!$DK$242:$DK$321),999999,IF(Pile!T340/(Pile!P340/1000)&gt;50,999999,IF(Pile!T340&lt;2,999999,IF(T340&gt;25,999999,Pile!T340))))</f>
        <v>5.6999999999999975</v>
      </c>
      <c r="X340" s="477">
        <f t="shared" si="366"/>
        <v>625.83625760506948</v>
      </c>
      <c r="Y340" s="461">
        <f t="shared" si="367"/>
        <v>54552036.907885328</v>
      </c>
      <c r="Z340" s="462">
        <f t="shared" si="368"/>
        <v>609.47071972481604</v>
      </c>
      <c r="AA340" s="467">
        <f t="shared" si="369"/>
        <v>298.52550000000002</v>
      </c>
      <c r="AB340" s="478">
        <v>1</v>
      </c>
      <c r="AC340" s="479">
        <v>1050</v>
      </c>
      <c r="AD340" s="470">
        <f>Inputs!$D$39</f>
        <v>63</v>
      </c>
      <c r="AE340" s="461">
        <f>_xlfn.MINIFS($DE$70:$DE$149,$DK$70:$DK$149,"&gt;"&amp;Inputs!$H$53)</f>
        <v>5.3999999999999977</v>
      </c>
      <c r="AF340" s="461">
        <f>_xlfn.MINIFS($DE$156:$DE$235,$DK$156:$DK$235,"&gt;"&amp;Inputs!$H$53)</f>
        <v>0</v>
      </c>
      <c r="AG340" s="462">
        <f>_xlfn.MINIFS($DE$242:$DE$321,$DK$242:$DK$321,"&gt;"&amp;Inputs!$H$53)</f>
        <v>5.3999999999999977</v>
      </c>
      <c r="AH340" s="477">
        <f>IF(Inputs!$F$53&gt;MAX(Pile!$DK$70:$DK$149),999999,IF(Pile!AE340/(Pile!AC340/1000)&gt;50,999999,IF(Pile!AE340&lt;2,999999,Pile!AE340)))</f>
        <v>5.3999999999999977</v>
      </c>
      <c r="AI340" s="461">
        <f>IF(Inputs!AE35="Yes",999999,IF(Pile!AF340/(Pile!AC340/1000)&gt;50,999999,IF(Pile!AF340&lt;2,999999,Pile!AF340)))</f>
        <v>999999</v>
      </c>
      <c r="AJ340" s="461">
        <f>IF(Inputs!$F$53&gt;MAX(Pile!$DK$242:$DK$321),999999,IF(Pile!AG340/(Pile!AC340/1000)&gt;50,999999,IF(Pile!AG340&lt;2,999999,IF(AG340&gt;25,999999,Pile!AG340))))</f>
        <v>5.3999999999999977</v>
      </c>
      <c r="AK340" s="477">
        <f t="shared" si="370"/>
        <v>593.10518184456259</v>
      </c>
      <c r="AL340" s="461">
        <f t="shared" si="371"/>
        <v>54552036.907885328</v>
      </c>
      <c r="AM340" s="462">
        <f t="shared" si="372"/>
        <v>593.10518184456259</v>
      </c>
      <c r="AN340" s="471">
        <f t="shared" si="373"/>
        <v>298.52550000000002</v>
      </c>
      <c r="AO340" s="478">
        <v>1</v>
      </c>
      <c r="AP340" s="479">
        <v>1050</v>
      </c>
      <c r="AQ340" s="470">
        <f>Inputs!$D$39</f>
        <v>63</v>
      </c>
      <c r="AR340" s="461">
        <f>_xlfn.MINIFS($DE$70:$DE$149,$DK$70:$DK$149,"&gt;"&amp;Inputs!$H$60)</f>
        <v>5.0999999999999979</v>
      </c>
      <c r="AS340" s="461">
        <f>_xlfn.MINIFS($DE$156:$DE$235,$DK$156:$DK$235,"&gt;"&amp;Inputs!$H$60)</f>
        <v>0</v>
      </c>
      <c r="AT340" s="462">
        <f>_xlfn.MINIFS($DE$242:$DE$321,$DK$242:$DK$321,"&gt;"&amp;Inputs!$H$60)</f>
        <v>4.799999999999998</v>
      </c>
      <c r="AU340" s="477">
        <f>IF(Inputs!$F$60&gt;MAX(Pile!$DK$70:$DK$149),999999,IF(Pile!AR340/(Pile!AP340/1000)&gt;50,999999,IF(Pile!AR340&lt;2,999999,Pile!AR340)))</f>
        <v>5.0999999999999979</v>
      </c>
      <c r="AV340" s="461">
        <f>IF(Inputs!AR35="Yes",999999,IF(Pile!AS340/(Pile!AP340/1000)&gt;50,999999,IF(Pile!AS340&lt;2,999999,Pile!AS340)))</f>
        <v>999999</v>
      </c>
      <c r="AW340" s="461">
        <f>IF(Inputs!$F$60&gt;MAX(Pile!$DK$242:$DK$321),999999,IF(Pile!AT340/(Pile!AP340/1000)&gt;50,999999,IF(Pile!AT340&lt;2,999999,IF(AT340&gt;25,999999,Pile!AT340))))</f>
        <v>4.799999999999998</v>
      </c>
      <c r="AX340" s="477">
        <f t="shared" si="374"/>
        <v>576.73964396430904</v>
      </c>
      <c r="AY340" s="461">
        <f t="shared" si="375"/>
        <v>54552036.907885328</v>
      </c>
      <c r="AZ340" s="462">
        <f t="shared" si="376"/>
        <v>560.3741060840556</v>
      </c>
      <c r="BA340" s="467">
        <f t="shared" si="377"/>
        <v>298.52550000000002</v>
      </c>
      <c r="BB340" s="478">
        <v>1</v>
      </c>
      <c r="BC340" s="479">
        <v>1050</v>
      </c>
      <c r="BD340" s="470">
        <f>Inputs!$D$39</f>
        <v>63</v>
      </c>
      <c r="BE340" s="461">
        <f>_xlfn.MINIFS($DE$70:$DE$149,$DK$70:$DK$149,"&gt;"&amp;Inputs!$H$67)</f>
        <v>5.6999999999999975</v>
      </c>
      <c r="BF340" s="461">
        <f>_xlfn.MINIFS($DE$156:$DE$235,$DK$156:$DK$235,"&gt;"&amp;Inputs!$H$67)</f>
        <v>0</v>
      </c>
      <c r="BG340" s="462">
        <f>_xlfn.MINIFS($DE$242:$DE$321,$DK$242:$DK$321,"&gt;"&amp;Inputs!$H$67)</f>
        <v>5.3999999999999977</v>
      </c>
      <c r="BH340" s="477">
        <f>IF(Inputs!$F$67&gt;MAX(Pile!$DK$70:$DK$149),999999,IF(Pile!BE340/(Pile!BC340/1000)&gt;50,999999,IF(Pile!BE340&lt;2,999999,Pile!BE340)))</f>
        <v>5.6999999999999975</v>
      </c>
      <c r="BI340" s="461">
        <f>IF(Inputs!BE35="Yes",999999,IF(Pile!BF340/(Pile!BC340/1000)&gt;50,999999,IF(Pile!BF340&lt;2,999999,Pile!BF340)))</f>
        <v>999999</v>
      </c>
      <c r="BJ340" s="461">
        <f>IF(Inputs!$F$67&gt;MAX(Pile!$DK$242:$DK$321),999999,IF(Pile!BG340/(Pile!BC340/1000)&gt;50,999999,IF(Pile!BG340&lt;2,999999,IF(BG340&gt;25,999999,Pile!BG340))))</f>
        <v>5.3999999999999977</v>
      </c>
      <c r="BK340" s="477">
        <f t="shared" si="378"/>
        <v>609.47071972481604</v>
      </c>
      <c r="BL340" s="461">
        <f t="shared" si="379"/>
        <v>54552036.907885328</v>
      </c>
      <c r="BM340" s="462">
        <f t="shared" si="380"/>
        <v>593.10518184456259</v>
      </c>
      <c r="BN340" s="467">
        <f t="shared" si="381"/>
        <v>298.52550000000002</v>
      </c>
      <c r="BO340" s="478">
        <v>1</v>
      </c>
      <c r="BP340" s="479">
        <v>1050</v>
      </c>
      <c r="BQ340" s="470">
        <f>Inputs!$D$39</f>
        <v>63</v>
      </c>
      <c r="BR340" s="461">
        <f>_xlfn.MINIFS($DE$70:$DE$149,$DK$70:$DK$149,"&gt;"&amp;Inputs!$H$74)</f>
        <v>13.499999999999996</v>
      </c>
      <c r="BS340" s="461">
        <f>_xlfn.MINIFS($DE$156:$DE$235,$DK$156:$DK$235,"&gt;"&amp;Inputs!$H$74)</f>
        <v>0</v>
      </c>
      <c r="BT340" s="462">
        <f>_xlfn.MINIFS($DE$242:$DE$321,$DK$242:$DK$321,"&gt;"&amp;Inputs!$H$74)</f>
        <v>5.9999999999999982</v>
      </c>
      <c r="BU340" s="477">
        <f>IF(Inputs!$F$74&gt;MAX(Pile!$DK$70:$DK$149),999999,IF(Pile!BR340/(Pile!BP340/1000)&gt;50,999999,IF(Pile!BR340&lt;2,999999,Pile!BR340)))</f>
        <v>13.499999999999996</v>
      </c>
      <c r="BV340" s="461">
        <f>IF(Inputs!BR35="Yes",999999,IF(Pile!BS340/(Pile!BP340/1000)&gt;50,999999,IF(Pile!BS340&lt;2,999999,Pile!BS340)))</f>
        <v>999999</v>
      </c>
      <c r="BW340" s="461">
        <f>IF(Inputs!$F$74&gt;MAX(Pile!$DK$242:$DK$321),999999,IF(Pile!BT340/(Pile!BP340/1000)&gt;50,999999,IF(Pile!BT340&lt;2,999999,IF(BT340&gt;25,999999,Pile!BT340))))</f>
        <v>5.9999999999999982</v>
      </c>
      <c r="BX340" s="477">
        <f t="shared" si="382"/>
        <v>1034.9747046114064</v>
      </c>
      <c r="BY340" s="461">
        <f t="shared" si="383"/>
        <v>54552036.907885328</v>
      </c>
      <c r="BZ340" s="462">
        <f t="shared" si="384"/>
        <v>625.83625760506948</v>
      </c>
      <c r="CA340" s="467">
        <f t="shared" si="385"/>
        <v>298.52550000000002</v>
      </c>
      <c r="CB340" s="478">
        <v>1</v>
      </c>
      <c r="CC340" s="479">
        <v>1050</v>
      </c>
      <c r="CD340" s="470">
        <f>Inputs!$D$39</f>
        <v>63</v>
      </c>
      <c r="CE340" s="461">
        <f>_xlfn.MINIFS($DE$70:$DE$149,$DK$70:$DK$149,"&gt;"&amp;Inputs!$H$81)</f>
        <v>5.0999999999999979</v>
      </c>
      <c r="CF340" s="461">
        <f>_xlfn.MINIFS($DE$156:$DE$235,$DK$156:$DK$235,"&gt;"&amp;Inputs!$H$81)</f>
        <v>0</v>
      </c>
      <c r="CG340" s="462">
        <f>_xlfn.MINIFS($DE$242:$DE$321,$DK$242:$DK$321,"&gt;"&amp;Inputs!$H$81)</f>
        <v>4.799999999999998</v>
      </c>
      <c r="CH340" s="477">
        <f>IF(Inputs!$F$81&gt;MAX(Pile!$DK$70:$DK$149),999999,IF(Pile!CE340/(Pile!CC340/1000)&gt;50,999999,IF(Pile!CE340&lt;2,999999,Pile!CE340)))</f>
        <v>5.0999999999999979</v>
      </c>
      <c r="CI340" s="461">
        <f>IF(Inputs!CE35="Yes",999999,IF(Pile!CF340/(Pile!CC340/1000)&gt;50,999999,IF(Pile!CF340&lt;2,999999,Pile!CF340)))</f>
        <v>999999</v>
      </c>
      <c r="CJ340" s="461">
        <f>IF(Inputs!$F$81&gt;MAX(Pile!$DK$242:$DK$321),999999,IF(Pile!CG340/(Pile!CC340/1000)&gt;50,999999,IF(Pile!CG340&lt;2,999999,IF(CG340&gt;25,999999,Pile!CG340))))</f>
        <v>4.799999999999998</v>
      </c>
      <c r="CK340" s="477">
        <f t="shared" si="386"/>
        <v>576.73964396430904</v>
      </c>
      <c r="CL340" s="461">
        <f t="shared" si="387"/>
        <v>54552036.907885328</v>
      </c>
      <c r="CM340" s="462">
        <f t="shared" si="388"/>
        <v>560.3741060840556</v>
      </c>
      <c r="CN340" s="467">
        <f t="shared" si="389"/>
        <v>298.52550000000002</v>
      </c>
      <c r="CO340" s="478">
        <v>1</v>
      </c>
      <c r="CP340" s="479">
        <v>1050</v>
      </c>
      <c r="CQ340" s="470">
        <f>Inputs!$D$39</f>
        <v>63</v>
      </c>
      <c r="CR340" s="461">
        <f>_xlfn.MINIFS($DE$70:$DE$149,$DK$70:$DK$149,"&gt;"&amp;Inputs!$H$88)</f>
        <v>4.4999999999999982</v>
      </c>
      <c r="CS340" s="461">
        <f>_xlfn.MINIFS($DE$156:$DE$235,$DK$156:$DK$235,"&gt;"&amp;Inputs!$H$88)</f>
        <v>0</v>
      </c>
      <c r="CT340" s="462">
        <f>_xlfn.MINIFS($DE$242:$DE$321,$DK$242:$DK$321,"&gt;"&amp;Inputs!$H$88)</f>
        <v>4.1999999999999975</v>
      </c>
      <c r="CU340" s="477">
        <f>IF(Inputs!$F$88&gt;MAX(Pile!$DK$70:$DK$149),999999,IF(Pile!CR340/(Pile!CP340/1000)&gt;50,999999,IF(Pile!CR340&lt;2,999999,Pile!CR340)))</f>
        <v>4.4999999999999982</v>
      </c>
      <c r="CV340" s="461">
        <f>IF(Inputs!CR35="Yes",999999,IF(Pile!CS340/(Pile!CP340/1000)&gt;50,999999,IF(Pile!CS340&lt;2,999999,Pile!CS340)))</f>
        <v>999999</v>
      </c>
      <c r="CW340" s="461">
        <f>IF(Inputs!$F$88&gt;MAX(Pile!$DK$242:$DK$321),999999,IF(Pile!CT340/(Pile!CP340/1000)&gt;50,999999,IF(Pile!CT340&lt;2,999999,IF(CT340&gt;25,999999,Pile!CT340))))</f>
        <v>4.1999999999999975</v>
      </c>
      <c r="CX340" s="477">
        <f t="shared" si="390"/>
        <v>544.00856820380216</v>
      </c>
      <c r="CY340" s="461">
        <f t="shared" si="391"/>
        <v>54552036.907885328</v>
      </c>
      <c r="CZ340" s="462">
        <f t="shared" si="392"/>
        <v>527.6430303235486</v>
      </c>
      <c r="DA340" s="467">
        <f t="shared" si="393"/>
        <v>298.52550000000002</v>
      </c>
      <c r="DB340" s="478">
        <v>1</v>
      </c>
      <c r="DC340" s="479">
        <v>1050</v>
      </c>
      <c r="DD340" s="470">
        <f>Inputs!$D$39</f>
        <v>63</v>
      </c>
      <c r="DE340" s="461">
        <f>_xlfn.MINIFS($DE$70:$DE$149,$DK$70:$DK$149,"&gt;"&amp;Inputs!$H$95)</f>
        <v>4.4999999999999982</v>
      </c>
      <c r="DF340" s="461">
        <f>_xlfn.MINIFS($DE$156:$DE$235,$DK$156:$DK$235,"&gt;"&amp;Inputs!$H$95)</f>
        <v>0</v>
      </c>
      <c r="DG340" s="462">
        <f>_xlfn.MINIFS($DE$242:$DE$321,$DK$242:$DK$321,"&gt;"&amp;Inputs!$H$95)</f>
        <v>4.1999999999999975</v>
      </c>
      <c r="DH340" s="477">
        <f>IF(Inputs!$F$95&gt;MAX(Pile!$DK$70:$DK$149),999999,IF(Pile!DE340/(Pile!DC340/1000)&gt;50,999999,IF(Pile!DE340&lt;2,999999,Pile!DE340)))</f>
        <v>4.4999999999999982</v>
      </c>
      <c r="DI340" s="461">
        <f>IF(Inputs!DE35="Yes",999999,IF(Pile!DF340/(Pile!DC340/1000)&gt;50,999999,IF(Pile!DF340&lt;2,999999,Pile!DF340)))</f>
        <v>999999</v>
      </c>
      <c r="DJ340" s="461">
        <f>IF(Inputs!$F$95&gt;MAX(Pile!$DK$242:$DK$321),999999,IF(Pile!DG340/(Pile!DC340/1000)&gt;50,999999,IF(Pile!DG340&lt;2,999999,IF(DG340&gt;25,999999,Pile!DG340))))</f>
        <v>4.1999999999999975</v>
      </c>
      <c r="DK340" s="477">
        <f t="shared" si="394"/>
        <v>544.00856820380216</v>
      </c>
      <c r="DL340" s="461">
        <f t="shared" si="395"/>
        <v>54552036.907885328</v>
      </c>
      <c r="DM340" s="462">
        <f t="shared" si="396"/>
        <v>527.6430303235486</v>
      </c>
      <c r="DN340" s="467">
        <f t="shared" si="397"/>
        <v>298.52550000000002</v>
      </c>
      <c r="DO340" s="478">
        <v>1</v>
      </c>
      <c r="DP340" s="479">
        <v>1050</v>
      </c>
      <c r="DQ340" s="470">
        <f>Inputs!$D$39</f>
        <v>63</v>
      </c>
      <c r="DR340" s="461">
        <f>_xlfn.MINIFS($DE$70:$DE$149,$DK$70:$DK$149,"&gt;"&amp;Inputs!$H$102)</f>
        <v>2.9999999999999982</v>
      </c>
      <c r="DS340" s="461">
        <f>_xlfn.MINIFS($DE$156:$DE$235,$DK$156:$DK$235,"&gt;"&amp;Inputs!$H$102)</f>
        <v>0</v>
      </c>
      <c r="DT340" s="462">
        <f>_xlfn.MINIFS($DE$242:$DE$321,$DK$242:$DK$321,"&gt;"&amp;Inputs!$H$102)</f>
        <v>2.9999999999999982</v>
      </c>
      <c r="DU340" s="477">
        <f>IF(Inputs!$F$102&gt;MAX(Pile!$DK$70:$DK$149),999999,IF(Pile!DR340/(Pile!DP340/1000)&gt;50,999999,IF(Pile!DR340&lt;2,999999,Pile!DR340)))</f>
        <v>2.9999999999999982</v>
      </c>
      <c r="DV340" s="461">
        <f>IF(Inputs!DR35="Yes",999999,IF(Pile!DS340/(Pile!DP340/1000)&gt;50,999999,IF(Pile!DS340&lt;2,999999,Pile!DS340)))</f>
        <v>999999</v>
      </c>
      <c r="DW340" s="461">
        <f>IF(Inputs!$F$102&gt;MAX(Pile!$DK$242:$DK$321),999999,IF(Pile!DT340/(Pile!DP340/1000)&gt;50,999999,IF(Pile!DT340&lt;2,999999,IF(DT340&gt;25,999999,Pile!DT340))))</f>
        <v>2.9999999999999982</v>
      </c>
      <c r="DX340" s="477">
        <f t="shared" si="398"/>
        <v>462.18087880253472</v>
      </c>
      <c r="DY340" s="461">
        <f t="shared" si="399"/>
        <v>54552036.907885328</v>
      </c>
      <c r="DZ340" s="462">
        <f t="shared" si="400"/>
        <v>462.18087880253472</v>
      </c>
      <c r="EA340" s="467">
        <f t="shared" si="401"/>
        <v>298.52550000000002</v>
      </c>
      <c r="EB340" s="478">
        <v>1</v>
      </c>
      <c r="EC340" s="479">
        <v>1050</v>
      </c>
      <c r="ED340" s="470">
        <f>Inputs!$D$39</f>
        <v>63</v>
      </c>
      <c r="EE340" s="461">
        <f>_xlfn.MINIFS($DE$70:$DE$149,$DK$70:$DK$149,"&gt;"&amp;Inputs!$H$109)</f>
        <v>3.299999999999998</v>
      </c>
      <c r="EF340" s="461">
        <f>_xlfn.MINIFS($DE$156:$DE$235,$DK$156:$DK$235,"&gt;"&amp;Inputs!$H$109)</f>
        <v>0</v>
      </c>
      <c r="EG340" s="462">
        <f>_xlfn.MINIFS($DE$242:$DE$321,$DK$242:$DK$321,"&gt;"&amp;Inputs!$H$109)</f>
        <v>2.9999999999999982</v>
      </c>
      <c r="EH340" s="477">
        <f>IF(Inputs!$F$109&gt;MAX(Pile!$DK$70:$DK$149),999999,IF(Pile!EE340/(Pile!EC340/1000)&gt;50,999999,IF(Pile!EE340&lt;2,999999,Pile!EE340)))</f>
        <v>3.299999999999998</v>
      </c>
      <c r="EI340" s="461">
        <f>IF(Inputs!EE35="Yes",999999,IF(Pile!EF340/(Pile!EC340/1000)&gt;50,999999,IF(Pile!EF340&lt;2,999999,Pile!EF340)))</f>
        <v>999999</v>
      </c>
      <c r="EJ340" s="461">
        <f>IF(Inputs!$F$109&gt;MAX(Pile!$DK$242:$DK$321),999999,IF(Pile!EG340/(Pile!EC340/1000)&gt;50,999999,IF(Pile!EG340&lt;2,999999,IF(EG340&gt;25,999999,Pile!EG340))))</f>
        <v>2.9999999999999982</v>
      </c>
      <c r="EK340" s="477">
        <f t="shared" si="402"/>
        <v>478.54641668278816</v>
      </c>
      <c r="EL340" s="461">
        <f t="shared" si="403"/>
        <v>54552036.907885328</v>
      </c>
      <c r="EM340" s="462">
        <f t="shared" si="404"/>
        <v>462.18087880253472</v>
      </c>
      <c r="EN340" s="467">
        <f t="shared" si="405"/>
        <v>298.52550000000002</v>
      </c>
      <c r="EO340" s="478">
        <v>1</v>
      </c>
      <c r="EP340" s="479">
        <v>1050</v>
      </c>
      <c r="EQ340" s="470">
        <f>Inputs!$D$39</f>
        <v>63</v>
      </c>
      <c r="ER340" s="461">
        <f>_xlfn.MINIFS($DE$70:$DE$149,$DK$70:$DK$149,"&gt;"&amp;Inputs!$H$116)</f>
        <v>0.29999999999999982</v>
      </c>
      <c r="ES340" s="461">
        <f>_xlfn.MINIFS($DE$156:$DE$235,$DK$156:$DK$235,"&gt;"&amp;Inputs!$H$116)</f>
        <v>0</v>
      </c>
      <c r="ET340" s="462">
        <f>_xlfn.MINIFS($DE$242:$DE$321,$DK$242:$DK$321,"&gt;"&amp;Inputs!$H$116)</f>
        <v>0.29999999999999982</v>
      </c>
      <c r="EU340" s="477">
        <f>IF(Inputs!$F$116&gt;MAX(Pile!$DK$70:$DK$149),999999,IF(Pile!ER340/(Pile!EP340/1000)&gt;50,999999,IF(Pile!ER340&lt;2,999999,Pile!ER340)))</f>
        <v>999999</v>
      </c>
      <c r="EV340" s="461">
        <f>IF(Inputs!ER35="Yes",999999,IF(Inputs!$F$116&gt;MAX(Pile!$DG$156:$DG$235),999999,IF(Pile!ES340/(Pile!EP340/1000)&gt;50,999999,IF(Pile!ES340&lt;2,999999,Pile!ES340))))</f>
        <v>999999</v>
      </c>
      <c r="EW340" s="461">
        <f>IF(Inputs!$F$116&gt;MAX(Pile!$DK$242:$DK$321),999999,IF(Pile!ET340/(Pile!EP340/1000)&gt;50,999999,IF(Pile!ET340&lt;2,999999,IF(ET340&gt;25,999999,Pile!ET340))))</f>
        <v>999999</v>
      </c>
      <c r="EX340" s="480">
        <f t="shared" si="360"/>
        <v>54551738.382385328</v>
      </c>
      <c r="EY340" s="481">
        <f t="shared" si="361"/>
        <v>54551738.382385328</v>
      </c>
      <c r="EZ340" s="482">
        <f t="shared" si="362"/>
        <v>54551738.382385328</v>
      </c>
    </row>
    <row r="341" spans="1:156" ht="15.75" thickBot="1">
      <c r="B341" s="475">
        <v>1</v>
      </c>
      <c r="C341" s="483">
        <v>1200</v>
      </c>
      <c r="D341" s="460">
        <f>Inputs!$D$39</f>
        <v>63</v>
      </c>
      <c r="E341" s="461">
        <f>_xlfn.MINIFS($DE$70:$DE$149,$DL$70:$DL$149,"&gt;"&amp;Inputs!$H$39)</f>
        <v>4.799999999999998</v>
      </c>
      <c r="F341" s="461">
        <f>_xlfn.MINIFS($DE$156:$DE$235,$DL$156:$DL$235,"&gt;"&amp;Inputs!$H$39)</f>
        <v>0</v>
      </c>
      <c r="G341" s="484">
        <f>_xlfn.MINIFS($DE$242:$DE$321,$DL$242:$DL$321,"&gt;"&amp;Inputs!$H$39)</f>
        <v>4.799999999999998</v>
      </c>
      <c r="H341" s="485">
        <f>IF(Inputs!$F$39&gt;MAX(Pile!$DL$70:$DL$149),999999,IF(Pile!E341/(Pile!C341/1000)&gt;50,999999,IF(Pile!E341&lt;2,999999,Pile!E341)))</f>
        <v>4.799999999999998</v>
      </c>
      <c r="I341" s="486">
        <f>IF(Inputs!E36="Yes",999999,IF(Pile!F341/(Pile!C341/1000)&gt;50,999999,IF(Pile!F341&lt;2,999999,Pile!F341)))</f>
        <v>999999</v>
      </c>
      <c r="J341" s="486">
        <f>IF(Inputs!$F$39&gt;MAX(Pile!$DL$242:$DL$321),999999,IF(Pile!G341/(Pile!C341/1000)&gt;50,999999,IF(Pile!G341&lt;2,999999,IF(G341&gt;25,999999,Pile!G341))))</f>
        <v>4.799999999999998</v>
      </c>
      <c r="K341" s="485">
        <f t="shared" si="363"/>
        <v>767.25634264039911</v>
      </c>
      <c r="L341" s="486">
        <f t="shared" si="364"/>
        <v>71251675.382095128</v>
      </c>
      <c r="M341" s="484">
        <f t="shared" si="365"/>
        <v>767.25634264039911</v>
      </c>
      <c r="N341" s="466">
        <f>Inputs!$D$39*D464</f>
        <v>425.25</v>
      </c>
      <c r="O341" s="475">
        <v>1</v>
      </c>
      <c r="P341" s="483">
        <v>1200</v>
      </c>
      <c r="Q341" s="460">
        <f>Inputs!$D$39</f>
        <v>63</v>
      </c>
      <c r="R341" s="461">
        <f>_xlfn.MINIFS($DE$70:$DE$149,$DL$70:$DL$149,"&gt;"&amp;Inputs!$H$46)</f>
        <v>4.799999999999998</v>
      </c>
      <c r="S341" s="461">
        <f>_xlfn.MINIFS($DE$156:$DE$235,$DL$156:$DL$235,"&gt;"&amp;Inputs!$H$46)</f>
        <v>0</v>
      </c>
      <c r="T341" s="484">
        <f>_xlfn.MINIFS($DE$242:$DE$321,$DL$242:$DL$321,"&gt;"&amp;Inputs!$H$46)</f>
        <v>4.4999999999999982</v>
      </c>
      <c r="U341" s="485">
        <f>IF(Inputs!$F$46&gt;MAX(Pile!$DL$70:$DL$149),999999,IF(Pile!R341/(Pile!P341/1000)&gt;50,999999,IF(Pile!R341&lt;2,999999,Pile!R341)))</f>
        <v>4.799999999999998</v>
      </c>
      <c r="V341" s="486">
        <f>IF(Inputs!R36="Yes",999999,IF(Pile!S341/(Pile!P341/1000)&gt;50,999999,IF(Pile!S341&lt;2,999999,Pile!S341)))</f>
        <v>999999</v>
      </c>
      <c r="W341" s="486">
        <f>IF(Inputs!$F$46&gt;MAX(Pile!$DL$242:$DL$321),999999,IF(Pile!T341/(Pile!P341/1000)&gt;50,999999,IF(Pile!T341&lt;2,999999,IF(T341&gt;25,999999,Pile!T341))))</f>
        <v>4.4999999999999982</v>
      </c>
      <c r="X341" s="485">
        <f t="shared" si="366"/>
        <v>767.25634264039911</v>
      </c>
      <c r="Y341" s="486">
        <f t="shared" si="367"/>
        <v>71251675.382095128</v>
      </c>
      <c r="Z341" s="484">
        <f t="shared" si="368"/>
        <v>745.88094622537415</v>
      </c>
      <c r="AA341" s="467">
        <f t="shared" si="369"/>
        <v>425.25</v>
      </c>
      <c r="AB341" s="478">
        <v>1</v>
      </c>
      <c r="AC341" s="487">
        <v>1200</v>
      </c>
      <c r="AD341" s="470">
        <f>Inputs!$D$39</f>
        <v>63</v>
      </c>
      <c r="AE341" s="461">
        <f>_xlfn.MINIFS($DE$70:$DE$149,$DL$70:$DL$149,"&gt;"&amp;Inputs!$H$53)</f>
        <v>4.4999999999999982</v>
      </c>
      <c r="AF341" s="461">
        <f>_xlfn.MINIFS($DE$156:$DE$235,$DL$156:$DL$235,"&gt;"&amp;Inputs!$H$53)</f>
        <v>0</v>
      </c>
      <c r="AG341" s="484">
        <f>_xlfn.MINIFS($DE$242:$DE$321,$DL$242:$DL$321,"&gt;"&amp;Inputs!$H$53)</f>
        <v>4.4999999999999982</v>
      </c>
      <c r="AH341" s="485">
        <f>IF(Inputs!$F$53&gt;MAX(Pile!$DL$70:$DL$149),999999,IF(Pile!AE341/(Pile!AC341/1000)&gt;50,999999,IF(Pile!AE341&lt;2,999999,Pile!AE341)))</f>
        <v>4.4999999999999982</v>
      </c>
      <c r="AI341" s="486">
        <f>IF(Inputs!AE36="Yes",999999,IF(Pile!AF341/(Pile!AC341/1000)&gt;50,999999,IF(Pile!AF341&lt;2,999999,Pile!AF341)))</f>
        <v>999999</v>
      </c>
      <c r="AJ341" s="486">
        <f>IF(Inputs!$F$53&gt;MAX(Pile!$DL$242:$DL$321),999999,IF(Pile!AG341/(Pile!AC341/1000)&gt;50,999999,IF(Pile!AG341&lt;2,999999,IF(AG341&gt;25,999999,Pile!AG341))))</f>
        <v>4.4999999999999982</v>
      </c>
      <c r="AK341" s="485">
        <f t="shared" si="370"/>
        <v>745.88094622537415</v>
      </c>
      <c r="AL341" s="486">
        <f t="shared" si="371"/>
        <v>71251675.382095128</v>
      </c>
      <c r="AM341" s="484">
        <f t="shared" si="372"/>
        <v>745.88094622537415</v>
      </c>
      <c r="AN341" s="471">
        <f t="shared" si="373"/>
        <v>425.25</v>
      </c>
      <c r="AO341" s="478">
        <v>1</v>
      </c>
      <c r="AP341" s="487">
        <v>1200</v>
      </c>
      <c r="AQ341" s="470">
        <f>Inputs!$D$39</f>
        <v>63</v>
      </c>
      <c r="AR341" s="486">
        <f>_xlfn.MINIFS($DE$70:$DE$149,$DL$70:$DL$149,"&gt;"&amp;Inputs!$H$60)</f>
        <v>4.1999999999999975</v>
      </c>
      <c r="AS341" s="486">
        <f>_xlfn.MINIFS($DE$156:$DE$235,$DL$156:$DL$235,"&gt;"&amp;Inputs!$H$60)</f>
        <v>0</v>
      </c>
      <c r="AT341" s="484">
        <f>_xlfn.MINIFS($DE$242:$DE$321,$DL$242:$DL$321,"&gt;"&amp;Inputs!$H$60)</f>
        <v>3.8999999999999977</v>
      </c>
      <c r="AU341" s="485">
        <f>IF(Inputs!$F$60&gt;MAX(Pile!$DL$70:$DL$149),999999,IF(Pile!AR341/(Pile!AP341/1000)&gt;50,999999,IF(Pile!AR341&lt;2,999999,Pile!AR341)))</f>
        <v>4.1999999999999975</v>
      </c>
      <c r="AV341" s="486">
        <f>IF(Inputs!AR36="Yes",999999,IF(Pile!AS341/(Pile!AP341/1000)&gt;50,999999,IF(Pile!AS341&lt;2,999999,Pile!AS341)))</f>
        <v>999999</v>
      </c>
      <c r="AW341" s="486">
        <f>IF(Inputs!$F$60&gt;MAX(Pile!$DL$242:$DL$321),999999,IF(Pile!AT341/(Pile!AP341/1000)&gt;50,999999,IF(Pile!AT341&lt;2,999999,IF(AT341&gt;25,999999,Pile!AT341))))</f>
        <v>3.8999999999999977</v>
      </c>
      <c r="AX341" s="485">
        <f t="shared" si="374"/>
        <v>724.50554981034918</v>
      </c>
      <c r="AY341" s="486">
        <f t="shared" si="375"/>
        <v>71251675.382095128</v>
      </c>
      <c r="AZ341" s="484">
        <f t="shared" si="376"/>
        <v>703.13015339532421</v>
      </c>
      <c r="BA341" s="467">
        <f t="shared" si="377"/>
        <v>425.25</v>
      </c>
      <c r="BB341" s="478">
        <v>1</v>
      </c>
      <c r="BC341" s="487">
        <v>1200</v>
      </c>
      <c r="BD341" s="470">
        <f>Inputs!$D$39</f>
        <v>63</v>
      </c>
      <c r="BE341" s="486">
        <f>_xlfn.MINIFS($DE$70:$DE$149,$DL$70:$DL$149,"&gt;"&amp;Inputs!$H$67)</f>
        <v>4.4999999999999982</v>
      </c>
      <c r="BF341" s="486">
        <f>_xlfn.MINIFS($DE$156:$DE$235,$DL$156:$DL$235,"&gt;"&amp;Inputs!$H$67)</f>
        <v>0</v>
      </c>
      <c r="BG341" s="484">
        <f>_xlfn.MINIFS($DE$242:$DE$321,$DL$242:$DL$321,"&gt;"&amp;Inputs!$H$67)</f>
        <v>4.4999999999999982</v>
      </c>
      <c r="BH341" s="485">
        <f>IF(Inputs!$F$67&gt;MAX(Pile!$DL$70:$DL$149),999999,IF(Pile!BE341/(Pile!BC341/1000)&gt;50,999999,IF(Pile!BE341&lt;2,999999,Pile!BE341)))</f>
        <v>4.4999999999999982</v>
      </c>
      <c r="BI341" s="486">
        <f>IF(Inputs!BE36="Yes",999999,IF(Pile!BF341/(Pile!BC341/1000)&gt;50,999999,IF(Pile!BF341&lt;2,999999,Pile!BF341)))</f>
        <v>999999</v>
      </c>
      <c r="BJ341" s="486">
        <f>IF(Inputs!$F$67&gt;MAX(Pile!$DL$242:$DL$321),999999,IF(Pile!BG341/(Pile!BC341/1000)&gt;50,999999,IF(Pile!BG341&lt;2,999999,IF(BG341&gt;25,999999,Pile!BG341))))</f>
        <v>4.4999999999999982</v>
      </c>
      <c r="BK341" s="485">
        <f t="shared" si="378"/>
        <v>745.88094622537415</v>
      </c>
      <c r="BL341" s="486">
        <f t="shared" si="379"/>
        <v>71251675.382095128</v>
      </c>
      <c r="BM341" s="484">
        <f t="shared" si="380"/>
        <v>745.88094622537415</v>
      </c>
      <c r="BN341" s="467">
        <f t="shared" si="381"/>
        <v>425.25</v>
      </c>
      <c r="BO341" s="478">
        <v>1</v>
      </c>
      <c r="BP341" s="487">
        <v>1200</v>
      </c>
      <c r="BQ341" s="470">
        <f>Inputs!$D$39</f>
        <v>63</v>
      </c>
      <c r="BR341" s="486">
        <f>_xlfn.MINIFS($DE$70:$DE$149,$DL$70:$DL$149,"&gt;"&amp;Inputs!$H$74)</f>
        <v>5.3999999999999977</v>
      </c>
      <c r="BS341" s="486">
        <f>_xlfn.MINIFS($DE$156:$DE$235,$DL$156:$DL$235,"&gt;"&amp;Inputs!$H$74)</f>
        <v>0</v>
      </c>
      <c r="BT341" s="484">
        <f>_xlfn.MINIFS($DE$242:$DE$321,$DL$242:$DL$321,"&gt;"&amp;Inputs!$H$74)</f>
        <v>5.0999999999999979</v>
      </c>
      <c r="BU341" s="485">
        <f>IF(Inputs!$F$74&gt;MAX(Pile!$DL$70:$DL$149),999999,IF(Pile!BR341/(Pile!BP341/1000)&gt;50,999999,IF(Pile!BR341&lt;2,999999,Pile!BR341)))</f>
        <v>5.3999999999999977</v>
      </c>
      <c r="BV341" s="486">
        <f>IF(Inputs!BR36="Yes",999999,IF(Pile!BS341/(Pile!BP341/1000)&gt;50,999999,IF(Pile!BS341&lt;2,999999,Pile!BS341)))</f>
        <v>999999</v>
      </c>
      <c r="BW341" s="486">
        <f>IF(Inputs!$F$74&gt;MAX(Pile!$DL$242:$DL$321),999999,IF(Pile!BT341/(Pile!BP341/1000)&gt;50,999999,IF(Pile!BT341&lt;2,999999,IF(BT341&gt;25,999999,Pile!BT341))))</f>
        <v>5.0999999999999979</v>
      </c>
      <c r="BX341" s="485">
        <f t="shared" si="382"/>
        <v>810.00713547044893</v>
      </c>
      <c r="BY341" s="486">
        <f t="shared" si="383"/>
        <v>71251675.382095128</v>
      </c>
      <c r="BZ341" s="484">
        <f t="shared" si="384"/>
        <v>788.63173905542408</v>
      </c>
      <c r="CA341" s="467">
        <f t="shared" si="385"/>
        <v>425.25</v>
      </c>
      <c r="CB341" s="478">
        <v>1</v>
      </c>
      <c r="CC341" s="487">
        <v>1200</v>
      </c>
      <c r="CD341" s="470">
        <f>Inputs!$D$39</f>
        <v>63</v>
      </c>
      <c r="CE341" s="486">
        <f>_xlfn.MINIFS($DE$70:$DE$149,$DL$70:$DL$149,"&gt;"&amp;Inputs!$H$81)</f>
        <v>4.1999999999999975</v>
      </c>
      <c r="CF341" s="486">
        <f>_xlfn.MINIFS($DE$156:$DE$235,$DL$156:$DL$235,"&gt;"&amp;Inputs!$H$81)</f>
        <v>0</v>
      </c>
      <c r="CG341" s="484">
        <f>_xlfn.MINIFS($DE$242:$DE$321,$DL$242:$DL$321,"&gt;"&amp;Inputs!$H$81)</f>
        <v>3.8999999999999977</v>
      </c>
      <c r="CH341" s="485">
        <f>IF(Inputs!$F$81&gt;MAX(Pile!$DL$70:$DL$149),999999,IF(Pile!CE341/(Pile!CC341/1000)&gt;50,999999,IF(Pile!CE341&lt;2,999999,Pile!CE341)))</f>
        <v>4.1999999999999975</v>
      </c>
      <c r="CI341" s="486">
        <f>IF(Inputs!CE36="Yes",999999,IF(Pile!CF341/(Pile!CC341/1000)&gt;50,999999,IF(Pile!CF341&lt;2,999999,Pile!CF341)))</f>
        <v>999999</v>
      </c>
      <c r="CJ341" s="486">
        <f>IF(Inputs!$F$81&gt;MAX(Pile!$DL$242:$DL$321),999999,IF(Pile!CG341/(Pile!CC341/1000)&gt;50,999999,IF(Pile!CG341&lt;2,999999,IF(CG341&gt;25,999999,Pile!CG341))))</f>
        <v>3.8999999999999977</v>
      </c>
      <c r="CK341" s="485">
        <f t="shared" si="386"/>
        <v>724.50554981034918</v>
      </c>
      <c r="CL341" s="486">
        <f t="shared" si="387"/>
        <v>71251675.382095128</v>
      </c>
      <c r="CM341" s="484">
        <f t="shared" si="388"/>
        <v>703.13015339532421</v>
      </c>
      <c r="CN341" s="467">
        <f t="shared" si="389"/>
        <v>425.25</v>
      </c>
      <c r="CO341" s="478">
        <v>1</v>
      </c>
      <c r="CP341" s="487">
        <v>1200</v>
      </c>
      <c r="CQ341" s="470">
        <f>Inputs!$D$39</f>
        <v>63</v>
      </c>
      <c r="CR341" s="486">
        <f>_xlfn.MINIFS($DE$70:$DE$149,$DL$70:$DL$149,"&gt;"&amp;Inputs!$H$88)</f>
        <v>3.5999999999999979</v>
      </c>
      <c r="CS341" s="486">
        <f>_xlfn.MINIFS($DE$156:$DE$235,$DL$156:$DL$235,"&gt;"&amp;Inputs!$H$88)</f>
        <v>0</v>
      </c>
      <c r="CT341" s="484">
        <f>_xlfn.MINIFS($DE$242:$DE$321,$DL$242:$DL$321,"&gt;"&amp;Inputs!$H$88)</f>
        <v>3.5999999999999979</v>
      </c>
      <c r="CU341" s="485">
        <f>IF(Inputs!$F$88&gt;MAX(Pile!$DL$70:$DL$149),999999,IF(Pile!CR341/(Pile!CP341/1000)&gt;50,999999,IF(Pile!CR341&lt;2,999999,Pile!CR341)))</f>
        <v>3.5999999999999979</v>
      </c>
      <c r="CV341" s="486">
        <f>IF(Inputs!CR36="Yes",999999,IF(Pile!CS341/(Pile!CP341/1000)&gt;50,999999,IF(Pile!CS341&lt;2,999999,Pile!CS341)))</f>
        <v>999999</v>
      </c>
      <c r="CW341" s="486">
        <f>IF(Inputs!$F$88&gt;MAX(Pile!$DL$242:$DL$321),999999,IF(Pile!CT341/(Pile!CP341/1000)&gt;50,999999,IF(Pile!CT341&lt;2,999999,IF(CT341&gt;25,999999,Pile!CT341))))</f>
        <v>3.5999999999999979</v>
      </c>
      <c r="CX341" s="485">
        <f t="shared" si="390"/>
        <v>681.75475698029936</v>
      </c>
      <c r="CY341" s="486">
        <f t="shared" si="391"/>
        <v>71251675.382095128</v>
      </c>
      <c r="CZ341" s="484">
        <f t="shared" si="392"/>
        <v>681.75475698029936</v>
      </c>
      <c r="DA341" s="467">
        <f t="shared" si="393"/>
        <v>425.25</v>
      </c>
      <c r="DB341" s="478">
        <v>1</v>
      </c>
      <c r="DC341" s="487">
        <v>1200</v>
      </c>
      <c r="DD341" s="470">
        <f>Inputs!$D$39</f>
        <v>63</v>
      </c>
      <c r="DE341" s="486">
        <f>_xlfn.MINIFS($DE$70:$DE$149,$DL$70:$DL$149,"&gt;"&amp;Inputs!$H$95)</f>
        <v>3.5999999999999979</v>
      </c>
      <c r="DF341" s="486">
        <f>_xlfn.MINIFS($DE$156:$DE$235,$DL$156:$DL$235,"&gt;"&amp;Inputs!$H$95)</f>
        <v>0</v>
      </c>
      <c r="DG341" s="484">
        <f>_xlfn.MINIFS($DE$242:$DE$321,$DL$242:$DL$321,"&gt;"&amp;Inputs!$H$95)</f>
        <v>3.5999999999999979</v>
      </c>
      <c r="DH341" s="485">
        <f>IF(Inputs!$F$95&gt;MAX(Pile!$DL$70:$DL$149),999999,IF(Pile!DE341/(Pile!DC341/1000)&gt;50,999999,IF(Pile!DE341&lt;2,999999,Pile!DE341)))</f>
        <v>3.5999999999999979</v>
      </c>
      <c r="DI341" s="486">
        <f>IF(Inputs!DE36="Yes",999999,IF(Pile!DF341/(Pile!DC341/1000)&gt;50,999999,IF(Pile!DF341&lt;2,999999,Pile!DF341)))</f>
        <v>999999</v>
      </c>
      <c r="DJ341" s="486">
        <f>IF(Inputs!$F$95&gt;MAX(Pile!$DL$242:$DL$321),999999,IF(Pile!DG341/(Pile!DC341/1000)&gt;50,999999,IF(Pile!DG341&lt;2,999999,IF(DG341&gt;25,999999,Pile!DG341))))</f>
        <v>3.5999999999999979</v>
      </c>
      <c r="DK341" s="485">
        <f t="shared" si="394"/>
        <v>681.75475698029936</v>
      </c>
      <c r="DL341" s="486">
        <f t="shared" si="395"/>
        <v>71251675.382095128</v>
      </c>
      <c r="DM341" s="484">
        <f t="shared" si="396"/>
        <v>681.75475698029936</v>
      </c>
      <c r="DN341" s="467">
        <f t="shared" si="397"/>
        <v>425.25</v>
      </c>
      <c r="DO341" s="478">
        <v>1</v>
      </c>
      <c r="DP341" s="487">
        <v>1200</v>
      </c>
      <c r="DQ341" s="470">
        <f>Inputs!$D$39</f>
        <v>63</v>
      </c>
      <c r="DR341" s="486">
        <f>_xlfn.MINIFS($DE$70:$DE$149,$DL$70:$DL$149,"&gt;"&amp;Inputs!$H$102)</f>
        <v>2.3999999999999986</v>
      </c>
      <c r="DS341" s="486">
        <f>_xlfn.MINIFS($DE$156:$DE$235,$DL$156:$DL$235,"&gt;"&amp;Inputs!$H$102)</f>
        <v>0</v>
      </c>
      <c r="DT341" s="484">
        <f>_xlfn.MINIFS($DE$242:$DE$321,$DL$242:$DL$321,"&gt;"&amp;Inputs!$H$102)</f>
        <v>2.3999999999999986</v>
      </c>
      <c r="DU341" s="485">
        <f>IF(Inputs!$F$102&gt;MAX(Pile!$DL$70:$DL$149),999999,IF(Pile!DR341/(Pile!DP341/1000)&gt;50,999999,IF(Pile!DR341&lt;2,999999,Pile!DR341)))</f>
        <v>2.3999999999999986</v>
      </c>
      <c r="DV341" s="486">
        <f>IF(Inputs!DR36="Yes",999999,IF(Pile!DS341/(Pile!DP341/1000)&gt;50,999999,IF(Pile!DS341&lt;2,999999,Pile!DS341)))</f>
        <v>999999</v>
      </c>
      <c r="DW341" s="486">
        <f>IF(Inputs!$F$102&gt;MAX(Pile!$DL$242:$DL$321),999999,IF(Pile!DT341/(Pile!DP341/1000)&gt;50,999999,IF(Pile!DT341&lt;2,999999,IF(DT341&gt;25,999999,Pile!DT341))))</f>
        <v>2.3999999999999986</v>
      </c>
      <c r="DX341" s="485">
        <f t="shared" si="398"/>
        <v>596.2531713201995</v>
      </c>
      <c r="DY341" s="486">
        <f t="shared" si="399"/>
        <v>71251675.382095128</v>
      </c>
      <c r="DZ341" s="484">
        <f t="shared" si="400"/>
        <v>596.2531713201995</v>
      </c>
      <c r="EA341" s="467">
        <f t="shared" si="401"/>
        <v>425.25</v>
      </c>
      <c r="EB341" s="478">
        <v>1</v>
      </c>
      <c r="EC341" s="487">
        <v>1200</v>
      </c>
      <c r="ED341" s="470">
        <f>Inputs!$D$39</f>
        <v>63</v>
      </c>
      <c r="EE341" s="486">
        <f>_xlfn.MINIFS($DE$70:$DE$149,$DL$70:$DL$149,"&gt;"&amp;Inputs!$H$109)</f>
        <v>2.6999999999999984</v>
      </c>
      <c r="EF341" s="486">
        <f>_xlfn.MINIFS($DE$156:$DE$235,$DL$156:$DL$235,"&gt;"&amp;Inputs!$H$109)</f>
        <v>0</v>
      </c>
      <c r="EG341" s="484">
        <f>_xlfn.MINIFS($DE$242:$DE$321,$DL$242:$DL$321,"&gt;"&amp;Inputs!$H$109)</f>
        <v>2.3999999999999986</v>
      </c>
      <c r="EH341" s="485">
        <f>IF(Inputs!$F$109&gt;MAX(Pile!$DL$70:$DL$149),999999,IF(Pile!EE341/(Pile!EC341/1000)&gt;50,999999,IF(Pile!EE341&lt;2,999999,Pile!EE341)))</f>
        <v>2.6999999999999984</v>
      </c>
      <c r="EI341" s="486">
        <f>IF(Inputs!EE36="Yes",999999,IF(Pile!EF341/(Pile!EC341/1000)&gt;50,999999,IF(Pile!EF341&lt;2,999999,Pile!EF341)))</f>
        <v>999999</v>
      </c>
      <c r="EJ341" s="486">
        <f>IF(Inputs!$F$109&gt;MAX(Pile!$DL$242:$DL$321),999999,IF(Pile!EG341/(Pile!EC341/1000)&gt;50,999999,IF(Pile!EG341&lt;2,999999,IF(EG341&gt;25,999999,Pile!EG341))))</f>
        <v>2.3999999999999986</v>
      </c>
      <c r="EK341" s="485">
        <f t="shared" si="402"/>
        <v>617.62856773522446</v>
      </c>
      <c r="EL341" s="486">
        <f t="shared" si="403"/>
        <v>71251675.382095128</v>
      </c>
      <c r="EM341" s="484">
        <f t="shared" si="404"/>
        <v>596.2531713201995</v>
      </c>
      <c r="EN341" s="467">
        <f t="shared" si="405"/>
        <v>425.25</v>
      </c>
      <c r="EO341" s="478">
        <v>1</v>
      </c>
      <c r="EP341" s="487">
        <v>1200</v>
      </c>
      <c r="EQ341" s="470">
        <f>Inputs!$D$39</f>
        <v>63</v>
      </c>
      <c r="ER341" s="486">
        <f>_xlfn.MINIFS($DE$70:$DE$149,$DL$70:$DL$149,"&gt;"&amp;Inputs!$H$116)</f>
        <v>0.29999999999999982</v>
      </c>
      <c r="ES341" s="486">
        <f>_xlfn.MINIFS($DE$156:$DE$235,$DL$156:$DL$235,"&gt;"&amp;Inputs!$H$116)</f>
        <v>0</v>
      </c>
      <c r="ET341" s="484">
        <f>_xlfn.MINIFS($DE$242:$DE$321,$DL$242:$DL$321,"&gt;"&amp;Inputs!$H$116)</f>
        <v>0.29999999999999982</v>
      </c>
      <c r="EU341" s="485">
        <f>IF(Inputs!$F$116&gt;MAX(Pile!$DL$70:$DL$149),999999,IF(Pile!ER341/(Pile!EP341/1000)&gt;50,999999,IF(Pile!ER341&lt;2,999999,Pile!ER341)))</f>
        <v>999999</v>
      </c>
      <c r="EV341" s="486">
        <f>IF(Inputs!ER36="Yes",999999,IF(Inputs!$F$116&gt;MAX(Pile!$DG$156:$DG$235),999999,IF(Pile!ES341/(Pile!EP341/1000)&gt;50,999999,IF(Pile!ES341&lt;2,999999,Pile!ES341))))</f>
        <v>999999</v>
      </c>
      <c r="EW341" s="486">
        <f>IF(Inputs!$F$116&gt;MAX(Pile!$DL$242:$DL$321),999999,IF(Pile!ET341/(Pile!EP341/1000)&gt;50,999999,IF(Pile!ET341&lt;2,999999,IF(ET341&gt;25,999999,Pile!ET341))))</f>
        <v>999999</v>
      </c>
      <c r="EX341" s="488">
        <f t="shared" si="360"/>
        <v>71251250.132095128</v>
      </c>
      <c r="EY341" s="489">
        <f t="shared" si="361"/>
        <v>71251250.132095128</v>
      </c>
      <c r="EZ341" s="490">
        <f t="shared" si="362"/>
        <v>71251250.132095128</v>
      </c>
    </row>
    <row r="342" spans="1:156" ht="15">
      <c r="B342" s="491">
        <v>2</v>
      </c>
      <c r="C342" s="492">
        <v>450</v>
      </c>
      <c r="D342" s="493">
        <f>Inputs!$D$39*2</f>
        <v>126</v>
      </c>
      <c r="E342" s="494">
        <f>_xlfn.MINIFS($DE$70:$DE$149,$DG$70:$DG$149,"&gt;"&amp;Inputs!$I$39)</f>
        <v>13.499999999999996</v>
      </c>
      <c r="F342" s="494">
        <f>_xlfn.MINIFS($DE$156:$DE$235,$DG$156:$DG$235,"&gt;"&amp;Inputs!$I$39)</f>
        <v>13.499999999999996</v>
      </c>
      <c r="G342" s="495">
        <f>_xlfn.MINIFS($DE$242:$DE$321,$DG$242:$DG$321,"&gt;"&amp;Inputs!$I$39)</f>
        <v>13.499999999999996</v>
      </c>
      <c r="H342" s="496">
        <f>IF(Inputs!$F$39/2&gt;MAX(Pile!$DG$70:$DG$149),999999,IF(Pile!E342/(Pile!C342/1000)&gt;50,999999,IF(Pile!E342&lt;2,999999,Pile!E342)))</f>
        <v>13.499999999999996</v>
      </c>
      <c r="I342" s="494">
        <f>IF(Inputs!E37="Yes",999999,IF(Pile!F342/(Pile!C342/1000)&gt;50,999999,IF(Pile!F342&lt;2,999999,Pile!F342)))</f>
        <v>13.499999999999996</v>
      </c>
      <c r="J342" s="494">
        <f>IF(Inputs!$F$39/2&gt;MAX(Pile!$DG$242:$DG$321),999999,IF(Pile!G342/(Pile!C342/1000)&gt;50,999999,IF(Pile!G342&lt;2,999999,IF(G342&gt;25,999999,Pile!G342))))</f>
        <v>13.499999999999996</v>
      </c>
      <c r="K342" s="496">
        <f t="shared" si="363"/>
        <v>369.75736087765955</v>
      </c>
      <c r="L342" s="494">
        <f t="shared" si="364"/>
        <v>369.75736087765955</v>
      </c>
      <c r="M342" s="495">
        <f t="shared" si="365"/>
        <v>369.75736087765955</v>
      </c>
      <c r="N342" s="466">
        <f>Inputs!$D$39*E459</f>
        <v>99.225000000000009</v>
      </c>
      <c r="O342" s="491">
        <v>2</v>
      </c>
      <c r="P342" s="492">
        <v>450</v>
      </c>
      <c r="Q342" s="493">
        <f>Inputs!$D$39*2</f>
        <v>126</v>
      </c>
      <c r="R342" s="494">
        <f>_xlfn.MINIFS($DE$70:$DE$149,$DG$70:$DG$149,"&gt;"&amp;Inputs!$I$46)</f>
        <v>13.499999999999996</v>
      </c>
      <c r="S342" s="494">
        <f>_xlfn.MINIFS($DE$156:$DE$235,$DG$156:$DG$235,"&gt;"&amp;Inputs!$I$46)</f>
        <v>13.499999999999996</v>
      </c>
      <c r="T342" s="495">
        <f>_xlfn.MINIFS($DE$242:$DE$321,$DG$242:$DG$321,"&gt;"&amp;Inputs!$I$46)</f>
        <v>13.499999999999996</v>
      </c>
      <c r="U342" s="496">
        <f>IF(Inputs!$F$46/2&gt;MAX(Pile!$DG$70:$DG$149),999999,IF(Pile!R342/(Pile!P342/1000)&gt;50,999999,IF(Pile!R342&lt;2,999999,Pile!R342)))</f>
        <v>13.499999999999996</v>
      </c>
      <c r="V342" s="494">
        <f>IF(Inputs!R37="Yes",999999,IF(Pile!S342/(Pile!P342/1000)&gt;50,999999,IF(Pile!S342&lt;2,999999,Pile!S342)))</f>
        <v>13.499999999999996</v>
      </c>
      <c r="W342" s="494">
        <f>IF(Inputs!$F$46/2&gt;MAX(Pile!$DG$242:$DG$321),999999,IF(Pile!T342/(Pile!P342/1000)&gt;50,999999,IF(Pile!T342&lt;2,999999,IF(T342&gt;25,999999,Pile!T342))))</f>
        <v>13.499999999999996</v>
      </c>
      <c r="X342" s="496">
        <f t="shared" si="366"/>
        <v>369.75736087765955</v>
      </c>
      <c r="Y342" s="494">
        <f t="shared" si="367"/>
        <v>369.75736087765955</v>
      </c>
      <c r="Z342" s="495">
        <f t="shared" si="368"/>
        <v>369.75736087765955</v>
      </c>
      <c r="AA342" s="467">
        <f t="shared" si="369"/>
        <v>99.225000000000009</v>
      </c>
      <c r="AB342" s="497">
        <v>2</v>
      </c>
      <c r="AC342" s="498">
        <v>450</v>
      </c>
      <c r="AD342" s="499">
        <f>Inputs!$D$39*2</f>
        <v>126</v>
      </c>
      <c r="AE342" s="494">
        <f>_xlfn.MINIFS($DE$70:$DE$149,$DG$70:$DG$149,"&gt;"&amp;Inputs!$I$53)</f>
        <v>13.499999999999996</v>
      </c>
      <c r="AF342" s="494">
        <f>_xlfn.MINIFS($DE$156:$DE$235,$DG$156:$DG$235,"&gt;"&amp;Inputs!$I$53)</f>
        <v>13.499999999999996</v>
      </c>
      <c r="AG342" s="495">
        <f>_xlfn.MINIFS($DE$242:$DE$321,$DG$242:$DG$321,"&gt;"&amp;Inputs!$I$53)</f>
        <v>13.499999999999996</v>
      </c>
      <c r="AH342" s="496">
        <f>IF(Inputs!$F$53/2&gt;MAX(Pile!$DG$70:$DG$149),999999,IF(Pile!AE342/(Pile!AC342/1000)&gt;50,999999,IF(Pile!AE342&lt;2,999999,Pile!AE342)))</f>
        <v>13.499999999999996</v>
      </c>
      <c r="AI342" s="494">
        <f>IF(Inputs!AE37="Yes",999999,IF(Pile!AF342/(Pile!AC342/1000)&gt;50,999999,IF(Pile!AF342&lt;2,999999,Pile!AF342)))</f>
        <v>13.499999999999996</v>
      </c>
      <c r="AJ342" s="494">
        <f>IF(Inputs!$F$53/2&gt;MAX(Pile!$DG$242:$DG$321),999999,IF(Pile!AG342/(Pile!AC342/1000)&gt;50,999999,IF(Pile!AG342&lt;2,999999,IF(AG342&gt;25,999999,Pile!AG342))))</f>
        <v>13.499999999999996</v>
      </c>
      <c r="AK342" s="496">
        <f t="shared" si="370"/>
        <v>369.75736087765955</v>
      </c>
      <c r="AL342" s="494">
        <f t="shared" si="371"/>
        <v>369.75736087765955</v>
      </c>
      <c r="AM342" s="495">
        <f t="shared" si="372"/>
        <v>369.75736087765955</v>
      </c>
      <c r="AN342" s="471">
        <f t="shared" si="373"/>
        <v>99.225000000000009</v>
      </c>
      <c r="AO342" s="497">
        <v>2</v>
      </c>
      <c r="AP342" s="498">
        <v>450</v>
      </c>
      <c r="AQ342" s="499">
        <f>Inputs!$D$39*2</f>
        <v>126</v>
      </c>
      <c r="AR342" s="494">
        <f>_xlfn.MINIFS($DE$70:$DE$149,$DG$70:$DG$149,"&gt;"&amp;Inputs!$I$60)</f>
        <v>13.499999999999996</v>
      </c>
      <c r="AS342" s="494">
        <f>_xlfn.MINIFS($DE$156:$DE$235,$DG$156:$DG$235,"&gt;"&amp;Inputs!$I$60)</f>
        <v>13.499999999999996</v>
      </c>
      <c r="AT342" s="495">
        <f>_xlfn.MINIFS($DE$242:$DE$321,$DG$242:$DG$321,"&gt;"&amp;Inputs!$I$60)</f>
        <v>13.499999999999996</v>
      </c>
      <c r="AU342" s="496">
        <f>IF(Inputs!$F$60/2&gt;MAX(Pile!$DG$70:$DG$149),999999,IF(Pile!AR342/(Pile!AP342/1000)&gt;50,999999,IF(Pile!AR342&lt;2,999999,Pile!AR342)))</f>
        <v>13.499999999999996</v>
      </c>
      <c r="AV342" s="494">
        <f>IF(Inputs!AR37="Yes",999999,IF(Pile!AS342/(Pile!AP342/1000)&gt;50,999999,IF(Pile!AS342&lt;2,999999,Pile!AS342)))</f>
        <v>13.499999999999996</v>
      </c>
      <c r="AW342" s="494">
        <f>IF(Inputs!$F$60/2&gt;MAX(Pile!$DG$242:$DG$321),999999,IF(Pile!AT342/(Pile!AP342/1000)&gt;50,999999,IF(Pile!AT342&lt;2,999999,IF(AT342&gt;25,999999,Pile!AT342))))</f>
        <v>13.499999999999996</v>
      </c>
      <c r="AX342" s="496">
        <f t="shared" si="374"/>
        <v>369.75736087765955</v>
      </c>
      <c r="AY342" s="494">
        <f t="shared" si="375"/>
        <v>369.75736087765955</v>
      </c>
      <c r="AZ342" s="495">
        <f t="shared" si="376"/>
        <v>369.75736087765955</v>
      </c>
      <c r="BA342" s="467">
        <f t="shared" si="377"/>
        <v>99.225000000000009</v>
      </c>
      <c r="BB342" s="497">
        <v>2</v>
      </c>
      <c r="BC342" s="498">
        <v>450</v>
      </c>
      <c r="BD342" s="499">
        <f>Inputs!$D$39*2</f>
        <v>126</v>
      </c>
      <c r="BE342" s="494">
        <f>_xlfn.MINIFS($DE$70:$DE$149,$DG$70:$DG$149,"&gt;"&amp;Inputs!$I$67)</f>
        <v>13.499999999999996</v>
      </c>
      <c r="BF342" s="494">
        <f>_xlfn.MINIFS($DE$156:$DE$235,$DG$156:$DG$235,"&gt;"&amp;Inputs!$I$67)</f>
        <v>13.499999999999996</v>
      </c>
      <c r="BG342" s="495">
        <f>_xlfn.MINIFS($DE$242:$DE$321,$DG$242:$DG$321,"&gt;"&amp;Inputs!$I$67)</f>
        <v>13.499999999999996</v>
      </c>
      <c r="BH342" s="496">
        <f>IF(Inputs!$F$67/2&gt;MAX(Pile!$DG$70:$DG$149),999999,IF(Pile!BE342/(Pile!BC342/1000)&gt;50,999999,IF(Pile!BE342&lt;2,999999,Pile!BE342)))</f>
        <v>13.499999999999996</v>
      </c>
      <c r="BI342" s="494">
        <f>IF(Inputs!BE37="Yes",999999,IF(Pile!BF342/(Pile!BC342/1000)&gt;50,999999,IF(Pile!BF342&lt;2,999999,Pile!BF342)))</f>
        <v>13.499999999999996</v>
      </c>
      <c r="BJ342" s="494">
        <f>IF(Inputs!$F$67/2&gt;MAX(Pile!$DG$242:$DG$321),999999,IF(Pile!BG342/(Pile!BC342/1000)&gt;50,999999,IF(Pile!BG342&lt;2,999999,IF(BG342&gt;25,999999,Pile!BG342))))</f>
        <v>13.499999999999996</v>
      </c>
      <c r="BK342" s="496">
        <f t="shared" si="378"/>
        <v>369.75736087765955</v>
      </c>
      <c r="BL342" s="494">
        <f t="shared" si="379"/>
        <v>369.75736087765955</v>
      </c>
      <c r="BM342" s="495">
        <f t="shared" si="380"/>
        <v>369.75736087765955</v>
      </c>
      <c r="BN342" s="467">
        <f t="shared" si="381"/>
        <v>99.225000000000009</v>
      </c>
      <c r="BO342" s="497">
        <v>2</v>
      </c>
      <c r="BP342" s="498">
        <v>450</v>
      </c>
      <c r="BQ342" s="499">
        <f>Inputs!$D$39*2</f>
        <v>126</v>
      </c>
      <c r="BR342" s="494">
        <f>_xlfn.MINIFS($DE$70:$DE$149,$DG$70:$DG$149,"&gt;"&amp;Inputs!$I$74)</f>
        <v>13.499999999999996</v>
      </c>
      <c r="BS342" s="494">
        <f>_xlfn.MINIFS($DE$156:$DE$235,$DG$156:$DG$235,"&gt;"&amp;Inputs!$I$74)</f>
        <v>13.499999999999996</v>
      </c>
      <c r="BT342" s="495">
        <f>_xlfn.MINIFS($DE$242:$DE$321,$DG$242:$DG$321,"&gt;"&amp;Inputs!$I$74)</f>
        <v>13.499999999999996</v>
      </c>
      <c r="BU342" s="496">
        <f>IF(Inputs!$F$74/2&gt;MAX(Pile!$DG$70:$DG$149),999999,IF(Pile!BR342/(Pile!BP342/1000)&gt;50,999999,IF(Pile!BR342&lt;2,999999,Pile!BR342)))</f>
        <v>13.499999999999996</v>
      </c>
      <c r="BV342" s="494">
        <f>IF(Inputs!BR37="Yes",999999,IF(Pile!BS342/(Pile!BP342/1000)&gt;50,999999,IF(Pile!BS342&lt;2,999999,Pile!BS342)))</f>
        <v>13.499999999999996</v>
      </c>
      <c r="BW342" s="494">
        <f>IF(Inputs!$F$74/2&gt;MAX(Pile!$DG$242:$DG$321),999999,IF(Pile!BT342/(Pile!BP342/1000)&gt;50,999999,IF(Pile!BT342&lt;2,999999,IF(BT342&gt;25,999999,Pile!BT342))))</f>
        <v>13.499999999999996</v>
      </c>
      <c r="BX342" s="496">
        <f t="shared" si="382"/>
        <v>369.75736087765955</v>
      </c>
      <c r="BY342" s="494">
        <f t="shared" si="383"/>
        <v>369.75736087765955</v>
      </c>
      <c r="BZ342" s="495">
        <f t="shared" si="384"/>
        <v>369.75736087765955</v>
      </c>
      <c r="CA342" s="467">
        <f t="shared" si="385"/>
        <v>99.225000000000009</v>
      </c>
      <c r="CB342" s="497">
        <v>2</v>
      </c>
      <c r="CC342" s="498">
        <v>450</v>
      </c>
      <c r="CD342" s="499">
        <f>Inputs!$D$39*2</f>
        <v>126</v>
      </c>
      <c r="CE342" s="494">
        <f>_xlfn.MINIFS($DE$70:$DE$149,$DG$70:$DG$149,"&gt;"&amp;Inputs!$I$81)</f>
        <v>13.499999999999996</v>
      </c>
      <c r="CF342" s="494">
        <f>_xlfn.MINIFS($DE$156:$DE$235,$DG$156:$DG$235,"&gt;"&amp;Inputs!$I$81)</f>
        <v>13.499999999999996</v>
      </c>
      <c r="CG342" s="495">
        <f>_xlfn.MINIFS($DE$242:$DE$321,$DG$242:$DG$321,"&gt;"&amp;Inputs!$I$81)</f>
        <v>13.499999999999996</v>
      </c>
      <c r="CH342" s="496">
        <f>IF(Inputs!$F$81/2&gt;MAX(Pile!$DG$70:$DG$149),999999,IF(Pile!CE342/(Pile!CC342/1000)&gt;50,999999,IF(Pile!CE342&lt;2,999999,Pile!CE342)))</f>
        <v>13.499999999999996</v>
      </c>
      <c r="CI342" s="494">
        <f>IF(Inputs!CE37="Yes",999999,IF(Pile!CF342/(Pile!CC342/1000)&gt;50,999999,IF(Pile!CF342&lt;2,999999,Pile!CF342)))</f>
        <v>13.499999999999996</v>
      </c>
      <c r="CJ342" s="494">
        <f>IF(Inputs!$F$81/2&gt;MAX(Pile!$DG$242:$DG$321),999999,IF(Pile!CG342/(Pile!CC342/1000)&gt;50,999999,IF(Pile!CG342&lt;2,999999,IF(CG342&gt;25,999999,Pile!CG342))))</f>
        <v>13.499999999999996</v>
      </c>
      <c r="CK342" s="496">
        <f t="shared" si="386"/>
        <v>369.75736087765955</v>
      </c>
      <c r="CL342" s="494">
        <f t="shared" si="387"/>
        <v>369.75736087765955</v>
      </c>
      <c r="CM342" s="495">
        <f t="shared" si="388"/>
        <v>369.75736087765955</v>
      </c>
      <c r="CN342" s="467">
        <f t="shared" si="389"/>
        <v>99.225000000000009</v>
      </c>
      <c r="CO342" s="497">
        <v>2</v>
      </c>
      <c r="CP342" s="498">
        <v>450</v>
      </c>
      <c r="CQ342" s="499">
        <f>Inputs!$D$39*2</f>
        <v>126</v>
      </c>
      <c r="CR342" s="494">
        <f>_xlfn.MINIFS($DE$70:$DE$149,$DG$70:$DG$149,"&gt;"&amp;Inputs!$I$88)</f>
        <v>13.499999999999996</v>
      </c>
      <c r="CS342" s="494">
        <f>_xlfn.MINIFS($DE$156:$DE$235,$DG$156:$DG$235,"&gt;"&amp;Inputs!$I$88)</f>
        <v>11.399999999999995</v>
      </c>
      <c r="CT342" s="495">
        <f>_xlfn.MINIFS($DE$242:$DE$321,$DG$242:$DG$321,"&gt;"&amp;Inputs!$I$88)</f>
        <v>13.499999999999996</v>
      </c>
      <c r="CU342" s="496">
        <f>IF(Inputs!$F$88/2&gt;MAX(Pile!$DG$70:$DG$149),999999,IF(Pile!CR342/(Pile!CP342/1000)&gt;50,999999,IF(Pile!CR342&lt;2,999999,Pile!CR342)))</f>
        <v>13.499999999999996</v>
      </c>
      <c r="CV342" s="494">
        <f>IF(Inputs!CR37="Yes",999999,IF(Pile!CS342/(Pile!CP342/1000)&gt;50,999999,IF(Pile!CS342&lt;2,999999,Pile!CS342)))</f>
        <v>11.399999999999995</v>
      </c>
      <c r="CW342" s="494">
        <f>IF(Inputs!$F$88/2&gt;MAX(Pile!$DG$242:$DG$321),999999,IF(Pile!CT342/(Pile!CP342/1000)&gt;50,999999,IF(Pile!CT342&lt;2,999999,IF(CT342&gt;25,999999,Pile!CT342))))</f>
        <v>13.499999999999996</v>
      </c>
      <c r="CX342" s="496">
        <f t="shared" si="390"/>
        <v>369.75736087765955</v>
      </c>
      <c r="CY342" s="494">
        <f t="shared" si="391"/>
        <v>327.67454918557911</v>
      </c>
      <c r="CZ342" s="495">
        <f t="shared" si="392"/>
        <v>369.75736087765955</v>
      </c>
      <c r="DA342" s="467">
        <f t="shared" si="393"/>
        <v>99.225000000000009</v>
      </c>
      <c r="DB342" s="497">
        <v>2</v>
      </c>
      <c r="DC342" s="498">
        <v>450</v>
      </c>
      <c r="DD342" s="499">
        <f>Inputs!$D$39*2</f>
        <v>126</v>
      </c>
      <c r="DE342" s="494">
        <f>_xlfn.MINIFS($DE$70:$DE$149,$DG$70:$DG$149,"&gt;"&amp;Inputs!$I$95)</f>
        <v>13.499999999999996</v>
      </c>
      <c r="DF342" s="494">
        <f>_xlfn.MINIFS($DE$156:$DE$235,$DG$156:$DG$235,"&gt;"&amp;Inputs!$I$95)</f>
        <v>11.699999999999996</v>
      </c>
      <c r="DG342" s="495">
        <f>_xlfn.MINIFS($DE$242:$DE$321,$DG$242:$DG$321,"&gt;"&amp;Inputs!$I$95)</f>
        <v>13.499999999999996</v>
      </c>
      <c r="DH342" s="496">
        <f>IF(Inputs!$F$95/2&gt;MAX(Pile!$DG$70:$DG$149),999999,IF(Pile!DE342/(Pile!DC342/1000)&gt;50,999999,IF(Pile!DE342&lt;2,999999,Pile!DE342)))</f>
        <v>13.499999999999996</v>
      </c>
      <c r="DI342" s="494">
        <f>IF(Inputs!DE37="Yes",999999,IF(Pile!DF342/(Pile!DC342/1000)&gt;50,999999,IF(Pile!DF342&lt;2,999999,Pile!DF342)))</f>
        <v>11.699999999999996</v>
      </c>
      <c r="DJ342" s="494">
        <f>IF(Inputs!$F$95/2&gt;MAX(Pile!$DG$242:$DG$321),999999,IF(Pile!DG342/(Pile!DC342/1000)&gt;50,999999,IF(Pile!DG342&lt;2,999999,IF(DG342&gt;25,999999,Pile!DG342))))</f>
        <v>13.499999999999996</v>
      </c>
      <c r="DK342" s="496">
        <f t="shared" si="394"/>
        <v>369.75736087765955</v>
      </c>
      <c r="DL342" s="494">
        <f t="shared" si="395"/>
        <v>333.68637942730487</v>
      </c>
      <c r="DM342" s="495">
        <f t="shared" si="396"/>
        <v>369.75736087765955</v>
      </c>
      <c r="DN342" s="467">
        <f t="shared" si="397"/>
        <v>99.225000000000009</v>
      </c>
      <c r="DO342" s="497">
        <v>2</v>
      </c>
      <c r="DP342" s="498">
        <v>450</v>
      </c>
      <c r="DQ342" s="499">
        <f>Inputs!$D$39*2</f>
        <v>126</v>
      </c>
      <c r="DR342" s="494">
        <f>_xlfn.MINIFS($DE$70:$DE$149,$DG$70:$DG$149,"&gt;"&amp;Inputs!$I$102)</f>
        <v>5.6999999999999975</v>
      </c>
      <c r="DS342" s="494">
        <f>_xlfn.MINIFS($DE$156:$DE$235,$DG$156:$DG$235,"&gt;"&amp;Inputs!$I$102)</f>
        <v>5.0999999999999979</v>
      </c>
      <c r="DT342" s="495">
        <f>_xlfn.MINIFS($DE$242:$DE$321,$DG$242:$DG$321,"&gt;"&amp;Inputs!$I$102)</f>
        <v>5.3999999999999977</v>
      </c>
      <c r="DU342" s="496">
        <f>IF(Inputs!$F$102/2&gt;MAX(Pile!$DG$70:$DG$149),999999,IF(Pile!DR342/(Pile!DP342/1000)&gt;50,999999,IF(Pile!DR342&lt;2,999999,Pile!DR342)))</f>
        <v>5.6999999999999975</v>
      </c>
      <c r="DV342" s="494">
        <f>IF(Inputs!DR37="Yes",999999,IF(Pile!DS342/(Pile!DP342/1000)&gt;50,999999,IF(Pile!DS342&lt;2,999999,Pile!DS342)))</f>
        <v>5.0999999999999979</v>
      </c>
      <c r="DW342" s="494">
        <f>IF(Inputs!$F$102/2&gt;MAX(Pile!$DG$242:$DG$321),999999,IF(Pile!DT342/(Pile!DP342/1000)&gt;50,999999,IF(Pile!DT342&lt;2,999999,IF(DT342&gt;25,999999,Pile!DT342))))</f>
        <v>5.3999999999999977</v>
      </c>
      <c r="DX342" s="496">
        <f t="shared" si="398"/>
        <v>213.44977459278954</v>
      </c>
      <c r="DY342" s="494">
        <f t="shared" si="399"/>
        <v>201.42611410933802</v>
      </c>
      <c r="DZ342" s="495">
        <f t="shared" si="400"/>
        <v>207.43794435106378</v>
      </c>
      <c r="EA342" s="467">
        <f t="shared" si="401"/>
        <v>99.225000000000009</v>
      </c>
      <c r="EB342" s="497">
        <v>2</v>
      </c>
      <c r="EC342" s="498">
        <v>450</v>
      </c>
      <c r="ED342" s="499">
        <f>Inputs!$D$39*2</f>
        <v>126</v>
      </c>
      <c r="EE342" s="494">
        <f>_xlfn.MINIFS($DE$70:$DE$149,$DG$70:$DG$149,"&gt;"&amp;Inputs!$I$109)</f>
        <v>5.6999999999999975</v>
      </c>
      <c r="EF342" s="494">
        <f>_xlfn.MINIFS($DE$156:$DE$235,$DG$156:$DG$235,"&gt;"&amp;Inputs!$I$109)</f>
        <v>5.3999999999999977</v>
      </c>
      <c r="EG342" s="495">
        <f>_xlfn.MINIFS($DE$242:$DE$321,$DG$242:$DG$321,"&gt;"&amp;Inputs!$I$109)</f>
        <v>5.3999999999999977</v>
      </c>
      <c r="EH342" s="496">
        <f>IF(Inputs!$F$109/2&gt;MAX(Pile!$DG$70:$DG$149),999999,IF(Pile!EE342/(Pile!EC342/1000)&gt;50,999999,IF(Pile!EE342&lt;2,999999,Pile!EE342)))</f>
        <v>5.6999999999999975</v>
      </c>
      <c r="EI342" s="494">
        <f>IF(Inputs!EE37="Yes",999999,IF(Pile!EF342/(Pile!EC342/1000)&gt;50,999999,IF(Pile!EF342&lt;2,999999,Pile!EF342)))</f>
        <v>5.3999999999999977</v>
      </c>
      <c r="EJ342" s="494">
        <f>IF(Inputs!$F$109/2&gt;MAX(Pile!$DG$242:$DG$321),999999,IF(Pile!EG342/(Pile!EC342/1000)&gt;50,999999,IF(Pile!EG342&lt;2,999999,IF(EG342&gt;25,999999,Pile!EG342))))</f>
        <v>5.3999999999999977</v>
      </c>
      <c r="EK342" s="496">
        <f t="shared" si="402"/>
        <v>213.44977459278954</v>
      </c>
      <c r="EL342" s="494">
        <f t="shared" si="403"/>
        <v>207.43794435106378</v>
      </c>
      <c r="EM342" s="495">
        <f t="shared" si="404"/>
        <v>207.43794435106378</v>
      </c>
      <c r="EN342" s="467">
        <f t="shared" si="405"/>
        <v>99.225000000000009</v>
      </c>
      <c r="EO342" s="497">
        <v>2</v>
      </c>
      <c r="EP342" s="498">
        <v>450</v>
      </c>
      <c r="EQ342" s="499">
        <f>Inputs!$D$39*2</f>
        <v>126</v>
      </c>
      <c r="ER342" s="494">
        <f>_xlfn.MINIFS($DE$70:$DE$149,$DG$70:$DG$149,"&gt;"&amp;Inputs!$I$116)</f>
        <v>0.29999999999999982</v>
      </c>
      <c r="ES342" s="494">
        <f>_xlfn.MINIFS($DE$156:$DE$235,$DG$156:$DG$235,"&gt;"&amp;Inputs!$I$116)</f>
        <v>0.29999999999999982</v>
      </c>
      <c r="ET342" s="495">
        <f>_xlfn.MINIFS($DE$242:$DE$321,$DG$242:$DG$321,"&gt;"&amp;Inputs!$I$116)</f>
        <v>0.29999999999999982</v>
      </c>
      <c r="EU342" s="496">
        <f>IF(Inputs!$F$116/2&gt;MAX(Pile!$DG$70:$DG$149),999999,IF(Pile!ER342/(Pile!EP342/1000)&gt;50,999999,IF(Pile!ER342&lt;2,999999,Pile!ER342)))</f>
        <v>999999</v>
      </c>
      <c r="EV342" s="494">
        <f>IF(Inputs!ER37="Yes",999999,IF(Inputs!$F$116&gt;MAX(Pile!$DG$156:$DG$235),999999,IF(Pile!ES342/(Pile!EP342/1000)&gt;50,999999,IF(Pile!ES342&lt;2,999999,Pile!ES342))))</f>
        <v>999999</v>
      </c>
      <c r="EW342" s="494">
        <f>IF(Inputs!$F$116/2&gt;MAX(Pile!$DG$242:$DG$321),999999,IF(Pile!ET342/(Pile!EP342/1000)&gt;50,999999,IF(Pile!ET342&lt;2,999999,IF(ET342&gt;25,999999,Pile!ET342))))</f>
        <v>999999</v>
      </c>
      <c r="EX342" s="500">
        <f t="shared" si="360"/>
        <v>20039414.099651754</v>
      </c>
      <c r="EY342" s="501">
        <f t="shared" si="361"/>
        <v>20039414.099651754</v>
      </c>
      <c r="EZ342" s="502">
        <f t="shared" si="362"/>
        <v>20039414.099651754</v>
      </c>
    </row>
    <row r="343" spans="1:156" ht="15">
      <c r="B343" s="491">
        <v>2</v>
      </c>
      <c r="C343" s="476">
        <v>600</v>
      </c>
      <c r="D343" s="503">
        <f>Inputs!$D$39*2</f>
        <v>126</v>
      </c>
      <c r="E343" s="504">
        <f>_xlfn.MINIFS($DE$70:$DE$149,$DH$70:$DH$149,"&gt;"&amp;Inputs!$I$39)</f>
        <v>13.499999999999996</v>
      </c>
      <c r="F343" s="504">
        <f>_xlfn.MINIFS($DE$156:$DE$235,$DH$156:$DH$235,"&gt;"&amp;Inputs!$I$39)</f>
        <v>11.999999999999996</v>
      </c>
      <c r="G343" s="505">
        <f>_xlfn.MINIFS($DE$242:$DE$321,$DH$242:$DH$321,"&gt;"&amp;Inputs!$I$39)</f>
        <v>13.499999999999996</v>
      </c>
      <c r="H343" s="506">
        <f>IF(Inputs!$F$39/2&gt;MAX(Pile!$DH$70:$DH$149),999999,IF(Pile!E343/(Pile!C343/1000)&gt;50,999999,IF(Pile!E343&lt;2,999999,Pile!E343)))</f>
        <v>13.499999999999996</v>
      </c>
      <c r="I343" s="504">
        <f>IF(Inputs!E38="Yes",999999,IF(Pile!F343/(Pile!C343/1000)&gt;50,999999,IF(Pile!F343&lt;2,999999,Pile!F343)))</f>
        <v>11.999999999999996</v>
      </c>
      <c r="J343" s="504">
        <f>IF(Inputs!$F$39/2&gt;MAX(Pile!DH242:$DH$321),999999,IF(Pile!G343/(Pile!C343/1000)&gt;50,999999,IF(Pile!G343&lt;2,999999,IF(G343&gt;25,999999,Pile!G343))))</f>
        <v>13.499999999999996</v>
      </c>
      <c r="K343" s="506">
        <f t="shared" si="363"/>
        <v>695.27241933806135</v>
      </c>
      <c r="L343" s="504">
        <f t="shared" si="364"/>
        <v>641.83392830049888</v>
      </c>
      <c r="M343" s="505">
        <f t="shared" si="365"/>
        <v>695.27241933806135</v>
      </c>
      <c r="N343" s="466">
        <f>Inputs!$D$39*E460</f>
        <v>214.32599999999999</v>
      </c>
      <c r="O343" s="491">
        <v>2</v>
      </c>
      <c r="P343" s="476">
        <v>600</v>
      </c>
      <c r="Q343" s="503">
        <f>Inputs!$D$39*2</f>
        <v>126</v>
      </c>
      <c r="R343" s="504">
        <f>_xlfn.MINIFS($DE$70:$DE$149,$DH$70:$DH$149,"&gt;"&amp;Inputs!$I$46)</f>
        <v>13.499999999999996</v>
      </c>
      <c r="S343" s="504">
        <f>_xlfn.MINIFS($DE$156:$DE$235,$DH$156:$DH$235,"&gt;"&amp;Inputs!$I$46)</f>
        <v>11.699999999999996</v>
      </c>
      <c r="T343" s="505">
        <f>_xlfn.MINIFS($DE$242:$DE$321,$DH$242:$DH$321,"&gt;"&amp;Inputs!$I$46)</f>
        <v>13.499999999999996</v>
      </c>
      <c r="U343" s="506">
        <f>IF(Inputs!$F$46/2&gt;MAX(Pile!$DH$70:$DH$149),999999,IF(Pile!R343/(Pile!P343/1000)&gt;50,999999,IF(Pile!R343&lt;2,999999,Pile!R343)))</f>
        <v>13.499999999999996</v>
      </c>
      <c r="V343" s="504">
        <f>IF(Inputs!R38="Yes",999999,IF(Pile!S343/(Pile!P343/1000)&gt;50,999999,IF(Pile!S343&lt;2,999999,Pile!S343)))</f>
        <v>11.699999999999996</v>
      </c>
      <c r="W343" s="504">
        <f>IF(Inputs!$F$46/2&gt;MAX(Pile!$DH242:DU$321),999999,IF(Pile!T343/(Pile!P343/1000)&gt;50,999999,IF(Pile!T343&lt;2,999999,IF(T343&gt;25,999999,Pile!T343))))</f>
        <v>13.499999999999996</v>
      </c>
      <c r="X343" s="506">
        <f t="shared" si="366"/>
        <v>695.27241933806135</v>
      </c>
      <c r="Y343" s="504">
        <f t="shared" si="367"/>
        <v>631.14623009298646</v>
      </c>
      <c r="Z343" s="505">
        <f t="shared" si="368"/>
        <v>695.27241933806135</v>
      </c>
      <c r="AA343" s="467">
        <f t="shared" si="369"/>
        <v>214.32599999999999</v>
      </c>
      <c r="AB343" s="497">
        <v>2</v>
      </c>
      <c r="AC343" s="479">
        <v>600</v>
      </c>
      <c r="AD343" s="507">
        <f>Inputs!$D$39*2</f>
        <v>126</v>
      </c>
      <c r="AE343" s="504">
        <f>_xlfn.MINIFS($DE$70:$DE$149,$DH$70:$DH$149,"&gt;"&amp;Inputs!$I$53)</f>
        <v>13.499999999999996</v>
      </c>
      <c r="AF343" s="504">
        <f>_xlfn.MINIFS($DE$156:$DE$235,$DH$156:$DH$235,"&gt;"&amp;Inputs!$I$53)</f>
        <v>5.9999999999999982</v>
      </c>
      <c r="AG343" s="505">
        <f>_xlfn.MINIFS($DE$242:$DE$321,$DH$242:$DH$321,"&gt;"&amp;Inputs!$I$53)</f>
        <v>13.499999999999996</v>
      </c>
      <c r="AH343" s="506">
        <f>IF(Inputs!$F$53/2&gt;MAX(Pile!$DH$70:$DH$149),999999,IF(Pile!AE343/(Pile!AC343/1000)&gt;50,999999,IF(Pile!AE343&lt;2,999999,Pile!AE343)))</f>
        <v>13.499999999999996</v>
      </c>
      <c r="AI343" s="504">
        <f>IF(Inputs!AE38="Yes",999999,IF(Pile!AF343/(Pile!AC343/1000)&gt;50,999999,IF(Pile!AF343&lt;2,999999,Pile!AF343)))</f>
        <v>5.9999999999999982</v>
      </c>
      <c r="AJ343" s="504">
        <f>IF(Inputs!$F$53/2&gt;MAX(Pile!$DH242:EH$321),999999,IF(Pile!AG343/(Pile!AC343/1000)&gt;50,999999,IF(Pile!AG343&lt;2,999999,IF(AG343&gt;25,999999,Pile!AG343))))</f>
        <v>13.499999999999996</v>
      </c>
      <c r="AK343" s="506">
        <f t="shared" si="370"/>
        <v>695.27241933806135</v>
      </c>
      <c r="AL343" s="504">
        <f t="shared" si="371"/>
        <v>428.07996415024945</v>
      </c>
      <c r="AM343" s="505">
        <f t="shared" si="372"/>
        <v>695.27241933806135</v>
      </c>
      <c r="AN343" s="471">
        <f t="shared" si="373"/>
        <v>214.32599999999999</v>
      </c>
      <c r="AO343" s="497">
        <v>2</v>
      </c>
      <c r="AP343" s="479">
        <v>600</v>
      </c>
      <c r="AQ343" s="507">
        <f>Inputs!$D$39*2</f>
        <v>126</v>
      </c>
      <c r="AR343" s="504">
        <f>_xlfn.MINIFS($DE$70:$DE$149,$DH$70:$DH$149,"&gt;"&amp;Inputs!$I$60)</f>
        <v>13.499999999999996</v>
      </c>
      <c r="AS343" s="504">
        <f>_xlfn.MINIFS($DE$156:$DE$235,$DH$156:$DH$235,"&gt;"&amp;Inputs!$I$60)</f>
        <v>5.6999999999999975</v>
      </c>
      <c r="AT343" s="505">
        <f>_xlfn.MINIFS($DE$242:$DE$321,$DH$242:$DH$321,"&gt;"&amp;Inputs!$I$60)</f>
        <v>5.6999999999999975</v>
      </c>
      <c r="AU343" s="506">
        <f>IF(Inputs!$F$60/2&gt;MAX(Pile!$DH$70:$DH$149),999999,IF(Pile!AR343/(Pile!AP343/1000)&gt;50,999999,IF(Pile!AR343&lt;2,999999,Pile!AR343)))</f>
        <v>13.499999999999996</v>
      </c>
      <c r="AV343" s="504">
        <f>IF(Inputs!AR38="Yes",999999,IF(Pile!AS343/(Pile!AP343/1000)&gt;50,999999,IF(Pile!AS343&lt;2,999999,Pile!AS343)))</f>
        <v>5.6999999999999975</v>
      </c>
      <c r="AW343" s="504">
        <f>IF(Inputs!$F$60/2&gt;MAX(Pile!$DH242:EU$321),999999,IF(Pile!AT343/(Pile!AP343/1000)&gt;50,999999,IF(Pile!AT343&lt;2,999999,IF(AT343&gt;25,999999,Pile!AT343))))</f>
        <v>5.6999999999999975</v>
      </c>
      <c r="AX343" s="506">
        <f t="shared" si="374"/>
        <v>695.27241933806135</v>
      </c>
      <c r="AY343" s="504">
        <f t="shared" si="375"/>
        <v>417.39226594273697</v>
      </c>
      <c r="AZ343" s="505">
        <f t="shared" si="376"/>
        <v>417.39226594273697</v>
      </c>
      <c r="BA343" s="467">
        <f t="shared" si="377"/>
        <v>214.32599999999999</v>
      </c>
      <c r="BB343" s="497">
        <v>2</v>
      </c>
      <c r="BC343" s="479">
        <v>600</v>
      </c>
      <c r="BD343" s="507">
        <f>Inputs!$D$39*2</f>
        <v>126</v>
      </c>
      <c r="BE343" s="504">
        <f>_xlfn.MINIFS($DE$70:$DE$149,$DH$70:$DH$149,"&gt;"&amp;Inputs!$I$67)</f>
        <v>13.499999999999996</v>
      </c>
      <c r="BF343" s="504">
        <f>_xlfn.MINIFS($DE$156:$DE$235,$DH$156:$DH$235,"&gt;"&amp;Inputs!$I$67)</f>
        <v>11.099999999999996</v>
      </c>
      <c r="BG343" s="505">
        <f>_xlfn.MINIFS($DE$242:$DE$321,$DH$242:$DH$321,"&gt;"&amp;Inputs!$I$67)</f>
        <v>13.499999999999996</v>
      </c>
      <c r="BH343" s="506">
        <f>IF(Inputs!$F$67/2&gt;MAX(Pile!$DH$70:$DH$149),999999,IF(Pile!BE343/(Pile!BC343/1000)&gt;50,999999,IF(Pile!BE343&lt;2,999999,Pile!BE343)))</f>
        <v>13.499999999999996</v>
      </c>
      <c r="BI343" s="504">
        <f>IF(Inputs!BE38="Yes",999999,IF(Pile!BF343/(Pile!BC343/1000)&gt;50,999999,IF(Pile!BF343&lt;2,999999,Pile!BF343)))</f>
        <v>11.099999999999996</v>
      </c>
      <c r="BJ343" s="504">
        <f>IF(Inputs!$F$67/2&gt;MAX(Pile!$DH242:FH$321),999999,IF(Pile!BG343/(Pile!BC343/1000)&gt;50,999999,IF(Pile!BG343&lt;2,999999,IF(BG343&gt;25,999999,Pile!BG343))))</f>
        <v>13.499999999999996</v>
      </c>
      <c r="BK343" s="506">
        <f t="shared" si="378"/>
        <v>695.27241933806135</v>
      </c>
      <c r="BL343" s="504">
        <f t="shared" si="379"/>
        <v>609.77083367796149</v>
      </c>
      <c r="BM343" s="505">
        <f t="shared" si="380"/>
        <v>695.27241933806135</v>
      </c>
      <c r="BN343" s="467">
        <f t="shared" si="381"/>
        <v>214.32599999999999</v>
      </c>
      <c r="BO343" s="497">
        <v>2</v>
      </c>
      <c r="BP343" s="479">
        <v>600</v>
      </c>
      <c r="BQ343" s="507">
        <f>Inputs!$D$39*2</f>
        <v>126</v>
      </c>
      <c r="BR343" s="504">
        <f>_xlfn.MINIFS($DE$70:$DE$149,$DH$70:$DH$149,"&gt;"&amp;Inputs!$I$74)</f>
        <v>13.499999999999996</v>
      </c>
      <c r="BS343" s="504">
        <f>_xlfn.MINIFS($DE$156:$DE$235,$DH$156:$DH$235,"&gt;"&amp;Inputs!$I$74)</f>
        <v>13.499999999999996</v>
      </c>
      <c r="BT343" s="505">
        <f>_xlfn.MINIFS($DE$242:$DE$321,$DH$242:$DH$321,"&gt;"&amp;Inputs!$I$74)</f>
        <v>13.499999999999996</v>
      </c>
      <c r="BU343" s="506">
        <f>IF(Inputs!$F$74/2&gt;MAX(Pile!$DH$70:$DH$149),999999,IF(Pile!BR343/(Pile!BP343/1000)&gt;50,999999,IF(Pile!BR343&lt;2,999999,Pile!BR343)))</f>
        <v>13.499999999999996</v>
      </c>
      <c r="BV343" s="504">
        <f>IF(Inputs!BR38="Yes",999999,IF(Pile!BS343/(Pile!BP343/1000)&gt;50,999999,IF(Pile!BS343&lt;2,999999,Pile!BS343)))</f>
        <v>13.499999999999996</v>
      </c>
      <c r="BW343" s="504">
        <f>IF(Inputs!$F$74/2&gt;MAX(Pile!$DH242:FU$321),999999,IF(Pile!BT343/(Pile!BP343/1000)&gt;50,999999,IF(Pile!BT343&lt;2,999999,IF(BT343&gt;25,999999,Pile!BT343))))</f>
        <v>13.499999999999996</v>
      </c>
      <c r="BX343" s="506">
        <f t="shared" si="382"/>
        <v>695.27241933806135</v>
      </c>
      <c r="BY343" s="504">
        <f t="shared" si="383"/>
        <v>695.27241933806135</v>
      </c>
      <c r="BZ343" s="505">
        <f t="shared" si="384"/>
        <v>695.27241933806135</v>
      </c>
      <c r="CA343" s="467">
        <f t="shared" si="385"/>
        <v>214.32599999999999</v>
      </c>
      <c r="CB343" s="497">
        <v>2</v>
      </c>
      <c r="CC343" s="479">
        <v>600</v>
      </c>
      <c r="CD343" s="507">
        <f>Inputs!$D$39*2</f>
        <v>126</v>
      </c>
      <c r="CE343" s="504">
        <f>_xlfn.MINIFS($DE$70:$DE$149,$DH$70:$DH$149,"&gt;"&amp;Inputs!$I$81)</f>
        <v>13.499999999999996</v>
      </c>
      <c r="CF343" s="504">
        <f>_xlfn.MINIFS($DE$156:$DE$235,$DH$156:$DH$235,"&gt;"&amp;Inputs!$I$81)</f>
        <v>5.6999999999999975</v>
      </c>
      <c r="CG343" s="505">
        <f>_xlfn.MINIFS($DE$242:$DE$321,$DH$242:$DH$321,"&gt;"&amp;Inputs!$I$81)</f>
        <v>5.6999999999999975</v>
      </c>
      <c r="CH343" s="506">
        <f>IF(Inputs!$F$81/2&gt;MAX(Pile!$DH$70:$DH$149),999999,IF(Pile!CE343/(Pile!CC343/1000)&gt;50,999999,IF(Pile!CE343&lt;2,999999,Pile!CE343)))</f>
        <v>13.499999999999996</v>
      </c>
      <c r="CI343" s="504">
        <f>IF(Inputs!CE38="Yes",999999,IF(Pile!CF343/(Pile!CC343/1000)&gt;50,999999,IF(Pile!CF343&lt;2,999999,Pile!CF343)))</f>
        <v>5.6999999999999975</v>
      </c>
      <c r="CJ343" s="504">
        <f>IF(Inputs!$F$81/2&gt;MAX(Pile!$DH242:GH$321),999999,IF(Pile!CG343/(Pile!CC343/1000)&gt;50,999999,IF(Pile!CG343&lt;2,999999,IF(CG343&gt;25,999999,Pile!CG343))))</f>
        <v>5.6999999999999975</v>
      </c>
      <c r="CK343" s="506">
        <f t="shared" si="386"/>
        <v>695.27241933806135</v>
      </c>
      <c r="CL343" s="504">
        <f t="shared" si="387"/>
        <v>417.39226594273697</v>
      </c>
      <c r="CM343" s="505">
        <f t="shared" si="388"/>
        <v>417.39226594273697</v>
      </c>
      <c r="CN343" s="467">
        <f t="shared" si="389"/>
        <v>214.32599999999999</v>
      </c>
      <c r="CO343" s="497">
        <v>2</v>
      </c>
      <c r="CP343" s="479">
        <v>600</v>
      </c>
      <c r="CQ343" s="507">
        <f>Inputs!$D$39*2</f>
        <v>126</v>
      </c>
      <c r="CR343" s="504">
        <f>_xlfn.MINIFS($DE$70:$DE$149,$DH$70:$DH$149,"&gt;"&amp;Inputs!$I$88)</f>
        <v>5.6999999999999975</v>
      </c>
      <c r="CS343" s="504">
        <f>_xlfn.MINIFS($DE$156:$DE$235,$DH$156:$DH$235,"&gt;"&amp;Inputs!$I$88)</f>
        <v>5.0999999999999979</v>
      </c>
      <c r="CT343" s="505">
        <f>_xlfn.MINIFS($DE$242:$DE$321,$DH$242:$DH$321,"&gt;"&amp;Inputs!$I$88)</f>
        <v>5.0999999999999979</v>
      </c>
      <c r="CU343" s="506">
        <f>IF(Inputs!$F$88/2&gt;MAX(Pile!$DH$70:$DH$149),999999,IF(Pile!CR343/(Pile!CP343/1000)&gt;50,999999,IF(Pile!CR343&lt;2,999999,Pile!CR343)))</f>
        <v>5.6999999999999975</v>
      </c>
      <c r="CV343" s="504">
        <f>IF(Inputs!CR38="Yes",999999,IF(Pile!CS343/(Pile!CP343/1000)&gt;50,999999,IF(Pile!CS343&lt;2,999999,Pile!CS343)))</f>
        <v>5.0999999999999979</v>
      </c>
      <c r="CW343" s="504">
        <f>IF(Inputs!$F$88/2&gt;MAX(Pile!$DH242:GU$321),999999,IF(Pile!CT343/(Pile!CP343/1000)&gt;50,999999,IF(Pile!CT343&lt;2,999999,IF(CT343&gt;25,999999,Pile!CT343))))</f>
        <v>5.0999999999999979</v>
      </c>
      <c r="CX343" s="506">
        <f t="shared" si="390"/>
        <v>417.39226594273697</v>
      </c>
      <c r="CY343" s="504">
        <f t="shared" si="391"/>
        <v>396.01686952771206</v>
      </c>
      <c r="CZ343" s="505">
        <f t="shared" si="392"/>
        <v>396.01686952771206</v>
      </c>
      <c r="DA343" s="467">
        <f t="shared" si="393"/>
        <v>214.32599999999999</v>
      </c>
      <c r="DB343" s="497">
        <v>2</v>
      </c>
      <c r="DC343" s="479">
        <v>600</v>
      </c>
      <c r="DD343" s="507">
        <f>Inputs!$D$39*2</f>
        <v>126</v>
      </c>
      <c r="DE343" s="504">
        <f>_xlfn.MINIFS($DE$70:$DE$149,$DH$70:$DH$149,"&gt;"&amp;Inputs!$I$95)</f>
        <v>5.6999999999999975</v>
      </c>
      <c r="DF343" s="504">
        <f>_xlfn.MINIFS($DE$156:$DE$235,$DH$156:$DH$235,"&gt;"&amp;Inputs!$I$95)</f>
        <v>5.0999999999999979</v>
      </c>
      <c r="DG343" s="505">
        <f>_xlfn.MINIFS($DE$242:$DE$321,$DH$242:$DH$321,"&gt;"&amp;Inputs!$I$95)</f>
        <v>5.3999999999999977</v>
      </c>
      <c r="DH343" s="506">
        <f>IF(Inputs!$F$95/2&gt;MAX(Pile!$DH$70:$DH$149),999999,IF(Pile!DE343/(Pile!DC343/1000)&gt;50,999999,IF(Pile!DE343&lt;2,999999,Pile!DE343)))</f>
        <v>5.6999999999999975</v>
      </c>
      <c r="DI343" s="504">
        <f>IF(Inputs!DE38="Yes",999999,IF(Pile!DF343/(Pile!DC343/1000)&gt;50,999999,IF(Pile!DF343&lt;2,999999,Pile!DF343)))</f>
        <v>5.0999999999999979</v>
      </c>
      <c r="DJ343" s="504">
        <f>IF(Inputs!$F$95/2&gt;MAX(Pile!$DH242:HH$321),999999,IF(Pile!DG343/(Pile!DC343/1000)&gt;50,999999,IF(Pile!DG343&lt;2,999999,IF(DG343&gt;25,999999,Pile!DG343))))</f>
        <v>5.3999999999999977</v>
      </c>
      <c r="DK343" s="506">
        <f t="shared" si="394"/>
        <v>417.39226594273697</v>
      </c>
      <c r="DL343" s="504">
        <f t="shared" si="395"/>
        <v>396.01686952771206</v>
      </c>
      <c r="DM343" s="505">
        <f t="shared" si="396"/>
        <v>406.70456773522449</v>
      </c>
      <c r="DN343" s="467">
        <f t="shared" si="397"/>
        <v>214.32599999999999</v>
      </c>
      <c r="DO343" s="497">
        <v>2</v>
      </c>
      <c r="DP343" s="479">
        <v>600</v>
      </c>
      <c r="DQ343" s="507">
        <f>Inputs!$D$39*2</f>
        <v>126</v>
      </c>
      <c r="DR343" s="504">
        <f>_xlfn.MINIFS($DE$70:$DE$149,$DH$70:$DH$149,"&gt;"&amp;Inputs!$I$102)</f>
        <v>3.8999999999999977</v>
      </c>
      <c r="DS343" s="504">
        <f>_xlfn.MINIFS($DE$156:$DE$235,$DH$156:$DH$235,"&gt;"&amp;Inputs!$I$102)</f>
        <v>3.5999999999999979</v>
      </c>
      <c r="DT343" s="505">
        <f>_xlfn.MINIFS($DE$242:$DE$321,$DH$242:$DH$321,"&gt;"&amp;Inputs!$I$102)</f>
        <v>3.8999999999999977</v>
      </c>
      <c r="DU343" s="506">
        <f>IF(Inputs!$F$102/2&gt;MAX(Pile!$DH$70:$DH$149),999999,IF(Pile!DR343/(Pile!DP343/1000)&gt;50,999999,IF(Pile!DR343&lt;2,999999,Pile!DR343)))</f>
        <v>3.8999999999999977</v>
      </c>
      <c r="DV343" s="504">
        <f>IF(Inputs!DR38="Yes",999999,IF(Pile!DS343/(Pile!DP343/1000)&gt;50,999999,IF(Pile!DS343&lt;2,999999,Pile!DS343)))</f>
        <v>3.5999999999999979</v>
      </c>
      <c r="DW343" s="504">
        <f>IF(Inputs!$F$102/2&gt;MAX(Pile!$DH242:HU$321),999999,IF(Pile!DT343/(Pile!DP343/1000)&gt;50,999999,IF(Pile!DT343&lt;2,999999,IF(DT343&gt;25,999999,Pile!DT343))))</f>
        <v>3.8999999999999977</v>
      </c>
      <c r="DX343" s="506">
        <f t="shared" si="398"/>
        <v>353.26607669766213</v>
      </c>
      <c r="DY343" s="504">
        <f t="shared" si="399"/>
        <v>342.57837849014965</v>
      </c>
      <c r="DZ343" s="505">
        <f t="shared" si="400"/>
        <v>353.26607669766213</v>
      </c>
      <c r="EA343" s="467">
        <f t="shared" si="401"/>
        <v>214.32599999999999</v>
      </c>
      <c r="EB343" s="497">
        <v>2</v>
      </c>
      <c r="EC343" s="479">
        <v>600</v>
      </c>
      <c r="ED343" s="507">
        <f>Inputs!$D$39*2</f>
        <v>126</v>
      </c>
      <c r="EE343" s="504">
        <f>_xlfn.MINIFS($DE$70:$DE$149,$DH$70:$DH$149,"&gt;"&amp;Inputs!$I$109)</f>
        <v>4.1999999999999975</v>
      </c>
      <c r="EF343" s="504">
        <f>_xlfn.MINIFS($DE$156:$DE$235,$DH$156:$DH$235,"&gt;"&amp;Inputs!$I$109)</f>
        <v>3.5999999999999979</v>
      </c>
      <c r="EG343" s="505">
        <f>_xlfn.MINIFS($DE$242:$DE$321,$DH$242:$DH$321,"&gt;"&amp;Inputs!$I$109)</f>
        <v>3.8999999999999977</v>
      </c>
      <c r="EH343" s="506">
        <f>IF(Inputs!$F$109/2&gt;MAX(Pile!$DH$70:$DH$149),999999,IF(Pile!EE343/(Pile!EC343/1000)&gt;50,999999,IF(Pile!EE343&lt;2,999999,Pile!EE343)))</f>
        <v>4.1999999999999975</v>
      </c>
      <c r="EI343" s="504">
        <f>IF(Inputs!EE38="Yes",999999,IF(Pile!EF343/(Pile!EC343/1000)&gt;50,999999,IF(Pile!EF343&lt;2,999999,Pile!EF343)))</f>
        <v>3.5999999999999979</v>
      </c>
      <c r="EJ343" s="504">
        <f>IF(Inputs!$F$109/2&gt;MAX(Pile!$DH242:IH$321),999999,IF(Pile!EG343/(Pile!EC343/1000)&gt;50,999999,IF(Pile!EG343&lt;2,999999,IF(EG343&gt;25,999999,Pile!EG343))))</f>
        <v>3.8999999999999977</v>
      </c>
      <c r="EK343" s="506">
        <f t="shared" si="402"/>
        <v>363.95377490517455</v>
      </c>
      <c r="EL343" s="504">
        <f t="shared" si="403"/>
        <v>342.57837849014965</v>
      </c>
      <c r="EM343" s="505">
        <f t="shared" si="404"/>
        <v>353.26607669766213</v>
      </c>
      <c r="EN343" s="467">
        <f t="shared" si="405"/>
        <v>214.32599999999999</v>
      </c>
      <c r="EO343" s="497">
        <v>2</v>
      </c>
      <c r="EP343" s="479">
        <v>600</v>
      </c>
      <c r="EQ343" s="507">
        <f>Inputs!$D$39*2</f>
        <v>126</v>
      </c>
      <c r="ER343" s="504">
        <f>_xlfn.MINIFS($DE$70:$DE$149,$DH$70:$DH$149,"&gt;"&amp;Inputs!$I$116)</f>
        <v>0.29999999999999982</v>
      </c>
      <c r="ES343" s="504">
        <f>_xlfn.MINIFS($DE$156:$DE$235,$DH$156:$DH$235,"&gt;"&amp;Inputs!$I$116)</f>
        <v>0.29999999999999982</v>
      </c>
      <c r="ET343" s="505">
        <f>_xlfn.MINIFS($DE$242:$DE$321,$DH$242:$DH$321,"&gt;"&amp;Inputs!$I$116)</f>
        <v>0.29999999999999982</v>
      </c>
      <c r="EU343" s="506">
        <f>IF(Inputs!$F$116/2&gt;MAX(Pile!$DH$70:$DH$149),999999,IF(Pile!ER343/(Pile!EP343/1000)&gt;50,999999,IF(Pile!ER343&lt;2,999999,Pile!ER343)))</f>
        <v>999999</v>
      </c>
      <c r="EV343" s="504">
        <f>IF(Inputs!ER38="Yes",999999,IF(Inputs!$F$116&gt;MAX(Pile!$DG$156:$DG$235),999999,IF(Pile!ES343/(Pile!EP343/1000)&gt;50,999999,IF(Pile!ES343&lt;2,999999,Pile!ES343))))</f>
        <v>999999</v>
      </c>
      <c r="EW343" s="504">
        <f>IF(Inputs!$F$116/2&gt;MAX(Pile!$DH242:IU$321),999999,IF(Pile!ET343/(Pile!EP343/1000)&gt;50,999999,IF(Pile!ET343&lt;2,999999,IF(ET343&gt;25,999999,Pile!ET343))))</f>
        <v>999999</v>
      </c>
      <c r="EX343" s="508">
        <f t="shared" si="360"/>
        <v>35625625.066047564</v>
      </c>
      <c r="EY343" s="509">
        <f t="shared" si="361"/>
        <v>35625625.066047564</v>
      </c>
      <c r="EZ343" s="510">
        <f t="shared" si="362"/>
        <v>35625625.066047564</v>
      </c>
    </row>
    <row r="344" spans="1:156" ht="15">
      <c r="B344" s="491">
        <v>2</v>
      </c>
      <c r="C344" s="476">
        <v>750</v>
      </c>
      <c r="D344" s="503">
        <f>Inputs!$D$39*2</f>
        <v>126</v>
      </c>
      <c r="E344" s="504">
        <f>_xlfn.MINIFS($DE$70:$DE$149,$DI$70:$DI$149,"&gt;"&amp;Inputs!$I$39)</f>
        <v>5.3999999999999977</v>
      </c>
      <c r="F344" s="504">
        <f>_xlfn.MINIFS($DE$156:$DE$235,$DI$156:$DI$235,"&gt;"&amp;Inputs!$I$39)</f>
        <v>5.0999999999999979</v>
      </c>
      <c r="G344" s="505">
        <f>_xlfn.MINIFS($DE$242:$DE$321,$DI$242:$DI$321,"&gt;"&amp;Inputs!$I$39)</f>
        <v>5.0999999999999979</v>
      </c>
      <c r="H344" s="506">
        <f>IF(Inputs!$F$39/2&gt;MAX(Pile!$DI$70:$DI$149),999999,IF(Pile!E344/(Pile!C344/1000)&gt;50,999999,IF(Pile!E344&lt;2,999999,Pile!E344)))</f>
        <v>5.3999999999999977</v>
      </c>
      <c r="I344" s="504">
        <f>IF(Inputs!E39="Yes",999999,IF(Pile!F344/(Pile!C344/1000)&gt;50,999999,IF(Pile!F344&lt;2,999999,Pile!F344)))</f>
        <v>5.0999999999999979</v>
      </c>
      <c r="J344" s="504">
        <f>IF(Inputs!$F$39/2&gt;MAX(Pile!$DI$242:$DI$321),999999,IF(Pile!G344/(Pile!C344/1000)&gt;50,999999,IF(Pile!G344&lt;2,999999,IF(G344&gt;25,999999,Pile!G344))))</f>
        <v>5.0999999999999979</v>
      </c>
      <c r="K344" s="506">
        <f t="shared" si="363"/>
        <v>693.52251208628832</v>
      </c>
      <c r="L344" s="504">
        <f t="shared" si="364"/>
        <v>676.82298363705002</v>
      </c>
      <c r="M344" s="505">
        <f t="shared" si="365"/>
        <v>676.82298363705002</v>
      </c>
      <c r="N344" s="466">
        <f>Inputs!$D$39*E461</f>
        <v>392.93099999999998</v>
      </c>
      <c r="O344" s="491">
        <v>2</v>
      </c>
      <c r="P344" s="476">
        <v>750</v>
      </c>
      <c r="Q344" s="503">
        <f>Inputs!$D$39*2</f>
        <v>126</v>
      </c>
      <c r="R344" s="504">
        <f>_xlfn.MINIFS($DE$70:$DE$149,$DI$70:$DI$149,"&gt;"&amp;Inputs!$I$46)</f>
        <v>5.3999999999999977</v>
      </c>
      <c r="S344" s="504">
        <f>_xlfn.MINIFS($DE$156:$DE$235,$DI$156:$DI$235,"&gt;"&amp;Inputs!$I$46)</f>
        <v>4.799999999999998</v>
      </c>
      <c r="T344" s="505">
        <f>_xlfn.MINIFS($DE$242:$DE$321,$DI$242:$DI$321,"&gt;"&amp;Inputs!$I$46)</f>
        <v>5.0999999999999979</v>
      </c>
      <c r="U344" s="506">
        <f>IF(Inputs!$F$46/2&gt;MAX(Pile!$DI$70:$DI$149),999999,IF(Pile!R344/(Pile!P344/1000)&gt;50,999999,IF(Pile!R344&lt;2,999999,Pile!R344)))</f>
        <v>5.3999999999999977</v>
      </c>
      <c r="V344" s="504">
        <f>IF(Inputs!R39="Yes",999999,IF(Pile!S344/(Pile!P344/1000)&gt;50,999999,IF(Pile!S344&lt;2,999999,Pile!S344)))</f>
        <v>4.799999999999998</v>
      </c>
      <c r="W344" s="504">
        <f>IF(Inputs!$F$46/2&gt;MAX(Pile!$DI$242:$DI$321),999999,IF(Pile!T344/(Pile!P344/1000)&gt;50,999999,IF(Pile!T344&lt;2,999999,IF(T344&gt;25,999999,Pile!T344))))</f>
        <v>5.0999999999999979</v>
      </c>
      <c r="X344" s="506">
        <f t="shared" si="366"/>
        <v>693.52251208628832</v>
      </c>
      <c r="Y344" s="504">
        <f t="shared" si="367"/>
        <v>660.12345518781171</v>
      </c>
      <c r="Z344" s="505">
        <f t="shared" si="368"/>
        <v>676.82298363705002</v>
      </c>
      <c r="AA344" s="467">
        <f t="shared" si="369"/>
        <v>392.93099999999998</v>
      </c>
      <c r="AB344" s="497">
        <v>2</v>
      </c>
      <c r="AC344" s="479">
        <v>750</v>
      </c>
      <c r="AD344" s="507">
        <f>Inputs!$D$39*2</f>
        <v>126</v>
      </c>
      <c r="AE344" s="504">
        <f>_xlfn.MINIFS($DE$70:$DE$149,$DI$70:$DI$149,"&gt;"&amp;Inputs!$I$53)</f>
        <v>5.0999999999999979</v>
      </c>
      <c r="AF344" s="504">
        <f>_xlfn.MINIFS($DE$156:$DE$235,$DI$156:$DI$235,"&gt;"&amp;Inputs!$I$53)</f>
        <v>4.4999999999999982</v>
      </c>
      <c r="AG344" s="505">
        <f>_xlfn.MINIFS($DE$242:$DE$321,$DI$242:$DI$321,"&gt;"&amp;Inputs!$I$53)</f>
        <v>4.799999999999998</v>
      </c>
      <c r="AH344" s="506">
        <f>IF(Inputs!$F$53/2&gt;MAX(Pile!$DI$70:$DI$149),999999,IF(Pile!AE344/(Pile!AC344/1000)&gt;50,999999,IF(Pile!AE344&lt;2,999999,Pile!AE344)))</f>
        <v>5.0999999999999979</v>
      </c>
      <c r="AI344" s="504">
        <f>IF(Inputs!AE39="Yes",999999,IF(Pile!AF344/(Pile!AC344/1000)&gt;50,999999,IF(Pile!AF344&lt;2,999999,Pile!AF344)))</f>
        <v>4.4999999999999982</v>
      </c>
      <c r="AJ344" s="504">
        <f>IF(Inputs!$F$53/2&gt;MAX(Pile!$DI$242:$DI$321),999999,IF(Pile!AG344/(Pile!AC344/1000)&gt;50,999999,IF(Pile!AG344&lt;2,999999,IF(AG344&gt;25,999999,Pile!AG344))))</f>
        <v>4.799999999999998</v>
      </c>
      <c r="AK344" s="506">
        <f t="shared" si="370"/>
        <v>676.82298363705002</v>
      </c>
      <c r="AL344" s="504">
        <f t="shared" si="371"/>
        <v>643.42392673857353</v>
      </c>
      <c r="AM344" s="505">
        <f t="shared" si="372"/>
        <v>660.12345518781171</v>
      </c>
      <c r="AN344" s="471">
        <f t="shared" si="373"/>
        <v>392.93099999999998</v>
      </c>
      <c r="AO344" s="497">
        <v>2</v>
      </c>
      <c r="AP344" s="479">
        <v>750</v>
      </c>
      <c r="AQ344" s="507">
        <f>Inputs!$D$39*2</f>
        <v>126</v>
      </c>
      <c r="AR344" s="504">
        <f>_xlfn.MINIFS($DE$70:$DE$149,$DI$70:$DI$149,"&gt;"&amp;Inputs!$I$60)</f>
        <v>4.799999999999998</v>
      </c>
      <c r="AS344" s="504">
        <f>_xlfn.MINIFS($DE$156:$DE$235,$DI$156:$DI$235,"&gt;"&amp;Inputs!$I$60)</f>
        <v>4.1999999999999975</v>
      </c>
      <c r="AT344" s="505">
        <f>_xlfn.MINIFS($DE$242:$DE$321,$DI$242:$DI$321,"&gt;"&amp;Inputs!$I$60)</f>
        <v>4.4999999999999982</v>
      </c>
      <c r="AU344" s="506">
        <f>IF(Inputs!$F$60/2&gt;MAX(Pile!$DI$70:$DI$149),999999,IF(Pile!AR344/(Pile!AP344/1000)&gt;50,999999,IF(Pile!AR344&lt;2,999999,Pile!AR344)))</f>
        <v>4.799999999999998</v>
      </c>
      <c r="AV344" s="504">
        <f>IF(Inputs!AR39="Yes",999999,IF(Pile!AS344/(Pile!AP344/1000)&gt;50,999999,IF(Pile!AS344&lt;2,999999,Pile!AS344)))</f>
        <v>4.1999999999999975</v>
      </c>
      <c r="AW344" s="504">
        <f>IF(Inputs!$F$60/2&gt;MAX(Pile!$DI$242:$DI$321),999999,IF(Pile!AT344/(Pile!AP344/1000)&gt;50,999999,IF(Pile!AT344&lt;2,999999,IF(AT344&gt;25,999999,Pile!AT344))))</f>
        <v>4.4999999999999982</v>
      </c>
      <c r="AX344" s="506">
        <f t="shared" si="374"/>
        <v>660.12345518781171</v>
      </c>
      <c r="AY344" s="504">
        <f t="shared" si="375"/>
        <v>626.72439828933523</v>
      </c>
      <c r="AZ344" s="505">
        <f t="shared" si="376"/>
        <v>643.42392673857353</v>
      </c>
      <c r="BA344" s="467">
        <f t="shared" si="377"/>
        <v>392.93099999999998</v>
      </c>
      <c r="BB344" s="497">
        <v>2</v>
      </c>
      <c r="BC344" s="479">
        <v>750</v>
      </c>
      <c r="BD344" s="507">
        <f>Inputs!$D$39*2</f>
        <v>126</v>
      </c>
      <c r="BE344" s="504">
        <f>_xlfn.MINIFS($DE$70:$DE$149,$DI$70:$DI$149,"&gt;"&amp;Inputs!$I$67)</f>
        <v>5.0999999999999979</v>
      </c>
      <c r="BF344" s="504">
        <f>_xlfn.MINIFS($DE$156:$DE$235,$DI$156:$DI$235,"&gt;"&amp;Inputs!$I$67)</f>
        <v>4.4999999999999982</v>
      </c>
      <c r="BG344" s="505">
        <f>_xlfn.MINIFS($DE$242:$DE$321,$DI$242:$DI$321,"&gt;"&amp;Inputs!$I$67)</f>
        <v>4.799999999999998</v>
      </c>
      <c r="BH344" s="506">
        <f>IF(Inputs!$F$67/2&gt;MAX(Pile!$DI$70:$DI$149),999999,IF(Pile!BE344/(Pile!BC344/1000)&gt;50,999999,IF(Pile!BE344&lt;2,999999,Pile!BE344)))</f>
        <v>5.0999999999999979</v>
      </c>
      <c r="BI344" s="504">
        <f>IF(Inputs!BE39="Yes",999999,IF(Pile!BF344/(Pile!BC344/1000)&gt;50,999999,IF(Pile!BF344&lt;2,999999,Pile!BF344)))</f>
        <v>4.4999999999999982</v>
      </c>
      <c r="BJ344" s="504">
        <f>IF(Inputs!$F$67/2&gt;MAX(Pile!$DI$242:$DI$321),999999,IF(Pile!BG344/(Pile!BC344/1000)&gt;50,999999,IF(Pile!BG344&lt;2,999999,IF(BG344&gt;25,999999,Pile!BG344))))</f>
        <v>4.799999999999998</v>
      </c>
      <c r="BK344" s="506">
        <f t="shared" si="378"/>
        <v>676.82298363705002</v>
      </c>
      <c r="BL344" s="504">
        <f t="shared" si="379"/>
        <v>643.42392673857353</v>
      </c>
      <c r="BM344" s="505">
        <f t="shared" si="380"/>
        <v>660.12345518781171</v>
      </c>
      <c r="BN344" s="467">
        <f t="shared" si="381"/>
        <v>392.93099999999998</v>
      </c>
      <c r="BO344" s="497">
        <v>2</v>
      </c>
      <c r="BP344" s="479">
        <v>750</v>
      </c>
      <c r="BQ344" s="507">
        <f>Inputs!$D$39*2</f>
        <v>126</v>
      </c>
      <c r="BR344" s="504">
        <f>_xlfn.MINIFS($DE$70:$DE$149,$DI$70:$DI$149,"&gt;"&amp;Inputs!$I$74)</f>
        <v>5.9999999999999982</v>
      </c>
      <c r="BS344" s="504">
        <f>_xlfn.MINIFS($DE$156:$DE$235,$DI$156:$DI$235,"&gt;"&amp;Inputs!$I$74)</f>
        <v>5.3999999999999977</v>
      </c>
      <c r="BT344" s="505">
        <f>_xlfn.MINIFS($DE$242:$DE$321,$DI$242:$DI$321,"&gt;"&amp;Inputs!$I$74)</f>
        <v>5.6999999999999975</v>
      </c>
      <c r="BU344" s="506">
        <f>IF(Inputs!$F$74/2&gt;MAX(Pile!$DI$70:$DI$149),999999,IF(Pile!BR344/(Pile!BP344/1000)&gt;50,999999,IF(Pile!BR344&lt;2,999999,Pile!BR344)))</f>
        <v>5.9999999999999982</v>
      </c>
      <c r="BV344" s="504">
        <f>IF(Inputs!BR39="Yes",999999,IF(Pile!BS344/(Pile!BP344/1000)&gt;50,999999,IF(Pile!BS344&lt;2,999999,Pile!BS344)))</f>
        <v>5.3999999999999977</v>
      </c>
      <c r="BW344" s="504">
        <f>IF(Inputs!$F$74/2&gt;MAX(Pile!$DI$242:$DI$321),999999,IF(Pile!BT344/(Pile!BP344/1000)&gt;50,999999,IF(Pile!BT344&lt;2,999999,IF(BT344&gt;25,999999,Pile!BT344))))</f>
        <v>5.6999999999999975</v>
      </c>
      <c r="BX344" s="506">
        <f t="shared" si="382"/>
        <v>726.92156898476469</v>
      </c>
      <c r="BY344" s="504">
        <f t="shared" si="383"/>
        <v>693.52251208628832</v>
      </c>
      <c r="BZ344" s="505">
        <f t="shared" si="384"/>
        <v>710.2220405355265</v>
      </c>
      <c r="CA344" s="467">
        <f t="shared" si="385"/>
        <v>392.93099999999998</v>
      </c>
      <c r="CB344" s="497">
        <v>2</v>
      </c>
      <c r="CC344" s="479">
        <v>750</v>
      </c>
      <c r="CD344" s="507">
        <f>Inputs!$D$39*2</f>
        <v>126</v>
      </c>
      <c r="CE344" s="504">
        <f>_xlfn.MINIFS($DE$70:$DE$149,$DI$70:$DI$149,"&gt;"&amp;Inputs!$I$81)</f>
        <v>4.799999999999998</v>
      </c>
      <c r="CF344" s="504">
        <f>_xlfn.MINIFS($DE$156:$DE$235,$DI$156:$DI$235,"&gt;"&amp;Inputs!$I$81)</f>
        <v>4.1999999999999975</v>
      </c>
      <c r="CG344" s="505">
        <f>_xlfn.MINIFS($DE$242:$DE$321,$DI$242:$DI$321,"&gt;"&amp;Inputs!$I$81)</f>
        <v>4.4999999999999982</v>
      </c>
      <c r="CH344" s="506">
        <f>IF(Inputs!$F$81/2&gt;MAX(Pile!$DI$70:$DI$149),999999,IF(Pile!CE344/(Pile!CC344/1000)&gt;50,999999,IF(Pile!CE344&lt;2,999999,Pile!CE344)))</f>
        <v>4.799999999999998</v>
      </c>
      <c r="CI344" s="504">
        <f>IF(Inputs!CE39="Yes",999999,IF(Pile!CF344/(Pile!CC344/1000)&gt;50,999999,IF(Pile!CF344&lt;2,999999,Pile!CF344)))</f>
        <v>4.1999999999999975</v>
      </c>
      <c r="CJ344" s="504">
        <f>IF(Inputs!$F$81/2&gt;MAX(Pile!$DI$242:$DI$321),999999,IF(Pile!CG344/(Pile!CC344/1000)&gt;50,999999,IF(Pile!CG344&lt;2,999999,IF(CG344&gt;25,999999,Pile!CG344))))</f>
        <v>4.4999999999999982</v>
      </c>
      <c r="CK344" s="506">
        <f t="shared" si="386"/>
        <v>660.12345518781171</v>
      </c>
      <c r="CL344" s="504">
        <f t="shared" si="387"/>
        <v>626.72439828933523</v>
      </c>
      <c r="CM344" s="505">
        <f t="shared" si="388"/>
        <v>643.42392673857353</v>
      </c>
      <c r="CN344" s="467">
        <f t="shared" si="389"/>
        <v>392.93099999999998</v>
      </c>
      <c r="CO344" s="497">
        <v>2</v>
      </c>
      <c r="CP344" s="479">
        <v>750</v>
      </c>
      <c r="CQ344" s="507">
        <f>Inputs!$D$39*2</f>
        <v>126</v>
      </c>
      <c r="CR344" s="504">
        <f>_xlfn.MINIFS($DE$70:$DE$149,$DI$70:$DI$149,"&gt;"&amp;Inputs!$I$88)</f>
        <v>4.1999999999999975</v>
      </c>
      <c r="CS344" s="504">
        <f>_xlfn.MINIFS($DE$156:$DE$235,$DI$156:$DI$235,"&gt;"&amp;Inputs!$I$88)</f>
        <v>3.5999999999999979</v>
      </c>
      <c r="CT344" s="505">
        <f>_xlfn.MINIFS($DE$242:$DE$321,$DI$242:$DI$321,"&gt;"&amp;Inputs!$I$88)</f>
        <v>3.8999999999999977</v>
      </c>
      <c r="CU344" s="506">
        <f>IF(Inputs!$F$88/2&gt;MAX(Pile!$DI$70:$DI$149),999999,IF(Pile!CR344/(Pile!CP344/1000)&gt;50,999999,IF(Pile!CR344&lt;2,999999,Pile!CR344)))</f>
        <v>4.1999999999999975</v>
      </c>
      <c r="CV344" s="504">
        <f>IF(Inputs!CR39="Yes",999999,IF(Pile!CS344/(Pile!CP344/1000)&gt;50,999999,IF(Pile!CS344&lt;2,999999,Pile!CS344)))</f>
        <v>3.5999999999999979</v>
      </c>
      <c r="CW344" s="504">
        <f>IF(Inputs!$F$88/2&gt;MAX(Pile!$DI$242:$DI$321),999999,IF(Pile!CT344/(Pile!CP344/1000)&gt;50,999999,IF(Pile!CT344&lt;2,999999,IF(CT344&gt;25,999999,Pile!CT344))))</f>
        <v>3.8999999999999977</v>
      </c>
      <c r="CX344" s="506">
        <f t="shared" si="390"/>
        <v>626.72439828933523</v>
      </c>
      <c r="CY344" s="504">
        <f t="shared" si="391"/>
        <v>593.32534139085874</v>
      </c>
      <c r="CZ344" s="505">
        <f t="shared" si="392"/>
        <v>610.02486984009704</v>
      </c>
      <c r="DA344" s="467">
        <f t="shared" si="393"/>
        <v>392.93099999999998</v>
      </c>
      <c r="DB344" s="497">
        <v>2</v>
      </c>
      <c r="DC344" s="479">
        <v>750</v>
      </c>
      <c r="DD344" s="507">
        <f>Inputs!$D$39*2</f>
        <v>126</v>
      </c>
      <c r="DE344" s="504">
        <f>_xlfn.MINIFS($DE$70:$DE$149,$DI$70:$DI$149,"&gt;"&amp;Inputs!$I$95)</f>
        <v>4.1999999999999975</v>
      </c>
      <c r="DF344" s="504">
        <f>_xlfn.MINIFS($DE$156:$DE$235,$DI$156:$DI$235,"&gt;"&amp;Inputs!$I$95)</f>
        <v>3.8999999999999977</v>
      </c>
      <c r="DG344" s="505">
        <f>_xlfn.MINIFS($DE$242:$DE$321,$DI$242:$DI$321,"&gt;"&amp;Inputs!$I$95)</f>
        <v>3.8999999999999977</v>
      </c>
      <c r="DH344" s="506">
        <f>IF(Inputs!$F$95/2&gt;MAX(Pile!$DI$70:$DI$149),999999,IF(Pile!DE344/(Pile!DC344/1000)&gt;50,999999,IF(Pile!DE344&lt;2,999999,Pile!DE344)))</f>
        <v>4.1999999999999975</v>
      </c>
      <c r="DI344" s="504">
        <f>IF(Inputs!DE39="Yes",999999,IF(Pile!DF344/(Pile!DC344/1000)&gt;50,999999,IF(Pile!DF344&lt;2,999999,Pile!DF344)))</f>
        <v>3.8999999999999977</v>
      </c>
      <c r="DJ344" s="504">
        <f>IF(Inputs!$F$95/2&gt;MAX(Pile!$DI$242:$DI$321),999999,IF(Pile!DG344/(Pile!DC344/1000)&gt;50,999999,IF(Pile!DG344&lt;2,999999,IF(DG344&gt;25,999999,Pile!DG344))))</f>
        <v>3.8999999999999977</v>
      </c>
      <c r="DK344" s="506">
        <f t="shared" si="394"/>
        <v>626.72439828933523</v>
      </c>
      <c r="DL344" s="504">
        <f t="shared" si="395"/>
        <v>610.02486984009704</v>
      </c>
      <c r="DM344" s="505">
        <f t="shared" si="396"/>
        <v>610.02486984009704</v>
      </c>
      <c r="DN344" s="467">
        <f t="shared" si="397"/>
        <v>392.93099999999998</v>
      </c>
      <c r="DO344" s="497">
        <v>2</v>
      </c>
      <c r="DP344" s="479">
        <v>750</v>
      </c>
      <c r="DQ344" s="507">
        <f>Inputs!$D$39*2</f>
        <v>126</v>
      </c>
      <c r="DR344" s="504">
        <f>_xlfn.MINIFS($DE$70:$DE$149,$DI$70:$DI$149,"&gt;"&amp;Inputs!$I$102)</f>
        <v>2.9999999999999982</v>
      </c>
      <c r="DS344" s="504">
        <f>_xlfn.MINIFS($DE$156:$DE$235,$DI$156:$DI$235,"&gt;"&amp;Inputs!$I$102)</f>
        <v>2.6999999999999984</v>
      </c>
      <c r="DT344" s="505">
        <f>_xlfn.MINIFS($DE$242:$DE$321,$DI$242:$DI$321,"&gt;"&amp;Inputs!$I$102)</f>
        <v>2.6999999999999984</v>
      </c>
      <c r="DU344" s="506">
        <f>IF(Inputs!$F$102/2&gt;MAX(Pile!$DI$70:$DI$149),999999,IF(Pile!DR344/(Pile!DP344/1000)&gt;50,999999,IF(Pile!DR344&lt;2,999999,Pile!DR344)))</f>
        <v>2.9999999999999982</v>
      </c>
      <c r="DV344" s="504">
        <f>IF(Inputs!DR39="Yes",999999,IF(Pile!DS344/(Pile!DP344/1000)&gt;50,999999,IF(Pile!DS344&lt;2,999999,Pile!DS344)))</f>
        <v>2.6999999999999984</v>
      </c>
      <c r="DW344" s="504">
        <f>IF(Inputs!$F$102/2&gt;MAX(Pile!$DI$242:$DI$321),999999,IF(Pile!DT344/(Pile!DP344/1000)&gt;50,999999,IF(Pile!DT344&lt;2,999999,IF(DT344&gt;25,999999,Pile!DT344))))</f>
        <v>2.6999999999999984</v>
      </c>
      <c r="DX344" s="506">
        <f t="shared" si="398"/>
        <v>559.92628449238236</v>
      </c>
      <c r="DY344" s="504">
        <f t="shared" si="399"/>
        <v>543.22675604314406</v>
      </c>
      <c r="DZ344" s="505">
        <f t="shared" si="400"/>
        <v>543.22675604314406</v>
      </c>
      <c r="EA344" s="467">
        <f t="shared" si="401"/>
        <v>392.93099999999998</v>
      </c>
      <c r="EB344" s="497">
        <v>2</v>
      </c>
      <c r="EC344" s="479">
        <v>750</v>
      </c>
      <c r="ED344" s="507">
        <f>Inputs!$D$39*2</f>
        <v>126</v>
      </c>
      <c r="EE344" s="504">
        <f>_xlfn.MINIFS($DE$70:$DE$149,$DI$70:$DI$149,"&gt;"&amp;Inputs!$I$109)</f>
        <v>2.9999999999999982</v>
      </c>
      <c r="EF344" s="504">
        <f>_xlfn.MINIFS($DE$156:$DE$235,$DI$156:$DI$235,"&gt;"&amp;Inputs!$I$109)</f>
        <v>2.6999999999999984</v>
      </c>
      <c r="EG344" s="505">
        <f>_xlfn.MINIFS($DE$242:$DE$321,$DI$242:$DI$321,"&gt;"&amp;Inputs!$I$109)</f>
        <v>2.9999999999999982</v>
      </c>
      <c r="EH344" s="506">
        <f>IF(Inputs!$F$109/2&gt;MAX(Pile!$DI$70:$DI$149),999999,IF(Pile!EE344/(Pile!EC344/1000)&gt;50,999999,IF(Pile!EE344&lt;2,999999,Pile!EE344)))</f>
        <v>2.9999999999999982</v>
      </c>
      <c r="EI344" s="504">
        <f>IF(Inputs!EE39="Yes",999999,IF(Pile!EF344/(Pile!EC344/1000)&gt;50,999999,IF(Pile!EF344&lt;2,999999,Pile!EF344)))</f>
        <v>2.6999999999999984</v>
      </c>
      <c r="EJ344" s="504">
        <f>IF(Inputs!$F$109/2&gt;MAX(Pile!$DI$242:$DI$321),999999,IF(Pile!EG344/(Pile!EC344/1000)&gt;50,999999,IF(Pile!EG344&lt;2,999999,IF(EG344&gt;25,999999,Pile!EG344))))</f>
        <v>2.9999999999999982</v>
      </c>
      <c r="EK344" s="506">
        <f t="shared" si="402"/>
        <v>559.92628449238236</v>
      </c>
      <c r="EL344" s="504">
        <f t="shared" si="403"/>
        <v>543.22675604314406</v>
      </c>
      <c r="EM344" s="505">
        <f t="shared" si="404"/>
        <v>559.92628449238236</v>
      </c>
      <c r="EN344" s="467">
        <f t="shared" si="405"/>
        <v>392.93099999999998</v>
      </c>
      <c r="EO344" s="497">
        <v>2</v>
      </c>
      <c r="EP344" s="479">
        <v>750</v>
      </c>
      <c r="EQ344" s="507">
        <f>Inputs!$D$39*2</f>
        <v>126</v>
      </c>
      <c r="ER344" s="504">
        <f>_xlfn.MINIFS($DE$70:$DE$149,$DI$70:$DI$149,"&gt;"&amp;Inputs!$I$116)</f>
        <v>0.29999999999999982</v>
      </c>
      <c r="ES344" s="504">
        <f>_xlfn.MINIFS($DE$156:$DE$235,$DI$156:$DI$235,"&gt;"&amp;Inputs!$I$116)</f>
        <v>0.29999999999999982</v>
      </c>
      <c r="ET344" s="505">
        <f>_xlfn.MINIFS($DE$242:$DE$321,$DI$242:$DI$321,"&gt;"&amp;Inputs!$I$116)</f>
        <v>0.29999999999999982</v>
      </c>
      <c r="EU344" s="506">
        <f>IF(Inputs!$F$116/2&gt;MAX(Pile!$DI$70:$DI$149),999999,IF(Pile!ER344/(Pile!EP344/1000)&gt;50,999999,IF(Pile!ER344&lt;2,999999,Pile!ER344)))</f>
        <v>999999</v>
      </c>
      <c r="EV344" s="504">
        <f>IF(Inputs!ER39="Yes",999999,IF(Inputs!$F$116&gt;MAX(Pile!$DG$156:$DG$235),999999,IF(Pile!ES344/(Pile!EP344/1000)&gt;50,999999,IF(Pile!ES344&lt;2,999999,Pile!ES344))))</f>
        <v>999999</v>
      </c>
      <c r="EW344" s="504">
        <f>IF(Inputs!$F$116/2&gt;MAX(Pile!$DI$242:$DI$321),999999,IF(Pile!ET344/(Pile!EP344/1000)&gt;50,999999,IF(Pile!ET344&lt;2,999999,IF(ET344&gt;25,999999,Pile!ET344))))</f>
        <v>999999</v>
      </c>
      <c r="EX344" s="508">
        <f t="shared" si="360"/>
        <v>55665039.165699318</v>
      </c>
      <c r="EY344" s="509">
        <f t="shared" si="361"/>
        <v>55665039.165699318</v>
      </c>
      <c r="EZ344" s="510">
        <f t="shared" si="362"/>
        <v>55665039.165699318</v>
      </c>
    </row>
    <row r="345" spans="1:156" ht="15">
      <c r="B345" s="491">
        <v>2</v>
      </c>
      <c r="C345" s="476">
        <v>900</v>
      </c>
      <c r="D345" s="503">
        <f>Inputs!$D$39*2</f>
        <v>126</v>
      </c>
      <c r="E345" s="504">
        <f>_xlfn.MINIFS($DE$70:$DE$149,$DJ$70:$DJ$149,"&gt;"&amp;Inputs!$I$39)</f>
        <v>4.1999999999999975</v>
      </c>
      <c r="F345" s="504">
        <f>_xlfn.MINIFS($DE$156:$DE$235,$DJ$156:$DJ$235,"&gt;"&amp;Inputs!$I$39)</f>
        <v>0</v>
      </c>
      <c r="G345" s="505">
        <f>_xlfn.MINIFS($DE$242:$DE$321,$DJ$242:$DJ$321,"&gt;"&amp;Inputs!$I$39)</f>
        <v>4.1999999999999975</v>
      </c>
      <c r="H345" s="506">
        <f>IF(Inputs!$F$39/2&gt;MAX(Pile!$DJ$70:$DJ$149),999999,IF(Pile!E345/(Pile!C345/1000)&gt;50,999999,IF(Pile!E345&lt;2,999999,Pile!E345)))</f>
        <v>4.1999999999999975</v>
      </c>
      <c r="I345" s="504">
        <f>IF(Inputs!E40="Yes",999999,IF(Pile!F345/(Pile!C345/1000)&gt;50,999999,IF(Pile!F345&lt;2,999999,Pile!F345)))</f>
        <v>999999</v>
      </c>
      <c r="J345" s="504">
        <f>IF(Inputs!$F$39/2&gt;MAX(Pile!$DI$242:$DI$321),999999,IF(Pile!G345/(Pile!C345/1000)&gt;50,999999,IF(Pile!G345&lt;2,999999,IF(G345&gt;25,999999,Pile!G345))))</f>
        <v>4.1999999999999975</v>
      </c>
      <c r="K345" s="506">
        <f t="shared" si="363"/>
        <v>985.31049353664275</v>
      </c>
      <c r="L345" s="504">
        <f t="shared" si="364"/>
        <v>80158305.046607018</v>
      </c>
      <c r="M345" s="505">
        <f t="shared" si="365"/>
        <v>985.31049353664275</v>
      </c>
      <c r="N345" s="466">
        <f>Inputs!$D$39*E462</f>
        <v>648.64799999999991</v>
      </c>
      <c r="O345" s="491">
        <v>2</v>
      </c>
      <c r="P345" s="476">
        <v>900</v>
      </c>
      <c r="Q345" s="503">
        <f>Inputs!$D$39*2</f>
        <v>126</v>
      </c>
      <c r="R345" s="504">
        <f>_xlfn.MINIFS($DE$70:$DE$149,$DJ$70:$DJ$149,"&gt;"&amp;Inputs!$I$46)</f>
        <v>4.1999999999999975</v>
      </c>
      <c r="S345" s="504">
        <f>_xlfn.MINIFS($DE$156:$DE$235,$DJ$156:$DJ$235,"&gt;"&amp;Inputs!$I$46)</f>
        <v>0</v>
      </c>
      <c r="T345" s="505">
        <f>_xlfn.MINIFS($DE$242:$DE$321,$DJ$242:$DJ$321,"&gt;"&amp;Inputs!$I$46)</f>
        <v>3.8999999999999977</v>
      </c>
      <c r="U345" s="506">
        <f>IF(Inputs!$F$46/2&gt;MAX(Pile!$DJ$70:$DJ$149),999999,IF(Pile!R345/(Pile!P345/1000)&gt;50,999999,IF(Pile!R345&lt;2,999999,Pile!R345)))</f>
        <v>4.1999999999999975</v>
      </c>
      <c r="V345" s="504">
        <f>IF(Inputs!R40="Yes",999999,IF(Pile!S345/(Pile!P345/1000)&gt;50,999999,IF(Pile!S345&lt;2,999999,Pile!S345)))</f>
        <v>999999</v>
      </c>
      <c r="W345" s="504">
        <f>IF(Inputs!$F$46/2&gt;MAX(Pile!$DI$242:$DI$321),999999,IF(Pile!T345/(Pile!P345/1000)&gt;50,999999,IF(Pile!T345&lt;2,999999,IF(T345&gt;25,999999,Pile!T345))))</f>
        <v>3.8999999999999977</v>
      </c>
      <c r="X345" s="506">
        <f t="shared" si="366"/>
        <v>985.31049353664275</v>
      </c>
      <c r="Y345" s="504">
        <f t="shared" si="367"/>
        <v>80158305.046607018</v>
      </c>
      <c r="Z345" s="505">
        <f t="shared" si="368"/>
        <v>961.26317256973971</v>
      </c>
      <c r="AA345" s="467">
        <f t="shared" si="369"/>
        <v>648.64799999999991</v>
      </c>
      <c r="AB345" s="497">
        <v>2</v>
      </c>
      <c r="AC345" s="479">
        <v>900</v>
      </c>
      <c r="AD345" s="507">
        <f>Inputs!$D$39*2</f>
        <v>126</v>
      </c>
      <c r="AE345" s="504">
        <f>_xlfn.MINIFS($DE$70:$DE$149,$DJ$70:$DJ$149,"&gt;"&amp;Inputs!$I$53)</f>
        <v>3.8999999999999977</v>
      </c>
      <c r="AF345" s="504">
        <f>_xlfn.MINIFS($DE$156:$DE$235,$DJ$156:$DJ$235,"&gt;"&amp;Inputs!$I$53)</f>
        <v>0</v>
      </c>
      <c r="AG345" s="505">
        <f>_xlfn.MINIFS($DE$242:$DE$321,$DJ$242:$DJ$321,"&gt;"&amp;Inputs!$I$53)</f>
        <v>3.8999999999999977</v>
      </c>
      <c r="AH345" s="506">
        <f>IF(Inputs!$F$53/2&gt;MAX(Pile!$DJ$70:$DJ$149),999999,IF(Pile!AE345/(Pile!AC345/1000)&gt;50,999999,IF(Pile!AE345&lt;2,999999,Pile!AE345)))</f>
        <v>3.8999999999999977</v>
      </c>
      <c r="AI345" s="504">
        <f>IF(Inputs!AE40="Yes",999999,IF(Pile!AF345/(Pile!AC345/1000)&gt;50,999999,IF(Pile!AF345&lt;2,999999,Pile!AF345)))</f>
        <v>999999</v>
      </c>
      <c r="AJ345" s="504">
        <f>IF(Inputs!$F$53/2&gt;MAX(Pile!$DI$242:$DI$321),999999,IF(Pile!AG345/(Pile!AC345/1000)&gt;50,999999,IF(Pile!AG345&lt;2,999999,IF(AG345&gt;25,999999,Pile!AG345))))</f>
        <v>3.8999999999999977</v>
      </c>
      <c r="AK345" s="506">
        <f t="shared" si="370"/>
        <v>961.26317256973971</v>
      </c>
      <c r="AL345" s="504">
        <f t="shared" si="371"/>
        <v>80158305.046607018</v>
      </c>
      <c r="AM345" s="505">
        <f t="shared" si="372"/>
        <v>961.26317256973971</v>
      </c>
      <c r="AN345" s="471">
        <f t="shared" si="373"/>
        <v>648.64799999999991</v>
      </c>
      <c r="AO345" s="497">
        <v>2</v>
      </c>
      <c r="AP345" s="479">
        <v>900</v>
      </c>
      <c r="AQ345" s="507">
        <f>Inputs!$D$39*2</f>
        <v>126</v>
      </c>
      <c r="AR345" s="504">
        <f>_xlfn.MINIFS($DE$70:$DE$149,$DJ$70:$DJ$149,"&gt;"&amp;Inputs!$I$60)</f>
        <v>3.5999999999999979</v>
      </c>
      <c r="AS345" s="504">
        <f>_xlfn.MINIFS($DE$156:$DE$235,$DJ$156:$DJ$235,"&gt;"&amp;Inputs!$I$60)</f>
        <v>0</v>
      </c>
      <c r="AT345" s="505">
        <f>_xlfn.MINIFS($DE$242:$DE$321,$DJ$242:$DJ$321,"&gt;"&amp;Inputs!$I$60)</f>
        <v>3.5999999999999979</v>
      </c>
      <c r="AU345" s="506">
        <f>IF(Inputs!$F$60/2&gt;MAX(Pile!$DJ$70:$DJ$149),999999,IF(Pile!AR345/(Pile!AP345/1000)&gt;50,999999,IF(Pile!AR345&lt;2,999999,Pile!AR345)))</f>
        <v>3.5999999999999979</v>
      </c>
      <c r="AV345" s="504">
        <f>IF(Inputs!AR40="Yes",999999,IF(Pile!AS345/(Pile!AP345/1000)&gt;50,999999,IF(Pile!AS345&lt;2,999999,Pile!AS345)))</f>
        <v>999999</v>
      </c>
      <c r="AW345" s="504">
        <f>IF(Inputs!$F$60/2&gt;MAX(Pile!$DI$242:$DI$321),999999,IF(Pile!AT345/(Pile!AP345/1000)&gt;50,999999,IF(Pile!AT345&lt;2,999999,IF(AT345&gt;25,999999,Pile!AT345))))</f>
        <v>3.5999999999999979</v>
      </c>
      <c r="AX345" s="506">
        <f t="shared" si="374"/>
        <v>937.21585160283666</v>
      </c>
      <c r="AY345" s="504">
        <f t="shared" si="375"/>
        <v>80158305.046607018</v>
      </c>
      <c r="AZ345" s="505">
        <f t="shared" si="376"/>
        <v>937.21585160283666</v>
      </c>
      <c r="BA345" s="467">
        <f t="shared" si="377"/>
        <v>648.64799999999991</v>
      </c>
      <c r="BB345" s="497">
        <v>2</v>
      </c>
      <c r="BC345" s="479">
        <v>900</v>
      </c>
      <c r="BD345" s="507">
        <f>Inputs!$D$39*2</f>
        <v>126</v>
      </c>
      <c r="BE345" s="504">
        <f>_xlfn.MINIFS($DE$70:$DE$149,$DJ$70:$DJ$149,"&gt;"&amp;Inputs!$I$67)</f>
        <v>3.8999999999999977</v>
      </c>
      <c r="BF345" s="504">
        <f>_xlfn.MINIFS($DE$156:$DE$235,$DJ$156:$DJ$235,"&gt;"&amp;Inputs!$I$67)</f>
        <v>0</v>
      </c>
      <c r="BG345" s="505">
        <f>_xlfn.MINIFS($DE$242:$DE$321,$DJ$242:$DJ$321,"&gt;"&amp;Inputs!$I$67)</f>
        <v>3.8999999999999977</v>
      </c>
      <c r="BH345" s="506">
        <f>IF(Inputs!$F$67/2&gt;MAX(Pile!$DJ$70:$DJ$149),999999,IF(Pile!BE345/(Pile!BC345/1000)&gt;50,999999,IF(Pile!BE345&lt;2,999999,Pile!BE345)))</f>
        <v>3.8999999999999977</v>
      </c>
      <c r="BI345" s="504">
        <f>IF(Inputs!BE40="Yes",999999,IF(Pile!BF345/(Pile!BC345/1000)&gt;50,999999,IF(Pile!BF345&lt;2,999999,Pile!BF345)))</f>
        <v>999999</v>
      </c>
      <c r="BJ345" s="504">
        <f>IF(Inputs!$F$67/2&gt;MAX(Pile!$DI$242:$DI$321),999999,IF(Pile!BG345/(Pile!BC345/1000)&gt;50,999999,IF(Pile!BG345&lt;2,999999,IF(BG345&gt;25,999999,Pile!BG345))))</f>
        <v>3.8999999999999977</v>
      </c>
      <c r="BK345" s="506">
        <f t="shared" si="378"/>
        <v>961.26317256973971</v>
      </c>
      <c r="BL345" s="504">
        <f t="shared" si="379"/>
        <v>80158305.046607018</v>
      </c>
      <c r="BM345" s="505">
        <f t="shared" si="380"/>
        <v>961.26317256973971</v>
      </c>
      <c r="BN345" s="467">
        <f t="shared" si="381"/>
        <v>648.64799999999991</v>
      </c>
      <c r="BO345" s="497">
        <v>2</v>
      </c>
      <c r="BP345" s="479">
        <v>900</v>
      </c>
      <c r="BQ345" s="507">
        <f>Inputs!$D$39*2</f>
        <v>126</v>
      </c>
      <c r="BR345" s="504">
        <f>_xlfn.MINIFS($DE$70:$DE$149,$DJ$70:$DJ$149,"&gt;"&amp;Inputs!$I$74)</f>
        <v>4.4999999999999982</v>
      </c>
      <c r="BS345" s="504">
        <f>_xlfn.MINIFS($DE$156:$DE$235,$DJ$156:$DJ$235,"&gt;"&amp;Inputs!$I$74)</f>
        <v>0</v>
      </c>
      <c r="BT345" s="505">
        <f>_xlfn.MINIFS($DE$242:$DE$321,$DJ$242:$DJ$321,"&gt;"&amp;Inputs!$I$74)</f>
        <v>4.4999999999999982</v>
      </c>
      <c r="BU345" s="506">
        <f>IF(Inputs!$F$74/2&gt;MAX(Pile!$DJ$70:$DJ$149),999999,IF(Pile!BR345/(Pile!BP345/1000)&gt;50,999999,IF(Pile!BR345&lt;2,999999,Pile!BR345)))</f>
        <v>4.4999999999999982</v>
      </c>
      <c r="BV345" s="504">
        <f>IF(Inputs!BR40="Yes",999999,IF(Pile!BS345/(Pile!BP345/1000)&gt;50,999999,IF(Pile!BS345&lt;2,999999,Pile!BS345)))</f>
        <v>999999</v>
      </c>
      <c r="BW345" s="504">
        <f>IF(Inputs!$F$74/2&gt;MAX(Pile!$DI$242:$DI$321),999999,IF(Pile!BT345/(Pile!BP345/1000)&gt;50,999999,IF(Pile!BT345&lt;2,999999,IF(BT345&gt;25,999999,Pile!BT345))))</f>
        <v>4.4999999999999982</v>
      </c>
      <c r="BX345" s="506">
        <f t="shared" si="382"/>
        <v>1009.3578145035458</v>
      </c>
      <c r="BY345" s="504">
        <f t="shared" si="383"/>
        <v>80158305.046607018</v>
      </c>
      <c r="BZ345" s="505">
        <f t="shared" si="384"/>
        <v>1009.3578145035458</v>
      </c>
      <c r="CA345" s="467">
        <f t="shared" si="385"/>
        <v>648.64799999999991</v>
      </c>
      <c r="CB345" s="497">
        <v>2</v>
      </c>
      <c r="CC345" s="479">
        <v>900</v>
      </c>
      <c r="CD345" s="507">
        <f>Inputs!$D$39*2</f>
        <v>126</v>
      </c>
      <c r="CE345" s="504">
        <f>_xlfn.MINIFS($DE$70:$DE$149,$DJ$70:$DJ$149,"&gt;"&amp;Inputs!$I$81)</f>
        <v>3.5999999999999979</v>
      </c>
      <c r="CF345" s="504">
        <f>_xlfn.MINIFS($DE$156:$DE$235,$DJ$156:$DJ$235,"&gt;"&amp;Inputs!$I$81)</f>
        <v>0</v>
      </c>
      <c r="CG345" s="505">
        <f>_xlfn.MINIFS($DE$242:$DE$321,$DJ$242:$DJ$321,"&gt;"&amp;Inputs!$I$81)</f>
        <v>3.5999999999999979</v>
      </c>
      <c r="CH345" s="506">
        <f>IF(Inputs!$F$81/2&gt;MAX(Pile!$DJ$70:$DJ$149),999999,IF(Pile!CE345/(Pile!CC345/1000)&gt;50,999999,IF(Pile!CE345&lt;2,999999,Pile!CE345)))</f>
        <v>3.5999999999999979</v>
      </c>
      <c r="CI345" s="504">
        <f>IF(Inputs!CE40="Yes",999999,IF(Pile!CF345/(Pile!CC345/1000)&gt;50,999999,IF(Pile!CF345&lt;2,999999,Pile!CF345)))</f>
        <v>999999</v>
      </c>
      <c r="CJ345" s="504">
        <f>IF(Inputs!$F$81/2&gt;MAX(Pile!$DI$242:$DI$321),999999,IF(Pile!CG345/(Pile!CC345/1000)&gt;50,999999,IF(Pile!CG345&lt;2,999999,IF(CG345&gt;25,999999,Pile!CG345))))</f>
        <v>3.5999999999999979</v>
      </c>
      <c r="CK345" s="506">
        <f t="shared" si="386"/>
        <v>937.21585160283666</v>
      </c>
      <c r="CL345" s="504">
        <f t="shared" si="387"/>
        <v>80158305.046607018</v>
      </c>
      <c r="CM345" s="505">
        <f t="shared" si="388"/>
        <v>937.21585160283666</v>
      </c>
      <c r="CN345" s="467">
        <f t="shared" si="389"/>
        <v>648.64799999999991</v>
      </c>
      <c r="CO345" s="497">
        <v>2</v>
      </c>
      <c r="CP345" s="479">
        <v>900</v>
      </c>
      <c r="CQ345" s="507">
        <f>Inputs!$D$39*2</f>
        <v>126</v>
      </c>
      <c r="CR345" s="504">
        <f>_xlfn.MINIFS($DE$70:$DE$149,$DJ$70:$DJ$149,"&gt;"&amp;Inputs!$I$88)</f>
        <v>3.299999999999998</v>
      </c>
      <c r="CS345" s="504">
        <f>_xlfn.MINIFS($DE$156:$DE$235,$DJ$156:$DJ$235,"&gt;"&amp;Inputs!$I$88)</f>
        <v>0</v>
      </c>
      <c r="CT345" s="505">
        <f>_xlfn.MINIFS($DE$242:$DE$321,$DJ$242:$DJ$321,"&gt;"&amp;Inputs!$I$88)</f>
        <v>2.9999999999999982</v>
      </c>
      <c r="CU345" s="506">
        <f>IF(Inputs!$F$88/2&gt;MAX(Pile!$DJ$70:$DJ$149),999999,IF(Pile!CR345/(Pile!CP345/1000)&gt;50,999999,IF(Pile!CR345&lt;2,999999,Pile!CR345)))</f>
        <v>3.299999999999998</v>
      </c>
      <c r="CV345" s="504">
        <f>IF(Inputs!CR40="Yes",999999,IF(Pile!CS345/(Pile!CP345/1000)&gt;50,999999,IF(Pile!CS345&lt;2,999999,Pile!CS345)))</f>
        <v>999999</v>
      </c>
      <c r="CW345" s="504">
        <f>IF(Inputs!$F$88/2&gt;MAX(Pile!$DI$242:$DI$321),999999,IF(Pile!CT345/(Pile!CP345/1000)&gt;50,999999,IF(Pile!CT345&lt;2,999999,IF(CT345&gt;25,999999,Pile!CT345))))</f>
        <v>2.9999999999999982</v>
      </c>
      <c r="CX345" s="506">
        <f t="shared" si="390"/>
        <v>913.16853063593362</v>
      </c>
      <c r="CY345" s="504">
        <f t="shared" si="391"/>
        <v>80158305.046607018</v>
      </c>
      <c r="CZ345" s="505">
        <f t="shared" si="392"/>
        <v>889.12120966903046</v>
      </c>
      <c r="DA345" s="467">
        <f t="shared" si="393"/>
        <v>648.64799999999991</v>
      </c>
      <c r="DB345" s="497">
        <v>2</v>
      </c>
      <c r="DC345" s="479">
        <v>900</v>
      </c>
      <c r="DD345" s="507">
        <f>Inputs!$D$39*2</f>
        <v>126</v>
      </c>
      <c r="DE345" s="504">
        <f>_xlfn.MINIFS($DE$70:$DE$149,$DJ$70:$DJ$149,"&gt;"&amp;Inputs!$I$95)</f>
        <v>3.299999999999998</v>
      </c>
      <c r="DF345" s="504">
        <f>_xlfn.MINIFS($DE$156:$DE$235,$DJ$156:$DJ$235,"&gt;"&amp;Inputs!$I$95)</f>
        <v>0</v>
      </c>
      <c r="DG345" s="505">
        <f>_xlfn.MINIFS($DE$242:$DE$321,$DJ$242:$DJ$321,"&gt;"&amp;Inputs!$I$95)</f>
        <v>2.9999999999999982</v>
      </c>
      <c r="DH345" s="506">
        <f>IF(Inputs!$F$95/2&gt;MAX(Pile!$DJ$70:$DJ$149),999999,IF(Pile!DE345/(Pile!DC345/1000)&gt;50,999999,IF(Pile!DE345&lt;2,999999,Pile!DE345)))</f>
        <v>3.299999999999998</v>
      </c>
      <c r="DI345" s="504">
        <f>IF(Inputs!DE40="Yes",999999,IF(Pile!DF345/(Pile!DC345/1000)&gt;50,999999,IF(Pile!DF345&lt;2,999999,Pile!DF345)))</f>
        <v>999999</v>
      </c>
      <c r="DJ345" s="504">
        <f>IF(Inputs!$F$95/2&gt;MAX(Pile!$DI$242:$DI$321),999999,IF(Pile!DG345/(Pile!DC345/1000)&gt;50,999999,IF(Pile!DG345&lt;2,999999,IF(DG345&gt;25,999999,Pile!DG345))))</f>
        <v>2.9999999999999982</v>
      </c>
      <c r="DK345" s="506">
        <f t="shared" si="394"/>
        <v>913.16853063593362</v>
      </c>
      <c r="DL345" s="504">
        <f t="shared" si="395"/>
        <v>80158305.046607018</v>
      </c>
      <c r="DM345" s="505">
        <f t="shared" si="396"/>
        <v>889.12120966903046</v>
      </c>
      <c r="DN345" s="467">
        <f t="shared" si="397"/>
        <v>648.64799999999991</v>
      </c>
      <c r="DO345" s="497">
        <v>2</v>
      </c>
      <c r="DP345" s="479">
        <v>900</v>
      </c>
      <c r="DQ345" s="507">
        <f>Inputs!$D$39*2</f>
        <v>126</v>
      </c>
      <c r="DR345" s="504">
        <f>_xlfn.MINIFS($DE$70:$DE$149,$DJ$70:$DJ$149,"&gt;"&amp;Inputs!$I$102)</f>
        <v>2.0999999999999988</v>
      </c>
      <c r="DS345" s="504">
        <f>_xlfn.MINIFS($DE$156:$DE$235,$DJ$156:$DJ$235,"&gt;"&amp;Inputs!$I$102)</f>
        <v>0</v>
      </c>
      <c r="DT345" s="505">
        <f>_xlfn.MINIFS($DE$242:$DE$321,$DJ$242:$DJ$321,"&gt;"&amp;Inputs!$I$102)</f>
        <v>2.0999999999999988</v>
      </c>
      <c r="DU345" s="506">
        <f>IF(Inputs!$F$102/2&gt;MAX(Pile!$DJ$70:$DJ$149),999999,IF(Pile!DR345/(Pile!DP345/1000)&gt;50,999999,IF(Pile!DR345&lt;2,999999,Pile!DR345)))</f>
        <v>2.0999999999999988</v>
      </c>
      <c r="DV345" s="504">
        <f>IF(Inputs!DR40="Yes",999999,IF(Pile!DS345/(Pile!DP345/1000)&gt;50,999999,IF(Pile!DS345&lt;2,999999,Pile!DS345)))</f>
        <v>999999</v>
      </c>
      <c r="DW345" s="504">
        <f>IF(Inputs!$F$102/2&gt;MAX(Pile!$DI$242:$DI$321),999999,IF(Pile!DT345/(Pile!DP345/1000)&gt;50,999999,IF(Pile!DT345&lt;2,999999,IF(DT345&gt;25,999999,Pile!DT345))))</f>
        <v>2.0999999999999988</v>
      </c>
      <c r="DX345" s="506">
        <f t="shared" si="398"/>
        <v>816.97924676832133</v>
      </c>
      <c r="DY345" s="504">
        <f t="shared" si="399"/>
        <v>80158305.046607018</v>
      </c>
      <c r="DZ345" s="505">
        <f t="shared" si="400"/>
        <v>816.97924676832133</v>
      </c>
      <c r="EA345" s="467">
        <f t="shared" si="401"/>
        <v>648.64799999999991</v>
      </c>
      <c r="EB345" s="497">
        <v>2</v>
      </c>
      <c r="EC345" s="479">
        <v>900</v>
      </c>
      <c r="ED345" s="507">
        <f>Inputs!$D$39*2</f>
        <v>126</v>
      </c>
      <c r="EE345" s="504">
        <f>_xlfn.MINIFS($DE$70:$DE$149,$DJ$70:$DJ$149,"&gt;"&amp;Inputs!$I$109)</f>
        <v>2.3999999999999986</v>
      </c>
      <c r="EF345" s="504">
        <f>_xlfn.MINIFS($DE$156:$DE$235,$DJ$156:$DJ$235,"&gt;"&amp;Inputs!$I$109)</f>
        <v>0</v>
      </c>
      <c r="EG345" s="505">
        <f>_xlfn.MINIFS($DE$242:$DE$321,$DJ$242:$DJ$321,"&gt;"&amp;Inputs!$I$109)</f>
        <v>2.0999999999999988</v>
      </c>
      <c r="EH345" s="506">
        <f>IF(Inputs!$F$109/2&gt;MAX(Pile!$DJ$70:$DJ$149),999999,IF(Pile!EE345/(Pile!EC345/1000)&gt;50,999999,IF(Pile!EE345&lt;2,999999,Pile!EE345)))</f>
        <v>2.3999999999999986</v>
      </c>
      <c r="EI345" s="504">
        <f>IF(Inputs!EE40="Yes",999999,IF(Pile!EF345/(Pile!EC345/1000)&gt;50,999999,IF(Pile!EF345&lt;2,999999,Pile!EF345)))</f>
        <v>999999</v>
      </c>
      <c r="EJ345" s="504">
        <f>IF(Inputs!$F$109/2&gt;MAX(Pile!$DI$242:$DI$321),999999,IF(Pile!EG345/(Pile!EC345/1000)&gt;50,999999,IF(Pile!EG345&lt;2,999999,IF(EG345&gt;25,999999,Pile!EG345))))</f>
        <v>2.0999999999999988</v>
      </c>
      <c r="EK345" s="506">
        <f t="shared" si="402"/>
        <v>841.02656773522438</v>
      </c>
      <c r="EL345" s="504">
        <f t="shared" si="403"/>
        <v>80158305.046607018</v>
      </c>
      <c r="EM345" s="505">
        <f t="shared" si="404"/>
        <v>816.97924676832133</v>
      </c>
      <c r="EN345" s="467">
        <f t="shared" si="405"/>
        <v>648.64799999999991</v>
      </c>
      <c r="EO345" s="497">
        <v>2</v>
      </c>
      <c r="EP345" s="479">
        <v>900</v>
      </c>
      <c r="EQ345" s="507">
        <f>Inputs!$D$39*2</f>
        <v>126</v>
      </c>
      <c r="ER345" s="504">
        <f>_xlfn.MINIFS($DE$70:$DE$149,$DJ$70:$DJ$149,"&gt;"&amp;Inputs!$I$116)</f>
        <v>0.29999999999999982</v>
      </c>
      <c r="ES345" s="504">
        <f>_xlfn.MINIFS($DE$156:$DE$235,$DJ$156:$DJ$235,"&gt;"&amp;Inputs!$I$116)</f>
        <v>0</v>
      </c>
      <c r="ET345" s="505">
        <f>_xlfn.MINIFS($DE$242:$DE$321,$DJ$242:$DJ$321,"&gt;"&amp;Inputs!$I$116)</f>
        <v>0.29999999999999982</v>
      </c>
      <c r="EU345" s="506">
        <f>IF(Inputs!$F$116/2&gt;MAX(Pile!$DJ$70:$DJ$149),999999,IF(Pile!ER345/(Pile!EP345/1000)&gt;50,999999,IF(Pile!ER345&lt;2,999999,Pile!ER345)))</f>
        <v>999999</v>
      </c>
      <c r="EV345" s="504">
        <f>IF(Inputs!ER40="Yes",999999,IF(Inputs!$F$116&gt;MAX(Pile!$DG$156:$DG$235),999999,IF(Pile!ES345/(Pile!EP345/1000)&gt;50,999999,IF(Pile!ES345&lt;2,999999,Pile!ES345))))</f>
        <v>999999</v>
      </c>
      <c r="EW345" s="504">
        <f>IF(Inputs!$F$116/2&gt;MAX(Pile!$DI$242:$DI$321),999999,IF(Pile!ET345/(Pile!EP345/1000)&gt;50,999999,IF(Pile!ET345&lt;2,999999,IF(ET345&gt;25,999999,Pile!ET345))))</f>
        <v>999999</v>
      </c>
      <c r="EX345" s="508">
        <f t="shared" si="360"/>
        <v>80157656.398607016</v>
      </c>
      <c r="EY345" s="509">
        <f t="shared" si="361"/>
        <v>80157656.398607016</v>
      </c>
      <c r="EZ345" s="510">
        <f t="shared" si="362"/>
        <v>80157656.398607016</v>
      </c>
    </row>
    <row r="346" spans="1:156" ht="15">
      <c r="B346" s="491">
        <v>2</v>
      </c>
      <c r="C346" s="476">
        <v>1050</v>
      </c>
      <c r="D346" s="503">
        <f>Inputs!$D$39*2</f>
        <v>126</v>
      </c>
      <c r="E346" s="504">
        <f>_xlfn.MINIFS($DE$70:$DE$149,$DK$70:$DK$149,"&gt;"&amp;Inputs!$I$39)</f>
        <v>3.299999999999998</v>
      </c>
      <c r="F346" s="504">
        <f>_xlfn.MINIFS($DE$156:$DE$235,$DK$156:$DK$235,"&gt;"&amp;Inputs!$I$39)</f>
        <v>0</v>
      </c>
      <c r="G346" s="505">
        <f>_xlfn.MINIFS($DE$242:$DE$321,$DK$242:$DK$321,"&gt;"&amp;Inputs!$I$39)</f>
        <v>3.299999999999998</v>
      </c>
      <c r="H346" s="506">
        <f>IF(Inputs!$F$39/2&gt;MAX(Pile!$DK$70:$DK$149),999999,IF(Pile!E346/(Pile!C346/1000)&gt;50,999999,IF(Pile!E346&lt;2,999999,Pile!E346)))</f>
        <v>3.299999999999998</v>
      </c>
      <c r="I346" s="504">
        <f>IF(Inputs!E41="Yes",999999,IF(Pile!F346/(Pile!C346/1000)&gt;50,999999,IF(Pile!F346&lt;2,999999,Pile!F346)))</f>
        <v>999999</v>
      </c>
      <c r="J346" s="504">
        <f>IF(Inputs!$F$39/2&gt;MAX(Pile!$DK$242:$DK$321),999999,IF(Pile!G346/(Pile!C346/1000)&gt;50,999999,IF(Pile!G346&lt;2,999999,IF(G346&gt;25,999999,Pile!G346))))</f>
        <v>3.299999999999998</v>
      </c>
      <c r="K346" s="506">
        <f t="shared" si="363"/>
        <v>1355.1268333655764</v>
      </c>
      <c r="L346" s="504">
        <f t="shared" si="364"/>
        <v>109104471.84977065</v>
      </c>
      <c r="M346" s="505">
        <f t="shared" si="365"/>
        <v>1355.1268333655764</v>
      </c>
      <c r="N346" s="466">
        <f>Inputs!$D$39*E463</f>
        <v>995.08500000000015</v>
      </c>
      <c r="O346" s="491">
        <v>2</v>
      </c>
      <c r="P346" s="476">
        <v>1050</v>
      </c>
      <c r="Q346" s="503">
        <f>Inputs!$D$39*2</f>
        <v>126</v>
      </c>
      <c r="R346" s="504">
        <f>_xlfn.MINIFS($DE$70:$DE$149,$DK$70:$DK$149,"&gt;"&amp;Inputs!$I$46)</f>
        <v>3.299999999999998</v>
      </c>
      <c r="S346" s="504">
        <f>_xlfn.MINIFS($DE$156:$DE$235,$DK$156:$DK$235,"&gt;"&amp;Inputs!$I$46)</f>
        <v>0</v>
      </c>
      <c r="T346" s="505">
        <f>_xlfn.MINIFS($DE$242:$DE$321,$DK$242:$DK$321,"&gt;"&amp;Inputs!$I$46)</f>
        <v>3.299999999999998</v>
      </c>
      <c r="U346" s="506">
        <f>IF(Inputs!$F$46/2&gt;MAX(Pile!$DK$70:$DK$149),999999,IF(Pile!R346/(Pile!P346/1000)&gt;50,999999,IF(Pile!R346&lt;2,999999,Pile!R346)))</f>
        <v>3.299999999999998</v>
      </c>
      <c r="V346" s="504">
        <f>IF(Inputs!R41="Yes",999999,IF(Pile!S346/(Pile!P346/1000)&gt;50,999999,IF(Pile!S346&lt;2,999999,Pile!S346)))</f>
        <v>999999</v>
      </c>
      <c r="W346" s="504">
        <f>IF(Inputs!$F$46/2&gt;MAX(Pile!$DK$242:$DK$321),999999,IF(Pile!T346/(Pile!P346/1000)&gt;50,999999,IF(Pile!T346&lt;2,999999,IF(T346&gt;25,999999,Pile!T346))))</f>
        <v>3.299999999999998</v>
      </c>
      <c r="X346" s="506">
        <f t="shared" si="366"/>
        <v>1355.1268333655764</v>
      </c>
      <c r="Y346" s="504">
        <f t="shared" si="367"/>
        <v>109104471.84977065</v>
      </c>
      <c r="Z346" s="505">
        <f t="shared" si="368"/>
        <v>1355.1268333655764</v>
      </c>
      <c r="AA346" s="467">
        <f t="shared" si="369"/>
        <v>995.08500000000015</v>
      </c>
      <c r="AB346" s="497">
        <v>2</v>
      </c>
      <c r="AC346" s="479">
        <v>1050</v>
      </c>
      <c r="AD346" s="507">
        <f>Inputs!$D$39*2</f>
        <v>126</v>
      </c>
      <c r="AE346" s="504">
        <f>_xlfn.MINIFS($DE$70:$DE$149,$DK$70:$DK$149,"&gt;"&amp;Inputs!$I$53)</f>
        <v>2.9999999999999982</v>
      </c>
      <c r="AF346" s="504">
        <f>_xlfn.MINIFS($DE$156:$DE$235,$DK$156:$DK$235,"&gt;"&amp;Inputs!$I$53)</f>
        <v>0</v>
      </c>
      <c r="AG346" s="505">
        <f>_xlfn.MINIFS($DE$242:$DE$321,$DK$242:$DK$321,"&gt;"&amp;Inputs!$I$53)</f>
        <v>2.9999999999999982</v>
      </c>
      <c r="AH346" s="506">
        <f>IF(Inputs!$F$53/2&gt;MAX(Pile!$DK$70:$DK$149),999999,IF(Pile!AE346/(Pile!AC346/1000)&gt;50,999999,IF(Pile!AE346&lt;2,999999,Pile!AE346)))</f>
        <v>2.9999999999999982</v>
      </c>
      <c r="AI346" s="504">
        <f>IF(Inputs!AE41="Yes",999999,IF(Pile!AF346/(Pile!AC346/1000)&gt;50,999999,IF(Pile!AF346&lt;2,999999,Pile!AF346)))</f>
        <v>999999</v>
      </c>
      <c r="AJ346" s="504">
        <f>IF(Inputs!$F$53/2&gt;MAX(Pile!$DK$242:$DK$321),999999,IF(Pile!AG346/(Pile!AC346/1000)&gt;50,999999,IF(Pile!AG346&lt;2,999999,IF(AG346&gt;25,999999,Pile!AG346))))</f>
        <v>2.9999999999999982</v>
      </c>
      <c r="AK346" s="506">
        <f t="shared" si="370"/>
        <v>1322.3957576050695</v>
      </c>
      <c r="AL346" s="504">
        <f t="shared" si="371"/>
        <v>109104471.84977065</v>
      </c>
      <c r="AM346" s="505">
        <f t="shared" si="372"/>
        <v>1322.3957576050695</v>
      </c>
      <c r="AN346" s="471">
        <f t="shared" si="373"/>
        <v>995.08500000000015</v>
      </c>
      <c r="AO346" s="497">
        <v>2</v>
      </c>
      <c r="AP346" s="479">
        <v>1050</v>
      </c>
      <c r="AQ346" s="507">
        <f>Inputs!$D$39*2</f>
        <v>126</v>
      </c>
      <c r="AR346" s="504">
        <f>_xlfn.MINIFS($DE$70:$DE$149,$DK$70:$DK$149,"&gt;"&amp;Inputs!$I$60)</f>
        <v>2.6999999999999984</v>
      </c>
      <c r="AS346" s="504">
        <f>_xlfn.MINIFS($DE$156:$DE$235,$DK$156:$DK$235,"&gt;"&amp;Inputs!$I$60)</f>
        <v>0</v>
      </c>
      <c r="AT346" s="505">
        <f>_xlfn.MINIFS($DE$242:$DE$321,$DK$242:$DK$321,"&gt;"&amp;Inputs!$I$60)</f>
        <v>2.6999999999999984</v>
      </c>
      <c r="AU346" s="506">
        <f>IF(Inputs!$F$60/2&gt;MAX(Pile!$DK$70:$DK$149),999999,IF(Pile!AR346/(Pile!AP346/1000)&gt;50,999999,IF(Pile!AR346&lt;2,999999,Pile!AR346)))</f>
        <v>2.6999999999999984</v>
      </c>
      <c r="AV346" s="504">
        <f>IF(Inputs!AR41="Yes",999999,IF(Pile!AS346/(Pile!AP346/1000)&gt;50,999999,IF(Pile!AS346&lt;2,999999,Pile!AS346)))</f>
        <v>999999</v>
      </c>
      <c r="AW346" s="504">
        <f>IF(Inputs!$F$60/2&gt;MAX(Pile!$DK$242:$DK$321),999999,IF(Pile!AT346/(Pile!AP346/1000)&gt;50,999999,IF(Pile!AT346&lt;2,999999,IF(AT346&gt;25,999999,Pile!AT346))))</f>
        <v>2.6999999999999984</v>
      </c>
      <c r="AX346" s="506">
        <f t="shared" si="374"/>
        <v>1289.6646818445627</v>
      </c>
      <c r="AY346" s="504">
        <f t="shared" si="375"/>
        <v>109104471.84977065</v>
      </c>
      <c r="AZ346" s="505">
        <f t="shared" si="376"/>
        <v>1289.6646818445627</v>
      </c>
      <c r="BA346" s="467">
        <f t="shared" si="377"/>
        <v>995.08500000000015</v>
      </c>
      <c r="BB346" s="497">
        <v>2</v>
      </c>
      <c r="BC346" s="479">
        <v>1050</v>
      </c>
      <c r="BD346" s="507">
        <f>Inputs!$D$39*2</f>
        <v>126</v>
      </c>
      <c r="BE346" s="504">
        <f>_xlfn.MINIFS($DE$70:$DE$149,$DK$70:$DK$149,"&gt;"&amp;Inputs!$I$67)</f>
        <v>3.299999999999998</v>
      </c>
      <c r="BF346" s="504">
        <f>_xlfn.MINIFS($DE$156:$DE$235,$DK$156:$DK$235,"&gt;"&amp;Inputs!$I$67)</f>
        <v>0</v>
      </c>
      <c r="BG346" s="505">
        <f>_xlfn.MINIFS($DE$242:$DE$321,$DK$242:$DK$321,"&gt;"&amp;Inputs!$I$67)</f>
        <v>2.9999999999999982</v>
      </c>
      <c r="BH346" s="506">
        <f>IF(Inputs!$F$67/2&gt;MAX(Pile!$DK$70:$DK$149),999999,IF(Pile!BE346/(Pile!BC346/1000)&gt;50,999999,IF(Pile!BE346&lt;2,999999,Pile!BE346)))</f>
        <v>3.299999999999998</v>
      </c>
      <c r="BI346" s="504">
        <f>IF(Inputs!BE41="Yes",999999,IF(Pile!BF346/(Pile!BC346/1000)&gt;50,999999,IF(Pile!BF346&lt;2,999999,Pile!BF346)))</f>
        <v>999999</v>
      </c>
      <c r="BJ346" s="504">
        <f>IF(Inputs!$F$67/2&gt;MAX(Pile!$DK$242:$DK$321),999999,IF(Pile!BG346/(Pile!BC346/1000)&gt;50,999999,IF(Pile!BG346&lt;2,999999,IF(BG346&gt;25,999999,Pile!BG346))))</f>
        <v>2.9999999999999982</v>
      </c>
      <c r="BK346" s="506">
        <f t="shared" si="378"/>
        <v>1355.1268333655764</v>
      </c>
      <c r="BL346" s="504">
        <f t="shared" si="379"/>
        <v>109104471.84977065</v>
      </c>
      <c r="BM346" s="505">
        <f t="shared" si="380"/>
        <v>1322.3957576050695</v>
      </c>
      <c r="BN346" s="467">
        <f t="shared" si="381"/>
        <v>995.08500000000015</v>
      </c>
      <c r="BO346" s="497">
        <v>2</v>
      </c>
      <c r="BP346" s="479">
        <v>1050</v>
      </c>
      <c r="BQ346" s="507">
        <f>Inputs!$D$39*2</f>
        <v>126</v>
      </c>
      <c r="BR346" s="504">
        <f>_xlfn.MINIFS($DE$70:$DE$149,$DK$70:$DK$149,"&gt;"&amp;Inputs!$I$74)</f>
        <v>3.5999999999999979</v>
      </c>
      <c r="BS346" s="504">
        <f>_xlfn.MINIFS($DE$156:$DE$235,$DK$156:$DK$235,"&gt;"&amp;Inputs!$I$74)</f>
        <v>0</v>
      </c>
      <c r="BT346" s="505">
        <f>_xlfn.MINIFS($DE$242:$DE$321,$DK$242:$DK$321,"&gt;"&amp;Inputs!$I$74)</f>
        <v>3.5999999999999979</v>
      </c>
      <c r="BU346" s="506">
        <f>IF(Inputs!$F$74/2&gt;MAX(Pile!$DK$70:$DK$149),999999,IF(Pile!BR346/(Pile!BP346/1000)&gt;50,999999,IF(Pile!BR346&lt;2,999999,Pile!BR346)))</f>
        <v>3.5999999999999979</v>
      </c>
      <c r="BV346" s="504">
        <f>IF(Inputs!BR41="Yes",999999,IF(Pile!BS346/(Pile!BP346/1000)&gt;50,999999,IF(Pile!BS346&lt;2,999999,Pile!BS346)))</f>
        <v>999999</v>
      </c>
      <c r="BW346" s="504">
        <f>IF(Inputs!$F$74/2&gt;MAX(Pile!$DK$242:$DK$321),999999,IF(Pile!BT346/(Pile!BP346/1000)&gt;50,999999,IF(Pile!BT346&lt;2,999999,IF(BT346&gt;25,999999,Pile!BT346))))</f>
        <v>3.5999999999999979</v>
      </c>
      <c r="BX346" s="506">
        <f t="shared" si="382"/>
        <v>1387.8579091260835</v>
      </c>
      <c r="BY346" s="504">
        <f t="shared" si="383"/>
        <v>109104471.84977065</v>
      </c>
      <c r="BZ346" s="505">
        <f t="shared" si="384"/>
        <v>1387.8579091260835</v>
      </c>
      <c r="CA346" s="467">
        <f t="shared" si="385"/>
        <v>995.08500000000015</v>
      </c>
      <c r="CB346" s="497">
        <v>2</v>
      </c>
      <c r="CC346" s="479">
        <v>1050</v>
      </c>
      <c r="CD346" s="507">
        <f>Inputs!$D$39*2</f>
        <v>126</v>
      </c>
      <c r="CE346" s="504">
        <f>_xlfn.MINIFS($DE$70:$DE$149,$DK$70:$DK$149,"&gt;"&amp;Inputs!$I$81)</f>
        <v>2.9999999999999982</v>
      </c>
      <c r="CF346" s="504">
        <f>_xlfn.MINIFS($DE$156:$DE$235,$DK$156:$DK$235,"&gt;"&amp;Inputs!$I$81)</f>
        <v>0</v>
      </c>
      <c r="CG346" s="505">
        <f>_xlfn.MINIFS($DE$242:$DE$321,$DK$242:$DK$321,"&gt;"&amp;Inputs!$I$81)</f>
        <v>2.6999999999999984</v>
      </c>
      <c r="CH346" s="506">
        <f>IF(Inputs!$F$81/2&gt;MAX(Pile!$DK$70:$DK$149),999999,IF(Pile!CE346/(Pile!CC346/1000)&gt;50,999999,IF(Pile!CE346&lt;2,999999,Pile!CE346)))</f>
        <v>2.9999999999999982</v>
      </c>
      <c r="CI346" s="504">
        <f>IF(Inputs!CE41="Yes",999999,IF(Pile!CF346/(Pile!CC346/1000)&gt;50,999999,IF(Pile!CF346&lt;2,999999,Pile!CF346)))</f>
        <v>999999</v>
      </c>
      <c r="CJ346" s="504">
        <f>IF(Inputs!$F$81/2&gt;MAX(Pile!$DK$242:$DK$321),999999,IF(Pile!CG346/(Pile!CC346/1000)&gt;50,999999,IF(Pile!CG346&lt;2,999999,IF(CG346&gt;25,999999,Pile!CG346))))</f>
        <v>2.6999999999999984</v>
      </c>
      <c r="CK346" s="506">
        <f t="shared" si="386"/>
        <v>1322.3957576050695</v>
      </c>
      <c r="CL346" s="504">
        <f t="shared" si="387"/>
        <v>109104471.84977065</v>
      </c>
      <c r="CM346" s="505">
        <f t="shared" si="388"/>
        <v>1289.6646818445627</v>
      </c>
      <c r="CN346" s="467">
        <f t="shared" si="389"/>
        <v>995.08500000000015</v>
      </c>
      <c r="CO346" s="497">
        <v>2</v>
      </c>
      <c r="CP346" s="479">
        <v>1050</v>
      </c>
      <c r="CQ346" s="507">
        <f>Inputs!$D$39*2</f>
        <v>126</v>
      </c>
      <c r="CR346" s="504">
        <f>_xlfn.MINIFS($DE$70:$DE$149,$DK$70:$DK$149,"&gt;"&amp;Inputs!$I$88)</f>
        <v>2.3999999999999986</v>
      </c>
      <c r="CS346" s="504">
        <f>_xlfn.MINIFS($DE$156:$DE$235,$DK$156:$DK$235,"&gt;"&amp;Inputs!$I$88)</f>
        <v>0</v>
      </c>
      <c r="CT346" s="505">
        <f>_xlfn.MINIFS($DE$242:$DE$321,$DK$242:$DK$321,"&gt;"&amp;Inputs!$I$88)</f>
        <v>2.3999999999999986</v>
      </c>
      <c r="CU346" s="506">
        <f>IF(Inputs!$F$88/2&gt;MAX(Pile!$DK$70:$DK$149),999999,IF(Pile!CR346/(Pile!CP346/1000)&gt;50,999999,IF(Pile!CR346&lt;2,999999,Pile!CR346)))</f>
        <v>2.3999999999999986</v>
      </c>
      <c r="CV346" s="504">
        <f>IF(Inputs!CR41="Yes",999999,IF(Pile!CS346/(Pile!CP346/1000)&gt;50,999999,IF(Pile!CS346&lt;2,999999,Pile!CS346)))</f>
        <v>999999</v>
      </c>
      <c r="CW346" s="504">
        <f>IF(Inputs!$F$88/2&gt;MAX(Pile!$DK$242:$DK$321),999999,IF(Pile!CT346/(Pile!CP346/1000)&gt;50,999999,IF(Pile!CT346&lt;2,999999,IF(CT346&gt;25,999999,Pile!CT346))))</f>
        <v>2.3999999999999986</v>
      </c>
      <c r="CX346" s="506">
        <f t="shared" si="390"/>
        <v>1256.9336060840556</v>
      </c>
      <c r="CY346" s="504">
        <f t="shared" si="391"/>
        <v>109104471.84977065</v>
      </c>
      <c r="CZ346" s="505">
        <f t="shared" si="392"/>
        <v>1256.9336060840556</v>
      </c>
      <c r="DA346" s="467">
        <f t="shared" si="393"/>
        <v>995.08500000000015</v>
      </c>
      <c r="DB346" s="497">
        <v>2</v>
      </c>
      <c r="DC346" s="479">
        <v>1050</v>
      </c>
      <c r="DD346" s="507">
        <f>Inputs!$D$39*2</f>
        <v>126</v>
      </c>
      <c r="DE346" s="504">
        <f>_xlfn.MINIFS($DE$70:$DE$149,$DK$70:$DK$149,"&gt;"&amp;Inputs!$I$95)</f>
        <v>2.3999999999999986</v>
      </c>
      <c r="DF346" s="504">
        <f>_xlfn.MINIFS($DE$156:$DE$235,$DK$156:$DK$235,"&gt;"&amp;Inputs!$I$95)</f>
        <v>0</v>
      </c>
      <c r="DG346" s="505">
        <f>_xlfn.MINIFS($DE$242:$DE$321,$DK$242:$DK$321,"&gt;"&amp;Inputs!$I$95)</f>
        <v>2.3999999999999986</v>
      </c>
      <c r="DH346" s="506">
        <f>IF(Inputs!$F$95/2&gt;MAX(Pile!$DK$70:$DK$149),999999,IF(Pile!DE346/(Pile!DC346/1000)&gt;50,999999,IF(Pile!DE346&lt;2,999999,Pile!DE346)))</f>
        <v>2.3999999999999986</v>
      </c>
      <c r="DI346" s="504">
        <f>IF(Inputs!DE41="Yes",999999,IF(Pile!DF346/(Pile!DC346/1000)&gt;50,999999,IF(Pile!DF346&lt;2,999999,Pile!DF346)))</f>
        <v>999999</v>
      </c>
      <c r="DJ346" s="504">
        <f>IF(Inputs!$F$95/2&gt;MAX(Pile!$DK$242:$DK$321),999999,IF(Pile!DG346/(Pile!DC346/1000)&gt;50,999999,IF(Pile!DG346&lt;2,999999,IF(DG346&gt;25,999999,Pile!DG346))))</f>
        <v>2.3999999999999986</v>
      </c>
      <c r="DK346" s="506">
        <f t="shared" si="394"/>
        <v>1256.9336060840556</v>
      </c>
      <c r="DL346" s="504">
        <f t="shared" si="395"/>
        <v>109104471.84977065</v>
      </c>
      <c r="DM346" s="505">
        <f t="shared" si="396"/>
        <v>1256.9336060840556</v>
      </c>
      <c r="DN346" s="467">
        <f t="shared" si="397"/>
        <v>995.08500000000015</v>
      </c>
      <c r="DO346" s="497">
        <v>2</v>
      </c>
      <c r="DP346" s="479">
        <v>1050</v>
      </c>
      <c r="DQ346" s="507">
        <f>Inputs!$D$39*2</f>
        <v>126</v>
      </c>
      <c r="DR346" s="504">
        <f>_xlfn.MINIFS($DE$70:$DE$149,$DK$70:$DK$149,"&gt;"&amp;Inputs!$I$102)</f>
        <v>1.7999999999999989</v>
      </c>
      <c r="DS346" s="504">
        <f>_xlfn.MINIFS($DE$156:$DE$235,$DK$156:$DK$235,"&gt;"&amp;Inputs!$I$102)</f>
        <v>0</v>
      </c>
      <c r="DT346" s="505">
        <f>_xlfn.MINIFS($DE$242:$DE$321,$DK$242:$DK$321,"&gt;"&amp;Inputs!$I$102)</f>
        <v>1.7999999999999989</v>
      </c>
      <c r="DU346" s="506">
        <f>IF(Inputs!$F$102/2&gt;MAX(Pile!$DK$70:$DK$149),999999,IF(Pile!DR346/(Pile!DP346/1000)&gt;50,999999,IF(Pile!DR346&lt;2,999999,Pile!DR346)))</f>
        <v>999999</v>
      </c>
      <c r="DV346" s="504">
        <f>IF(Inputs!DR41="Yes",999999,IF(Pile!DS346/(Pile!DP346/1000)&gt;50,999999,IF(Pile!DS346&lt;2,999999,Pile!DS346)))</f>
        <v>999999</v>
      </c>
      <c r="DW346" s="504">
        <f>IF(Inputs!$F$102/2&gt;MAX(Pile!$DK$242:$DK$321),999999,IF(Pile!DT346/(Pile!DP346/1000)&gt;50,999999,IF(Pile!DT346&lt;2,999999,IF(DT346&gt;25,999999,Pile!DT346))))</f>
        <v>999999</v>
      </c>
      <c r="DX346" s="506">
        <f t="shared" si="398"/>
        <v>109104471.84977065</v>
      </c>
      <c r="DY346" s="504">
        <f t="shared" si="399"/>
        <v>109104471.84977065</v>
      </c>
      <c r="DZ346" s="505">
        <f t="shared" si="400"/>
        <v>109104471.84977065</v>
      </c>
      <c r="EA346" s="467">
        <f t="shared" si="401"/>
        <v>995.08500000000015</v>
      </c>
      <c r="EB346" s="497">
        <v>2</v>
      </c>
      <c r="EC346" s="479">
        <v>1050</v>
      </c>
      <c r="ED346" s="507">
        <f>Inputs!$D$39*2</f>
        <v>126</v>
      </c>
      <c r="EE346" s="504">
        <f>_xlfn.MINIFS($DE$70:$DE$149,$DK$70:$DK$149,"&gt;"&amp;Inputs!$I$109)</f>
        <v>1.7999999999999989</v>
      </c>
      <c r="EF346" s="504">
        <f>_xlfn.MINIFS($DE$156:$DE$235,$DK$156:$DK$235,"&gt;"&amp;Inputs!$I$109)</f>
        <v>0</v>
      </c>
      <c r="EG346" s="505">
        <f>_xlfn.MINIFS($DE$242:$DE$321,$DK$242:$DK$321,"&gt;"&amp;Inputs!$I$109)</f>
        <v>1.7999999999999989</v>
      </c>
      <c r="EH346" s="506">
        <f>IF(Inputs!$F$109/2&gt;MAX(Pile!$DK$70:$DK$149),999999,IF(Pile!EE346/(Pile!EC346/1000)&gt;50,999999,IF(Pile!EE346&lt;2,999999,Pile!EE346)))</f>
        <v>999999</v>
      </c>
      <c r="EI346" s="504">
        <f>IF(Inputs!EE41="Yes",999999,IF(Pile!EF346/(Pile!EC346/1000)&gt;50,999999,IF(Pile!EF346&lt;2,999999,Pile!EF346)))</f>
        <v>999999</v>
      </c>
      <c r="EJ346" s="504">
        <f>IF(Inputs!$F$109/2&gt;MAX(Pile!$DK$242:$DK$321),999999,IF(Pile!EG346/(Pile!EC346/1000)&gt;50,999999,IF(Pile!EG346&lt;2,999999,IF(EG346&gt;25,999999,Pile!EG346))))</f>
        <v>999999</v>
      </c>
      <c r="EK346" s="506">
        <f t="shared" si="402"/>
        <v>109104471.84977065</v>
      </c>
      <c r="EL346" s="504">
        <f t="shared" si="403"/>
        <v>109104471.84977065</v>
      </c>
      <c r="EM346" s="505">
        <f t="shared" si="404"/>
        <v>109104471.84977065</v>
      </c>
      <c r="EN346" s="467">
        <f t="shared" si="405"/>
        <v>995.08500000000015</v>
      </c>
      <c r="EO346" s="497">
        <v>2</v>
      </c>
      <c r="EP346" s="479">
        <v>1050</v>
      </c>
      <c r="EQ346" s="507">
        <f>Inputs!$D$39*2</f>
        <v>126</v>
      </c>
      <c r="ER346" s="504">
        <f>_xlfn.MINIFS($DE$70:$DE$149,$DK$70:$DK$149,"&gt;"&amp;Inputs!$I$116)</f>
        <v>0.29999999999999982</v>
      </c>
      <c r="ES346" s="504">
        <f>_xlfn.MINIFS($DE$156:$DE$235,$DK$156:$DK$235,"&gt;"&amp;Inputs!$I$116)</f>
        <v>0</v>
      </c>
      <c r="ET346" s="505">
        <f>_xlfn.MINIFS($DE$242:$DE$321,$DK$242:$DK$321,"&gt;"&amp;Inputs!$I$116)</f>
        <v>0.29999999999999982</v>
      </c>
      <c r="EU346" s="506">
        <f>IF(Inputs!$F$116/2&gt;MAX(Pile!$DK$70:$DK$149),999999,IF(Pile!ER346/(Pile!EP346/1000)&gt;50,999999,IF(Pile!ER346&lt;2,999999,Pile!ER346)))</f>
        <v>999999</v>
      </c>
      <c r="EV346" s="504">
        <f>IF(Inputs!ER41="Yes",999999,IF(Inputs!$F$116&gt;MAX(Pile!$DG$156:$DG$235),999999,IF(Pile!ES346/(Pile!EP346/1000)&gt;50,999999,IF(Pile!ES346&lt;2,999999,Pile!ES346))))</f>
        <v>999999</v>
      </c>
      <c r="EW346" s="504">
        <f>IF(Inputs!$F$116/2&gt;MAX(Pile!$DK$242:$DK$321),999999,IF(Pile!ET346/(Pile!EP346/1000)&gt;50,999999,IF(Pile!ET346&lt;2,999999,IF(ET346&gt;25,999999,Pile!ET346))))</f>
        <v>999999</v>
      </c>
      <c r="EX346" s="508">
        <f t="shared" si="360"/>
        <v>109103476.76477066</v>
      </c>
      <c r="EY346" s="509">
        <f t="shared" si="361"/>
        <v>109103476.76477066</v>
      </c>
      <c r="EZ346" s="510">
        <f t="shared" si="362"/>
        <v>109103476.76477066</v>
      </c>
    </row>
    <row r="347" spans="1:156" ht="15.75" thickBot="1">
      <c r="B347" s="491">
        <v>2</v>
      </c>
      <c r="C347" s="483">
        <v>1200</v>
      </c>
      <c r="D347" s="503">
        <f>Inputs!$D$39*2</f>
        <v>126</v>
      </c>
      <c r="E347" s="511">
        <f>_xlfn.MINIFS($DE$70:$DE$149,$DL$70:$DL$149,"&gt;"&amp;Inputs!$I$39)</f>
        <v>2.6999999999999984</v>
      </c>
      <c r="F347" s="511">
        <f>_xlfn.MINIFS($DE$156:$DE$235,$DL$156:$DL$235,"&gt;"&amp;Inputs!$I$39)</f>
        <v>0</v>
      </c>
      <c r="G347" s="512">
        <f>_xlfn.MINIFS($DE$242:$DE$321,$DL$242:$DL$321,"&gt;"&amp;Inputs!$I$39)</f>
        <v>2.6999999999999984</v>
      </c>
      <c r="H347" s="513">
        <f>IF(Inputs!$F$39/2&gt;MAX(Pile!$DL$70:$DL$149),999999,IF(Pile!E347/(Pile!C347/1000)&gt;50,999999,IF(Pile!E347&lt;2,999999,Pile!E347)))</f>
        <v>2.6999999999999984</v>
      </c>
      <c r="I347" s="511">
        <f>IF(Inputs!E42="Yes",999999,IF(Pile!F347/(Pile!C347/1000)&gt;50,999999,IF(Pile!F347&lt;2,999999,Pile!F347)))</f>
        <v>999999</v>
      </c>
      <c r="J347" s="511">
        <f>IF(Inputs!$F$39/2&gt;MAX(Pile!$DL$242:$DL$321),999999,IF(Pile!G347/(Pile!C347/1000)&gt;50,999999,IF(Pile!G347&lt;2,999999,IF(G347&gt;25,999999,Pile!G347))))</f>
        <v>2.6999999999999984</v>
      </c>
      <c r="K347" s="513">
        <f t="shared" si="363"/>
        <v>1830.6071354704488</v>
      </c>
      <c r="L347" s="511">
        <f t="shared" si="364"/>
        <v>142503946.11419025</v>
      </c>
      <c r="M347" s="512">
        <f t="shared" si="365"/>
        <v>1830.6071354704488</v>
      </c>
      <c r="N347" s="466">
        <f>Inputs!$D$39*E464</f>
        <v>1445.85</v>
      </c>
      <c r="O347" s="491">
        <v>2</v>
      </c>
      <c r="P347" s="483">
        <v>1200</v>
      </c>
      <c r="Q347" s="503">
        <f>Inputs!$D$39*2</f>
        <v>126</v>
      </c>
      <c r="R347" s="511">
        <f>_xlfn.MINIFS($DE$70:$DE$149,$DL$70:$DL$149,"&gt;"&amp;Inputs!$I$46)</f>
        <v>2.6999999999999984</v>
      </c>
      <c r="S347" s="511">
        <f>_xlfn.MINIFS($DE$156:$DE$235,$DL$156:$DL$235,"&gt;"&amp;Inputs!$I$46)</f>
        <v>0</v>
      </c>
      <c r="T347" s="512">
        <f>_xlfn.MINIFS($DE$242:$DE$321,$DL$242:$DL$321,"&gt;"&amp;Inputs!$I$46)</f>
        <v>2.6999999999999984</v>
      </c>
      <c r="U347" s="513">
        <f>IF(Inputs!$F$46/2&gt;MAX(Pile!$DL$70:$DL$149),999999,IF(Pile!R347/(Pile!P347/1000)&gt;50,999999,IF(Pile!R347&lt;2,999999,Pile!R347)))</f>
        <v>2.6999999999999984</v>
      </c>
      <c r="V347" s="511">
        <f>IF(Inputs!R42="Yes",999999,IF(Pile!S347/(Pile!P347/1000)&gt;50,999999,IF(Pile!S347&lt;2,999999,Pile!S347)))</f>
        <v>999999</v>
      </c>
      <c r="W347" s="511">
        <f>IF(Inputs!$F$46/2&gt;MAX(Pile!$DL$242:$DL$321),999999,IF(Pile!T347/(Pile!P347/1000)&gt;50,999999,IF(Pile!T347&lt;2,999999,IF(T347&gt;25,999999,Pile!T347))))</f>
        <v>2.6999999999999984</v>
      </c>
      <c r="X347" s="513">
        <f t="shared" si="366"/>
        <v>1830.6071354704488</v>
      </c>
      <c r="Y347" s="511">
        <f t="shared" si="367"/>
        <v>142503946.11419025</v>
      </c>
      <c r="Z347" s="512">
        <f t="shared" si="368"/>
        <v>1830.6071354704488</v>
      </c>
      <c r="AA347" s="467">
        <f t="shared" si="369"/>
        <v>1445.85</v>
      </c>
      <c r="AB347" s="497">
        <v>2</v>
      </c>
      <c r="AC347" s="487">
        <v>1200</v>
      </c>
      <c r="AD347" s="507">
        <f>Inputs!$D$39*2</f>
        <v>126</v>
      </c>
      <c r="AE347" s="511">
        <f>_xlfn.MINIFS($DE$70:$DE$149,$DL$70:$DL$149,"&gt;"&amp;Inputs!$I$53)</f>
        <v>2.3999999999999986</v>
      </c>
      <c r="AF347" s="511">
        <f>_xlfn.MINIFS($DE$156:$DE$235,$DL$156:$DL$235,"&gt;"&amp;Inputs!$I$53)</f>
        <v>0</v>
      </c>
      <c r="AG347" s="512">
        <f>_xlfn.MINIFS($DE$242:$DE$321,$DL$242:$DL$321,"&gt;"&amp;Inputs!$I$53)</f>
        <v>2.3999999999999986</v>
      </c>
      <c r="AH347" s="513">
        <f>IF(Inputs!$F$53/2&gt;MAX(Pile!$DL$70:$DL$149),999999,IF(Pile!AE347/(Pile!AC347/1000)&gt;50,999999,IF(Pile!AE347&lt;2,999999,Pile!AE347)))</f>
        <v>2.3999999999999986</v>
      </c>
      <c r="AI347" s="511">
        <f>IF(Inputs!AE42="Yes",999999,IF(Pile!AF347/(Pile!AC347/1000)&gt;50,999999,IF(Pile!AF347&lt;2,999999,Pile!AF347)))</f>
        <v>999999</v>
      </c>
      <c r="AJ347" s="511">
        <f>IF(Inputs!$F$53/2&gt;MAX(Pile!$DL$242:$DL$321),999999,IF(Pile!AG347/(Pile!AC347/1000)&gt;50,999999,IF(Pile!AG347&lt;2,999999,IF(AG347&gt;25,999999,Pile!AG347))))</f>
        <v>2.3999999999999986</v>
      </c>
      <c r="AK347" s="513">
        <f t="shared" si="370"/>
        <v>1787.8563426403989</v>
      </c>
      <c r="AL347" s="511">
        <f t="shared" si="371"/>
        <v>142503946.11419025</v>
      </c>
      <c r="AM347" s="512">
        <f t="shared" si="372"/>
        <v>1787.8563426403989</v>
      </c>
      <c r="AN347" s="471">
        <f t="shared" si="373"/>
        <v>1445.85</v>
      </c>
      <c r="AO347" s="497">
        <v>2</v>
      </c>
      <c r="AP347" s="487">
        <v>1200</v>
      </c>
      <c r="AQ347" s="507">
        <f>Inputs!$D$39*2</f>
        <v>126</v>
      </c>
      <c r="AR347" s="511">
        <f>_xlfn.MINIFS($DE$70:$DE$149,$DL$70:$DL$149,"&gt;"&amp;Inputs!$I$60)</f>
        <v>2.3999999999999986</v>
      </c>
      <c r="AS347" s="511">
        <f>_xlfn.MINIFS($DE$156:$DE$235,$DL$156:$DL$235,"&gt;"&amp;Inputs!$I$60)</f>
        <v>0</v>
      </c>
      <c r="AT347" s="512">
        <f>_xlfn.MINIFS($DE$242:$DE$321,$DL$242:$DL$321,"&gt;"&amp;Inputs!$I$60)</f>
        <v>2.0999999999999988</v>
      </c>
      <c r="AU347" s="513">
        <f>IF(Inputs!$F$60/2&gt;MAX(Pile!$DL$70:$DL$149),999999,IF(Pile!AR347/(Pile!AP347/1000)&gt;50,999999,IF(Pile!AR347&lt;2,999999,Pile!AR347)))</f>
        <v>2.3999999999999986</v>
      </c>
      <c r="AV347" s="511">
        <f>IF(Inputs!AR42="Yes",999999,IF(Pile!AS347/(Pile!AP347/1000)&gt;50,999999,IF(Pile!AS347&lt;2,999999,Pile!AS347)))</f>
        <v>999999</v>
      </c>
      <c r="AW347" s="511">
        <f>IF(Inputs!$F$60/2&gt;MAX(Pile!$DL$242:$DL$321),999999,IF(Pile!AT347/(Pile!AP347/1000)&gt;50,999999,IF(Pile!AT347&lt;2,999999,IF(AT347&gt;25,999999,Pile!AT347))))</f>
        <v>2.0999999999999988</v>
      </c>
      <c r="AX347" s="513">
        <f t="shared" si="374"/>
        <v>1787.8563426403989</v>
      </c>
      <c r="AY347" s="511">
        <f t="shared" si="375"/>
        <v>142503946.11419025</v>
      </c>
      <c r="AZ347" s="512">
        <f t="shared" si="376"/>
        <v>1745.1055498103492</v>
      </c>
      <c r="BA347" s="467">
        <f t="shared" si="377"/>
        <v>1445.85</v>
      </c>
      <c r="BB347" s="497">
        <v>2</v>
      </c>
      <c r="BC347" s="487">
        <v>1200</v>
      </c>
      <c r="BD347" s="507">
        <f>Inputs!$D$39*2</f>
        <v>126</v>
      </c>
      <c r="BE347" s="511">
        <f>_xlfn.MINIFS($DE$70:$DE$149,$DL$70:$DL$149,"&gt;"&amp;Inputs!$I$67)</f>
        <v>2.3999999999999986</v>
      </c>
      <c r="BF347" s="511">
        <f>_xlfn.MINIFS($DE$156:$DE$235,$DL$156:$DL$235,"&gt;"&amp;Inputs!$I$67)</f>
        <v>0</v>
      </c>
      <c r="BG347" s="512">
        <f>_xlfn.MINIFS($DE$242:$DE$321,$DL$242:$DL$321,"&gt;"&amp;Inputs!$I$67)</f>
        <v>2.3999999999999986</v>
      </c>
      <c r="BH347" s="513">
        <f>IF(Inputs!$F$67/2&gt;MAX(Pile!$DL$70:$DL$149),999999,IF(Pile!BE347/(Pile!BC347/1000)&gt;50,999999,IF(Pile!BE347&lt;2,999999,Pile!BE347)))</f>
        <v>2.3999999999999986</v>
      </c>
      <c r="BI347" s="511">
        <f>IF(Inputs!BE42="Yes",999999,IF(Pile!BF347/(Pile!BC347/1000)&gt;50,999999,IF(Pile!BF347&lt;2,999999,Pile!BF347)))</f>
        <v>999999</v>
      </c>
      <c r="BJ347" s="511">
        <f>IF(Inputs!$F$67/2&gt;MAX(Pile!$DL$242:$DL$321),999999,IF(Pile!BG347/(Pile!BC347/1000)&gt;50,999999,IF(Pile!BG347&lt;2,999999,IF(BG347&gt;25,999999,Pile!BG347))))</f>
        <v>2.3999999999999986</v>
      </c>
      <c r="BK347" s="513">
        <f t="shared" si="378"/>
        <v>1787.8563426403989</v>
      </c>
      <c r="BL347" s="511">
        <f t="shared" si="379"/>
        <v>142503946.11419025</v>
      </c>
      <c r="BM347" s="512">
        <f t="shared" si="380"/>
        <v>1787.8563426403989</v>
      </c>
      <c r="BN347" s="467">
        <f t="shared" si="381"/>
        <v>1445.85</v>
      </c>
      <c r="BO347" s="497">
        <v>2</v>
      </c>
      <c r="BP347" s="487">
        <v>1200</v>
      </c>
      <c r="BQ347" s="507">
        <f>Inputs!$D$39*2</f>
        <v>126</v>
      </c>
      <c r="BR347" s="511">
        <f>_xlfn.MINIFS($DE$70:$DE$149,$DL$70:$DL$149,"&gt;"&amp;Inputs!$I$74)</f>
        <v>2.9999999999999982</v>
      </c>
      <c r="BS347" s="511">
        <f>_xlfn.MINIFS($DE$156:$DE$235,$DL$156:$DL$235,"&gt;"&amp;Inputs!$I$74)</f>
        <v>0</v>
      </c>
      <c r="BT347" s="512">
        <f>_xlfn.MINIFS($DE$242:$DE$321,$DL$242:$DL$321,"&gt;"&amp;Inputs!$I$74)</f>
        <v>2.9999999999999982</v>
      </c>
      <c r="BU347" s="513">
        <f>IF(Inputs!$F$74/2&gt;MAX(Pile!$DL$70:$DL$149),999999,IF(Pile!BR347/(Pile!BP347/1000)&gt;50,999999,IF(Pile!BR347&lt;2,999999,Pile!BR347)))</f>
        <v>2.9999999999999982</v>
      </c>
      <c r="BV347" s="511">
        <f>IF(Inputs!BR42="Yes",999999,IF(Pile!BS347/(Pile!BP347/1000)&gt;50,999999,IF(Pile!BS347&lt;2,999999,Pile!BS347)))</f>
        <v>999999</v>
      </c>
      <c r="BW347" s="511">
        <f>IF(Inputs!$F$74/2&gt;MAX(Pile!$DL$242:$DL$321),999999,IF(Pile!BT347/(Pile!BP347/1000)&gt;50,999999,IF(Pile!BT347&lt;2,999999,IF(BT347&gt;25,999999,Pile!BT347))))</f>
        <v>2.9999999999999982</v>
      </c>
      <c r="BX347" s="513">
        <f t="shared" si="382"/>
        <v>1873.3579283004988</v>
      </c>
      <c r="BY347" s="511">
        <f t="shared" si="383"/>
        <v>142503946.11419025</v>
      </c>
      <c r="BZ347" s="512">
        <f t="shared" si="384"/>
        <v>1873.3579283004988</v>
      </c>
      <c r="CA347" s="467">
        <f t="shared" si="385"/>
        <v>1445.85</v>
      </c>
      <c r="CB347" s="497">
        <v>2</v>
      </c>
      <c r="CC347" s="487">
        <v>1200</v>
      </c>
      <c r="CD347" s="507">
        <f>Inputs!$D$39*2</f>
        <v>126</v>
      </c>
      <c r="CE347" s="511">
        <f>_xlfn.MINIFS($DE$70:$DE$149,$DL$70:$DL$149,"&gt;"&amp;Inputs!$I$81)</f>
        <v>2.3999999999999986</v>
      </c>
      <c r="CF347" s="511">
        <f>_xlfn.MINIFS($DE$156:$DE$235,$DL$156:$DL$235,"&gt;"&amp;Inputs!$I$81)</f>
        <v>0</v>
      </c>
      <c r="CG347" s="512">
        <f>_xlfn.MINIFS($DE$242:$DE$321,$DL$242:$DL$321,"&gt;"&amp;Inputs!$I$81)</f>
        <v>2.3999999999999986</v>
      </c>
      <c r="CH347" s="513">
        <f>IF(Inputs!$F$81/2&gt;MAX(Pile!$DL$70:$DL$149),999999,IF(Pile!CE347/(Pile!CC347/1000)&gt;50,999999,IF(Pile!CE347&lt;2,999999,Pile!CE347)))</f>
        <v>2.3999999999999986</v>
      </c>
      <c r="CI347" s="511">
        <f>IF(Inputs!CE42="Yes",999999,IF(Pile!CF347/(Pile!CC347/1000)&gt;50,999999,IF(Pile!CF347&lt;2,999999,Pile!CF347)))</f>
        <v>999999</v>
      </c>
      <c r="CJ347" s="511">
        <f>IF(Inputs!$F$81/2&gt;MAX(Pile!$DL$242:$DL$321),999999,IF(Pile!CG347/(Pile!CC347/1000)&gt;50,999999,IF(Pile!CG347&lt;2,999999,IF(CG347&gt;25,999999,Pile!CG347))))</f>
        <v>2.3999999999999986</v>
      </c>
      <c r="CK347" s="513">
        <f t="shared" si="386"/>
        <v>1787.8563426403989</v>
      </c>
      <c r="CL347" s="511">
        <f t="shared" si="387"/>
        <v>142503946.11419025</v>
      </c>
      <c r="CM347" s="512">
        <f t="shared" si="388"/>
        <v>1787.8563426403989</v>
      </c>
      <c r="CN347" s="467">
        <f t="shared" si="389"/>
        <v>1445.85</v>
      </c>
      <c r="CO347" s="497">
        <v>2</v>
      </c>
      <c r="CP347" s="487">
        <v>1200</v>
      </c>
      <c r="CQ347" s="507">
        <f>Inputs!$D$39*2</f>
        <v>126</v>
      </c>
      <c r="CR347" s="511">
        <f>_xlfn.MINIFS($DE$70:$DE$149,$DL$70:$DL$149,"&gt;"&amp;Inputs!$I$88)</f>
        <v>2.0999999999999988</v>
      </c>
      <c r="CS347" s="511">
        <f>_xlfn.MINIFS($DE$156:$DE$235,$DL$156:$DL$235,"&gt;"&amp;Inputs!$I$88)</f>
        <v>0</v>
      </c>
      <c r="CT347" s="512">
        <f>_xlfn.MINIFS($DE$242:$DE$321,$DL$242:$DL$321,"&gt;"&amp;Inputs!$I$88)</f>
        <v>2.0999999999999988</v>
      </c>
      <c r="CU347" s="513">
        <f>IF(Inputs!$F$88/2&gt;MAX(Pile!$DL$70:$DL$149),999999,IF(Pile!CR347/(Pile!CP347/1000)&gt;50,999999,IF(Pile!CR347&lt;2,999999,Pile!CR347)))</f>
        <v>2.0999999999999988</v>
      </c>
      <c r="CV347" s="511">
        <f>IF(Inputs!CR42="Yes",999999,IF(Pile!CS347/(Pile!CP347/1000)&gt;50,999999,IF(Pile!CS347&lt;2,999999,Pile!CS347)))</f>
        <v>999999</v>
      </c>
      <c r="CW347" s="511">
        <f>IF(Inputs!$F$88/2&gt;MAX(Pile!$DL$242:$DL$321),999999,IF(Pile!CT347/(Pile!CP347/1000)&gt;50,999999,IF(Pile!CT347&lt;2,999999,IF(CT347&gt;25,999999,Pile!CT347))))</f>
        <v>2.0999999999999988</v>
      </c>
      <c r="CX347" s="513">
        <f t="shared" si="390"/>
        <v>1745.1055498103492</v>
      </c>
      <c r="CY347" s="511">
        <f t="shared" si="391"/>
        <v>142503946.11419025</v>
      </c>
      <c r="CZ347" s="512">
        <f t="shared" si="392"/>
        <v>1745.1055498103492</v>
      </c>
      <c r="DA347" s="467">
        <f t="shared" si="393"/>
        <v>1445.85</v>
      </c>
      <c r="DB347" s="497">
        <v>2</v>
      </c>
      <c r="DC347" s="487">
        <v>1200</v>
      </c>
      <c r="DD347" s="507">
        <f>Inputs!$D$39*2</f>
        <v>126</v>
      </c>
      <c r="DE347" s="511">
        <f>_xlfn.MINIFS($DE$70:$DE$149,$DL$70:$DL$149,"&gt;"&amp;Inputs!$I$95)</f>
        <v>2.0999999999999988</v>
      </c>
      <c r="DF347" s="511">
        <f>_xlfn.MINIFS($DE$156:$DE$235,$DL$156:$DL$235,"&gt;"&amp;Inputs!$I$95)</f>
        <v>0</v>
      </c>
      <c r="DG347" s="512">
        <f>_xlfn.MINIFS($DE$242:$DE$321,$DL$242:$DL$321,"&gt;"&amp;Inputs!$I$95)</f>
        <v>2.0999999999999988</v>
      </c>
      <c r="DH347" s="513">
        <f>IF(Inputs!$F$95/2&gt;MAX(Pile!$DL$70:$DL$149),999999,IF(Pile!DE347/(Pile!DC347/1000)&gt;50,999999,IF(Pile!DE347&lt;2,999999,Pile!DE347)))</f>
        <v>2.0999999999999988</v>
      </c>
      <c r="DI347" s="511">
        <f>IF(Inputs!DE42="Yes",999999,IF(Pile!DF347/(Pile!DC347/1000)&gt;50,999999,IF(Pile!DF347&lt;2,999999,Pile!DF347)))</f>
        <v>999999</v>
      </c>
      <c r="DJ347" s="511">
        <f>IF(Inputs!$F$95/2&gt;MAX(Pile!$DL$242:$DL$321),999999,IF(Pile!DG347/(Pile!DC347/1000)&gt;50,999999,IF(Pile!DG347&lt;2,999999,IF(DG347&gt;25,999999,Pile!DG347))))</f>
        <v>2.0999999999999988</v>
      </c>
      <c r="DK347" s="513">
        <f t="shared" si="394"/>
        <v>1745.1055498103492</v>
      </c>
      <c r="DL347" s="511">
        <f t="shared" si="395"/>
        <v>142503946.11419025</v>
      </c>
      <c r="DM347" s="512">
        <f t="shared" si="396"/>
        <v>1745.1055498103492</v>
      </c>
      <c r="DN347" s="467">
        <f t="shared" si="397"/>
        <v>1445.85</v>
      </c>
      <c r="DO347" s="497">
        <v>2</v>
      </c>
      <c r="DP347" s="487">
        <v>1200</v>
      </c>
      <c r="DQ347" s="507">
        <f>Inputs!$D$39*2</f>
        <v>126</v>
      </c>
      <c r="DR347" s="511">
        <f>_xlfn.MINIFS($DE$70:$DE$149,$DL$70:$DL$149,"&gt;"&amp;Inputs!$I$102)</f>
        <v>1.4999999999999991</v>
      </c>
      <c r="DS347" s="511">
        <f>_xlfn.MINIFS($DE$156:$DE$235,$DL$156:$DL$235,"&gt;"&amp;Inputs!$I$102)</f>
        <v>0</v>
      </c>
      <c r="DT347" s="512">
        <f>_xlfn.MINIFS($DE$242:$DE$321,$DL$242:$DL$321,"&gt;"&amp;Inputs!$I$102)</f>
        <v>1.4999999999999991</v>
      </c>
      <c r="DU347" s="513">
        <f>IF(Inputs!$F$102/2&gt;MAX(Pile!$DL$70:$DL$149),999999,IF(Pile!DR347/(Pile!DP347/1000)&gt;50,999999,IF(Pile!DR347&lt;2,999999,Pile!DR347)))</f>
        <v>999999</v>
      </c>
      <c r="DV347" s="511">
        <f>IF(Inputs!DR42="Yes",999999,IF(Pile!DS347/(Pile!DP347/1000)&gt;50,999999,IF(Pile!DS347&lt;2,999999,Pile!DS347)))</f>
        <v>999999</v>
      </c>
      <c r="DW347" s="511">
        <f>IF(Inputs!$F$102/2&gt;MAX(Pile!$DL$242:$DL$321),999999,IF(Pile!DT347/(Pile!DP347/1000)&gt;50,999999,IF(Pile!DT347&lt;2,999999,IF(DT347&gt;25,999999,Pile!DT347))))</f>
        <v>999999</v>
      </c>
      <c r="DX347" s="513">
        <f t="shared" si="398"/>
        <v>142503946.11419025</v>
      </c>
      <c r="DY347" s="511">
        <f t="shared" si="399"/>
        <v>142503946.11419025</v>
      </c>
      <c r="DZ347" s="512">
        <f t="shared" si="400"/>
        <v>142503946.11419025</v>
      </c>
      <c r="EA347" s="467">
        <f t="shared" si="401"/>
        <v>1445.85</v>
      </c>
      <c r="EB347" s="497">
        <v>2</v>
      </c>
      <c r="EC347" s="487">
        <v>1200</v>
      </c>
      <c r="ED347" s="507">
        <f>Inputs!$D$39*2</f>
        <v>126</v>
      </c>
      <c r="EE347" s="511">
        <f>_xlfn.MINIFS($DE$70:$DE$149,$DL$70:$DL$149,"&gt;"&amp;Inputs!$I$109)</f>
        <v>1.4999999999999991</v>
      </c>
      <c r="EF347" s="511">
        <f>_xlfn.MINIFS($DE$156:$DE$235,$DL$156:$DL$235,"&gt;"&amp;Inputs!$I$109)</f>
        <v>0</v>
      </c>
      <c r="EG347" s="512">
        <f>_xlfn.MINIFS($DE$242:$DE$321,$DL$242:$DL$321,"&gt;"&amp;Inputs!$I$109)</f>
        <v>1.4999999999999991</v>
      </c>
      <c r="EH347" s="513">
        <f>IF(Inputs!$F$109/2&gt;MAX(Pile!$DL$70:$DL$149),999999,IF(Pile!EE347/(Pile!EC347/1000)&gt;50,999999,IF(Pile!EE347&lt;2,999999,Pile!EE347)))</f>
        <v>999999</v>
      </c>
      <c r="EI347" s="511">
        <f>IF(Inputs!EE42="Yes",999999,IF(Pile!EF347/(Pile!EC347/1000)&gt;50,999999,IF(Pile!EF347&lt;2,999999,Pile!EF347)))</f>
        <v>999999</v>
      </c>
      <c r="EJ347" s="511">
        <f>IF(Inputs!$F$109/2&gt;MAX(Pile!$DL$242:$DL$321),999999,IF(Pile!EG347/(Pile!EC347/1000)&gt;50,999999,IF(Pile!EG347&lt;2,999999,IF(EG347&gt;25,999999,Pile!EG347))))</f>
        <v>999999</v>
      </c>
      <c r="EK347" s="513">
        <f t="shared" si="402"/>
        <v>142503946.11419025</v>
      </c>
      <c r="EL347" s="511">
        <f t="shared" si="403"/>
        <v>142503946.11419025</v>
      </c>
      <c r="EM347" s="512">
        <f t="shared" si="404"/>
        <v>142503946.11419025</v>
      </c>
      <c r="EN347" s="467">
        <f t="shared" si="405"/>
        <v>1445.85</v>
      </c>
      <c r="EO347" s="497">
        <v>2</v>
      </c>
      <c r="EP347" s="487">
        <v>1200</v>
      </c>
      <c r="EQ347" s="507">
        <f>Inputs!$D$39*2</f>
        <v>126</v>
      </c>
      <c r="ER347" s="511">
        <f>_xlfn.MINIFS($DE$70:$DE$149,$DL$70:$DL$149,"&gt;"&amp;Inputs!$I$116)</f>
        <v>0.29999999999999982</v>
      </c>
      <c r="ES347" s="511">
        <f>_xlfn.MINIFS($DE$156:$DE$235,$DL$156:$DL$235,"&gt;"&amp;Inputs!$I$116)</f>
        <v>0</v>
      </c>
      <c r="ET347" s="512">
        <f>_xlfn.MINIFS($DE$242:$DE$321,$DL$242:$DL$321,"&gt;"&amp;Inputs!$I$116)</f>
        <v>0.29999999999999982</v>
      </c>
      <c r="EU347" s="513">
        <f>IF(Inputs!$F$116/2&gt;MAX(Pile!$DL$70:$DL$149),999999,IF(Pile!ER347/(Pile!EP347/1000)&gt;50,999999,IF(Pile!ER347&lt;2,999999,Pile!ER347)))</f>
        <v>999999</v>
      </c>
      <c r="EV347" s="511">
        <f>IF(Inputs!ER42="Yes",999999,IF(Inputs!$F$116&gt;MAX(Pile!$DG$156:$DG$235),999999,IF(Pile!ES347/(Pile!EP347/1000)&gt;50,999999,IF(Pile!ES347&lt;2,999999,Pile!ES347))))</f>
        <v>999999</v>
      </c>
      <c r="EW347" s="511">
        <f>IF(Inputs!$F$116/2&gt;MAX(Pile!$DL$242:$DL$321),999999,IF(Pile!ET347/(Pile!EP347/1000)&gt;50,999999,IF(Pile!ET347&lt;2,999999,IF(ET347&gt;25,999999,Pile!ET347))))</f>
        <v>999999</v>
      </c>
      <c r="EX347" s="514">
        <f t="shared" si="360"/>
        <v>142502500.26419026</v>
      </c>
      <c r="EY347" s="515">
        <f t="shared" si="361"/>
        <v>142502500.26419026</v>
      </c>
      <c r="EZ347" s="516">
        <f t="shared" si="362"/>
        <v>142502500.26419026</v>
      </c>
    </row>
    <row r="348" spans="1:156" ht="15">
      <c r="B348" s="517">
        <v>3</v>
      </c>
      <c r="C348" s="492">
        <v>450</v>
      </c>
      <c r="D348" s="518">
        <f>Inputs!$D$39*3</f>
        <v>189</v>
      </c>
      <c r="E348" s="519">
        <f>_xlfn.MINIFS($DE$70:$DE$149,$DG$70:$DG$149,"&gt;"&amp;Inputs!$J$39)</f>
        <v>13.499999999999996</v>
      </c>
      <c r="F348" s="519">
        <f>_xlfn.MINIFS($DE$156:$DE$235,$DG$156:$DG$235,"&gt;"&amp;Inputs!$J$39)</f>
        <v>11.099999999999996</v>
      </c>
      <c r="G348" s="520">
        <f>_xlfn.MINIFS($DE$242:$DE$321,$DG$242:$DG$321,"&gt;"&amp;Inputs!$J$39)</f>
        <v>13.499999999999996</v>
      </c>
      <c r="H348" s="521">
        <f>IF(Inputs!$F$39/3&gt;MAX(Pile!$DG$70:$DG$149),999999,IF(Pile!E348/(Pile!C348/1000)&gt;50,999999,IF(Pile!E348&lt;2,999999,Pile!E348)))</f>
        <v>13.499999999999996</v>
      </c>
      <c r="I348" s="519">
        <f>IF(Inputs!E43="Yes",999999,IF(Pile!F348/(Pile!C348/1000)&gt;50,999999,IF(Pile!F348&lt;2,999999,Pile!F348)))</f>
        <v>11.099999999999996</v>
      </c>
      <c r="J348" s="519">
        <f>IF(Inputs!$F$39/3&gt;MAX(Pile!$DG$242:$DG$321),999999,IF(Pile!G348/(Pile!C348/1000)&gt;50,999999,IF(Pile!G348&lt;2,999999,IF(G348&gt;25,999999,Pile!G348))))</f>
        <v>13.499999999999996</v>
      </c>
      <c r="K348" s="521">
        <f t="shared" si="363"/>
        <v>609.91854131648927</v>
      </c>
      <c r="L348" s="519">
        <f t="shared" si="364"/>
        <v>537.77657841578002</v>
      </c>
      <c r="M348" s="520">
        <f t="shared" si="365"/>
        <v>609.91854131648927</v>
      </c>
      <c r="N348" s="466">
        <f>Inputs!$D$39*F459</f>
        <v>204.12</v>
      </c>
      <c r="O348" s="517">
        <v>3</v>
      </c>
      <c r="P348" s="492">
        <v>450</v>
      </c>
      <c r="Q348" s="518">
        <f>Inputs!$D$39*3</f>
        <v>189</v>
      </c>
      <c r="R348" s="519">
        <f>_xlfn.MINIFS($DE$70:$DE$149,$DG$70:$DG$149,"&gt;"&amp;Inputs!$J$46)</f>
        <v>13.499999999999996</v>
      </c>
      <c r="S348" s="519">
        <f>_xlfn.MINIFS($DE$156:$DE$235,$DG$156:$DG$235,"&gt;"&amp;Inputs!$J$46)</f>
        <v>10.799999999999997</v>
      </c>
      <c r="T348" s="520">
        <f>_xlfn.MINIFS($DE$242:$DE$321,$DG$242:$DG$321,"&gt;"&amp;Inputs!$J$46)</f>
        <v>13.499999999999996</v>
      </c>
      <c r="U348" s="521">
        <f>IF(Inputs!$F$46/3&gt;MAX(Pile!$DG$70:$DG$149),999999,IF(Pile!R348/(Pile!P348/1000)&gt;50,999999,IF(Pile!R348&lt;2,999999,Pile!R348)))</f>
        <v>13.499999999999996</v>
      </c>
      <c r="V348" s="519">
        <f>IF(Inputs!R43="Yes",999999,IF(Pile!S348/(Pile!P348/1000)&gt;50,999999,IF(Pile!S348&lt;2,999999,Pile!S348)))</f>
        <v>10.799999999999997</v>
      </c>
      <c r="W348" s="519">
        <f>IF(Inputs!$F$46/3&gt;MAX(Pile!$DG$242:$DG$321),999999,IF(Pile!T348/(Pile!P348/1000)&gt;50,999999,IF(Pile!T348&lt;2,999999,IF(T348&gt;25,999999,Pile!T348))))</f>
        <v>13.499999999999996</v>
      </c>
      <c r="X348" s="521">
        <f t="shared" si="366"/>
        <v>609.91854131648927</v>
      </c>
      <c r="Y348" s="519">
        <f t="shared" si="367"/>
        <v>528.75883305319144</v>
      </c>
      <c r="Z348" s="520">
        <f t="shared" si="368"/>
        <v>609.91854131648927</v>
      </c>
      <c r="AA348" s="467">
        <f t="shared" si="369"/>
        <v>204.12</v>
      </c>
      <c r="AB348" s="522">
        <v>3</v>
      </c>
      <c r="AC348" s="498">
        <v>450</v>
      </c>
      <c r="AD348" s="523">
        <f>Inputs!$D$39*3</f>
        <v>189</v>
      </c>
      <c r="AE348" s="519">
        <f>_xlfn.MINIFS($DE$70:$DE$149,$DG$70:$DG$149,"&gt;"&amp;Inputs!$J$53)</f>
        <v>13.499999999999996</v>
      </c>
      <c r="AF348" s="519">
        <f>_xlfn.MINIFS($DE$156:$DE$235,$DG$156:$DG$235,"&gt;"&amp;Inputs!$J$53)</f>
        <v>10.199999999999996</v>
      </c>
      <c r="AG348" s="520">
        <f>_xlfn.MINIFS($DE$242:$DE$321,$DG$242:$DG$321,"&gt;"&amp;Inputs!$J$53)</f>
        <v>13.499999999999996</v>
      </c>
      <c r="AH348" s="521">
        <f>IF(Inputs!$F$53/3&gt;MAX(Pile!$DG$70:$DG$149),999999,IF(Pile!AE348/(Pile!AC348/1000)&gt;50,999999,IF(Pile!AE348&lt;2,999999,Pile!AE348)))</f>
        <v>13.499999999999996</v>
      </c>
      <c r="AI348" s="519">
        <f>IF(Inputs!AE43="Yes",999999,IF(Pile!AF348/(Pile!AC348/1000)&gt;50,999999,IF(Pile!AF348&lt;2,999999,Pile!AF348)))</f>
        <v>10.199999999999996</v>
      </c>
      <c r="AJ348" s="519">
        <f>IF(Inputs!$F$53/3&gt;MAX(Pile!$DG$242:$DG$321),999999,IF(Pile!AG348/(Pile!AC348/1000)&gt;50,999999,IF(Pile!AG348&lt;2,999999,IF(AG348&gt;25,999999,Pile!AG348))))</f>
        <v>13.499999999999996</v>
      </c>
      <c r="AK348" s="521">
        <f t="shared" si="370"/>
        <v>609.91854131648927</v>
      </c>
      <c r="AL348" s="519">
        <f t="shared" si="371"/>
        <v>510.7233423280141</v>
      </c>
      <c r="AM348" s="520">
        <f t="shared" si="372"/>
        <v>609.91854131648927</v>
      </c>
      <c r="AN348" s="471">
        <f t="shared" si="373"/>
        <v>204.12</v>
      </c>
      <c r="AO348" s="522">
        <v>3</v>
      </c>
      <c r="AP348" s="498">
        <v>450</v>
      </c>
      <c r="AQ348" s="523">
        <f>Inputs!$D$39*3</f>
        <v>189</v>
      </c>
      <c r="AR348" s="519">
        <f>_xlfn.MINIFS($DE$70:$DE$149,$DG$70:$DG$149,"&gt;"&amp;Inputs!$J$60)</f>
        <v>13.499999999999996</v>
      </c>
      <c r="AS348" s="519">
        <f>_xlfn.MINIFS($DE$156:$DE$235,$DG$156:$DG$235,"&gt;"&amp;Inputs!$J$60)</f>
        <v>5.9999999999999982</v>
      </c>
      <c r="AT348" s="520">
        <f>_xlfn.MINIFS($DE$242:$DE$321,$DG$242:$DG$321,"&gt;"&amp;Inputs!$J$60)</f>
        <v>5.9999999999999982</v>
      </c>
      <c r="AU348" s="521">
        <f>IF(Inputs!$F$60/3&gt;MAX(Pile!$DG$70:$DG$149),999999,IF(Pile!AR348/(Pile!AP348/1000)&gt;50,999999,IF(Pile!AR348&lt;2,999999,Pile!AR348)))</f>
        <v>13.499999999999996</v>
      </c>
      <c r="AV348" s="519">
        <f>IF(Inputs!AR43="Yes",999999,IF(Pile!AS348/(Pile!AP348/1000)&gt;50,999999,IF(Pile!AS348&lt;2,999999,Pile!AS348)))</f>
        <v>5.9999999999999982</v>
      </c>
      <c r="AW348" s="519">
        <f>IF(Inputs!$F$60/3&gt;MAX(Pile!$DG$242:$DG$321),999999,IF(Pile!AT348/(Pile!AP348/1000)&gt;50,999999,IF(Pile!AT348&lt;2,999999,IF(AT348&gt;25,999999,Pile!AT348))))</f>
        <v>5.9999999999999982</v>
      </c>
      <c r="AX348" s="521">
        <f t="shared" si="374"/>
        <v>609.91854131648927</v>
      </c>
      <c r="AY348" s="519">
        <f t="shared" si="375"/>
        <v>384.474907251773</v>
      </c>
      <c r="AZ348" s="520">
        <f t="shared" si="376"/>
        <v>384.474907251773</v>
      </c>
      <c r="BA348" s="467">
        <f t="shared" si="377"/>
        <v>204.12</v>
      </c>
      <c r="BB348" s="522">
        <v>3</v>
      </c>
      <c r="BC348" s="498">
        <v>450</v>
      </c>
      <c r="BD348" s="523">
        <f>Inputs!$D$39*3</f>
        <v>189</v>
      </c>
      <c r="BE348" s="519">
        <f>_xlfn.MINIFS($DE$70:$DE$149,$DG$70:$DG$149,"&gt;"&amp;Inputs!$J$67)</f>
        <v>13.499999999999996</v>
      </c>
      <c r="BF348" s="519">
        <f>_xlfn.MINIFS($DE$156:$DE$235,$DG$156:$DG$235,"&gt;"&amp;Inputs!$J$67)</f>
        <v>10.199999999999996</v>
      </c>
      <c r="BG348" s="520">
        <f>_xlfn.MINIFS($DE$242:$DE$321,$DG$242:$DG$321,"&gt;"&amp;Inputs!$J$67)</f>
        <v>13.499999999999996</v>
      </c>
      <c r="BH348" s="521">
        <f>IF(Inputs!$F$67/3&gt;MAX(Pile!$DG$70:$DG$149),999999,IF(Pile!BE348/(Pile!BC348/1000)&gt;50,999999,IF(Pile!BE348&lt;2,999999,Pile!BE348)))</f>
        <v>13.499999999999996</v>
      </c>
      <c r="BI348" s="519">
        <f>IF(Inputs!BE43="Yes",999999,IF(Pile!BF348/(Pile!BC348/1000)&gt;50,999999,IF(Pile!BF348&lt;2,999999,Pile!BF348)))</f>
        <v>10.199999999999996</v>
      </c>
      <c r="BJ348" s="519">
        <f>IF(Inputs!$F$67/3&gt;MAX(Pile!$DG$242:$DG$321),999999,IF(Pile!BG348/(Pile!BC348/1000)&gt;50,999999,IF(Pile!BG348&lt;2,999999,IF(BG348&gt;25,999999,Pile!BG348))))</f>
        <v>13.499999999999996</v>
      </c>
      <c r="BK348" s="521">
        <f t="shared" si="378"/>
        <v>609.91854131648927</v>
      </c>
      <c r="BL348" s="519">
        <f t="shared" si="379"/>
        <v>510.7233423280141</v>
      </c>
      <c r="BM348" s="520">
        <f t="shared" si="380"/>
        <v>609.91854131648927</v>
      </c>
      <c r="BN348" s="467">
        <f t="shared" si="381"/>
        <v>204.12</v>
      </c>
      <c r="BO348" s="522">
        <v>3</v>
      </c>
      <c r="BP348" s="498">
        <v>450</v>
      </c>
      <c r="BQ348" s="523">
        <f>Inputs!$D$39*3</f>
        <v>189</v>
      </c>
      <c r="BR348" s="519">
        <f>_xlfn.MINIFS($DE$70:$DE$149,$DG$70:$DG$149,"&gt;"&amp;Inputs!$J$74)</f>
        <v>13.499999999999996</v>
      </c>
      <c r="BS348" s="519">
        <f>_xlfn.MINIFS($DE$156:$DE$235,$DG$156:$DG$235,"&gt;"&amp;Inputs!$J$74)</f>
        <v>11.999999999999996</v>
      </c>
      <c r="BT348" s="520">
        <f>_xlfn.MINIFS($DE$242:$DE$321,$DG$242:$DG$321,"&gt;"&amp;Inputs!$J$74)</f>
        <v>13.499999999999996</v>
      </c>
      <c r="BU348" s="521">
        <f>IF(Inputs!$F$74/3&gt;MAX(Pile!$DG$70:$DG$149),999999,IF(Pile!BR348/(Pile!BP348/1000)&gt;50,999999,IF(Pile!BR348&lt;2,999999,Pile!BR348)))</f>
        <v>13.499999999999996</v>
      </c>
      <c r="BV348" s="519">
        <f>IF(Inputs!BR43="Yes",999999,IF(Pile!BS348/(Pile!BP348/1000)&gt;50,999999,IF(Pile!BS348&lt;2,999999,Pile!BS348)))</f>
        <v>11.999999999999996</v>
      </c>
      <c r="BW348" s="519">
        <f>IF(Inputs!$F$74/3&gt;MAX(Pile!$DG$242:$DG$321),999999,IF(Pile!BT348/(Pile!BP348/1000)&gt;50,999999,IF(Pile!BT348&lt;2,999999,IF(BT348&gt;25,999999,Pile!BT348))))</f>
        <v>13.499999999999996</v>
      </c>
      <c r="BX348" s="521">
        <f t="shared" si="382"/>
        <v>609.91854131648927</v>
      </c>
      <c r="BY348" s="519">
        <f t="shared" si="383"/>
        <v>564.829814503546</v>
      </c>
      <c r="BZ348" s="520">
        <f t="shared" si="384"/>
        <v>609.91854131648927</v>
      </c>
      <c r="CA348" s="467">
        <f t="shared" si="385"/>
        <v>204.12</v>
      </c>
      <c r="CB348" s="522">
        <v>3</v>
      </c>
      <c r="CC348" s="498">
        <v>450</v>
      </c>
      <c r="CD348" s="523">
        <f>Inputs!$D$39*3</f>
        <v>189</v>
      </c>
      <c r="CE348" s="519">
        <f>_xlfn.MINIFS($DE$70:$DE$149,$DG$70:$DG$149,"&gt;"&amp;Inputs!$J$81)</f>
        <v>13.499999999999996</v>
      </c>
      <c r="CF348" s="519">
        <f>_xlfn.MINIFS($DE$156:$DE$235,$DG$156:$DG$235,"&gt;"&amp;Inputs!$J$81)</f>
        <v>5.9999999999999982</v>
      </c>
      <c r="CG348" s="520">
        <f>_xlfn.MINIFS($DE$242:$DE$321,$DG$242:$DG$321,"&gt;"&amp;Inputs!$J$81)</f>
        <v>5.9999999999999982</v>
      </c>
      <c r="CH348" s="521">
        <f>IF(Inputs!$F$81/3&gt;MAX(Pile!$DG$70:$DG$149),999999,IF(Pile!CE348/(Pile!CC348/1000)&gt;50,999999,IF(Pile!CE348&lt;2,999999,Pile!CE348)))</f>
        <v>13.499999999999996</v>
      </c>
      <c r="CI348" s="519">
        <f>IF(Inputs!CE43="Yes",999999,IF(Pile!CF348/(Pile!CC348/1000)&gt;50,999999,IF(Pile!CF348&lt;2,999999,Pile!CF348)))</f>
        <v>5.9999999999999982</v>
      </c>
      <c r="CJ348" s="519">
        <f>IF(Inputs!$F$81/3&gt;MAX(Pile!$DG$242:$DG$321),999999,IF(Pile!CG348/(Pile!CC348/1000)&gt;50,999999,IF(Pile!CG348&lt;2,999999,IF(CG348&gt;25,999999,Pile!CG348))))</f>
        <v>5.9999999999999982</v>
      </c>
      <c r="CK348" s="521">
        <f t="shared" si="386"/>
        <v>609.91854131648927</v>
      </c>
      <c r="CL348" s="519">
        <f t="shared" si="387"/>
        <v>384.474907251773</v>
      </c>
      <c r="CM348" s="520">
        <f t="shared" si="388"/>
        <v>384.474907251773</v>
      </c>
      <c r="CN348" s="467">
        <f t="shared" si="389"/>
        <v>204.12</v>
      </c>
      <c r="CO348" s="522">
        <v>3</v>
      </c>
      <c r="CP348" s="498">
        <v>450</v>
      </c>
      <c r="CQ348" s="523">
        <f>Inputs!$D$39*3</f>
        <v>189</v>
      </c>
      <c r="CR348" s="519">
        <f>_xlfn.MINIFS($DE$70:$DE$149,$DG$70:$DG$149,"&gt;"&amp;Inputs!$J$88)</f>
        <v>5.6999999999999975</v>
      </c>
      <c r="CS348" s="519">
        <f>_xlfn.MINIFS($DE$156:$DE$235,$DG$156:$DG$235,"&gt;"&amp;Inputs!$J$88)</f>
        <v>5.3999999999999977</v>
      </c>
      <c r="CT348" s="520">
        <f>_xlfn.MINIFS($DE$242:$DE$321,$DG$242:$DG$321,"&gt;"&amp;Inputs!$J$88)</f>
        <v>5.3999999999999977</v>
      </c>
      <c r="CU348" s="521">
        <f>IF(Inputs!$F$88/3&gt;MAX(Pile!$DG$70:$DG$149),999999,IF(Pile!CR348/(Pile!CP348/1000)&gt;50,999999,IF(Pile!CR348&lt;2,999999,Pile!CR348)))</f>
        <v>5.6999999999999975</v>
      </c>
      <c r="CV348" s="519">
        <f>IF(Inputs!CR43="Yes",999999,IF(Pile!CS348/(Pile!CP348/1000)&gt;50,999999,IF(Pile!CS348&lt;2,999999,Pile!CS348)))</f>
        <v>5.3999999999999977</v>
      </c>
      <c r="CW348" s="519">
        <f>IF(Inputs!$F$88/3&gt;MAX(Pile!$DG$242:$DG$321),999999,IF(Pile!CT348/(Pile!CP348/1000)&gt;50,999999,IF(Pile!CT348&lt;2,999999,IF(CT348&gt;25,999999,Pile!CT348))))</f>
        <v>5.3999999999999977</v>
      </c>
      <c r="CX348" s="521">
        <f t="shared" si="390"/>
        <v>375.45716188918436</v>
      </c>
      <c r="CY348" s="519">
        <f t="shared" si="391"/>
        <v>366.43941652659566</v>
      </c>
      <c r="CZ348" s="520">
        <f t="shared" si="392"/>
        <v>366.43941652659566</v>
      </c>
      <c r="DA348" s="467">
        <f t="shared" si="393"/>
        <v>204.12</v>
      </c>
      <c r="DB348" s="522">
        <v>3</v>
      </c>
      <c r="DC348" s="498">
        <v>450</v>
      </c>
      <c r="DD348" s="523">
        <f>Inputs!$D$39*3</f>
        <v>189</v>
      </c>
      <c r="DE348" s="519">
        <f>_xlfn.MINIFS($DE$70:$DE$149,$DG$70:$DG$149,"&gt;"&amp;Inputs!$J$95)</f>
        <v>5.9999999999999982</v>
      </c>
      <c r="DF348" s="519">
        <f>_xlfn.MINIFS($DE$156:$DE$235,$DG$156:$DG$235,"&gt;"&amp;Inputs!$J$95)</f>
        <v>5.3999999999999977</v>
      </c>
      <c r="DG348" s="520">
        <f>_xlfn.MINIFS($DE$242:$DE$321,$DG$242:$DG$321,"&gt;"&amp;Inputs!$J$95)</f>
        <v>5.3999999999999977</v>
      </c>
      <c r="DH348" s="521">
        <f>IF(Inputs!$F$95/3&gt;MAX(Pile!$DG$70:$DG$149),999999,IF(Pile!DE348/(Pile!DC348/1000)&gt;50,999999,IF(Pile!DE348&lt;2,999999,Pile!DE348)))</f>
        <v>5.9999999999999982</v>
      </c>
      <c r="DI348" s="519">
        <f>IF(Inputs!DE43="Yes",999999,IF(Pile!DF348/(Pile!DC348/1000)&gt;50,999999,IF(Pile!DF348&lt;2,999999,Pile!DF348)))</f>
        <v>5.3999999999999977</v>
      </c>
      <c r="DJ348" s="519">
        <f>IF(Inputs!$F$95/3&gt;MAX(Pile!$DG$242:$DG$321),999999,IF(Pile!DG348/(Pile!DC348/1000)&gt;50,999999,IF(Pile!DG348&lt;2,999999,IF(DG348&gt;25,999999,Pile!DG348))))</f>
        <v>5.3999999999999977</v>
      </c>
      <c r="DK348" s="521">
        <f t="shared" si="394"/>
        <v>384.474907251773</v>
      </c>
      <c r="DL348" s="519">
        <f t="shared" si="395"/>
        <v>366.43941652659566</v>
      </c>
      <c r="DM348" s="520">
        <f t="shared" si="396"/>
        <v>366.43941652659566</v>
      </c>
      <c r="DN348" s="467">
        <f t="shared" si="397"/>
        <v>204.12</v>
      </c>
      <c r="DO348" s="522">
        <v>3</v>
      </c>
      <c r="DP348" s="498">
        <v>450</v>
      </c>
      <c r="DQ348" s="523">
        <f>Inputs!$D$39*3</f>
        <v>189</v>
      </c>
      <c r="DR348" s="519">
        <f>_xlfn.MINIFS($DE$70:$DE$149,$DG$70:$DG$149,"&gt;"&amp;Inputs!$J$102)</f>
        <v>4.1999999999999975</v>
      </c>
      <c r="DS348" s="519">
        <f>_xlfn.MINIFS($DE$156:$DE$235,$DG$156:$DG$235,"&gt;"&amp;Inputs!$J$102)</f>
        <v>3.8999999999999977</v>
      </c>
      <c r="DT348" s="520">
        <f>_xlfn.MINIFS($DE$242:$DE$321,$DG$242:$DG$321,"&gt;"&amp;Inputs!$J$102)</f>
        <v>3.8999999999999977</v>
      </c>
      <c r="DU348" s="521">
        <f>IF(Inputs!$F$102/3&gt;MAX(Pile!$DG$70:$DG$149),999999,IF(Pile!DR348/(Pile!DP348/1000)&gt;50,999999,IF(Pile!DR348&lt;2,999999,Pile!DR348)))</f>
        <v>4.1999999999999975</v>
      </c>
      <c r="DV348" s="519">
        <f>IF(Inputs!DR43="Yes",999999,IF(Pile!DS348/(Pile!DP348/1000)&gt;50,999999,IF(Pile!DS348&lt;2,999999,Pile!DS348)))</f>
        <v>3.8999999999999977</v>
      </c>
      <c r="DW348" s="519">
        <f>IF(Inputs!$F$102/3&gt;MAX(Pile!$DG$242:$DG$321),999999,IF(Pile!DT348/(Pile!DP348/1000)&gt;50,999999,IF(Pile!DT348&lt;2,999999,IF(DT348&gt;25,999999,Pile!DT348))))</f>
        <v>3.8999999999999977</v>
      </c>
      <c r="DX348" s="521">
        <f t="shared" si="398"/>
        <v>330.3684350762411</v>
      </c>
      <c r="DY348" s="519">
        <f t="shared" si="399"/>
        <v>321.3506897136524</v>
      </c>
      <c r="DZ348" s="520">
        <f t="shared" si="400"/>
        <v>321.3506897136524</v>
      </c>
      <c r="EA348" s="467">
        <f t="shared" si="401"/>
        <v>204.12</v>
      </c>
      <c r="EB348" s="522">
        <v>3</v>
      </c>
      <c r="EC348" s="498">
        <v>450</v>
      </c>
      <c r="ED348" s="523">
        <f>Inputs!$D$39*3</f>
        <v>189</v>
      </c>
      <c r="EE348" s="519">
        <f>_xlfn.MINIFS($DE$70:$DE$149,$DG$70:$DG$149,"&gt;"&amp;Inputs!$J$109)</f>
        <v>4.4999999999999982</v>
      </c>
      <c r="EF348" s="519">
        <f>_xlfn.MINIFS($DE$156:$DE$235,$DG$156:$DG$235,"&gt;"&amp;Inputs!$J$109)</f>
        <v>3.8999999999999977</v>
      </c>
      <c r="EG348" s="520">
        <f>_xlfn.MINIFS($DE$242:$DE$321,$DG$242:$DG$321,"&gt;"&amp;Inputs!$J$109)</f>
        <v>4.1999999999999975</v>
      </c>
      <c r="EH348" s="521">
        <f>IF(Inputs!$F$109/3&gt;MAX(Pile!$DG$70:$DG$149),999999,IF(Pile!EE348/(Pile!EC348/1000)&gt;50,999999,IF(Pile!EE348&lt;2,999999,Pile!EE348)))</f>
        <v>4.4999999999999982</v>
      </c>
      <c r="EI348" s="519">
        <f>IF(Inputs!EE43="Yes",999999,IF(Pile!EF348/(Pile!EC348/1000)&gt;50,999999,IF(Pile!EF348&lt;2,999999,Pile!EF348)))</f>
        <v>3.8999999999999977</v>
      </c>
      <c r="EJ348" s="519">
        <f>IF(Inputs!$F$109/3&gt;MAX(Pile!$DG$242:$DG$321),999999,IF(Pile!EG348/(Pile!EC348/1000)&gt;50,999999,IF(Pile!EG348&lt;2,999999,IF(EG348&gt;25,999999,Pile!EG348))))</f>
        <v>4.1999999999999975</v>
      </c>
      <c r="EK348" s="521">
        <f t="shared" si="402"/>
        <v>339.38618043882974</v>
      </c>
      <c r="EL348" s="519">
        <f t="shared" si="403"/>
        <v>321.3506897136524</v>
      </c>
      <c r="EM348" s="520">
        <f t="shared" si="404"/>
        <v>330.3684350762411</v>
      </c>
      <c r="EN348" s="467">
        <f t="shared" si="405"/>
        <v>204.12</v>
      </c>
      <c r="EO348" s="522">
        <v>3</v>
      </c>
      <c r="EP348" s="498">
        <v>450</v>
      </c>
      <c r="EQ348" s="523">
        <f>Inputs!$D$39*3</f>
        <v>189</v>
      </c>
      <c r="ER348" s="519">
        <f>_xlfn.MINIFS($DE$70:$DE$149,$DG$70:$DG$149,"&gt;"&amp;Inputs!$J$116)</f>
        <v>0.29999999999999982</v>
      </c>
      <c r="ES348" s="519">
        <f>_xlfn.MINIFS($DE$156:$DE$235,$DG$156:$DG$235,"&gt;"&amp;Inputs!$J$116)</f>
        <v>0.29999999999999982</v>
      </c>
      <c r="ET348" s="520">
        <f>_xlfn.MINIFS($DE$242:$DE$321,$DG$242:$DG$321,"&gt;"&amp;Inputs!$J$116)</f>
        <v>0.29999999999999982</v>
      </c>
      <c r="EU348" s="521">
        <f>IF(Inputs!$F$116/3&gt;MAX(Pile!$DG$70:$DG$149),999999,IF(Pile!ER348/(Pile!EP348/1000)&gt;50,999999,IF(Pile!ER348&lt;2,999999,Pile!ER348)))</f>
        <v>999999</v>
      </c>
      <c r="EV348" s="519">
        <f>IF(Inputs!ER43="Yes",999999,IF(Inputs!$F$116&gt;MAX(Pile!$DG$156:$DG$235),999999,IF(Pile!ES348/(Pile!EP348/1000)&gt;50,999999,IF(Pile!ES348&lt;2,999999,Pile!ES348))))</f>
        <v>999999</v>
      </c>
      <c r="EW348" s="519">
        <f>IF(Inputs!$F$116/3&gt;MAX(Pile!$DG$242:$DG$321),999999,IF(Pile!ET348/(Pile!EP348/1000)&gt;50,999999,IF(Pile!ET348&lt;2,999999,IF(ET348&gt;25,999999,Pile!ET348))))</f>
        <v>999999</v>
      </c>
      <c r="EX348" s="524">
        <f t="shared" si="360"/>
        <v>30059121.149477635</v>
      </c>
      <c r="EY348" s="525">
        <f t="shared" si="361"/>
        <v>30059121.149477635</v>
      </c>
      <c r="EZ348" s="526">
        <f t="shared" si="362"/>
        <v>30059121.149477635</v>
      </c>
    </row>
    <row r="349" spans="1:156" ht="15">
      <c r="B349" s="517">
        <v>3</v>
      </c>
      <c r="C349" s="476">
        <v>600</v>
      </c>
      <c r="D349" s="527">
        <f>Inputs!$D$39*3</f>
        <v>189</v>
      </c>
      <c r="E349" s="528">
        <f>_xlfn.MINIFS($DE$70:$DE$149,$DH$70:$DH$149,"&gt;"&amp;Inputs!$J$39)</f>
        <v>5.3999999999999977</v>
      </c>
      <c r="F349" s="528">
        <f>_xlfn.MINIFS($DE$156:$DE$235,$DH$156:$DH$235,"&gt;"&amp;Inputs!$J$39)</f>
        <v>4.799999999999998</v>
      </c>
      <c r="G349" s="529">
        <f>_xlfn.MINIFS($DE$242:$DE$321,$DH$242:$DH$321,"&gt;"&amp;Inputs!$J$39)</f>
        <v>5.0999999999999979</v>
      </c>
      <c r="H349" s="530">
        <f>IF(Inputs!$F$39/3&gt;MAX(Pile!$DH$70:$DH$149),999999,IF(Pile!E349/(Pile!C349/1000)&gt;50,999999,IF(Pile!E349&lt;2,999999,Pile!E349)))</f>
        <v>5.3999999999999977</v>
      </c>
      <c r="I349" s="528">
        <f>IF(Inputs!E44="Yes",999999,IF(Pile!F349/(Pile!C349/1000)&gt;50,999999,IF(Pile!F349&lt;2,999999,Pile!F349)))</f>
        <v>4.799999999999998</v>
      </c>
      <c r="J349" s="528">
        <f>IF(Inputs!$F$39/3&gt;MAX(Pile!$DH$242:$DH$321),999999,IF(Pile!G349/(Pile!C349/1000)&gt;50,999999,IF(Pile!G349&lt;2,999999,IF(G349&gt;25,999999,Pile!G349))))</f>
        <v>5.0999999999999979</v>
      </c>
      <c r="K349" s="530">
        <f t="shared" si="363"/>
        <v>750.73585160283665</v>
      </c>
      <c r="L349" s="528">
        <f t="shared" si="364"/>
        <v>718.67275698029925</v>
      </c>
      <c r="M349" s="529">
        <f t="shared" si="365"/>
        <v>734.70430429156795</v>
      </c>
      <c r="N349" s="466">
        <f>Inputs!$D$39*F460</f>
        <v>462.16799999999995</v>
      </c>
      <c r="O349" s="517">
        <v>3</v>
      </c>
      <c r="P349" s="476">
        <v>600</v>
      </c>
      <c r="Q349" s="527">
        <f>Inputs!$D$39*3</f>
        <v>189</v>
      </c>
      <c r="R349" s="528">
        <f>_xlfn.MINIFS($DE$70:$DE$149,$DH$70:$DH$149,"&gt;"&amp;Inputs!$J$46)</f>
        <v>5.3999999999999977</v>
      </c>
      <c r="S349" s="528">
        <f>_xlfn.MINIFS($DE$156:$DE$235,$DH$156:$DH$235,"&gt;"&amp;Inputs!$J$46)</f>
        <v>4.799999999999998</v>
      </c>
      <c r="T349" s="529">
        <f>_xlfn.MINIFS($DE$242:$DE$321,$DH$242:$DH$321,"&gt;"&amp;Inputs!$J$46)</f>
        <v>5.0999999999999979</v>
      </c>
      <c r="U349" s="530">
        <f>IF(Inputs!$F$46/3&gt;MAX(Pile!$DH$70:$DH$149),999999,IF(Pile!R349/(Pile!P349/1000)&gt;50,999999,IF(Pile!R349&lt;2,999999,Pile!R349)))</f>
        <v>5.3999999999999977</v>
      </c>
      <c r="V349" s="528">
        <f>IF(Inputs!R44="Yes",999999,IF(Pile!S349/(Pile!P349/1000)&gt;50,999999,IF(Pile!S349&lt;2,999999,Pile!S349)))</f>
        <v>4.799999999999998</v>
      </c>
      <c r="W349" s="528">
        <f>IF(Inputs!$F$46/3&gt;MAX(Pile!$DH$242:$DH$321),999999,IF(Pile!T349/(Pile!P349/1000)&gt;50,999999,IF(Pile!T349&lt;2,999999,IF(T349&gt;25,999999,Pile!T349))))</f>
        <v>5.0999999999999979</v>
      </c>
      <c r="X349" s="530">
        <f t="shared" si="366"/>
        <v>750.73585160283665</v>
      </c>
      <c r="Y349" s="528">
        <f t="shared" si="367"/>
        <v>718.67275698029925</v>
      </c>
      <c r="Z349" s="529">
        <f t="shared" si="368"/>
        <v>734.70430429156795</v>
      </c>
      <c r="AA349" s="467">
        <f t="shared" si="369"/>
        <v>462.16799999999995</v>
      </c>
      <c r="AB349" s="522">
        <v>3</v>
      </c>
      <c r="AC349" s="479">
        <v>600</v>
      </c>
      <c r="AD349" s="531">
        <f>Inputs!$D$39*3</f>
        <v>189</v>
      </c>
      <c r="AE349" s="528">
        <f>_xlfn.MINIFS($DE$70:$DE$149,$DH$70:$DH$149,"&gt;"&amp;Inputs!$J$53)</f>
        <v>5.0999999999999979</v>
      </c>
      <c r="AF349" s="528">
        <f>_xlfn.MINIFS($DE$156:$DE$235,$DH$156:$DH$235,"&gt;"&amp;Inputs!$J$53)</f>
        <v>4.4999999999999982</v>
      </c>
      <c r="AG349" s="529">
        <f>_xlfn.MINIFS($DE$242:$DE$321,$DH$242:$DH$321,"&gt;"&amp;Inputs!$J$53)</f>
        <v>4.799999999999998</v>
      </c>
      <c r="AH349" s="530">
        <f>IF(Inputs!$F$53/3&gt;MAX(Pile!$DH$70:$DH$149),999999,IF(Pile!AE349/(Pile!AC349/1000)&gt;50,999999,IF(Pile!AE349&lt;2,999999,Pile!AE349)))</f>
        <v>5.0999999999999979</v>
      </c>
      <c r="AI349" s="528">
        <f>IF(Inputs!AE44="Yes",999999,IF(Pile!AF349/(Pile!AC349/1000)&gt;50,999999,IF(Pile!AF349&lt;2,999999,Pile!AF349)))</f>
        <v>4.4999999999999982</v>
      </c>
      <c r="AJ349" s="528">
        <f>IF(Inputs!$F$53/3&gt;MAX(Pile!$DH$242:$DH$321),999999,IF(Pile!AG349/(Pile!AC349/1000)&gt;50,999999,IF(Pile!AG349&lt;2,999999,IF(AG349&gt;25,999999,Pile!AG349))))</f>
        <v>4.799999999999998</v>
      </c>
      <c r="AK349" s="530">
        <f t="shared" si="370"/>
        <v>734.70430429156795</v>
      </c>
      <c r="AL349" s="528">
        <f t="shared" si="371"/>
        <v>702.64120966903056</v>
      </c>
      <c r="AM349" s="529">
        <f t="shared" si="372"/>
        <v>718.67275698029925</v>
      </c>
      <c r="AN349" s="471">
        <f t="shared" si="373"/>
        <v>462.16799999999995</v>
      </c>
      <c r="AO349" s="522">
        <v>3</v>
      </c>
      <c r="AP349" s="479">
        <v>600</v>
      </c>
      <c r="AQ349" s="531">
        <f>Inputs!$D$39*3</f>
        <v>189</v>
      </c>
      <c r="AR349" s="528">
        <f>_xlfn.MINIFS($DE$70:$DE$149,$DH$70:$DH$149,"&gt;"&amp;Inputs!$J$60)</f>
        <v>4.4999999999999982</v>
      </c>
      <c r="AS349" s="528">
        <f>_xlfn.MINIFS($DE$156:$DE$235,$DH$156:$DH$235,"&gt;"&amp;Inputs!$J$60)</f>
        <v>4.1999999999999975</v>
      </c>
      <c r="AT349" s="529">
        <f>_xlfn.MINIFS($DE$242:$DE$321,$DH$242:$DH$321,"&gt;"&amp;Inputs!$J$60)</f>
        <v>4.1999999999999975</v>
      </c>
      <c r="AU349" s="530">
        <f>IF(Inputs!$F$60/3&gt;MAX(Pile!$DH$70:$DH$149),999999,IF(Pile!AR349/(Pile!AP349/1000)&gt;50,999999,IF(Pile!AR349&lt;2,999999,Pile!AR349)))</f>
        <v>4.4999999999999982</v>
      </c>
      <c r="AV349" s="528">
        <f>IF(Inputs!AR44="Yes",999999,IF(Pile!AS349/(Pile!AP349/1000)&gt;50,999999,IF(Pile!AS349&lt;2,999999,Pile!AS349)))</f>
        <v>4.1999999999999975</v>
      </c>
      <c r="AW349" s="528">
        <f>IF(Inputs!$F$60/3&gt;MAX(Pile!$DH$242:$DH$321),999999,IF(Pile!AT349/(Pile!AP349/1000)&gt;50,999999,IF(Pile!AT349&lt;2,999999,IF(AT349&gt;25,999999,Pile!AT349))))</f>
        <v>4.1999999999999975</v>
      </c>
      <c r="AX349" s="530">
        <f t="shared" si="374"/>
        <v>702.64120966903056</v>
      </c>
      <c r="AY349" s="528">
        <f t="shared" si="375"/>
        <v>686.60966235776186</v>
      </c>
      <c r="AZ349" s="529">
        <f t="shared" si="376"/>
        <v>686.60966235776186</v>
      </c>
      <c r="BA349" s="467">
        <f t="shared" si="377"/>
        <v>462.16799999999995</v>
      </c>
      <c r="BB349" s="522">
        <v>3</v>
      </c>
      <c r="BC349" s="479">
        <v>600</v>
      </c>
      <c r="BD349" s="531">
        <f>Inputs!$D$39*3</f>
        <v>189</v>
      </c>
      <c r="BE349" s="528">
        <f>_xlfn.MINIFS($DE$70:$DE$149,$DH$70:$DH$149,"&gt;"&amp;Inputs!$J$67)</f>
        <v>5.0999999999999979</v>
      </c>
      <c r="BF349" s="528">
        <f>_xlfn.MINIFS($DE$156:$DE$235,$DH$156:$DH$235,"&gt;"&amp;Inputs!$J$67)</f>
        <v>4.4999999999999982</v>
      </c>
      <c r="BG349" s="529">
        <f>_xlfn.MINIFS($DE$242:$DE$321,$DH$242:$DH$321,"&gt;"&amp;Inputs!$J$67)</f>
        <v>4.799999999999998</v>
      </c>
      <c r="BH349" s="530">
        <f>IF(Inputs!$F$67/3&gt;MAX(Pile!$DH$70:$DH$149),999999,IF(Pile!BE349/(Pile!BC349/1000)&gt;50,999999,IF(Pile!BE349&lt;2,999999,Pile!BE349)))</f>
        <v>5.0999999999999979</v>
      </c>
      <c r="BI349" s="528">
        <f>IF(Inputs!BE44="Yes",999999,IF(Pile!BF349/(Pile!BC349/1000)&gt;50,999999,IF(Pile!BF349&lt;2,999999,Pile!BF349)))</f>
        <v>4.4999999999999982</v>
      </c>
      <c r="BJ349" s="528">
        <f>IF(Inputs!$F$67/3&gt;MAX(Pile!$DH$242:$DH$321),999999,IF(Pile!BG349/(Pile!BC349/1000)&gt;50,999999,IF(Pile!BG349&lt;2,999999,IF(BG349&gt;25,999999,Pile!BG349))))</f>
        <v>4.799999999999998</v>
      </c>
      <c r="BK349" s="530">
        <f t="shared" si="378"/>
        <v>734.70430429156795</v>
      </c>
      <c r="BL349" s="528">
        <f t="shared" si="379"/>
        <v>702.64120966903056</v>
      </c>
      <c r="BM349" s="529">
        <f t="shared" si="380"/>
        <v>718.67275698029925</v>
      </c>
      <c r="BN349" s="467">
        <f t="shared" si="381"/>
        <v>462.16799999999995</v>
      </c>
      <c r="BO349" s="522">
        <v>3</v>
      </c>
      <c r="BP349" s="479">
        <v>600</v>
      </c>
      <c r="BQ349" s="531">
        <f>Inputs!$D$39*3</f>
        <v>189</v>
      </c>
      <c r="BR349" s="528">
        <f>_xlfn.MINIFS($DE$70:$DE$149,$DH$70:$DH$149,"&gt;"&amp;Inputs!$J$74)</f>
        <v>5.6999999999999975</v>
      </c>
      <c r="BS349" s="528">
        <f>_xlfn.MINIFS($DE$156:$DE$235,$DH$156:$DH$235,"&gt;"&amp;Inputs!$J$74)</f>
        <v>5.3999999999999977</v>
      </c>
      <c r="BT349" s="529">
        <f>_xlfn.MINIFS($DE$242:$DE$321,$DH$242:$DH$321,"&gt;"&amp;Inputs!$J$74)</f>
        <v>5.3999999999999977</v>
      </c>
      <c r="BU349" s="530">
        <f>IF(Inputs!$F$74/3&gt;MAX(Pile!$DH$70:$DH$149),999999,IF(Pile!BR349/(Pile!BP349/1000)&gt;50,999999,IF(Pile!BR349&lt;2,999999,Pile!BR349)))</f>
        <v>5.6999999999999975</v>
      </c>
      <c r="BV349" s="528">
        <f>IF(Inputs!BR44="Yes",999999,IF(Pile!BS349/(Pile!BP349/1000)&gt;50,999999,IF(Pile!BS349&lt;2,999999,Pile!BS349)))</f>
        <v>5.3999999999999977</v>
      </c>
      <c r="BW349" s="528">
        <f>IF(Inputs!$F$74/3&gt;MAX(Pile!$DH$242:$DH$321),999999,IF(Pile!BT349/(Pile!BP349/1000)&gt;50,999999,IF(Pile!BT349&lt;2,999999,IF(BT349&gt;25,999999,Pile!BT349))))</f>
        <v>5.3999999999999977</v>
      </c>
      <c r="BX349" s="530">
        <f t="shared" si="382"/>
        <v>766.76739891410534</v>
      </c>
      <c r="BY349" s="528">
        <f t="shared" si="383"/>
        <v>750.73585160283665</v>
      </c>
      <c r="BZ349" s="529">
        <f t="shared" si="384"/>
        <v>750.73585160283665</v>
      </c>
      <c r="CA349" s="467">
        <f t="shared" si="385"/>
        <v>462.16799999999995</v>
      </c>
      <c r="CB349" s="522">
        <v>3</v>
      </c>
      <c r="CC349" s="479">
        <v>600</v>
      </c>
      <c r="CD349" s="531">
        <f>Inputs!$D$39*3</f>
        <v>189</v>
      </c>
      <c r="CE349" s="528">
        <f>_xlfn.MINIFS($DE$70:$DE$149,$DH$70:$DH$149,"&gt;"&amp;Inputs!$J$81)</f>
        <v>4.4999999999999982</v>
      </c>
      <c r="CF349" s="528">
        <f>_xlfn.MINIFS($DE$156:$DE$235,$DH$156:$DH$235,"&gt;"&amp;Inputs!$J$81)</f>
        <v>4.1999999999999975</v>
      </c>
      <c r="CG349" s="529">
        <f>_xlfn.MINIFS($DE$242:$DE$321,$DH$242:$DH$321,"&gt;"&amp;Inputs!$J$81)</f>
        <v>4.4999999999999982</v>
      </c>
      <c r="CH349" s="530">
        <f>IF(Inputs!$F$81/3&gt;MAX(Pile!$DH$70:$DH$149),999999,IF(Pile!CE349/(Pile!CC349/1000)&gt;50,999999,IF(Pile!CE349&lt;2,999999,Pile!CE349)))</f>
        <v>4.4999999999999982</v>
      </c>
      <c r="CI349" s="528">
        <f>IF(Inputs!CE44="Yes",999999,IF(Pile!CF349/(Pile!CC349/1000)&gt;50,999999,IF(Pile!CF349&lt;2,999999,Pile!CF349)))</f>
        <v>4.1999999999999975</v>
      </c>
      <c r="CJ349" s="528">
        <f>IF(Inputs!$F$81/3&gt;MAX(Pile!$DH$242:$DH$321),999999,IF(Pile!CG349/(Pile!CC349/1000)&gt;50,999999,IF(Pile!CG349&lt;2,999999,IF(CG349&gt;25,999999,Pile!CG349))))</f>
        <v>4.4999999999999982</v>
      </c>
      <c r="CK349" s="530">
        <f t="shared" si="386"/>
        <v>702.64120966903056</v>
      </c>
      <c r="CL349" s="528">
        <f t="shared" si="387"/>
        <v>686.60966235776186</v>
      </c>
      <c r="CM349" s="529">
        <f t="shared" si="388"/>
        <v>702.64120966903056</v>
      </c>
      <c r="CN349" s="467">
        <f t="shared" si="389"/>
        <v>462.16799999999995</v>
      </c>
      <c r="CO349" s="522">
        <v>3</v>
      </c>
      <c r="CP349" s="479">
        <v>600</v>
      </c>
      <c r="CQ349" s="531">
        <f>Inputs!$D$39*3</f>
        <v>189</v>
      </c>
      <c r="CR349" s="528">
        <f>_xlfn.MINIFS($DE$70:$DE$149,$DH$70:$DH$149,"&gt;"&amp;Inputs!$J$88)</f>
        <v>4.1999999999999975</v>
      </c>
      <c r="CS349" s="528">
        <f>_xlfn.MINIFS($DE$156:$DE$235,$DH$156:$DH$235,"&gt;"&amp;Inputs!$J$88)</f>
        <v>3.5999999999999979</v>
      </c>
      <c r="CT349" s="529">
        <f>_xlfn.MINIFS($DE$242:$DE$321,$DH$242:$DH$321,"&gt;"&amp;Inputs!$J$88)</f>
        <v>3.8999999999999977</v>
      </c>
      <c r="CU349" s="530">
        <f>IF(Inputs!$F$88/3&gt;MAX(Pile!$DH$70:$DH$149),999999,IF(Pile!CR349/(Pile!CP349/1000)&gt;50,999999,IF(Pile!CR349&lt;2,999999,Pile!CR349)))</f>
        <v>4.1999999999999975</v>
      </c>
      <c r="CV349" s="528">
        <f>IF(Inputs!CR44="Yes",999999,IF(Pile!CS349/(Pile!CP349/1000)&gt;50,999999,IF(Pile!CS349&lt;2,999999,Pile!CS349)))</f>
        <v>3.5999999999999979</v>
      </c>
      <c r="CW349" s="528">
        <f>IF(Inputs!$F$88/3&gt;MAX(Pile!$DH$242:$DH$321),999999,IF(Pile!CT349/(Pile!CP349/1000)&gt;50,999999,IF(Pile!CT349&lt;2,999999,IF(CT349&gt;25,999999,Pile!CT349))))</f>
        <v>3.8999999999999977</v>
      </c>
      <c r="CX349" s="530">
        <f t="shared" si="390"/>
        <v>686.60966235776186</v>
      </c>
      <c r="CY349" s="528">
        <f t="shared" si="391"/>
        <v>654.54656773522447</v>
      </c>
      <c r="CZ349" s="529">
        <f t="shared" si="392"/>
        <v>670.57811504649317</v>
      </c>
      <c r="DA349" s="467">
        <f t="shared" si="393"/>
        <v>462.16799999999995</v>
      </c>
      <c r="DB349" s="522">
        <v>3</v>
      </c>
      <c r="DC349" s="479">
        <v>600</v>
      </c>
      <c r="DD349" s="531">
        <f>Inputs!$D$39*3</f>
        <v>189</v>
      </c>
      <c r="DE349" s="528">
        <f>_xlfn.MINIFS($DE$70:$DE$149,$DH$70:$DH$149,"&gt;"&amp;Inputs!$J$95)</f>
        <v>4.1999999999999975</v>
      </c>
      <c r="DF349" s="528">
        <f>_xlfn.MINIFS($DE$156:$DE$235,$DH$156:$DH$235,"&gt;"&amp;Inputs!$J$95)</f>
        <v>3.5999999999999979</v>
      </c>
      <c r="DG349" s="529">
        <f>_xlfn.MINIFS($DE$242:$DE$321,$DH$242:$DH$321,"&gt;"&amp;Inputs!$J$95)</f>
        <v>3.8999999999999977</v>
      </c>
      <c r="DH349" s="530">
        <f>IF(Inputs!$F$95/3&gt;MAX(Pile!$DH$70:$DH$149),999999,IF(Pile!DE349/(Pile!DC349/1000)&gt;50,999999,IF(Pile!DE349&lt;2,999999,Pile!DE349)))</f>
        <v>4.1999999999999975</v>
      </c>
      <c r="DI349" s="528">
        <f>IF(Inputs!DE44="Yes",999999,IF(Pile!DF349/(Pile!DC349/1000)&gt;50,999999,IF(Pile!DF349&lt;2,999999,Pile!DF349)))</f>
        <v>3.5999999999999979</v>
      </c>
      <c r="DJ349" s="528">
        <f>IF(Inputs!$F$95/3&gt;MAX(Pile!$DH$242:$DH$321),999999,IF(Pile!DG349/(Pile!DC349/1000)&gt;50,999999,IF(Pile!DG349&lt;2,999999,IF(DG349&gt;25,999999,Pile!DG349))))</f>
        <v>3.8999999999999977</v>
      </c>
      <c r="DK349" s="530">
        <f t="shared" si="394"/>
        <v>686.60966235776186</v>
      </c>
      <c r="DL349" s="528">
        <f t="shared" si="395"/>
        <v>654.54656773522447</v>
      </c>
      <c r="DM349" s="529">
        <f t="shared" si="396"/>
        <v>670.57811504649317</v>
      </c>
      <c r="DN349" s="467">
        <f t="shared" si="397"/>
        <v>462.16799999999995</v>
      </c>
      <c r="DO349" s="522">
        <v>3</v>
      </c>
      <c r="DP349" s="479">
        <v>600</v>
      </c>
      <c r="DQ349" s="531">
        <f>Inputs!$D$39*3</f>
        <v>189</v>
      </c>
      <c r="DR349" s="528">
        <f>_xlfn.MINIFS($DE$70:$DE$149,$DH$70:$DH$149,"&gt;"&amp;Inputs!$J$102)</f>
        <v>2.9999999999999982</v>
      </c>
      <c r="DS349" s="528">
        <f>_xlfn.MINIFS($DE$156:$DE$235,$DH$156:$DH$235,"&gt;"&amp;Inputs!$J$102)</f>
        <v>2.6999999999999984</v>
      </c>
      <c r="DT349" s="529">
        <f>_xlfn.MINIFS($DE$242:$DE$321,$DH$242:$DH$321,"&gt;"&amp;Inputs!$J$102)</f>
        <v>2.6999999999999984</v>
      </c>
      <c r="DU349" s="530">
        <f>IF(Inputs!$F$102/3&gt;MAX(Pile!$DH$70:$DH$149),999999,IF(Pile!DR349/(Pile!DP349/1000)&gt;50,999999,IF(Pile!DR349&lt;2,999999,Pile!DR349)))</f>
        <v>2.9999999999999982</v>
      </c>
      <c r="DV349" s="528">
        <f>IF(Inputs!DR44="Yes",999999,IF(Pile!DS349/(Pile!DP349/1000)&gt;50,999999,IF(Pile!DS349&lt;2,999999,Pile!DS349)))</f>
        <v>2.6999999999999984</v>
      </c>
      <c r="DW349" s="528">
        <f>IF(Inputs!$F$102/3&gt;MAX(Pile!$DH$242:$DH$321),999999,IF(Pile!DT349/(Pile!DP349/1000)&gt;50,999999,IF(Pile!DT349&lt;2,999999,IF(DT349&gt;25,999999,Pile!DT349))))</f>
        <v>2.6999999999999984</v>
      </c>
      <c r="DX349" s="530">
        <f t="shared" si="398"/>
        <v>622.48347311268708</v>
      </c>
      <c r="DY349" s="528">
        <f t="shared" si="399"/>
        <v>606.45192580141827</v>
      </c>
      <c r="DZ349" s="529">
        <f t="shared" si="400"/>
        <v>606.45192580141827</v>
      </c>
      <c r="EA349" s="467">
        <f t="shared" si="401"/>
        <v>462.16799999999995</v>
      </c>
      <c r="EB349" s="522">
        <v>3</v>
      </c>
      <c r="EC349" s="479">
        <v>600</v>
      </c>
      <c r="ED349" s="531">
        <f>Inputs!$D$39*3</f>
        <v>189</v>
      </c>
      <c r="EE349" s="528">
        <f>_xlfn.MINIFS($DE$70:$DE$149,$DH$70:$DH$149,"&gt;"&amp;Inputs!$J$109)</f>
        <v>2.9999999999999982</v>
      </c>
      <c r="EF349" s="528">
        <f>_xlfn.MINIFS($DE$156:$DE$235,$DH$156:$DH$235,"&gt;"&amp;Inputs!$J$109)</f>
        <v>2.6999999999999984</v>
      </c>
      <c r="EG349" s="529">
        <f>_xlfn.MINIFS($DE$242:$DE$321,$DH$242:$DH$321,"&gt;"&amp;Inputs!$J$109)</f>
        <v>2.9999999999999982</v>
      </c>
      <c r="EH349" s="530">
        <f>IF(Inputs!$F$109/3&gt;MAX(Pile!$DH$70:$DH$149),999999,IF(Pile!EE349/(Pile!EC349/1000)&gt;50,999999,IF(Pile!EE349&lt;2,999999,Pile!EE349)))</f>
        <v>2.9999999999999982</v>
      </c>
      <c r="EI349" s="528">
        <f>IF(Inputs!EE44="Yes",999999,IF(Pile!EF349/(Pile!EC349/1000)&gt;50,999999,IF(Pile!EF349&lt;2,999999,Pile!EF349)))</f>
        <v>2.6999999999999984</v>
      </c>
      <c r="EJ349" s="528">
        <f>IF(Inputs!$F$109/3&gt;MAX(Pile!$DH$242:$DH$321),999999,IF(Pile!EG349/(Pile!EC349/1000)&gt;50,999999,IF(Pile!EG349&lt;2,999999,IF(EG349&gt;25,999999,Pile!EG349))))</f>
        <v>2.9999999999999982</v>
      </c>
      <c r="EK349" s="530">
        <f t="shared" si="402"/>
        <v>622.48347311268708</v>
      </c>
      <c r="EL349" s="528">
        <f t="shared" si="403"/>
        <v>606.45192580141827</v>
      </c>
      <c r="EM349" s="529">
        <f t="shared" si="404"/>
        <v>622.48347311268708</v>
      </c>
      <c r="EN349" s="467">
        <f t="shared" si="405"/>
        <v>462.16799999999995</v>
      </c>
      <c r="EO349" s="522">
        <v>3</v>
      </c>
      <c r="EP349" s="479">
        <v>600</v>
      </c>
      <c r="EQ349" s="531">
        <f>Inputs!$D$39*3</f>
        <v>189</v>
      </c>
      <c r="ER349" s="528">
        <f>_xlfn.MINIFS($DE$70:$DE$149,$DH$70:$DH$149,"&gt;"&amp;Inputs!$J$116)</f>
        <v>0.29999999999999982</v>
      </c>
      <c r="ES349" s="528">
        <f>_xlfn.MINIFS($DE$156:$DE$235,$DH$156:$DH$235,"&gt;"&amp;Inputs!$J$116)</f>
        <v>0.29999999999999982</v>
      </c>
      <c r="ET349" s="529">
        <f>_xlfn.MINIFS($DE$242:$DE$321,$DH$242:$DH$321,"&gt;"&amp;Inputs!$J$116)</f>
        <v>0.29999999999999982</v>
      </c>
      <c r="EU349" s="530">
        <f>IF(Inputs!$F$116/3&gt;MAX(Pile!$DH$70:$DH$149),999999,IF(Pile!ER349/(Pile!EP349/1000)&gt;50,999999,IF(Pile!ER349&lt;2,999999,Pile!ER349)))</f>
        <v>999999</v>
      </c>
      <c r="EV349" s="528">
        <f>IF(Inputs!ER44="Yes",999999,IF(Inputs!$F$116&gt;MAX(Pile!$DG$156:$DG$235),999999,IF(Pile!ES349/(Pile!EP349/1000)&gt;50,999999,IF(Pile!ES349&lt;2,999999,Pile!ES349))))</f>
        <v>999999</v>
      </c>
      <c r="EW349" s="528">
        <f>IF(Inputs!$F$116/3&gt;MAX(Pile!$DH$242:$DH$321),999999,IF(Pile!ET349/(Pile!EP349/1000)&gt;50,999999,IF(Pile!ET349&lt;2,999999,IF(ET349&gt;25,999999,Pile!ET349))))</f>
        <v>999999</v>
      </c>
      <c r="EX349" s="532">
        <f t="shared" si="360"/>
        <v>53438437.599071346</v>
      </c>
      <c r="EY349" s="533">
        <f t="shared" si="361"/>
        <v>53438437.599071346</v>
      </c>
      <c r="EZ349" s="534">
        <f t="shared" si="362"/>
        <v>53438437.599071346</v>
      </c>
    </row>
    <row r="350" spans="1:156" ht="15">
      <c r="B350" s="517">
        <v>3</v>
      </c>
      <c r="C350" s="476">
        <v>750</v>
      </c>
      <c r="D350" s="527">
        <f>Inputs!$D$39*3</f>
        <v>189</v>
      </c>
      <c r="E350" s="528">
        <f>_xlfn.MINIFS($DE$70:$DE$149,$DI$70:$DI$149,"&gt;"&amp;Inputs!$J$39)</f>
        <v>3.8999999999999977</v>
      </c>
      <c r="F350" s="528">
        <f>_xlfn.MINIFS($DE$156:$DE$235,$DI$156:$DI$235,"&gt;"&amp;Inputs!$J$39)</f>
        <v>3.5999999999999979</v>
      </c>
      <c r="G350" s="529">
        <f>_xlfn.MINIFS($DE$242:$DE$321,$DI$242:$DI$321,"&gt;"&amp;Inputs!$J$39)</f>
        <v>3.8999999999999977</v>
      </c>
      <c r="H350" s="530">
        <f>IF(Inputs!$F$39/3&gt;MAX(Pile!$DI$70:$DI$149),999999,IF(Pile!E350/(Pile!C350/1000)&gt;50,999999,IF(Pile!E350&lt;2,999999,Pile!E350)))</f>
        <v>3.8999999999999977</v>
      </c>
      <c r="I350" s="528">
        <f>IF(Inputs!E45="Yes",999999,IF(Pile!F350/(Pile!C350/1000)&gt;50,999999,IF(Pile!F350&lt;2,999999,Pile!F350)))</f>
        <v>3.5999999999999979</v>
      </c>
      <c r="J350" s="528">
        <f>IF(Inputs!$F$39/3&gt;MAX(Pile!$DI$242:$DI$321),999999,IF(Pile!G350/(Pile!C350/1000)&gt;50,999999,IF(Pile!G350&lt;2,999999,IF(G350&gt;25,999999,Pile!G350))))</f>
        <v>3.8999999999999977</v>
      </c>
      <c r="K350" s="530">
        <f t="shared" si="363"/>
        <v>1198.8208047601456</v>
      </c>
      <c r="L350" s="528">
        <f t="shared" si="364"/>
        <v>1173.7715120862883</v>
      </c>
      <c r="M350" s="529">
        <f t="shared" si="365"/>
        <v>1198.8208047601456</v>
      </c>
      <c r="N350" s="466">
        <f>Inputs!$D$39*F461</f>
        <v>873.18000000000006</v>
      </c>
      <c r="O350" s="517">
        <v>3</v>
      </c>
      <c r="P350" s="476">
        <v>750</v>
      </c>
      <c r="Q350" s="527">
        <f>Inputs!$D$39*3</f>
        <v>189</v>
      </c>
      <c r="R350" s="528">
        <f>_xlfn.MINIFS($DE$70:$DE$149,$DI$70:$DI$149,"&gt;"&amp;Inputs!$J$46)</f>
        <v>3.8999999999999977</v>
      </c>
      <c r="S350" s="528">
        <f>_xlfn.MINIFS($DE$156:$DE$235,$DI$156:$DI$235,"&gt;"&amp;Inputs!$J$46)</f>
        <v>3.5999999999999979</v>
      </c>
      <c r="T350" s="529">
        <f>_xlfn.MINIFS($DE$242:$DE$321,$DI$242:$DI$321,"&gt;"&amp;Inputs!$J$46)</f>
        <v>3.8999999999999977</v>
      </c>
      <c r="U350" s="530">
        <f>IF(Inputs!$F$46/3&gt;MAX(Pile!$DI$70:$DI$149),999999,IF(Pile!R350/(Pile!P350/1000)&gt;50,999999,IF(Pile!R350&lt;2,999999,Pile!R350)))</f>
        <v>3.8999999999999977</v>
      </c>
      <c r="V350" s="528">
        <f>IF(Inputs!R45="Yes",999999,IF(Pile!S350/(Pile!P350/1000)&gt;50,999999,IF(Pile!S350&lt;2,999999,Pile!S350)))</f>
        <v>3.5999999999999979</v>
      </c>
      <c r="W350" s="528">
        <f>IF(Inputs!$F$46/3&gt;MAX(Pile!$DI$242:$DI$321),999999,IF(Pile!T350/(Pile!P350/1000)&gt;50,999999,IF(Pile!T350&lt;2,999999,IF(T350&gt;25,999999,Pile!T350))))</f>
        <v>3.8999999999999977</v>
      </c>
      <c r="X350" s="530">
        <f t="shared" si="366"/>
        <v>1198.8208047601456</v>
      </c>
      <c r="Y350" s="528">
        <f t="shared" si="367"/>
        <v>1173.7715120862883</v>
      </c>
      <c r="Z350" s="529">
        <f t="shared" si="368"/>
        <v>1198.8208047601456</v>
      </c>
      <c r="AA350" s="467">
        <f t="shared" si="369"/>
        <v>873.18000000000006</v>
      </c>
      <c r="AB350" s="522">
        <v>3</v>
      </c>
      <c r="AC350" s="479">
        <v>750</v>
      </c>
      <c r="AD350" s="531">
        <f>Inputs!$D$39*3</f>
        <v>189</v>
      </c>
      <c r="AE350" s="528">
        <f>_xlfn.MINIFS($DE$70:$DE$149,$DI$70:$DI$149,"&gt;"&amp;Inputs!$J$53)</f>
        <v>3.5999999999999979</v>
      </c>
      <c r="AF350" s="528">
        <f>_xlfn.MINIFS($DE$156:$DE$235,$DI$156:$DI$235,"&gt;"&amp;Inputs!$J$53)</f>
        <v>3.299999999999998</v>
      </c>
      <c r="AG350" s="529">
        <f>_xlfn.MINIFS($DE$242:$DE$321,$DI$242:$DI$321,"&gt;"&amp;Inputs!$J$53)</f>
        <v>3.5999999999999979</v>
      </c>
      <c r="AH350" s="530">
        <f>IF(Inputs!$F$53/3&gt;MAX(Pile!$DI$70:$DI$149),999999,IF(Pile!AE350/(Pile!AC350/1000)&gt;50,999999,IF(Pile!AE350&lt;2,999999,Pile!AE350)))</f>
        <v>3.5999999999999979</v>
      </c>
      <c r="AI350" s="528">
        <f>IF(Inputs!AE45="Yes",999999,IF(Pile!AF350/(Pile!AC350/1000)&gt;50,999999,IF(Pile!AF350&lt;2,999999,Pile!AF350)))</f>
        <v>3.299999999999998</v>
      </c>
      <c r="AJ350" s="528">
        <f>IF(Inputs!$F$53/3&gt;MAX(Pile!$DI$242:$DI$321),999999,IF(Pile!AG350/(Pile!AC350/1000)&gt;50,999999,IF(Pile!AG350&lt;2,999999,IF(AG350&gt;25,999999,Pile!AG350))))</f>
        <v>3.5999999999999979</v>
      </c>
      <c r="AK350" s="530">
        <f t="shared" si="370"/>
        <v>1173.7715120862883</v>
      </c>
      <c r="AL350" s="528">
        <f t="shared" si="371"/>
        <v>1148.7222194124311</v>
      </c>
      <c r="AM350" s="529">
        <f t="shared" si="372"/>
        <v>1173.7715120862883</v>
      </c>
      <c r="AN350" s="471">
        <f t="shared" si="373"/>
        <v>873.18000000000006</v>
      </c>
      <c r="AO350" s="522">
        <v>3</v>
      </c>
      <c r="AP350" s="479">
        <v>750</v>
      </c>
      <c r="AQ350" s="531">
        <f>Inputs!$D$39*3</f>
        <v>189</v>
      </c>
      <c r="AR350" s="528">
        <f>_xlfn.MINIFS($DE$70:$DE$149,$DI$70:$DI$149,"&gt;"&amp;Inputs!$J$60)</f>
        <v>3.299999999999998</v>
      </c>
      <c r="AS350" s="528">
        <f>_xlfn.MINIFS($DE$156:$DE$235,$DI$156:$DI$235,"&gt;"&amp;Inputs!$J$60)</f>
        <v>2.9999999999999982</v>
      </c>
      <c r="AT350" s="529">
        <f>_xlfn.MINIFS($DE$242:$DE$321,$DI$242:$DI$321,"&gt;"&amp;Inputs!$J$60)</f>
        <v>3.299999999999998</v>
      </c>
      <c r="AU350" s="530">
        <f>IF(Inputs!$F$60/3&gt;MAX(Pile!$DI$70:$DI$149),999999,IF(Pile!AR350/(Pile!AP350/1000)&gt;50,999999,IF(Pile!AR350&lt;2,999999,Pile!AR350)))</f>
        <v>3.299999999999998</v>
      </c>
      <c r="AV350" s="528">
        <f>IF(Inputs!AR45="Yes",999999,IF(Pile!AS350/(Pile!AP350/1000)&gt;50,999999,IF(Pile!AS350&lt;2,999999,Pile!AS350)))</f>
        <v>2.9999999999999982</v>
      </c>
      <c r="AW350" s="528">
        <f>IF(Inputs!$F$60/3&gt;MAX(Pile!$DI$242:$DI$321),999999,IF(Pile!AT350/(Pile!AP350/1000)&gt;50,999999,IF(Pile!AT350&lt;2,999999,IF(AT350&gt;25,999999,Pile!AT350))))</f>
        <v>3.299999999999998</v>
      </c>
      <c r="AX350" s="530">
        <f t="shared" si="374"/>
        <v>1148.7222194124311</v>
      </c>
      <c r="AY350" s="528">
        <f t="shared" si="375"/>
        <v>1123.6729267385736</v>
      </c>
      <c r="AZ350" s="529">
        <f t="shared" si="376"/>
        <v>1148.7222194124311</v>
      </c>
      <c r="BA350" s="467">
        <f t="shared" si="377"/>
        <v>873.18000000000006</v>
      </c>
      <c r="BB350" s="522">
        <v>3</v>
      </c>
      <c r="BC350" s="479">
        <v>750</v>
      </c>
      <c r="BD350" s="531">
        <f>Inputs!$D$39*3</f>
        <v>189</v>
      </c>
      <c r="BE350" s="528">
        <f>_xlfn.MINIFS($DE$70:$DE$149,$DI$70:$DI$149,"&gt;"&amp;Inputs!$J$67)</f>
        <v>3.5999999999999979</v>
      </c>
      <c r="BF350" s="528">
        <f>_xlfn.MINIFS($DE$156:$DE$235,$DI$156:$DI$235,"&gt;"&amp;Inputs!$J$67)</f>
        <v>3.299999999999998</v>
      </c>
      <c r="BG350" s="529">
        <f>_xlfn.MINIFS($DE$242:$DE$321,$DI$242:$DI$321,"&gt;"&amp;Inputs!$J$67)</f>
        <v>3.5999999999999979</v>
      </c>
      <c r="BH350" s="530">
        <f>IF(Inputs!$F$67/3&gt;MAX(Pile!$DI$70:$DI$149),999999,IF(Pile!BE350/(Pile!BC350/1000)&gt;50,999999,IF(Pile!BE350&lt;2,999999,Pile!BE350)))</f>
        <v>3.5999999999999979</v>
      </c>
      <c r="BI350" s="528">
        <f>IF(Inputs!BE45="Yes",999999,IF(Pile!BF350/(Pile!BC350/1000)&gt;50,999999,IF(Pile!BF350&lt;2,999999,Pile!BF350)))</f>
        <v>3.299999999999998</v>
      </c>
      <c r="BJ350" s="528">
        <f>IF(Inputs!$F$67/3&gt;MAX(Pile!$DI$242:$DI$321),999999,IF(Pile!BG350/(Pile!BC350/1000)&gt;50,999999,IF(Pile!BG350&lt;2,999999,IF(BG350&gt;25,999999,Pile!BG350))))</f>
        <v>3.5999999999999979</v>
      </c>
      <c r="BK350" s="530">
        <f t="shared" si="378"/>
        <v>1173.7715120862883</v>
      </c>
      <c r="BL350" s="528">
        <f t="shared" si="379"/>
        <v>1148.7222194124311</v>
      </c>
      <c r="BM350" s="529">
        <f t="shared" si="380"/>
        <v>1173.7715120862883</v>
      </c>
      <c r="BN350" s="467">
        <f t="shared" si="381"/>
        <v>873.18000000000006</v>
      </c>
      <c r="BO350" s="522">
        <v>3</v>
      </c>
      <c r="BP350" s="479">
        <v>750</v>
      </c>
      <c r="BQ350" s="531">
        <f>Inputs!$D$39*3</f>
        <v>189</v>
      </c>
      <c r="BR350" s="528">
        <f>_xlfn.MINIFS($DE$70:$DE$149,$DI$70:$DI$149,"&gt;"&amp;Inputs!$J$74)</f>
        <v>4.4999999999999982</v>
      </c>
      <c r="BS350" s="528">
        <f>_xlfn.MINIFS($DE$156:$DE$235,$DI$156:$DI$235,"&gt;"&amp;Inputs!$J$74)</f>
        <v>3.8999999999999977</v>
      </c>
      <c r="BT350" s="529">
        <f>_xlfn.MINIFS($DE$242:$DE$321,$DI$242:$DI$321,"&gt;"&amp;Inputs!$J$74)</f>
        <v>4.1999999999999975</v>
      </c>
      <c r="BU350" s="530">
        <f>IF(Inputs!$F$74/3&gt;MAX(Pile!$DI$70:$DI$149),999999,IF(Pile!BR350/(Pile!BP350/1000)&gt;50,999999,IF(Pile!BR350&lt;2,999999,Pile!BR350)))</f>
        <v>4.4999999999999982</v>
      </c>
      <c r="BV350" s="528">
        <f>IF(Inputs!BR45="Yes",999999,IF(Pile!BS350/(Pile!BP350/1000)&gt;50,999999,IF(Pile!BS350&lt;2,999999,Pile!BS350)))</f>
        <v>3.8999999999999977</v>
      </c>
      <c r="BW350" s="528">
        <f>IF(Inputs!$F$74/3&gt;MAX(Pile!$DI$242:$DI$321),999999,IF(Pile!BT350/(Pile!BP350/1000)&gt;50,999999,IF(Pile!BT350&lt;2,999999,IF(BT350&gt;25,999999,Pile!BT350))))</f>
        <v>4.1999999999999975</v>
      </c>
      <c r="BX350" s="530">
        <f t="shared" si="382"/>
        <v>1248.9193901078604</v>
      </c>
      <c r="BY350" s="528">
        <f t="shared" si="383"/>
        <v>1198.8208047601456</v>
      </c>
      <c r="BZ350" s="529">
        <f t="shared" si="384"/>
        <v>1223.8700974340029</v>
      </c>
      <c r="CA350" s="467">
        <f t="shared" si="385"/>
        <v>873.18000000000006</v>
      </c>
      <c r="CB350" s="522">
        <v>3</v>
      </c>
      <c r="CC350" s="479">
        <v>750</v>
      </c>
      <c r="CD350" s="531">
        <f>Inputs!$D$39*3</f>
        <v>189</v>
      </c>
      <c r="CE350" s="528">
        <f>_xlfn.MINIFS($DE$70:$DE$149,$DI$70:$DI$149,"&gt;"&amp;Inputs!$J$81)</f>
        <v>3.299999999999998</v>
      </c>
      <c r="CF350" s="528">
        <f>_xlfn.MINIFS($DE$156:$DE$235,$DI$156:$DI$235,"&gt;"&amp;Inputs!$J$81)</f>
        <v>2.9999999999999982</v>
      </c>
      <c r="CG350" s="529">
        <f>_xlfn.MINIFS($DE$242:$DE$321,$DI$242:$DI$321,"&gt;"&amp;Inputs!$J$81)</f>
        <v>3.299999999999998</v>
      </c>
      <c r="CH350" s="530">
        <f>IF(Inputs!$F$81/3&gt;MAX(Pile!$DI$70:$DI$149),999999,IF(Pile!CE350/(Pile!CC350/1000)&gt;50,999999,IF(Pile!CE350&lt;2,999999,Pile!CE350)))</f>
        <v>3.299999999999998</v>
      </c>
      <c r="CI350" s="528">
        <f>IF(Inputs!CE45="Yes",999999,IF(Pile!CF350/(Pile!CC350/1000)&gt;50,999999,IF(Pile!CF350&lt;2,999999,Pile!CF350)))</f>
        <v>2.9999999999999982</v>
      </c>
      <c r="CJ350" s="528">
        <f>IF(Inputs!$F$81/3&gt;MAX(Pile!$DI$242:$DI$321),999999,IF(Pile!CG350/(Pile!CC350/1000)&gt;50,999999,IF(Pile!CG350&lt;2,999999,IF(CG350&gt;25,999999,Pile!CG350))))</f>
        <v>3.299999999999998</v>
      </c>
      <c r="CK350" s="530">
        <f t="shared" si="386"/>
        <v>1148.7222194124311</v>
      </c>
      <c r="CL350" s="528">
        <f t="shared" si="387"/>
        <v>1123.6729267385736</v>
      </c>
      <c r="CM350" s="529">
        <f t="shared" si="388"/>
        <v>1148.7222194124311</v>
      </c>
      <c r="CN350" s="467">
        <f t="shared" si="389"/>
        <v>873.18000000000006</v>
      </c>
      <c r="CO350" s="522">
        <v>3</v>
      </c>
      <c r="CP350" s="479">
        <v>750</v>
      </c>
      <c r="CQ350" s="531">
        <f>Inputs!$D$39*3</f>
        <v>189</v>
      </c>
      <c r="CR350" s="528">
        <f>_xlfn.MINIFS($DE$70:$DE$149,$DI$70:$DI$149,"&gt;"&amp;Inputs!$J$88)</f>
        <v>2.9999999999999982</v>
      </c>
      <c r="CS350" s="528">
        <f>_xlfn.MINIFS($DE$156:$DE$235,$DI$156:$DI$235,"&gt;"&amp;Inputs!$J$88)</f>
        <v>2.6999999999999984</v>
      </c>
      <c r="CT350" s="529">
        <f>_xlfn.MINIFS($DE$242:$DE$321,$DI$242:$DI$321,"&gt;"&amp;Inputs!$J$88)</f>
        <v>2.9999999999999982</v>
      </c>
      <c r="CU350" s="530">
        <f>IF(Inputs!$F$88/3&gt;MAX(Pile!$DI$70:$DI$149),999999,IF(Pile!CR350/(Pile!CP350/1000)&gt;50,999999,IF(Pile!CR350&lt;2,999999,Pile!CR350)))</f>
        <v>2.9999999999999982</v>
      </c>
      <c r="CV350" s="528">
        <f>IF(Inputs!CR45="Yes",999999,IF(Pile!CS350/(Pile!CP350/1000)&gt;50,999999,IF(Pile!CS350&lt;2,999999,Pile!CS350)))</f>
        <v>2.6999999999999984</v>
      </c>
      <c r="CW350" s="528">
        <f>IF(Inputs!$F$88/3&gt;MAX(Pile!$DI$242:$DI$321),999999,IF(Pile!CT350/(Pile!CP350/1000)&gt;50,999999,IF(Pile!CT350&lt;2,999999,IF(CT350&gt;25,999999,Pile!CT350))))</f>
        <v>2.9999999999999982</v>
      </c>
      <c r="CX350" s="530">
        <f t="shared" si="390"/>
        <v>1123.6729267385736</v>
      </c>
      <c r="CY350" s="528">
        <f t="shared" si="391"/>
        <v>1098.6236340647163</v>
      </c>
      <c r="CZ350" s="529">
        <f t="shared" si="392"/>
        <v>1123.6729267385736</v>
      </c>
      <c r="DA350" s="467">
        <f t="shared" si="393"/>
        <v>873.18000000000006</v>
      </c>
      <c r="DB350" s="522">
        <v>3</v>
      </c>
      <c r="DC350" s="479">
        <v>750</v>
      </c>
      <c r="DD350" s="531">
        <f>Inputs!$D$39*3</f>
        <v>189</v>
      </c>
      <c r="DE350" s="528">
        <f>_xlfn.MINIFS($DE$70:$DE$149,$DI$70:$DI$149,"&gt;"&amp;Inputs!$J$95)</f>
        <v>2.9999999999999982</v>
      </c>
      <c r="DF350" s="528">
        <f>_xlfn.MINIFS($DE$156:$DE$235,$DI$156:$DI$235,"&gt;"&amp;Inputs!$J$95)</f>
        <v>2.6999999999999984</v>
      </c>
      <c r="DG350" s="529">
        <f>_xlfn.MINIFS($DE$242:$DE$321,$DI$242:$DI$321,"&gt;"&amp;Inputs!$J$95)</f>
        <v>2.9999999999999982</v>
      </c>
      <c r="DH350" s="530">
        <f>IF(Inputs!$F$95/3&gt;MAX(Pile!$DI$70:$DI$149),999999,IF(Pile!DE350/(Pile!DC350/1000)&gt;50,999999,IF(Pile!DE350&lt;2,999999,Pile!DE350)))</f>
        <v>2.9999999999999982</v>
      </c>
      <c r="DI350" s="528">
        <f>IF(Inputs!DE45="Yes",999999,IF(Pile!DF350/(Pile!DC350/1000)&gt;50,999999,IF(Pile!DF350&lt;2,999999,Pile!DF350)))</f>
        <v>2.6999999999999984</v>
      </c>
      <c r="DJ350" s="528">
        <f>IF(Inputs!$F$95/3&gt;MAX(Pile!$DI$242:$DI$321),999999,IF(Pile!DG350/(Pile!DC350/1000)&gt;50,999999,IF(Pile!DG350&lt;2,999999,IF(DG350&gt;25,999999,Pile!DG350))))</f>
        <v>2.9999999999999982</v>
      </c>
      <c r="DK350" s="530">
        <f t="shared" si="394"/>
        <v>1123.6729267385736</v>
      </c>
      <c r="DL350" s="528">
        <f t="shared" si="395"/>
        <v>1098.6236340647163</v>
      </c>
      <c r="DM350" s="529">
        <f t="shared" si="396"/>
        <v>1123.6729267385736</v>
      </c>
      <c r="DN350" s="467">
        <f t="shared" si="397"/>
        <v>873.18000000000006</v>
      </c>
      <c r="DO350" s="522">
        <v>3</v>
      </c>
      <c r="DP350" s="479">
        <v>750</v>
      </c>
      <c r="DQ350" s="531">
        <f>Inputs!$D$39*3</f>
        <v>189</v>
      </c>
      <c r="DR350" s="528">
        <f>_xlfn.MINIFS($DE$70:$DE$149,$DI$70:$DI$149,"&gt;"&amp;Inputs!$J$102)</f>
        <v>2.0999999999999988</v>
      </c>
      <c r="DS350" s="528">
        <f>_xlfn.MINIFS($DE$156:$DE$235,$DI$156:$DI$235,"&gt;"&amp;Inputs!$J$102)</f>
        <v>1.7999999999999989</v>
      </c>
      <c r="DT350" s="529">
        <f>_xlfn.MINIFS($DE$242:$DE$321,$DI$242:$DI$321,"&gt;"&amp;Inputs!$J$102)</f>
        <v>2.0999999999999988</v>
      </c>
      <c r="DU350" s="530">
        <f>IF(Inputs!$F$102/3&gt;MAX(Pile!$DI$70:$DI$149),999999,IF(Pile!DR350/(Pile!DP350/1000)&gt;50,999999,IF(Pile!DR350&lt;2,999999,Pile!DR350)))</f>
        <v>2.0999999999999988</v>
      </c>
      <c r="DV350" s="528">
        <f>IF(Inputs!DR45="Yes",999999,IF(Pile!DS350/(Pile!DP350/1000)&gt;50,999999,IF(Pile!DS350&lt;2,999999,Pile!DS350)))</f>
        <v>999999</v>
      </c>
      <c r="DW350" s="528">
        <f>IF(Inputs!$F$102/3&gt;MAX(Pile!$DI$242:$DI$321),999999,IF(Pile!DT350/(Pile!DP350/1000)&gt;50,999999,IF(Pile!DT350&lt;2,999999,IF(DT350&gt;25,999999,Pile!DT350))))</f>
        <v>2.0999999999999988</v>
      </c>
      <c r="DX350" s="530">
        <f t="shared" si="398"/>
        <v>1048.5250487170015</v>
      </c>
      <c r="DY350" s="528">
        <f t="shared" si="399"/>
        <v>83498431.928548977</v>
      </c>
      <c r="DZ350" s="529">
        <f t="shared" si="400"/>
        <v>1048.5250487170015</v>
      </c>
      <c r="EA350" s="467">
        <f t="shared" si="401"/>
        <v>873.18000000000006</v>
      </c>
      <c r="EB350" s="522">
        <v>3</v>
      </c>
      <c r="EC350" s="479">
        <v>750</v>
      </c>
      <c r="ED350" s="531">
        <f>Inputs!$D$39*3</f>
        <v>189</v>
      </c>
      <c r="EE350" s="528">
        <f>_xlfn.MINIFS($DE$70:$DE$149,$DI$70:$DI$149,"&gt;"&amp;Inputs!$J$109)</f>
        <v>2.0999999999999988</v>
      </c>
      <c r="EF350" s="528">
        <f>_xlfn.MINIFS($DE$156:$DE$235,$DI$156:$DI$235,"&gt;"&amp;Inputs!$J$109)</f>
        <v>1.7999999999999989</v>
      </c>
      <c r="EG350" s="529">
        <f>_xlfn.MINIFS($DE$242:$DE$321,$DI$242:$DI$321,"&gt;"&amp;Inputs!$J$109)</f>
        <v>2.0999999999999988</v>
      </c>
      <c r="EH350" s="530">
        <f>IF(Inputs!$F$109/3&gt;MAX(Pile!$DI$70:$DI$149),999999,IF(Pile!EE350/(Pile!EC350/1000)&gt;50,999999,IF(Pile!EE350&lt;2,999999,Pile!EE350)))</f>
        <v>2.0999999999999988</v>
      </c>
      <c r="EI350" s="528">
        <f>IF(Inputs!EE45="Yes",999999,IF(Pile!EF350/(Pile!EC350/1000)&gt;50,999999,IF(Pile!EF350&lt;2,999999,Pile!EF350)))</f>
        <v>999999</v>
      </c>
      <c r="EJ350" s="528">
        <f>IF(Inputs!$F$109/3&gt;MAX(Pile!$DI$242:$DI$321),999999,IF(Pile!EG350/(Pile!EC350/1000)&gt;50,999999,IF(Pile!EG350&lt;2,999999,IF(EG350&gt;25,999999,Pile!EG350))))</f>
        <v>2.0999999999999988</v>
      </c>
      <c r="EK350" s="530">
        <f t="shared" si="402"/>
        <v>1048.5250487170015</v>
      </c>
      <c r="EL350" s="528">
        <f t="shared" si="403"/>
        <v>83498431.928548977</v>
      </c>
      <c r="EM350" s="529">
        <f t="shared" si="404"/>
        <v>1048.5250487170015</v>
      </c>
      <c r="EN350" s="467">
        <f t="shared" si="405"/>
        <v>873.18000000000006</v>
      </c>
      <c r="EO350" s="522">
        <v>3</v>
      </c>
      <c r="EP350" s="479">
        <v>750</v>
      </c>
      <c r="EQ350" s="531">
        <f>Inputs!$D$39*3</f>
        <v>189</v>
      </c>
      <c r="ER350" s="528">
        <f>_xlfn.MINIFS($DE$70:$DE$149,$DI$70:$DI$149,"&gt;"&amp;Inputs!$J$116)</f>
        <v>0.29999999999999982</v>
      </c>
      <c r="ES350" s="528">
        <f>_xlfn.MINIFS($DE$156:$DE$235,$DI$156:$DI$235,"&gt;"&amp;Inputs!$J$116)</f>
        <v>0.29999999999999982</v>
      </c>
      <c r="ET350" s="529">
        <f>_xlfn.MINIFS($DE$242:$DE$321,$DI$242:$DI$321,"&gt;"&amp;Inputs!$J$116)</f>
        <v>0.29999999999999982</v>
      </c>
      <c r="EU350" s="530">
        <f>IF(Inputs!$F$116/3&gt;MAX(Pile!$DI$70:$DI$149),999999,IF(Pile!ER350/(Pile!EP350/1000)&gt;50,999999,IF(Pile!ER350&lt;2,999999,Pile!ER350)))</f>
        <v>999999</v>
      </c>
      <c r="EV350" s="528">
        <f>IF(Inputs!ER45="Yes",999999,IF(Inputs!$F$116&gt;MAX(Pile!$DG$156:$DG$235),999999,IF(Pile!ES350/(Pile!EP350/1000)&gt;50,999999,IF(Pile!ES350&lt;2,999999,Pile!ES350))))</f>
        <v>999999</v>
      </c>
      <c r="EW350" s="528">
        <f>IF(Inputs!$F$116/3&gt;MAX(Pile!$DI$242:$DI$321),999999,IF(Pile!ET350/(Pile!EP350/1000)&gt;50,999999,IF(Pile!ET350&lt;2,999999,IF(ET350&gt;25,999999,Pile!ET350))))</f>
        <v>999999</v>
      </c>
      <c r="EX350" s="532">
        <f t="shared" si="360"/>
        <v>83497558.74854897</v>
      </c>
      <c r="EY350" s="533">
        <f t="shared" si="361"/>
        <v>83497558.74854897</v>
      </c>
      <c r="EZ350" s="534">
        <f t="shared" si="362"/>
        <v>83497558.74854897</v>
      </c>
    </row>
    <row r="351" spans="1:156" ht="15">
      <c r="B351" s="517">
        <v>3</v>
      </c>
      <c r="C351" s="476">
        <v>900</v>
      </c>
      <c r="D351" s="527">
        <f>Inputs!$D$39*3</f>
        <v>189</v>
      </c>
      <c r="E351" s="528">
        <f>_xlfn.MINIFS($DE$70:$DE$149,$DJ$70:$DJ$149,"&gt;"&amp;Inputs!$J$39)</f>
        <v>2.9999999999999982</v>
      </c>
      <c r="F351" s="528">
        <f>_xlfn.MINIFS($DE$156:$DE$235,$DJ$156:$DJ$235,"&gt;"&amp;Inputs!$J$39)</f>
        <v>0</v>
      </c>
      <c r="G351" s="529">
        <f>_xlfn.MINIFS($DE$242:$DE$321,$DJ$242:$DJ$321,"&gt;"&amp;Inputs!$J$39)</f>
        <v>2.9999999999999982</v>
      </c>
      <c r="H351" s="530">
        <f>IF(Inputs!$F$39/3&gt;MAX(Pile!$DJ$70:$DJ$149),999999,IF(Pile!E351/(Pile!C351/1000)&gt;50,999999,IF(Pile!E351&lt;2,999999,Pile!E351)))</f>
        <v>2.9999999999999982</v>
      </c>
      <c r="I351" s="528">
        <f>IF(Inputs!E46="Yes",999999,IF(Pile!F351/(Pile!C351/1000)&gt;50,999999,IF(Pile!F351&lt;2,999999,Pile!F351)))</f>
        <v>999999</v>
      </c>
      <c r="J351" s="528">
        <f>IF(Inputs!$F$39/3&gt;MAX(Pile!$DJ$242:$DJ$321),999999,IF(Pile!G351/(Pile!C351/1000)&gt;50,999999,IF(Pile!G351&lt;2,999999,IF(G351&gt;25,999999,Pile!G351))))</f>
        <v>2.9999999999999982</v>
      </c>
      <c r="K351" s="530">
        <f t="shared" si="363"/>
        <v>1829.869814503546</v>
      </c>
      <c r="L351" s="528">
        <f t="shared" si="364"/>
        <v>120237953.75791053</v>
      </c>
      <c r="M351" s="529">
        <f t="shared" si="365"/>
        <v>1829.869814503546</v>
      </c>
      <c r="N351" s="466">
        <f>Inputs!$D$39*F462</f>
        <v>1469.16</v>
      </c>
      <c r="O351" s="517">
        <v>3</v>
      </c>
      <c r="P351" s="476">
        <v>900</v>
      </c>
      <c r="Q351" s="527">
        <f>Inputs!$D$39*3</f>
        <v>189</v>
      </c>
      <c r="R351" s="528">
        <f>_xlfn.MINIFS($DE$70:$DE$149,$DJ$70:$DJ$149,"&gt;"&amp;Inputs!$J$46)</f>
        <v>2.9999999999999982</v>
      </c>
      <c r="S351" s="528">
        <f>_xlfn.MINIFS($DE$156:$DE$235,$DJ$156:$DJ$235,"&gt;"&amp;Inputs!$J$46)</f>
        <v>0</v>
      </c>
      <c r="T351" s="529">
        <f>_xlfn.MINIFS($DE$242:$DE$321,$DJ$242:$DJ$321,"&gt;"&amp;Inputs!$J$46)</f>
        <v>2.9999999999999982</v>
      </c>
      <c r="U351" s="530">
        <f>IF(Inputs!$F$46/3&gt;MAX(Pile!$DJ$70:$DJ$149),999999,IF(Pile!R351/(Pile!P351/1000)&gt;50,999999,IF(Pile!R351&lt;2,999999,Pile!R351)))</f>
        <v>2.9999999999999982</v>
      </c>
      <c r="V351" s="528">
        <f>IF(Inputs!R46="Yes",999999,IF(Pile!S351/(Pile!P351/1000)&gt;50,999999,IF(Pile!S351&lt;2,999999,Pile!S351)))</f>
        <v>999999</v>
      </c>
      <c r="W351" s="528">
        <f>IF(Inputs!$F$46/3&gt;MAX(Pile!$DJ$242:$DJ$321),999999,IF(Pile!T351/(Pile!P351/1000)&gt;50,999999,IF(Pile!T351&lt;2,999999,IF(T351&gt;25,999999,Pile!T351))))</f>
        <v>2.9999999999999982</v>
      </c>
      <c r="X351" s="530">
        <f t="shared" si="366"/>
        <v>1829.869814503546</v>
      </c>
      <c r="Y351" s="528">
        <f t="shared" si="367"/>
        <v>120237953.75791053</v>
      </c>
      <c r="Z351" s="529">
        <f t="shared" si="368"/>
        <v>1829.869814503546</v>
      </c>
      <c r="AA351" s="467">
        <f t="shared" si="369"/>
        <v>1469.16</v>
      </c>
      <c r="AB351" s="522">
        <v>3</v>
      </c>
      <c r="AC351" s="479">
        <v>900</v>
      </c>
      <c r="AD351" s="531">
        <f>Inputs!$D$39*3</f>
        <v>189</v>
      </c>
      <c r="AE351" s="528">
        <f>_xlfn.MINIFS($DE$70:$DE$149,$DJ$70:$DJ$149,"&gt;"&amp;Inputs!$J$53)</f>
        <v>2.6999999999999984</v>
      </c>
      <c r="AF351" s="528">
        <f>_xlfn.MINIFS($DE$156:$DE$235,$DJ$156:$DJ$235,"&gt;"&amp;Inputs!$J$53)</f>
        <v>0</v>
      </c>
      <c r="AG351" s="529">
        <f>_xlfn.MINIFS($DE$242:$DE$321,$DJ$242:$DJ$321,"&gt;"&amp;Inputs!$J$53)</f>
        <v>2.6999999999999984</v>
      </c>
      <c r="AH351" s="530">
        <f>IF(Inputs!$F$53/3&gt;MAX(Pile!$DJ$70:$DJ$149),999999,IF(Pile!AE351/(Pile!AC351/1000)&gt;50,999999,IF(Pile!AE351&lt;2,999999,Pile!AE351)))</f>
        <v>2.6999999999999984</v>
      </c>
      <c r="AI351" s="528">
        <f>IF(Inputs!AE46="Yes",999999,IF(Pile!AF351/(Pile!AC351/1000)&gt;50,999999,IF(Pile!AF351&lt;2,999999,Pile!AF351)))</f>
        <v>999999</v>
      </c>
      <c r="AJ351" s="528">
        <f>IF(Inputs!$F$53/3&gt;MAX(Pile!$DJ$242:$DJ$321),999999,IF(Pile!AG351/(Pile!AC351/1000)&gt;50,999999,IF(Pile!AG351&lt;2,999999,IF(AG351&gt;25,999999,Pile!AG351))))</f>
        <v>2.6999999999999984</v>
      </c>
      <c r="AK351" s="530">
        <f t="shared" si="370"/>
        <v>1793.7988330531914</v>
      </c>
      <c r="AL351" s="528">
        <f t="shared" si="371"/>
        <v>120237953.75791053</v>
      </c>
      <c r="AM351" s="529">
        <f t="shared" si="372"/>
        <v>1793.7988330531914</v>
      </c>
      <c r="AN351" s="471">
        <f t="shared" si="373"/>
        <v>1469.16</v>
      </c>
      <c r="AO351" s="522">
        <v>3</v>
      </c>
      <c r="AP351" s="479">
        <v>900</v>
      </c>
      <c r="AQ351" s="531">
        <f>Inputs!$D$39*3</f>
        <v>189</v>
      </c>
      <c r="AR351" s="528">
        <f>_xlfn.MINIFS($DE$70:$DE$149,$DJ$70:$DJ$149,"&gt;"&amp;Inputs!$J$60)</f>
        <v>2.6999999999999984</v>
      </c>
      <c r="AS351" s="528">
        <f>_xlfn.MINIFS($DE$156:$DE$235,$DJ$156:$DJ$235,"&gt;"&amp;Inputs!$J$60)</f>
        <v>0</v>
      </c>
      <c r="AT351" s="529">
        <f>_xlfn.MINIFS($DE$242:$DE$321,$DJ$242:$DJ$321,"&gt;"&amp;Inputs!$J$60)</f>
        <v>2.3999999999999986</v>
      </c>
      <c r="AU351" s="530">
        <f>IF(Inputs!$F$60/3&gt;MAX(Pile!$DJ$70:$DJ$149),999999,IF(Pile!AR351/(Pile!AP351/1000)&gt;50,999999,IF(Pile!AR351&lt;2,999999,Pile!AR351)))</f>
        <v>2.6999999999999984</v>
      </c>
      <c r="AV351" s="528">
        <f>IF(Inputs!AR46="Yes",999999,IF(Pile!AS351/(Pile!AP351/1000)&gt;50,999999,IF(Pile!AS351&lt;2,999999,Pile!AS351)))</f>
        <v>999999</v>
      </c>
      <c r="AW351" s="528">
        <f>IF(Inputs!$F$60/3&gt;MAX(Pile!$DJ$242:$DJ$321),999999,IF(Pile!AT351/(Pile!AP351/1000)&gt;50,999999,IF(Pile!AT351&lt;2,999999,IF(AT351&gt;25,999999,Pile!AT351))))</f>
        <v>2.3999999999999986</v>
      </c>
      <c r="AX351" s="530">
        <f t="shared" si="374"/>
        <v>1793.7988330531914</v>
      </c>
      <c r="AY351" s="528">
        <f t="shared" si="375"/>
        <v>120237953.75791053</v>
      </c>
      <c r="AZ351" s="529">
        <f t="shared" si="376"/>
        <v>1757.7278516028368</v>
      </c>
      <c r="BA351" s="467">
        <f t="shared" si="377"/>
        <v>1469.16</v>
      </c>
      <c r="BB351" s="522">
        <v>3</v>
      </c>
      <c r="BC351" s="479">
        <v>900</v>
      </c>
      <c r="BD351" s="531">
        <f>Inputs!$D$39*3</f>
        <v>189</v>
      </c>
      <c r="BE351" s="528">
        <f>_xlfn.MINIFS($DE$70:$DE$149,$DJ$70:$DJ$149,"&gt;"&amp;Inputs!$J$67)</f>
        <v>2.9999999999999982</v>
      </c>
      <c r="BF351" s="528">
        <f>_xlfn.MINIFS($DE$156:$DE$235,$DJ$156:$DJ$235,"&gt;"&amp;Inputs!$J$67)</f>
        <v>0</v>
      </c>
      <c r="BG351" s="529">
        <f>_xlfn.MINIFS($DE$242:$DE$321,$DJ$242:$DJ$321,"&gt;"&amp;Inputs!$J$67)</f>
        <v>2.6999999999999984</v>
      </c>
      <c r="BH351" s="530">
        <f>IF(Inputs!$F$67/3&gt;MAX(Pile!$DJ$70:$DJ$149),999999,IF(Pile!BE351/(Pile!BC351/1000)&gt;50,999999,IF(Pile!BE351&lt;2,999999,Pile!BE351)))</f>
        <v>2.9999999999999982</v>
      </c>
      <c r="BI351" s="528">
        <f>IF(Inputs!BE46="Yes",999999,IF(Pile!BF351/(Pile!BC351/1000)&gt;50,999999,IF(Pile!BF351&lt;2,999999,Pile!BF351)))</f>
        <v>999999</v>
      </c>
      <c r="BJ351" s="528">
        <f>IF(Inputs!$F$67/3&gt;MAX(Pile!$DJ$242:$DJ$321),999999,IF(Pile!BG351/(Pile!BC351/1000)&gt;50,999999,IF(Pile!BG351&lt;2,999999,IF(BG351&gt;25,999999,Pile!BG351))))</f>
        <v>2.6999999999999984</v>
      </c>
      <c r="BK351" s="530">
        <f t="shared" si="378"/>
        <v>1829.869814503546</v>
      </c>
      <c r="BL351" s="528">
        <f t="shared" si="379"/>
        <v>120237953.75791053</v>
      </c>
      <c r="BM351" s="529">
        <f t="shared" si="380"/>
        <v>1793.7988330531914</v>
      </c>
      <c r="BN351" s="467">
        <f t="shared" si="381"/>
        <v>1469.16</v>
      </c>
      <c r="BO351" s="522">
        <v>3</v>
      </c>
      <c r="BP351" s="479">
        <v>900</v>
      </c>
      <c r="BQ351" s="531">
        <f>Inputs!$D$39*3</f>
        <v>189</v>
      </c>
      <c r="BR351" s="528">
        <f>_xlfn.MINIFS($DE$70:$DE$149,$DJ$70:$DJ$149,"&gt;"&amp;Inputs!$J$74)</f>
        <v>3.299999999999998</v>
      </c>
      <c r="BS351" s="528">
        <f>_xlfn.MINIFS($DE$156:$DE$235,$DJ$156:$DJ$235,"&gt;"&amp;Inputs!$J$74)</f>
        <v>0</v>
      </c>
      <c r="BT351" s="529">
        <f>_xlfn.MINIFS($DE$242:$DE$321,$DJ$242:$DJ$321,"&gt;"&amp;Inputs!$J$74)</f>
        <v>3.299999999999998</v>
      </c>
      <c r="BU351" s="530">
        <f>IF(Inputs!$F$74/3&gt;MAX(Pile!$DJ$70:$DJ$149),999999,IF(Pile!BR351/(Pile!BP351/1000)&gt;50,999999,IF(Pile!BR351&lt;2,999999,Pile!BR351)))</f>
        <v>3.299999999999998</v>
      </c>
      <c r="BV351" s="528">
        <f>IF(Inputs!BR46="Yes",999999,IF(Pile!BS351/(Pile!BP351/1000)&gt;50,999999,IF(Pile!BS351&lt;2,999999,Pile!BS351)))</f>
        <v>999999</v>
      </c>
      <c r="BW351" s="528">
        <f>IF(Inputs!$F$74/3&gt;MAX(Pile!$DJ$242:$DJ$321),999999,IF(Pile!BT351/(Pile!BP351/1000)&gt;50,999999,IF(Pile!BT351&lt;2,999999,IF(BT351&gt;25,999999,Pile!BT351))))</f>
        <v>3.299999999999998</v>
      </c>
      <c r="BX351" s="530">
        <f t="shared" si="382"/>
        <v>1865.9407959539005</v>
      </c>
      <c r="BY351" s="528">
        <f t="shared" si="383"/>
        <v>120237953.75791053</v>
      </c>
      <c r="BZ351" s="529">
        <f t="shared" si="384"/>
        <v>1865.9407959539005</v>
      </c>
      <c r="CA351" s="467">
        <f t="shared" si="385"/>
        <v>1469.16</v>
      </c>
      <c r="CB351" s="522">
        <v>3</v>
      </c>
      <c r="CC351" s="479">
        <v>900</v>
      </c>
      <c r="CD351" s="531">
        <f>Inputs!$D$39*3</f>
        <v>189</v>
      </c>
      <c r="CE351" s="528">
        <f>_xlfn.MINIFS($DE$70:$DE$149,$DJ$70:$DJ$149,"&gt;"&amp;Inputs!$J$81)</f>
        <v>2.6999999999999984</v>
      </c>
      <c r="CF351" s="528">
        <f>_xlfn.MINIFS($DE$156:$DE$235,$DJ$156:$DJ$235,"&gt;"&amp;Inputs!$J$81)</f>
        <v>0</v>
      </c>
      <c r="CG351" s="529">
        <f>_xlfn.MINIFS($DE$242:$DE$321,$DJ$242:$DJ$321,"&gt;"&amp;Inputs!$J$81)</f>
        <v>2.3999999999999986</v>
      </c>
      <c r="CH351" s="530">
        <f>IF(Inputs!$F$81/3&gt;MAX(Pile!$DJ$70:$DJ$149),999999,IF(Pile!CE351/(Pile!CC351/1000)&gt;50,999999,IF(Pile!CE351&lt;2,999999,Pile!CE351)))</f>
        <v>2.6999999999999984</v>
      </c>
      <c r="CI351" s="528">
        <f>IF(Inputs!CE46="Yes",999999,IF(Pile!CF351/(Pile!CC351/1000)&gt;50,999999,IF(Pile!CF351&lt;2,999999,Pile!CF351)))</f>
        <v>999999</v>
      </c>
      <c r="CJ351" s="528">
        <f>IF(Inputs!$F$81/3&gt;MAX(Pile!$DJ$242:$DJ$321),999999,IF(Pile!CG351/(Pile!CC351/1000)&gt;50,999999,IF(Pile!CG351&lt;2,999999,IF(CG351&gt;25,999999,Pile!CG351))))</f>
        <v>2.3999999999999986</v>
      </c>
      <c r="CK351" s="530">
        <f t="shared" si="386"/>
        <v>1793.7988330531914</v>
      </c>
      <c r="CL351" s="528">
        <f t="shared" si="387"/>
        <v>120237953.75791053</v>
      </c>
      <c r="CM351" s="529">
        <f t="shared" si="388"/>
        <v>1757.7278516028368</v>
      </c>
      <c r="CN351" s="467">
        <f t="shared" si="389"/>
        <v>1469.16</v>
      </c>
      <c r="CO351" s="522">
        <v>3</v>
      </c>
      <c r="CP351" s="479">
        <v>900</v>
      </c>
      <c r="CQ351" s="531">
        <f>Inputs!$D$39*3</f>
        <v>189</v>
      </c>
      <c r="CR351" s="528">
        <f>_xlfn.MINIFS($DE$70:$DE$149,$DJ$70:$DJ$149,"&gt;"&amp;Inputs!$J$88)</f>
        <v>2.3999999999999986</v>
      </c>
      <c r="CS351" s="528">
        <f>_xlfn.MINIFS($DE$156:$DE$235,$DJ$156:$DJ$235,"&gt;"&amp;Inputs!$J$88)</f>
        <v>0</v>
      </c>
      <c r="CT351" s="529">
        <f>_xlfn.MINIFS($DE$242:$DE$321,$DJ$242:$DJ$321,"&gt;"&amp;Inputs!$J$88)</f>
        <v>2.0999999999999988</v>
      </c>
      <c r="CU351" s="530">
        <f>IF(Inputs!$F$88/3&gt;MAX(Pile!$DJ$70:$DJ$149),999999,IF(Pile!CR351/(Pile!CP351/1000)&gt;50,999999,IF(Pile!CR351&lt;2,999999,Pile!CR351)))</f>
        <v>2.3999999999999986</v>
      </c>
      <c r="CV351" s="528">
        <f>IF(Inputs!CR46="Yes",999999,IF(Pile!CS351/(Pile!CP351/1000)&gt;50,999999,IF(Pile!CS351&lt;2,999999,Pile!CS351)))</f>
        <v>999999</v>
      </c>
      <c r="CW351" s="528">
        <f>IF(Inputs!$F$88/3&gt;MAX(Pile!$DJ$242:$DJ$321),999999,IF(Pile!CT351/(Pile!CP351/1000)&gt;50,999999,IF(Pile!CT351&lt;2,999999,IF(CT351&gt;25,999999,Pile!CT351))))</f>
        <v>2.0999999999999988</v>
      </c>
      <c r="CX351" s="530">
        <f t="shared" si="390"/>
        <v>1757.7278516028368</v>
      </c>
      <c r="CY351" s="528">
        <f t="shared" si="391"/>
        <v>120237953.75791053</v>
      </c>
      <c r="CZ351" s="529">
        <f t="shared" si="392"/>
        <v>1721.6568701524823</v>
      </c>
      <c r="DA351" s="467">
        <f t="shared" si="393"/>
        <v>1469.16</v>
      </c>
      <c r="DB351" s="522">
        <v>3</v>
      </c>
      <c r="DC351" s="479">
        <v>900</v>
      </c>
      <c r="DD351" s="531">
        <f>Inputs!$D$39*3</f>
        <v>189</v>
      </c>
      <c r="DE351" s="528">
        <f>_xlfn.MINIFS($DE$70:$DE$149,$DJ$70:$DJ$149,"&gt;"&amp;Inputs!$J$95)</f>
        <v>2.3999999999999986</v>
      </c>
      <c r="DF351" s="528">
        <f>_xlfn.MINIFS($DE$156:$DE$235,$DJ$156:$DJ$235,"&gt;"&amp;Inputs!$J$95)</f>
        <v>0</v>
      </c>
      <c r="DG351" s="529">
        <f>_xlfn.MINIFS($DE$242:$DE$321,$DJ$242:$DJ$321,"&gt;"&amp;Inputs!$J$95)</f>
        <v>2.0999999999999988</v>
      </c>
      <c r="DH351" s="530">
        <f>IF(Inputs!$F$95/3&gt;MAX(Pile!$DJ$70:$DJ$149),999999,IF(Pile!DE351/(Pile!DC351/1000)&gt;50,999999,IF(Pile!DE351&lt;2,999999,Pile!DE351)))</f>
        <v>2.3999999999999986</v>
      </c>
      <c r="DI351" s="528">
        <f>IF(Inputs!DE46="Yes",999999,IF(Pile!DF351/(Pile!DC351/1000)&gt;50,999999,IF(Pile!DF351&lt;2,999999,Pile!DF351)))</f>
        <v>999999</v>
      </c>
      <c r="DJ351" s="528">
        <f>IF(Inputs!$F$95/3&gt;MAX(Pile!$DJ$242:$DJ$321),999999,IF(Pile!DG351/(Pile!DC351/1000)&gt;50,999999,IF(Pile!DG351&lt;2,999999,IF(DG351&gt;25,999999,Pile!DG351))))</f>
        <v>2.0999999999999988</v>
      </c>
      <c r="DK351" s="530">
        <f t="shared" si="394"/>
        <v>1757.7278516028368</v>
      </c>
      <c r="DL351" s="528">
        <f t="shared" si="395"/>
        <v>120237953.75791053</v>
      </c>
      <c r="DM351" s="529">
        <f t="shared" si="396"/>
        <v>1721.6568701524823</v>
      </c>
      <c r="DN351" s="467">
        <f t="shared" si="397"/>
        <v>1469.16</v>
      </c>
      <c r="DO351" s="522">
        <v>3</v>
      </c>
      <c r="DP351" s="479">
        <v>900</v>
      </c>
      <c r="DQ351" s="531">
        <f>Inputs!$D$39*3</f>
        <v>189</v>
      </c>
      <c r="DR351" s="528">
        <f>_xlfn.MINIFS($DE$70:$DE$149,$DJ$70:$DJ$149,"&gt;"&amp;Inputs!$J$102)</f>
        <v>1.4999999999999991</v>
      </c>
      <c r="DS351" s="528">
        <f>_xlfn.MINIFS($DE$156:$DE$235,$DJ$156:$DJ$235,"&gt;"&amp;Inputs!$J$102)</f>
        <v>0</v>
      </c>
      <c r="DT351" s="529">
        <f>_xlfn.MINIFS($DE$242:$DE$321,$DJ$242:$DJ$321,"&gt;"&amp;Inputs!$J$102)</f>
        <v>1.4999999999999991</v>
      </c>
      <c r="DU351" s="530">
        <f>IF(Inputs!$F$102/3&gt;MAX(Pile!$DJ$70:$DJ$149),999999,IF(Pile!DR351/(Pile!DP351/1000)&gt;50,999999,IF(Pile!DR351&lt;2,999999,Pile!DR351)))</f>
        <v>999999</v>
      </c>
      <c r="DV351" s="528">
        <f>IF(Inputs!DR46="Yes",999999,IF(Pile!DS351/(Pile!DP351/1000)&gt;50,999999,IF(Pile!DS351&lt;2,999999,Pile!DS351)))</f>
        <v>999999</v>
      </c>
      <c r="DW351" s="528">
        <f>IF(Inputs!$F$102/3&gt;MAX(Pile!$DJ$242:$DJ$321),999999,IF(Pile!DT351/(Pile!DP351/1000)&gt;50,999999,IF(Pile!DT351&lt;2,999999,IF(DT351&gt;25,999999,Pile!DT351))))</f>
        <v>999999</v>
      </c>
      <c r="DX351" s="530">
        <f t="shared" si="398"/>
        <v>120237953.75791053</v>
      </c>
      <c r="DY351" s="528">
        <f t="shared" si="399"/>
        <v>120237953.75791053</v>
      </c>
      <c r="DZ351" s="529">
        <f t="shared" si="400"/>
        <v>120237953.75791053</v>
      </c>
      <c r="EA351" s="467">
        <f t="shared" si="401"/>
        <v>1469.16</v>
      </c>
      <c r="EB351" s="522">
        <v>3</v>
      </c>
      <c r="EC351" s="479">
        <v>900</v>
      </c>
      <c r="ED351" s="531">
        <f>Inputs!$D$39*3</f>
        <v>189</v>
      </c>
      <c r="EE351" s="528">
        <f>_xlfn.MINIFS($DE$70:$DE$149,$DJ$70:$DJ$149,"&gt;"&amp;Inputs!$J$109)</f>
        <v>1.4999999999999991</v>
      </c>
      <c r="EF351" s="528">
        <f>_xlfn.MINIFS($DE$156:$DE$235,$DJ$156:$DJ$235,"&gt;"&amp;Inputs!$J$109)</f>
        <v>0</v>
      </c>
      <c r="EG351" s="529">
        <f>_xlfn.MINIFS($DE$242:$DE$321,$DJ$242:$DJ$321,"&gt;"&amp;Inputs!$J$109)</f>
        <v>1.4999999999999991</v>
      </c>
      <c r="EH351" s="530">
        <f>IF(Inputs!$F$109/3&gt;MAX(Pile!$DJ$70:$DJ$149),999999,IF(Pile!EE351/(Pile!EC351/1000)&gt;50,999999,IF(Pile!EE351&lt;2,999999,Pile!EE351)))</f>
        <v>999999</v>
      </c>
      <c r="EI351" s="528">
        <f>IF(Inputs!EE46="Yes",999999,IF(Pile!EF351/(Pile!EC351/1000)&gt;50,999999,IF(Pile!EF351&lt;2,999999,Pile!EF351)))</f>
        <v>999999</v>
      </c>
      <c r="EJ351" s="528">
        <f>IF(Inputs!$F$109/3&gt;MAX(Pile!$DJ$242:$DJ$321),999999,IF(Pile!EG351/(Pile!EC351/1000)&gt;50,999999,IF(Pile!EG351&lt;2,999999,IF(EG351&gt;25,999999,Pile!EG351))))</f>
        <v>999999</v>
      </c>
      <c r="EK351" s="530">
        <f t="shared" si="402"/>
        <v>120237953.75791053</v>
      </c>
      <c r="EL351" s="528">
        <f t="shared" si="403"/>
        <v>120237953.75791053</v>
      </c>
      <c r="EM351" s="529">
        <f t="shared" si="404"/>
        <v>120237953.75791053</v>
      </c>
      <c r="EN351" s="467">
        <f t="shared" si="405"/>
        <v>1469.16</v>
      </c>
      <c r="EO351" s="522">
        <v>3</v>
      </c>
      <c r="EP351" s="479">
        <v>900</v>
      </c>
      <c r="EQ351" s="531">
        <f>Inputs!$D$39*3</f>
        <v>189</v>
      </c>
      <c r="ER351" s="528">
        <f>_xlfn.MINIFS($DE$70:$DE$149,$DJ$70:$DJ$149,"&gt;"&amp;Inputs!$J$116)</f>
        <v>0.29999999999999982</v>
      </c>
      <c r="ES351" s="528">
        <f>_xlfn.MINIFS($DE$156:$DE$235,$DJ$156:$DJ$235,"&gt;"&amp;Inputs!$J$116)</f>
        <v>0</v>
      </c>
      <c r="ET351" s="529">
        <f>_xlfn.MINIFS($DE$242:$DE$321,$DJ$242:$DJ$321,"&gt;"&amp;Inputs!$J$116)</f>
        <v>0.29999999999999982</v>
      </c>
      <c r="EU351" s="530">
        <f>IF(Inputs!$F$116/3&gt;MAX(Pile!$DJ$70:$DJ$149),999999,IF(Pile!ER351/(Pile!EP351/1000)&gt;50,999999,IF(Pile!ER351&lt;2,999999,Pile!ER351)))</f>
        <v>999999</v>
      </c>
      <c r="EV351" s="528">
        <f>IF(Inputs!ER46="Yes",999999,IF(Inputs!$F$116&gt;MAX(Pile!$DG$156:$DG$235),999999,IF(Pile!ES351/(Pile!EP351/1000)&gt;50,999999,IF(Pile!ES351&lt;2,999999,Pile!ES351))))</f>
        <v>999999</v>
      </c>
      <c r="EW351" s="528">
        <f>IF(Inputs!$F$116/3&gt;MAX(Pile!$DJ$242:$DJ$321),999999,IF(Pile!ET351/(Pile!EP351/1000)&gt;50,999999,IF(Pile!ET351&lt;2,999999,IF(ET351&gt;25,999999,Pile!ET351))))</f>
        <v>999999</v>
      </c>
      <c r="EX351" s="532">
        <f t="shared" si="360"/>
        <v>120236484.59791054</v>
      </c>
      <c r="EY351" s="533">
        <f t="shared" si="361"/>
        <v>120236484.59791054</v>
      </c>
      <c r="EZ351" s="534">
        <f t="shared" si="362"/>
        <v>120236484.59791054</v>
      </c>
    </row>
    <row r="352" spans="1:156" ht="15">
      <c r="B352" s="517">
        <v>3</v>
      </c>
      <c r="C352" s="476">
        <v>1050</v>
      </c>
      <c r="D352" s="527">
        <f>Inputs!$D$39*3</f>
        <v>189</v>
      </c>
      <c r="E352" s="528">
        <f>_xlfn.MINIFS($DE$70:$DE$149,$DK$70:$DK$149,"&gt;"&amp;Inputs!$J$39)</f>
        <v>2.3999999999999986</v>
      </c>
      <c r="F352" s="528">
        <f>_xlfn.MINIFS($DE$156:$DE$235,$DK$156:$DK$235,"&gt;"&amp;Inputs!$J$39)</f>
        <v>0</v>
      </c>
      <c r="G352" s="529">
        <f>_xlfn.MINIFS($DE$242:$DE$321,$DK$242:$DK$321,"&gt;"&amp;Inputs!$J$39)</f>
        <v>2.3999999999999986</v>
      </c>
      <c r="H352" s="530">
        <f>IF(Inputs!$F$39/3&gt;MAX(Pile!$DK$70:$DK$149),999999,IF(Pile!E352/(Pile!C352/1000)&gt;50,999999,IF(Pile!E352&lt;2,999999,Pile!E352)))</f>
        <v>2.3999999999999986</v>
      </c>
      <c r="I352" s="528">
        <f>IF(Inputs!E47="Yes",999999,IF(Pile!F352/(Pile!C352/1000)&gt;50,999999,IF(Pile!F352&lt;2,999999,Pile!F352)))</f>
        <v>999999</v>
      </c>
      <c r="J352" s="528">
        <f>IF(Inputs!$F$39/3&gt;MAX(Pile!$DK$242:$DK$321),999999,IF(Pile!G352/(Pile!C352/1000)&gt;50,999999,IF(Pile!G352&lt;2,999999,IF(G352&gt;25,999999,Pile!G352))))</f>
        <v>2.3999999999999986</v>
      </c>
      <c r="K352" s="530">
        <f t="shared" si="363"/>
        <v>2694.8739649260833</v>
      </c>
      <c r="L352" s="528">
        <f t="shared" si="364"/>
        <v>163657517.24821177</v>
      </c>
      <c r="M352" s="529">
        <f t="shared" si="365"/>
        <v>2694.8739649260833</v>
      </c>
      <c r="N352" s="466">
        <f>Inputs!$D$39*F463</f>
        <v>2302.1010558000003</v>
      </c>
      <c r="O352" s="517">
        <v>3</v>
      </c>
      <c r="P352" s="476">
        <v>1050</v>
      </c>
      <c r="Q352" s="527">
        <f>Inputs!$D$39*3</f>
        <v>189</v>
      </c>
      <c r="R352" s="528">
        <f>_xlfn.MINIFS($DE$70:$DE$149,$DK$70:$DK$149,"&gt;"&amp;Inputs!$J$46)</f>
        <v>2.3999999999999986</v>
      </c>
      <c r="S352" s="528">
        <f>_xlfn.MINIFS($DE$156:$DE$235,$DK$156:$DK$235,"&gt;"&amp;Inputs!$J$46)</f>
        <v>0</v>
      </c>
      <c r="T352" s="529">
        <f>_xlfn.MINIFS($DE$242:$DE$321,$DK$242:$DK$321,"&gt;"&amp;Inputs!$J$46)</f>
        <v>2.3999999999999986</v>
      </c>
      <c r="U352" s="530">
        <f>IF(Inputs!$F$46/3&gt;MAX(Pile!$DK$70:$DK$149),999999,IF(Pile!R352/(Pile!P352/1000)&gt;50,999999,IF(Pile!R352&lt;2,999999,Pile!R352)))</f>
        <v>2.3999999999999986</v>
      </c>
      <c r="V352" s="528">
        <f>IF(Inputs!R47="Yes",999999,IF(Pile!S352/(Pile!P352/1000)&gt;50,999999,IF(Pile!S352&lt;2,999999,Pile!S352)))</f>
        <v>999999</v>
      </c>
      <c r="W352" s="528">
        <f>IF(Inputs!$F$46/3&gt;MAX(Pile!$DK$242:$DK$321),999999,IF(Pile!T352/(Pile!P352/1000)&gt;50,999999,IF(Pile!T352&lt;2,999999,IF(T352&gt;25,999999,Pile!T352))))</f>
        <v>2.3999999999999986</v>
      </c>
      <c r="X352" s="530">
        <f t="shared" si="366"/>
        <v>2694.8739649260833</v>
      </c>
      <c r="Y352" s="528">
        <f t="shared" si="367"/>
        <v>163657517.24821177</v>
      </c>
      <c r="Z352" s="529">
        <f t="shared" si="368"/>
        <v>2694.8739649260833</v>
      </c>
      <c r="AA352" s="467">
        <f t="shared" si="369"/>
        <v>2302.1010558000003</v>
      </c>
      <c r="AB352" s="522">
        <v>3</v>
      </c>
      <c r="AC352" s="479">
        <v>1050</v>
      </c>
      <c r="AD352" s="531">
        <f>Inputs!$D$39*3</f>
        <v>189</v>
      </c>
      <c r="AE352" s="528">
        <f>_xlfn.MINIFS($DE$70:$DE$149,$DK$70:$DK$149,"&gt;"&amp;Inputs!$J$53)</f>
        <v>2.0999999999999988</v>
      </c>
      <c r="AF352" s="528">
        <f>_xlfn.MINIFS($DE$156:$DE$235,$DK$156:$DK$235,"&gt;"&amp;Inputs!$J$53)</f>
        <v>0</v>
      </c>
      <c r="AG352" s="529">
        <f>_xlfn.MINIFS($DE$242:$DE$321,$DK$242:$DK$321,"&gt;"&amp;Inputs!$J$53)</f>
        <v>2.0999999999999988</v>
      </c>
      <c r="AH352" s="530">
        <f>IF(Inputs!$F$53/3&gt;MAX(Pile!$DK$70:$DK$149),999999,IF(Pile!AE352/(Pile!AC352/1000)&gt;50,999999,IF(Pile!AE352&lt;2,999999,Pile!AE352)))</f>
        <v>2.0999999999999988</v>
      </c>
      <c r="AI352" s="528">
        <f>IF(Inputs!AE47="Yes",999999,IF(Pile!AF352/(Pile!AC352/1000)&gt;50,999999,IF(Pile!AF352&lt;2,999999,Pile!AF352)))</f>
        <v>999999</v>
      </c>
      <c r="AJ352" s="528">
        <f>IF(Inputs!$F$53/3&gt;MAX(Pile!$DK$242:$DK$321),999999,IF(Pile!AG352/(Pile!AC352/1000)&gt;50,999999,IF(Pile!AG352&lt;2,999999,IF(AG352&gt;25,999999,Pile!AG352))))</f>
        <v>2.0999999999999988</v>
      </c>
      <c r="AK352" s="530">
        <f t="shared" si="370"/>
        <v>2645.7773512853232</v>
      </c>
      <c r="AL352" s="528">
        <f t="shared" si="371"/>
        <v>163657517.24821177</v>
      </c>
      <c r="AM352" s="529">
        <f t="shared" si="372"/>
        <v>2645.7773512853232</v>
      </c>
      <c r="AN352" s="471">
        <f t="shared" si="373"/>
        <v>2302.1010558000003</v>
      </c>
      <c r="AO352" s="522">
        <v>3</v>
      </c>
      <c r="AP352" s="479">
        <v>1050</v>
      </c>
      <c r="AQ352" s="531">
        <f>Inputs!$D$39*3</f>
        <v>189</v>
      </c>
      <c r="AR352" s="528">
        <f>_xlfn.MINIFS($DE$70:$DE$149,$DK$70:$DK$149,"&gt;"&amp;Inputs!$J$60)</f>
        <v>2.0999999999999988</v>
      </c>
      <c r="AS352" s="528">
        <f>_xlfn.MINIFS($DE$156:$DE$235,$DK$156:$DK$235,"&gt;"&amp;Inputs!$J$60)</f>
        <v>0</v>
      </c>
      <c r="AT352" s="529">
        <f>_xlfn.MINIFS($DE$242:$DE$321,$DK$242:$DK$321,"&gt;"&amp;Inputs!$J$60)</f>
        <v>2.0999999999999988</v>
      </c>
      <c r="AU352" s="530">
        <f>IF(Inputs!$F$60/3&gt;MAX(Pile!$DK$70:$DK$149),999999,IF(Pile!AR352/(Pile!AP352/1000)&gt;50,999999,IF(Pile!AR352&lt;2,999999,Pile!AR352)))</f>
        <v>2.0999999999999988</v>
      </c>
      <c r="AV352" s="528">
        <f>IF(Inputs!AR47="Yes",999999,IF(Pile!AS352/(Pile!AP352/1000)&gt;50,999999,IF(Pile!AS352&lt;2,999999,Pile!AS352)))</f>
        <v>999999</v>
      </c>
      <c r="AW352" s="528">
        <f>IF(Inputs!$F$60/3&gt;MAX(Pile!$DK$242:$DK$321),999999,IF(Pile!AT352/(Pile!AP352/1000)&gt;50,999999,IF(Pile!AT352&lt;2,999999,IF(AT352&gt;25,999999,Pile!AT352))))</f>
        <v>2.0999999999999988</v>
      </c>
      <c r="AX352" s="530">
        <f t="shared" si="374"/>
        <v>2645.7773512853232</v>
      </c>
      <c r="AY352" s="528">
        <f t="shared" si="375"/>
        <v>163657517.24821177</v>
      </c>
      <c r="AZ352" s="529">
        <f t="shared" si="376"/>
        <v>2645.7773512853232</v>
      </c>
      <c r="BA352" s="467">
        <f t="shared" si="377"/>
        <v>2302.1010558000003</v>
      </c>
      <c r="BB352" s="522">
        <v>3</v>
      </c>
      <c r="BC352" s="479">
        <v>1050</v>
      </c>
      <c r="BD352" s="531">
        <f>Inputs!$D$39*3</f>
        <v>189</v>
      </c>
      <c r="BE352" s="528">
        <f>_xlfn.MINIFS($DE$70:$DE$149,$DK$70:$DK$149,"&gt;"&amp;Inputs!$J$67)</f>
        <v>2.0999999999999988</v>
      </c>
      <c r="BF352" s="528">
        <f>_xlfn.MINIFS($DE$156:$DE$235,$DK$156:$DK$235,"&gt;"&amp;Inputs!$J$67)</f>
        <v>0</v>
      </c>
      <c r="BG352" s="529">
        <f>_xlfn.MINIFS($DE$242:$DE$321,$DK$242:$DK$321,"&gt;"&amp;Inputs!$J$67)</f>
        <v>2.0999999999999988</v>
      </c>
      <c r="BH352" s="530">
        <f>IF(Inputs!$F$67/3&gt;MAX(Pile!$DK$70:$DK$149),999999,IF(Pile!BE352/(Pile!BC352/1000)&gt;50,999999,IF(Pile!BE352&lt;2,999999,Pile!BE352)))</f>
        <v>2.0999999999999988</v>
      </c>
      <c r="BI352" s="528">
        <f>IF(Inputs!BE47="Yes",999999,IF(Pile!BF352/(Pile!BC352/1000)&gt;50,999999,IF(Pile!BF352&lt;2,999999,Pile!BF352)))</f>
        <v>999999</v>
      </c>
      <c r="BJ352" s="528">
        <f>IF(Inputs!$F$67/3&gt;MAX(Pile!$DK$242:$DK$321),999999,IF(Pile!BG352/(Pile!BC352/1000)&gt;50,999999,IF(Pile!BG352&lt;2,999999,IF(BG352&gt;25,999999,Pile!BG352))))</f>
        <v>2.0999999999999988</v>
      </c>
      <c r="BK352" s="530">
        <f t="shared" si="378"/>
        <v>2645.7773512853232</v>
      </c>
      <c r="BL352" s="528">
        <f t="shared" si="379"/>
        <v>163657517.24821177</v>
      </c>
      <c r="BM352" s="529">
        <f t="shared" si="380"/>
        <v>2645.7773512853232</v>
      </c>
      <c r="BN352" s="467">
        <f t="shared" si="381"/>
        <v>2302.1010558000003</v>
      </c>
      <c r="BO352" s="522">
        <v>3</v>
      </c>
      <c r="BP352" s="479">
        <v>1050</v>
      </c>
      <c r="BQ352" s="531">
        <f>Inputs!$D$39*3</f>
        <v>189</v>
      </c>
      <c r="BR352" s="528">
        <f>_xlfn.MINIFS($DE$70:$DE$149,$DK$70:$DK$149,"&gt;"&amp;Inputs!$J$74)</f>
        <v>2.6999999999999984</v>
      </c>
      <c r="BS352" s="528">
        <f>_xlfn.MINIFS($DE$156:$DE$235,$DK$156:$DK$235,"&gt;"&amp;Inputs!$J$74)</f>
        <v>0</v>
      </c>
      <c r="BT352" s="529">
        <f>_xlfn.MINIFS($DE$242:$DE$321,$DK$242:$DK$321,"&gt;"&amp;Inputs!$J$74)</f>
        <v>2.6999999999999984</v>
      </c>
      <c r="BU352" s="530">
        <f>IF(Inputs!$F$74/3&gt;MAX(Pile!$DK$70:$DK$149),999999,IF(Pile!BR352/(Pile!BP352/1000)&gt;50,999999,IF(Pile!BR352&lt;2,999999,Pile!BR352)))</f>
        <v>2.6999999999999984</v>
      </c>
      <c r="BV352" s="528">
        <f>IF(Inputs!BR47="Yes",999999,IF(Pile!BS352/(Pile!BP352/1000)&gt;50,999999,IF(Pile!BS352&lt;2,999999,Pile!BS352)))</f>
        <v>999999</v>
      </c>
      <c r="BW352" s="528">
        <f>IF(Inputs!$F$74/3&gt;MAX(Pile!$DK$242:$DK$321),999999,IF(Pile!BT352/(Pile!BP352/1000)&gt;50,999999,IF(Pile!BT352&lt;2,999999,IF(BT352&gt;25,999999,Pile!BT352))))</f>
        <v>2.6999999999999984</v>
      </c>
      <c r="BX352" s="530">
        <f t="shared" si="382"/>
        <v>2743.9705785668439</v>
      </c>
      <c r="BY352" s="528">
        <f t="shared" si="383"/>
        <v>163657517.24821177</v>
      </c>
      <c r="BZ352" s="529">
        <f t="shared" si="384"/>
        <v>2743.9705785668439</v>
      </c>
      <c r="CA352" s="467">
        <f t="shared" si="385"/>
        <v>2302.1010558000003</v>
      </c>
      <c r="CB352" s="522">
        <v>3</v>
      </c>
      <c r="CC352" s="479">
        <v>1050</v>
      </c>
      <c r="CD352" s="531">
        <f>Inputs!$D$39*3</f>
        <v>189</v>
      </c>
      <c r="CE352" s="528">
        <f>_xlfn.MINIFS($DE$70:$DE$149,$DK$70:$DK$149,"&gt;"&amp;Inputs!$J$81)</f>
        <v>2.0999999999999988</v>
      </c>
      <c r="CF352" s="528">
        <f>_xlfn.MINIFS($DE$156:$DE$235,$DK$156:$DK$235,"&gt;"&amp;Inputs!$J$81)</f>
        <v>0</v>
      </c>
      <c r="CG352" s="529">
        <f>_xlfn.MINIFS($DE$242:$DE$321,$DK$242:$DK$321,"&gt;"&amp;Inputs!$J$81)</f>
        <v>2.0999999999999988</v>
      </c>
      <c r="CH352" s="530">
        <f>IF(Inputs!$F$81/3&gt;MAX(Pile!$DK$70:$DK$149),999999,IF(Pile!CE352/(Pile!CC352/1000)&gt;50,999999,IF(Pile!CE352&lt;2,999999,Pile!CE352)))</f>
        <v>2.0999999999999988</v>
      </c>
      <c r="CI352" s="528">
        <f>IF(Inputs!CE47="Yes",999999,IF(Pile!CF352/(Pile!CC352/1000)&gt;50,999999,IF(Pile!CF352&lt;2,999999,Pile!CF352)))</f>
        <v>999999</v>
      </c>
      <c r="CJ352" s="528">
        <f>IF(Inputs!$F$81/3&gt;MAX(Pile!$DK$242:$DK$321),999999,IF(Pile!CG352/(Pile!CC352/1000)&gt;50,999999,IF(Pile!CG352&lt;2,999999,IF(CG352&gt;25,999999,Pile!CG352))))</f>
        <v>2.0999999999999988</v>
      </c>
      <c r="CK352" s="530">
        <f t="shared" si="386"/>
        <v>2645.7773512853232</v>
      </c>
      <c r="CL352" s="528">
        <f t="shared" si="387"/>
        <v>163657517.24821177</v>
      </c>
      <c r="CM352" s="529">
        <f t="shared" si="388"/>
        <v>2645.7773512853232</v>
      </c>
      <c r="CN352" s="467">
        <f t="shared" si="389"/>
        <v>2302.1010558000003</v>
      </c>
      <c r="CO352" s="522">
        <v>3</v>
      </c>
      <c r="CP352" s="479">
        <v>1050</v>
      </c>
      <c r="CQ352" s="531">
        <f>Inputs!$D$39*3</f>
        <v>189</v>
      </c>
      <c r="CR352" s="528">
        <f>_xlfn.MINIFS($DE$70:$DE$149,$DK$70:$DK$149,"&gt;"&amp;Inputs!$J$88)</f>
        <v>1.7999999999999989</v>
      </c>
      <c r="CS352" s="528">
        <f>_xlfn.MINIFS($DE$156:$DE$235,$DK$156:$DK$235,"&gt;"&amp;Inputs!$J$88)</f>
        <v>0</v>
      </c>
      <c r="CT352" s="529">
        <f>_xlfn.MINIFS($DE$242:$DE$321,$DK$242:$DK$321,"&gt;"&amp;Inputs!$J$88)</f>
        <v>1.7999999999999989</v>
      </c>
      <c r="CU352" s="530">
        <f>IF(Inputs!$F$88/3&gt;MAX(Pile!$DK$70:$DK$149),999999,IF(Pile!CR352/(Pile!CP352/1000)&gt;50,999999,IF(Pile!CR352&lt;2,999999,Pile!CR352)))</f>
        <v>999999</v>
      </c>
      <c r="CV352" s="528">
        <f>IF(Inputs!CR47="Yes",999999,IF(Pile!CS352/(Pile!CP352/1000)&gt;50,999999,IF(Pile!CS352&lt;2,999999,Pile!CS352)))</f>
        <v>999999</v>
      </c>
      <c r="CW352" s="528">
        <f>IF(Inputs!$F$88/3&gt;MAX(Pile!$DK$242:$DK$321),999999,IF(Pile!CT352/(Pile!CP352/1000)&gt;50,999999,IF(Pile!CT352&lt;2,999999,IF(CT352&gt;25,999999,Pile!CT352))))</f>
        <v>999999</v>
      </c>
      <c r="CX352" s="530">
        <f t="shared" si="390"/>
        <v>163657517.24821177</v>
      </c>
      <c r="CY352" s="528">
        <f t="shared" si="391"/>
        <v>163657517.24821177</v>
      </c>
      <c r="CZ352" s="529">
        <f t="shared" si="392"/>
        <v>163657517.24821177</v>
      </c>
      <c r="DA352" s="467">
        <f t="shared" si="393"/>
        <v>2302.1010558000003</v>
      </c>
      <c r="DB352" s="522">
        <v>3</v>
      </c>
      <c r="DC352" s="479">
        <v>1050</v>
      </c>
      <c r="DD352" s="531">
        <f>Inputs!$D$39*3</f>
        <v>189</v>
      </c>
      <c r="DE352" s="528">
        <f>_xlfn.MINIFS($DE$70:$DE$149,$DK$70:$DK$149,"&gt;"&amp;Inputs!$J$95)</f>
        <v>1.7999999999999989</v>
      </c>
      <c r="DF352" s="528">
        <f>_xlfn.MINIFS($DE$156:$DE$235,$DK$156:$DK$235,"&gt;"&amp;Inputs!$J$95)</f>
        <v>0</v>
      </c>
      <c r="DG352" s="529">
        <f>_xlfn.MINIFS($DE$242:$DE$321,$DK$242:$DK$321,"&gt;"&amp;Inputs!$J$95)</f>
        <v>1.7999999999999989</v>
      </c>
      <c r="DH352" s="530">
        <f>IF(Inputs!$F$95/3&gt;MAX(Pile!$DK$70:$DK$149),999999,IF(Pile!DE352/(Pile!DC352/1000)&gt;50,999999,IF(Pile!DE352&lt;2,999999,Pile!DE352)))</f>
        <v>999999</v>
      </c>
      <c r="DI352" s="528">
        <f>IF(Inputs!DE47="Yes",999999,IF(Pile!DF352/(Pile!DC352/1000)&gt;50,999999,IF(Pile!DF352&lt;2,999999,Pile!DF352)))</f>
        <v>999999</v>
      </c>
      <c r="DJ352" s="528">
        <f>IF(Inputs!$F$95/3&gt;MAX(Pile!$DK$242:$DK$321),999999,IF(Pile!DG352/(Pile!DC352/1000)&gt;50,999999,IF(Pile!DG352&lt;2,999999,IF(DG352&gt;25,999999,Pile!DG352))))</f>
        <v>999999</v>
      </c>
      <c r="DK352" s="530">
        <f t="shared" si="394"/>
        <v>163657517.24821177</v>
      </c>
      <c r="DL352" s="528">
        <f t="shared" si="395"/>
        <v>163657517.24821177</v>
      </c>
      <c r="DM352" s="529">
        <f t="shared" si="396"/>
        <v>163657517.24821177</v>
      </c>
      <c r="DN352" s="467">
        <f t="shared" si="397"/>
        <v>2302.1010558000003</v>
      </c>
      <c r="DO352" s="522">
        <v>3</v>
      </c>
      <c r="DP352" s="479">
        <v>1050</v>
      </c>
      <c r="DQ352" s="531">
        <f>Inputs!$D$39*3</f>
        <v>189</v>
      </c>
      <c r="DR352" s="528">
        <f>_xlfn.MINIFS($DE$70:$DE$149,$DK$70:$DK$149,"&gt;"&amp;Inputs!$J$102)</f>
        <v>1.1999999999999993</v>
      </c>
      <c r="DS352" s="528">
        <f>_xlfn.MINIFS($DE$156:$DE$235,$DK$156:$DK$235,"&gt;"&amp;Inputs!$J$102)</f>
        <v>0</v>
      </c>
      <c r="DT352" s="529">
        <f>_xlfn.MINIFS($DE$242:$DE$321,$DK$242:$DK$321,"&gt;"&amp;Inputs!$J$102)</f>
        <v>1.1999999999999993</v>
      </c>
      <c r="DU352" s="530">
        <f>IF(Inputs!$F$102/3&gt;MAX(Pile!$DK$70:$DK$149),999999,IF(Pile!DR352/(Pile!DP352/1000)&gt;50,999999,IF(Pile!DR352&lt;2,999999,Pile!DR352)))</f>
        <v>999999</v>
      </c>
      <c r="DV352" s="528">
        <f>IF(Inputs!DR47="Yes",999999,IF(Pile!DS352/(Pile!DP352/1000)&gt;50,999999,IF(Pile!DS352&lt;2,999999,Pile!DS352)))</f>
        <v>999999</v>
      </c>
      <c r="DW352" s="528">
        <f>IF(Inputs!$F$102/3&gt;MAX(Pile!$DK$242:$DK$321),999999,IF(Pile!DT352/(Pile!DP352/1000)&gt;50,999999,IF(Pile!DT352&lt;2,999999,IF(DT352&gt;25,999999,Pile!DT352))))</f>
        <v>999999</v>
      </c>
      <c r="DX352" s="530">
        <f t="shared" si="398"/>
        <v>163657517.24821177</v>
      </c>
      <c r="DY352" s="528">
        <f t="shared" si="399"/>
        <v>163657517.24821177</v>
      </c>
      <c r="DZ352" s="529">
        <f t="shared" si="400"/>
        <v>163657517.24821177</v>
      </c>
      <c r="EA352" s="467">
        <f t="shared" si="401"/>
        <v>2302.1010558000003</v>
      </c>
      <c r="EB352" s="522">
        <v>3</v>
      </c>
      <c r="EC352" s="479">
        <v>1050</v>
      </c>
      <c r="ED352" s="531">
        <f>Inputs!$D$39*3</f>
        <v>189</v>
      </c>
      <c r="EE352" s="528">
        <f>_xlfn.MINIFS($DE$70:$DE$149,$DK$70:$DK$149,"&gt;"&amp;Inputs!$J$109)</f>
        <v>1.1999999999999993</v>
      </c>
      <c r="EF352" s="528">
        <f>_xlfn.MINIFS($DE$156:$DE$235,$DK$156:$DK$235,"&gt;"&amp;Inputs!$J$109)</f>
        <v>0</v>
      </c>
      <c r="EG352" s="529">
        <f>_xlfn.MINIFS($DE$242:$DE$321,$DK$242:$DK$321,"&gt;"&amp;Inputs!$J$109)</f>
        <v>1.1999999999999993</v>
      </c>
      <c r="EH352" s="530">
        <f>IF(Inputs!$F$109/3&gt;MAX(Pile!$DK$70:$DK$149),999999,IF(Pile!EE352/(Pile!EC352/1000)&gt;50,999999,IF(Pile!EE352&lt;2,999999,Pile!EE352)))</f>
        <v>999999</v>
      </c>
      <c r="EI352" s="528">
        <f>IF(Inputs!EE47="Yes",999999,IF(Pile!EF352/(Pile!EC352/1000)&gt;50,999999,IF(Pile!EF352&lt;2,999999,Pile!EF352)))</f>
        <v>999999</v>
      </c>
      <c r="EJ352" s="528">
        <f>IF(Inputs!$F$109/3&gt;MAX(Pile!$DK$242:$DK$321),999999,IF(Pile!EG352/(Pile!EC352/1000)&gt;50,999999,IF(Pile!EG352&lt;2,999999,IF(EG352&gt;25,999999,Pile!EG352))))</f>
        <v>999999</v>
      </c>
      <c r="EK352" s="530">
        <f t="shared" si="402"/>
        <v>163657517.24821177</v>
      </c>
      <c r="EL352" s="528">
        <f t="shared" si="403"/>
        <v>163657517.24821177</v>
      </c>
      <c r="EM352" s="529">
        <f t="shared" si="404"/>
        <v>163657517.24821177</v>
      </c>
      <c r="EN352" s="467">
        <f t="shared" si="405"/>
        <v>2302.1010558000003</v>
      </c>
      <c r="EO352" s="522">
        <v>3</v>
      </c>
      <c r="EP352" s="479">
        <v>1050</v>
      </c>
      <c r="EQ352" s="531">
        <f>Inputs!$D$39*3</f>
        <v>189</v>
      </c>
      <c r="ER352" s="528">
        <f>_xlfn.MINIFS($DE$70:$DE$149,$DK$70:$DK$149,"&gt;"&amp;Inputs!$J$116)</f>
        <v>0.29999999999999982</v>
      </c>
      <c r="ES352" s="528">
        <f>_xlfn.MINIFS($DE$156:$DE$235,$DK$156:$DK$235,"&gt;"&amp;Inputs!$J$116)</f>
        <v>0</v>
      </c>
      <c r="ET352" s="529">
        <f>_xlfn.MINIFS($DE$242:$DE$321,$DK$242:$DK$321,"&gt;"&amp;Inputs!$J$116)</f>
        <v>0.29999999999999982</v>
      </c>
      <c r="EU352" s="530">
        <f>IF(Inputs!$F$116/3&gt;MAX(Pile!$DK$70:$DK$149),999999,IF(Pile!ER352/(Pile!EP352/1000)&gt;50,999999,IF(Pile!ER352&lt;2,999999,Pile!ER352)))</f>
        <v>999999</v>
      </c>
      <c r="EV352" s="528">
        <f>IF(Inputs!ER47="Yes",999999,IF(Inputs!$F$116&gt;MAX(Pile!$DG$156:$DG$235),999999,IF(Pile!ES352/(Pile!EP352/1000)&gt;50,999999,IF(Pile!ES352&lt;2,999999,Pile!ES352))))</f>
        <v>999999</v>
      </c>
      <c r="EW352" s="528">
        <f>IF(Inputs!$F$116/3&gt;MAX(Pile!$DK$242:$DK$321),999999,IF(Pile!ET352/(Pile!EP352/1000)&gt;50,999999,IF(Pile!ET352&lt;2,999999,IF(ET352&gt;25,999999,Pile!ET352))))</f>
        <v>999999</v>
      </c>
      <c r="EX352" s="532">
        <f t="shared" si="360"/>
        <v>163655215.14715597</v>
      </c>
      <c r="EY352" s="533">
        <f t="shared" si="361"/>
        <v>163655215.14715597</v>
      </c>
      <c r="EZ352" s="534">
        <f t="shared" si="362"/>
        <v>163655215.14715597</v>
      </c>
    </row>
    <row r="353" spans="2:158" ht="15.75" thickBot="1">
      <c r="B353" s="517">
        <v>3</v>
      </c>
      <c r="C353" s="483">
        <v>1200</v>
      </c>
      <c r="D353" s="527">
        <f>Inputs!$D$39*3</f>
        <v>189</v>
      </c>
      <c r="E353" s="535">
        <f>_xlfn.MINIFS($DE$70:$DE$149,$DL$70:$DL$149,"&gt;"&amp;Inputs!$J$39)</f>
        <v>1.7999999999999989</v>
      </c>
      <c r="F353" s="535">
        <f>_xlfn.MINIFS($DE$156:$DE$235,$DL$156:$DL$235,"&gt;"&amp;Inputs!$J$39)</f>
        <v>0</v>
      </c>
      <c r="G353" s="536">
        <f>_xlfn.MINIFS($DE$242:$DE$321,$DL$242:$DL$321,"&gt;"&amp;Inputs!$J$39)</f>
        <v>1.7999999999999989</v>
      </c>
      <c r="H353" s="537">
        <f>IF(Inputs!$F$39/3&gt;MAX(Pile!$DL$70:$DL$149),999999,IF(Pile!E353/(Pile!C353/1000)&gt;50,999999,IF(Pile!E353&lt;2,999999,Pile!E353)))</f>
        <v>999999</v>
      </c>
      <c r="I353" s="535">
        <f>IF(Inputs!E48="Yes",999999,IF(Pile!F353/(Pile!C353/1000)&gt;50,999999,IF(Pile!F353&lt;2,999999,Pile!F353)))</f>
        <v>999999</v>
      </c>
      <c r="J353" s="535">
        <f>IF(Inputs!$F$39/3&gt;MAX(Pile!$DL$242:$DL$321),999999,IF(Pile!G353/(Pile!C353/1000)&gt;50,999999,IF(Pile!G353&lt;2,999999,IF(G353&gt;25,999999,Pile!G353))))</f>
        <v>999999</v>
      </c>
      <c r="K353" s="537">
        <f t="shared" si="363"/>
        <v>213757133.49628538</v>
      </c>
      <c r="L353" s="535">
        <f t="shared" si="364"/>
        <v>213757133.49628538</v>
      </c>
      <c r="M353" s="536">
        <f t="shared" si="365"/>
        <v>213757133.49628538</v>
      </c>
      <c r="N353" s="466">
        <f>Inputs!$D$39*F464</f>
        <v>3383.1</v>
      </c>
      <c r="O353" s="517">
        <v>3</v>
      </c>
      <c r="P353" s="483">
        <v>1200</v>
      </c>
      <c r="Q353" s="527">
        <f>Inputs!$D$39*3</f>
        <v>189</v>
      </c>
      <c r="R353" s="535">
        <f>_xlfn.MINIFS($DE$70:$DE$149,$DL$70:$DL$149,"&gt;"&amp;Inputs!$J$46)</f>
        <v>1.7999999999999989</v>
      </c>
      <c r="S353" s="535">
        <f>_xlfn.MINIFS($DE$156:$DE$235,$DL$156:$DL$235,"&gt;"&amp;Inputs!$J$46)</f>
        <v>0</v>
      </c>
      <c r="T353" s="536">
        <f>_xlfn.MINIFS($DE$242:$DE$321,$DL$242:$DL$321,"&gt;"&amp;Inputs!$J$46)</f>
        <v>1.7999999999999989</v>
      </c>
      <c r="U353" s="537">
        <f>IF(Inputs!$F$46/3&gt;MAX(Pile!$DL$70:$DL$149),999999,IF(Pile!R353/(Pile!P353/1000)&gt;50,999999,IF(Pile!R353&lt;2,999999,Pile!R353)))</f>
        <v>999999</v>
      </c>
      <c r="V353" s="535">
        <f>IF(Inputs!R48="Yes",999999,IF(Pile!S353/(Pile!P353/1000)&gt;50,999999,IF(Pile!S353&lt;2,999999,Pile!S353)))</f>
        <v>999999</v>
      </c>
      <c r="W353" s="535">
        <f>IF(Inputs!$F$46/3&gt;MAX(Pile!$DL$242:$DL$321),999999,IF(Pile!T353/(Pile!P353/1000)&gt;50,999999,IF(Pile!T353&lt;2,999999,IF(T353&gt;25,999999,Pile!T353))))</f>
        <v>999999</v>
      </c>
      <c r="X353" s="537">
        <f t="shared" si="366"/>
        <v>213757133.49628538</v>
      </c>
      <c r="Y353" s="535">
        <f t="shared" si="367"/>
        <v>213757133.49628538</v>
      </c>
      <c r="Z353" s="536">
        <f t="shared" si="368"/>
        <v>213757133.49628538</v>
      </c>
      <c r="AA353" s="467">
        <f t="shared" si="369"/>
        <v>3383.1</v>
      </c>
      <c r="AB353" s="522">
        <v>3</v>
      </c>
      <c r="AC353" s="487">
        <v>1200</v>
      </c>
      <c r="AD353" s="531">
        <f>Inputs!$D$39*3</f>
        <v>189</v>
      </c>
      <c r="AE353" s="535">
        <f>_xlfn.MINIFS($DE$70:$DE$149,$DL$70:$DL$149,"&gt;"&amp;Inputs!$J$53)</f>
        <v>1.7999999999999989</v>
      </c>
      <c r="AF353" s="535">
        <f>_xlfn.MINIFS($DE$156:$DE$235,$DL$156:$DL$235,"&gt;"&amp;Inputs!$J$53)</f>
        <v>0</v>
      </c>
      <c r="AG353" s="536">
        <f>_xlfn.MINIFS($DE$242:$DE$321,$DL$242:$DL$321,"&gt;"&amp;Inputs!$J$53)</f>
        <v>1.7999999999999989</v>
      </c>
      <c r="AH353" s="537">
        <f>IF(Inputs!$F$53/3&gt;MAX(Pile!$DL$70:$DL$149),999999,IF(Pile!AE353/(Pile!AC353/1000)&gt;50,999999,IF(Pile!AE353&lt;2,999999,Pile!AE353)))</f>
        <v>999999</v>
      </c>
      <c r="AI353" s="535">
        <f>IF(Inputs!AE48="Yes",999999,IF(Pile!AF353/(Pile!AC353/1000)&gt;50,999999,IF(Pile!AF353&lt;2,999999,Pile!AF353)))</f>
        <v>999999</v>
      </c>
      <c r="AJ353" s="535">
        <f>IF(Inputs!$F$53/3&gt;MAX(Pile!$DL$242:$DL$321),999999,IF(Pile!AG353/(Pile!AC353/1000)&gt;50,999999,IF(Pile!AG353&lt;2,999999,IF(AG353&gt;25,999999,Pile!AG353))))</f>
        <v>999999</v>
      </c>
      <c r="AK353" s="537">
        <f t="shared" si="370"/>
        <v>213757133.49628538</v>
      </c>
      <c r="AL353" s="535">
        <f t="shared" si="371"/>
        <v>213757133.49628538</v>
      </c>
      <c r="AM353" s="536">
        <f t="shared" si="372"/>
        <v>213757133.49628538</v>
      </c>
      <c r="AN353" s="471">
        <f t="shared" si="373"/>
        <v>3383.1</v>
      </c>
      <c r="AO353" s="522">
        <v>3</v>
      </c>
      <c r="AP353" s="487">
        <v>1200</v>
      </c>
      <c r="AQ353" s="531">
        <f>Inputs!$D$39*3</f>
        <v>189</v>
      </c>
      <c r="AR353" s="535">
        <f>_xlfn.MINIFS($DE$70:$DE$149,$DL$70:$DL$149,"&gt;"&amp;Inputs!$J$60)</f>
        <v>1.4999999999999991</v>
      </c>
      <c r="AS353" s="535">
        <f>_xlfn.MINIFS($DE$156:$DE$235,$DL$156:$DL$235,"&gt;"&amp;Inputs!$J$60)</f>
        <v>0</v>
      </c>
      <c r="AT353" s="536">
        <f>_xlfn.MINIFS($DE$242:$DE$321,$DL$242:$DL$321,"&gt;"&amp;Inputs!$J$60)</f>
        <v>1.4999999999999991</v>
      </c>
      <c r="AU353" s="537">
        <f>IF(Inputs!$F$60/3&gt;MAX(Pile!$DL$70:$DL$149),999999,IF(Pile!AR353/(Pile!AP353/1000)&gt;50,999999,IF(Pile!AR353&lt;2,999999,Pile!AR353)))</f>
        <v>999999</v>
      </c>
      <c r="AV353" s="535">
        <f>IF(Inputs!AR48="Yes",999999,IF(Pile!AS353/(Pile!AP353/1000)&gt;50,999999,IF(Pile!AS353&lt;2,999999,Pile!AS353)))</f>
        <v>999999</v>
      </c>
      <c r="AW353" s="535">
        <f>IF(Inputs!$F$60/3&gt;MAX(Pile!$DL$242:$DL$321),999999,IF(Pile!AT353/(Pile!AP353/1000)&gt;50,999999,IF(Pile!AT353&lt;2,999999,IF(AT353&gt;25,999999,Pile!AT353))))</f>
        <v>999999</v>
      </c>
      <c r="AX353" s="537">
        <f t="shared" si="374"/>
        <v>213757133.49628538</v>
      </c>
      <c r="AY353" s="535">
        <f t="shared" si="375"/>
        <v>213757133.49628538</v>
      </c>
      <c r="AZ353" s="536">
        <f t="shared" si="376"/>
        <v>213757133.49628538</v>
      </c>
      <c r="BA353" s="467">
        <f t="shared" si="377"/>
        <v>3383.1</v>
      </c>
      <c r="BB353" s="522">
        <v>3</v>
      </c>
      <c r="BC353" s="487">
        <v>1200</v>
      </c>
      <c r="BD353" s="531">
        <f>Inputs!$D$39*3</f>
        <v>189</v>
      </c>
      <c r="BE353" s="535">
        <f>_xlfn.MINIFS($DE$70:$DE$149,$DL$70:$DL$149,"&gt;"&amp;Inputs!$J$67)</f>
        <v>1.7999999999999989</v>
      </c>
      <c r="BF353" s="535">
        <f>_xlfn.MINIFS($DE$156:$DE$235,$DL$156:$DL$235,"&gt;"&amp;Inputs!$J$67)</f>
        <v>0</v>
      </c>
      <c r="BG353" s="536">
        <f>_xlfn.MINIFS($DE$242:$DE$321,$DL$242:$DL$321,"&gt;"&amp;Inputs!$J$67)</f>
        <v>1.7999999999999989</v>
      </c>
      <c r="BH353" s="537">
        <f>IF(Inputs!$F$67/3&gt;MAX(Pile!$DL$70:$DL$149),999999,IF(Pile!BE353/(Pile!BC353/1000)&gt;50,999999,IF(Pile!BE353&lt;2,999999,Pile!BE353)))</f>
        <v>999999</v>
      </c>
      <c r="BI353" s="535">
        <f>IF(Inputs!BE48="Yes",999999,IF(Pile!BF353/(Pile!BC353/1000)&gt;50,999999,IF(Pile!BF353&lt;2,999999,Pile!BF353)))</f>
        <v>999999</v>
      </c>
      <c r="BJ353" s="535">
        <f>IF(Inputs!$F$67/3&gt;MAX(Pile!$DL$242:$DL$321),999999,IF(Pile!BG353/(Pile!BC353/1000)&gt;50,999999,IF(Pile!BG353&lt;2,999999,IF(BG353&gt;25,999999,Pile!BG353))))</f>
        <v>999999</v>
      </c>
      <c r="BK353" s="537">
        <f t="shared" si="378"/>
        <v>213757133.49628538</v>
      </c>
      <c r="BL353" s="535">
        <f t="shared" si="379"/>
        <v>213757133.49628538</v>
      </c>
      <c r="BM353" s="536">
        <f t="shared" si="380"/>
        <v>213757133.49628538</v>
      </c>
      <c r="BN353" s="467">
        <f t="shared" si="381"/>
        <v>3383.1</v>
      </c>
      <c r="BO353" s="522">
        <v>3</v>
      </c>
      <c r="BP353" s="487">
        <v>1200</v>
      </c>
      <c r="BQ353" s="531">
        <f>Inputs!$D$39*3</f>
        <v>189</v>
      </c>
      <c r="BR353" s="535">
        <f>_xlfn.MINIFS($DE$70:$DE$149,$DL$70:$DL$149,"&gt;"&amp;Inputs!$J$74)</f>
        <v>2.0999999999999988</v>
      </c>
      <c r="BS353" s="535">
        <f>_xlfn.MINIFS($DE$156:$DE$235,$DL$156:$DL$235,"&gt;"&amp;Inputs!$J$74)</f>
        <v>0</v>
      </c>
      <c r="BT353" s="536">
        <f>_xlfn.MINIFS($DE$242:$DE$321,$DL$242:$DL$321,"&gt;"&amp;Inputs!$J$74)</f>
        <v>2.0999999999999988</v>
      </c>
      <c r="BU353" s="537">
        <f>IF(Inputs!$F$74/3&gt;MAX(Pile!$DL$70:$DL$149),999999,IF(Pile!BR353/(Pile!BP353/1000)&gt;50,999999,IF(Pile!BR353&lt;2,999999,Pile!BR353)))</f>
        <v>2.0999999999999988</v>
      </c>
      <c r="BV353" s="535">
        <f>IF(Inputs!BR48="Yes",999999,IF(Pile!BS353/(Pile!BP353/1000)&gt;50,999999,IF(Pile!BS353&lt;2,999999,Pile!BS353)))</f>
        <v>999999</v>
      </c>
      <c r="BW353" s="535">
        <f>IF(Inputs!$F$74/3&gt;MAX(Pile!$DL$242:$DL$321),999999,IF(Pile!BT353/(Pile!BP353/1000)&gt;50,999999,IF(Pile!BT353&lt;2,999999,IF(BT353&gt;25,999999,Pile!BT353))))</f>
        <v>2.0999999999999988</v>
      </c>
      <c r="BX353" s="537">
        <f t="shared" si="382"/>
        <v>3831.9833247155238</v>
      </c>
      <c r="BY353" s="535">
        <f t="shared" si="383"/>
        <v>213757133.49628538</v>
      </c>
      <c r="BZ353" s="536">
        <f t="shared" si="384"/>
        <v>3831.9833247155238</v>
      </c>
      <c r="CA353" s="467">
        <f t="shared" si="385"/>
        <v>3383.1</v>
      </c>
      <c r="CB353" s="522">
        <v>3</v>
      </c>
      <c r="CC353" s="487">
        <v>1200</v>
      </c>
      <c r="CD353" s="531">
        <f>Inputs!$D$39*3</f>
        <v>189</v>
      </c>
      <c r="CE353" s="535">
        <f>_xlfn.MINIFS($DE$70:$DE$149,$DL$70:$DL$149,"&gt;"&amp;Inputs!$J$81)</f>
        <v>1.4999999999999991</v>
      </c>
      <c r="CF353" s="535">
        <f>_xlfn.MINIFS($DE$156:$DE$235,$DL$156:$DL$235,"&gt;"&amp;Inputs!$J$81)</f>
        <v>0</v>
      </c>
      <c r="CG353" s="536">
        <f>_xlfn.MINIFS($DE$242:$DE$321,$DL$242:$DL$321,"&gt;"&amp;Inputs!$J$81)</f>
        <v>1.4999999999999991</v>
      </c>
      <c r="CH353" s="537">
        <f>IF(Inputs!$F$81/3&gt;MAX(Pile!$DL$70:$DL$149),999999,IF(Pile!CE353/(Pile!CC353/1000)&gt;50,999999,IF(Pile!CE353&lt;2,999999,Pile!CE353)))</f>
        <v>999999</v>
      </c>
      <c r="CI353" s="535">
        <f>IF(Inputs!CE48="Yes",999999,IF(Pile!CF353/(Pile!CC353/1000)&gt;50,999999,IF(Pile!CF353&lt;2,999999,Pile!CF353)))</f>
        <v>999999</v>
      </c>
      <c r="CJ353" s="535">
        <f>IF(Inputs!$F$81/3&gt;MAX(Pile!$DL$242:$DL$321),999999,IF(Pile!CG353/(Pile!CC353/1000)&gt;50,999999,IF(Pile!CG353&lt;2,999999,IF(CG353&gt;25,999999,Pile!CG353))))</f>
        <v>999999</v>
      </c>
      <c r="CK353" s="537">
        <f t="shared" si="386"/>
        <v>213757133.49628538</v>
      </c>
      <c r="CL353" s="535">
        <f t="shared" si="387"/>
        <v>213757133.49628538</v>
      </c>
      <c r="CM353" s="536">
        <f t="shared" si="388"/>
        <v>213757133.49628538</v>
      </c>
      <c r="CN353" s="467">
        <f t="shared" si="389"/>
        <v>3383.1</v>
      </c>
      <c r="CO353" s="522">
        <v>3</v>
      </c>
      <c r="CP353" s="487">
        <v>1200</v>
      </c>
      <c r="CQ353" s="531">
        <f>Inputs!$D$39*3</f>
        <v>189</v>
      </c>
      <c r="CR353" s="535">
        <f>_xlfn.MINIFS($DE$70:$DE$149,$DL$70:$DL$149,"&gt;"&amp;Inputs!$J$88)</f>
        <v>1.4999999999999991</v>
      </c>
      <c r="CS353" s="535">
        <f>_xlfn.MINIFS($DE$156:$DE$235,$DL$156:$DL$235,"&gt;"&amp;Inputs!$J$88)</f>
        <v>0</v>
      </c>
      <c r="CT353" s="536">
        <f>_xlfn.MINIFS($DE$242:$DE$321,$DL$242:$DL$321,"&gt;"&amp;Inputs!$J$88)</f>
        <v>1.4999999999999991</v>
      </c>
      <c r="CU353" s="537">
        <f>IF(Inputs!$F$88/3&gt;MAX(Pile!$DL$70:$DL$149),999999,IF(Pile!CR353/(Pile!CP353/1000)&gt;50,999999,IF(Pile!CR353&lt;2,999999,Pile!CR353)))</f>
        <v>999999</v>
      </c>
      <c r="CV353" s="535">
        <f>IF(Inputs!CR48="Yes",999999,IF(Pile!CS353/(Pile!CP353/1000)&gt;50,999999,IF(Pile!CS353&lt;2,999999,Pile!CS353)))</f>
        <v>999999</v>
      </c>
      <c r="CW353" s="535">
        <f>IF(Inputs!$F$88/3&gt;MAX(Pile!$DL$242:$DL$321),999999,IF(Pile!CT353/(Pile!CP353/1000)&gt;50,999999,IF(Pile!CT353&lt;2,999999,IF(CT353&gt;25,999999,Pile!CT353))))</f>
        <v>999999</v>
      </c>
      <c r="CX353" s="537">
        <f t="shared" si="390"/>
        <v>213757133.49628538</v>
      </c>
      <c r="CY353" s="535">
        <f t="shared" si="391"/>
        <v>213757133.49628538</v>
      </c>
      <c r="CZ353" s="536">
        <f t="shared" si="392"/>
        <v>213757133.49628538</v>
      </c>
      <c r="DA353" s="467">
        <f t="shared" si="393"/>
        <v>3383.1</v>
      </c>
      <c r="DB353" s="522">
        <v>3</v>
      </c>
      <c r="DC353" s="487">
        <v>1200</v>
      </c>
      <c r="DD353" s="531">
        <f>Inputs!$D$39*3</f>
        <v>189</v>
      </c>
      <c r="DE353" s="535">
        <f>_xlfn.MINIFS($DE$70:$DE$149,$DL$70:$DL$149,"&gt;"&amp;Inputs!$J$95)</f>
        <v>1.4999999999999991</v>
      </c>
      <c r="DF353" s="535">
        <f>_xlfn.MINIFS($DE$156:$DE$235,$DL$156:$DL$235,"&gt;"&amp;Inputs!$J$95)</f>
        <v>0</v>
      </c>
      <c r="DG353" s="536">
        <f>_xlfn.MINIFS($DE$242:$DE$321,$DL$242:$DL$321,"&gt;"&amp;Inputs!$J$95)</f>
        <v>1.4999999999999991</v>
      </c>
      <c r="DH353" s="537">
        <f>IF(Inputs!$F$95/3&gt;MAX(Pile!$DL$70:$DL$149),999999,IF(Pile!DE353/(Pile!DC353/1000)&gt;50,999999,IF(Pile!DE353&lt;2,999999,Pile!DE353)))</f>
        <v>999999</v>
      </c>
      <c r="DI353" s="535">
        <f>IF(Inputs!DE48="Yes",999999,IF(Pile!DF353/(Pile!DC353/1000)&gt;50,999999,IF(Pile!DF353&lt;2,999999,Pile!DF353)))</f>
        <v>999999</v>
      </c>
      <c r="DJ353" s="535">
        <f>IF(Inputs!$F$95/3&gt;MAX(Pile!$DL$242:$DL$321),999999,IF(Pile!DG353/(Pile!DC353/1000)&gt;50,999999,IF(Pile!DG353&lt;2,999999,IF(DG353&gt;25,999999,Pile!DG353))))</f>
        <v>999999</v>
      </c>
      <c r="DK353" s="537">
        <f t="shared" si="394"/>
        <v>213757133.49628538</v>
      </c>
      <c r="DL353" s="535">
        <f t="shared" si="395"/>
        <v>213757133.49628538</v>
      </c>
      <c r="DM353" s="536">
        <f t="shared" si="396"/>
        <v>213757133.49628538</v>
      </c>
      <c r="DN353" s="467">
        <f t="shared" si="397"/>
        <v>3383.1</v>
      </c>
      <c r="DO353" s="522">
        <v>3</v>
      </c>
      <c r="DP353" s="487">
        <v>1200</v>
      </c>
      <c r="DQ353" s="531">
        <f>Inputs!$D$39*3</f>
        <v>189</v>
      </c>
      <c r="DR353" s="535">
        <f>_xlfn.MINIFS($DE$70:$DE$149,$DL$70:$DL$149,"&gt;"&amp;Inputs!$J$102)</f>
        <v>0.89999999999999947</v>
      </c>
      <c r="DS353" s="535">
        <f>_xlfn.MINIFS($DE$156:$DE$235,$DL$156:$DL$235,"&gt;"&amp;Inputs!$J$102)</f>
        <v>0</v>
      </c>
      <c r="DT353" s="536">
        <f>_xlfn.MINIFS($DE$242:$DE$321,$DL$242:$DL$321,"&gt;"&amp;Inputs!$J$102)</f>
        <v>0.89999999999999947</v>
      </c>
      <c r="DU353" s="537">
        <f>IF(Inputs!$F$102/3&gt;MAX(Pile!$DL$70:$DL$149),999999,IF(Pile!DR353/(Pile!DP353/1000)&gt;50,999999,IF(Pile!DR353&lt;2,999999,Pile!DR353)))</f>
        <v>999999</v>
      </c>
      <c r="DV353" s="535">
        <f>IF(Inputs!DR48="Yes",999999,IF(Pile!DS353/(Pile!DP353/1000)&gt;50,999999,IF(Pile!DS353&lt;2,999999,Pile!DS353)))</f>
        <v>999999</v>
      </c>
      <c r="DW353" s="535">
        <f>IF(Inputs!$F$102/3&gt;MAX(Pile!$DL$242:$DL$321),999999,IF(Pile!DT353/(Pile!DP353/1000)&gt;50,999999,IF(Pile!DT353&lt;2,999999,IF(DT353&gt;25,999999,Pile!DT353))))</f>
        <v>999999</v>
      </c>
      <c r="DX353" s="537">
        <f t="shared" si="398"/>
        <v>213757133.49628538</v>
      </c>
      <c r="DY353" s="535">
        <f t="shared" si="399"/>
        <v>213757133.49628538</v>
      </c>
      <c r="DZ353" s="536">
        <f t="shared" si="400"/>
        <v>213757133.49628538</v>
      </c>
      <c r="EA353" s="467">
        <f t="shared" si="401"/>
        <v>3383.1</v>
      </c>
      <c r="EB353" s="522">
        <v>3</v>
      </c>
      <c r="EC353" s="487">
        <v>1200</v>
      </c>
      <c r="ED353" s="531">
        <f>Inputs!$D$39*3</f>
        <v>189</v>
      </c>
      <c r="EE353" s="535">
        <f>_xlfn.MINIFS($DE$70:$DE$149,$DL$70:$DL$149,"&gt;"&amp;Inputs!$J$109)</f>
        <v>0.89999999999999947</v>
      </c>
      <c r="EF353" s="535">
        <f>_xlfn.MINIFS($DE$156:$DE$235,$DL$156:$DL$235,"&gt;"&amp;Inputs!$J$109)</f>
        <v>0</v>
      </c>
      <c r="EG353" s="536">
        <f>_xlfn.MINIFS($DE$242:$DE$321,$DL$242:$DL$321,"&gt;"&amp;Inputs!$J$109)</f>
        <v>0.89999999999999947</v>
      </c>
      <c r="EH353" s="537">
        <f>IF(Inputs!$F$109/3&gt;MAX(Pile!$DL$70:$DL$149),999999,IF(Pile!EE353/(Pile!EC353/1000)&gt;50,999999,IF(Pile!EE353&lt;2,999999,Pile!EE353)))</f>
        <v>999999</v>
      </c>
      <c r="EI353" s="535">
        <f>IF(Inputs!EE48="Yes",999999,IF(Pile!EF353/(Pile!EC353/1000)&gt;50,999999,IF(Pile!EF353&lt;2,999999,Pile!EF353)))</f>
        <v>999999</v>
      </c>
      <c r="EJ353" s="535">
        <f>IF(Inputs!$F$109/3&gt;MAX(Pile!$DL$242:$DL$321),999999,IF(Pile!EG353/(Pile!EC353/1000)&gt;50,999999,IF(Pile!EG353&lt;2,999999,IF(EG353&gt;25,999999,Pile!EG353))))</f>
        <v>999999</v>
      </c>
      <c r="EK353" s="537">
        <f t="shared" si="402"/>
        <v>213757133.49628538</v>
      </c>
      <c r="EL353" s="535">
        <f t="shared" si="403"/>
        <v>213757133.49628538</v>
      </c>
      <c r="EM353" s="536">
        <f t="shared" si="404"/>
        <v>213757133.49628538</v>
      </c>
      <c r="EN353" s="467">
        <f t="shared" si="405"/>
        <v>3383.1</v>
      </c>
      <c r="EO353" s="522">
        <v>3</v>
      </c>
      <c r="EP353" s="487">
        <v>1200</v>
      </c>
      <c r="EQ353" s="531">
        <f>Inputs!$D$39*3</f>
        <v>189</v>
      </c>
      <c r="ER353" s="535">
        <f>_xlfn.MINIFS($DE$70:$DE$149,$DL$70:$DL$149,"&gt;"&amp;Inputs!$J$116)</f>
        <v>0.29999999999999982</v>
      </c>
      <c r="ES353" s="535">
        <f>_xlfn.MINIFS($DE$156:$DE$235,$DL$156:$DL$235,"&gt;"&amp;Inputs!$J$116)</f>
        <v>0</v>
      </c>
      <c r="ET353" s="536">
        <f>_xlfn.MINIFS($DE$242:$DE$321,$DL$242:$DL$321,"&gt;"&amp;Inputs!$J$116)</f>
        <v>0.29999999999999982</v>
      </c>
      <c r="EU353" s="537">
        <f>IF(Inputs!$F$116/3&gt;MAX(Pile!$DL$70:$DL$149),999999,IF(Pile!ER353/(Pile!EP353/1000)&gt;50,999999,IF(Pile!ER353&lt;2,999999,Pile!ER353)))</f>
        <v>999999</v>
      </c>
      <c r="EV353" s="535">
        <f>IF(Inputs!ER48="Yes",999999,IF(Inputs!$F$116&gt;MAX(Pile!$DG$156:$DG$235),999999,IF(Pile!ES353/(Pile!EP353/1000)&gt;50,999999,IF(Pile!ES353&lt;2,999999,Pile!ES353))))</f>
        <v>999999</v>
      </c>
      <c r="EW353" s="535">
        <f>IF(Inputs!$F$116/3&gt;MAX(Pile!$DL$242:$DL$321),999999,IF(Pile!ET353/(Pile!EP353/1000)&gt;50,999999,IF(Pile!ET353&lt;2,999999,IF(ET353&gt;25,999999,Pile!ET353))))</f>
        <v>999999</v>
      </c>
      <c r="EX353" s="538">
        <f t="shared" si="360"/>
        <v>213753750.39628538</v>
      </c>
      <c r="EY353" s="539">
        <f t="shared" si="361"/>
        <v>213753750.39628538</v>
      </c>
      <c r="EZ353" s="540">
        <f t="shared" si="362"/>
        <v>213753750.39628538</v>
      </c>
    </row>
    <row r="354" spans="2:158" ht="15">
      <c r="B354" s="541">
        <v>4</v>
      </c>
      <c r="C354" s="492">
        <v>450</v>
      </c>
      <c r="D354" s="542">
        <f>Inputs!$D$39*4</f>
        <v>252</v>
      </c>
      <c r="E354" s="543">
        <f>_xlfn.MINIFS($DE$70:$DE$149,$DG$70:$DG$149,"&gt;"&amp;Inputs!$K$39)</f>
        <v>5.9999999999999982</v>
      </c>
      <c r="F354" s="543">
        <f>_xlfn.MINIFS($DE$156:$DE$235,$DG$156:$DG$235,"&gt;"&amp;Inputs!$K$39)</f>
        <v>5.6999999999999975</v>
      </c>
      <c r="G354" s="544">
        <f>_xlfn.MINIFS($DE$242:$DE$321,$DG$242:$DG$321,"&gt;"&amp;Inputs!$K$39)</f>
        <v>5.6999999999999975</v>
      </c>
      <c r="H354" s="545">
        <f>IF(Inputs!$F$39/4&gt;MAX(Pile!$DG$70:$DG$149),999999,IF(Pile!E354/(Pile!C354/1000)&gt;50,999999,IF(Pile!E354&lt;2,999999,Pile!E354)))</f>
        <v>5.9999999999999982</v>
      </c>
      <c r="I354" s="543">
        <f>IF(Inputs!E49="Yes",999999,IF(Pile!F354/(Pile!C354/1000)&gt;50,999999,IF(Pile!F354&lt;2,999999,Pile!F354)))</f>
        <v>5.6999999999999975</v>
      </c>
      <c r="J354" s="543">
        <f>IF(Inputs!$F$39/4&gt;MAX(Pile!$DG$242:$DG$321),999999,IF(Pile!G354/(Pile!C354/1000)&gt;50,999999,IF(Pile!G354&lt;2,999999,IF(G354&gt;25,999999,Pile!G354))))</f>
        <v>5.6999999999999975</v>
      </c>
      <c r="K354" s="545">
        <f t="shared" si="363"/>
        <v>518.30320966903059</v>
      </c>
      <c r="L354" s="543">
        <f t="shared" si="364"/>
        <v>506.27954918557907</v>
      </c>
      <c r="M354" s="544">
        <f t="shared" si="365"/>
        <v>506.27954918557907</v>
      </c>
      <c r="N354" s="466">
        <f>Inputs!$D$39*G459</f>
        <v>277.83</v>
      </c>
      <c r="O354" s="541">
        <v>4</v>
      </c>
      <c r="P354" s="492">
        <v>450</v>
      </c>
      <c r="Q354" s="542">
        <f>Inputs!$D$39*4</f>
        <v>252</v>
      </c>
      <c r="R354" s="543">
        <f>_xlfn.MINIFS($DE$70:$DE$149,$DG$70:$DG$149,"&gt;"&amp;Inputs!$K$46)</f>
        <v>5.9999999999999982</v>
      </c>
      <c r="S354" s="543">
        <f>_xlfn.MINIFS($DE$156:$DE$235,$DG$156:$DG$235,"&gt;"&amp;Inputs!$K$46)</f>
        <v>5.3999999999999977</v>
      </c>
      <c r="T354" s="544">
        <f>_xlfn.MINIFS($DE$242:$DE$321,$DG$242:$DG$321,"&gt;"&amp;Inputs!$K$46)</f>
        <v>5.6999999999999975</v>
      </c>
      <c r="U354" s="545">
        <f>IF(Inputs!$F$46/4&gt;MAX(Pile!$DG$70:$DG$149),999999,IF(Pile!R354/(Pile!P354/1000)&gt;50,999999,IF(Pile!R354&lt;2,999999,Pile!R354)))</f>
        <v>5.9999999999999982</v>
      </c>
      <c r="V354" s="543">
        <f>IF(Inputs!R49="Yes",999999,IF(Pile!S354/(Pile!P354/1000)&gt;50,999999,IF(Pile!S354&lt;2,999999,Pile!S354)))</f>
        <v>5.3999999999999977</v>
      </c>
      <c r="W354" s="543">
        <f>IF(Inputs!$F$46/4&gt;MAX(Pile!$DG$242:$DG$321),999999,IF(Pile!T354/(Pile!P354/1000)&gt;50,999999,IF(Pile!T354&lt;2,999999,IF(T354&gt;25,999999,Pile!T354))))</f>
        <v>5.6999999999999975</v>
      </c>
      <c r="X354" s="545">
        <f t="shared" si="366"/>
        <v>518.30320966903059</v>
      </c>
      <c r="Y354" s="543">
        <f t="shared" si="367"/>
        <v>494.25588870212755</v>
      </c>
      <c r="Z354" s="544">
        <f t="shared" si="368"/>
        <v>506.27954918557907</v>
      </c>
      <c r="AA354" s="467">
        <f t="shared" si="369"/>
        <v>277.83</v>
      </c>
      <c r="AB354" s="546">
        <v>4</v>
      </c>
      <c r="AC354" s="498">
        <v>450</v>
      </c>
      <c r="AD354" s="547">
        <f>Inputs!$D$39*4</f>
        <v>252</v>
      </c>
      <c r="AE354" s="543">
        <f>_xlfn.MINIFS($DE$70:$DE$149,$DG$70:$DG$149,"&gt;"&amp;Inputs!$K$53)</f>
        <v>5.6999999999999975</v>
      </c>
      <c r="AF354" s="543">
        <f>_xlfn.MINIFS($DE$156:$DE$235,$DG$156:$DG$235,"&gt;"&amp;Inputs!$K$53)</f>
        <v>5.0999999999999979</v>
      </c>
      <c r="AG354" s="544">
        <f>_xlfn.MINIFS($DE$242:$DE$321,$DG$242:$DG$321,"&gt;"&amp;Inputs!$K$53)</f>
        <v>5.3999999999999977</v>
      </c>
      <c r="AH354" s="545">
        <f>IF(Inputs!$F$53/4&gt;MAX(Pile!$DG$70:$DG$149),999999,IF(Pile!AE354/(Pile!AC354/1000)&gt;50,999999,IF(Pile!AE354&lt;2,999999,Pile!AE354)))</f>
        <v>5.6999999999999975</v>
      </c>
      <c r="AI354" s="543">
        <f>IF(Inputs!AE49="Yes",999999,IF(Pile!AF354/(Pile!AC354/1000)&gt;50,999999,IF(Pile!AF354&lt;2,999999,Pile!AF354)))</f>
        <v>5.0999999999999979</v>
      </c>
      <c r="AJ354" s="543">
        <f>IF(Inputs!$F$53/4&gt;MAX(Pile!$DG$242:$DG$321),999999,IF(Pile!AG354/(Pile!AC354/1000)&gt;50,999999,IF(Pile!AG354&lt;2,999999,IF(AG354&gt;25,999999,Pile!AG354))))</f>
        <v>5.3999999999999977</v>
      </c>
      <c r="AK354" s="545">
        <f t="shared" si="370"/>
        <v>506.27954918557907</v>
      </c>
      <c r="AL354" s="543">
        <f t="shared" si="371"/>
        <v>482.23222821867603</v>
      </c>
      <c r="AM354" s="544">
        <f t="shared" si="372"/>
        <v>494.25588870212755</v>
      </c>
      <c r="AN354" s="471">
        <f t="shared" si="373"/>
        <v>277.83</v>
      </c>
      <c r="AO354" s="546">
        <v>4</v>
      </c>
      <c r="AP354" s="498">
        <v>450</v>
      </c>
      <c r="AQ354" s="547">
        <f>Inputs!$D$39*4</f>
        <v>252</v>
      </c>
      <c r="AR354" s="543">
        <f>_xlfn.MINIFS($DE$70:$DE$149,$DG$70:$DG$149,"&gt;"&amp;Inputs!$K$60)</f>
        <v>5.3999999999999977</v>
      </c>
      <c r="AS354" s="543">
        <f>_xlfn.MINIFS($DE$156:$DE$235,$DG$156:$DG$235,"&gt;"&amp;Inputs!$K$60)</f>
        <v>4.799999999999998</v>
      </c>
      <c r="AT354" s="544">
        <f>_xlfn.MINIFS($DE$242:$DE$321,$DG$242:$DG$321,"&gt;"&amp;Inputs!$K$60)</f>
        <v>4.799999999999998</v>
      </c>
      <c r="AU354" s="545">
        <f>IF(Inputs!$F$60/4&gt;MAX(Pile!$DG$70:$DG$149),999999,IF(Pile!AR354/(Pile!AP354/1000)&gt;50,999999,IF(Pile!AR354&lt;2,999999,Pile!AR354)))</f>
        <v>5.3999999999999977</v>
      </c>
      <c r="AV354" s="543">
        <f>IF(Inputs!AR49="Yes",999999,IF(Pile!AS354/(Pile!AP354/1000)&gt;50,999999,IF(Pile!AS354&lt;2,999999,Pile!AS354)))</f>
        <v>4.799999999999998</v>
      </c>
      <c r="AW354" s="543">
        <f>IF(Inputs!$F$60/4&gt;MAX(Pile!$DG$242:$DG$321),999999,IF(Pile!AT354/(Pile!AP354/1000)&gt;50,999999,IF(Pile!AT354&lt;2,999999,IF(AT354&gt;25,999999,Pile!AT354))))</f>
        <v>4.799999999999998</v>
      </c>
      <c r="AX354" s="545">
        <f t="shared" si="374"/>
        <v>494.25588870212755</v>
      </c>
      <c r="AY354" s="543">
        <f t="shared" si="375"/>
        <v>470.20856773522451</v>
      </c>
      <c r="AZ354" s="544">
        <f t="shared" si="376"/>
        <v>470.20856773522451</v>
      </c>
      <c r="BA354" s="467">
        <f t="shared" si="377"/>
        <v>277.83</v>
      </c>
      <c r="BB354" s="546">
        <v>4</v>
      </c>
      <c r="BC354" s="498">
        <v>450</v>
      </c>
      <c r="BD354" s="547">
        <f>Inputs!$D$39*4</f>
        <v>252</v>
      </c>
      <c r="BE354" s="543">
        <f>_xlfn.MINIFS($DE$70:$DE$149,$DG$70:$DG$149,"&gt;"&amp;Inputs!$K$67)</f>
        <v>5.6999999999999975</v>
      </c>
      <c r="BF354" s="543">
        <f>_xlfn.MINIFS($DE$156:$DE$235,$DG$156:$DG$235,"&gt;"&amp;Inputs!$K$67)</f>
        <v>5.3999999999999977</v>
      </c>
      <c r="BG354" s="544">
        <f>_xlfn.MINIFS($DE$242:$DE$321,$DG$242:$DG$321,"&gt;"&amp;Inputs!$K$67)</f>
        <v>5.3999999999999977</v>
      </c>
      <c r="BH354" s="545">
        <f>IF(Inputs!$F$67/4&gt;MAX(Pile!$DG$70:$DG$149),999999,IF(Pile!BE354/(Pile!BC354/1000)&gt;50,999999,IF(Pile!BE354&lt;2,999999,Pile!BE354)))</f>
        <v>5.6999999999999975</v>
      </c>
      <c r="BI354" s="543">
        <f>IF(Inputs!BE49="Yes",999999,IF(Pile!BF354/(Pile!BC354/1000)&gt;50,999999,IF(Pile!BF354&lt;2,999999,Pile!BF354)))</f>
        <v>5.3999999999999977</v>
      </c>
      <c r="BJ354" s="543">
        <f>IF(Inputs!$F$67/4&gt;MAX(Pile!$DG$242:$DG$321),999999,IF(Pile!BG354/(Pile!BC354/1000)&gt;50,999999,IF(Pile!BG354&lt;2,999999,IF(BG354&gt;25,999999,Pile!BG354))))</f>
        <v>5.3999999999999977</v>
      </c>
      <c r="BK354" s="545">
        <f t="shared" si="378"/>
        <v>506.27954918557907</v>
      </c>
      <c r="BL354" s="543">
        <f t="shared" si="379"/>
        <v>494.25588870212755</v>
      </c>
      <c r="BM354" s="544">
        <f t="shared" si="380"/>
        <v>494.25588870212755</v>
      </c>
      <c r="BN354" s="467">
        <f t="shared" si="381"/>
        <v>277.83</v>
      </c>
      <c r="BO354" s="546">
        <v>4</v>
      </c>
      <c r="BP354" s="498">
        <v>450</v>
      </c>
      <c r="BQ354" s="547">
        <f>Inputs!$D$39*4</f>
        <v>252</v>
      </c>
      <c r="BR354" s="543">
        <f>_xlfn.MINIFS($DE$70:$DE$149,$DG$70:$DG$149,"&gt;"&amp;Inputs!$K$74)</f>
        <v>13.499999999999996</v>
      </c>
      <c r="BS354" s="543">
        <f>_xlfn.MINIFS($DE$156:$DE$235,$DG$156:$DG$235,"&gt;"&amp;Inputs!$K$74)</f>
        <v>5.9999999999999982</v>
      </c>
      <c r="BT354" s="544">
        <f>_xlfn.MINIFS($DE$242:$DE$321,$DG$242:$DG$321,"&gt;"&amp;Inputs!$K$74)</f>
        <v>5.9999999999999982</v>
      </c>
      <c r="BU354" s="545">
        <f>IF(Inputs!$F$74/4&gt;MAX(Pile!$DG$70:$DG$149),999999,IF(Pile!BR354/(Pile!BP354/1000)&gt;50,999999,IF(Pile!BR354&lt;2,999999,Pile!BR354)))</f>
        <v>13.499999999999996</v>
      </c>
      <c r="BV354" s="543">
        <f>IF(Inputs!BR49="Yes",999999,IF(Pile!BS354/(Pile!BP354/1000)&gt;50,999999,IF(Pile!BS354&lt;2,999999,Pile!BS354)))</f>
        <v>5.9999999999999982</v>
      </c>
      <c r="BW354" s="543">
        <f>IF(Inputs!$F$74/4&gt;MAX(Pile!$DG$242:$DG$321),999999,IF(Pile!BT354/(Pile!BP354/1000)&gt;50,999999,IF(Pile!BT354&lt;2,999999,IF(BT354&gt;25,999999,Pile!BT354))))</f>
        <v>5.9999999999999982</v>
      </c>
      <c r="BX354" s="545">
        <f t="shared" si="382"/>
        <v>818.8947217553191</v>
      </c>
      <c r="BY354" s="543">
        <f t="shared" si="383"/>
        <v>518.30320966903059</v>
      </c>
      <c r="BZ354" s="544">
        <f t="shared" si="384"/>
        <v>518.30320966903059</v>
      </c>
      <c r="CA354" s="467">
        <f t="shared" si="385"/>
        <v>277.83</v>
      </c>
      <c r="CB354" s="546">
        <v>4</v>
      </c>
      <c r="CC354" s="498">
        <v>450</v>
      </c>
      <c r="CD354" s="547">
        <f>Inputs!$D$39*4</f>
        <v>252</v>
      </c>
      <c r="CE354" s="543">
        <f>_xlfn.MINIFS($DE$70:$DE$149,$DG$70:$DG$149,"&gt;"&amp;Inputs!$K$81)</f>
        <v>5.3999999999999977</v>
      </c>
      <c r="CF354" s="543">
        <f>_xlfn.MINIFS($DE$156:$DE$235,$DG$156:$DG$235,"&gt;"&amp;Inputs!$K$81)</f>
        <v>4.799999999999998</v>
      </c>
      <c r="CG354" s="544">
        <f>_xlfn.MINIFS($DE$242:$DE$321,$DG$242:$DG$321,"&gt;"&amp;Inputs!$K$81)</f>
        <v>4.799999999999998</v>
      </c>
      <c r="CH354" s="545">
        <f>IF(Inputs!$F$81/4&gt;MAX(Pile!$DG$70:$DG$149),999999,IF(Pile!CE354/(Pile!CC354/1000)&gt;50,999999,IF(Pile!CE354&lt;2,999999,Pile!CE354)))</f>
        <v>5.3999999999999977</v>
      </c>
      <c r="CI354" s="543">
        <f>IF(Inputs!CE49="Yes",999999,IF(Pile!CF354/(Pile!CC354/1000)&gt;50,999999,IF(Pile!CF354&lt;2,999999,Pile!CF354)))</f>
        <v>4.799999999999998</v>
      </c>
      <c r="CJ354" s="543">
        <f>IF(Inputs!$F$81/4&gt;MAX(Pile!$DG$242:$DG$321),999999,IF(Pile!CG354/(Pile!CC354/1000)&gt;50,999999,IF(Pile!CG354&lt;2,999999,IF(CG354&gt;25,999999,Pile!CG354))))</f>
        <v>4.799999999999998</v>
      </c>
      <c r="CK354" s="545">
        <f t="shared" si="386"/>
        <v>494.25588870212755</v>
      </c>
      <c r="CL354" s="543">
        <f t="shared" si="387"/>
        <v>470.20856773522451</v>
      </c>
      <c r="CM354" s="544">
        <f t="shared" si="388"/>
        <v>470.20856773522451</v>
      </c>
      <c r="CN354" s="467">
        <f t="shared" si="389"/>
        <v>277.83</v>
      </c>
      <c r="CO354" s="546">
        <v>4</v>
      </c>
      <c r="CP354" s="498">
        <v>450</v>
      </c>
      <c r="CQ354" s="547">
        <f>Inputs!$D$39*4</f>
        <v>252</v>
      </c>
      <c r="CR354" s="543">
        <f>_xlfn.MINIFS($DE$70:$DE$149,$DG$70:$DG$149,"&gt;"&amp;Inputs!$K$88)</f>
        <v>4.799999999999998</v>
      </c>
      <c r="CS354" s="543">
        <f>_xlfn.MINIFS($DE$156:$DE$235,$DG$156:$DG$235,"&gt;"&amp;Inputs!$K$88)</f>
        <v>4.1999999999999975</v>
      </c>
      <c r="CT354" s="544">
        <f>_xlfn.MINIFS($DE$242:$DE$321,$DG$242:$DG$321,"&gt;"&amp;Inputs!$K$88)</f>
        <v>4.4999999999999982</v>
      </c>
      <c r="CU354" s="545">
        <f>IF(Inputs!$F$88/4&gt;MAX(Pile!$DG$70:$DG$149),999999,IF(Pile!CR354/(Pile!CP354/1000)&gt;50,999999,IF(Pile!CR354&lt;2,999999,Pile!CR354)))</f>
        <v>4.799999999999998</v>
      </c>
      <c r="CV354" s="543">
        <f>IF(Inputs!CR49="Yes",999999,IF(Pile!CS354/(Pile!CP354/1000)&gt;50,999999,IF(Pile!CS354&lt;2,999999,Pile!CS354)))</f>
        <v>4.1999999999999975</v>
      </c>
      <c r="CW354" s="543">
        <f>IF(Inputs!$F$88/4&gt;MAX(Pile!$DG$242:$DG$321),999999,IF(Pile!CT354/(Pile!CP354/1000)&gt;50,999999,IF(Pile!CT354&lt;2,999999,IF(CT354&gt;25,999999,Pile!CT354))))</f>
        <v>4.4999999999999982</v>
      </c>
      <c r="CX354" s="545">
        <f t="shared" si="390"/>
        <v>470.20856773522451</v>
      </c>
      <c r="CY354" s="543">
        <f t="shared" si="391"/>
        <v>446.1612467683214</v>
      </c>
      <c r="CZ354" s="544">
        <f t="shared" si="392"/>
        <v>458.18490725177298</v>
      </c>
      <c r="DA354" s="467">
        <f t="shared" si="393"/>
        <v>277.83</v>
      </c>
      <c r="DB354" s="546">
        <v>4</v>
      </c>
      <c r="DC354" s="498">
        <v>450</v>
      </c>
      <c r="DD354" s="547">
        <f>Inputs!$D$39*4</f>
        <v>252</v>
      </c>
      <c r="DE354" s="543">
        <f>_xlfn.MINIFS($DE$70:$DE$149,$DG$70:$DG$149,"&gt;"&amp;Inputs!$K$95)</f>
        <v>4.799999999999998</v>
      </c>
      <c r="DF354" s="543">
        <f>_xlfn.MINIFS($DE$156:$DE$235,$DG$156:$DG$235,"&gt;"&amp;Inputs!$K$95)</f>
        <v>4.4999999999999982</v>
      </c>
      <c r="DG354" s="544">
        <f>_xlfn.MINIFS($DE$242:$DE$321,$DG$242:$DG$321,"&gt;"&amp;Inputs!$K$95)</f>
        <v>4.4999999999999982</v>
      </c>
      <c r="DH354" s="545">
        <f>IF(Inputs!$F$95/4&gt;MAX(Pile!$DG$70:$DG$149),999999,IF(Pile!DE354/(Pile!DC354/1000)&gt;50,999999,IF(Pile!DE354&lt;2,999999,Pile!DE354)))</f>
        <v>4.799999999999998</v>
      </c>
      <c r="DI354" s="543">
        <f>IF(Inputs!DE49="Yes",999999,IF(Pile!DF354/(Pile!DC354/1000)&gt;50,999999,IF(Pile!DF354&lt;2,999999,Pile!DF354)))</f>
        <v>4.4999999999999982</v>
      </c>
      <c r="DJ354" s="543">
        <f>IF(Inputs!$F$95/4&gt;MAX(Pile!$DG$242:$DG$321),999999,IF(Pile!DG354/(Pile!DC354/1000)&gt;50,999999,IF(Pile!DG354&lt;2,999999,IF(DG354&gt;25,999999,Pile!DG354))))</f>
        <v>4.4999999999999982</v>
      </c>
      <c r="DK354" s="545">
        <f t="shared" si="394"/>
        <v>470.20856773522451</v>
      </c>
      <c r="DL354" s="543">
        <f t="shared" si="395"/>
        <v>458.18490725177298</v>
      </c>
      <c r="DM354" s="544">
        <f t="shared" si="396"/>
        <v>458.18490725177298</v>
      </c>
      <c r="DN354" s="467">
        <f t="shared" si="397"/>
        <v>277.83</v>
      </c>
      <c r="DO354" s="546">
        <v>4</v>
      </c>
      <c r="DP354" s="498">
        <v>450</v>
      </c>
      <c r="DQ354" s="547">
        <f>Inputs!$D$39*4</f>
        <v>252</v>
      </c>
      <c r="DR354" s="543">
        <f>_xlfn.MINIFS($DE$70:$DE$149,$DG$70:$DG$149,"&gt;"&amp;Inputs!$K$102)</f>
        <v>3.5999999999999979</v>
      </c>
      <c r="DS354" s="543">
        <f>_xlfn.MINIFS($DE$156:$DE$235,$DG$156:$DG$235,"&gt;"&amp;Inputs!$K$102)</f>
        <v>2.9999999999999982</v>
      </c>
      <c r="DT354" s="544">
        <f>_xlfn.MINIFS($DE$242:$DE$321,$DG$242:$DG$321,"&gt;"&amp;Inputs!$K$102)</f>
        <v>3.299999999999998</v>
      </c>
      <c r="DU354" s="545">
        <f>IF(Inputs!$F$102/4&gt;MAX(Pile!$DG$70:$DG$149),999999,IF(Pile!DR354/(Pile!DP354/1000)&gt;50,999999,IF(Pile!DR354&lt;2,999999,Pile!DR354)))</f>
        <v>3.5999999999999979</v>
      </c>
      <c r="DV354" s="543">
        <f>IF(Inputs!DR49="Yes",999999,IF(Pile!DS354/(Pile!DP354/1000)&gt;50,999999,IF(Pile!DS354&lt;2,999999,Pile!DS354)))</f>
        <v>2.9999999999999982</v>
      </c>
      <c r="DW354" s="543">
        <f>IF(Inputs!$F$102/4&gt;MAX(Pile!$DG$242:$DG$321),999999,IF(Pile!DT354/(Pile!DP354/1000)&gt;50,999999,IF(Pile!DT354&lt;2,999999,IF(DT354&gt;25,999999,Pile!DT354))))</f>
        <v>3.299999999999998</v>
      </c>
      <c r="DX354" s="545">
        <f t="shared" si="398"/>
        <v>422.1139258014183</v>
      </c>
      <c r="DY354" s="543">
        <f t="shared" si="399"/>
        <v>398.06660483451526</v>
      </c>
      <c r="DZ354" s="544">
        <f t="shared" si="400"/>
        <v>410.09026531796678</v>
      </c>
      <c r="EA354" s="467">
        <f t="shared" si="401"/>
        <v>277.83</v>
      </c>
      <c r="EB354" s="546">
        <v>4</v>
      </c>
      <c r="EC354" s="498">
        <v>450</v>
      </c>
      <c r="ED354" s="547">
        <f>Inputs!$D$39*4</f>
        <v>252</v>
      </c>
      <c r="EE354" s="543">
        <f>_xlfn.MINIFS($DE$70:$DE$149,$DG$70:$DG$149,"&gt;"&amp;Inputs!$K$109)</f>
        <v>3.5999999999999979</v>
      </c>
      <c r="EF354" s="543">
        <f>_xlfn.MINIFS($DE$156:$DE$235,$DG$156:$DG$235,"&gt;"&amp;Inputs!$K$109)</f>
        <v>3.299999999999998</v>
      </c>
      <c r="EG354" s="544">
        <f>_xlfn.MINIFS($DE$242:$DE$321,$DG$242:$DG$321,"&gt;"&amp;Inputs!$K$109)</f>
        <v>3.299999999999998</v>
      </c>
      <c r="EH354" s="545">
        <f>IF(Inputs!$F$109/4&gt;MAX(Pile!$DG$70:$DG$149),999999,IF(Pile!EE354/(Pile!EC354/1000)&gt;50,999999,IF(Pile!EE354&lt;2,999999,Pile!EE354)))</f>
        <v>3.5999999999999979</v>
      </c>
      <c r="EI354" s="543">
        <f>IF(Inputs!EE49="Yes",999999,IF(Pile!EF354/(Pile!EC354/1000)&gt;50,999999,IF(Pile!EF354&lt;2,999999,Pile!EF354)))</f>
        <v>3.299999999999998</v>
      </c>
      <c r="EJ354" s="543">
        <f>IF(Inputs!$F$109/4&gt;MAX(Pile!$DG$242:$DG$321),999999,IF(Pile!EG354/(Pile!EC354/1000)&gt;50,999999,IF(Pile!EG354&lt;2,999999,IF(EG354&gt;25,999999,Pile!EG354))))</f>
        <v>3.299999999999998</v>
      </c>
      <c r="EK354" s="545">
        <f t="shared" si="402"/>
        <v>422.1139258014183</v>
      </c>
      <c r="EL354" s="543">
        <f t="shared" si="403"/>
        <v>410.09026531796678</v>
      </c>
      <c r="EM354" s="544">
        <f t="shared" si="404"/>
        <v>410.09026531796678</v>
      </c>
      <c r="EN354" s="467">
        <f t="shared" si="405"/>
        <v>277.83</v>
      </c>
      <c r="EO354" s="546">
        <v>4</v>
      </c>
      <c r="EP354" s="498">
        <v>450</v>
      </c>
      <c r="EQ354" s="547">
        <f>Inputs!$D$39*4</f>
        <v>252</v>
      </c>
      <c r="ER354" s="543">
        <f>_xlfn.MINIFS($DE$70:$DE$149,$DG$70:$DG$149,"&gt;"&amp;Inputs!$K$116)</f>
        <v>0.29999999999999982</v>
      </c>
      <c r="ES354" s="543">
        <f>_xlfn.MINIFS($DE$156:$DE$235,$DG$156:$DG$235,"&gt;"&amp;Inputs!$K$116)</f>
        <v>0.29999999999999982</v>
      </c>
      <c r="ET354" s="544">
        <f>_xlfn.MINIFS($DE$242:$DE$321,$DG$242:$DG$321,"&gt;"&amp;Inputs!$K$116)</f>
        <v>0.29999999999999982</v>
      </c>
      <c r="EU354" s="545">
        <f>IF(Inputs!$F$116/4&gt;MAX(Pile!$DG$70:$DG$149),999999,IF(Pile!ER354/(Pile!EP354/1000)&gt;50,999999,IF(Pile!ER354&lt;2,999999,Pile!ER354)))</f>
        <v>999999</v>
      </c>
      <c r="EV354" s="543">
        <f>IF(Inputs!ER49="Yes",999999,IF(Inputs!$F$116&gt;MAX(Pile!$DG$156:$DG$235),999999,IF(Pile!ES354/(Pile!EP354/1000)&gt;50,999999,IF(Pile!ES354&lt;2,999999,Pile!ES354))))</f>
        <v>999999</v>
      </c>
      <c r="EW354" s="543">
        <f>IF(Inputs!$F$116/4&gt;MAX(Pile!$DG$242:$DG$321),999999,IF(Pile!ET354/(Pile!EP354/1000)&gt;50,999999,IF(Pile!ET354&lt;2,999999,IF(ET354&gt;25,999999,Pile!ET354))))</f>
        <v>999999</v>
      </c>
      <c r="EX354" s="548">
        <f t="shared" si="360"/>
        <v>40078828.199303508</v>
      </c>
      <c r="EY354" s="549">
        <f t="shared" si="361"/>
        <v>40078828.199303508</v>
      </c>
      <c r="EZ354" s="550">
        <f t="shared" si="362"/>
        <v>40078828.199303508</v>
      </c>
    </row>
    <row r="355" spans="2:158" ht="15">
      <c r="B355" s="541">
        <v>4</v>
      </c>
      <c r="C355" s="476">
        <v>600</v>
      </c>
      <c r="D355" s="551">
        <f>Inputs!$D$39*4</f>
        <v>252</v>
      </c>
      <c r="E355" s="552">
        <f>_xlfn.MINIFS($DE$70:$DE$149,$DH$70:$DH$149,"&gt;"&amp;Inputs!$K$39)</f>
        <v>4.4999999999999982</v>
      </c>
      <c r="F355" s="552">
        <f>_xlfn.MINIFS($DE$156:$DE$235,$DH$156:$DH$235,"&gt;"&amp;Inputs!$K$39)</f>
        <v>3.8999999999999977</v>
      </c>
      <c r="G355" s="553">
        <f>_xlfn.MINIFS($DE$242:$DE$321,$DH$242:$DH$321,"&gt;"&amp;Inputs!$K$39)</f>
        <v>4.1999999999999975</v>
      </c>
      <c r="H355" s="554">
        <f>IF(Inputs!$F$39/4&gt;MAX(Pile!$DH$70:$DH$149),999999,IF(Pile!E355/(Pile!C355/1000)&gt;50,999999,IF(Pile!E355&lt;2,999999,Pile!E355)))</f>
        <v>4.4999999999999982</v>
      </c>
      <c r="I355" s="552">
        <f>IF(Inputs!E50="Yes",999999,IF(Pile!F355/(Pile!C355/1000)&gt;50,999999,IF(Pile!F355&lt;2,999999,Pile!F355)))</f>
        <v>3.8999999999999977</v>
      </c>
      <c r="J355" s="552">
        <f>IF(Inputs!$F$39/4&gt;MAX(Pile!$DH$242:$DH$321),999999,IF(Pile!G355/(Pile!C355/1000)&gt;50,999999,IF(Pile!G355&lt;2,999999,IF(G355&gt;25,999999,Pile!G355))))</f>
        <v>4.1999999999999975</v>
      </c>
      <c r="K355" s="554">
        <f t="shared" si="363"/>
        <v>963.6089462253741</v>
      </c>
      <c r="L355" s="552">
        <f t="shared" si="364"/>
        <v>920.85815339532417</v>
      </c>
      <c r="M355" s="553">
        <f t="shared" si="365"/>
        <v>942.23354981034913</v>
      </c>
      <c r="N355" s="466">
        <f>Inputs!$D$39*G460</f>
        <v>642.97799999999995</v>
      </c>
      <c r="O355" s="541">
        <v>4</v>
      </c>
      <c r="P355" s="476">
        <v>600</v>
      </c>
      <c r="Q355" s="551">
        <f>Inputs!$D$39*4</f>
        <v>252</v>
      </c>
      <c r="R355" s="552">
        <f>_xlfn.MINIFS($DE$70:$DE$149,$DH$70:$DH$149,"&gt;"&amp;Inputs!$K$46)</f>
        <v>4.1999999999999975</v>
      </c>
      <c r="S355" s="552">
        <f>_xlfn.MINIFS($DE$156:$DE$235,$DH$156:$DH$235,"&gt;"&amp;Inputs!$K$46)</f>
        <v>3.8999999999999977</v>
      </c>
      <c r="T355" s="553">
        <f>_xlfn.MINIFS($DE$242:$DE$321,$DH$242:$DH$321,"&gt;"&amp;Inputs!$K$46)</f>
        <v>3.8999999999999977</v>
      </c>
      <c r="U355" s="554">
        <f>IF(Inputs!$F$46/4&gt;MAX(Pile!$DH$70:$DH$149),999999,IF(Pile!R355/(Pile!P355/1000)&gt;50,999999,IF(Pile!R355&lt;2,999999,Pile!R355)))</f>
        <v>4.1999999999999975</v>
      </c>
      <c r="V355" s="552">
        <f>IF(Inputs!R50="Yes",999999,IF(Pile!S355/(Pile!P355/1000)&gt;50,999999,IF(Pile!S355&lt;2,999999,Pile!S355)))</f>
        <v>3.8999999999999977</v>
      </c>
      <c r="W355" s="552">
        <f>IF(Inputs!$F$46/4&gt;MAX(Pile!$DH$242:$DH$321),999999,IF(Pile!T355/(Pile!P355/1000)&gt;50,999999,IF(Pile!T355&lt;2,999999,IF(T355&gt;25,999999,Pile!T355))))</f>
        <v>3.8999999999999977</v>
      </c>
      <c r="X355" s="554">
        <f t="shared" si="366"/>
        <v>942.23354981034913</v>
      </c>
      <c r="Y355" s="552">
        <f t="shared" si="367"/>
        <v>920.85815339532417</v>
      </c>
      <c r="Z355" s="553">
        <f t="shared" si="368"/>
        <v>920.85815339532417</v>
      </c>
      <c r="AA355" s="467">
        <f t="shared" si="369"/>
        <v>642.97799999999995</v>
      </c>
      <c r="AB355" s="546">
        <v>4</v>
      </c>
      <c r="AC355" s="479">
        <v>600</v>
      </c>
      <c r="AD355" s="555">
        <f>Inputs!$D$39*4</f>
        <v>252</v>
      </c>
      <c r="AE355" s="552">
        <f>_xlfn.MINIFS($DE$70:$DE$149,$DH$70:$DH$149,"&gt;"&amp;Inputs!$K$53)</f>
        <v>3.8999999999999977</v>
      </c>
      <c r="AF355" s="552">
        <f>_xlfn.MINIFS($DE$156:$DE$235,$DH$156:$DH$235,"&gt;"&amp;Inputs!$K$53)</f>
        <v>3.5999999999999979</v>
      </c>
      <c r="AG355" s="553">
        <f>_xlfn.MINIFS($DE$242:$DE$321,$DH$242:$DH$321,"&gt;"&amp;Inputs!$K$53)</f>
        <v>3.8999999999999977</v>
      </c>
      <c r="AH355" s="554">
        <f>IF(Inputs!$F$53/4&gt;MAX(Pile!$DH$70:$DH$149),999999,IF(Pile!AE355/(Pile!AC355/1000)&gt;50,999999,IF(Pile!AE355&lt;2,999999,Pile!AE355)))</f>
        <v>3.8999999999999977</v>
      </c>
      <c r="AI355" s="552">
        <f>IF(Inputs!AE50="Yes",999999,IF(Pile!AF355/(Pile!AC355/1000)&gt;50,999999,IF(Pile!AF355&lt;2,999999,Pile!AF355)))</f>
        <v>3.5999999999999979</v>
      </c>
      <c r="AJ355" s="552">
        <f>IF(Inputs!$F$53/4&gt;MAX(Pile!$DH$242:$DH$321),999999,IF(Pile!AG355/(Pile!AC355/1000)&gt;50,999999,IF(Pile!AG355&lt;2,999999,IF(AG355&gt;25,999999,Pile!AG355))))</f>
        <v>3.8999999999999977</v>
      </c>
      <c r="AK355" s="554">
        <f t="shared" si="370"/>
        <v>920.85815339532417</v>
      </c>
      <c r="AL355" s="552">
        <f t="shared" si="371"/>
        <v>899.4827569802992</v>
      </c>
      <c r="AM355" s="553">
        <f t="shared" si="372"/>
        <v>920.85815339532417</v>
      </c>
      <c r="AN355" s="471">
        <f t="shared" si="373"/>
        <v>642.97799999999995</v>
      </c>
      <c r="AO355" s="546">
        <v>4</v>
      </c>
      <c r="AP355" s="479">
        <v>600</v>
      </c>
      <c r="AQ355" s="555">
        <f>Inputs!$D$39*4</f>
        <v>252</v>
      </c>
      <c r="AR355" s="552">
        <f>_xlfn.MINIFS($DE$70:$DE$149,$DH$70:$DH$149,"&gt;"&amp;Inputs!$K$60)</f>
        <v>3.5999999999999979</v>
      </c>
      <c r="AS355" s="552">
        <f>_xlfn.MINIFS($DE$156:$DE$235,$DH$156:$DH$235,"&gt;"&amp;Inputs!$K$60)</f>
        <v>3.299999999999998</v>
      </c>
      <c r="AT355" s="553">
        <f>_xlfn.MINIFS($DE$242:$DE$321,$DH$242:$DH$321,"&gt;"&amp;Inputs!$K$60)</f>
        <v>3.5999999999999979</v>
      </c>
      <c r="AU355" s="554">
        <f>IF(Inputs!$F$60/4&gt;MAX(Pile!$DH$70:$DH$149),999999,IF(Pile!AR355/(Pile!AP355/1000)&gt;50,999999,IF(Pile!AR355&lt;2,999999,Pile!AR355)))</f>
        <v>3.5999999999999979</v>
      </c>
      <c r="AV355" s="552">
        <f>IF(Inputs!AR50="Yes",999999,IF(Pile!AS355/(Pile!AP355/1000)&gt;50,999999,IF(Pile!AS355&lt;2,999999,Pile!AS355)))</f>
        <v>3.299999999999998</v>
      </c>
      <c r="AW355" s="552">
        <f>IF(Inputs!$F$60/4&gt;MAX(Pile!$DH$242:$DH$321),999999,IF(Pile!AT355/(Pile!AP355/1000)&gt;50,999999,IF(Pile!AT355&lt;2,999999,IF(AT355&gt;25,999999,Pile!AT355))))</f>
        <v>3.5999999999999979</v>
      </c>
      <c r="AX355" s="554">
        <f t="shared" si="374"/>
        <v>899.4827569802992</v>
      </c>
      <c r="AY355" s="552">
        <f t="shared" si="375"/>
        <v>878.10736056527435</v>
      </c>
      <c r="AZ355" s="553">
        <f t="shared" si="376"/>
        <v>899.4827569802992</v>
      </c>
      <c r="BA355" s="467">
        <f t="shared" si="377"/>
        <v>642.97799999999995</v>
      </c>
      <c r="BB355" s="546">
        <v>4</v>
      </c>
      <c r="BC355" s="479">
        <v>600</v>
      </c>
      <c r="BD355" s="555">
        <f>Inputs!$D$39*4</f>
        <v>252</v>
      </c>
      <c r="BE355" s="552">
        <f>_xlfn.MINIFS($DE$70:$DE$149,$DH$70:$DH$149,"&gt;"&amp;Inputs!$K$67)</f>
        <v>4.1999999999999975</v>
      </c>
      <c r="BF355" s="552">
        <f>_xlfn.MINIFS($DE$156:$DE$235,$DH$156:$DH$235,"&gt;"&amp;Inputs!$K$67)</f>
        <v>3.5999999999999979</v>
      </c>
      <c r="BG355" s="553">
        <f>_xlfn.MINIFS($DE$242:$DE$321,$DH$242:$DH$321,"&gt;"&amp;Inputs!$K$67)</f>
        <v>3.8999999999999977</v>
      </c>
      <c r="BH355" s="554">
        <f>IF(Inputs!$F$67/4&gt;MAX(Pile!$DH$70:$DH$149),999999,IF(Pile!BE355/(Pile!BC355/1000)&gt;50,999999,IF(Pile!BE355&lt;2,999999,Pile!BE355)))</f>
        <v>4.1999999999999975</v>
      </c>
      <c r="BI355" s="552">
        <f>IF(Inputs!BE50="Yes",999999,IF(Pile!BF355/(Pile!BC355/1000)&gt;50,999999,IF(Pile!BF355&lt;2,999999,Pile!BF355)))</f>
        <v>3.5999999999999979</v>
      </c>
      <c r="BJ355" s="552">
        <f>IF(Inputs!$F$67/4&gt;MAX(Pile!$DH$242:$DH$321),999999,IF(Pile!BG355/(Pile!BC355/1000)&gt;50,999999,IF(Pile!BG355&lt;2,999999,IF(BG355&gt;25,999999,Pile!BG355))))</f>
        <v>3.8999999999999977</v>
      </c>
      <c r="BK355" s="554">
        <f t="shared" si="378"/>
        <v>942.23354981034913</v>
      </c>
      <c r="BL355" s="552">
        <f t="shared" si="379"/>
        <v>899.4827569802992</v>
      </c>
      <c r="BM355" s="553">
        <f t="shared" si="380"/>
        <v>920.85815339532417</v>
      </c>
      <c r="BN355" s="467">
        <f t="shared" si="381"/>
        <v>642.97799999999995</v>
      </c>
      <c r="BO355" s="546">
        <v>4</v>
      </c>
      <c r="BP355" s="479">
        <v>600</v>
      </c>
      <c r="BQ355" s="555">
        <f>Inputs!$D$39*4</f>
        <v>252</v>
      </c>
      <c r="BR355" s="552">
        <f>_xlfn.MINIFS($DE$70:$DE$149,$DH$70:$DH$149,"&gt;"&amp;Inputs!$K$74)</f>
        <v>4.799999999999998</v>
      </c>
      <c r="BS355" s="552">
        <f>_xlfn.MINIFS($DE$156:$DE$235,$DH$156:$DH$235,"&gt;"&amp;Inputs!$K$74)</f>
        <v>4.1999999999999975</v>
      </c>
      <c r="BT355" s="553">
        <f>_xlfn.MINIFS($DE$242:$DE$321,$DH$242:$DH$321,"&gt;"&amp;Inputs!$K$74)</f>
        <v>4.4999999999999982</v>
      </c>
      <c r="BU355" s="554">
        <f>IF(Inputs!$F$74/4&gt;MAX(Pile!$DH$70:$DH$149),999999,IF(Pile!BR355/(Pile!BP355/1000)&gt;50,999999,IF(Pile!BR355&lt;2,999999,Pile!BR355)))</f>
        <v>4.799999999999998</v>
      </c>
      <c r="BV355" s="552">
        <f>IF(Inputs!BR50="Yes",999999,IF(Pile!BS355/(Pile!BP355/1000)&gt;50,999999,IF(Pile!BS355&lt;2,999999,Pile!BS355)))</f>
        <v>4.1999999999999975</v>
      </c>
      <c r="BW355" s="552">
        <f>IF(Inputs!$F$74/4&gt;MAX(Pile!$DH$242:$DH$321),999999,IF(Pile!BT355/(Pile!BP355/1000)&gt;50,999999,IF(Pile!BT355&lt;2,999999,IF(BT355&gt;25,999999,Pile!BT355))))</f>
        <v>4.4999999999999982</v>
      </c>
      <c r="BX355" s="554">
        <f t="shared" si="382"/>
        <v>984.98434264039906</v>
      </c>
      <c r="BY355" s="552">
        <f t="shared" si="383"/>
        <v>942.23354981034913</v>
      </c>
      <c r="BZ355" s="553">
        <f t="shared" si="384"/>
        <v>963.6089462253741</v>
      </c>
      <c r="CA355" s="467">
        <f t="shared" si="385"/>
        <v>642.97799999999995</v>
      </c>
      <c r="CB355" s="546">
        <v>4</v>
      </c>
      <c r="CC355" s="479">
        <v>600</v>
      </c>
      <c r="CD355" s="555">
        <f>Inputs!$D$39*4</f>
        <v>252</v>
      </c>
      <c r="CE355" s="552">
        <f>_xlfn.MINIFS($DE$70:$DE$149,$DH$70:$DH$149,"&gt;"&amp;Inputs!$K$81)</f>
        <v>3.5999999999999979</v>
      </c>
      <c r="CF355" s="552">
        <f>_xlfn.MINIFS($DE$156:$DE$235,$DH$156:$DH$235,"&gt;"&amp;Inputs!$K$81)</f>
        <v>3.299999999999998</v>
      </c>
      <c r="CG355" s="553">
        <f>_xlfn.MINIFS($DE$242:$DE$321,$DH$242:$DH$321,"&gt;"&amp;Inputs!$K$81)</f>
        <v>3.5999999999999979</v>
      </c>
      <c r="CH355" s="554">
        <f>IF(Inputs!$F$81/4&gt;MAX(Pile!$DH$70:$DH$149),999999,IF(Pile!CE355/(Pile!CC355/1000)&gt;50,999999,IF(Pile!CE355&lt;2,999999,Pile!CE355)))</f>
        <v>3.5999999999999979</v>
      </c>
      <c r="CI355" s="552">
        <f>IF(Inputs!CE50="Yes",999999,IF(Pile!CF355/(Pile!CC355/1000)&gt;50,999999,IF(Pile!CF355&lt;2,999999,Pile!CF355)))</f>
        <v>3.299999999999998</v>
      </c>
      <c r="CJ355" s="552">
        <f>IF(Inputs!$F$81/4&gt;MAX(Pile!$DH$242:$DH$321),999999,IF(Pile!CG355/(Pile!CC355/1000)&gt;50,999999,IF(Pile!CG355&lt;2,999999,IF(CG355&gt;25,999999,Pile!CG355))))</f>
        <v>3.5999999999999979</v>
      </c>
      <c r="CK355" s="554">
        <f t="shared" si="386"/>
        <v>899.4827569802992</v>
      </c>
      <c r="CL355" s="552">
        <f t="shared" si="387"/>
        <v>878.10736056527435</v>
      </c>
      <c r="CM355" s="553">
        <f t="shared" si="388"/>
        <v>899.4827569802992</v>
      </c>
      <c r="CN355" s="467">
        <f t="shared" si="389"/>
        <v>642.97799999999995</v>
      </c>
      <c r="CO355" s="546">
        <v>4</v>
      </c>
      <c r="CP355" s="479">
        <v>600</v>
      </c>
      <c r="CQ355" s="555">
        <f>Inputs!$D$39*4</f>
        <v>252</v>
      </c>
      <c r="CR355" s="552">
        <f>_xlfn.MINIFS($DE$70:$DE$149,$DH$70:$DH$149,"&gt;"&amp;Inputs!$K$88)</f>
        <v>3.299999999999998</v>
      </c>
      <c r="CS355" s="552">
        <f>_xlfn.MINIFS($DE$156:$DE$235,$DH$156:$DH$235,"&gt;"&amp;Inputs!$K$88)</f>
        <v>2.9999999999999982</v>
      </c>
      <c r="CT355" s="553">
        <f>_xlfn.MINIFS($DE$242:$DE$321,$DH$242:$DH$321,"&gt;"&amp;Inputs!$K$88)</f>
        <v>2.9999999999999982</v>
      </c>
      <c r="CU355" s="554">
        <f>IF(Inputs!$F$88/4&gt;MAX(Pile!$DH$70:$DH$149),999999,IF(Pile!CR355/(Pile!CP355/1000)&gt;50,999999,IF(Pile!CR355&lt;2,999999,Pile!CR355)))</f>
        <v>3.299999999999998</v>
      </c>
      <c r="CV355" s="552">
        <f>IF(Inputs!CR50="Yes",999999,IF(Pile!CS355/(Pile!CP355/1000)&gt;50,999999,IF(Pile!CS355&lt;2,999999,Pile!CS355)))</f>
        <v>2.9999999999999982</v>
      </c>
      <c r="CW355" s="552">
        <f>IF(Inputs!$F$88/4&gt;MAX(Pile!$DH$242:$DH$321),999999,IF(Pile!CT355/(Pile!CP355/1000)&gt;50,999999,IF(Pile!CT355&lt;2,999999,IF(CT355&gt;25,999999,Pile!CT355))))</f>
        <v>2.9999999999999982</v>
      </c>
      <c r="CX355" s="554">
        <f t="shared" si="390"/>
        <v>878.10736056527435</v>
      </c>
      <c r="CY355" s="552">
        <f t="shared" si="391"/>
        <v>856.73196415024938</v>
      </c>
      <c r="CZ355" s="553">
        <f t="shared" si="392"/>
        <v>856.73196415024938</v>
      </c>
      <c r="DA355" s="467">
        <f t="shared" si="393"/>
        <v>642.97799999999995</v>
      </c>
      <c r="DB355" s="546">
        <v>4</v>
      </c>
      <c r="DC355" s="479">
        <v>600</v>
      </c>
      <c r="DD355" s="555">
        <f>Inputs!$D$39*4</f>
        <v>252</v>
      </c>
      <c r="DE355" s="552">
        <f>_xlfn.MINIFS($DE$70:$DE$149,$DH$70:$DH$149,"&gt;"&amp;Inputs!$K$95)</f>
        <v>3.299999999999998</v>
      </c>
      <c r="DF355" s="552">
        <f>_xlfn.MINIFS($DE$156:$DE$235,$DH$156:$DH$235,"&gt;"&amp;Inputs!$K$95)</f>
        <v>2.9999999999999982</v>
      </c>
      <c r="DG355" s="553">
        <f>_xlfn.MINIFS($DE$242:$DE$321,$DH$242:$DH$321,"&gt;"&amp;Inputs!$K$95)</f>
        <v>3.299999999999998</v>
      </c>
      <c r="DH355" s="554">
        <f>IF(Inputs!$F$95/4&gt;MAX(Pile!$DH$70:$DH$149),999999,IF(Pile!DE355/(Pile!DC355/1000)&gt;50,999999,IF(Pile!DE355&lt;2,999999,Pile!DE355)))</f>
        <v>3.299999999999998</v>
      </c>
      <c r="DI355" s="552">
        <f>IF(Inputs!DE50="Yes",999999,IF(Pile!DF355/(Pile!DC355/1000)&gt;50,999999,IF(Pile!DF355&lt;2,999999,Pile!DF355)))</f>
        <v>2.9999999999999982</v>
      </c>
      <c r="DJ355" s="552">
        <f>IF(Inputs!$F$95/4&gt;MAX(Pile!$DH$242:$DH$321),999999,IF(Pile!DG355/(Pile!DC355/1000)&gt;50,999999,IF(Pile!DG355&lt;2,999999,IF(DG355&gt;25,999999,Pile!DG355))))</f>
        <v>3.299999999999998</v>
      </c>
      <c r="DK355" s="554">
        <f t="shared" si="394"/>
        <v>878.10736056527435</v>
      </c>
      <c r="DL355" s="552">
        <f t="shared" si="395"/>
        <v>856.73196415024938</v>
      </c>
      <c r="DM355" s="553">
        <f t="shared" si="396"/>
        <v>878.10736056527435</v>
      </c>
      <c r="DN355" s="467">
        <f t="shared" si="397"/>
        <v>642.97799999999995</v>
      </c>
      <c r="DO355" s="546">
        <v>4</v>
      </c>
      <c r="DP355" s="479">
        <v>600</v>
      </c>
      <c r="DQ355" s="555">
        <f>Inputs!$D$39*4</f>
        <v>252</v>
      </c>
      <c r="DR355" s="552">
        <f>_xlfn.MINIFS($DE$70:$DE$149,$DH$70:$DH$149,"&gt;"&amp;Inputs!$K$102)</f>
        <v>2.3999999999999986</v>
      </c>
      <c r="DS355" s="552">
        <f>_xlfn.MINIFS($DE$156:$DE$235,$DH$156:$DH$235,"&gt;"&amp;Inputs!$K$102)</f>
        <v>2.0999999999999988</v>
      </c>
      <c r="DT355" s="553">
        <f>_xlfn.MINIFS($DE$242:$DE$321,$DH$242:$DH$321,"&gt;"&amp;Inputs!$K$102)</f>
        <v>2.3999999999999986</v>
      </c>
      <c r="DU355" s="554">
        <f>IF(Inputs!$F$102/4&gt;MAX(Pile!$DH$70:$DH$149),999999,IF(Pile!DR355/(Pile!DP355/1000)&gt;50,999999,IF(Pile!DR355&lt;2,999999,Pile!DR355)))</f>
        <v>2.3999999999999986</v>
      </c>
      <c r="DV355" s="552">
        <f>IF(Inputs!DR50="Yes",999999,IF(Pile!DS355/(Pile!DP355/1000)&gt;50,999999,IF(Pile!DS355&lt;2,999999,Pile!DS355)))</f>
        <v>2.0999999999999988</v>
      </c>
      <c r="DW355" s="552">
        <f>IF(Inputs!$F$102/4&gt;MAX(Pile!$DH$242:$DH$321),999999,IF(Pile!DT355/(Pile!DP355/1000)&gt;50,999999,IF(Pile!DT355&lt;2,999999,IF(DT355&gt;25,999999,Pile!DT355))))</f>
        <v>2.3999999999999986</v>
      </c>
      <c r="DX355" s="554">
        <f t="shared" si="398"/>
        <v>813.98117132019945</v>
      </c>
      <c r="DY355" s="552">
        <f t="shared" si="399"/>
        <v>792.60577490517448</v>
      </c>
      <c r="DZ355" s="553">
        <f t="shared" si="400"/>
        <v>813.98117132019945</v>
      </c>
      <c r="EA355" s="467">
        <f t="shared" si="401"/>
        <v>642.97799999999995</v>
      </c>
      <c r="EB355" s="546">
        <v>4</v>
      </c>
      <c r="EC355" s="479">
        <v>600</v>
      </c>
      <c r="ED355" s="555">
        <f>Inputs!$D$39*4</f>
        <v>252</v>
      </c>
      <c r="EE355" s="552">
        <f>_xlfn.MINIFS($DE$70:$DE$149,$DH$70:$DH$149,"&gt;"&amp;Inputs!$K$109)</f>
        <v>2.3999999999999986</v>
      </c>
      <c r="EF355" s="552">
        <f>_xlfn.MINIFS($DE$156:$DE$235,$DH$156:$DH$235,"&gt;"&amp;Inputs!$K$109)</f>
        <v>2.0999999999999988</v>
      </c>
      <c r="EG355" s="553">
        <f>_xlfn.MINIFS($DE$242:$DE$321,$DH$242:$DH$321,"&gt;"&amp;Inputs!$K$109)</f>
        <v>2.3999999999999986</v>
      </c>
      <c r="EH355" s="554">
        <f>IF(Inputs!$F$109/4&gt;MAX(Pile!$DH$70:$DH$149),999999,IF(Pile!EE355/(Pile!EC355/1000)&gt;50,999999,IF(Pile!EE355&lt;2,999999,Pile!EE355)))</f>
        <v>2.3999999999999986</v>
      </c>
      <c r="EI355" s="552">
        <f>IF(Inputs!EE50="Yes",999999,IF(Pile!EF355/(Pile!EC355/1000)&gt;50,999999,IF(Pile!EF355&lt;2,999999,Pile!EF355)))</f>
        <v>2.0999999999999988</v>
      </c>
      <c r="EJ355" s="552">
        <f>IF(Inputs!$F$109/4&gt;MAX(Pile!$DH$242:$DH$321),999999,IF(Pile!EG355/(Pile!EC355/1000)&gt;50,999999,IF(Pile!EG355&lt;2,999999,IF(EG355&gt;25,999999,Pile!EG355))))</f>
        <v>2.3999999999999986</v>
      </c>
      <c r="EK355" s="554">
        <f t="shared" si="402"/>
        <v>813.98117132019945</v>
      </c>
      <c r="EL355" s="552">
        <f t="shared" si="403"/>
        <v>792.60577490517448</v>
      </c>
      <c r="EM355" s="553">
        <f t="shared" si="404"/>
        <v>813.98117132019945</v>
      </c>
      <c r="EN355" s="467">
        <f t="shared" si="405"/>
        <v>642.97799999999995</v>
      </c>
      <c r="EO355" s="546">
        <v>4</v>
      </c>
      <c r="EP355" s="479">
        <v>600</v>
      </c>
      <c r="EQ355" s="555">
        <f>Inputs!$D$39*4</f>
        <v>252</v>
      </c>
      <c r="ER355" s="552">
        <f>_xlfn.MINIFS($DE$70:$DE$149,$DH$70:$DH$149,"&gt;"&amp;Inputs!$K$116)</f>
        <v>0.29999999999999982</v>
      </c>
      <c r="ES355" s="552">
        <f>_xlfn.MINIFS($DE$156:$DE$235,$DH$156:$DH$235,"&gt;"&amp;Inputs!$K$116)</f>
        <v>0.29999999999999982</v>
      </c>
      <c r="ET355" s="553">
        <f>_xlfn.MINIFS($DE$242:$DE$321,$DH$242:$DH$321,"&gt;"&amp;Inputs!$K$116)</f>
        <v>0.29999999999999982</v>
      </c>
      <c r="EU355" s="554">
        <f>IF(Inputs!$F$116/4&gt;MAX(Pile!$DH$70:$DH$149),999999,IF(Pile!ER355/(Pile!EP355/1000)&gt;50,999999,IF(Pile!ER355&lt;2,999999,Pile!ER355)))</f>
        <v>999999</v>
      </c>
      <c r="EV355" s="552">
        <f>IF(Inputs!ER50="Yes",999999,IF(Inputs!$F$116&gt;MAX(Pile!$DG$156:$DG$235),999999,IF(Pile!ES355/(Pile!EP355/1000)&gt;50,999999,IF(Pile!ES355&lt;2,999999,Pile!ES355))))</f>
        <v>999999</v>
      </c>
      <c r="EW355" s="552">
        <f>IF(Inputs!$F$116/4&gt;MAX(Pile!$DH$242:$DH$321),999999,IF(Pile!ET355/(Pile!EP355/1000)&gt;50,999999,IF(Pile!ET355&lt;2,999999,IF(ET355&gt;25,999999,Pile!ET355))))</f>
        <v>999999</v>
      </c>
      <c r="EX355" s="556">
        <f t="shared" si="360"/>
        <v>71251250.132095128</v>
      </c>
      <c r="EY355" s="557">
        <f t="shared" si="361"/>
        <v>71251250.132095128</v>
      </c>
      <c r="EZ355" s="558">
        <f t="shared" si="362"/>
        <v>71251250.132095128</v>
      </c>
    </row>
    <row r="356" spans="2:158" ht="15">
      <c r="B356" s="541">
        <v>4</v>
      </c>
      <c r="C356" s="476">
        <v>750</v>
      </c>
      <c r="D356" s="551">
        <f>Inputs!$D$39*4</f>
        <v>252</v>
      </c>
      <c r="E356" s="552">
        <f>_xlfn.MINIFS($DE$70:$DE$149,$DI$70:$DI$149,"&gt;"&amp;Inputs!$K$39)</f>
        <v>3.299999999999998</v>
      </c>
      <c r="F356" s="552">
        <f>_xlfn.MINIFS($DE$156:$DE$235,$DI$156:$DI$235,"&gt;"&amp;Inputs!$K$39)</f>
        <v>2.6999999999999984</v>
      </c>
      <c r="G356" s="553">
        <f>_xlfn.MINIFS($DE$242:$DE$321,$DI$242:$DI$321,"&gt;"&amp;Inputs!$K$39)</f>
        <v>2.9999999999999982</v>
      </c>
      <c r="H356" s="554">
        <f>IF(Inputs!$F$39/4&gt;MAX(Pile!$DI$70:$DI$149),999999,IF(Pile!E356/(Pile!C356/1000)&gt;50,999999,IF(Pile!E356&lt;2,999999,Pile!E356)))</f>
        <v>3.299999999999998</v>
      </c>
      <c r="I356" s="552">
        <f>IF(Inputs!E51="Yes",999999,IF(Pile!F356/(Pile!C356/1000)&gt;50,999999,IF(Pile!F356&lt;2,999999,Pile!F356)))</f>
        <v>2.6999999999999984</v>
      </c>
      <c r="J356" s="552">
        <f>IF(Inputs!$F$39/4&gt;MAX(Pile!$DI$242:$DI$321),999999,IF(Pile!G356/(Pile!C356/1000)&gt;50,999999,IF(Pile!G356&lt;2,999999,IF(G356&gt;25,999999,Pile!G356))))</f>
        <v>2.9999999999999982</v>
      </c>
      <c r="K356" s="554">
        <f t="shared" si="363"/>
        <v>1602.315625883241</v>
      </c>
      <c r="L356" s="552">
        <f t="shared" si="364"/>
        <v>1535.517512086288</v>
      </c>
      <c r="M356" s="553">
        <f t="shared" si="365"/>
        <v>1568.9165689847644</v>
      </c>
      <c r="N356" s="466">
        <f>Inputs!$D$39*G461</f>
        <v>1234.9259999999997</v>
      </c>
      <c r="O356" s="541">
        <v>4</v>
      </c>
      <c r="P356" s="476">
        <v>750</v>
      </c>
      <c r="Q356" s="551">
        <f>Inputs!$D$39*4</f>
        <v>252</v>
      </c>
      <c r="R356" s="552">
        <f>_xlfn.MINIFS($DE$70:$DE$149,$DI$70:$DI$149,"&gt;"&amp;Inputs!$K$46)</f>
        <v>2.9999999999999982</v>
      </c>
      <c r="S356" s="552">
        <f>_xlfn.MINIFS($DE$156:$DE$235,$DI$156:$DI$235,"&gt;"&amp;Inputs!$K$46)</f>
        <v>2.6999999999999984</v>
      </c>
      <c r="T356" s="553">
        <f>_xlfn.MINIFS($DE$242:$DE$321,$DI$242:$DI$321,"&gt;"&amp;Inputs!$K$46)</f>
        <v>2.9999999999999982</v>
      </c>
      <c r="U356" s="554">
        <f>IF(Inputs!$F$46/4&gt;MAX(Pile!$DI$70:$DI$149),999999,IF(Pile!R356/(Pile!P356/1000)&gt;50,999999,IF(Pile!R356&lt;2,999999,Pile!R356)))</f>
        <v>2.9999999999999982</v>
      </c>
      <c r="V356" s="552">
        <f>IF(Inputs!R51="Yes",999999,IF(Pile!S356/(Pile!P356/1000)&gt;50,999999,IF(Pile!S356&lt;2,999999,Pile!S356)))</f>
        <v>2.6999999999999984</v>
      </c>
      <c r="W356" s="552">
        <f>IF(Inputs!$F$46/4&gt;MAX(Pile!$DI$242:$DI$321),999999,IF(Pile!T356/(Pile!P356/1000)&gt;50,999999,IF(Pile!T356&lt;2,999999,IF(T356&gt;25,999999,Pile!T356))))</f>
        <v>2.9999999999999982</v>
      </c>
      <c r="X356" s="554">
        <f t="shared" si="366"/>
        <v>1568.9165689847644</v>
      </c>
      <c r="Y356" s="552">
        <f t="shared" si="367"/>
        <v>1535.517512086288</v>
      </c>
      <c r="Z356" s="553">
        <f t="shared" si="368"/>
        <v>1568.9165689847644</v>
      </c>
      <c r="AA356" s="467">
        <f t="shared" si="369"/>
        <v>1234.9259999999997</v>
      </c>
      <c r="AB356" s="546">
        <v>4</v>
      </c>
      <c r="AC356" s="479">
        <v>750</v>
      </c>
      <c r="AD356" s="555">
        <f>Inputs!$D$39*4</f>
        <v>252</v>
      </c>
      <c r="AE356" s="552">
        <f>_xlfn.MINIFS($DE$70:$DE$149,$DI$70:$DI$149,"&gt;"&amp;Inputs!$K$53)</f>
        <v>2.9999999999999982</v>
      </c>
      <c r="AF356" s="552">
        <f>_xlfn.MINIFS($DE$156:$DE$235,$DI$156:$DI$235,"&gt;"&amp;Inputs!$K$53)</f>
        <v>2.6999999999999984</v>
      </c>
      <c r="AG356" s="553">
        <f>_xlfn.MINIFS($DE$242:$DE$321,$DI$242:$DI$321,"&gt;"&amp;Inputs!$K$53)</f>
        <v>2.6999999999999984</v>
      </c>
      <c r="AH356" s="554">
        <f>IF(Inputs!$F$53/4&gt;MAX(Pile!$DI$70:$DI$149),999999,IF(Pile!AE356/(Pile!AC356/1000)&gt;50,999999,IF(Pile!AE356&lt;2,999999,Pile!AE356)))</f>
        <v>2.9999999999999982</v>
      </c>
      <c r="AI356" s="552">
        <f>IF(Inputs!AE51="Yes",999999,IF(Pile!AF356/(Pile!AC356/1000)&gt;50,999999,IF(Pile!AF356&lt;2,999999,Pile!AF356)))</f>
        <v>2.6999999999999984</v>
      </c>
      <c r="AJ356" s="552">
        <f>IF(Inputs!$F$53/4&gt;MAX(Pile!$DI$242:$DI$321),999999,IF(Pile!AG356/(Pile!AC356/1000)&gt;50,999999,IF(Pile!AG356&lt;2,999999,IF(AG356&gt;25,999999,Pile!AG356))))</f>
        <v>2.6999999999999984</v>
      </c>
      <c r="AK356" s="554">
        <f t="shared" si="370"/>
        <v>1568.9165689847644</v>
      </c>
      <c r="AL356" s="552">
        <f t="shared" si="371"/>
        <v>1535.517512086288</v>
      </c>
      <c r="AM356" s="553">
        <f t="shared" si="372"/>
        <v>1535.517512086288</v>
      </c>
      <c r="AN356" s="471">
        <f t="shared" si="373"/>
        <v>1234.9259999999997</v>
      </c>
      <c r="AO356" s="546">
        <v>4</v>
      </c>
      <c r="AP356" s="479">
        <v>750</v>
      </c>
      <c r="AQ356" s="555">
        <f>Inputs!$D$39*4</f>
        <v>252</v>
      </c>
      <c r="AR356" s="552">
        <f>_xlfn.MINIFS($DE$70:$DE$149,$DI$70:$DI$149,"&gt;"&amp;Inputs!$K$60)</f>
        <v>2.6999999999999984</v>
      </c>
      <c r="AS356" s="552">
        <f>_xlfn.MINIFS($DE$156:$DE$235,$DI$156:$DI$235,"&gt;"&amp;Inputs!$K$60)</f>
        <v>2.3999999999999986</v>
      </c>
      <c r="AT356" s="553">
        <f>_xlfn.MINIFS($DE$242:$DE$321,$DI$242:$DI$321,"&gt;"&amp;Inputs!$K$60)</f>
        <v>2.6999999999999984</v>
      </c>
      <c r="AU356" s="554">
        <f>IF(Inputs!$F$60/4&gt;MAX(Pile!$DI$70:$DI$149),999999,IF(Pile!AR356/(Pile!AP356/1000)&gt;50,999999,IF(Pile!AR356&lt;2,999999,Pile!AR356)))</f>
        <v>2.6999999999999984</v>
      </c>
      <c r="AV356" s="552">
        <f>IF(Inputs!AR51="Yes",999999,IF(Pile!AS356/(Pile!AP356/1000)&gt;50,999999,IF(Pile!AS356&lt;2,999999,Pile!AS356)))</f>
        <v>2.3999999999999986</v>
      </c>
      <c r="AW356" s="552">
        <f>IF(Inputs!$F$60/4&gt;MAX(Pile!$DI$242:$DI$321),999999,IF(Pile!AT356/(Pile!AP356/1000)&gt;50,999999,IF(Pile!AT356&lt;2,999999,IF(AT356&gt;25,999999,Pile!AT356))))</f>
        <v>2.6999999999999984</v>
      </c>
      <c r="AX356" s="554">
        <f t="shared" si="374"/>
        <v>1535.517512086288</v>
      </c>
      <c r="AY356" s="552">
        <f t="shared" si="375"/>
        <v>1502.1184551878114</v>
      </c>
      <c r="AZ356" s="553">
        <f t="shared" si="376"/>
        <v>1535.517512086288</v>
      </c>
      <c r="BA356" s="467">
        <f t="shared" si="377"/>
        <v>1234.9259999999997</v>
      </c>
      <c r="BB356" s="546">
        <v>4</v>
      </c>
      <c r="BC356" s="479">
        <v>750</v>
      </c>
      <c r="BD356" s="555">
        <f>Inputs!$D$39*4</f>
        <v>252</v>
      </c>
      <c r="BE356" s="552">
        <f>_xlfn.MINIFS($DE$70:$DE$149,$DI$70:$DI$149,"&gt;"&amp;Inputs!$K$67)</f>
        <v>2.9999999999999982</v>
      </c>
      <c r="BF356" s="552">
        <f>_xlfn.MINIFS($DE$156:$DE$235,$DI$156:$DI$235,"&gt;"&amp;Inputs!$K$67)</f>
        <v>2.6999999999999984</v>
      </c>
      <c r="BG356" s="553">
        <f>_xlfn.MINIFS($DE$242:$DE$321,$DI$242:$DI$321,"&gt;"&amp;Inputs!$K$67)</f>
        <v>2.9999999999999982</v>
      </c>
      <c r="BH356" s="554">
        <f>IF(Inputs!$F$67/4&gt;MAX(Pile!$DI$70:$DI$149),999999,IF(Pile!BE356/(Pile!BC356/1000)&gt;50,999999,IF(Pile!BE356&lt;2,999999,Pile!BE356)))</f>
        <v>2.9999999999999982</v>
      </c>
      <c r="BI356" s="552">
        <f>IF(Inputs!BE51="Yes",999999,IF(Pile!BF356/(Pile!BC356/1000)&gt;50,999999,IF(Pile!BF356&lt;2,999999,Pile!BF356)))</f>
        <v>2.6999999999999984</v>
      </c>
      <c r="BJ356" s="552">
        <f>IF(Inputs!$F$67/4&gt;MAX(Pile!$DI$242:$DI$321),999999,IF(Pile!BG356/(Pile!BC356/1000)&gt;50,999999,IF(Pile!BG356&lt;2,999999,IF(BG356&gt;25,999999,Pile!BG356))))</f>
        <v>2.9999999999999982</v>
      </c>
      <c r="BK356" s="554">
        <f t="shared" si="378"/>
        <v>1568.9165689847644</v>
      </c>
      <c r="BL356" s="552">
        <f t="shared" si="379"/>
        <v>1535.517512086288</v>
      </c>
      <c r="BM356" s="553">
        <f t="shared" si="380"/>
        <v>1568.9165689847644</v>
      </c>
      <c r="BN356" s="467">
        <f t="shared" si="381"/>
        <v>1234.9259999999997</v>
      </c>
      <c r="BO356" s="546">
        <v>4</v>
      </c>
      <c r="BP356" s="479">
        <v>750</v>
      </c>
      <c r="BQ356" s="555">
        <f>Inputs!$D$39*4</f>
        <v>252</v>
      </c>
      <c r="BR356" s="552">
        <f>_xlfn.MINIFS($DE$70:$DE$149,$DI$70:$DI$149,"&gt;"&amp;Inputs!$K$74)</f>
        <v>3.5999999999999979</v>
      </c>
      <c r="BS356" s="552">
        <f>_xlfn.MINIFS($DE$156:$DE$235,$DI$156:$DI$235,"&gt;"&amp;Inputs!$K$74)</f>
        <v>2.9999999999999982</v>
      </c>
      <c r="BT356" s="553">
        <f>_xlfn.MINIFS($DE$242:$DE$321,$DI$242:$DI$321,"&gt;"&amp;Inputs!$K$74)</f>
        <v>3.299999999999998</v>
      </c>
      <c r="BU356" s="554">
        <f>IF(Inputs!$F$74/4&gt;MAX(Pile!$DI$70:$DI$149),999999,IF(Pile!BR356/(Pile!BP356/1000)&gt;50,999999,IF(Pile!BR356&lt;2,999999,Pile!BR356)))</f>
        <v>3.5999999999999979</v>
      </c>
      <c r="BV356" s="552">
        <f>IF(Inputs!BR51="Yes",999999,IF(Pile!BS356/(Pile!BP356/1000)&gt;50,999999,IF(Pile!BS356&lt;2,999999,Pile!BS356)))</f>
        <v>2.9999999999999982</v>
      </c>
      <c r="BW356" s="552">
        <f>IF(Inputs!$F$74/4&gt;MAX(Pile!$DI$242:$DI$321),999999,IF(Pile!BT356/(Pile!BP356/1000)&gt;50,999999,IF(Pile!BT356&lt;2,999999,IF(BT356&gt;25,999999,Pile!BT356))))</f>
        <v>3.299999999999998</v>
      </c>
      <c r="BX356" s="554">
        <f t="shared" si="382"/>
        <v>1635.7146827817173</v>
      </c>
      <c r="BY356" s="552">
        <f t="shared" si="383"/>
        <v>1568.9165689847644</v>
      </c>
      <c r="BZ356" s="553">
        <f t="shared" si="384"/>
        <v>1602.315625883241</v>
      </c>
      <c r="CA356" s="467">
        <f t="shared" si="385"/>
        <v>1234.9259999999997</v>
      </c>
      <c r="CB356" s="546">
        <v>4</v>
      </c>
      <c r="CC356" s="479">
        <v>750</v>
      </c>
      <c r="CD356" s="555">
        <f>Inputs!$D$39*4</f>
        <v>252</v>
      </c>
      <c r="CE356" s="552">
        <f>_xlfn.MINIFS($DE$70:$DE$149,$DI$70:$DI$149,"&gt;"&amp;Inputs!$K$81)</f>
        <v>2.6999999999999984</v>
      </c>
      <c r="CF356" s="552">
        <f>_xlfn.MINIFS($DE$156:$DE$235,$DI$156:$DI$235,"&gt;"&amp;Inputs!$K$81)</f>
        <v>2.3999999999999986</v>
      </c>
      <c r="CG356" s="553">
        <f>_xlfn.MINIFS($DE$242:$DE$321,$DI$242:$DI$321,"&gt;"&amp;Inputs!$K$81)</f>
        <v>2.6999999999999984</v>
      </c>
      <c r="CH356" s="554">
        <f>IF(Inputs!$F$81/4&gt;MAX(Pile!$DI$70:$DI$149),999999,IF(Pile!CE356/(Pile!CC356/1000)&gt;50,999999,IF(Pile!CE356&lt;2,999999,Pile!CE356)))</f>
        <v>2.6999999999999984</v>
      </c>
      <c r="CI356" s="552">
        <f>IF(Inputs!CE51="Yes",999999,IF(Pile!CF356/(Pile!CC356/1000)&gt;50,999999,IF(Pile!CF356&lt;2,999999,Pile!CF356)))</f>
        <v>2.3999999999999986</v>
      </c>
      <c r="CJ356" s="552">
        <f>IF(Inputs!$F$81/4&gt;MAX(Pile!$DI$242:$DI$321),999999,IF(Pile!CG356/(Pile!CC356/1000)&gt;50,999999,IF(Pile!CG356&lt;2,999999,IF(CG356&gt;25,999999,Pile!CG356))))</f>
        <v>2.6999999999999984</v>
      </c>
      <c r="CK356" s="554">
        <f t="shared" si="386"/>
        <v>1535.517512086288</v>
      </c>
      <c r="CL356" s="552">
        <f t="shared" si="387"/>
        <v>1502.1184551878114</v>
      </c>
      <c r="CM356" s="553">
        <f t="shared" si="388"/>
        <v>1535.517512086288</v>
      </c>
      <c r="CN356" s="467">
        <f t="shared" si="389"/>
        <v>1234.9259999999997</v>
      </c>
      <c r="CO356" s="546">
        <v>4</v>
      </c>
      <c r="CP356" s="479">
        <v>750</v>
      </c>
      <c r="CQ356" s="555">
        <f>Inputs!$D$39*4</f>
        <v>252</v>
      </c>
      <c r="CR356" s="552">
        <f>_xlfn.MINIFS($DE$70:$DE$149,$DI$70:$DI$149,"&gt;"&amp;Inputs!$K$88)</f>
        <v>2.3999999999999986</v>
      </c>
      <c r="CS356" s="552">
        <f>_xlfn.MINIFS($DE$156:$DE$235,$DI$156:$DI$235,"&gt;"&amp;Inputs!$K$88)</f>
        <v>2.0999999999999988</v>
      </c>
      <c r="CT356" s="553">
        <f>_xlfn.MINIFS($DE$242:$DE$321,$DI$242:$DI$321,"&gt;"&amp;Inputs!$K$88)</f>
        <v>2.3999999999999986</v>
      </c>
      <c r="CU356" s="554">
        <f>IF(Inputs!$F$88/4&gt;MAX(Pile!$DI$70:$DI$149),999999,IF(Pile!CR356/(Pile!CP356/1000)&gt;50,999999,IF(Pile!CR356&lt;2,999999,Pile!CR356)))</f>
        <v>2.3999999999999986</v>
      </c>
      <c r="CV356" s="552">
        <f>IF(Inputs!CR51="Yes",999999,IF(Pile!CS356/(Pile!CP356/1000)&gt;50,999999,IF(Pile!CS356&lt;2,999999,Pile!CS356)))</f>
        <v>2.0999999999999988</v>
      </c>
      <c r="CW356" s="552">
        <f>IF(Inputs!$F$88/4&gt;MAX(Pile!$DI$242:$DI$321),999999,IF(Pile!CT356/(Pile!CP356/1000)&gt;50,999999,IF(Pile!CT356&lt;2,999999,IF(CT356&gt;25,999999,Pile!CT356))))</f>
        <v>2.3999999999999986</v>
      </c>
      <c r="CX356" s="554">
        <f t="shared" si="390"/>
        <v>1502.1184551878114</v>
      </c>
      <c r="CY356" s="552">
        <f t="shared" si="391"/>
        <v>1468.719398289335</v>
      </c>
      <c r="CZ356" s="553">
        <f t="shared" si="392"/>
        <v>1502.1184551878114</v>
      </c>
      <c r="DA356" s="467">
        <f t="shared" si="393"/>
        <v>1234.9259999999997</v>
      </c>
      <c r="DB356" s="546">
        <v>4</v>
      </c>
      <c r="DC356" s="479">
        <v>750</v>
      </c>
      <c r="DD356" s="555">
        <f>Inputs!$D$39*4</f>
        <v>252</v>
      </c>
      <c r="DE356" s="552">
        <f>_xlfn.MINIFS($DE$70:$DE$149,$DI$70:$DI$149,"&gt;"&amp;Inputs!$K$95)</f>
        <v>2.3999999999999986</v>
      </c>
      <c r="DF356" s="552">
        <f>_xlfn.MINIFS($DE$156:$DE$235,$DI$156:$DI$235,"&gt;"&amp;Inputs!$K$95)</f>
        <v>2.0999999999999988</v>
      </c>
      <c r="DG356" s="553">
        <f>_xlfn.MINIFS($DE$242:$DE$321,$DI$242:$DI$321,"&gt;"&amp;Inputs!$K$95)</f>
        <v>2.3999999999999986</v>
      </c>
      <c r="DH356" s="554">
        <f>IF(Inputs!$F$95/4&gt;MAX(Pile!$DI$70:$DI$149),999999,IF(Pile!DE356/(Pile!DC356/1000)&gt;50,999999,IF(Pile!DE356&lt;2,999999,Pile!DE356)))</f>
        <v>2.3999999999999986</v>
      </c>
      <c r="DI356" s="552">
        <f>IF(Inputs!DE51="Yes",999999,IF(Pile!DF356/(Pile!DC356/1000)&gt;50,999999,IF(Pile!DF356&lt;2,999999,Pile!DF356)))</f>
        <v>2.0999999999999988</v>
      </c>
      <c r="DJ356" s="552">
        <f>IF(Inputs!$F$95/4&gt;MAX(Pile!$DI$242:$DI$321),999999,IF(Pile!DG356/(Pile!DC356/1000)&gt;50,999999,IF(Pile!DG356&lt;2,999999,IF(DG356&gt;25,999999,Pile!DG356))))</f>
        <v>2.3999999999999986</v>
      </c>
      <c r="DK356" s="554">
        <f t="shared" si="394"/>
        <v>1502.1184551878114</v>
      </c>
      <c r="DL356" s="552">
        <f t="shared" si="395"/>
        <v>1468.719398289335</v>
      </c>
      <c r="DM356" s="553">
        <f t="shared" si="396"/>
        <v>1502.1184551878114</v>
      </c>
      <c r="DN356" s="467">
        <f t="shared" si="397"/>
        <v>1234.9259999999997</v>
      </c>
      <c r="DO356" s="546">
        <v>4</v>
      </c>
      <c r="DP356" s="479">
        <v>750</v>
      </c>
      <c r="DQ356" s="555">
        <f>Inputs!$D$39*4</f>
        <v>252</v>
      </c>
      <c r="DR356" s="552">
        <f>_xlfn.MINIFS($DE$70:$DE$149,$DI$70:$DI$149,"&gt;"&amp;Inputs!$K$102)</f>
        <v>1.7999999999999989</v>
      </c>
      <c r="DS356" s="552">
        <f>_xlfn.MINIFS($DE$156:$DE$235,$DI$156:$DI$235,"&gt;"&amp;Inputs!$K$102)</f>
        <v>1.4999999999999991</v>
      </c>
      <c r="DT356" s="553">
        <f>_xlfn.MINIFS($DE$242:$DE$321,$DI$242:$DI$321,"&gt;"&amp;Inputs!$K$102)</f>
        <v>1.4999999999999991</v>
      </c>
      <c r="DU356" s="554">
        <f>IF(Inputs!$F$102/4&gt;MAX(Pile!$DI$70:$DI$149),999999,IF(Pile!DR356/(Pile!DP356/1000)&gt;50,999999,IF(Pile!DR356&lt;2,999999,Pile!DR356)))</f>
        <v>999999</v>
      </c>
      <c r="DV356" s="552">
        <f>IF(Inputs!DR51="Yes",999999,IF(Pile!DS356/(Pile!DP356/1000)&gt;50,999999,IF(Pile!DS356&lt;2,999999,Pile!DS356)))</f>
        <v>999999</v>
      </c>
      <c r="DW356" s="552">
        <f>IF(Inputs!$F$102/4&gt;MAX(Pile!$DI$242:$DI$321),999999,IF(Pile!DT356/(Pile!DP356/1000)&gt;50,999999,IF(Pile!DT356&lt;2,999999,IF(DT356&gt;25,999999,Pile!DT356))))</f>
        <v>999999</v>
      </c>
      <c r="DX356" s="554">
        <f t="shared" si="398"/>
        <v>111331313.25739864</v>
      </c>
      <c r="DY356" s="552">
        <f t="shared" si="399"/>
        <v>111331313.25739864</v>
      </c>
      <c r="DZ356" s="553">
        <f t="shared" si="400"/>
        <v>111331313.25739864</v>
      </c>
      <c r="EA356" s="467">
        <f t="shared" si="401"/>
        <v>1234.9259999999997</v>
      </c>
      <c r="EB356" s="546">
        <v>4</v>
      </c>
      <c r="EC356" s="479">
        <v>750</v>
      </c>
      <c r="ED356" s="555">
        <f>Inputs!$D$39*4</f>
        <v>252</v>
      </c>
      <c r="EE356" s="552">
        <f>_xlfn.MINIFS($DE$70:$DE$149,$DI$70:$DI$149,"&gt;"&amp;Inputs!$K$109)</f>
        <v>1.7999999999999989</v>
      </c>
      <c r="EF356" s="552">
        <f>_xlfn.MINIFS($DE$156:$DE$235,$DI$156:$DI$235,"&gt;"&amp;Inputs!$K$109)</f>
        <v>1.4999999999999991</v>
      </c>
      <c r="EG356" s="553">
        <f>_xlfn.MINIFS($DE$242:$DE$321,$DI$242:$DI$321,"&gt;"&amp;Inputs!$K$109)</f>
        <v>1.7999999999999989</v>
      </c>
      <c r="EH356" s="554">
        <f>IF(Inputs!$F$109/4&gt;MAX(Pile!$DI$70:$DI$149),999999,IF(Pile!EE356/(Pile!EC356/1000)&gt;50,999999,IF(Pile!EE356&lt;2,999999,Pile!EE356)))</f>
        <v>999999</v>
      </c>
      <c r="EI356" s="552">
        <f>IF(Inputs!EE51="Yes",999999,IF(Pile!EF356/(Pile!EC356/1000)&gt;50,999999,IF(Pile!EF356&lt;2,999999,Pile!EF356)))</f>
        <v>999999</v>
      </c>
      <c r="EJ356" s="552">
        <f>IF(Inputs!$F$109/4&gt;MAX(Pile!$DI$242:$DI$321),999999,IF(Pile!EG356/(Pile!EC356/1000)&gt;50,999999,IF(Pile!EG356&lt;2,999999,IF(EG356&gt;25,999999,Pile!EG356))))</f>
        <v>999999</v>
      </c>
      <c r="EK356" s="554">
        <f t="shared" si="402"/>
        <v>111331313.25739864</v>
      </c>
      <c r="EL356" s="552">
        <f t="shared" si="403"/>
        <v>111331313.25739864</v>
      </c>
      <c r="EM356" s="553">
        <f t="shared" si="404"/>
        <v>111331313.25739864</v>
      </c>
      <c r="EN356" s="467">
        <f t="shared" si="405"/>
        <v>1234.9259999999997</v>
      </c>
      <c r="EO356" s="546">
        <v>4</v>
      </c>
      <c r="EP356" s="479">
        <v>750</v>
      </c>
      <c r="EQ356" s="555">
        <f>Inputs!$D$39*4</f>
        <v>252</v>
      </c>
      <c r="ER356" s="552">
        <f>_xlfn.MINIFS($DE$70:$DE$149,$DI$70:$DI$149,"&gt;"&amp;Inputs!$K$116)</f>
        <v>0.29999999999999982</v>
      </c>
      <c r="ES356" s="552">
        <f>_xlfn.MINIFS($DE$156:$DE$235,$DI$156:$DI$235,"&gt;"&amp;Inputs!$K$116)</f>
        <v>0.29999999999999982</v>
      </c>
      <c r="ET356" s="553">
        <f>_xlfn.MINIFS($DE$242:$DE$321,$DI$242:$DI$321,"&gt;"&amp;Inputs!$K$116)</f>
        <v>0.29999999999999982</v>
      </c>
      <c r="EU356" s="554">
        <f>IF(Inputs!$F$116/4&gt;MAX(Pile!$DI$70:$DI$149),999999,IF(Pile!ER356/(Pile!EP356/1000)&gt;50,999999,IF(Pile!ER356&lt;2,999999,Pile!ER356)))</f>
        <v>999999</v>
      </c>
      <c r="EV356" s="552">
        <f>IF(Inputs!ER51="Yes",999999,IF(Inputs!$F$116&gt;MAX(Pile!$DG$156:$DG$235),999999,IF(Pile!ES356/(Pile!EP356/1000)&gt;50,999999,IF(Pile!ES356&lt;2,999999,Pile!ES356))))</f>
        <v>999999</v>
      </c>
      <c r="EW356" s="552">
        <f>IF(Inputs!$F$116/4&gt;MAX(Pile!$DI$242:$DI$321),999999,IF(Pile!ET356/(Pile!EP356/1000)&gt;50,999999,IF(Pile!ET356&lt;2,999999,IF(ET356&gt;25,999999,Pile!ET356))))</f>
        <v>999999</v>
      </c>
      <c r="EX356" s="556">
        <f t="shared" si="360"/>
        <v>111330078.33139864</v>
      </c>
      <c r="EY356" s="557">
        <f t="shared" si="361"/>
        <v>111330078.33139864</v>
      </c>
      <c r="EZ356" s="558">
        <f t="shared" si="362"/>
        <v>111330078.33139864</v>
      </c>
    </row>
    <row r="357" spans="2:158" ht="15">
      <c r="B357" s="541">
        <v>4</v>
      </c>
      <c r="C357" s="476">
        <v>900</v>
      </c>
      <c r="D357" s="551">
        <f>Inputs!$D$39*4</f>
        <v>252</v>
      </c>
      <c r="E357" s="552">
        <f>_xlfn.MINIFS($DE$70:$DE$149,$DJ$70:$DJ$149,"&gt;"&amp;Inputs!$K$39)</f>
        <v>2.3999999999999986</v>
      </c>
      <c r="F357" s="552">
        <f>_xlfn.MINIFS($DE$156:$DE$235,$DJ$156:$DJ$235,"&gt;"&amp;Inputs!$K$39)</f>
        <v>0</v>
      </c>
      <c r="G357" s="553">
        <f>_xlfn.MINIFS($DE$242:$DE$321,$DJ$242:$DJ$321,"&gt;"&amp;Inputs!$K$39)</f>
        <v>2.3999999999999986</v>
      </c>
      <c r="H357" s="554">
        <f>IF(Inputs!$F$39/4&gt;MAX(Pile!$DJ$70:$DJ$149),999999,IF(Pile!E357/(Pile!C357/1000)&gt;50,999999,IF(Pile!E357&lt;2,999999,Pile!E357)))</f>
        <v>2.3999999999999986</v>
      </c>
      <c r="I357" s="552">
        <f>IF(Inputs!E52="Yes",999999,IF(Pile!F357/(Pile!C357/1000)&gt;50,999999,IF(Pile!F357&lt;2,999999,Pile!F357)))</f>
        <v>999999</v>
      </c>
      <c r="J357" s="552">
        <f>IF(Inputs!$F$39/4&gt;MAX(Pile!$DJ$242:$DJ$321),999999,IF(Pile!G357/(Pile!C357/1000)&gt;50,999999,IF(Pile!G357&lt;2,999999,IF(G357&gt;25,999999,Pile!G357))))</f>
        <v>2.3999999999999986</v>
      </c>
      <c r="K357" s="554">
        <f t="shared" si="363"/>
        <v>2492.8631354704485</v>
      </c>
      <c r="L357" s="552">
        <f t="shared" si="364"/>
        <v>160317420.90321404</v>
      </c>
      <c r="M357" s="553">
        <f t="shared" si="365"/>
        <v>2492.8631354704485</v>
      </c>
      <c r="N357" s="466">
        <f>Inputs!$D$39*G462</f>
        <v>2108.1059999999998</v>
      </c>
      <c r="O357" s="541">
        <v>4</v>
      </c>
      <c r="P357" s="476">
        <v>900</v>
      </c>
      <c r="Q357" s="551">
        <f>Inputs!$D$39*4</f>
        <v>252</v>
      </c>
      <c r="R357" s="552">
        <f>_xlfn.MINIFS($DE$70:$DE$149,$DJ$70:$DJ$149,"&gt;"&amp;Inputs!$K$46)</f>
        <v>2.3999999999999986</v>
      </c>
      <c r="S357" s="552">
        <f>_xlfn.MINIFS($DE$156:$DE$235,$DJ$156:$DJ$235,"&gt;"&amp;Inputs!$K$46)</f>
        <v>0</v>
      </c>
      <c r="T357" s="553">
        <f>_xlfn.MINIFS($DE$242:$DE$321,$DJ$242:$DJ$321,"&gt;"&amp;Inputs!$K$46)</f>
        <v>2.3999999999999986</v>
      </c>
      <c r="U357" s="554">
        <f>IF(Inputs!$F$46/4&gt;MAX(Pile!$DJ$70:$DJ$149),999999,IF(Pile!R357/(Pile!P357/1000)&gt;50,999999,IF(Pile!R357&lt;2,999999,Pile!R357)))</f>
        <v>2.3999999999999986</v>
      </c>
      <c r="V357" s="552">
        <f>IF(Inputs!R52="Yes",999999,IF(Pile!S357/(Pile!P357/1000)&gt;50,999999,IF(Pile!S357&lt;2,999999,Pile!S357)))</f>
        <v>999999</v>
      </c>
      <c r="W357" s="552">
        <f>IF(Inputs!$F$46/4&gt;MAX(Pile!$DJ$242:$DJ$321),999999,IF(Pile!T357/(Pile!P357/1000)&gt;50,999999,IF(Pile!T357&lt;2,999999,IF(T357&gt;25,999999,Pile!T357))))</f>
        <v>2.3999999999999986</v>
      </c>
      <c r="X357" s="554">
        <f t="shared" si="366"/>
        <v>2492.8631354704485</v>
      </c>
      <c r="Y357" s="552">
        <f t="shared" si="367"/>
        <v>160317420.90321404</v>
      </c>
      <c r="Z357" s="553">
        <f t="shared" si="368"/>
        <v>2492.8631354704485</v>
      </c>
      <c r="AA357" s="467">
        <f t="shared" si="369"/>
        <v>2108.1059999999998</v>
      </c>
      <c r="AB357" s="546">
        <v>4</v>
      </c>
      <c r="AC357" s="479">
        <v>900</v>
      </c>
      <c r="AD357" s="555">
        <f>Inputs!$D$39*4</f>
        <v>252</v>
      </c>
      <c r="AE357" s="552">
        <f>_xlfn.MINIFS($DE$70:$DE$149,$DJ$70:$DJ$149,"&gt;"&amp;Inputs!$K$53)</f>
        <v>2.0999999999999988</v>
      </c>
      <c r="AF357" s="552">
        <f>_xlfn.MINIFS($DE$156:$DE$235,$DJ$156:$DJ$235,"&gt;"&amp;Inputs!$K$53)</f>
        <v>0</v>
      </c>
      <c r="AG357" s="553">
        <f>_xlfn.MINIFS($DE$242:$DE$321,$DJ$242:$DJ$321,"&gt;"&amp;Inputs!$K$53)</f>
        <v>2.0999999999999988</v>
      </c>
      <c r="AH357" s="554">
        <f>IF(Inputs!$F$53/4&gt;MAX(Pile!$DJ$70:$DJ$149),999999,IF(Pile!AE357/(Pile!AC357/1000)&gt;50,999999,IF(Pile!AE357&lt;2,999999,Pile!AE357)))</f>
        <v>2.0999999999999988</v>
      </c>
      <c r="AI357" s="552">
        <f>IF(Inputs!AE52="Yes",999999,IF(Pile!AF357/(Pile!AC357/1000)&gt;50,999999,IF(Pile!AF357&lt;2,999999,Pile!AF357)))</f>
        <v>999999</v>
      </c>
      <c r="AJ357" s="552">
        <f>IF(Inputs!$F$53/4&gt;MAX(Pile!$DJ$242:$DJ$321),999999,IF(Pile!AG357/(Pile!AC357/1000)&gt;50,999999,IF(Pile!AG357&lt;2,999999,IF(AG357&gt;25,999999,Pile!AG357))))</f>
        <v>2.0999999999999988</v>
      </c>
      <c r="AK357" s="554">
        <f t="shared" si="370"/>
        <v>2444.7684935366424</v>
      </c>
      <c r="AL357" s="552">
        <f t="shared" si="371"/>
        <v>160317420.90321404</v>
      </c>
      <c r="AM357" s="553">
        <f t="shared" si="372"/>
        <v>2444.7684935366424</v>
      </c>
      <c r="AN357" s="471">
        <f t="shared" si="373"/>
        <v>2108.1059999999998</v>
      </c>
      <c r="AO357" s="546">
        <v>4</v>
      </c>
      <c r="AP357" s="479">
        <v>900</v>
      </c>
      <c r="AQ357" s="555">
        <f>Inputs!$D$39*4</f>
        <v>252</v>
      </c>
      <c r="AR357" s="552">
        <f>_xlfn.MINIFS($DE$70:$DE$149,$DJ$70:$DJ$149,"&gt;"&amp;Inputs!$K$60)</f>
        <v>2.0999999999999988</v>
      </c>
      <c r="AS357" s="552">
        <f>_xlfn.MINIFS($DE$156:$DE$235,$DJ$156:$DJ$235,"&gt;"&amp;Inputs!$K$60)</f>
        <v>0</v>
      </c>
      <c r="AT357" s="553">
        <f>_xlfn.MINIFS($DE$242:$DE$321,$DJ$242:$DJ$321,"&gt;"&amp;Inputs!$K$60)</f>
        <v>2.0999999999999988</v>
      </c>
      <c r="AU357" s="554">
        <f>IF(Inputs!$F$60/4&gt;MAX(Pile!$DJ$70:$DJ$149),999999,IF(Pile!AR357/(Pile!AP357/1000)&gt;50,999999,IF(Pile!AR357&lt;2,999999,Pile!AR357)))</f>
        <v>2.0999999999999988</v>
      </c>
      <c r="AV357" s="552">
        <f>IF(Inputs!AR52="Yes",999999,IF(Pile!AS357/(Pile!AP357/1000)&gt;50,999999,IF(Pile!AS357&lt;2,999999,Pile!AS357)))</f>
        <v>999999</v>
      </c>
      <c r="AW357" s="552">
        <f>IF(Inputs!$F$60/4&gt;MAX(Pile!$DJ$242:$DJ$321),999999,IF(Pile!AT357/(Pile!AP357/1000)&gt;50,999999,IF(Pile!AT357&lt;2,999999,IF(AT357&gt;25,999999,Pile!AT357))))</f>
        <v>2.0999999999999988</v>
      </c>
      <c r="AX357" s="554">
        <f t="shared" si="374"/>
        <v>2444.7684935366424</v>
      </c>
      <c r="AY357" s="552">
        <f t="shared" si="375"/>
        <v>160317420.90321404</v>
      </c>
      <c r="AZ357" s="553">
        <f t="shared" si="376"/>
        <v>2444.7684935366424</v>
      </c>
      <c r="BA357" s="467">
        <f t="shared" si="377"/>
        <v>2108.1059999999998</v>
      </c>
      <c r="BB357" s="546">
        <v>4</v>
      </c>
      <c r="BC357" s="479">
        <v>900</v>
      </c>
      <c r="BD357" s="555">
        <f>Inputs!$D$39*4</f>
        <v>252</v>
      </c>
      <c r="BE357" s="552">
        <f>_xlfn.MINIFS($DE$70:$DE$149,$DJ$70:$DJ$149,"&gt;"&amp;Inputs!$K$67)</f>
        <v>2.0999999999999988</v>
      </c>
      <c r="BF357" s="552">
        <f>_xlfn.MINIFS($DE$156:$DE$235,$DJ$156:$DJ$235,"&gt;"&amp;Inputs!$K$67)</f>
        <v>0</v>
      </c>
      <c r="BG357" s="553">
        <f>_xlfn.MINIFS($DE$242:$DE$321,$DJ$242:$DJ$321,"&gt;"&amp;Inputs!$K$67)</f>
        <v>2.0999999999999988</v>
      </c>
      <c r="BH357" s="554">
        <f>IF(Inputs!$F$67/4&gt;MAX(Pile!$DJ$70:$DJ$149),999999,IF(Pile!BE357/(Pile!BC357/1000)&gt;50,999999,IF(Pile!BE357&lt;2,999999,Pile!BE357)))</f>
        <v>2.0999999999999988</v>
      </c>
      <c r="BI357" s="552">
        <f>IF(Inputs!BE52="Yes",999999,IF(Pile!BF357/(Pile!BC357/1000)&gt;50,999999,IF(Pile!BF357&lt;2,999999,Pile!BF357)))</f>
        <v>999999</v>
      </c>
      <c r="BJ357" s="552">
        <f>IF(Inputs!$F$67/4&gt;MAX(Pile!$DJ$242:$DJ$321),999999,IF(Pile!BG357/(Pile!BC357/1000)&gt;50,999999,IF(Pile!BG357&lt;2,999999,IF(BG357&gt;25,999999,Pile!BG357))))</f>
        <v>2.0999999999999988</v>
      </c>
      <c r="BK357" s="554">
        <f t="shared" si="378"/>
        <v>2444.7684935366424</v>
      </c>
      <c r="BL357" s="552">
        <f t="shared" si="379"/>
        <v>160317420.90321404</v>
      </c>
      <c r="BM357" s="553">
        <f t="shared" si="380"/>
        <v>2444.7684935366424</v>
      </c>
      <c r="BN357" s="467">
        <f t="shared" si="381"/>
        <v>2108.1059999999998</v>
      </c>
      <c r="BO357" s="546">
        <v>4</v>
      </c>
      <c r="BP357" s="479">
        <v>900</v>
      </c>
      <c r="BQ357" s="555">
        <f>Inputs!$D$39*4</f>
        <v>252</v>
      </c>
      <c r="BR357" s="552">
        <f>_xlfn.MINIFS($DE$70:$DE$149,$DJ$70:$DJ$149,"&gt;"&amp;Inputs!$K$74)</f>
        <v>2.6999999999999984</v>
      </c>
      <c r="BS357" s="552">
        <f>_xlfn.MINIFS($DE$156:$DE$235,$DJ$156:$DJ$235,"&gt;"&amp;Inputs!$K$74)</f>
        <v>0</v>
      </c>
      <c r="BT357" s="553">
        <f>_xlfn.MINIFS($DE$242:$DE$321,$DJ$242:$DJ$321,"&gt;"&amp;Inputs!$K$74)</f>
        <v>2.6999999999999984</v>
      </c>
      <c r="BU357" s="554">
        <f>IF(Inputs!$F$74/4&gt;MAX(Pile!$DJ$70:$DJ$149),999999,IF(Pile!BR357/(Pile!BP357/1000)&gt;50,999999,IF(Pile!BR357&lt;2,999999,Pile!BR357)))</f>
        <v>2.6999999999999984</v>
      </c>
      <c r="BV357" s="552">
        <f>IF(Inputs!BR52="Yes",999999,IF(Pile!BS357/(Pile!BP357/1000)&gt;50,999999,IF(Pile!BS357&lt;2,999999,Pile!BS357)))</f>
        <v>999999</v>
      </c>
      <c r="BW357" s="552">
        <f>IF(Inputs!$F$74/4&gt;MAX(Pile!$DJ$242:$DJ$321),999999,IF(Pile!BT357/(Pile!BP357/1000)&gt;50,999999,IF(Pile!BT357&lt;2,999999,IF(BT357&gt;25,999999,Pile!BT357))))</f>
        <v>2.6999999999999984</v>
      </c>
      <c r="BX357" s="554">
        <f t="shared" si="382"/>
        <v>2540.957777404255</v>
      </c>
      <c r="BY357" s="552">
        <f t="shared" si="383"/>
        <v>160317420.90321404</v>
      </c>
      <c r="BZ357" s="553">
        <f t="shared" si="384"/>
        <v>2540.957777404255</v>
      </c>
      <c r="CA357" s="467">
        <f t="shared" si="385"/>
        <v>2108.1059999999998</v>
      </c>
      <c r="CB357" s="546">
        <v>4</v>
      </c>
      <c r="CC357" s="479">
        <v>900</v>
      </c>
      <c r="CD357" s="555">
        <f>Inputs!$D$39*4</f>
        <v>252</v>
      </c>
      <c r="CE357" s="552">
        <f>_xlfn.MINIFS($DE$70:$DE$149,$DJ$70:$DJ$149,"&gt;"&amp;Inputs!$K$81)</f>
        <v>2.0999999999999988</v>
      </c>
      <c r="CF357" s="552">
        <f>_xlfn.MINIFS($DE$156:$DE$235,$DJ$156:$DJ$235,"&gt;"&amp;Inputs!$K$81)</f>
        <v>0</v>
      </c>
      <c r="CG357" s="553">
        <f>_xlfn.MINIFS($DE$242:$DE$321,$DJ$242:$DJ$321,"&gt;"&amp;Inputs!$K$81)</f>
        <v>2.0999999999999988</v>
      </c>
      <c r="CH357" s="554">
        <f>IF(Inputs!$F$81/4&gt;MAX(Pile!$DJ$70:$DJ$149),999999,IF(Pile!CE357/(Pile!CC357/1000)&gt;50,999999,IF(Pile!CE357&lt;2,999999,Pile!CE357)))</f>
        <v>2.0999999999999988</v>
      </c>
      <c r="CI357" s="552">
        <f>IF(Inputs!CE52="Yes",999999,IF(Pile!CF357/(Pile!CC357/1000)&gt;50,999999,IF(Pile!CF357&lt;2,999999,Pile!CF357)))</f>
        <v>999999</v>
      </c>
      <c r="CJ357" s="552">
        <f>IF(Inputs!$F$81/4&gt;MAX(Pile!$DJ$242:$DJ$321),999999,IF(Pile!CG357/(Pile!CC357/1000)&gt;50,999999,IF(Pile!CG357&lt;2,999999,IF(CG357&gt;25,999999,Pile!CG357))))</f>
        <v>2.0999999999999988</v>
      </c>
      <c r="CK357" s="554">
        <f t="shared" si="386"/>
        <v>2444.7684935366424</v>
      </c>
      <c r="CL357" s="552">
        <f t="shared" si="387"/>
        <v>160317420.90321404</v>
      </c>
      <c r="CM357" s="553">
        <f t="shared" si="388"/>
        <v>2444.7684935366424</v>
      </c>
      <c r="CN357" s="467">
        <f t="shared" si="389"/>
        <v>2108.1059999999998</v>
      </c>
      <c r="CO357" s="546">
        <v>4</v>
      </c>
      <c r="CP357" s="479">
        <v>900</v>
      </c>
      <c r="CQ357" s="555">
        <f>Inputs!$D$39*4</f>
        <v>252</v>
      </c>
      <c r="CR357" s="552">
        <f>_xlfn.MINIFS($DE$70:$DE$149,$DJ$70:$DJ$149,"&gt;"&amp;Inputs!$K$88)</f>
        <v>1.7999999999999989</v>
      </c>
      <c r="CS357" s="552">
        <f>_xlfn.MINIFS($DE$156:$DE$235,$DJ$156:$DJ$235,"&gt;"&amp;Inputs!$K$88)</f>
        <v>0</v>
      </c>
      <c r="CT357" s="553">
        <f>_xlfn.MINIFS($DE$242:$DE$321,$DJ$242:$DJ$321,"&gt;"&amp;Inputs!$K$88)</f>
        <v>1.7999999999999989</v>
      </c>
      <c r="CU357" s="554">
        <f>IF(Inputs!$F$88/4&gt;MAX(Pile!$DJ$70:$DJ$149),999999,IF(Pile!CR357/(Pile!CP357/1000)&gt;50,999999,IF(Pile!CR357&lt;2,999999,Pile!CR357)))</f>
        <v>999999</v>
      </c>
      <c r="CV357" s="552">
        <f>IF(Inputs!CR52="Yes",999999,IF(Pile!CS357/(Pile!CP357/1000)&gt;50,999999,IF(Pile!CS357&lt;2,999999,Pile!CS357)))</f>
        <v>999999</v>
      </c>
      <c r="CW357" s="552">
        <f>IF(Inputs!$F$88/4&gt;MAX(Pile!$DJ$242:$DJ$321),999999,IF(Pile!CT357/(Pile!CP357/1000)&gt;50,999999,IF(Pile!CT357&lt;2,999999,IF(CT357&gt;25,999999,Pile!CT357))))</f>
        <v>999999</v>
      </c>
      <c r="CX357" s="554">
        <f t="shared" si="390"/>
        <v>160317420.90321404</v>
      </c>
      <c r="CY357" s="552">
        <f t="shared" si="391"/>
        <v>160317420.90321404</v>
      </c>
      <c r="CZ357" s="553">
        <f t="shared" si="392"/>
        <v>160317420.90321404</v>
      </c>
      <c r="DA357" s="467">
        <f t="shared" si="393"/>
        <v>2108.1059999999998</v>
      </c>
      <c r="DB357" s="546">
        <v>4</v>
      </c>
      <c r="DC357" s="479">
        <v>900</v>
      </c>
      <c r="DD357" s="555">
        <f>Inputs!$D$39*4</f>
        <v>252</v>
      </c>
      <c r="DE357" s="552">
        <f>_xlfn.MINIFS($DE$70:$DE$149,$DJ$70:$DJ$149,"&gt;"&amp;Inputs!$K$95)</f>
        <v>1.7999999999999989</v>
      </c>
      <c r="DF357" s="552">
        <f>_xlfn.MINIFS($DE$156:$DE$235,$DJ$156:$DJ$235,"&gt;"&amp;Inputs!$K$95)</f>
        <v>0</v>
      </c>
      <c r="DG357" s="553">
        <f>_xlfn.MINIFS($DE$242:$DE$321,$DJ$242:$DJ$321,"&gt;"&amp;Inputs!$K$95)</f>
        <v>1.7999999999999989</v>
      </c>
      <c r="DH357" s="554">
        <f>IF(Inputs!$F$95/4&gt;MAX(Pile!$DJ$70:$DJ$149),999999,IF(Pile!DE357/(Pile!DC357/1000)&gt;50,999999,IF(Pile!DE357&lt;2,999999,Pile!DE357)))</f>
        <v>999999</v>
      </c>
      <c r="DI357" s="552">
        <f>IF(Inputs!DE52="Yes",999999,IF(Pile!DF357/(Pile!DC357/1000)&gt;50,999999,IF(Pile!DF357&lt;2,999999,Pile!DF357)))</f>
        <v>999999</v>
      </c>
      <c r="DJ357" s="552">
        <f>IF(Inputs!$F$95/4&gt;MAX(Pile!$DJ$242:$DJ$321),999999,IF(Pile!DG357/(Pile!DC357/1000)&gt;50,999999,IF(Pile!DG357&lt;2,999999,IF(DG357&gt;25,999999,Pile!DG357))))</f>
        <v>999999</v>
      </c>
      <c r="DK357" s="554">
        <f t="shared" si="394"/>
        <v>160317420.90321404</v>
      </c>
      <c r="DL357" s="552">
        <f t="shared" si="395"/>
        <v>160317420.90321404</v>
      </c>
      <c r="DM357" s="553">
        <f t="shared" si="396"/>
        <v>160317420.90321404</v>
      </c>
      <c r="DN357" s="467">
        <f t="shared" si="397"/>
        <v>2108.1059999999998</v>
      </c>
      <c r="DO357" s="546">
        <v>4</v>
      </c>
      <c r="DP357" s="479">
        <v>900</v>
      </c>
      <c r="DQ357" s="555">
        <f>Inputs!$D$39*4</f>
        <v>252</v>
      </c>
      <c r="DR357" s="552">
        <f>_xlfn.MINIFS($DE$70:$DE$149,$DJ$70:$DJ$149,"&gt;"&amp;Inputs!$K$102)</f>
        <v>1.1999999999999993</v>
      </c>
      <c r="DS357" s="552">
        <f>_xlfn.MINIFS($DE$156:$DE$235,$DJ$156:$DJ$235,"&gt;"&amp;Inputs!$K$102)</f>
        <v>0</v>
      </c>
      <c r="DT357" s="553">
        <f>_xlfn.MINIFS($DE$242:$DE$321,$DJ$242:$DJ$321,"&gt;"&amp;Inputs!$K$102)</f>
        <v>1.1999999999999993</v>
      </c>
      <c r="DU357" s="554">
        <f>IF(Inputs!$F$102/4&gt;MAX(Pile!$DJ$70:$DJ$149),999999,IF(Pile!DR357/(Pile!DP357/1000)&gt;50,999999,IF(Pile!DR357&lt;2,999999,Pile!DR357)))</f>
        <v>999999</v>
      </c>
      <c r="DV357" s="552">
        <f>IF(Inputs!DR52="Yes",999999,IF(Pile!DS357/(Pile!DP357/1000)&gt;50,999999,IF(Pile!DS357&lt;2,999999,Pile!DS357)))</f>
        <v>999999</v>
      </c>
      <c r="DW357" s="552">
        <f>IF(Inputs!$F$102/4&gt;MAX(Pile!$DJ$242:$DJ$321),999999,IF(Pile!DT357/(Pile!DP357/1000)&gt;50,999999,IF(Pile!DT357&lt;2,999999,IF(DT357&gt;25,999999,Pile!DT357))))</f>
        <v>999999</v>
      </c>
      <c r="DX357" s="554">
        <f t="shared" si="398"/>
        <v>160317420.90321404</v>
      </c>
      <c r="DY357" s="552">
        <f t="shared" si="399"/>
        <v>160317420.90321404</v>
      </c>
      <c r="DZ357" s="553">
        <f t="shared" si="400"/>
        <v>160317420.90321404</v>
      </c>
      <c r="EA357" s="467">
        <f t="shared" si="401"/>
        <v>2108.1059999999998</v>
      </c>
      <c r="EB357" s="546">
        <v>4</v>
      </c>
      <c r="EC357" s="479">
        <v>900</v>
      </c>
      <c r="ED357" s="555">
        <f>Inputs!$D$39*4</f>
        <v>252</v>
      </c>
      <c r="EE357" s="552">
        <f>_xlfn.MINIFS($DE$70:$DE$149,$DJ$70:$DJ$149,"&gt;"&amp;Inputs!$K$109)</f>
        <v>1.1999999999999993</v>
      </c>
      <c r="EF357" s="552">
        <f>_xlfn.MINIFS($DE$156:$DE$235,$DJ$156:$DJ$235,"&gt;"&amp;Inputs!$K$109)</f>
        <v>0</v>
      </c>
      <c r="EG357" s="553">
        <f>_xlfn.MINIFS($DE$242:$DE$321,$DJ$242:$DJ$321,"&gt;"&amp;Inputs!$K$109)</f>
        <v>1.1999999999999993</v>
      </c>
      <c r="EH357" s="554">
        <f>IF(Inputs!$F$109/4&gt;MAX(Pile!$DJ$70:$DJ$149),999999,IF(Pile!EE357/(Pile!EC357/1000)&gt;50,999999,IF(Pile!EE357&lt;2,999999,Pile!EE357)))</f>
        <v>999999</v>
      </c>
      <c r="EI357" s="552">
        <f>IF(Inputs!EE52="Yes",999999,IF(Pile!EF357/(Pile!EC357/1000)&gt;50,999999,IF(Pile!EF357&lt;2,999999,Pile!EF357)))</f>
        <v>999999</v>
      </c>
      <c r="EJ357" s="552">
        <f>IF(Inputs!$F$109/4&gt;MAX(Pile!$DJ$242:$DJ$321),999999,IF(Pile!EG357/(Pile!EC357/1000)&gt;50,999999,IF(Pile!EG357&lt;2,999999,IF(EG357&gt;25,999999,Pile!EG357))))</f>
        <v>999999</v>
      </c>
      <c r="EK357" s="554">
        <f t="shared" si="402"/>
        <v>160317420.90321404</v>
      </c>
      <c r="EL357" s="552">
        <f t="shared" si="403"/>
        <v>160317420.90321404</v>
      </c>
      <c r="EM357" s="553">
        <f t="shared" si="404"/>
        <v>160317420.90321404</v>
      </c>
      <c r="EN357" s="467">
        <f t="shared" si="405"/>
        <v>2108.1059999999998</v>
      </c>
      <c r="EO357" s="546">
        <v>4</v>
      </c>
      <c r="EP357" s="479">
        <v>900</v>
      </c>
      <c r="EQ357" s="555">
        <f>Inputs!$D$39*4</f>
        <v>252</v>
      </c>
      <c r="ER357" s="552">
        <f>_xlfn.MINIFS($DE$70:$DE$149,$DJ$70:$DJ$149,"&gt;"&amp;Inputs!$K$116)</f>
        <v>0.29999999999999982</v>
      </c>
      <c r="ES357" s="552">
        <f>_xlfn.MINIFS($DE$156:$DE$235,$DJ$156:$DJ$235,"&gt;"&amp;Inputs!$K$116)</f>
        <v>0</v>
      </c>
      <c r="ET357" s="553">
        <f>_xlfn.MINIFS($DE$242:$DE$321,$DJ$242:$DJ$321,"&gt;"&amp;Inputs!$K$116)</f>
        <v>0.29999999999999982</v>
      </c>
      <c r="EU357" s="554">
        <f>IF(Inputs!$F$116/4&gt;MAX(Pile!$DJ$70:$DJ$149),999999,IF(Pile!ER357/(Pile!EP357/1000)&gt;50,999999,IF(Pile!ER357&lt;2,999999,Pile!ER357)))</f>
        <v>999999</v>
      </c>
      <c r="EV357" s="552">
        <f>IF(Inputs!ER52="Yes",999999,IF(Inputs!$F$116&gt;MAX(Pile!$DG$156:$DG$235),999999,IF(Pile!ES357/(Pile!EP357/1000)&gt;50,999999,IF(Pile!ES357&lt;2,999999,Pile!ES357))))</f>
        <v>999999</v>
      </c>
      <c r="EW357" s="552">
        <f>IF(Inputs!$F$116/4&gt;MAX(Pile!$DJ$242:$DJ$321),999999,IF(Pile!ET357/(Pile!EP357/1000)&gt;50,999999,IF(Pile!ET357&lt;2,999999,IF(ET357&gt;25,999999,Pile!ET357))))</f>
        <v>999999</v>
      </c>
      <c r="EX357" s="556">
        <f t="shared" si="360"/>
        <v>160315312.79721403</v>
      </c>
      <c r="EY357" s="557">
        <f t="shared" si="361"/>
        <v>160315312.79721403</v>
      </c>
      <c r="EZ357" s="558">
        <f t="shared" si="362"/>
        <v>160315312.79721403</v>
      </c>
    </row>
    <row r="358" spans="2:158" ht="15">
      <c r="B358" s="541">
        <v>4</v>
      </c>
      <c r="C358" s="476">
        <v>1050</v>
      </c>
      <c r="D358" s="551">
        <f>Inputs!$D$39*4</f>
        <v>252</v>
      </c>
      <c r="E358" s="552">
        <f>_xlfn.MINIFS($DE$70:$DE$149,$DK$70:$DK$149,"&gt;"&amp;Inputs!$K$39)</f>
        <v>1.7999999999999989</v>
      </c>
      <c r="F358" s="552">
        <f>_xlfn.MINIFS($DE$156:$DE$235,$DK$156:$DK$235,"&gt;"&amp;Inputs!$K$39)</f>
        <v>0</v>
      </c>
      <c r="G358" s="553">
        <f>_xlfn.MINIFS($DE$242:$DE$321,$DK$242:$DK$321,"&gt;"&amp;Inputs!$K$39)</f>
        <v>1.7999999999999989</v>
      </c>
      <c r="H358" s="554">
        <f>IF(Inputs!$F$39/4&gt;MAX(Pile!$DK$70:$DK$149),999999,IF(Pile!E358/(Pile!C358/1000)&gt;50,999999,IF(Pile!E358&lt;2,999999,Pile!E358)))</f>
        <v>999999</v>
      </c>
      <c r="I358" s="552">
        <f>IF(Inputs!E53="Yes",999999,IF(Pile!F358/(Pile!C358/1000)&gt;50,999999,IF(Pile!F358&lt;2,999999,Pile!F358)))</f>
        <v>999999</v>
      </c>
      <c r="J358" s="552">
        <f>IF(Inputs!$F$39/4&gt;MAX(Pile!$DK$242:$DK$321),999999,IF(Pile!G358/(Pile!C358/1000)&gt;50,999999,IF(Pile!G358&lt;2,999999,IF(G358&gt;25,999999,Pile!G358))))</f>
        <v>999999</v>
      </c>
      <c r="K358" s="554">
        <f t="shared" si="363"/>
        <v>218210270.4795413</v>
      </c>
      <c r="L358" s="552">
        <f t="shared" si="364"/>
        <v>218210270.4795413</v>
      </c>
      <c r="M358" s="553">
        <f t="shared" si="365"/>
        <v>218210270.4795413</v>
      </c>
      <c r="N358" s="466">
        <f>Inputs!$D$39*G463</f>
        <v>3316.95</v>
      </c>
      <c r="O358" s="541">
        <v>4</v>
      </c>
      <c r="P358" s="476">
        <v>1050</v>
      </c>
      <c r="Q358" s="551">
        <f>Inputs!$D$39*4</f>
        <v>252</v>
      </c>
      <c r="R358" s="552">
        <f>_xlfn.MINIFS($DE$70:$DE$149,$DK$70:$DK$149,"&gt;"&amp;Inputs!$K$46)</f>
        <v>1.7999999999999989</v>
      </c>
      <c r="S358" s="552">
        <f>_xlfn.MINIFS($DE$156:$DE$235,$DK$156:$DK$235,"&gt;"&amp;Inputs!$K$46)</f>
        <v>0</v>
      </c>
      <c r="T358" s="553">
        <f>_xlfn.MINIFS($DE$242:$DE$321,$DK$242:$DK$321,"&gt;"&amp;Inputs!$K$46)</f>
        <v>1.7999999999999989</v>
      </c>
      <c r="U358" s="554">
        <f>IF(Inputs!$F$46/4&gt;MAX(Pile!$DK$70:$DK$149),999999,IF(Pile!R358/(Pile!P358/1000)&gt;50,999999,IF(Pile!R358&lt;2,999999,Pile!R358)))</f>
        <v>999999</v>
      </c>
      <c r="V358" s="552">
        <f>IF(Inputs!R53="Yes",999999,IF(Pile!S358/(Pile!P358/1000)&gt;50,999999,IF(Pile!S358&lt;2,999999,Pile!S358)))</f>
        <v>999999</v>
      </c>
      <c r="W358" s="552">
        <f>IF(Inputs!$F$46/4&gt;MAX(Pile!$DK$242:$DK$321),999999,IF(Pile!T358/(Pile!P358/1000)&gt;50,999999,IF(Pile!T358&lt;2,999999,IF(T358&gt;25,999999,Pile!T358))))</f>
        <v>999999</v>
      </c>
      <c r="X358" s="554">
        <f t="shared" si="366"/>
        <v>218210270.4795413</v>
      </c>
      <c r="Y358" s="552">
        <f t="shared" si="367"/>
        <v>218210270.4795413</v>
      </c>
      <c r="Z358" s="553">
        <f t="shared" si="368"/>
        <v>218210270.4795413</v>
      </c>
      <c r="AA358" s="467">
        <f t="shared" si="369"/>
        <v>3316.95</v>
      </c>
      <c r="AB358" s="546">
        <v>4</v>
      </c>
      <c r="AC358" s="479">
        <v>1050</v>
      </c>
      <c r="AD358" s="555">
        <f>Inputs!$D$39*4</f>
        <v>252</v>
      </c>
      <c r="AE358" s="552">
        <f>_xlfn.MINIFS($DE$70:$DE$149,$DK$70:$DK$149,"&gt;"&amp;Inputs!$K$53)</f>
        <v>1.7999999999999989</v>
      </c>
      <c r="AF358" s="552">
        <f>_xlfn.MINIFS($DE$156:$DE$235,$DK$156:$DK$235,"&gt;"&amp;Inputs!$K$53)</f>
        <v>0</v>
      </c>
      <c r="AG358" s="553">
        <f>_xlfn.MINIFS($DE$242:$DE$321,$DK$242:$DK$321,"&gt;"&amp;Inputs!$K$53)</f>
        <v>1.7999999999999989</v>
      </c>
      <c r="AH358" s="554">
        <f>IF(Inputs!$F$53/4&gt;MAX(Pile!$DK$70:$DK$149),999999,IF(Pile!AE358/(Pile!AC358/1000)&gt;50,999999,IF(Pile!AE358&lt;2,999999,Pile!AE358)))</f>
        <v>999999</v>
      </c>
      <c r="AI358" s="552">
        <f>IF(Inputs!AE53="Yes",999999,IF(Pile!AF358/(Pile!AC358/1000)&gt;50,999999,IF(Pile!AF358&lt;2,999999,Pile!AF358)))</f>
        <v>999999</v>
      </c>
      <c r="AJ358" s="552">
        <f>IF(Inputs!$F$53/4&gt;MAX(Pile!$DK$242:$DK$321),999999,IF(Pile!AG358/(Pile!AC358/1000)&gt;50,999999,IF(Pile!AG358&lt;2,999999,IF(AG358&gt;25,999999,Pile!AG358))))</f>
        <v>999999</v>
      </c>
      <c r="AK358" s="554">
        <f t="shared" si="370"/>
        <v>218210270.4795413</v>
      </c>
      <c r="AL358" s="552">
        <f t="shared" si="371"/>
        <v>218210270.4795413</v>
      </c>
      <c r="AM358" s="553">
        <f t="shared" si="372"/>
        <v>218210270.4795413</v>
      </c>
      <c r="AN358" s="471">
        <f t="shared" si="373"/>
        <v>3316.95</v>
      </c>
      <c r="AO358" s="546">
        <v>4</v>
      </c>
      <c r="AP358" s="479">
        <v>1050</v>
      </c>
      <c r="AQ358" s="555">
        <f>Inputs!$D$39*4</f>
        <v>252</v>
      </c>
      <c r="AR358" s="552">
        <f>_xlfn.MINIFS($DE$70:$DE$149,$DK$70:$DK$149,"&gt;"&amp;Inputs!$K$60)</f>
        <v>1.4999999999999991</v>
      </c>
      <c r="AS358" s="552">
        <f>_xlfn.MINIFS($DE$156:$DE$235,$DK$156:$DK$235,"&gt;"&amp;Inputs!$K$60)</f>
        <v>0</v>
      </c>
      <c r="AT358" s="553">
        <f>_xlfn.MINIFS($DE$242:$DE$321,$DK$242:$DK$321,"&gt;"&amp;Inputs!$K$60)</f>
        <v>1.4999999999999991</v>
      </c>
      <c r="AU358" s="554">
        <f>IF(Inputs!$F$60/4&gt;MAX(Pile!$DK$70:$DK$149),999999,IF(Pile!AR358/(Pile!AP358/1000)&gt;50,999999,IF(Pile!AR358&lt;2,999999,Pile!AR358)))</f>
        <v>999999</v>
      </c>
      <c r="AV358" s="552">
        <f>IF(Inputs!AR53="Yes",999999,IF(Pile!AS358/(Pile!AP358/1000)&gt;50,999999,IF(Pile!AS358&lt;2,999999,Pile!AS358)))</f>
        <v>999999</v>
      </c>
      <c r="AW358" s="552">
        <f>IF(Inputs!$F$60/4&gt;MAX(Pile!$DK$242:$DK$321),999999,IF(Pile!AT358/(Pile!AP358/1000)&gt;50,999999,IF(Pile!AT358&lt;2,999999,IF(AT358&gt;25,999999,Pile!AT358))))</f>
        <v>999999</v>
      </c>
      <c r="AX358" s="554">
        <f t="shared" si="374"/>
        <v>218210270.4795413</v>
      </c>
      <c r="AY358" s="552">
        <f t="shared" si="375"/>
        <v>218210270.4795413</v>
      </c>
      <c r="AZ358" s="553">
        <f t="shared" si="376"/>
        <v>218210270.4795413</v>
      </c>
      <c r="BA358" s="467">
        <f t="shared" si="377"/>
        <v>3316.95</v>
      </c>
      <c r="BB358" s="546">
        <v>4</v>
      </c>
      <c r="BC358" s="479">
        <v>1050</v>
      </c>
      <c r="BD358" s="555">
        <f>Inputs!$D$39*4</f>
        <v>252</v>
      </c>
      <c r="BE358" s="552">
        <f>_xlfn.MINIFS($DE$70:$DE$149,$DK$70:$DK$149,"&gt;"&amp;Inputs!$K$67)</f>
        <v>1.7999999999999989</v>
      </c>
      <c r="BF358" s="552">
        <f>_xlfn.MINIFS($DE$156:$DE$235,$DK$156:$DK$235,"&gt;"&amp;Inputs!$K$67)</f>
        <v>0</v>
      </c>
      <c r="BG358" s="553">
        <f>_xlfn.MINIFS($DE$242:$DE$321,$DK$242:$DK$321,"&gt;"&amp;Inputs!$K$67)</f>
        <v>1.7999999999999989</v>
      </c>
      <c r="BH358" s="554">
        <f>IF(Inputs!$F$67/4&gt;MAX(Pile!$DK$70:$DK$149),999999,IF(Pile!BE358/(Pile!BC358/1000)&gt;50,999999,IF(Pile!BE358&lt;2,999999,Pile!BE358)))</f>
        <v>999999</v>
      </c>
      <c r="BI358" s="552">
        <f>IF(Inputs!BE53="Yes",999999,IF(Pile!BF358/(Pile!BC358/1000)&gt;50,999999,IF(Pile!BF358&lt;2,999999,Pile!BF358)))</f>
        <v>999999</v>
      </c>
      <c r="BJ358" s="552">
        <f>IF(Inputs!$F$67/4&gt;MAX(Pile!$DK$242:$DK$321),999999,IF(Pile!BG358/(Pile!BC358/1000)&gt;50,999999,IF(Pile!BG358&lt;2,999999,IF(BG358&gt;25,999999,Pile!BG358))))</f>
        <v>999999</v>
      </c>
      <c r="BK358" s="554">
        <f t="shared" si="378"/>
        <v>218210270.4795413</v>
      </c>
      <c r="BL358" s="552">
        <f t="shared" si="379"/>
        <v>218210270.4795413</v>
      </c>
      <c r="BM358" s="553">
        <f t="shared" si="380"/>
        <v>218210270.4795413</v>
      </c>
      <c r="BN358" s="467">
        <f t="shared" si="381"/>
        <v>3316.95</v>
      </c>
      <c r="BO358" s="546">
        <v>4</v>
      </c>
      <c r="BP358" s="479">
        <v>1050</v>
      </c>
      <c r="BQ358" s="555">
        <f>Inputs!$D$39*4</f>
        <v>252</v>
      </c>
      <c r="BR358" s="552">
        <f>_xlfn.MINIFS($DE$70:$DE$149,$DK$70:$DK$149,"&gt;"&amp;Inputs!$K$74)</f>
        <v>2.0999999999999988</v>
      </c>
      <c r="BS358" s="552">
        <f>_xlfn.MINIFS($DE$156:$DE$235,$DK$156:$DK$235,"&gt;"&amp;Inputs!$K$74)</f>
        <v>0</v>
      </c>
      <c r="BT358" s="553">
        <f>_xlfn.MINIFS($DE$242:$DE$321,$DK$242:$DK$321,"&gt;"&amp;Inputs!$K$74)</f>
        <v>2.0999999999999988</v>
      </c>
      <c r="BU358" s="554">
        <f>IF(Inputs!$F$74/4&gt;MAX(Pile!$DK$70:$DK$149),999999,IF(Pile!BR358/(Pile!BP358/1000)&gt;50,999999,IF(Pile!BR358&lt;2,999999,Pile!BR358)))</f>
        <v>2.0999999999999988</v>
      </c>
      <c r="BV358" s="552">
        <f>IF(Inputs!BR53="Yes",999999,IF(Pile!BS358/(Pile!BP358/1000)&gt;50,999999,IF(Pile!BS358&lt;2,999999,Pile!BS358)))</f>
        <v>999999</v>
      </c>
      <c r="BW358" s="552">
        <f>IF(Inputs!$F$74/4&gt;MAX(Pile!$DK$242:$DK$321),999999,IF(Pile!BT358/(Pile!BP358/1000)&gt;50,999999,IF(Pile!BT358&lt;2,999999,IF(BT358&gt;25,999999,Pile!BT358))))</f>
        <v>2.0999999999999988</v>
      </c>
      <c r="BX358" s="554">
        <f t="shared" si="382"/>
        <v>3775.1850606470971</v>
      </c>
      <c r="BY358" s="552">
        <f t="shared" si="383"/>
        <v>218210270.4795413</v>
      </c>
      <c r="BZ358" s="553">
        <f t="shared" si="384"/>
        <v>3775.1850606470971</v>
      </c>
      <c r="CA358" s="467">
        <f t="shared" si="385"/>
        <v>3316.95</v>
      </c>
      <c r="CB358" s="546">
        <v>4</v>
      </c>
      <c r="CC358" s="479">
        <v>1050</v>
      </c>
      <c r="CD358" s="555">
        <f>Inputs!$D$39*4</f>
        <v>252</v>
      </c>
      <c r="CE358" s="552">
        <f>_xlfn.MINIFS($DE$70:$DE$149,$DK$70:$DK$149,"&gt;"&amp;Inputs!$K$81)</f>
        <v>1.4999999999999991</v>
      </c>
      <c r="CF358" s="552">
        <f>_xlfn.MINIFS($DE$156:$DE$235,$DK$156:$DK$235,"&gt;"&amp;Inputs!$K$81)</f>
        <v>0</v>
      </c>
      <c r="CG358" s="553">
        <f>_xlfn.MINIFS($DE$242:$DE$321,$DK$242:$DK$321,"&gt;"&amp;Inputs!$K$81)</f>
        <v>1.4999999999999991</v>
      </c>
      <c r="CH358" s="554">
        <f>IF(Inputs!$F$81/4&gt;MAX(Pile!$DK$70:$DK$149),999999,IF(Pile!CE358/(Pile!CC358/1000)&gt;50,999999,IF(Pile!CE358&lt;2,999999,Pile!CE358)))</f>
        <v>999999</v>
      </c>
      <c r="CI358" s="552">
        <f>IF(Inputs!CE53="Yes",999999,IF(Pile!CF358/(Pile!CC358/1000)&gt;50,999999,IF(Pile!CF358&lt;2,999999,Pile!CF358)))</f>
        <v>999999</v>
      </c>
      <c r="CJ358" s="552">
        <f>IF(Inputs!$F$81/4&gt;MAX(Pile!$DK$242:$DK$321),999999,IF(Pile!CG358/(Pile!CC358/1000)&gt;50,999999,IF(Pile!CG358&lt;2,999999,IF(CG358&gt;25,999999,Pile!CG358))))</f>
        <v>999999</v>
      </c>
      <c r="CK358" s="554">
        <f t="shared" si="386"/>
        <v>218210270.4795413</v>
      </c>
      <c r="CL358" s="552">
        <f t="shared" si="387"/>
        <v>218210270.4795413</v>
      </c>
      <c r="CM358" s="553">
        <f t="shared" si="388"/>
        <v>218210270.4795413</v>
      </c>
      <c r="CN358" s="467">
        <f t="shared" si="389"/>
        <v>3316.95</v>
      </c>
      <c r="CO358" s="546">
        <v>4</v>
      </c>
      <c r="CP358" s="479">
        <v>1050</v>
      </c>
      <c r="CQ358" s="555">
        <f>Inputs!$D$39*4</f>
        <v>252</v>
      </c>
      <c r="CR358" s="552">
        <f>_xlfn.MINIFS($DE$70:$DE$149,$DK$70:$DK$149,"&gt;"&amp;Inputs!$K$88)</f>
        <v>1.4999999999999991</v>
      </c>
      <c r="CS358" s="552">
        <f>_xlfn.MINIFS($DE$156:$DE$235,$DK$156:$DK$235,"&gt;"&amp;Inputs!$K$88)</f>
        <v>0</v>
      </c>
      <c r="CT358" s="553">
        <f>_xlfn.MINIFS($DE$242:$DE$321,$DK$242:$DK$321,"&gt;"&amp;Inputs!$K$88)</f>
        <v>1.4999999999999991</v>
      </c>
      <c r="CU358" s="554">
        <f>IF(Inputs!$F$88/4&gt;MAX(Pile!$DK$70:$DK$149),999999,IF(Pile!CR358/(Pile!CP358/1000)&gt;50,999999,IF(Pile!CR358&lt;2,999999,Pile!CR358)))</f>
        <v>999999</v>
      </c>
      <c r="CV358" s="552">
        <f>IF(Inputs!CR53="Yes",999999,IF(Pile!CS358/(Pile!CP358/1000)&gt;50,999999,IF(Pile!CS358&lt;2,999999,Pile!CS358)))</f>
        <v>999999</v>
      </c>
      <c r="CW358" s="552">
        <f>IF(Inputs!$F$88/4&gt;MAX(Pile!$DK$242:$DK$321),999999,IF(Pile!CT358/(Pile!CP358/1000)&gt;50,999999,IF(Pile!CT358&lt;2,999999,IF(CT358&gt;25,999999,Pile!CT358))))</f>
        <v>999999</v>
      </c>
      <c r="CX358" s="554">
        <f t="shared" si="390"/>
        <v>218210270.4795413</v>
      </c>
      <c r="CY358" s="552">
        <f t="shared" si="391"/>
        <v>218210270.4795413</v>
      </c>
      <c r="CZ358" s="553">
        <f t="shared" si="392"/>
        <v>218210270.4795413</v>
      </c>
      <c r="DA358" s="467">
        <f t="shared" si="393"/>
        <v>3316.95</v>
      </c>
      <c r="DB358" s="546">
        <v>4</v>
      </c>
      <c r="DC358" s="479">
        <v>1050</v>
      </c>
      <c r="DD358" s="555">
        <f>Inputs!$D$39*4</f>
        <v>252</v>
      </c>
      <c r="DE358" s="552">
        <f>_xlfn.MINIFS($DE$70:$DE$149,$DK$70:$DK$149,"&gt;"&amp;Inputs!$K$95)</f>
        <v>1.4999999999999991</v>
      </c>
      <c r="DF358" s="552">
        <f>_xlfn.MINIFS($DE$156:$DE$235,$DK$156:$DK$235,"&gt;"&amp;Inputs!$K$95)</f>
        <v>0</v>
      </c>
      <c r="DG358" s="553">
        <f>_xlfn.MINIFS($DE$242:$DE$321,$DK$242:$DK$321,"&gt;"&amp;Inputs!$K$95)</f>
        <v>1.4999999999999991</v>
      </c>
      <c r="DH358" s="554">
        <f>IF(Inputs!$F$95/4&gt;MAX(Pile!$DK$70:$DK$149),999999,IF(Pile!DE358/(Pile!DC358/1000)&gt;50,999999,IF(Pile!DE358&lt;2,999999,Pile!DE358)))</f>
        <v>999999</v>
      </c>
      <c r="DI358" s="552">
        <f>IF(Inputs!DE53="Yes",999999,IF(Pile!DF358/(Pile!DC358/1000)&gt;50,999999,IF(Pile!DF358&lt;2,999999,Pile!DF358)))</f>
        <v>999999</v>
      </c>
      <c r="DJ358" s="552">
        <f>IF(Inputs!$F$95/4&gt;MAX(Pile!$DK$242:$DK$321),999999,IF(Pile!DG358/(Pile!DC358/1000)&gt;50,999999,IF(Pile!DG358&lt;2,999999,IF(DG358&gt;25,999999,Pile!DG358))))</f>
        <v>999999</v>
      </c>
      <c r="DK358" s="554">
        <f t="shared" si="394"/>
        <v>218210270.4795413</v>
      </c>
      <c r="DL358" s="552">
        <f t="shared" si="395"/>
        <v>218210270.4795413</v>
      </c>
      <c r="DM358" s="553">
        <f t="shared" si="396"/>
        <v>218210270.4795413</v>
      </c>
      <c r="DN358" s="467">
        <f t="shared" si="397"/>
        <v>3316.95</v>
      </c>
      <c r="DO358" s="546">
        <v>4</v>
      </c>
      <c r="DP358" s="479">
        <v>1050</v>
      </c>
      <c r="DQ358" s="555">
        <f>Inputs!$D$39*4</f>
        <v>252</v>
      </c>
      <c r="DR358" s="552">
        <f>_xlfn.MINIFS($DE$70:$DE$149,$DK$70:$DK$149,"&gt;"&amp;Inputs!$K$102)</f>
        <v>0.89999999999999947</v>
      </c>
      <c r="DS358" s="552">
        <f>_xlfn.MINIFS($DE$156:$DE$235,$DK$156:$DK$235,"&gt;"&amp;Inputs!$K$102)</f>
        <v>0</v>
      </c>
      <c r="DT358" s="553">
        <f>_xlfn.MINIFS($DE$242:$DE$321,$DK$242:$DK$321,"&gt;"&amp;Inputs!$K$102)</f>
        <v>0.89999999999999947</v>
      </c>
      <c r="DU358" s="554">
        <f>IF(Inputs!$F$102/4&gt;MAX(Pile!$DK$70:$DK$149),999999,IF(Pile!DR358/(Pile!DP358/1000)&gt;50,999999,IF(Pile!DR358&lt;2,999999,Pile!DR358)))</f>
        <v>999999</v>
      </c>
      <c r="DV358" s="552">
        <f>IF(Inputs!DR53="Yes",999999,IF(Pile!DS358/(Pile!DP358/1000)&gt;50,999999,IF(Pile!DS358&lt;2,999999,Pile!DS358)))</f>
        <v>999999</v>
      </c>
      <c r="DW358" s="552">
        <f>IF(Inputs!$F$102/4&gt;MAX(Pile!$DK$242:$DK$321),999999,IF(Pile!DT358/(Pile!DP358/1000)&gt;50,999999,IF(Pile!DT358&lt;2,999999,IF(DT358&gt;25,999999,Pile!DT358))))</f>
        <v>999999</v>
      </c>
      <c r="DX358" s="554">
        <f t="shared" si="398"/>
        <v>218210270.4795413</v>
      </c>
      <c r="DY358" s="552">
        <f t="shared" si="399"/>
        <v>218210270.4795413</v>
      </c>
      <c r="DZ358" s="553">
        <f t="shared" si="400"/>
        <v>218210270.4795413</v>
      </c>
      <c r="EA358" s="467">
        <f t="shared" si="401"/>
        <v>3316.95</v>
      </c>
      <c r="EB358" s="546">
        <v>4</v>
      </c>
      <c r="EC358" s="479">
        <v>1050</v>
      </c>
      <c r="ED358" s="555">
        <f>Inputs!$D$39*4</f>
        <v>252</v>
      </c>
      <c r="EE358" s="552">
        <f>_xlfn.MINIFS($DE$70:$DE$149,$DK$70:$DK$149,"&gt;"&amp;Inputs!$K$109)</f>
        <v>0.89999999999999947</v>
      </c>
      <c r="EF358" s="552">
        <f>_xlfn.MINIFS($DE$156:$DE$235,$DK$156:$DK$235,"&gt;"&amp;Inputs!$K$109)</f>
        <v>0</v>
      </c>
      <c r="EG358" s="553">
        <f>_xlfn.MINIFS($DE$242:$DE$321,$DK$242:$DK$321,"&gt;"&amp;Inputs!$K$109)</f>
        <v>0.89999999999999947</v>
      </c>
      <c r="EH358" s="554">
        <f>IF(Inputs!$F$109/4&gt;MAX(Pile!$DK$70:$DK$149),999999,IF(Pile!EE358/(Pile!EC358/1000)&gt;50,999999,IF(Pile!EE358&lt;2,999999,Pile!EE358)))</f>
        <v>999999</v>
      </c>
      <c r="EI358" s="552">
        <f>IF(Inputs!EE53="Yes",999999,IF(Pile!EF358/(Pile!EC358/1000)&gt;50,999999,IF(Pile!EF358&lt;2,999999,Pile!EF358)))</f>
        <v>999999</v>
      </c>
      <c r="EJ358" s="552">
        <f>IF(Inputs!$F$109/4&gt;MAX(Pile!$DK$242:$DK$321),999999,IF(Pile!EG358/(Pile!EC358/1000)&gt;50,999999,IF(Pile!EG358&lt;2,999999,IF(EG358&gt;25,999999,Pile!EG358))))</f>
        <v>999999</v>
      </c>
      <c r="EK358" s="554">
        <f t="shared" si="402"/>
        <v>218210270.4795413</v>
      </c>
      <c r="EL358" s="552">
        <f t="shared" si="403"/>
        <v>218210270.4795413</v>
      </c>
      <c r="EM358" s="553">
        <f t="shared" si="404"/>
        <v>218210270.4795413</v>
      </c>
      <c r="EN358" s="467">
        <f t="shared" si="405"/>
        <v>3316.95</v>
      </c>
      <c r="EO358" s="546">
        <v>4</v>
      </c>
      <c r="EP358" s="479">
        <v>1050</v>
      </c>
      <c r="EQ358" s="555">
        <f>Inputs!$D$39*4</f>
        <v>252</v>
      </c>
      <c r="ER358" s="552">
        <f>_xlfn.MINIFS($DE$70:$DE$149,$DK$70:$DK$149,"&gt;"&amp;Inputs!$K$116)</f>
        <v>0.29999999999999982</v>
      </c>
      <c r="ES358" s="552">
        <f>_xlfn.MINIFS($DE$156:$DE$235,$DK$156:$DK$235,"&gt;"&amp;Inputs!$K$116)</f>
        <v>0</v>
      </c>
      <c r="ET358" s="553">
        <f>_xlfn.MINIFS($DE$242:$DE$321,$DK$242:$DK$321,"&gt;"&amp;Inputs!$K$116)</f>
        <v>0.29999999999999982</v>
      </c>
      <c r="EU358" s="554">
        <f>IF(Inputs!$F$116/4&gt;MAX(Pile!$DK$70:$DK$149),999999,IF(Pile!ER358/(Pile!EP358/1000)&gt;50,999999,IF(Pile!ER358&lt;2,999999,Pile!ER358)))</f>
        <v>999999</v>
      </c>
      <c r="EV358" s="552">
        <f>IF(Inputs!ER53="Yes",999999,IF(Inputs!$F$116&gt;MAX(Pile!$DG$156:$DG$235),999999,IF(Pile!ES358/(Pile!EP358/1000)&gt;50,999999,IF(Pile!ES358&lt;2,999999,Pile!ES358))))</f>
        <v>999999</v>
      </c>
      <c r="EW358" s="552">
        <f>IF(Inputs!$F$116/4&gt;MAX(Pile!$DK$242:$DK$321),999999,IF(Pile!ET358/(Pile!EP358/1000)&gt;50,999999,IF(Pile!ET358&lt;2,999999,IF(ET358&gt;25,999999,Pile!ET358))))</f>
        <v>999999</v>
      </c>
      <c r="EX358" s="556">
        <f t="shared" si="360"/>
        <v>218206953.52954131</v>
      </c>
      <c r="EY358" s="557">
        <f t="shared" si="361"/>
        <v>218206953.52954131</v>
      </c>
      <c r="EZ358" s="558">
        <f t="shared" si="362"/>
        <v>218206953.52954131</v>
      </c>
    </row>
    <row r="359" spans="2:158" ht="15.75" thickBot="1">
      <c r="B359" s="559">
        <v>4</v>
      </c>
      <c r="C359" s="483">
        <v>1200</v>
      </c>
      <c r="D359" s="560">
        <f>Inputs!$D$39*4</f>
        <v>252</v>
      </c>
      <c r="E359" s="561">
        <f>_xlfn.MINIFS($DE$70:$DE$149,$DL$70:$DL$149,"&gt;"&amp;Inputs!$K$39)</f>
        <v>1.4999999999999991</v>
      </c>
      <c r="F359" s="561">
        <f>_xlfn.MINIFS($DE$156:$DE$235,$DL$156:$DL$235,"&gt;"&amp;Inputs!$K$39)</f>
        <v>0</v>
      </c>
      <c r="G359" s="562">
        <f>_xlfn.MINIFS($DE$242:$DE$321,$DL$242:$DL$321,"&gt;"&amp;Inputs!$K$39)</f>
        <v>1.4999999999999991</v>
      </c>
      <c r="H359" s="563">
        <f>IF(Inputs!$F$39/4&gt;MAX(Pile!$DL$70:$DL$149),999999,IF(Pile!E359/(Pile!C359/1000)&gt;50,999999,IF(Pile!E359&lt;2,999999,Pile!E359)))</f>
        <v>999999</v>
      </c>
      <c r="I359" s="561">
        <f>IF(Inputs!E54="Yes",999999,IF(Pile!F359/(Pile!C359/1000)&gt;50,999999,IF(Pile!F359&lt;2,999999,Pile!F359)))</f>
        <v>999999</v>
      </c>
      <c r="J359" s="561">
        <f>IF(Inputs!$F$39/4&gt;MAX(Pile!$DL$242:$DL$321),999999,IF(Pile!G359/(Pile!C359/1000)&gt;50,999999,IF(Pile!G359&lt;2,999999,IF(G359&gt;25,999999,Pile!G359))))</f>
        <v>999999</v>
      </c>
      <c r="K359" s="563">
        <f t="shared" si="363"/>
        <v>285009916.4183805</v>
      </c>
      <c r="L359" s="561">
        <f t="shared" si="364"/>
        <v>285009916.4183805</v>
      </c>
      <c r="M359" s="562">
        <f t="shared" si="365"/>
        <v>285009916.4183805</v>
      </c>
      <c r="N359" s="466">
        <f>Inputs!$D$39*G464</f>
        <v>4915.8899999999994</v>
      </c>
      <c r="O359" s="559">
        <v>4</v>
      </c>
      <c r="P359" s="483">
        <v>1200</v>
      </c>
      <c r="Q359" s="560">
        <f>Inputs!$D$39*4</f>
        <v>252</v>
      </c>
      <c r="R359" s="561">
        <f>_xlfn.MINIFS($DE$70:$DE$149,$DL$70:$DL$149,"&gt;"&amp;Inputs!$K$46)</f>
        <v>1.4999999999999991</v>
      </c>
      <c r="S359" s="561">
        <f>_xlfn.MINIFS($DE$156:$DE$235,$DL$156:$DL$235,"&gt;"&amp;Inputs!$K$46)</f>
        <v>0</v>
      </c>
      <c r="T359" s="562">
        <f>_xlfn.MINIFS($DE$242:$DE$321,$DL$242:$DL$321,"&gt;"&amp;Inputs!$K$46)</f>
        <v>1.4999999999999991</v>
      </c>
      <c r="U359" s="563">
        <f>IF(Inputs!$F$46/4&gt;MAX(Pile!$DL$70:$DL$149),999999,IF(Pile!R359/(Pile!P359/1000)&gt;50,999999,IF(Pile!R359&lt;2,999999,Pile!R359)))</f>
        <v>999999</v>
      </c>
      <c r="V359" s="561">
        <f>IF(Inputs!R54="Yes",999999,IF(Pile!S359/(Pile!P359/1000)&gt;50,999999,IF(Pile!S359&lt;2,999999,Pile!S359)))</f>
        <v>999999</v>
      </c>
      <c r="W359" s="561">
        <f>IF(Inputs!$F$46/4&gt;MAX(Pile!$DL$242:$DL$321),999999,IF(Pile!T359/(Pile!P359/1000)&gt;50,999999,IF(Pile!T359&lt;2,999999,IF(T359&gt;25,999999,Pile!T359))))</f>
        <v>999999</v>
      </c>
      <c r="X359" s="563">
        <f t="shared" si="366"/>
        <v>285009916.4183805</v>
      </c>
      <c r="Y359" s="561">
        <f t="shared" si="367"/>
        <v>285009916.4183805</v>
      </c>
      <c r="Z359" s="562">
        <f t="shared" si="368"/>
        <v>285009916.4183805</v>
      </c>
      <c r="AA359" s="467">
        <f t="shared" si="369"/>
        <v>4915.8899999999994</v>
      </c>
      <c r="AB359" s="564">
        <v>4</v>
      </c>
      <c r="AC359" s="487">
        <v>1200</v>
      </c>
      <c r="AD359" s="565">
        <f>Inputs!$D$39*4</f>
        <v>252</v>
      </c>
      <c r="AE359" s="561">
        <f>_xlfn.MINIFS($DE$70:$DE$149,$DL$70:$DL$149,"&gt;"&amp;Inputs!$K$53)</f>
        <v>1.4999999999999991</v>
      </c>
      <c r="AF359" s="561">
        <f>_xlfn.MINIFS($DE$156:$DE$235,$DL$156:$DL$235,"&gt;"&amp;Inputs!$K$53)</f>
        <v>0</v>
      </c>
      <c r="AG359" s="562">
        <f>_xlfn.MINIFS($DE$242:$DE$321,$DL$242:$DL$321,"&gt;"&amp;Inputs!$K$53)</f>
        <v>1.4999999999999991</v>
      </c>
      <c r="AH359" s="563">
        <f>IF(Inputs!$F$53/4&gt;MAX(Pile!$DL$70:$DL$149),999999,IF(Pile!AE359/(Pile!AC359/1000)&gt;50,999999,IF(Pile!AE359&lt;2,999999,Pile!AE359)))</f>
        <v>999999</v>
      </c>
      <c r="AI359" s="561">
        <f>IF(Inputs!AE54="Yes",999999,IF(Pile!AF359/(Pile!AC359/1000)&gt;50,999999,IF(Pile!AF359&lt;2,999999,Pile!AF359)))</f>
        <v>999999</v>
      </c>
      <c r="AJ359" s="561">
        <f>IF(Inputs!$F$53/4&gt;MAX(Pile!$DL$242:$DL$321),999999,IF(Pile!AG359/(Pile!AC359/1000)&gt;50,999999,IF(Pile!AG359&lt;2,999999,IF(AG359&gt;25,999999,Pile!AG359))))</f>
        <v>999999</v>
      </c>
      <c r="AK359" s="563">
        <f t="shared" si="370"/>
        <v>285009916.4183805</v>
      </c>
      <c r="AL359" s="561">
        <f t="shared" si="371"/>
        <v>285009916.4183805</v>
      </c>
      <c r="AM359" s="562">
        <f t="shared" si="372"/>
        <v>285009916.4183805</v>
      </c>
      <c r="AN359" s="471">
        <f t="shared" si="373"/>
        <v>4915.8899999999994</v>
      </c>
      <c r="AO359" s="564">
        <v>4</v>
      </c>
      <c r="AP359" s="487">
        <v>1200</v>
      </c>
      <c r="AQ359" s="565">
        <f>Inputs!$D$39*4</f>
        <v>252</v>
      </c>
      <c r="AR359" s="561">
        <f>_xlfn.MINIFS($DE$70:$DE$149,$DL$70:$DL$149,"&gt;"&amp;Inputs!$K$60)</f>
        <v>1.1999999999999993</v>
      </c>
      <c r="AS359" s="561">
        <f>_xlfn.MINIFS($DE$156:$DE$235,$DL$156:$DL$235,"&gt;"&amp;Inputs!$K$60)</f>
        <v>0</v>
      </c>
      <c r="AT359" s="562">
        <f>_xlfn.MINIFS($DE$242:$DE$321,$DL$242:$DL$321,"&gt;"&amp;Inputs!$K$60)</f>
        <v>1.1999999999999993</v>
      </c>
      <c r="AU359" s="563">
        <f>IF(Inputs!$F$60/4&gt;MAX(Pile!$DL$70:$DL$149),999999,IF(Pile!AR359/(Pile!AP359/1000)&gt;50,999999,IF(Pile!AR359&lt;2,999999,Pile!AR359)))</f>
        <v>999999</v>
      </c>
      <c r="AV359" s="561">
        <f>IF(Inputs!AR54="Yes",999999,IF(Pile!AS359/(Pile!AP359/1000)&gt;50,999999,IF(Pile!AS359&lt;2,999999,Pile!AS359)))</f>
        <v>999999</v>
      </c>
      <c r="AW359" s="561">
        <f>IF(Inputs!$F$60/4&gt;MAX(Pile!$DL$242:$DL$321),999999,IF(Pile!AT359/(Pile!AP359/1000)&gt;50,999999,IF(Pile!AT359&lt;2,999999,IF(AT359&gt;25,999999,Pile!AT359))))</f>
        <v>999999</v>
      </c>
      <c r="AX359" s="563">
        <f t="shared" si="374"/>
        <v>285009916.4183805</v>
      </c>
      <c r="AY359" s="561">
        <f t="shared" si="375"/>
        <v>285009916.4183805</v>
      </c>
      <c r="AZ359" s="562">
        <f t="shared" si="376"/>
        <v>285009916.4183805</v>
      </c>
      <c r="BA359" s="467">
        <f t="shared" si="377"/>
        <v>4915.8899999999994</v>
      </c>
      <c r="BB359" s="564">
        <v>4</v>
      </c>
      <c r="BC359" s="487">
        <v>1200</v>
      </c>
      <c r="BD359" s="565">
        <f>Inputs!$D$39*4</f>
        <v>252</v>
      </c>
      <c r="BE359" s="561">
        <f>_xlfn.MINIFS($DE$70:$DE$149,$DL$70:$DL$149,"&gt;"&amp;Inputs!$K$67)</f>
        <v>1.4999999999999991</v>
      </c>
      <c r="BF359" s="561">
        <f>_xlfn.MINIFS($DE$156:$DE$235,$DL$156:$DL$235,"&gt;"&amp;Inputs!$K$67)</f>
        <v>0</v>
      </c>
      <c r="BG359" s="562">
        <f>_xlfn.MINIFS($DE$242:$DE$321,$DL$242:$DL$321,"&gt;"&amp;Inputs!$K$67)</f>
        <v>1.4999999999999991</v>
      </c>
      <c r="BH359" s="563">
        <f>IF(Inputs!$F$67/4&gt;MAX(Pile!$DL$70:$DL$149),999999,IF(Pile!BE359/(Pile!BC359/1000)&gt;50,999999,IF(Pile!BE359&lt;2,999999,Pile!BE359)))</f>
        <v>999999</v>
      </c>
      <c r="BI359" s="561">
        <f>IF(Inputs!BE54="Yes",999999,IF(Pile!BF359/(Pile!BC359/1000)&gt;50,999999,IF(Pile!BF359&lt;2,999999,Pile!BF359)))</f>
        <v>999999</v>
      </c>
      <c r="BJ359" s="561">
        <f>IF(Inputs!$F$67/4&gt;MAX(Pile!$DL$242:$DL$321),999999,IF(Pile!BG359/(Pile!BC359/1000)&gt;50,999999,IF(Pile!BG359&lt;2,999999,IF(BG359&gt;25,999999,Pile!BG359))))</f>
        <v>999999</v>
      </c>
      <c r="BK359" s="563">
        <f t="shared" si="378"/>
        <v>285009916.4183805</v>
      </c>
      <c r="BL359" s="561">
        <f t="shared" si="379"/>
        <v>285009916.4183805</v>
      </c>
      <c r="BM359" s="562">
        <f t="shared" si="380"/>
        <v>285009916.4183805</v>
      </c>
      <c r="BN359" s="467">
        <f>BA359</f>
        <v>4915.8899999999994</v>
      </c>
      <c r="BO359" s="564">
        <v>4</v>
      </c>
      <c r="BP359" s="487">
        <v>1200</v>
      </c>
      <c r="BQ359" s="565">
        <f>Inputs!$D$39*4</f>
        <v>252</v>
      </c>
      <c r="BR359" s="561">
        <f>_xlfn.MINIFS($DE$70:$DE$149,$DL$70:$DL$149,"&gt;"&amp;Inputs!$K$74)</f>
        <v>1.7999999999999989</v>
      </c>
      <c r="BS359" s="561">
        <f>_xlfn.MINIFS($DE$156:$DE$235,$DL$156:$DL$235,"&gt;"&amp;Inputs!$K$74)</f>
        <v>0</v>
      </c>
      <c r="BT359" s="562">
        <f>_xlfn.MINIFS($DE$242:$DE$321,$DL$242:$DL$321,"&gt;"&amp;Inputs!$K$74)</f>
        <v>1.4999999999999991</v>
      </c>
      <c r="BU359" s="563">
        <f>IF(Inputs!$F$74/4&gt;MAX(Pile!$DL$70:$DL$149),999999,IF(Pile!BR359/(Pile!BP359/1000)&gt;50,999999,IF(Pile!BR359&lt;2,999999,Pile!BR359)))</f>
        <v>999999</v>
      </c>
      <c r="BV359" s="561">
        <f>IF(Inputs!BR54="Yes",999999,IF(Pile!BS359/(Pile!BP359/1000)&gt;50,999999,IF(Pile!BS359&lt;2,999999,Pile!BS359)))</f>
        <v>999999</v>
      </c>
      <c r="BW359" s="561">
        <f>IF(Inputs!$F$74/4&gt;MAX(Pile!$DL$242:$DL$321),999999,IF(Pile!BT359/(Pile!BP359/1000)&gt;50,999999,IF(Pile!BT359&lt;2,999999,IF(BT359&gt;25,999999,Pile!BT359))))</f>
        <v>999999</v>
      </c>
      <c r="BX359" s="563">
        <f t="shared" si="382"/>
        <v>285009916.4183805</v>
      </c>
      <c r="BY359" s="561">
        <f t="shared" si="383"/>
        <v>285009916.4183805</v>
      </c>
      <c r="BZ359" s="562">
        <f t="shared" si="384"/>
        <v>285009916.4183805</v>
      </c>
      <c r="CA359" s="467">
        <f t="shared" si="385"/>
        <v>4915.8899999999994</v>
      </c>
      <c r="CB359" s="564">
        <v>4</v>
      </c>
      <c r="CC359" s="487">
        <v>1200</v>
      </c>
      <c r="CD359" s="565">
        <f>Inputs!$D$39*4</f>
        <v>252</v>
      </c>
      <c r="CE359" s="561">
        <f>_xlfn.MINIFS($DE$70:$DE$149,$DL$70:$DL$149,"&gt;"&amp;Inputs!$K$81)</f>
        <v>1.1999999999999993</v>
      </c>
      <c r="CF359" s="561">
        <f>_xlfn.MINIFS($DE$156:$DE$235,$DL$156:$DL$235,"&gt;"&amp;Inputs!$K$81)</f>
        <v>0</v>
      </c>
      <c r="CG359" s="562">
        <f>_xlfn.MINIFS($DE$242:$DE$321,$DL$242:$DL$321,"&gt;"&amp;Inputs!$K$81)</f>
        <v>1.1999999999999993</v>
      </c>
      <c r="CH359" s="563">
        <f>IF(Inputs!$F$81/4&gt;MAX(Pile!$DL$70:$DL$149),999999,IF(Pile!CE359/(Pile!CC359/1000)&gt;50,999999,IF(Pile!CE359&lt;2,999999,Pile!CE359)))</f>
        <v>999999</v>
      </c>
      <c r="CI359" s="561">
        <f>IF(Inputs!CE54="Yes",999999,IF(Pile!CF359/(Pile!CC359/1000)&gt;50,999999,IF(Pile!CF359&lt;2,999999,Pile!CF359)))</f>
        <v>999999</v>
      </c>
      <c r="CJ359" s="561">
        <f>IF(Inputs!$F$81/4&gt;MAX(Pile!$DL$242:$DL$321),999999,IF(Pile!CG359/(Pile!CC359/1000)&gt;50,999999,IF(Pile!CG359&lt;2,999999,IF(CG359&gt;25,999999,Pile!CG359))))</f>
        <v>999999</v>
      </c>
      <c r="CK359" s="563">
        <f t="shared" si="386"/>
        <v>285009916.4183805</v>
      </c>
      <c r="CL359" s="561">
        <f t="shared" si="387"/>
        <v>285009916.4183805</v>
      </c>
      <c r="CM359" s="562">
        <f t="shared" si="388"/>
        <v>285009916.4183805</v>
      </c>
      <c r="CN359" s="467">
        <f t="shared" si="389"/>
        <v>4915.8899999999994</v>
      </c>
      <c r="CO359" s="564">
        <v>4</v>
      </c>
      <c r="CP359" s="487">
        <v>1200</v>
      </c>
      <c r="CQ359" s="565">
        <f>Inputs!$D$39*4</f>
        <v>252</v>
      </c>
      <c r="CR359" s="561">
        <f>_xlfn.MINIFS($DE$70:$DE$149,$DL$70:$DL$149,"&gt;"&amp;Inputs!$K$88)</f>
        <v>1.1999999999999993</v>
      </c>
      <c r="CS359" s="561">
        <f>_xlfn.MINIFS($DE$156:$DE$235,$DL$156:$DL$235,"&gt;"&amp;Inputs!$K$88)</f>
        <v>0</v>
      </c>
      <c r="CT359" s="562">
        <f>_xlfn.MINIFS($DE$242:$DE$321,$DL$242:$DL$321,"&gt;"&amp;Inputs!$K$88)</f>
        <v>1.1999999999999993</v>
      </c>
      <c r="CU359" s="563">
        <f>IF(Inputs!$F$88/4&gt;MAX(Pile!$DL$70:$DL$149),999999,IF(Pile!CR359/(Pile!CP359/1000)&gt;50,999999,IF(Pile!CR359&lt;2,999999,Pile!CR359)))</f>
        <v>999999</v>
      </c>
      <c r="CV359" s="561">
        <f>IF(Inputs!CR54="Yes",999999,IF(Pile!CS359/(Pile!CP359/1000)&gt;50,999999,IF(Pile!CS359&lt;2,999999,Pile!CS359)))</f>
        <v>999999</v>
      </c>
      <c r="CW359" s="561">
        <f>IF(Inputs!$F$88/4&gt;MAX(Pile!$DL$242:$DL$321),999999,IF(Pile!CT359/(Pile!CP359/1000)&gt;50,999999,IF(Pile!CT359&lt;2,999999,IF(CT359&gt;25,999999,Pile!CT359))))</f>
        <v>999999</v>
      </c>
      <c r="CX359" s="563">
        <f t="shared" si="390"/>
        <v>285009916.4183805</v>
      </c>
      <c r="CY359" s="561">
        <f t="shared" si="391"/>
        <v>285009916.4183805</v>
      </c>
      <c r="CZ359" s="562">
        <f t="shared" si="392"/>
        <v>285009916.4183805</v>
      </c>
      <c r="DA359" s="467">
        <f t="shared" si="393"/>
        <v>4915.8899999999994</v>
      </c>
      <c r="DB359" s="564">
        <v>4</v>
      </c>
      <c r="DC359" s="487">
        <v>1200</v>
      </c>
      <c r="DD359" s="565">
        <f>Inputs!$D$39*4</f>
        <v>252</v>
      </c>
      <c r="DE359" s="561">
        <f>_xlfn.MINIFS($DE$70:$DE$149,$DL$70:$DL$149,"&gt;"&amp;Inputs!$K$95)</f>
        <v>1.1999999999999993</v>
      </c>
      <c r="DF359" s="561">
        <f>_xlfn.MINIFS($DE$156:$DE$235,$DL$156:$DL$235,"&gt;"&amp;Inputs!$K$95)</f>
        <v>0</v>
      </c>
      <c r="DG359" s="562">
        <f>_xlfn.MINIFS($DE$242:$DE$321,$DL$242:$DL$321,"&gt;"&amp;Inputs!$K$95)</f>
        <v>1.1999999999999993</v>
      </c>
      <c r="DH359" s="563">
        <f>IF(Inputs!$F$95/4&gt;MAX(Pile!$DL$70:$DL$149),999999,IF(Pile!DE359/(Pile!DC359/1000)&gt;50,999999,IF(Pile!DE359&lt;2,999999,Pile!DE359)))</f>
        <v>999999</v>
      </c>
      <c r="DI359" s="561">
        <f>IF(Inputs!DE54="Yes",999999,IF(Pile!DF359/(Pile!DC359/1000)&gt;50,999999,IF(Pile!DF359&lt;2,999999,Pile!DF359)))</f>
        <v>999999</v>
      </c>
      <c r="DJ359" s="561">
        <f>IF(Inputs!$F$95/4&gt;MAX(Pile!$DL$242:$DL$321),999999,IF(Pile!DG359/(Pile!DC359/1000)&gt;50,999999,IF(Pile!DG359&lt;2,999999,IF(DG359&gt;25,999999,Pile!DG359))))</f>
        <v>999999</v>
      </c>
      <c r="DK359" s="563">
        <f t="shared" si="394"/>
        <v>285009916.4183805</v>
      </c>
      <c r="DL359" s="561">
        <f t="shared" si="395"/>
        <v>285009916.4183805</v>
      </c>
      <c r="DM359" s="562">
        <f t="shared" si="396"/>
        <v>285009916.4183805</v>
      </c>
      <c r="DN359" s="467">
        <f t="shared" si="397"/>
        <v>4915.8899999999994</v>
      </c>
      <c r="DO359" s="564">
        <v>4</v>
      </c>
      <c r="DP359" s="487">
        <v>1200</v>
      </c>
      <c r="DQ359" s="565">
        <f>Inputs!$D$39*4</f>
        <v>252</v>
      </c>
      <c r="DR359" s="561">
        <f>_xlfn.MINIFS($DE$70:$DE$149,$DL$70:$DL$149,"&gt;"&amp;Inputs!$K$102)</f>
        <v>0.89999999999999947</v>
      </c>
      <c r="DS359" s="561">
        <f>_xlfn.MINIFS($DE$156:$DE$235,$DL$156:$DL$235,"&gt;"&amp;Inputs!$K$102)</f>
        <v>0</v>
      </c>
      <c r="DT359" s="562">
        <f>_xlfn.MINIFS($DE$242:$DE$321,$DL$242:$DL$321,"&gt;"&amp;Inputs!$K$102)</f>
        <v>0.89999999999999947</v>
      </c>
      <c r="DU359" s="563">
        <f>IF(Inputs!$F$102/4&gt;MAX(Pile!$DL$70:$DL$149),999999,IF(Pile!DR359/(Pile!DP359/1000)&gt;50,999999,IF(Pile!DR359&lt;2,999999,Pile!DR359)))</f>
        <v>999999</v>
      </c>
      <c r="DV359" s="561">
        <f>IF(Inputs!DR54="Yes",999999,IF(Pile!DS359/(Pile!DP359/1000)&gt;50,999999,IF(Pile!DS359&lt;2,999999,Pile!DS359)))</f>
        <v>999999</v>
      </c>
      <c r="DW359" s="561">
        <f>IF(Inputs!$F$102/4&gt;MAX(Pile!$DL$242:$DL$321),999999,IF(Pile!DT359/(Pile!DP359/1000)&gt;50,999999,IF(Pile!DT359&lt;2,999999,IF(DT359&gt;25,999999,Pile!DT359))))</f>
        <v>999999</v>
      </c>
      <c r="DX359" s="563">
        <f t="shared" si="398"/>
        <v>285009916.4183805</v>
      </c>
      <c r="DY359" s="561">
        <f t="shared" si="399"/>
        <v>285009916.4183805</v>
      </c>
      <c r="DZ359" s="562">
        <f t="shared" si="400"/>
        <v>285009916.4183805</v>
      </c>
      <c r="EA359" s="467">
        <f t="shared" si="401"/>
        <v>4915.8899999999994</v>
      </c>
      <c r="EB359" s="564">
        <v>4</v>
      </c>
      <c r="EC359" s="487">
        <v>1200</v>
      </c>
      <c r="ED359" s="565">
        <f>Inputs!$D$39*4</f>
        <v>252</v>
      </c>
      <c r="EE359" s="561">
        <f>_xlfn.MINIFS($DE$70:$DE$149,$DL$70:$DL$149,"&gt;"&amp;Inputs!$K$109)</f>
        <v>0.89999999999999947</v>
      </c>
      <c r="EF359" s="561">
        <f>_xlfn.MINIFS($DE$156:$DE$235,$DL$156:$DL$235,"&gt;"&amp;Inputs!$K$109)</f>
        <v>0</v>
      </c>
      <c r="EG359" s="562">
        <f>_xlfn.MINIFS($DE$242:$DE$321,$DL$242:$DL$321,"&gt;"&amp;Inputs!$K$109)</f>
        <v>0.89999999999999947</v>
      </c>
      <c r="EH359" s="563">
        <f>IF(Inputs!$F$109/4&gt;MAX(Pile!$DL$70:$DL$149),999999,IF(Pile!EE359/(Pile!EC359/1000)&gt;50,999999,IF(Pile!EE359&lt;2,999999,Pile!EE359)))</f>
        <v>999999</v>
      </c>
      <c r="EI359" s="561">
        <f>IF(Inputs!EE54="Yes",999999,IF(Pile!EF359/(Pile!EC359/1000)&gt;50,999999,IF(Pile!EF359&lt;2,999999,Pile!EF359)))</f>
        <v>999999</v>
      </c>
      <c r="EJ359" s="561">
        <f>IF(Inputs!$F$109/4&gt;MAX(Pile!$DL$242:$DL$321),999999,IF(Pile!EG359/(Pile!EC359/1000)&gt;50,999999,IF(Pile!EG359&lt;2,999999,IF(EG359&gt;25,999999,Pile!EG359))))</f>
        <v>999999</v>
      </c>
      <c r="EK359" s="563">
        <f t="shared" si="402"/>
        <v>285009916.4183805</v>
      </c>
      <c r="EL359" s="561">
        <f t="shared" si="403"/>
        <v>285009916.4183805</v>
      </c>
      <c r="EM359" s="562">
        <f t="shared" si="404"/>
        <v>285009916.4183805</v>
      </c>
      <c r="EN359" s="467">
        <f t="shared" si="405"/>
        <v>4915.8899999999994</v>
      </c>
      <c r="EO359" s="564">
        <v>4</v>
      </c>
      <c r="EP359" s="487">
        <v>1200</v>
      </c>
      <c r="EQ359" s="565">
        <f>Inputs!$D$39*4</f>
        <v>252</v>
      </c>
      <c r="ER359" s="561">
        <f>_xlfn.MINIFS($DE$70:$DE$149,$DL$70:$DL$149,"&gt;"&amp;Inputs!$K$116)</f>
        <v>0.29999999999999982</v>
      </c>
      <c r="ES359" s="561">
        <f>_xlfn.MINIFS($DE$156:$DE$235,$DL$156:$DL$235,"&gt;"&amp;Inputs!$K$116)</f>
        <v>0</v>
      </c>
      <c r="ET359" s="562">
        <f>_xlfn.MINIFS($DE$242:$DE$321,$DL$242:$DL$321,"&gt;"&amp;Inputs!$K$116)</f>
        <v>0.29999999999999982</v>
      </c>
      <c r="EU359" s="563">
        <f>IF(Inputs!$F$116/4&gt;MAX(Pile!$DL$70:$DL$149),999999,IF(Pile!ER359/(Pile!EP359/1000)&gt;50,999999,IF(Pile!ER359&lt;2,999999,Pile!ER359)))</f>
        <v>999999</v>
      </c>
      <c r="EV359" s="561">
        <f>IF(Inputs!ER54="Yes",999999,IF(Inputs!$F$116&gt;MAX(Pile!$DG$156:$DG$235),999999,IF(Pile!ES359/(Pile!EP359/1000)&gt;50,999999,IF(Pile!ES359&lt;2,999999,Pile!ES359))))</f>
        <v>999999</v>
      </c>
      <c r="EW359" s="561">
        <f>IF(Inputs!$F$116/4&gt;MAX(Pile!$DL$242:$DL$321),999999,IF(Pile!ET359/(Pile!EP359/1000)&gt;50,999999,IF(Pile!ET359&lt;2,999999,IF(ET359&gt;25,999999,Pile!ET359))))</f>
        <v>999999</v>
      </c>
      <c r="EX359" s="566">
        <f t="shared" si="360"/>
        <v>285005000.52838051</v>
      </c>
      <c r="EY359" s="567">
        <f t="shared" si="361"/>
        <v>285005000.52838051</v>
      </c>
      <c r="EZ359" s="568">
        <f t="shared" si="362"/>
        <v>285005000.52838051</v>
      </c>
    </row>
    <row r="360" spans="2:158" ht="15">
      <c r="R360" s="308"/>
      <c r="S360" s="308"/>
      <c r="T360" s="308"/>
      <c r="U360" s="308"/>
      <c r="V360" s="308"/>
      <c r="W360" s="308"/>
      <c r="AA360" s="467"/>
      <c r="AB360" s="308"/>
      <c r="AC360" s="308"/>
      <c r="AD360" s="308"/>
      <c r="AE360" s="308"/>
      <c r="AF360" s="308"/>
      <c r="AG360" s="308"/>
      <c r="AH360" s="308"/>
      <c r="AI360" s="308"/>
      <c r="AJ360" s="308"/>
      <c r="AN360" s="569"/>
      <c r="AO360" s="308"/>
      <c r="AP360" s="308"/>
      <c r="AQ360" s="308"/>
      <c r="AR360" s="308"/>
      <c r="AS360" s="308"/>
      <c r="AT360" s="308"/>
      <c r="AU360" s="308"/>
      <c r="AV360" s="308"/>
      <c r="AW360" s="308"/>
      <c r="BA360" s="308"/>
      <c r="BB360" s="308"/>
      <c r="BC360" s="308"/>
      <c r="BD360" s="308"/>
      <c r="BE360" s="308"/>
      <c r="BF360" s="308"/>
      <c r="BG360" s="308"/>
      <c r="BH360" s="308"/>
      <c r="BI360" s="308"/>
      <c r="BJ360" s="308"/>
      <c r="BN360" s="308"/>
      <c r="BO360" s="308"/>
      <c r="BP360" s="308"/>
      <c r="BQ360" s="308"/>
      <c r="BR360" s="308"/>
      <c r="BS360" s="308"/>
      <c r="BT360" s="308"/>
      <c r="BU360" s="308"/>
      <c r="BV360" s="308"/>
      <c r="BW360" s="308"/>
      <c r="CA360" s="308"/>
      <c r="CB360" s="308"/>
      <c r="CC360" s="308"/>
      <c r="CD360" s="308"/>
      <c r="CE360" s="308"/>
      <c r="CF360" s="308"/>
      <c r="CG360" s="308"/>
      <c r="CH360" s="308"/>
      <c r="CI360" s="308"/>
      <c r="CJ360" s="308"/>
      <c r="CN360" s="308"/>
      <c r="CO360" s="308"/>
      <c r="CP360" s="308"/>
      <c r="CQ360" s="308"/>
      <c r="CR360" s="308"/>
      <c r="CS360" s="308"/>
      <c r="CT360" s="308"/>
      <c r="CU360" s="308"/>
      <c r="CV360" s="308"/>
      <c r="CW360" s="308"/>
      <c r="DA360" s="308"/>
      <c r="DB360" s="308"/>
      <c r="DC360" s="308"/>
      <c r="DD360" s="308"/>
      <c r="DE360" s="308"/>
      <c r="DF360" s="308"/>
      <c r="DG360" s="308"/>
      <c r="DH360" s="308"/>
      <c r="DI360" s="308"/>
      <c r="DJ360" s="308"/>
      <c r="DN360" s="308"/>
      <c r="DO360" s="308"/>
      <c r="DP360" s="308"/>
      <c r="DQ360" s="308"/>
      <c r="DR360" s="308"/>
      <c r="DS360" s="308"/>
      <c r="DT360" s="308"/>
      <c r="DU360" s="308"/>
      <c r="DV360" s="308"/>
      <c r="DW360" s="308"/>
      <c r="EA360" s="308"/>
      <c r="EB360" s="308"/>
      <c r="EC360" s="308"/>
      <c r="ED360" s="308"/>
      <c r="EE360" s="308"/>
      <c r="EF360" s="308"/>
      <c r="EG360" s="308"/>
      <c r="EH360" s="308"/>
      <c r="EI360" s="308"/>
      <c r="EJ360" s="308"/>
      <c r="EN360" s="308"/>
      <c r="EO360" s="308"/>
      <c r="EP360" s="308"/>
      <c r="EQ360" s="308"/>
      <c r="ER360" s="308"/>
      <c r="ES360" s="308"/>
      <c r="ET360" s="308"/>
      <c r="EU360" s="308"/>
      <c r="EV360" s="308"/>
      <c r="EW360" s="308"/>
      <c r="EX360" s="308"/>
      <c r="EY360" s="308"/>
      <c r="EZ360" s="308"/>
    </row>
    <row r="361" spans="2:158" ht="15">
      <c r="R361" s="308"/>
      <c r="S361" s="308"/>
      <c r="T361" s="308"/>
      <c r="U361" s="308"/>
      <c r="V361" s="308"/>
      <c r="W361" s="308"/>
      <c r="AA361" s="467"/>
      <c r="AB361" s="308"/>
      <c r="AC361" s="308"/>
      <c r="AD361" s="308"/>
      <c r="AE361" s="308"/>
      <c r="AF361" s="308"/>
      <c r="AG361" s="308"/>
      <c r="AH361" s="308"/>
      <c r="AI361" s="308"/>
      <c r="AJ361" s="308"/>
      <c r="AN361" s="569"/>
      <c r="AO361" s="308"/>
      <c r="AP361" s="308"/>
      <c r="AQ361" s="308"/>
      <c r="AR361" s="308"/>
      <c r="AS361" s="308"/>
      <c r="AT361" s="308"/>
      <c r="AU361" s="308"/>
      <c r="AV361" s="308"/>
      <c r="AW361" s="308"/>
      <c r="BA361" s="308"/>
      <c r="BB361" s="308"/>
      <c r="BC361" s="308"/>
      <c r="BD361" s="308"/>
      <c r="BE361" s="308"/>
      <c r="BF361" s="308"/>
      <c r="BG361" s="308"/>
      <c r="BH361" s="308"/>
      <c r="BI361" s="308"/>
      <c r="BJ361" s="308"/>
      <c r="BN361" s="308"/>
      <c r="BO361" s="308"/>
      <c r="BP361" s="308"/>
      <c r="BQ361" s="308"/>
      <c r="BR361" s="308"/>
      <c r="BS361" s="308"/>
      <c r="BT361" s="308"/>
      <c r="BU361" s="308"/>
      <c r="BV361" s="308"/>
      <c r="BW361" s="308"/>
      <c r="CA361" s="308"/>
      <c r="CB361" s="308"/>
      <c r="CC361" s="308"/>
      <c r="CD361" s="308"/>
      <c r="CE361" s="308"/>
      <c r="CF361" s="308"/>
      <c r="CG361" s="308"/>
      <c r="CH361" s="308"/>
      <c r="CI361" s="308"/>
      <c r="CJ361" s="308"/>
      <c r="CN361" s="308"/>
      <c r="CO361" s="308"/>
      <c r="CP361" s="308"/>
      <c r="CQ361" s="308"/>
      <c r="CR361" s="308"/>
      <c r="CS361" s="308"/>
      <c r="CT361" s="308"/>
      <c r="CU361" s="308"/>
      <c r="CV361" s="308"/>
      <c r="CW361" s="308"/>
      <c r="DA361" s="308"/>
      <c r="DB361" s="308"/>
      <c r="DC361" s="308"/>
      <c r="DD361" s="308"/>
      <c r="DE361" s="308"/>
      <c r="DF361" s="308"/>
      <c r="DG361" s="308"/>
      <c r="DH361" s="308"/>
      <c r="DI361" s="308"/>
      <c r="DJ361" s="308"/>
      <c r="DN361" s="308"/>
      <c r="DO361" s="308"/>
      <c r="DP361" s="308"/>
      <c r="DQ361" s="308"/>
      <c r="DR361" s="308"/>
      <c r="DS361" s="308"/>
      <c r="DT361" s="308"/>
      <c r="DU361" s="308"/>
      <c r="DV361" s="308"/>
      <c r="DW361" s="308"/>
      <c r="EA361" s="308"/>
      <c r="EB361" s="308"/>
      <c r="EC361" s="308"/>
      <c r="ED361" s="308"/>
      <c r="EE361" s="308"/>
      <c r="EF361" s="308"/>
      <c r="EG361" s="308"/>
      <c r="EH361" s="308"/>
      <c r="EI361" s="308"/>
      <c r="EJ361" s="308"/>
      <c r="EN361" s="308"/>
      <c r="EO361" s="308"/>
      <c r="EP361" s="308"/>
      <c r="EQ361" s="308"/>
      <c r="ER361" s="308"/>
      <c r="ES361" s="308"/>
      <c r="ET361" s="308"/>
      <c r="EU361" s="308"/>
      <c r="EV361" s="308"/>
      <c r="EW361" s="308"/>
      <c r="EX361" s="308"/>
      <c r="EY361" s="308"/>
      <c r="EZ361" s="308"/>
    </row>
    <row r="362" spans="2:158" ht="15">
      <c r="R362" s="308"/>
      <c r="S362" s="308"/>
      <c r="T362" s="308"/>
      <c r="U362" s="308"/>
      <c r="V362" s="308"/>
      <c r="W362" s="308"/>
      <c r="AA362" s="467"/>
      <c r="AB362" s="308"/>
      <c r="AC362" s="308"/>
      <c r="AD362" s="308"/>
      <c r="AE362" s="308"/>
      <c r="AF362" s="308"/>
      <c r="AG362" s="308"/>
      <c r="AH362" s="308"/>
      <c r="AI362" s="308"/>
      <c r="AJ362" s="308"/>
      <c r="AN362" s="569"/>
      <c r="AO362" s="308"/>
      <c r="AP362" s="308"/>
      <c r="AQ362" s="308"/>
      <c r="AR362" s="308"/>
      <c r="AS362" s="308"/>
      <c r="AT362" s="308"/>
      <c r="AU362" s="308"/>
      <c r="AV362" s="308"/>
      <c r="AW362" s="308"/>
      <c r="BA362" s="308"/>
      <c r="BB362" s="308"/>
      <c r="BC362" s="308"/>
      <c r="BD362" s="308"/>
      <c r="BE362" s="308"/>
      <c r="BF362" s="308"/>
      <c r="BG362" s="308"/>
      <c r="BH362" s="308"/>
      <c r="BI362" s="308"/>
      <c r="BJ362" s="308"/>
      <c r="BN362" s="308"/>
      <c r="BO362" s="308"/>
      <c r="BP362" s="308"/>
      <c r="BQ362" s="308"/>
      <c r="BR362" s="308"/>
      <c r="BS362" s="308"/>
      <c r="BT362" s="308"/>
      <c r="BU362" s="308"/>
      <c r="BV362" s="308"/>
      <c r="BW362" s="308"/>
      <c r="CA362" s="308"/>
      <c r="CB362" s="308"/>
      <c r="CC362" s="308"/>
      <c r="CD362" s="308"/>
      <c r="CE362" s="308"/>
      <c r="CF362" s="308"/>
      <c r="CG362" s="308"/>
      <c r="CH362" s="308"/>
      <c r="CI362" s="308"/>
      <c r="CJ362" s="308"/>
      <c r="CN362" s="308"/>
      <c r="CO362" s="308"/>
      <c r="CP362" s="308"/>
      <c r="CQ362" s="308"/>
      <c r="CR362" s="308"/>
      <c r="CS362" s="308"/>
      <c r="CT362" s="308"/>
      <c r="CU362" s="308"/>
      <c r="CV362" s="308"/>
      <c r="CW362" s="308"/>
      <c r="DA362" s="308"/>
      <c r="DB362" s="308"/>
      <c r="DC362" s="308"/>
      <c r="DD362" s="308"/>
      <c r="DE362" s="308"/>
      <c r="DF362" s="308"/>
      <c r="DG362" s="308"/>
      <c r="DH362" s="308"/>
      <c r="DI362" s="308"/>
      <c r="DJ362" s="308"/>
      <c r="DN362" s="308"/>
      <c r="DO362" s="308"/>
      <c r="DP362" s="308"/>
      <c r="DQ362" s="308"/>
      <c r="DR362" s="308"/>
      <c r="DS362" s="308"/>
      <c r="DT362" s="308"/>
      <c r="DU362" s="308"/>
      <c r="DV362" s="308"/>
      <c r="DW362" s="308"/>
      <c r="EA362" s="308"/>
      <c r="EB362" s="308"/>
      <c r="EC362" s="308"/>
      <c r="ED362" s="308"/>
      <c r="EE362" s="308"/>
      <c r="EF362" s="308"/>
      <c r="EG362" s="308"/>
      <c r="EH362" s="308"/>
      <c r="EI362" s="308"/>
      <c r="EJ362" s="308"/>
      <c r="EN362" s="308"/>
      <c r="EO362" s="308"/>
      <c r="EP362" s="308"/>
      <c r="EQ362" s="308"/>
      <c r="ER362" s="308"/>
      <c r="ES362" s="308"/>
      <c r="ET362" s="308"/>
      <c r="EU362" s="308"/>
      <c r="EV362" s="308"/>
      <c r="EW362" s="308"/>
      <c r="EX362" s="308"/>
      <c r="EY362" s="308"/>
      <c r="EZ362" s="308"/>
    </row>
    <row r="363" spans="2:158" ht="23.25">
      <c r="B363" s="446" t="s">
        <v>873</v>
      </c>
      <c r="N363" s="437"/>
      <c r="O363" s="446" t="s">
        <v>873</v>
      </c>
      <c r="R363" s="308"/>
      <c r="S363" s="308"/>
      <c r="T363" s="308"/>
      <c r="U363" s="308"/>
      <c r="V363" s="308"/>
      <c r="W363" s="308"/>
      <c r="AA363" s="467"/>
      <c r="AB363" s="570" t="s">
        <v>873</v>
      </c>
      <c r="AC363" s="308"/>
      <c r="AD363" s="308"/>
      <c r="AE363" s="308"/>
      <c r="AF363" s="308"/>
      <c r="AG363" s="308"/>
      <c r="AH363" s="308"/>
      <c r="AI363" s="308"/>
      <c r="AJ363" s="308"/>
      <c r="AN363" s="571"/>
      <c r="AO363" s="570" t="s">
        <v>873</v>
      </c>
      <c r="AP363" s="308"/>
      <c r="AQ363" s="308"/>
      <c r="AR363" s="308"/>
      <c r="AS363" s="308"/>
      <c r="AT363" s="308"/>
      <c r="AU363" s="308"/>
      <c r="AV363" s="308"/>
      <c r="AW363" s="308"/>
      <c r="BA363" s="382"/>
      <c r="BB363" s="570" t="s">
        <v>873</v>
      </c>
      <c r="BC363" s="308"/>
      <c r="BD363" s="308"/>
      <c r="BE363" s="308"/>
      <c r="BF363" s="308"/>
      <c r="BG363" s="308"/>
      <c r="BH363" s="308"/>
      <c r="BI363" s="308"/>
      <c r="BJ363" s="308"/>
      <c r="BN363" s="382"/>
      <c r="BO363" s="570" t="s">
        <v>873</v>
      </c>
      <c r="BP363" s="308"/>
      <c r="BQ363" s="308"/>
      <c r="BR363" s="308"/>
      <c r="BS363" s="308"/>
      <c r="BT363" s="308"/>
      <c r="BU363" s="308"/>
      <c r="BV363" s="308"/>
      <c r="BW363" s="308"/>
      <c r="CA363" s="382"/>
      <c r="CB363" s="570" t="s">
        <v>873</v>
      </c>
      <c r="CC363" s="308"/>
      <c r="CD363" s="308"/>
      <c r="CE363" s="308"/>
      <c r="CF363" s="308"/>
      <c r="CG363" s="308"/>
      <c r="CH363" s="308"/>
      <c r="CI363" s="308"/>
      <c r="CJ363" s="308"/>
      <c r="CN363" s="382"/>
      <c r="CO363" s="570" t="s">
        <v>873</v>
      </c>
      <c r="CP363" s="308"/>
      <c r="CQ363" s="308"/>
      <c r="CR363" s="308"/>
      <c r="CS363" s="308"/>
      <c r="CT363" s="308"/>
      <c r="CU363" s="308"/>
      <c r="CV363" s="308"/>
      <c r="CW363" s="308"/>
      <c r="DA363" s="382"/>
      <c r="DB363" s="570" t="s">
        <v>873</v>
      </c>
      <c r="DC363" s="308"/>
      <c r="DD363" s="308"/>
      <c r="DE363" s="308"/>
      <c r="DF363" s="308"/>
      <c r="DG363" s="308"/>
      <c r="DH363" s="308"/>
      <c r="DI363" s="308"/>
      <c r="DJ363" s="308"/>
      <c r="DN363" s="382"/>
      <c r="DO363" s="570" t="s">
        <v>873</v>
      </c>
      <c r="DP363" s="308"/>
      <c r="DQ363" s="308"/>
      <c r="DR363" s="308"/>
      <c r="DS363" s="308"/>
      <c r="DT363" s="308"/>
      <c r="DU363" s="308"/>
      <c r="DV363" s="308"/>
      <c r="DW363" s="308"/>
      <c r="EA363" s="382"/>
      <c r="EB363" s="570" t="s">
        <v>873</v>
      </c>
      <c r="EC363" s="308"/>
      <c r="ED363" s="308"/>
      <c r="EE363" s="308"/>
      <c r="EF363" s="308"/>
      <c r="EG363" s="308"/>
      <c r="EH363" s="308"/>
      <c r="EI363" s="308"/>
      <c r="EJ363" s="308"/>
      <c r="EN363" s="382"/>
      <c r="EO363" s="570" t="s">
        <v>873</v>
      </c>
      <c r="EP363" s="308"/>
      <c r="EQ363" s="308"/>
      <c r="ER363" s="308"/>
      <c r="ES363" s="308"/>
      <c r="ET363" s="308"/>
      <c r="EU363" s="308"/>
      <c r="EV363" s="308"/>
      <c r="EW363" s="308"/>
      <c r="EX363" s="308"/>
      <c r="EY363" s="308"/>
      <c r="EZ363" s="308"/>
      <c r="FA363" s="437"/>
      <c r="FB363" s="437"/>
    </row>
    <row r="364" spans="2:158" ht="15">
      <c r="R364" s="308"/>
      <c r="S364" s="308"/>
      <c r="T364" s="308"/>
      <c r="U364" s="308"/>
      <c r="V364" s="308"/>
      <c r="W364" s="308"/>
      <c r="AA364" s="467"/>
      <c r="AB364" s="308"/>
      <c r="AC364" s="308"/>
      <c r="AD364" s="308"/>
      <c r="AE364" s="308"/>
      <c r="AF364" s="308"/>
      <c r="AG364" s="308"/>
      <c r="AH364" s="308"/>
      <c r="AI364" s="308"/>
      <c r="AJ364" s="308"/>
      <c r="AN364" s="569"/>
      <c r="AO364" s="308"/>
      <c r="AP364" s="308"/>
      <c r="AQ364" s="308"/>
      <c r="AR364" s="308"/>
      <c r="AS364" s="308"/>
      <c r="AT364" s="308"/>
      <c r="AU364" s="308"/>
      <c r="AV364" s="308"/>
      <c r="AW364" s="308"/>
      <c r="BA364" s="308"/>
      <c r="BB364" s="308"/>
      <c r="BC364" s="308"/>
      <c r="BD364" s="308"/>
      <c r="BE364" s="308"/>
      <c r="BF364" s="308"/>
      <c r="BG364" s="308"/>
      <c r="BH364" s="308"/>
      <c r="BI364" s="308"/>
      <c r="BJ364" s="308"/>
      <c r="BN364" s="308"/>
      <c r="BO364" s="308"/>
      <c r="BP364" s="308"/>
      <c r="BQ364" s="308"/>
      <c r="BR364" s="308"/>
      <c r="BS364" s="308"/>
      <c r="BT364" s="308"/>
      <c r="BU364" s="308"/>
      <c r="BV364" s="308"/>
      <c r="BW364" s="308"/>
      <c r="CA364" s="308"/>
      <c r="CB364" s="308"/>
      <c r="CC364" s="308"/>
      <c r="CD364" s="308"/>
      <c r="CE364" s="308"/>
      <c r="CF364" s="308"/>
      <c r="CG364" s="308"/>
      <c r="CH364" s="308"/>
      <c r="CI364" s="308"/>
      <c r="CJ364" s="308"/>
      <c r="CN364" s="308"/>
      <c r="CO364" s="308"/>
      <c r="CP364" s="308"/>
      <c r="CQ364" s="308"/>
      <c r="CR364" s="308"/>
      <c r="CS364" s="308"/>
      <c r="CT364" s="308"/>
      <c r="CU364" s="308"/>
      <c r="CV364" s="308"/>
      <c r="CW364" s="308"/>
      <c r="DA364" s="308"/>
      <c r="DB364" s="308"/>
      <c r="DC364" s="308"/>
      <c r="DD364" s="308"/>
      <c r="DE364" s="308"/>
      <c r="DF364" s="308"/>
      <c r="DG364" s="308"/>
      <c r="DH364" s="308"/>
      <c r="DI364" s="308"/>
      <c r="DJ364" s="308"/>
      <c r="DN364" s="308"/>
      <c r="DO364" s="308"/>
      <c r="DP364" s="308"/>
      <c r="DQ364" s="308"/>
      <c r="DR364" s="308"/>
      <c r="DS364" s="308"/>
      <c r="DT364" s="308"/>
      <c r="DU364" s="308"/>
      <c r="DV364" s="308"/>
      <c r="DW364" s="308"/>
      <c r="EA364" s="308"/>
      <c r="EB364" s="308"/>
      <c r="EC364" s="308"/>
      <c r="ED364" s="308"/>
      <c r="EE364" s="308"/>
      <c r="EF364" s="308"/>
      <c r="EG364" s="308"/>
      <c r="EH364" s="308"/>
      <c r="EI364" s="308"/>
      <c r="EJ364" s="308"/>
      <c r="EN364" s="308"/>
      <c r="EO364" s="308"/>
      <c r="EP364" s="308"/>
      <c r="EQ364" s="308"/>
      <c r="ER364" s="308"/>
      <c r="ES364" s="308"/>
      <c r="ET364" s="308"/>
      <c r="EU364" s="308"/>
      <c r="EV364" s="308"/>
      <c r="EW364" s="308"/>
      <c r="EX364" s="308"/>
      <c r="EY364" s="308"/>
      <c r="EZ364" s="308"/>
    </row>
    <row r="365" spans="2:158" ht="15.75" thickBot="1">
      <c r="R365" s="308"/>
      <c r="S365" s="308"/>
      <c r="T365" s="308"/>
      <c r="U365" s="308"/>
      <c r="V365" s="308"/>
      <c r="W365" s="308"/>
      <c r="AA365" s="467"/>
      <c r="AB365" s="308"/>
      <c r="AC365" s="308"/>
      <c r="AD365" s="308"/>
      <c r="AE365" s="308"/>
      <c r="AF365" s="308"/>
      <c r="AG365" s="308"/>
      <c r="AH365" s="308"/>
      <c r="AI365" s="308"/>
      <c r="AJ365" s="308"/>
      <c r="AN365" s="569"/>
      <c r="AO365" s="308"/>
      <c r="AP365" s="308"/>
      <c r="AQ365" s="308"/>
      <c r="AR365" s="308"/>
      <c r="AS365" s="308"/>
      <c r="AT365" s="308"/>
      <c r="AU365" s="308"/>
      <c r="AV365" s="308"/>
      <c r="AW365" s="308"/>
      <c r="BA365" s="308"/>
      <c r="BB365" s="308"/>
      <c r="BC365" s="308"/>
      <c r="BD365" s="308"/>
      <c r="BE365" s="308"/>
      <c r="BF365" s="308"/>
      <c r="BG365" s="308"/>
      <c r="BH365" s="308"/>
      <c r="BI365" s="308"/>
      <c r="BJ365" s="308"/>
      <c r="BN365" s="308"/>
      <c r="BO365" s="308"/>
      <c r="BP365" s="308"/>
      <c r="BQ365" s="308"/>
      <c r="BR365" s="308"/>
      <c r="BS365" s="308"/>
      <c r="BT365" s="308"/>
      <c r="BU365" s="308"/>
      <c r="BV365" s="308"/>
      <c r="BW365" s="308"/>
      <c r="CA365" s="308"/>
      <c r="CB365" s="308"/>
      <c r="CC365" s="308"/>
      <c r="CD365" s="308"/>
      <c r="CE365" s="308"/>
      <c r="CF365" s="308"/>
      <c r="CG365" s="308"/>
      <c r="CH365" s="308"/>
      <c r="CI365" s="308"/>
      <c r="CJ365" s="308"/>
      <c r="CN365" s="308"/>
      <c r="CO365" s="308"/>
      <c r="CP365" s="308"/>
      <c r="CQ365" s="308"/>
      <c r="CR365" s="308"/>
      <c r="CS365" s="308"/>
      <c r="CT365" s="308"/>
      <c r="CU365" s="308"/>
      <c r="CV365" s="308"/>
      <c r="CW365" s="308"/>
      <c r="DA365" s="308"/>
      <c r="DB365" s="308"/>
      <c r="DC365" s="308"/>
      <c r="DD365" s="308"/>
      <c r="DE365" s="308"/>
      <c r="DF365" s="308"/>
      <c r="DG365" s="308"/>
      <c r="DH365" s="308"/>
      <c r="DI365" s="308"/>
      <c r="DJ365" s="308"/>
      <c r="DN365" s="308"/>
      <c r="DO365" s="308"/>
      <c r="DP365" s="308"/>
      <c r="DQ365" s="308"/>
      <c r="DR365" s="308"/>
      <c r="DS365" s="308"/>
      <c r="DT365" s="308"/>
      <c r="DU365" s="308"/>
      <c r="DV365" s="308"/>
      <c r="DW365" s="308"/>
      <c r="EA365" s="308"/>
      <c r="EB365" s="308"/>
      <c r="EC365" s="308"/>
      <c r="ED365" s="308"/>
      <c r="EE365" s="308"/>
      <c r="EF365" s="308"/>
      <c r="EG365" s="308"/>
      <c r="EH365" s="308"/>
      <c r="EI365" s="308"/>
      <c r="EJ365" s="308"/>
      <c r="EN365" s="308"/>
      <c r="EO365" s="308"/>
      <c r="EP365" s="308"/>
      <c r="EQ365" s="308"/>
      <c r="ER365" s="308"/>
      <c r="ES365" s="308"/>
      <c r="ET365" s="308"/>
      <c r="EU365" s="308"/>
      <c r="EV365" s="308"/>
      <c r="EW365" s="308"/>
      <c r="EX365" s="308"/>
      <c r="EY365" s="308"/>
      <c r="EZ365" s="308"/>
    </row>
    <row r="366" spans="2:158" ht="33.75" customHeight="1" thickBot="1">
      <c r="E366" s="447" t="s">
        <v>864</v>
      </c>
      <c r="F366" s="448"/>
      <c r="G366" s="449"/>
      <c r="H366" s="447" t="s">
        <v>865</v>
      </c>
      <c r="I366" s="448"/>
      <c r="J366" s="449"/>
      <c r="K366" s="447" t="s">
        <v>874</v>
      </c>
      <c r="L366" s="448"/>
      <c r="M366" s="449"/>
      <c r="R366" s="572" t="s">
        <v>864</v>
      </c>
      <c r="S366" s="573"/>
      <c r="T366" s="574"/>
      <c r="U366" s="572" t="s">
        <v>865</v>
      </c>
      <c r="V366" s="573"/>
      <c r="W366" s="574"/>
      <c r="X366" s="447" t="s">
        <v>874</v>
      </c>
      <c r="Y366" s="448"/>
      <c r="Z366" s="449"/>
      <c r="AA366" s="467"/>
      <c r="AB366" s="308"/>
      <c r="AC366" s="308"/>
      <c r="AD366" s="308"/>
      <c r="AE366" s="572" t="s">
        <v>864</v>
      </c>
      <c r="AF366" s="573"/>
      <c r="AG366" s="574"/>
      <c r="AH366" s="572" t="s">
        <v>865</v>
      </c>
      <c r="AI366" s="573"/>
      <c r="AJ366" s="574"/>
      <c r="AK366" s="447" t="s">
        <v>874</v>
      </c>
      <c r="AL366" s="448"/>
      <c r="AM366" s="449"/>
      <c r="AN366" s="569"/>
      <c r="AO366" s="308"/>
      <c r="AP366" s="308"/>
      <c r="AQ366" s="308"/>
      <c r="AR366" s="572" t="s">
        <v>864</v>
      </c>
      <c r="AS366" s="573"/>
      <c r="AT366" s="574"/>
      <c r="AU366" s="572" t="s">
        <v>865</v>
      </c>
      <c r="AV366" s="573"/>
      <c r="AW366" s="574"/>
      <c r="AX366" s="447" t="s">
        <v>874</v>
      </c>
      <c r="AY366" s="448"/>
      <c r="AZ366" s="449"/>
      <c r="BA366" s="308"/>
      <c r="BB366" s="308"/>
      <c r="BC366" s="308"/>
      <c r="BD366" s="308"/>
      <c r="BE366" s="572" t="s">
        <v>864</v>
      </c>
      <c r="BF366" s="573"/>
      <c r="BG366" s="574"/>
      <c r="BH366" s="572" t="s">
        <v>865</v>
      </c>
      <c r="BI366" s="573"/>
      <c r="BJ366" s="574"/>
      <c r="BK366" s="447" t="s">
        <v>874</v>
      </c>
      <c r="BL366" s="448"/>
      <c r="BM366" s="449"/>
      <c r="BN366" s="308"/>
      <c r="BO366" s="308"/>
      <c r="BP366" s="308"/>
      <c r="BQ366" s="308"/>
      <c r="BR366" s="572" t="s">
        <v>864</v>
      </c>
      <c r="BS366" s="573"/>
      <c r="BT366" s="574"/>
      <c r="BU366" s="572" t="s">
        <v>865</v>
      </c>
      <c r="BV366" s="573"/>
      <c r="BW366" s="574"/>
      <c r="BX366" s="447" t="s">
        <v>874</v>
      </c>
      <c r="BY366" s="448"/>
      <c r="BZ366" s="449"/>
      <c r="CA366" s="308"/>
      <c r="CB366" s="308"/>
      <c r="CC366" s="308"/>
      <c r="CD366" s="308"/>
      <c r="CE366" s="572" t="s">
        <v>864</v>
      </c>
      <c r="CF366" s="573"/>
      <c r="CG366" s="574"/>
      <c r="CH366" s="572" t="s">
        <v>865</v>
      </c>
      <c r="CI366" s="573"/>
      <c r="CJ366" s="574"/>
      <c r="CK366" s="447" t="s">
        <v>874</v>
      </c>
      <c r="CL366" s="448"/>
      <c r="CM366" s="449"/>
      <c r="CN366" s="308"/>
      <c r="CO366" s="308"/>
      <c r="CP366" s="308"/>
      <c r="CQ366" s="308"/>
      <c r="CR366" s="572" t="s">
        <v>864</v>
      </c>
      <c r="CS366" s="573"/>
      <c r="CT366" s="574"/>
      <c r="CU366" s="572" t="s">
        <v>865</v>
      </c>
      <c r="CV366" s="573"/>
      <c r="CW366" s="574"/>
      <c r="CX366" s="447" t="s">
        <v>874</v>
      </c>
      <c r="CY366" s="448"/>
      <c r="CZ366" s="449"/>
      <c r="DA366" s="308"/>
      <c r="DB366" s="308"/>
      <c r="DC366" s="308"/>
      <c r="DD366" s="308"/>
      <c r="DE366" s="572" t="s">
        <v>864</v>
      </c>
      <c r="DF366" s="573"/>
      <c r="DG366" s="574"/>
      <c r="DH366" s="572" t="s">
        <v>865</v>
      </c>
      <c r="DI366" s="573"/>
      <c r="DJ366" s="574"/>
      <c r="DK366" s="447" t="s">
        <v>874</v>
      </c>
      <c r="DL366" s="448"/>
      <c r="DM366" s="449"/>
      <c r="DN366" s="308"/>
      <c r="DO366" s="308"/>
      <c r="DP366" s="308"/>
      <c r="DQ366" s="308"/>
      <c r="DR366" s="572" t="s">
        <v>864</v>
      </c>
      <c r="DS366" s="573"/>
      <c r="DT366" s="574"/>
      <c r="DU366" s="572" t="s">
        <v>865</v>
      </c>
      <c r="DV366" s="573"/>
      <c r="DW366" s="574"/>
      <c r="DX366" s="447" t="s">
        <v>874</v>
      </c>
      <c r="DY366" s="448"/>
      <c r="DZ366" s="449"/>
      <c r="EA366" s="308"/>
      <c r="EB366" s="308"/>
      <c r="EC366" s="308"/>
      <c r="ED366" s="308"/>
      <c r="EE366" s="572" t="s">
        <v>864</v>
      </c>
      <c r="EF366" s="573"/>
      <c r="EG366" s="574"/>
      <c r="EH366" s="572" t="s">
        <v>865</v>
      </c>
      <c r="EI366" s="573"/>
      <c r="EJ366" s="574"/>
      <c r="EK366" s="447" t="s">
        <v>874</v>
      </c>
      <c r="EL366" s="448"/>
      <c r="EM366" s="449"/>
      <c r="EN366" s="308"/>
      <c r="EO366" s="308"/>
      <c r="EP366" s="308"/>
      <c r="EQ366" s="308"/>
      <c r="ER366" s="572" t="s">
        <v>864</v>
      </c>
      <c r="ES366" s="573"/>
      <c r="ET366" s="574"/>
      <c r="EU366" s="572" t="s">
        <v>865</v>
      </c>
      <c r="EV366" s="573"/>
      <c r="EW366" s="574"/>
      <c r="EX366" s="572" t="s">
        <v>874</v>
      </c>
      <c r="EY366" s="573"/>
      <c r="EZ366" s="574"/>
    </row>
    <row r="367" spans="2:158" ht="180.75" thickBot="1">
      <c r="B367" s="450" t="s">
        <v>867</v>
      </c>
      <c r="C367" s="451" t="s">
        <v>868</v>
      </c>
      <c r="D367" s="451" t="s">
        <v>869</v>
      </c>
      <c r="E367" s="452" t="s">
        <v>870</v>
      </c>
      <c r="F367" s="452" t="s">
        <v>871</v>
      </c>
      <c r="G367" s="453" t="s">
        <v>872</v>
      </c>
      <c r="H367" s="454" t="s">
        <v>870</v>
      </c>
      <c r="I367" s="452" t="s">
        <v>871</v>
      </c>
      <c r="J367" s="453" t="s">
        <v>872</v>
      </c>
      <c r="K367" s="455" t="s">
        <v>870</v>
      </c>
      <c r="L367" s="456" t="s">
        <v>871</v>
      </c>
      <c r="M367" s="457" t="s">
        <v>872</v>
      </c>
      <c r="O367" s="450" t="s">
        <v>867</v>
      </c>
      <c r="P367" s="451" t="s">
        <v>868</v>
      </c>
      <c r="Q367" s="451" t="s">
        <v>869</v>
      </c>
      <c r="R367" s="575" t="s">
        <v>870</v>
      </c>
      <c r="S367" s="575" t="s">
        <v>871</v>
      </c>
      <c r="T367" s="576" t="s">
        <v>872</v>
      </c>
      <c r="U367" s="577" t="s">
        <v>870</v>
      </c>
      <c r="V367" s="575" t="s">
        <v>871</v>
      </c>
      <c r="W367" s="576" t="s">
        <v>872</v>
      </c>
      <c r="X367" s="455" t="s">
        <v>870</v>
      </c>
      <c r="Y367" s="456" t="s">
        <v>871</v>
      </c>
      <c r="Z367" s="457" t="s">
        <v>872</v>
      </c>
      <c r="AA367" s="467"/>
      <c r="AB367" s="578" t="s">
        <v>867</v>
      </c>
      <c r="AC367" s="579" t="s">
        <v>868</v>
      </c>
      <c r="AD367" s="579" t="s">
        <v>869</v>
      </c>
      <c r="AE367" s="575" t="s">
        <v>870</v>
      </c>
      <c r="AF367" s="575" t="s">
        <v>871</v>
      </c>
      <c r="AG367" s="576" t="s">
        <v>872</v>
      </c>
      <c r="AH367" s="577" t="s">
        <v>870</v>
      </c>
      <c r="AI367" s="575" t="s">
        <v>871</v>
      </c>
      <c r="AJ367" s="576" t="s">
        <v>872</v>
      </c>
      <c r="AK367" s="455" t="s">
        <v>870</v>
      </c>
      <c r="AL367" s="456" t="s">
        <v>871</v>
      </c>
      <c r="AM367" s="457" t="s">
        <v>872</v>
      </c>
      <c r="AN367" s="569"/>
      <c r="AO367" s="578" t="s">
        <v>867</v>
      </c>
      <c r="AP367" s="579" t="s">
        <v>868</v>
      </c>
      <c r="AQ367" s="579" t="s">
        <v>869</v>
      </c>
      <c r="AR367" s="575" t="s">
        <v>870</v>
      </c>
      <c r="AS367" s="575" t="s">
        <v>871</v>
      </c>
      <c r="AT367" s="576" t="s">
        <v>872</v>
      </c>
      <c r="AU367" s="577" t="s">
        <v>870</v>
      </c>
      <c r="AV367" s="575" t="s">
        <v>871</v>
      </c>
      <c r="AW367" s="576" t="s">
        <v>872</v>
      </c>
      <c r="AX367" s="455" t="s">
        <v>870</v>
      </c>
      <c r="AY367" s="456" t="s">
        <v>871</v>
      </c>
      <c r="AZ367" s="457" t="s">
        <v>872</v>
      </c>
      <c r="BA367" s="308"/>
      <c r="BB367" s="578" t="s">
        <v>867</v>
      </c>
      <c r="BC367" s="579" t="s">
        <v>868</v>
      </c>
      <c r="BD367" s="579" t="s">
        <v>869</v>
      </c>
      <c r="BE367" s="575" t="s">
        <v>870</v>
      </c>
      <c r="BF367" s="575" t="s">
        <v>871</v>
      </c>
      <c r="BG367" s="576" t="s">
        <v>872</v>
      </c>
      <c r="BH367" s="577" t="s">
        <v>870</v>
      </c>
      <c r="BI367" s="575" t="s">
        <v>871</v>
      </c>
      <c r="BJ367" s="576" t="s">
        <v>872</v>
      </c>
      <c r="BK367" s="455" t="s">
        <v>870</v>
      </c>
      <c r="BL367" s="456" t="s">
        <v>871</v>
      </c>
      <c r="BM367" s="457" t="s">
        <v>872</v>
      </c>
      <c r="BN367" s="308"/>
      <c r="BO367" s="578" t="s">
        <v>867</v>
      </c>
      <c r="BP367" s="579" t="s">
        <v>868</v>
      </c>
      <c r="BQ367" s="579" t="s">
        <v>869</v>
      </c>
      <c r="BR367" s="575" t="s">
        <v>870</v>
      </c>
      <c r="BS367" s="575" t="s">
        <v>871</v>
      </c>
      <c r="BT367" s="576" t="s">
        <v>872</v>
      </c>
      <c r="BU367" s="577" t="s">
        <v>870</v>
      </c>
      <c r="BV367" s="575" t="s">
        <v>871</v>
      </c>
      <c r="BW367" s="576" t="s">
        <v>872</v>
      </c>
      <c r="BX367" s="455" t="s">
        <v>870</v>
      </c>
      <c r="BY367" s="456" t="s">
        <v>871</v>
      </c>
      <c r="BZ367" s="457" t="s">
        <v>872</v>
      </c>
      <c r="CA367" s="308"/>
      <c r="CB367" s="578" t="s">
        <v>867</v>
      </c>
      <c r="CC367" s="579" t="s">
        <v>868</v>
      </c>
      <c r="CD367" s="579" t="s">
        <v>869</v>
      </c>
      <c r="CE367" s="575" t="s">
        <v>870</v>
      </c>
      <c r="CF367" s="575" t="s">
        <v>871</v>
      </c>
      <c r="CG367" s="576" t="s">
        <v>872</v>
      </c>
      <c r="CH367" s="577" t="s">
        <v>870</v>
      </c>
      <c r="CI367" s="575" t="s">
        <v>871</v>
      </c>
      <c r="CJ367" s="576" t="s">
        <v>872</v>
      </c>
      <c r="CK367" s="455" t="s">
        <v>870</v>
      </c>
      <c r="CL367" s="456" t="s">
        <v>871</v>
      </c>
      <c r="CM367" s="457" t="s">
        <v>872</v>
      </c>
      <c r="CN367" s="308"/>
      <c r="CO367" s="578" t="s">
        <v>867</v>
      </c>
      <c r="CP367" s="579" t="s">
        <v>868</v>
      </c>
      <c r="CQ367" s="579" t="s">
        <v>869</v>
      </c>
      <c r="CR367" s="575" t="s">
        <v>870</v>
      </c>
      <c r="CS367" s="575" t="s">
        <v>871</v>
      </c>
      <c r="CT367" s="576" t="s">
        <v>872</v>
      </c>
      <c r="CU367" s="577" t="s">
        <v>870</v>
      </c>
      <c r="CV367" s="575" t="s">
        <v>871</v>
      </c>
      <c r="CW367" s="576" t="s">
        <v>872</v>
      </c>
      <c r="CX367" s="455" t="s">
        <v>870</v>
      </c>
      <c r="CY367" s="456" t="s">
        <v>871</v>
      </c>
      <c r="CZ367" s="457" t="s">
        <v>872</v>
      </c>
      <c r="DA367" s="308"/>
      <c r="DB367" s="578" t="s">
        <v>867</v>
      </c>
      <c r="DC367" s="579" t="s">
        <v>868</v>
      </c>
      <c r="DD367" s="579" t="s">
        <v>869</v>
      </c>
      <c r="DE367" s="575" t="s">
        <v>870</v>
      </c>
      <c r="DF367" s="575" t="s">
        <v>871</v>
      </c>
      <c r="DG367" s="576" t="s">
        <v>872</v>
      </c>
      <c r="DH367" s="577" t="s">
        <v>870</v>
      </c>
      <c r="DI367" s="575" t="s">
        <v>871</v>
      </c>
      <c r="DJ367" s="576" t="s">
        <v>872</v>
      </c>
      <c r="DK367" s="455" t="s">
        <v>870</v>
      </c>
      <c r="DL367" s="456" t="s">
        <v>871</v>
      </c>
      <c r="DM367" s="457" t="s">
        <v>872</v>
      </c>
      <c r="DN367" s="308"/>
      <c r="DO367" s="578" t="s">
        <v>867</v>
      </c>
      <c r="DP367" s="579" t="s">
        <v>868</v>
      </c>
      <c r="DQ367" s="579" t="s">
        <v>869</v>
      </c>
      <c r="DR367" s="575" t="s">
        <v>870</v>
      </c>
      <c r="DS367" s="575" t="s">
        <v>871</v>
      </c>
      <c r="DT367" s="576" t="s">
        <v>872</v>
      </c>
      <c r="DU367" s="577" t="s">
        <v>870</v>
      </c>
      <c r="DV367" s="575" t="s">
        <v>871</v>
      </c>
      <c r="DW367" s="576" t="s">
        <v>872</v>
      </c>
      <c r="DX367" s="455" t="s">
        <v>870</v>
      </c>
      <c r="DY367" s="456" t="s">
        <v>871</v>
      </c>
      <c r="DZ367" s="457" t="s">
        <v>872</v>
      </c>
      <c r="EA367" s="308"/>
      <c r="EB367" s="578" t="s">
        <v>867</v>
      </c>
      <c r="EC367" s="579" t="s">
        <v>868</v>
      </c>
      <c r="ED367" s="579" t="s">
        <v>869</v>
      </c>
      <c r="EE367" s="575" t="s">
        <v>870</v>
      </c>
      <c r="EF367" s="575" t="s">
        <v>871</v>
      </c>
      <c r="EG367" s="576" t="s">
        <v>872</v>
      </c>
      <c r="EH367" s="577" t="s">
        <v>870</v>
      </c>
      <c r="EI367" s="575" t="s">
        <v>871</v>
      </c>
      <c r="EJ367" s="576" t="s">
        <v>872</v>
      </c>
      <c r="EK367" s="455" t="s">
        <v>870</v>
      </c>
      <c r="EL367" s="456" t="s">
        <v>871</v>
      </c>
      <c r="EM367" s="457" t="s">
        <v>872</v>
      </c>
      <c r="EN367" s="308"/>
      <c r="EO367" s="578" t="s">
        <v>867</v>
      </c>
      <c r="EP367" s="579" t="s">
        <v>868</v>
      </c>
      <c r="EQ367" s="579" t="s">
        <v>869</v>
      </c>
      <c r="ER367" s="575" t="s">
        <v>870</v>
      </c>
      <c r="ES367" s="575" t="s">
        <v>871</v>
      </c>
      <c r="ET367" s="576" t="s">
        <v>872</v>
      </c>
      <c r="EU367" s="577" t="s">
        <v>870</v>
      </c>
      <c r="EV367" s="575" t="s">
        <v>871</v>
      </c>
      <c r="EW367" s="576" t="s">
        <v>872</v>
      </c>
      <c r="EX367" s="580" t="s">
        <v>870</v>
      </c>
      <c r="EY367" s="581" t="s">
        <v>871</v>
      </c>
      <c r="EZ367" s="582" t="s">
        <v>872</v>
      </c>
    </row>
    <row r="368" spans="2:158" ht="15">
      <c r="B368" s="458">
        <v>1</v>
      </c>
      <c r="C368" s="459">
        <v>450</v>
      </c>
      <c r="D368" s="460">
        <f>Inputs!$D$40</f>
        <v>32</v>
      </c>
      <c r="E368" s="461">
        <f>_xlfn.MINIFS($DE$70:$DE$149,$DG$70:$DG$149,"&gt;"&amp;Inputs!$H$40)</f>
        <v>14.999999999999996</v>
      </c>
      <c r="F368" s="461">
        <f>_xlfn.MINIFS($DE$156:$DE$235,$DG$156:$DG$235,"&gt;"&amp;Inputs!$H$40)</f>
        <v>13.499999999999996</v>
      </c>
      <c r="G368" s="462">
        <f>_xlfn.MINIFS($DE$242:$DE$321,$DG$242:$DG$321,"&gt;"&amp;Inputs!$H$40)</f>
        <v>13.499999999999996</v>
      </c>
      <c r="H368" s="463">
        <f>IF(Inputs!$F$40&gt;MAX(Pile!$DG$70:$DG$149),999999,IF(Pile!E368/(Pile!C368/1000)&gt;50,999999,IF(Pile!E368&lt;2,999999,Pile!E368)))</f>
        <v>14.999999999999996</v>
      </c>
      <c r="I368" s="464">
        <f>IF(Inputs!E31="Yes",999999,IF(Pile!F368/(Pile!C368/1000)&gt;50,999999,IF(Pile!F368&lt;2,999999,Pile!F368)))</f>
        <v>13.499999999999996</v>
      </c>
      <c r="J368" s="464">
        <f>IF(Inputs!$F$40&gt;MAX(Pile!$DG$242:$DG$321),999999,IF(Pile!G368/(Pile!C368/1000)&gt;50,999999,IF(Pile!G368&lt;2,999999,IF(G368&gt;25,999999,Pile!G368))))</f>
        <v>13.499999999999996</v>
      </c>
      <c r="K368" s="463">
        <f>IF(ISNUMBER(H368),D368*(PI()*(C368/2000)^2)*H368,H368)+N368</f>
        <v>94.340701482231964</v>
      </c>
      <c r="L368" s="464">
        <f>IF(ISNUMBER(I368),D368*(PI()*(C368/2000)^2)*I368,I368)+N368</f>
        <v>86.706631334008762</v>
      </c>
      <c r="M368" s="465">
        <f>IF(ISNUMBER(J368),D368*(PI()*(C368/2000)^2)*J368,J368)+N368</f>
        <v>86.706631334008762</v>
      </c>
      <c r="N368" s="466">
        <f>Inputs!$D$40*D459</f>
        <v>18</v>
      </c>
      <c r="O368" s="458">
        <v>1</v>
      </c>
      <c r="P368" s="459">
        <v>450</v>
      </c>
      <c r="Q368" s="460">
        <f>Inputs!$D$40</f>
        <v>32</v>
      </c>
      <c r="R368" s="461">
        <f>_xlfn.MINIFS($DE$70:$DE$149,$DG$70:$DG$149,"&gt;"&amp;Inputs!$H$47)</f>
        <v>14.999999999999996</v>
      </c>
      <c r="S368" s="461">
        <f>_xlfn.MINIFS($DE$156:$DE$235,$DG$156:$DG$235,"&gt;"&amp;Inputs!$H$47)</f>
        <v>13.499999999999996</v>
      </c>
      <c r="T368" s="462">
        <f>_xlfn.MINIFS($DE$242:$DE$321,$DG$242:$DG$321,"&gt;"&amp;Inputs!$H$47)</f>
        <v>13.499999999999996</v>
      </c>
      <c r="U368" s="463">
        <f>IF(Inputs!$F$47&gt;MAX(Pile!$DG$70:$DG$149),999999,IF(Pile!R368/(Pile!P368/1000)&gt;50,999999,IF(Pile!R368&lt;2,999999,Pile!R368)))</f>
        <v>14.999999999999996</v>
      </c>
      <c r="V368" s="464">
        <f>IF(Inputs!R31="Yes",999999,IF(Pile!S368/(Pile!P368/1000)&gt;50,999999,IF(Pile!S368&lt;2,999999,Pile!S368)))</f>
        <v>13.499999999999996</v>
      </c>
      <c r="W368" s="464">
        <f>IF(Inputs!$F$47&gt;MAX(Pile!$DG$242:$DG$321),999999,IF(Pile!T368/(Pile!P368/1000)&gt;50,999999,IF(Pile!T368&lt;2,999999,IF(T368&gt;25,999999,Pile!T368))))</f>
        <v>13.499999999999996</v>
      </c>
      <c r="X368" s="463">
        <f>IF(ISNUMBER(U368),Q368*(PI()*(P368/2000)^2)*U368,U368)+AA368</f>
        <v>94.340701482231964</v>
      </c>
      <c r="Y368" s="464">
        <f>IF(ISNUMBER(V368),Q368*(PI()*(P368/2000)^2)*V368,V368)+AA368</f>
        <v>86.706631334008762</v>
      </c>
      <c r="Z368" s="465">
        <f>IF(ISNUMBER(W368),Q368*(PI()*(P368/2000)^2)*W368,W368)+AA368</f>
        <v>86.706631334008762</v>
      </c>
      <c r="AA368" s="467">
        <f t="shared" si="369"/>
        <v>18</v>
      </c>
      <c r="AB368" s="468">
        <v>1</v>
      </c>
      <c r="AC368" s="469">
        <v>450</v>
      </c>
      <c r="AD368" s="470">
        <f>Inputs!$D$40</f>
        <v>32</v>
      </c>
      <c r="AE368" s="461">
        <f>_xlfn.MINIFS($DE$70:$DE$149,$DG$70:$DG$149,"&gt;"&amp;Inputs!$H$54)</f>
        <v>13.499999999999996</v>
      </c>
      <c r="AF368" s="461">
        <f>_xlfn.MINIFS($DE$156:$DE$235,$DG$156:$DG$235,"&gt;"&amp;Inputs!$H$54)</f>
        <v>13.499999999999996</v>
      </c>
      <c r="AG368" s="462">
        <f>_xlfn.MINIFS($DE$242:$DE$321,$DG$242:$DG$321,"&gt;"&amp;Inputs!$H$54)</f>
        <v>13.499999999999996</v>
      </c>
      <c r="AH368" s="463">
        <f>IF(Inputs!$F$54&gt;MAX(Pile!$DG$70:$DG$149),999999,IF(Pile!AE368/(Pile!AC368/1000)&gt;50,999999,IF(Pile!AE368&lt;2,999999,Pile!AE368)))</f>
        <v>13.499999999999996</v>
      </c>
      <c r="AI368" s="464">
        <f>IF(Inputs!AE31="Yes",999999,IF(Pile!AF368/(Pile!AC368/1000)&gt;50,999999,IF(Pile!AF368&lt;2,999999,Pile!AF368)))</f>
        <v>13.499999999999996</v>
      </c>
      <c r="AJ368" s="464">
        <f>IF(Inputs!$F$54&gt;MAX(Pile!$DG$242:$DG$321),999999,IF(Pile!AG368/(Pile!AC368/1000)&gt;50,999999,IF(Pile!AG368&lt;2,999999,IF(AG368&gt;25,999999,Pile!AG368))))</f>
        <v>13.499999999999996</v>
      </c>
      <c r="AK368" s="463">
        <f>IF(ISNUMBER(AH368),AD368*(PI()*(AC368/2000)^2)*AH368,AH368)+AN368</f>
        <v>86.706631334008762</v>
      </c>
      <c r="AL368" s="464">
        <f>IF(ISNUMBER(AI368),AD368*(PI()*(AC368/2000)^2)*AI368,AI368)+AN368</f>
        <v>86.706631334008762</v>
      </c>
      <c r="AM368" s="465">
        <f>IF(ISNUMBER(AJ368),AD368*(PI()*(AC368/2000)^2)*AJ368,AJ368)+AN368</f>
        <v>86.706631334008762</v>
      </c>
      <c r="AN368" s="471">
        <f>AA368</f>
        <v>18</v>
      </c>
      <c r="AO368" s="468">
        <v>1</v>
      </c>
      <c r="AP368" s="469">
        <v>450</v>
      </c>
      <c r="AQ368" s="470">
        <f>Inputs!$D$40</f>
        <v>32</v>
      </c>
      <c r="AR368" s="461">
        <f>_xlfn.MINIFS($DE$70:$DE$149,$DG$70:$DG$149,"&gt;"&amp;Inputs!$H$61)</f>
        <v>13.499999999999996</v>
      </c>
      <c r="AS368" s="461">
        <f>_xlfn.MINIFS($DE$156:$DE$235,$DG$156:$DG$235,"&gt;"&amp;Inputs!$H$61)</f>
        <v>13.499999999999996</v>
      </c>
      <c r="AT368" s="462">
        <f>_xlfn.MINIFS($DE$242:$DE$321,$DG$242:$DG$321,"&gt;"&amp;Inputs!$H$61)</f>
        <v>13.499999999999996</v>
      </c>
      <c r="AU368" s="463">
        <f>IF(Inputs!$F$61&gt;MAX(Pile!$DG$70:$DG$149),999999,IF(Pile!AR368/(Pile!AP368/1000)&gt;50,999999,IF(Pile!AR368&lt;2,999999,Pile!AR368)))</f>
        <v>13.499999999999996</v>
      </c>
      <c r="AV368" s="464">
        <f>IF(Inputs!AR31="Yes",999999,IF(Pile!AS368/(Pile!AP368/1000)&gt;50,999999,IF(Pile!AS368&lt;2,999999,Pile!AS368)))</f>
        <v>13.499999999999996</v>
      </c>
      <c r="AW368" s="464">
        <f>IF(Inputs!$F$61&gt;MAX(Pile!$DG$242:$DG$321),999999,IF(Pile!AT368/(Pile!AP368/1000)&gt;50,999999,IF(Pile!AT368&lt;2,999999,IF(AT368&gt;25,999999,Pile!AT368))))</f>
        <v>13.499999999999996</v>
      </c>
      <c r="AX368" s="463">
        <f>IF(ISNUMBER(AU368),AQ368*(PI()*(AP368/2000)^2)*AU368,AU368)+BA368</f>
        <v>86.706631334008762</v>
      </c>
      <c r="AY368" s="464">
        <f>IF(ISNUMBER(AV368),AQ368*(PI()*(AP368/2000)^2)*AV368,AV368)+BA368</f>
        <v>86.706631334008762</v>
      </c>
      <c r="AZ368" s="465">
        <f>IF(ISNUMBER(AW368),AQ368*(PI()*(AP368/2000)^2)*AW368,AW368)+BA368</f>
        <v>86.706631334008762</v>
      </c>
      <c r="BA368" s="467">
        <f>AN368</f>
        <v>18</v>
      </c>
      <c r="BB368" s="468">
        <v>1</v>
      </c>
      <c r="BC368" s="469">
        <v>450</v>
      </c>
      <c r="BD368" s="470">
        <f>Inputs!$D$40</f>
        <v>32</v>
      </c>
      <c r="BE368" s="461">
        <f>_xlfn.MINIFS($DE$70:$DE$149,$DG$70:$DG$149,"&gt;"&amp;Inputs!$H$68)</f>
        <v>13.499999999999996</v>
      </c>
      <c r="BF368" s="461">
        <f>_xlfn.MINIFS($DE$156:$DE$235,$DG$156:$DG$235,"&gt;"&amp;Inputs!$H$68)</f>
        <v>13.499999999999996</v>
      </c>
      <c r="BG368" s="462">
        <f>_xlfn.MINIFS($DE$242:$DE$321,$DG$242:$DG$321,"&gt;"&amp;Inputs!$H$68)</f>
        <v>13.499999999999996</v>
      </c>
      <c r="BH368" s="463">
        <f>IF(Inputs!$F$68&gt;MAX(Pile!$DG$70:$DG$149),999999,IF(Pile!BE368/(Pile!BC368/1000)&gt;50,999999,IF(Pile!BE368&lt;2,999999,Pile!BE368)))</f>
        <v>13.499999999999996</v>
      </c>
      <c r="BI368" s="464">
        <f>IF(Inputs!BE31="Yes",999999,IF(Pile!BF368/(Pile!BC368/1000)&gt;50,999999,IF(Pile!BF368&lt;2,999999,Pile!BF368)))</f>
        <v>13.499999999999996</v>
      </c>
      <c r="BJ368" s="464">
        <f>IF(Inputs!$F$68&gt;MAX(Pile!$DG$242:$DG$321),999999,IF(Pile!BG368/(Pile!BC368/1000)&gt;50,999999,IF(Pile!BG368&lt;2,999999,IF(BG368&gt;25,999999,Pile!BG368))))</f>
        <v>13.499999999999996</v>
      </c>
      <c r="BK368" s="463">
        <f>IF(ISNUMBER(BH368),BD368*(PI()*(BC368/2000)^2)*BH368,BH368)+BN368</f>
        <v>86.706631334008762</v>
      </c>
      <c r="BL368" s="464">
        <f>IF(ISNUMBER(BI368),BD368*(PI()*(BC368/2000)^2)*BI368,BI368)+BN368</f>
        <v>86.706631334008762</v>
      </c>
      <c r="BM368" s="465">
        <f>IF(ISNUMBER(BJ368),BD368*(PI()*(BC368/2000)^2)*BJ368,BJ368)+BN368</f>
        <v>86.706631334008762</v>
      </c>
      <c r="BN368" s="467">
        <f>BA368</f>
        <v>18</v>
      </c>
      <c r="BO368" s="468">
        <v>1</v>
      </c>
      <c r="BP368" s="469">
        <v>450</v>
      </c>
      <c r="BQ368" s="470">
        <f>Inputs!$D$40</f>
        <v>32</v>
      </c>
      <c r="BR368" s="461">
        <f>_xlfn.MINIFS($DE$70:$DE$149,$DG$70:$DG$149,"&gt;"&amp;Inputs!$H$75)</f>
        <v>14.999999999999996</v>
      </c>
      <c r="BS368" s="461">
        <f>_xlfn.MINIFS($DE$156:$DE$235,$DG$156:$DG$235,"&gt;"&amp;Inputs!$H$75)</f>
        <v>13.499999999999996</v>
      </c>
      <c r="BT368" s="462">
        <f>_xlfn.MINIFS($DE$242:$DE$321,$DG$242:$DG$321,"&gt;"&amp;Inputs!$H$75)</f>
        <v>14.999999999999996</v>
      </c>
      <c r="BU368" s="463">
        <f>IF(Inputs!$F$75&gt;MAX(Pile!$DG$70:$DG$149),999999,IF(Pile!BR368/(Pile!BP368/1000)&gt;50,999999,IF(Pile!BR368&lt;2,999999,Pile!BR368)))</f>
        <v>14.999999999999996</v>
      </c>
      <c r="BV368" s="464">
        <f>IF(Inputs!BR31="Yes",999999,IF(Pile!BS368/(Pile!BP368/1000)&gt;50,999999,IF(Pile!BS368&lt;2,999999,Pile!BS368)))</f>
        <v>13.499999999999996</v>
      </c>
      <c r="BW368" s="464">
        <f>IF(Inputs!$F$75&gt;MAX(Pile!$DG$242:$DG$321),999999,IF(Pile!BT368/(Pile!BP368/1000)&gt;50,999999,IF(Pile!BT368&lt;2,999999,IF(BT368&gt;25,999999,Pile!BT368))))</f>
        <v>14.999999999999996</v>
      </c>
      <c r="BX368" s="463">
        <f>IF(ISNUMBER(BU368),BQ368*(PI()*(BP368/2000)^2)*BU368,BU368)+CA368</f>
        <v>94.340701482231964</v>
      </c>
      <c r="BY368" s="464">
        <f>IF(ISNUMBER(BV368),BQ368*(PI()*(BP368/2000)^2)*BV368,BV368)+CA368</f>
        <v>86.706631334008762</v>
      </c>
      <c r="BZ368" s="465">
        <f>IF(ISNUMBER(BW368),BQ368*(PI()*(BP368/2000)^2)*BW368,BW368)+CA368</f>
        <v>94.340701482231964</v>
      </c>
      <c r="CA368" s="467">
        <f>BN368</f>
        <v>18</v>
      </c>
      <c r="CB368" s="468">
        <v>1</v>
      </c>
      <c r="CC368" s="469">
        <v>450</v>
      </c>
      <c r="CD368" s="470">
        <f>Inputs!$D$40</f>
        <v>32</v>
      </c>
      <c r="CE368" s="461">
        <f>_xlfn.MINIFS($DE$70:$DE$149,$DG$70:$DG$149,"&gt;"&amp;Inputs!$H$82)</f>
        <v>13.499999999999996</v>
      </c>
      <c r="CF368" s="461">
        <f>_xlfn.MINIFS($DE$156:$DE$235,$DG$156:$DG$235,"&gt;"&amp;Inputs!$H$82)</f>
        <v>13.499999999999996</v>
      </c>
      <c r="CG368" s="462">
        <f>_xlfn.MINIFS($DE$242:$DE$321,$DG$242:$DG$321,"&gt;"&amp;Inputs!$H$82)</f>
        <v>13.499999999999996</v>
      </c>
      <c r="CH368" s="463">
        <f>IF(Inputs!$F$82&gt;MAX(Pile!$DG$70:$DG$149),999999,IF(Pile!CE368/(Pile!CC368/1000)&gt;50,999999,IF(Pile!CE368&lt;2,999999,Pile!CE368)))</f>
        <v>13.499999999999996</v>
      </c>
      <c r="CI368" s="464">
        <f>IF(Inputs!CE31="Yes",999999,IF(Pile!CF368/(Pile!CC368/1000)&gt;50,999999,IF(Pile!CF368&lt;2,999999,Pile!CF368)))</f>
        <v>13.499999999999996</v>
      </c>
      <c r="CJ368" s="464">
        <f>IF(Inputs!$F$82&gt;MAX(Pile!$DG$242:$DG$321),999999,IF(Pile!CG368/(Pile!CC368/1000)&gt;50,999999,IF(Pile!CG368&lt;2,999999,IF(CG368&gt;25,999999,Pile!CG368))))</f>
        <v>13.499999999999996</v>
      </c>
      <c r="CK368" s="463">
        <f>IF(ISNUMBER(CH368),CD368*(PI()*(CC368/2000)^2)*CH368,CH368)+CN368</f>
        <v>86.706631334008762</v>
      </c>
      <c r="CL368" s="464">
        <f>IF(ISNUMBER(CI368),CD368*(PI()*(CC368/2000)^2)*CI368,CI368)+CN368</f>
        <v>86.706631334008762</v>
      </c>
      <c r="CM368" s="465">
        <f>IF(ISNUMBER(CJ368),CD368*(PI()*(CC368/2000)^2)*CJ368,CJ368)+CN368</f>
        <v>86.706631334008762</v>
      </c>
      <c r="CN368" s="467">
        <f>CA368</f>
        <v>18</v>
      </c>
      <c r="CO368" s="468">
        <v>1</v>
      </c>
      <c r="CP368" s="469">
        <v>450</v>
      </c>
      <c r="CQ368" s="470">
        <f>Inputs!$D$40</f>
        <v>32</v>
      </c>
      <c r="CR368" s="461">
        <f>_xlfn.MINIFS($DE$70:$DE$149,$DG$70:$DG$149,"&gt;"&amp;Inputs!$H$89)</f>
        <v>13.499999999999996</v>
      </c>
      <c r="CS368" s="461">
        <f>_xlfn.MINIFS($DE$156:$DE$235,$DG$156:$DG$235,"&gt;"&amp;Inputs!$H$89)</f>
        <v>13.499999999999996</v>
      </c>
      <c r="CT368" s="462">
        <f>_xlfn.MINIFS($DE$242:$DE$321,$DG$242:$DG$321,"&gt;"&amp;Inputs!$H$89)</f>
        <v>13.499999999999996</v>
      </c>
      <c r="CU368" s="463">
        <f>IF(Inputs!$F$89&gt;MAX(Pile!$DG$70:$DG$149),999999,IF(Pile!CR368/(Pile!CP368/1000)&gt;50,999999,IF(Pile!CR368&lt;2,999999,Pile!CR368)))</f>
        <v>13.499999999999996</v>
      </c>
      <c r="CV368" s="464">
        <f>IF(Inputs!CR31="Yes",999999,IF(Pile!CS368/(Pile!CP368/1000)&gt;50,999999,IF(Pile!CS368&lt;2,999999,Pile!CS368)))</f>
        <v>13.499999999999996</v>
      </c>
      <c r="CW368" s="464">
        <f>IF(Inputs!$F$89&gt;MAX(Pile!$DG$242:$DG$321),999999,IF(Pile!CT368/(Pile!CP368/1000)&gt;50,999999,IF(Pile!CT368&lt;2,999999,IF(CT368&gt;25,999999,Pile!CT368))))</f>
        <v>13.499999999999996</v>
      </c>
      <c r="CX368" s="463">
        <f>IF(ISNUMBER(CU368),CQ368*(PI()*(CP368/2000)^2)*CU368,CU368)+DA368</f>
        <v>86.706631334008762</v>
      </c>
      <c r="CY368" s="464">
        <f>IF(ISNUMBER(CV368),CQ368*(PI()*(CP368/2000)^2)*CV368,CV368)+DA368</f>
        <v>86.706631334008762</v>
      </c>
      <c r="CZ368" s="465">
        <f>IF(ISNUMBER(CW368),CQ368*(PI()*(CP368/2000)^2)*CW368,CW368)+DA368</f>
        <v>86.706631334008762</v>
      </c>
      <c r="DA368" s="467">
        <f>CN368</f>
        <v>18</v>
      </c>
      <c r="DB368" s="468">
        <v>1</v>
      </c>
      <c r="DC368" s="469">
        <v>450</v>
      </c>
      <c r="DD368" s="470">
        <f>Inputs!$D$40</f>
        <v>32</v>
      </c>
      <c r="DE368" s="461">
        <f>_xlfn.MINIFS($DE$70:$DE$149,$DG$70:$DG$149,"&gt;"&amp;Inputs!$H$96)</f>
        <v>13.499999999999996</v>
      </c>
      <c r="DF368" s="461">
        <f>_xlfn.MINIFS($DE$156:$DE$235,$DG$156:$DG$235,"&gt;"&amp;Inputs!$H$96)</f>
        <v>13.499999999999996</v>
      </c>
      <c r="DG368" s="462">
        <f>_xlfn.MINIFS($DE$242:$DE$321,$DG$242:$DG$321,"&gt;"&amp;Inputs!$H$96)</f>
        <v>13.499999999999996</v>
      </c>
      <c r="DH368" s="463">
        <f>IF(Inputs!$F$96&gt;MAX(Pile!$DG$70:$DG$149),999999,IF(Pile!DE368/(Pile!DC368/1000)&gt;50,999999,IF(Pile!DE368&lt;2,999999,Pile!DE368)))</f>
        <v>13.499999999999996</v>
      </c>
      <c r="DI368" s="464">
        <f>IF(Inputs!DE31="Yes",999999,IF(Pile!DF368/(Pile!DC368/1000)&gt;50,999999,IF(Pile!DF368&lt;2,999999,Pile!DF368)))</f>
        <v>13.499999999999996</v>
      </c>
      <c r="DJ368" s="464">
        <f>IF(Inputs!$F$96&gt;MAX(Pile!$DG$242:$DG$321),999999,IF(Pile!DG368/(Pile!DC368/1000)&gt;50,999999,IF(Pile!DG368&lt;2,999999,IF(DG368&gt;25,999999,Pile!DG368))))</f>
        <v>13.499999999999996</v>
      </c>
      <c r="DK368" s="463">
        <f>IF(ISNUMBER(DH368),DD368*(PI()*(DC368/2000)^2)*DH368,DH368)+DN368</f>
        <v>86.706631334008762</v>
      </c>
      <c r="DL368" s="464">
        <f>IF(ISNUMBER(DI368),DD368*(PI()*(DC368/2000)^2)*DI368,DI368)+DN368</f>
        <v>86.706631334008762</v>
      </c>
      <c r="DM368" s="465">
        <f>IF(ISNUMBER(DJ368),DD368*(PI()*(DC368/2000)^2)*DJ368,DJ368)+DN368</f>
        <v>86.706631334008762</v>
      </c>
      <c r="DN368" s="467">
        <f>DA368</f>
        <v>18</v>
      </c>
      <c r="DO368" s="468">
        <v>1</v>
      </c>
      <c r="DP368" s="469">
        <v>450</v>
      </c>
      <c r="DQ368" s="470">
        <f>Inputs!$D$40</f>
        <v>32</v>
      </c>
      <c r="DR368" s="461">
        <f>_xlfn.MINIFS($DE$70:$DE$149,$DG$70:$DG$149,"&gt;"&amp;Inputs!$H$103)</f>
        <v>13.499999999999996</v>
      </c>
      <c r="DS368" s="461">
        <f>_xlfn.MINIFS($DE$156:$DE$235,$DG$156:$DG$235,"&gt;"&amp;Inputs!$H$103)</f>
        <v>13.499999999999996</v>
      </c>
      <c r="DT368" s="462">
        <f>_xlfn.MINIFS($DE$242:$DE$321,$DG$242:$DG$321,"&gt;"&amp;Inputs!$H$103)</f>
        <v>13.499999999999996</v>
      </c>
      <c r="DU368" s="463">
        <f>IF(Inputs!$F$103&gt;MAX(Pile!$DG$70:$DG$149),999999,IF(Pile!DR368/(Pile!DP368/1000)&gt;50,999999,IF(Pile!DR368&lt;2,999999,Pile!DR368)))</f>
        <v>13.499999999999996</v>
      </c>
      <c r="DV368" s="464">
        <f>IF(Inputs!DR31="Yes",999999,IF(Pile!DS368/(Pile!DP368/1000)&gt;50,999999,IF(Pile!DS368&lt;2,999999,Pile!DS368)))</f>
        <v>13.499999999999996</v>
      </c>
      <c r="DW368" s="464">
        <f>IF(Inputs!$F$103&gt;MAX(Pile!$DG$242:$DG$321),999999,IF(Pile!DT368/(Pile!DP368/1000)&gt;50,999999,IF(Pile!DT368&lt;2,999999,IF(DT368&gt;25,999999,Pile!DT368))))</f>
        <v>13.499999999999996</v>
      </c>
      <c r="DX368" s="463">
        <f>IF(ISNUMBER(DU368),DQ368*(PI()*(DP368/2000)^2)*DU368,DU368)+EA368</f>
        <v>86.706631334008762</v>
      </c>
      <c r="DY368" s="464">
        <f>IF(ISNUMBER(DV368),DQ368*(PI()*(DP368/2000)^2)*DV368,DV368)+EA368</f>
        <v>86.706631334008762</v>
      </c>
      <c r="DZ368" s="465">
        <f>IF(ISNUMBER(DW368),DQ368*(PI()*(DP368/2000)^2)*DW368,DW368)+EA368</f>
        <v>86.706631334008762</v>
      </c>
      <c r="EA368" s="467">
        <f>DN368</f>
        <v>18</v>
      </c>
      <c r="EB368" s="468">
        <v>1</v>
      </c>
      <c r="EC368" s="469">
        <v>450</v>
      </c>
      <c r="ED368" s="470">
        <f>Inputs!$D$40</f>
        <v>32</v>
      </c>
      <c r="EE368" s="461">
        <f>_xlfn.MINIFS($DE$70:$DE$149,$DG$70:$DG$149,"&gt;"&amp;Inputs!$H$110)</f>
        <v>13.499999999999996</v>
      </c>
      <c r="EF368" s="461">
        <f>_xlfn.MINIFS($DE$156:$DE$235,$DG$156:$DG$235,"&gt;"&amp;Inputs!$H$110)</f>
        <v>13.499999999999996</v>
      </c>
      <c r="EG368" s="462">
        <f>_xlfn.MINIFS($DE$242:$DE$321,$DG$242:$DG$321,"&gt;"&amp;Inputs!$H$110)</f>
        <v>13.499999999999996</v>
      </c>
      <c r="EH368" s="463">
        <f>IF(Inputs!$F$110&gt;MAX(Pile!$DG$70:$DG$149),999999,IF(Pile!EE368/(Pile!EC368/1000)&gt;50,999999,IF(Pile!EE368&lt;2,999999,Pile!EE368)))</f>
        <v>13.499999999999996</v>
      </c>
      <c r="EI368" s="464">
        <f>IF(Inputs!EE31="Yes",999999,IF(Pile!EF368/(Pile!EC368/1000)&gt;50,999999,IF(Pile!EF368&lt;2,999999,Pile!EF368)))</f>
        <v>13.499999999999996</v>
      </c>
      <c r="EJ368" s="464">
        <f>IF(Inputs!$F$110&gt;MAX(Pile!$DG$242:$DG$321),999999,IF(Pile!EG368/(Pile!EC368/1000)&gt;50,999999,IF(Pile!EG368&lt;2,999999,IF(EG368&gt;25,999999,Pile!EG368))))</f>
        <v>13.499999999999996</v>
      </c>
      <c r="EK368" s="463">
        <f>IF(ISNUMBER(EH368),ED368*(PI()*(EC368/2000)^2)*EH368,EH368)+EN368</f>
        <v>86.706631334008762</v>
      </c>
      <c r="EL368" s="464">
        <f>IF(ISNUMBER(EI368),ED368*(PI()*(EC368/2000)^2)*EI368,EI368)+EN368</f>
        <v>86.706631334008762</v>
      </c>
      <c r="EM368" s="465">
        <f>IF(ISNUMBER(EJ368),ED368*(PI()*(EC368/2000)^2)*EJ368,EJ368)+EN368</f>
        <v>86.706631334008762</v>
      </c>
      <c r="EN368" s="467">
        <f>EA368</f>
        <v>18</v>
      </c>
      <c r="EO368" s="468">
        <v>1</v>
      </c>
      <c r="EP368" s="469">
        <v>450</v>
      </c>
      <c r="EQ368" s="470">
        <f>Inputs!$D$40</f>
        <v>32</v>
      </c>
      <c r="ER368" s="461">
        <f>_xlfn.MINIFS($DE$70:$DE$149,$DG$70:$DG$149,"&gt;"&amp;Inputs!$H$117)</f>
        <v>0.29999999999999982</v>
      </c>
      <c r="ES368" s="461">
        <f>_xlfn.MINIFS($DE$156:$DE$235,$DG$156:$DG$235,"&gt;"&amp;Inputs!$H$117)</f>
        <v>0.29999999999999982</v>
      </c>
      <c r="ET368" s="462">
        <f>_xlfn.MINIFS($DE$242:$DE$321,$DG$242:$DG$321,"&gt;"&amp;Inputs!$H$117)</f>
        <v>0.29999999999999982</v>
      </c>
      <c r="EU368" s="463">
        <f>IF(Inputs!$F$117&gt;MAX(Pile!$DG$70:$DG$149),999999,IF(Pile!ER368/(Pile!EP368/1000)&gt;50,999999,IF(Pile!ER368&lt;2,999999,Pile!ER368)))</f>
        <v>999999</v>
      </c>
      <c r="EV368" s="464">
        <f>IF(Inputs!ER31="Yes",999999,IF(Inputs!$F$117&gt;MAX(Pile!$DG$156:$DG$235),999999,IF(Pile!ES368/(Pile!EP368/1000)&gt;50,999999,IF(Pile!ES368&lt;2,999999,Pile!ES368))))</f>
        <v>999999</v>
      </c>
      <c r="EW368" s="464">
        <f>IF(Inputs!$F$117&gt;MAX(Pile!$DG$242:$DG$321),999999,IF(Pile!ET368/(Pile!EP368/1000)&gt;50,999999,IF(Pile!ET368&lt;2,999999,IF(ET368&gt;25,999999,Pile!ET368))))</f>
        <v>999999</v>
      </c>
      <c r="EX368" s="463">
        <f t="shared" ref="EX368:EX391" si="406">IF(ISNUMBER(EU368),EQ368*(PI()*(EP368/2000)^2)*EU368,EU368)</f>
        <v>5089375.0094353668</v>
      </c>
      <c r="EY368" s="464">
        <f t="shared" ref="EY368:EY391" si="407">IF(ISNUMBER(EV368),EQ368*(PI()*(EP368/2000)^2)*EV368,EV368)</f>
        <v>5089375.0094353668</v>
      </c>
      <c r="EZ368" s="465">
        <f t="shared" ref="EZ368:EZ391" si="408">IF(ISNUMBER(EW368),EQ368*(PI()*(EP368/2000)^2)*EW368,EW368)</f>
        <v>5089375.0094353668</v>
      </c>
    </row>
    <row r="369" spans="2:156" ht="15">
      <c r="B369" s="475">
        <v>1</v>
      </c>
      <c r="C369" s="476">
        <v>600</v>
      </c>
      <c r="D369" s="460">
        <f>Inputs!$D$40</f>
        <v>32</v>
      </c>
      <c r="E369" s="461">
        <f>_xlfn.MINIFS($DE$70:$DE$149,$DH$70:$DH$149,"&gt;"&amp;Inputs!$H$40)</f>
        <v>13.499999999999996</v>
      </c>
      <c r="F369" s="461">
        <f>_xlfn.MINIFS($DE$156:$DE$235,$DH$156:$DH$235,"&gt;"&amp;Inputs!$H$40)</f>
        <v>13.499999999999996</v>
      </c>
      <c r="G369" s="462">
        <f>_xlfn.MINIFS($DE$242:$DE$321,$DH$242:$DH$321,"&gt;"&amp;Inputs!$H$40)</f>
        <v>13.499999999999996</v>
      </c>
      <c r="H369" s="477">
        <f>IF(Inputs!$F$40&gt;MAX(Pile!$DH$70:$DH$149),999999,IF(Pile!E369/(Pile!C369/1000)&gt;50,999999,IF(Pile!E369&lt;2,999999,Pile!E369)))</f>
        <v>13.499999999999996</v>
      </c>
      <c r="I369" s="461">
        <f>IF(Inputs!E32="Yes",999999,IF(Pile!F369/(Pile!C369/1000)&gt;50,999999,IF(Pile!F369&lt;2,999999,Pile!F369)))</f>
        <v>13.499999999999996</v>
      </c>
      <c r="J369" s="461">
        <f>IF(Inputs!$F$40&gt;MAX(Pile!$DH$242:$DH$321),999999,IF(Pile!G369/(Pile!C369/1000)&gt;50,999999,IF(Pile!G369&lt;2,999999,IF(G369&gt;25,999999,Pile!G369))))</f>
        <v>13.499999999999996</v>
      </c>
      <c r="K369" s="477">
        <f t="shared" ref="K369:K391" si="409">IF(ISNUMBER(H369),D369*(PI()*(C369/2000)^2)*H369,H369)+N369</f>
        <v>158.43312237157113</v>
      </c>
      <c r="L369" s="461">
        <f t="shared" ref="L369:L391" si="410">IF(ISNUMBER(I369),D369*(PI()*(C369/2000)^2)*I369,I369)+N369</f>
        <v>158.43312237157113</v>
      </c>
      <c r="M369" s="462">
        <f t="shared" ref="M369:M391" si="411">IF(ISNUMBER(J369),D369*(PI()*(C369/2000)^2)*J369,J369)+N369</f>
        <v>158.43312237157113</v>
      </c>
      <c r="N369" s="466">
        <f>Inputs!$D$40*D460</f>
        <v>36.287999999999997</v>
      </c>
      <c r="O369" s="475">
        <v>1</v>
      </c>
      <c r="P369" s="476">
        <v>600</v>
      </c>
      <c r="Q369" s="460">
        <f>Inputs!$D$40</f>
        <v>32</v>
      </c>
      <c r="R369" s="461">
        <f>_xlfn.MINIFS($DE$70:$DE$149,$DH$70:$DH$149,"&gt;"&amp;Inputs!$H$47)</f>
        <v>13.499999999999996</v>
      </c>
      <c r="S369" s="461">
        <f>_xlfn.MINIFS($DE$156:$DE$235,$DH$156:$DH$235,"&gt;"&amp;Inputs!$H$47)</f>
        <v>13.499999999999996</v>
      </c>
      <c r="T369" s="462">
        <f>_xlfn.MINIFS($DE$242:$DE$321,$DH$242:$DH$321,"&gt;"&amp;Inputs!$H$47)</f>
        <v>13.499999999999996</v>
      </c>
      <c r="U369" s="477">
        <f>IF(Inputs!$F$47&gt;MAX(Pile!$DH$70:$DH$149),999999,IF(Pile!R369/(Pile!P369/1000)&gt;50,999999,IF(Pile!R369&lt;2,999999,Pile!R369)))</f>
        <v>13.499999999999996</v>
      </c>
      <c r="V369" s="461">
        <f>IF(Inputs!R32="Yes",999999,IF(Pile!S369/(Pile!P369/1000)&gt;50,999999,IF(Pile!S369&lt;2,999999,Pile!S369)))</f>
        <v>13.499999999999996</v>
      </c>
      <c r="W369" s="461">
        <f>IF(Inputs!$F$47&gt;MAX(Pile!$DH$242:$DH$321),999999,IF(Pile!T369/(Pile!P369/1000)&gt;50,999999,IF(Pile!T369&lt;2,999999,IF(T369&gt;25,999999,Pile!T369))))</f>
        <v>13.499999999999996</v>
      </c>
      <c r="X369" s="477">
        <f t="shared" ref="X369:X391" si="412">IF(ISNUMBER(U369),Q369*(PI()*(P369/2000)^2)*U369,U369)+AA369</f>
        <v>158.43312237157113</v>
      </c>
      <c r="Y369" s="461">
        <f t="shared" ref="Y369:Y391" si="413">IF(ISNUMBER(V369),Q369*(PI()*(P369/2000)^2)*V369,V369)+AA369</f>
        <v>158.43312237157113</v>
      </c>
      <c r="Z369" s="462">
        <f t="shared" ref="Z369:Z391" si="414">IF(ISNUMBER(W369),Q369*(PI()*(P369/2000)^2)*W369,W369)+AA369</f>
        <v>158.43312237157113</v>
      </c>
      <c r="AA369" s="467">
        <f t="shared" si="369"/>
        <v>36.287999999999997</v>
      </c>
      <c r="AB369" s="478">
        <v>1</v>
      </c>
      <c r="AC369" s="479">
        <v>600</v>
      </c>
      <c r="AD369" s="470">
        <f>Inputs!$D$40</f>
        <v>32</v>
      </c>
      <c r="AE369" s="461">
        <f>_xlfn.MINIFS($DE$70:$DE$149,$DH$70:$DH$149,"&gt;"&amp;Inputs!$H$54)</f>
        <v>13.499999999999996</v>
      </c>
      <c r="AF369" s="461">
        <f>_xlfn.MINIFS($DE$156:$DE$235,$DH$156:$DH$235,"&gt;"&amp;Inputs!$H$54)</f>
        <v>13.499999999999996</v>
      </c>
      <c r="AG369" s="462">
        <f>_xlfn.MINIFS($DE$242:$DE$321,$DH$242:$DH$321,"&gt;"&amp;Inputs!$H$54)</f>
        <v>13.499999999999996</v>
      </c>
      <c r="AH369" s="477">
        <f>IF(Inputs!$F$54&gt;MAX(Pile!$DH$70:$DH$149),999999,IF(Pile!AE369/(Pile!AC369/1000)&gt;50,999999,IF(Pile!AE369&lt;2,999999,Pile!AE369)))</f>
        <v>13.499999999999996</v>
      </c>
      <c r="AI369" s="461">
        <f>IF(Inputs!AE32="Yes",999999,IF(Pile!AF369/(Pile!AC369/1000)&gt;50,999999,IF(Pile!AF369&lt;2,999999,Pile!AF369)))</f>
        <v>13.499999999999996</v>
      </c>
      <c r="AJ369" s="461">
        <f>IF(Inputs!$F$54&gt;MAX(Pile!$DH$242:$DH$321),999999,IF(Pile!AG369/(Pile!AC369/1000)&gt;50,999999,IF(Pile!AG369&lt;2,999999,IF(AG369&gt;25,999999,Pile!AG369))))</f>
        <v>13.499999999999996</v>
      </c>
      <c r="AK369" s="477">
        <f t="shared" ref="AK369:AK391" si="415">IF(ISNUMBER(AH369),AD369*(PI()*(AC369/2000)^2)*AH369,AH369)+AN369</f>
        <v>158.43312237157113</v>
      </c>
      <c r="AL369" s="461">
        <f t="shared" ref="AL369:AL391" si="416">IF(ISNUMBER(AI369),AD369*(PI()*(AC369/2000)^2)*AI369,AI369)+AN369</f>
        <v>158.43312237157113</v>
      </c>
      <c r="AM369" s="462">
        <f t="shared" ref="AM369:AM391" si="417">IF(ISNUMBER(AJ369),AD369*(PI()*(AC369/2000)^2)*AJ369,AJ369)+AN369</f>
        <v>158.43312237157113</v>
      </c>
      <c r="AN369" s="471">
        <f t="shared" ref="AN369:AN391" si="418">AA369</f>
        <v>36.287999999999997</v>
      </c>
      <c r="AO369" s="478">
        <v>1</v>
      </c>
      <c r="AP369" s="479">
        <v>600</v>
      </c>
      <c r="AQ369" s="470">
        <f>Inputs!$D$40</f>
        <v>32</v>
      </c>
      <c r="AR369" s="461">
        <f>_xlfn.MINIFS($DE$70:$DE$149,$DH$70:$DH$149,"&gt;"&amp;Inputs!$H$61)</f>
        <v>13.499999999999996</v>
      </c>
      <c r="AS369" s="461">
        <f>_xlfn.MINIFS($DE$156:$DE$235,$DH$156:$DH$235,"&gt;"&amp;Inputs!$H$61)</f>
        <v>13.499999999999996</v>
      </c>
      <c r="AT369" s="462">
        <f>_xlfn.MINIFS($DE$242:$DE$321,$DH$242:$DH$321,"&gt;"&amp;Inputs!$H$61)</f>
        <v>13.499999999999996</v>
      </c>
      <c r="AU369" s="477">
        <f>IF(Inputs!$F$61&gt;MAX(Pile!$DH$70:$DH$149),999999,IF(Pile!AR369/(Pile!AP369/1000)&gt;50,999999,IF(Pile!AR369&lt;2,999999,Pile!AR369)))</f>
        <v>13.499999999999996</v>
      </c>
      <c r="AV369" s="461">
        <f>IF(Inputs!AR32="Yes",999999,IF(Pile!AS369/(Pile!AP369/1000)&gt;50,999999,IF(Pile!AS369&lt;2,999999,Pile!AS369)))</f>
        <v>13.499999999999996</v>
      </c>
      <c r="AW369" s="461">
        <f>IF(Inputs!$F$61&gt;MAX(Pile!$DH$242:$DH$321),999999,IF(Pile!AT369/(Pile!AP369/1000)&gt;50,999999,IF(Pile!AT369&lt;2,999999,IF(AT369&gt;25,999999,Pile!AT369))))</f>
        <v>13.499999999999996</v>
      </c>
      <c r="AX369" s="477">
        <f t="shared" ref="AX369:AX391" si="419">IF(ISNUMBER(AU369),AQ369*(PI()*(AP369/2000)^2)*AU369,AU369)+BA369</f>
        <v>158.43312237157113</v>
      </c>
      <c r="AY369" s="461">
        <f t="shared" ref="AY369:AY391" si="420">IF(ISNUMBER(AV369),AQ369*(PI()*(AP369/2000)^2)*AV369,AV369)+BA369</f>
        <v>158.43312237157113</v>
      </c>
      <c r="AZ369" s="462">
        <f t="shared" ref="AZ369:AZ391" si="421">IF(ISNUMBER(AW369),AQ369*(PI()*(AP369/2000)^2)*AW369,AW369)+BA369</f>
        <v>158.43312237157113</v>
      </c>
      <c r="BA369" s="467">
        <f t="shared" ref="BA369:BA391" si="422">AN369</f>
        <v>36.287999999999997</v>
      </c>
      <c r="BB369" s="478">
        <v>1</v>
      </c>
      <c r="BC369" s="479">
        <v>600</v>
      </c>
      <c r="BD369" s="470">
        <f>Inputs!$D$40</f>
        <v>32</v>
      </c>
      <c r="BE369" s="461">
        <f>_xlfn.MINIFS($DE$70:$DE$149,$DH$70:$DH$149,"&gt;"&amp;Inputs!$H$68)</f>
        <v>13.499999999999996</v>
      </c>
      <c r="BF369" s="461">
        <f>_xlfn.MINIFS($DE$156:$DE$235,$DH$156:$DH$235,"&gt;"&amp;Inputs!$H$68)</f>
        <v>13.499999999999996</v>
      </c>
      <c r="BG369" s="462">
        <f>_xlfn.MINIFS($DE$242:$DE$321,$DH$242:$DH$321,"&gt;"&amp;Inputs!$H$68)</f>
        <v>13.499999999999996</v>
      </c>
      <c r="BH369" s="477">
        <f>IF(Inputs!$F$68&gt;MAX(Pile!$DH$70:$DH$149),999999,IF(Pile!BE369/(Pile!BC369/1000)&gt;50,999999,IF(Pile!BE369&lt;2,999999,Pile!BE369)))</f>
        <v>13.499999999999996</v>
      </c>
      <c r="BI369" s="461">
        <f>IF(Inputs!BE32="Yes",999999,IF(Pile!BF369/(Pile!BC369/1000)&gt;50,999999,IF(Pile!BF369&lt;2,999999,Pile!BF369)))</f>
        <v>13.499999999999996</v>
      </c>
      <c r="BJ369" s="461">
        <f>IF(Inputs!$F$68&gt;MAX(Pile!$DH$242:$DH$321),999999,IF(Pile!BG369/(Pile!BC369/1000)&gt;50,999999,IF(Pile!BG369&lt;2,999999,IF(BG369&gt;25,999999,Pile!BG369))))</f>
        <v>13.499999999999996</v>
      </c>
      <c r="BK369" s="477">
        <f t="shared" ref="BK369:BK391" si="423">IF(ISNUMBER(BH369),BD369*(PI()*(BC369/2000)^2)*BH369,BH369)+BN369</f>
        <v>158.43312237157113</v>
      </c>
      <c r="BL369" s="461">
        <f t="shared" ref="BL369:BL391" si="424">IF(ISNUMBER(BI369),BD369*(PI()*(BC369/2000)^2)*BI369,BI369)+BN369</f>
        <v>158.43312237157113</v>
      </c>
      <c r="BM369" s="462">
        <f t="shared" ref="BM369:BM391" si="425">IF(ISNUMBER(BJ369),BD369*(PI()*(BC369/2000)^2)*BJ369,BJ369)+BN369</f>
        <v>158.43312237157113</v>
      </c>
      <c r="BN369" s="467">
        <f t="shared" ref="BN369:BN391" si="426">BA369</f>
        <v>36.287999999999997</v>
      </c>
      <c r="BO369" s="478">
        <v>1</v>
      </c>
      <c r="BP369" s="479">
        <v>600</v>
      </c>
      <c r="BQ369" s="470">
        <f>Inputs!$D$40</f>
        <v>32</v>
      </c>
      <c r="BR369" s="461">
        <f>_xlfn.MINIFS($DE$70:$DE$149,$DH$70:$DH$149,"&gt;"&amp;Inputs!$H$75)</f>
        <v>13.499999999999996</v>
      </c>
      <c r="BS369" s="461">
        <f>_xlfn.MINIFS($DE$156:$DE$235,$DH$156:$DH$235,"&gt;"&amp;Inputs!$H$75)</f>
        <v>13.499999999999996</v>
      </c>
      <c r="BT369" s="462">
        <f>_xlfn.MINIFS($DE$242:$DE$321,$DH$242:$DH$321,"&gt;"&amp;Inputs!$H$75)</f>
        <v>13.499999999999996</v>
      </c>
      <c r="BU369" s="477">
        <f>IF(Inputs!$F$75&gt;MAX(Pile!$DH$70:$DH$149),999999,IF(Pile!BR369/(Pile!BP369/1000)&gt;50,999999,IF(Pile!BR369&lt;2,999999,Pile!BR369)))</f>
        <v>13.499999999999996</v>
      </c>
      <c r="BV369" s="461">
        <f>IF(Inputs!BR32="Yes",999999,IF(Pile!BS369/(Pile!BP369/1000)&gt;50,999999,IF(Pile!BS369&lt;2,999999,Pile!BS369)))</f>
        <v>13.499999999999996</v>
      </c>
      <c r="BW369" s="461">
        <f>IF(Inputs!$F$75&gt;MAX(Pile!$DH$242:$DH$321),999999,IF(Pile!BT369/(Pile!BP369/1000)&gt;50,999999,IF(Pile!BT369&lt;2,999999,IF(BT369&gt;25,999999,Pile!BT369))))</f>
        <v>13.499999999999996</v>
      </c>
      <c r="BX369" s="477">
        <f t="shared" ref="BX369:BX391" si="427">IF(ISNUMBER(BU369),BQ369*(PI()*(BP369/2000)^2)*BU369,BU369)+CA369</f>
        <v>158.43312237157113</v>
      </c>
      <c r="BY369" s="461">
        <f t="shared" ref="BY369:BY391" si="428">IF(ISNUMBER(BV369),BQ369*(PI()*(BP369/2000)^2)*BV369,BV369)+CA369</f>
        <v>158.43312237157113</v>
      </c>
      <c r="BZ369" s="462">
        <f t="shared" ref="BZ369:BZ391" si="429">IF(ISNUMBER(BW369),BQ369*(PI()*(BP369/2000)^2)*BW369,BW369)+CA369</f>
        <v>158.43312237157113</v>
      </c>
      <c r="CA369" s="467">
        <f t="shared" ref="CA369:CA391" si="430">BN369</f>
        <v>36.287999999999997</v>
      </c>
      <c r="CB369" s="478">
        <v>1</v>
      </c>
      <c r="CC369" s="479">
        <v>600</v>
      </c>
      <c r="CD369" s="470">
        <f>Inputs!$D$40</f>
        <v>32</v>
      </c>
      <c r="CE369" s="461">
        <f>_xlfn.MINIFS($DE$70:$DE$149,$DH$70:$DH$149,"&gt;"&amp;Inputs!$H$82)</f>
        <v>13.499999999999996</v>
      </c>
      <c r="CF369" s="461">
        <f>_xlfn.MINIFS($DE$156:$DE$235,$DH$156:$DH$235,"&gt;"&amp;Inputs!$H$82)</f>
        <v>13.499999999999996</v>
      </c>
      <c r="CG369" s="462">
        <f>_xlfn.MINIFS($DE$242:$DE$321,$DH$242:$DH$321,"&gt;"&amp;Inputs!$H$82)</f>
        <v>13.499999999999996</v>
      </c>
      <c r="CH369" s="477">
        <f>IF(Inputs!$F$82&gt;MAX(Pile!$DH$70:$DH$149),999999,IF(Pile!CE369/(Pile!CC369/1000)&gt;50,999999,IF(Pile!CE369&lt;2,999999,Pile!CE369)))</f>
        <v>13.499999999999996</v>
      </c>
      <c r="CI369" s="461">
        <f>IF(Inputs!CE32="Yes",999999,IF(Pile!CF369/(Pile!CC369/1000)&gt;50,999999,IF(Pile!CF369&lt;2,999999,Pile!CF369)))</f>
        <v>13.499999999999996</v>
      </c>
      <c r="CJ369" s="461">
        <f>IF(Inputs!$F$82&gt;MAX(Pile!$DH$242:$DH$321),999999,IF(Pile!CG369/(Pile!CC369/1000)&gt;50,999999,IF(Pile!CG369&lt;2,999999,IF(CG369&gt;25,999999,Pile!CG369))))</f>
        <v>13.499999999999996</v>
      </c>
      <c r="CK369" s="477">
        <f t="shared" ref="CK369:CK391" si="431">IF(ISNUMBER(CH369),CD369*(PI()*(CC369/2000)^2)*CH369,CH369)+CN369</f>
        <v>158.43312237157113</v>
      </c>
      <c r="CL369" s="461">
        <f t="shared" ref="CL369:CL391" si="432">IF(ISNUMBER(CI369),CD369*(PI()*(CC369/2000)^2)*CI369,CI369)+CN369</f>
        <v>158.43312237157113</v>
      </c>
      <c r="CM369" s="462">
        <f t="shared" ref="CM369:CM391" si="433">IF(ISNUMBER(CJ369),CD369*(PI()*(CC369/2000)^2)*CJ369,CJ369)+CN369</f>
        <v>158.43312237157113</v>
      </c>
      <c r="CN369" s="467">
        <f t="shared" ref="CN369:CN391" si="434">CA369</f>
        <v>36.287999999999997</v>
      </c>
      <c r="CO369" s="478">
        <v>1</v>
      </c>
      <c r="CP369" s="479">
        <v>600</v>
      </c>
      <c r="CQ369" s="470">
        <f>Inputs!$D$40</f>
        <v>32</v>
      </c>
      <c r="CR369" s="461">
        <f>_xlfn.MINIFS($DE$70:$DE$149,$DH$70:$DH$149,"&gt;"&amp;Inputs!$H$89)</f>
        <v>13.499999999999996</v>
      </c>
      <c r="CS369" s="461">
        <f>_xlfn.MINIFS($DE$156:$DE$235,$DH$156:$DH$235,"&gt;"&amp;Inputs!$H$89)</f>
        <v>13.499999999999996</v>
      </c>
      <c r="CT369" s="462">
        <f>_xlfn.MINIFS($DE$242:$DE$321,$DH$242:$DH$321,"&gt;"&amp;Inputs!$H$89)</f>
        <v>13.499999999999996</v>
      </c>
      <c r="CU369" s="477">
        <f>IF(Inputs!$F$89&gt;MAX(Pile!$DH$70:$DH$149),999999,IF(Pile!CR369/(Pile!CP369/1000)&gt;50,999999,IF(Pile!CR369&lt;2,999999,Pile!CR369)))</f>
        <v>13.499999999999996</v>
      </c>
      <c r="CV369" s="461">
        <f>IF(Inputs!CR32="Yes",999999,IF(Pile!CS369/(Pile!CP369/1000)&gt;50,999999,IF(Pile!CS369&lt;2,999999,Pile!CS369)))</f>
        <v>13.499999999999996</v>
      </c>
      <c r="CW369" s="461">
        <f>IF(Inputs!$F$89&gt;MAX(Pile!$DH$242:$DH$321),999999,IF(Pile!CT369/(Pile!CP369/1000)&gt;50,999999,IF(Pile!CT369&lt;2,999999,IF(CT369&gt;25,999999,Pile!CT369))))</f>
        <v>13.499999999999996</v>
      </c>
      <c r="CX369" s="477">
        <f t="shared" ref="CX369:CX391" si="435">IF(ISNUMBER(CU369),CQ369*(PI()*(CP369/2000)^2)*CU369,CU369)+DA369</f>
        <v>158.43312237157113</v>
      </c>
      <c r="CY369" s="461">
        <f t="shared" ref="CY369:CY391" si="436">IF(ISNUMBER(CV369),CQ369*(PI()*(CP369/2000)^2)*CV369,CV369)+DA369</f>
        <v>158.43312237157113</v>
      </c>
      <c r="CZ369" s="462">
        <f t="shared" ref="CZ369:CZ391" si="437">IF(ISNUMBER(CW369),CQ369*(PI()*(CP369/2000)^2)*CW369,CW369)+DA369</f>
        <v>158.43312237157113</v>
      </c>
      <c r="DA369" s="467">
        <f t="shared" ref="DA369:DA391" si="438">CN369</f>
        <v>36.287999999999997</v>
      </c>
      <c r="DB369" s="478">
        <v>1</v>
      </c>
      <c r="DC369" s="479">
        <v>600</v>
      </c>
      <c r="DD369" s="470">
        <f>Inputs!$D$40</f>
        <v>32</v>
      </c>
      <c r="DE369" s="461">
        <f>_xlfn.MINIFS($DE$70:$DE$149,$DH$70:$DH$149,"&gt;"&amp;Inputs!$H$96)</f>
        <v>13.499999999999996</v>
      </c>
      <c r="DF369" s="461">
        <f>_xlfn.MINIFS($DE$156:$DE$235,$DH$156:$DH$235,"&gt;"&amp;Inputs!$H$96)</f>
        <v>13.499999999999996</v>
      </c>
      <c r="DG369" s="462">
        <f>_xlfn.MINIFS($DE$242:$DE$321,$DH$242:$DH$321,"&gt;"&amp;Inputs!$H$96)</f>
        <v>13.499999999999996</v>
      </c>
      <c r="DH369" s="477">
        <f>IF(Inputs!$F$96&gt;MAX(Pile!$DH$70:$DH$149),999999,IF(Pile!DE369/(Pile!DC369/1000)&gt;50,999999,IF(Pile!DE369&lt;2,999999,Pile!DE369)))</f>
        <v>13.499999999999996</v>
      </c>
      <c r="DI369" s="461">
        <f>IF(Inputs!DE32="Yes",999999,IF(Pile!DF369/(Pile!DC369/1000)&gt;50,999999,IF(Pile!DF369&lt;2,999999,Pile!DF369)))</f>
        <v>13.499999999999996</v>
      </c>
      <c r="DJ369" s="461">
        <f>IF(Inputs!$F$96&gt;MAX(Pile!$DH$242:$DH$321),999999,IF(Pile!DG369/(Pile!DC369/1000)&gt;50,999999,IF(Pile!DG369&lt;2,999999,IF(DG369&gt;25,999999,Pile!DG369))))</f>
        <v>13.499999999999996</v>
      </c>
      <c r="DK369" s="477">
        <f t="shared" ref="DK369:DK391" si="439">IF(ISNUMBER(DH369),DD369*(PI()*(DC369/2000)^2)*DH369,DH369)+DN369</f>
        <v>158.43312237157113</v>
      </c>
      <c r="DL369" s="461">
        <f t="shared" ref="DL369:DL391" si="440">IF(ISNUMBER(DI369),DD369*(PI()*(DC369/2000)^2)*DI369,DI369)+DN369</f>
        <v>158.43312237157113</v>
      </c>
      <c r="DM369" s="462">
        <f t="shared" ref="DM369:DM391" si="441">IF(ISNUMBER(DJ369),DD369*(PI()*(DC369/2000)^2)*DJ369,DJ369)+DN369</f>
        <v>158.43312237157113</v>
      </c>
      <c r="DN369" s="467">
        <f t="shared" ref="DN369:DN391" si="442">DA369</f>
        <v>36.287999999999997</v>
      </c>
      <c r="DO369" s="478">
        <v>1</v>
      </c>
      <c r="DP369" s="479">
        <v>600</v>
      </c>
      <c r="DQ369" s="470">
        <f>Inputs!$D$40</f>
        <v>32</v>
      </c>
      <c r="DR369" s="461">
        <f>_xlfn.MINIFS($DE$70:$DE$149,$DH$70:$DH$149,"&gt;"&amp;Inputs!$H$103)</f>
        <v>13.499999999999996</v>
      </c>
      <c r="DS369" s="461">
        <f>_xlfn.MINIFS($DE$156:$DE$235,$DH$156:$DH$235,"&gt;"&amp;Inputs!$H$103)</f>
        <v>11.099999999999996</v>
      </c>
      <c r="DT369" s="462">
        <f>_xlfn.MINIFS($DE$242:$DE$321,$DH$242:$DH$321,"&gt;"&amp;Inputs!$H$103)</f>
        <v>13.499999999999996</v>
      </c>
      <c r="DU369" s="477">
        <f>IF(Inputs!$F$103&gt;MAX(Pile!$DH$70:$DH$149),999999,IF(Pile!DR369/(Pile!DP369/1000)&gt;50,999999,IF(Pile!DR369&lt;2,999999,Pile!DR369)))</f>
        <v>13.499999999999996</v>
      </c>
      <c r="DV369" s="461">
        <f>IF(Inputs!DR32="Yes",999999,IF(Pile!DS369/(Pile!DP369/1000)&gt;50,999999,IF(Pile!DS369&lt;2,999999,Pile!DS369)))</f>
        <v>11.099999999999996</v>
      </c>
      <c r="DW369" s="461">
        <f>IF(Inputs!$F$103&gt;MAX(Pile!$DH$242:$DH$321),999999,IF(Pile!DT369/(Pile!DP369/1000)&gt;50,999999,IF(Pile!DT369&lt;2,999999,IF(DT369&gt;25,999999,Pile!DT369))))</f>
        <v>13.499999999999996</v>
      </c>
      <c r="DX369" s="477">
        <f t="shared" ref="DX369:DX391" si="443">IF(ISNUMBER(DU369),DQ369*(PI()*(DP369/2000)^2)*DU369,DU369)+EA369</f>
        <v>158.43312237157113</v>
      </c>
      <c r="DY369" s="461">
        <f t="shared" ref="DY369:DY391" si="444">IF(ISNUMBER(DV369),DQ369*(PI()*(DP369/2000)^2)*DV369,DV369)+EA369</f>
        <v>136.71843394995847</v>
      </c>
      <c r="DZ369" s="462">
        <f t="shared" ref="DZ369:DZ391" si="445">IF(ISNUMBER(DW369),DQ369*(PI()*(DP369/2000)^2)*DW369,DW369)+EA369</f>
        <v>158.43312237157113</v>
      </c>
      <c r="EA369" s="467">
        <f t="shared" ref="EA369:EA391" si="446">DN369</f>
        <v>36.287999999999997</v>
      </c>
      <c r="EB369" s="478">
        <v>1</v>
      </c>
      <c r="EC369" s="479">
        <v>600</v>
      </c>
      <c r="ED369" s="470">
        <f>Inputs!$D$40</f>
        <v>32</v>
      </c>
      <c r="EE369" s="461">
        <f>_xlfn.MINIFS($DE$70:$DE$149,$DH$70:$DH$149,"&gt;"&amp;Inputs!$H$110)</f>
        <v>13.499999999999996</v>
      </c>
      <c r="EF369" s="461">
        <f>_xlfn.MINIFS($DE$156:$DE$235,$DH$156:$DH$235,"&gt;"&amp;Inputs!$H$110)</f>
        <v>11.399999999999995</v>
      </c>
      <c r="EG369" s="462">
        <f>_xlfn.MINIFS($DE$242:$DE$321,$DH$242:$DH$321,"&gt;"&amp;Inputs!$H$110)</f>
        <v>13.499999999999996</v>
      </c>
      <c r="EH369" s="477">
        <f>IF(Inputs!$F$110&gt;MAX(Pile!$DH$70:$DH$149),999999,IF(Pile!EE369/(Pile!EC369/1000)&gt;50,999999,IF(Pile!EE369&lt;2,999999,Pile!EE369)))</f>
        <v>13.499999999999996</v>
      </c>
      <c r="EI369" s="461">
        <f>IF(Inputs!EE32="Yes",999999,IF(Pile!EF369/(Pile!EC369/1000)&gt;50,999999,IF(Pile!EF369&lt;2,999999,Pile!EF369)))</f>
        <v>11.399999999999995</v>
      </c>
      <c r="EJ369" s="461">
        <f>IF(Inputs!$F$110&gt;MAX(Pile!$DH$242:$DH$321),999999,IF(Pile!EG369/(Pile!EC369/1000)&gt;50,999999,IF(Pile!EG369&lt;2,999999,IF(EG369&gt;25,999999,Pile!EG369))))</f>
        <v>13.499999999999996</v>
      </c>
      <c r="EK369" s="477">
        <f t="shared" ref="EK369:EK391" si="447">IF(ISNUMBER(EH369),ED369*(PI()*(EC369/2000)^2)*EH369,EH369)+EN369</f>
        <v>158.43312237157113</v>
      </c>
      <c r="EL369" s="461">
        <f t="shared" ref="EL369:EL391" si="448">IF(ISNUMBER(EI369),ED369*(PI()*(EC369/2000)^2)*EI369,EI369)+EN369</f>
        <v>139.43277000266005</v>
      </c>
      <c r="EM369" s="462">
        <f t="shared" ref="EM369:EM391" si="449">IF(ISNUMBER(EJ369),ED369*(PI()*(EC369/2000)^2)*EJ369,EJ369)+EN369</f>
        <v>158.43312237157113</v>
      </c>
      <c r="EN369" s="467">
        <f t="shared" ref="EN369:EN391" si="450">EA369</f>
        <v>36.287999999999997</v>
      </c>
      <c r="EO369" s="478">
        <v>1</v>
      </c>
      <c r="EP369" s="479">
        <v>600</v>
      </c>
      <c r="EQ369" s="470">
        <f>Inputs!$D$40</f>
        <v>32</v>
      </c>
      <c r="ER369" s="461">
        <f>_xlfn.MINIFS($DE$70:$DE$149,$DH$70:$DH$149,"&gt;"&amp;Inputs!$H$117)</f>
        <v>0.29999999999999982</v>
      </c>
      <c r="ES369" s="461">
        <f>_xlfn.MINIFS($DE$156:$DE$235,$DH$156:$DH$235,"&gt;"&amp;Inputs!$H$117)</f>
        <v>0.29999999999999982</v>
      </c>
      <c r="ET369" s="462">
        <f>_xlfn.MINIFS($DE$242:$DE$321,$DH$242:$DH$321,"&gt;"&amp;Inputs!$H$117)</f>
        <v>0.29999999999999982</v>
      </c>
      <c r="EU369" s="477">
        <f>IF(Inputs!$F$117&gt;MAX(Pile!$DH$70:$DH$149),999999,IF(Pile!ER369/(Pile!EP369/1000)&gt;50,999999,IF(Pile!ER369&lt;2,999999,Pile!ER369)))</f>
        <v>999999</v>
      </c>
      <c r="EV369" s="461">
        <f>IF(Inputs!ER32="Yes",999999,IF(Inputs!$F$117&gt;MAX(Pile!$DG$156:$DG$235),999999,IF(Pile!ES369/(Pile!EP369/1000)&gt;50,999999,IF(Pile!ES369&lt;2,999999,Pile!ES369))))</f>
        <v>999999</v>
      </c>
      <c r="EW369" s="461">
        <f>IF(Inputs!$F$117&gt;MAX(Pile!$DH$242:$DH$321),999999,IF(Pile!ET369/(Pile!EP369/1000)&gt;50,999999,IF(Pile!ET369&lt;2,999999,IF(ET369&gt;25,999999,Pile!ET369))))</f>
        <v>999999</v>
      </c>
      <c r="EX369" s="477">
        <f t="shared" si="406"/>
        <v>9047777.7945517618</v>
      </c>
      <c r="EY369" s="461">
        <f t="shared" si="407"/>
        <v>9047777.7945517618</v>
      </c>
      <c r="EZ369" s="462">
        <f t="shared" si="408"/>
        <v>9047777.7945517618</v>
      </c>
    </row>
    <row r="370" spans="2:156" ht="15">
      <c r="B370" s="475">
        <v>1</v>
      </c>
      <c r="C370" s="476">
        <v>750</v>
      </c>
      <c r="D370" s="460">
        <f>Inputs!$D$40</f>
        <v>32</v>
      </c>
      <c r="E370" s="461">
        <f>_xlfn.MINIFS($DE$70:$DE$149,$DI$70:$DI$149,"&gt;"&amp;Inputs!$H$40)</f>
        <v>13.499999999999996</v>
      </c>
      <c r="F370" s="461">
        <f>_xlfn.MINIFS($DE$156:$DE$235,$DI$156:$DI$235,"&gt;"&amp;Inputs!$H$40)</f>
        <v>13.499999999999996</v>
      </c>
      <c r="G370" s="462">
        <f>_xlfn.MINIFS($DE$242:$DE$321,$DI$242:$DI$321,"&gt;"&amp;Inputs!$H$40)</f>
        <v>13.499999999999996</v>
      </c>
      <c r="H370" s="477">
        <f>IF(Inputs!$F$40&gt;MAX(Pile!$DI$70:$DI$149),999999,IF(Pile!E370/(Pile!C370/1000)&gt;50,999999,IF(Pile!E370&lt;2,999999,Pile!E370)))</f>
        <v>13.499999999999996</v>
      </c>
      <c r="I370" s="461">
        <f>IF(Inputs!E33="Yes",999999,IF(Pile!F370/(Pile!C370/1000)&gt;50,999999,IF(Pile!F370&lt;2,999999,Pile!F370)))</f>
        <v>13.499999999999996</v>
      </c>
      <c r="J370" s="461">
        <f>IF(Inputs!$F$40&gt;MAX(Pile!$DI$242:$DI$321),999999,IF(Pile!G370/(Pile!C370/1000)&gt;50,999999,IF(Pile!G370&lt;2,999999,IF(G370&gt;25,999999,Pile!G370))))</f>
        <v>13.499999999999996</v>
      </c>
      <c r="K370" s="477">
        <f t="shared" si="409"/>
        <v>254.3557537055799</v>
      </c>
      <c r="L370" s="461">
        <f t="shared" si="410"/>
        <v>254.3557537055799</v>
      </c>
      <c r="M370" s="462">
        <f t="shared" si="411"/>
        <v>254.3557537055799</v>
      </c>
      <c r="N370" s="466">
        <f>Inputs!$D$40*D461</f>
        <v>63.504000000000005</v>
      </c>
      <c r="O370" s="475">
        <v>1</v>
      </c>
      <c r="P370" s="476">
        <v>750</v>
      </c>
      <c r="Q370" s="460">
        <f>Inputs!$D$40</f>
        <v>32</v>
      </c>
      <c r="R370" s="461">
        <f>_xlfn.MINIFS($DE$70:$DE$149,$DI$70:$DI$149,"&gt;"&amp;Inputs!$H$47)</f>
        <v>13.499999999999996</v>
      </c>
      <c r="S370" s="461">
        <f>_xlfn.MINIFS($DE$156:$DE$235,$DI$156:$DI$235,"&gt;"&amp;Inputs!$H$47)</f>
        <v>13.499999999999996</v>
      </c>
      <c r="T370" s="462">
        <f>_xlfn.MINIFS($DE$242:$DE$321,$DI$242:$DI$321,"&gt;"&amp;Inputs!$H$47)</f>
        <v>13.499999999999996</v>
      </c>
      <c r="U370" s="477">
        <f>IF(Inputs!$F$47&gt;MAX(Pile!$DI$70:$DI$149),999999,IF(Pile!R370/(Pile!P370/1000)&gt;50,999999,IF(Pile!R370&lt;2,999999,Pile!R370)))</f>
        <v>13.499999999999996</v>
      </c>
      <c r="V370" s="461">
        <f>IF(Inputs!R33="Yes",999999,IF(Pile!S370/(Pile!P370/1000)&gt;50,999999,IF(Pile!S370&lt;2,999999,Pile!S370)))</f>
        <v>13.499999999999996</v>
      </c>
      <c r="W370" s="461">
        <f>IF(Inputs!$F$47&gt;MAX(Pile!$DI$242:$DI$321),999999,IF(Pile!T370/(Pile!P370/1000)&gt;50,999999,IF(Pile!T370&lt;2,999999,IF(T370&gt;25,999999,Pile!T370))))</f>
        <v>13.499999999999996</v>
      </c>
      <c r="X370" s="477">
        <f t="shared" si="412"/>
        <v>254.3557537055799</v>
      </c>
      <c r="Y370" s="461">
        <f t="shared" si="413"/>
        <v>254.3557537055799</v>
      </c>
      <c r="Z370" s="462">
        <f t="shared" si="414"/>
        <v>254.3557537055799</v>
      </c>
      <c r="AA370" s="467">
        <f t="shared" si="369"/>
        <v>63.504000000000005</v>
      </c>
      <c r="AB370" s="478">
        <v>1</v>
      </c>
      <c r="AC370" s="479">
        <v>750</v>
      </c>
      <c r="AD370" s="470">
        <f>Inputs!$D$40</f>
        <v>32</v>
      </c>
      <c r="AE370" s="461">
        <f>_xlfn.MINIFS($DE$70:$DE$149,$DI$70:$DI$149,"&gt;"&amp;Inputs!$H$54)</f>
        <v>13.499999999999996</v>
      </c>
      <c r="AF370" s="461">
        <f>_xlfn.MINIFS($DE$156:$DE$235,$DI$156:$DI$235,"&gt;"&amp;Inputs!$H$54)</f>
        <v>13.499999999999996</v>
      </c>
      <c r="AG370" s="462">
        <f>_xlfn.MINIFS($DE$242:$DE$321,$DI$242:$DI$321,"&gt;"&amp;Inputs!$H$54)</f>
        <v>13.499999999999996</v>
      </c>
      <c r="AH370" s="477">
        <f>IF(Inputs!$F$54&gt;MAX(Pile!$DI$70:$DI$149),999999,IF(Pile!AE370/(Pile!AC370/1000)&gt;50,999999,IF(Pile!AE370&lt;2,999999,Pile!AE370)))</f>
        <v>13.499999999999996</v>
      </c>
      <c r="AI370" s="461">
        <f>IF(Inputs!AE33="Yes",999999,IF(Pile!AF370/(Pile!AC370/1000)&gt;50,999999,IF(Pile!AF370&lt;2,999999,Pile!AF370)))</f>
        <v>13.499999999999996</v>
      </c>
      <c r="AJ370" s="461">
        <f>IF(Inputs!$F$54&gt;MAX(Pile!$DI$242:$DI$321),999999,IF(Pile!AG370/(Pile!AC370/1000)&gt;50,999999,IF(Pile!AG370&lt;2,999999,IF(AG370&gt;25,999999,Pile!AG370))))</f>
        <v>13.499999999999996</v>
      </c>
      <c r="AK370" s="477">
        <f t="shared" si="415"/>
        <v>254.3557537055799</v>
      </c>
      <c r="AL370" s="461">
        <f t="shared" si="416"/>
        <v>254.3557537055799</v>
      </c>
      <c r="AM370" s="462">
        <f t="shared" si="417"/>
        <v>254.3557537055799</v>
      </c>
      <c r="AN370" s="471">
        <f t="shared" si="418"/>
        <v>63.504000000000005</v>
      </c>
      <c r="AO370" s="478">
        <v>1</v>
      </c>
      <c r="AP370" s="479">
        <v>750</v>
      </c>
      <c r="AQ370" s="470">
        <f>Inputs!$D$40</f>
        <v>32</v>
      </c>
      <c r="AR370" s="461">
        <f>_xlfn.MINIFS($DE$70:$DE$149,$DI$70:$DI$149,"&gt;"&amp;Inputs!$H$61)</f>
        <v>13.499999999999996</v>
      </c>
      <c r="AS370" s="461">
        <f>_xlfn.MINIFS($DE$156:$DE$235,$DI$156:$DI$235,"&gt;"&amp;Inputs!$H$61)</f>
        <v>13.499999999999996</v>
      </c>
      <c r="AT370" s="462">
        <f>_xlfn.MINIFS($DE$242:$DE$321,$DI$242:$DI$321,"&gt;"&amp;Inputs!$H$61)</f>
        <v>13.499999999999996</v>
      </c>
      <c r="AU370" s="477">
        <f>IF(Inputs!$F$61&gt;MAX(Pile!$DI$70:$DI$149),999999,IF(Pile!AR370/(Pile!AP370/1000)&gt;50,999999,IF(Pile!AR370&lt;2,999999,Pile!AR370)))</f>
        <v>13.499999999999996</v>
      </c>
      <c r="AV370" s="461">
        <f>IF(Inputs!AR33="Yes",999999,IF(Pile!AS370/(Pile!AP370/1000)&gt;50,999999,IF(Pile!AS370&lt;2,999999,Pile!AS370)))</f>
        <v>13.499999999999996</v>
      </c>
      <c r="AW370" s="461">
        <f>IF(Inputs!$F$61&gt;MAX(Pile!$DI$242:$DI$321),999999,IF(Pile!AT370/(Pile!AP370/1000)&gt;50,999999,IF(Pile!AT370&lt;2,999999,IF(AT370&gt;25,999999,Pile!AT370))))</f>
        <v>13.499999999999996</v>
      </c>
      <c r="AX370" s="477">
        <f t="shared" si="419"/>
        <v>254.3557537055799</v>
      </c>
      <c r="AY370" s="461">
        <f t="shared" si="420"/>
        <v>254.3557537055799</v>
      </c>
      <c r="AZ370" s="462">
        <f t="shared" si="421"/>
        <v>254.3557537055799</v>
      </c>
      <c r="BA370" s="467">
        <f t="shared" si="422"/>
        <v>63.504000000000005</v>
      </c>
      <c r="BB370" s="478">
        <v>1</v>
      </c>
      <c r="BC370" s="479">
        <v>750</v>
      </c>
      <c r="BD370" s="470">
        <f>Inputs!$D$40</f>
        <v>32</v>
      </c>
      <c r="BE370" s="461">
        <f>_xlfn.MINIFS($DE$70:$DE$149,$DI$70:$DI$149,"&gt;"&amp;Inputs!$H$68)</f>
        <v>13.499999999999996</v>
      </c>
      <c r="BF370" s="461">
        <f>_xlfn.MINIFS($DE$156:$DE$235,$DI$156:$DI$235,"&gt;"&amp;Inputs!$H$68)</f>
        <v>13.499999999999996</v>
      </c>
      <c r="BG370" s="462">
        <f>_xlfn.MINIFS($DE$242:$DE$321,$DI$242:$DI$321,"&gt;"&amp;Inputs!$H$68)</f>
        <v>13.499999999999996</v>
      </c>
      <c r="BH370" s="477">
        <f>IF(Inputs!$F$68&gt;MAX(Pile!$DI$70:$DI$149),999999,IF(Pile!BE370/(Pile!BC370/1000)&gt;50,999999,IF(Pile!BE370&lt;2,999999,Pile!BE370)))</f>
        <v>13.499999999999996</v>
      </c>
      <c r="BI370" s="461">
        <f>IF(Inputs!BE33="Yes",999999,IF(Pile!BF370/(Pile!BC370/1000)&gt;50,999999,IF(Pile!BF370&lt;2,999999,Pile!BF370)))</f>
        <v>13.499999999999996</v>
      </c>
      <c r="BJ370" s="461">
        <f>IF(Inputs!$F$68&gt;MAX(Pile!$DI$242:$DI$321),999999,IF(Pile!BG370/(Pile!BC370/1000)&gt;50,999999,IF(Pile!BG370&lt;2,999999,IF(BG370&gt;25,999999,Pile!BG370))))</f>
        <v>13.499999999999996</v>
      </c>
      <c r="BK370" s="477">
        <f t="shared" si="423"/>
        <v>254.3557537055799</v>
      </c>
      <c r="BL370" s="461">
        <f t="shared" si="424"/>
        <v>254.3557537055799</v>
      </c>
      <c r="BM370" s="462">
        <f t="shared" si="425"/>
        <v>254.3557537055799</v>
      </c>
      <c r="BN370" s="467">
        <f t="shared" si="426"/>
        <v>63.504000000000005</v>
      </c>
      <c r="BO370" s="478">
        <v>1</v>
      </c>
      <c r="BP370" s="479">
        <v>750</v>
      </c>
      <c r="BQ370" s="470">
        <f>Inputs!$D$40</f>
        <v>32</v>
      </c>
      <c r="BR370" s="461">
        <f>_xlfn.MINIFS($DE$70:$DE$149,$DI$70:$DI$149,"&gt;"&amp;Inputs!$H$75)</f>
        <v>13.499999999999996</v>
      </c>
      <c r="BS370" s="461">
        <f>_xlfn.MINIFS($DE$156:$DE$235,$DI$156:$DI$235,"&gt;"&amp;Inputs!$H$75)</f>
        <v>13.499999999999996</v>
      </c>
      <c r="BT370" s="462">
        <f>_xlfn.MINIFS($DE$242:$DE$321,$DI$242:$DI$321,"&gt;"&amp;Inputs!$H$75)</f>
        <v>13.499999999999996</v>
      </c>
      <c r="BU370" s="477">
        <f>IF(Inputs!$F$75&gt;MAX(Pile!$DI$70:$DI$149),999999,IF(Pile!BR370/(Pile!BP370/1000)&gt;50,999999,IF(Pile!BR370&lt;2,999999,Pile!BR370)))</f>
        <v>13.499999999999996</v>
      </c>
      <c r="BV370" s="461">
        <f>IF(Inputs!BR33="Yes",999999,IF(Pile!BS370/(Pile!BP370/1000)&gt;50,999999,IF(Pile!BS370&lt;2,999999,Pile!BS370)))</f>
        <v>13.499999999999996</v>
      </c>
      <c r="BW370" s="461">
        <f>IF(Inputs!$F$75&gt;MAX(Pile!$DI$242:$DI$321),999999,IF(Pile!BT370/(Pile!BP370/1000)&gt;50,999999,IF(Pile!BT370&lt;2,999999,IF(BT370&gt;25,999999,Pile!BT370))))</f>
        <v>13.499999999999996</v>
      </c>
      <c r="BX370" s="477">
        <f t="shared" si="427"/>
        <v>254.3557537055799</v>
      </c>
      <c r="BY370" s="461">
        <f t="shared" si="428"/>
        <v>254.3557537055799</v>
      </c>
      <c r="BZ370" s="462">
        <f t="shared" si="429"/>
        <v>254.3557537055799</v>
      </c>
      <c r="CA370" s="467">
        <f t="shared" si="430"/>
        <v>63.504000000000005</v>
      </c>
      <c r="CB370" s="478">
        <v>1</v>
      </c>
      <c r="CC370" s="479">
        <v>750</v>
      </c>
      <c r="CD370" s="470">
        <f>Inputs!$D$40</f>
        <v>32</v>
      </c>
      <c r="CE370" s="461">
        <f>_xlfn.MINIFS($DE$70:$DE$149,$DI$70:$DI$149,"&gt;"&amp;Inputs!$H$82)</f>
        <v>13.499999999999996</v>
      </c>
      <c r="CF370" s="461">
        <f>_xlfn.MINIFS($DE$156:$DE$235,$DI$156:$DI$235,"&gt;"&amp;Inputs!$H$82)</f>
        <v>5.9999999999999982</v>
      </c>
      <c r="CG370" s="462">
        <f>_xlfn.MINIFS($DE$242:$DE$321,$DI$242:$DI$321,"&gt;"&amp;Inputs!$H$82)</f>
        <v>13.499999999999996</v>
      </c>
      <c r="CH370" s="477">
        <f>IF(Inputs!$F$82&gt;MAX(Pile!$DI$70:$DI$149),999999,IF(Pile!CE370/(Pile!CC370/1000)&gt;50,999999,IF(Pile!CE370&lt;2,999999,Pile!CE370)))</f>
        <v>13.499999999999996</v>
      </c>
      <c r="CI370" s="461">
        <f>IF(Inputs!CE33="Yes",999999,IF(Pile!CF370/(Pile!CC370/1000)&gt;50,999999,IF(Pile!CF370&lt;2,999999,Pile!CF370)))</f>
        <v>5.9999999999999982</v>
      </c>
      <c r="CJ370" s="461">
        <f>IF(Inputs!$F$82&gt;MAX(Pile!$DI$242:$DI$321),999999,IF(Pile!CG370/(Pile!CC370/1000)&gt;50,999999,IF(Pile!CG370&lt;2,999999,IF(CG370&gt;25,999999,Pile!CG370))))</f>
        <v>13.499999999999996</v>
      </c>
      <c r="CK370" s="477">
        <f t="shared" si="431"/>
        <v>254.3557537055799</v>
      </c>
      <c r="CL370" s="461">
        <f t="shared" si="432"/>
        <v>148.32700164692437</v>
      </c>
      <c r="CM370" s="462">
        <f t="shared" si="433"/>
        <v>254.3557537055799</v>
      </c>
      <c r="CN370" s="467">
        <f t="shared" si="434"/>
        <v>63.504000000000005</v>
      </c>
      <c r="CO370" s="478">
        <v>1</v>
      </c>
      <c r="CP370" s="479">
        <v>750</v>
      </c>
      <c r="CQ370" s="470">
        <f>Inputs!$D$40</f>
        <v>32</v>
      </c>
      <c r="CR370" s="461">
        <f>_xlfn.MINIFS($DE$70:$DE$149,$DI$70:$DI$149,"&gt;"&amp;Inputs!$H$89)</f>
        <v>13.499999999999996</v>
      </c>
      <c r="CS370" s="461">
        <f>_xlfn.MINIFS($DE$156:$DE$235,$DI$156:$DI$235,"&gt;"&amp;Inputs!$H$89)</f>
        <v>5.6999999999999975</v>
      </c>
      <c r="CT370" s="462">
        <f>_xlfn.MINIFS($DE$242:$DE$321,$DI$242:$DI$321,"&gt;"&amp;Inputs!$H$89)</f>
        <v>5.9999999999999982</v>
      </c>
      <c r="CU370" s="477">
        <f>IF(Inputs!$F$89&gt;MAX(Pile!$DI$70:$DI$149),999999,IF(Pile!CR370/(Pile!CP370/1000)&gt;50,999999,IF(Pile!CR370&lt;2,999999,Pile!CR370)))</f>
        <v>13.499999999999996</v>
      </c>
      <c r="CV370" s="461">
        <f>IF(Inputs!CR33="Yes",999999,IF(Pile!CS370/(Pile!CP370/1000)&gt;50,999999,IF(Pile!CS370&lt;2,999999,Pile!CS370)))</f>
        <v>5.6999999999999975</v>
      </c>
      <c r="CW370" s="461">
        <f>IF(Inputs!$F$89&gt;MAX(Pile!$DI$242:$DI$321),999999,IF(Pile!CT370/(Pile!CP370/1000)&gt;50,999999,IF(Pile!CT370&lt;2,999999,IF(CT370&gt;25,999999,Pile!CT370))))</f>
        <v>5.9999999999999982</v>
      </c>
      <c r="CX370" s="477">
        <f t="shared" si="435"/>
        <v>254.3557537055799</v>
      </c>
      <c r="CY370" s="461">
        <f t="shared" si="436"/>
        <v>144.08585156457815</v>
      </c>
      <c r="CZ370" s="462">
        <f t="shared" si="437"/>
        <v>148.32700164692437</v>
      </c>
      <c r="DA370" s="467">
        <f t="shared" si="438"/>
        <v>63.504000000000005</v>
      </c>
      <c r="DB370" s="478">
        <v>1</v>
      </c>
      <c r="DC370" s="479">
        <v>750</v>
      </c>
      <c r="DD370" s="470">
        <f>Inputs!$D$40</f>
        <v>32</v>
      </c>
      <c r="DE370" s="461">
        <f>_xlfn.MINIFS($DE$70:$DE$149,$DI$70:$DI$149,"&gt;"&amp;Inputs!$H$96)</f>
        <v>13.499999999999996</v>
      </c>
      <c r="DF370" s="461">
        <f>_xlfn.MINIFS($DE$156:$DE$235,$DI$156:$DI$235,"&gt;"&amp;Inputs!$H$96)</f>
        <v>5.6999999999999975</v>
      </c>
      <c r="DG370" s="462">
        <f>_xlfn.MINIFS($DE$242:$DE$321,$DI$242:$DI$321,"&gt;"&amp;Inputs!$H$96)</f>
        <v>5.9999999999999982</v>
      </c>
      <c r="DH370" s="477">
        <f>IF(Inputs!$F$96&gt;MAX(Pile!$DI$70:$DI$149),999999,IF(Pile!DE370/(Pile!DC370/1000)&gt;50,999999,IF(Pile!DE370&lt;2,999999,Pile!DE370)))</f>
        <v>13.499999999999996</v>
      </c>
      <c r="DI370" s="461">
        <f>IF(Inputs!DE33="Yes",999999,IF(Pile!DF370/(Pile!DC370/1000)&gt;50,999999,IF(Pile!DF370&lt;2,999999,Pile!DF370)))</f>
        <v>5.6999999999999975</v>
      </c>
      <c r="DJ370" s="461">
        <f>IF(Inputs!$F$96&gt;MAX(Pile!$DI$242:$DI$321),999999,IF(Pile!DG370/(Pile!DC370/1000)&gt;50,999999,IF(Pile!DG370&lt;2,999999,IF(DG370&gt;25,999999,Pile!DG370))))</f>
        <v>5.9999999999999982</v>
      </c>
      <c r="DK370" s="477">
        <f t="shared" si="439"/>
        <v>254.3557537055799</v>
      </c>
      <c r="DL370" s="461">
        <f t="shared" si="440"/>
        <v>144.08585156457815</v>
      </c>
      <c r="DM370" s="462">
        <f t="shared" si="441"/>
        <v>148.32700164692437</v>
      </c>
      <c r="DN370" s="467">
        <f t="shared" si="442"/>
        <v>63.504000000000005</v>
      </c>
      <c r="DO370" s="478">
        <v>1</v>
      </c>
      <c r="DP370" s="479">
        <v>750</v>
      </c>
      <c r="DQ370" s="470">
        <f>Inputs!$D$40</f>
        <v>32</v>
      </c>
      <c r="DR370" s="461">
        <f>_xlfn.MINIFS($DE$70:$DE$149,$DI$70:$DI$149,"&gt;"&amp;Inputs!$H$103)</f>
        <v>5.0999999999999979</v>
      </c>
      <c r="DS370" s="461">
        <f>_xlfn.MINIFS($DE$156:$DE$235,$DI$156:$DI$235,"&gt;"&amp;Inputs!$H$103)</f>
        <v>4.799999999999998</v>
      </c>
      <c r="DT370" s="462">
        <f>_xlfn.MINIFS($DE$242:$DE$321,$DI$242:$DI$321,"&gt;"&amp;Inputs!$H$103)</f>
        <v>4.799999999999998</v>
      </c>
      <c r="DU370" s="477">
        <f>IF(Inputs!$F$103&gt;MAX(Pile!$DI$70:$DI$149),999999,IF(Pile!DR370/(Pile!DP370/1000)&gt;50,999999,IF(Pile!DR370&lt;2,999999,Pile!DR370)))</f>
        <v>5.0999999999999979</v>
      </c>
      <c r="DV370" s="461">
        <f>IF(Inputs!DR33="Yes",999999,IF(Pile!DS370/(Pile!DP370/1000)&gt;50,999999,IF(Pile!DS370&lt;2,999999,Pile!DS370)))</f>
        <v>4.799999999999998</v>
      </c>
      <c r="DW370" s="461">
        <f>IF(Inputs!$F$103&gt;MAX(Pile!$DI$242:$DI$321),999999,IF(Pile!DT370/(Pile!DP370/1000)&gt;50,999999,IF(Pile!DT370&lt;2,999999,IF(DT370&gt;25,999999,Pile!DT370))))</f>
        <v>4.799999999999998</v>
      </c>
      <c r="DX370" s="477">
        <f t="shared" si="443"/>
        <v>135.60355139988573</v>
      </c>
      <c r="DY370" s="461">
        <f t="shared" si="444"/>
        <v>131.36240131753951</v>
      </c>
      <c r="DZ370" s="462">
        <f t="shared" si="445"/>
        <v>131.36240131753951</v>
      </c>
      <c r="EA370" s="467">
        <f t="shared" si="446"/>
        <v>63.504000000000005</v>
      </c>
      <c r="EB370" s="478">
        <v>1</v>
      </c>
      <c r="EC370" s="479">
        <v>750</v>
      </c>
      <c r="ED370" s="470">
        <f>Inputs!$D$40</f>
        <v>32</v>
      </c>
      <c r="EE370" s="461">
        <f>_xlfn.MINIFS($DE$70:$DE$149,$DI$70:$DI$149,"&gt;"&amp;Inputs!$H$110)</f>
        <v>5.3999999999999977</v>
      </c>
      <c r="EF370" s="461">
        <f>_xlfn.MINIFS($DE$156:$DE$235,$DI$156:$DI$235,"&gt;"&amp;Inputs!$H$110)</f>
        <v>4.799999999999998</v>
      </c>
      <c r="EG370" s="462">
        <f>_xlfn.MINIFS($DE$242:$DE$321,$DI$242:$DI$321,"&gt;"&amp;Inputs!$H$110)</f>
        <v>5.0999999999999979</v>
      </c>
      <c r="EH370" s="477">
        <f>IF(Inputs!$F$110&gt;MAX(Pile!$DI$70:$DI$149),999999,IF(Pile!EE370/(Pile!EC370/1000)&gt;50,999999,IF(Pile!EE370&lt;2,999999,Pile!EE370)))</f>
        <v>5.3999999999999977</v>
      </c>
      <c r="EI370" s="461">
        <f>IF(Inputs!EE33="Yes",999999,IF(Pile!EF370/(Pile!EC370/1000)&gt;50,999999,IF(Pile!EF370&lt;2,999999,Pile!EF370)))</f>
        <v>4.799999999999998</v>
      </c>
      <c r="EJ370" s="461">
        <f>IF(Inputs!$F$110&gt;MAX(Pile!$DI$242:$DI$321),999999,IF(Pile!EG370/(Pile!EC370/1000)&gt;50,999999,IF(Pile!EG370&lt;2,999999,IF(EG370&gt;25,999999,Pile!EG370))))</f>
        <v>5.0999999999999979</v>
      </c>
      <c r="EK370" s="477">
        <f t="shared" si="447"/>
        <v>139.84470148223193</v>
      </c>
      <c r="EL370" s="461">
        <f t="shared" si="448"/>
        <v>131.36240131753951</v>
      </c>
      <c r="EM370" s="462">
        <f t="shared" si="449"/>
        <v>135.60355139988573</v>
      </c>
      <c r="EN370" s="467">
        <f t="shared" si="450"/>
        <v>63.504000000000005</v>
      </c>
      <c r="EO370" s="478">
        <v>1</v>
      </c>
      <c r="EP370" s="479">
        <v>750</v>
      </c>
      <c r="EQ370" s="470">
        <f>Inputs!$D$40</f>
        <v>32</v>
      </c>
      <c r="ER370" s="461">
        <f>_xlfn.MINIFS($DE$70:$DE$149,$DI$70:$DI$149,"&gt;"&amp;Inputs!$H$117)</f>
        <v>0.29999999999999982</v>
      </c>
      <c r="ES370" s="461">
        <f>_xlfn.MINIFS($DE$156:$DE$235,$DI$156:$DI$235,"&gt;"&amp;Inputs!$H$117)</f>
        <v>0.29999999999999982</v>
      </c>
      <c r="ET370" s="462">
        <f>_xlfn.MINIFS($DE$242:$DE$321,$DI$242:$DI$321,"&gt;"&amp;Inputs!$H$117)</f>
        <v>0.29999999999999982</v>
      </c>
      <c r="EU370" s="477">
        <f>IF(Inputs!$F$117&gt;MAX(Pile!$DI$70:$DI$149),999999,IF(Pile!ER370/(Pile!EP370/1000)&gt;50,999999,IF(Pile!ER370&lt;2,999999,Pile!ER370)))</f>
        <v>999999</v>
      </c>
      <c r="EV370" s="461">
        <f>IF(Inputs!ER33="Yes",999999,IF(Inputs!$F$117&gt;MAX(Pile!$DG$156:$DG$235),999999,IF(Pile!ES370/(Pile!EP370/1000)&gt;50,999999,IF(Pile!ES370&lt;2,999999,Pile!ES370))))</f>
        <v>999999</v>
      </c>
      <c r="EW370" s="461">
        <f>IF(Inputs!$F$117&gt;MAX(Pile!$DI$242:$DI$321),999999,IF(Pile!ET370/(Pile!EP370/1000)&gt;50,999999,IF(Pile!ET370&lt;2,999999,IF(ET370&gt;25,999999,Pile!ET370))))</f>
        <v>999999</v>
      </c>
      <c r="EX370" s="477">
        <f t="shared" si="406"/>
        <v>14137152.803987129</v>
      </c>
      <c r="EY370" s="461">
        <f t="shared" si="407"/>
        <v>14137152.803987129</v>
      </c>
      <c r="EZ370" s="462">
        <f t="shared" si="408"/>
        <v>14137152.803987129</v>
      </c>
    </row>
    <row r="371" spans="2:156" ht="15">
      <c r="B371" s="475">
        <v>1</v>
      </c>
      <c r="C371" s="476">
        <v>900</v>
      </c>
      <c r="D371" s="460">
        <f>Inputs!$D$40</f>
        <v>32</v>
      </c>
      <c r="E371" s="461">
        <f>_xlfn.MINIFS($DE$70:$DE$149,$DJ$70:$DJ$149,"&gt;"&amp;Inputs!$H$40)</f>
        <v>13.499999999999996</v>
      </c>
      <c r="F371" s="461">
        <f>_xlfn.MINIFS($DE$156:$DE$235,$DJ$156:$DJ$235,"&gt;"&amp;Inputs!$H$40)</f>
        <v>0</v>
      </c>
      <c r="G371" s="462">
        <f>_xlfn.MINIFS($DE$242:$DE$321,$DJ$242:$DJ$321,"&gt;"&amp;Inputs!$H$40)</f>
        <v>13.499999999999996</v>
      </c>
      <c r="H371" s="477">
        <f>IF(Inputs!$F$40&gt;MAX(Pile!$DJ$70:$DJ$149),999999,IF(Pile!E371/(Pile!C371/1000)&gt;50,999999,IF(Pile!E371&lt;2,999999,Pile!E371)))</f>
        <v>13.499999999999996</v>
      </c>
      <c r="I371" s="461">
        <f>IF(Inputs!E34="Yes",999999,IF(Pile!F371/(Pile!C371/1000)&gt;50,999999,IF(Pile!F371&lt;2,999999,Pile!F371)))</f>
        <v>999999</v>
      </c>
      <c r="J371" s="461">
        <f>IF(Inputs!$F$40&gt;MAX(Pile!$DJ$242:$DJ$321),999999,IF(Pile!G371/(Pile!C371/1000)&gt;50,999999,IF(Pile!G371&lt;2,999999,IF(G371&gt;25,999999,Pile!G371))))</f>
        <v>13.499999999999996</v>
      </c>
      <c r="K371" s="477">
        <f t="shared" si="409"/>
        <v>376.20252533603502</v>
      </c>
      <c r="L371" s="461">
        <f t="shared" si="410"/>
        <v>20357601.413741466</v>
      </c>
      <c r="M371" s="462">
        <f t="shared" si="411"/>
        <v>376.20252533603502</v>
      </c>
      <c r="N371" s="466">
        <f>Inputs!$D$40*D462</f>
        <v>101.376</v>
      </c>
      <c r="O371" s="475">
        <v>1</v>
      </c>
      <c r="P371" s="476">
        <v>900</v>
      </c>
      <c r="Q371" s="460">
        <f>Inputs!$D$40</f>
        <v>32</v>
      </c>
      <c r="R371" s="461">
        <f>_xlfn.MINIFS($DE$70:$DE$149,$DJ$70:$DJ$149,"&gt;"&amp;Inputs!$H$47)</f>
        <v>13.499999999999996</v>
      </c>
      <c r="S371" s="461">
        <f>_xlfn.MINIFS($DE$156:$DE$235,$DJ$156:$DJ$235,"&gt;"&amp;Inputs!$H$47)</f>
        <v>0</v>
      </c>
      <c r="T371" s="462">
        <f>_xlfn.MINIFS($DE$242:$DE$321,$DJ$242:$DJ$321,"&gt;"&amp;Inputs!$H$47)</f>
        <v>13.499999999999996</v>
      </c>
      <c r="U371" s="477">
        <f>IF(Inputs!$F$47&gt;MAX(Pile!$DJ$70:$DJ$149),999999,IF(Pile!R371/(Pile!P371/1000)&gt;50,999999,IF(Pile!R371&lt;2,999999,Pile!R371)))</f>
        <v>13.499999999999996</v>
      </c>
      <c r="V371" s="461">
        <f>IF(Inputs!R34="Yes",999999,IF(Pile!S371/(Pile!P371/1000)&gt;50,999999,IF(Pile!S371&lt;2,999999,Pile!S371)))</f>
        <v>999999</v>
      </c>
      <c r="W371" s="461">
        <f>IF(Inputs!$F$47&gt;MAX(Pile!$DJ$242:$DJ$321),999999,IF(Pile!T371/(Pile!P371/1000)&gt;50,999999,IF(Pile!T371&lt;2,999999,IF(T371&gt;25,999999,Pile!T371))))</f>
        <v>13.499999999999996</v>
      </c>
      <c r="X371" s="477">
        <f t="shared" si="412"/>
        <v>376.20252533603502</v>
      </c>
      <c r="Y371" s="461">
        <f t="shared" si="413"/>
        <v>20357601.413741466</v>
      </c>
      <c r="Z371" s="462">
        <f t="shared" si="414"/>
        <v>376.20252533603502</v>
      </c>
      <c r="AA371" s="467">
        <f t="shared" si="369"/>
        <v>101.376</v>
      </c>
      <c r="AB371" s="478">
        <v>1</v>
      </c>
      <c r="AC371" s="479">
        <v>900</v>
      </c>
      <c r="AD371" s="470">
        <f>Inputs!$D$40</f>
        <v>32</v>
      </c>
      <c r="AE371" s="461">
        <f>_xlfn.MINIFS($DE$70:$DE$149,$DJ$70:$DJ$149,"&gt;"&amp;Inputs!$H$54)</f>
        <v>13.499999999999996</v>
      </c>
      <c r="AF371" s="461">
        <f>_xlfn.MINIFS($DE$156:$DE$235,$DJ$156:$DJ$235,"&gt;"&amp;Inputs!$H$54)</f>
        <v>0</v>
      </c>
      <c r="AG371" s="462">
        <f>_xlfn.MINIFS($DE$242:$DE$321,$DJ$242:$DJ$321,"&gt;"&amp;Inputs!$H$54)</f>
        <v>5.9999999999999982</v>
      </c>
      <c r="AH371" s="477">
        <f>IF(Inputs!$F$54&gt;MAX(Pile!$DJ$70:$DJ$149),999999,IF(Pile!AE371/(Pile!AC371/1000)&gt;50,999999,IF(Pile!AE371&lt;2,999999,Pile!AE371)))</f>
        <v>13.499999999999996</v>
      </c>
      <c r="AI371" s="461">
        <f>IF(Inputs!AE34="Yes",999999,IF(Pile!AF371/(Pile!AC371/1000)&gt;50,999999,IF(Pile!AF371&lt;2,999999,Pile!AF371)))</f>
        <v>999999</v>
      </c>
      <c r="AJ371" s="461">
        <f>IF(Inputs!$F$54&gt;MAX(Pile!$DJ$242:$DJ$321),999999,IF(Pile!AG371/(Pile!AC371/1000)&gt;50,999999,IF(Pile!AG371&lt;2,999999,IF(AG371&gt;25,999999,Pile!AG371))))</f>
        <v>5.9999999999999982</v>
      </c>
      <c r="AK371" s="477">
        <f t="shared" si="415"/>
        <v>376.20252533603502</v>
      </c>
      <c r="AL371" s="461">
        <f t="shared" si="416"/>
        <v>20357601.413741466</v>
      </c>
      <c r="AM371" s="462">
        <f t="shared" si="417"/>
        <v>223.52112237157115</v>
      </c>
      <c r="AN371" s="471">
        <f t="shared" si="418"/>
        <v>101.376</v>
      </c>
      <c r="AO371" s="478">
        <v>1</v>
      </c>
      <c r="AP371" s="479">
        <v>900</v>
      </c>
      <c r="AQ371" s="470">
        <f>Inputs!$D$40</f>
        <v>32</v>
      </c>
      <c r="AR371" s="461">
        <f>_xlfn.MINIFS($DE$70:$DE$149,$DJ$70:$DJ$149,"&gt;"&amp;Inputs!$H$61)</f>
        <v>13.499999999999996</v>
      </c>
      <c r="AS371" s="461">
        <f>_xlfn.MINIFS($DE$156:$DE$235,$DJ$156:$DJ$235,"&gt;"&amp;Inputs!$H$61)</f>
        <v>0</v>
      </c>
      <c r="AT371" s="462">
        <f>_xlfn.MINIFS($DE$242:$DE$321,$DJ$242:$DJ$321,"&gt;"&amp;Inputs!$H$61)</f>
        <v>5.9999999999999982</v>
      </c>
      <c r="AU371" s="477">
        <f>IF(Inputs!$F$61&gt;MAX(Pile!$DJ$70:$DJ$149),999999,IF(Pile!AR371/(Pile!AP371/1000)&gt;50,999999,IF(Pile!AR371&lt;2,999999,Pile!AR371)))</f>
        <v>13.499999999999996</v>
      </c>
      <c r="AV371" s="461">
        <f>IF(Inputs!AR34="Yes",999999,IF(Pile!AS371/(Pile!AP371/1000)&gt;50,999999,IF(Pile!AS371&lt;2,999999,Pile!AS371)))</f>
        <v>999999</v>
      </c>
      <c r="AW371" s="461">
        <f>IF(Inputs!$F$61&gt;MAX(Pile!$DJ$242:$DJ$321),999999,IF(Pile!AT371/(Pile!AP371/1000)&gt;50,999999,IF(Pile!AT371&lt;2,999999,IF(AT371&gt;25,999999,Pile!AT371))))</f>
        <v>5.9999999999999982</v>
      </c>
      <c r="AX371" s="477">
        <f t="shared" si="419"/>
        <v>376.20252533603502</v>
      </c>
      <c r="AY371" s="461">
        <f t="shared" si="420"/>
        <v>20357601.413741466</v>
      </c>
      <c r="AZ371" s="462">
        <f t="shared" si="421"/>
        <v>223.52112237157115</v>
      </c>
      <c r="BA371" s="467">
        <f t="shared" si="422"/>
        <v>101.376</v>
      </c>
      <c r="BB371" s="478">
        <v>1</v>
      </c>
      <c r="BC371" s="479">
        <v>900</v>
      </c>
      <c r="BD371" s="470">
        <f>Inputs!$D$40</f>
        <v>32</v>
      </c>
      <c r="BE371" s="461">
        <f>_xlfn.MINIFS($DE$70:$DE$149,$DJ$70:$DJ$149,"&gt;"&amp;Inputs!$H$68)</f>
        <v>13.499999999999996</v>
      </c>
      <c r="BF371" s="461">
        <f>_xlfn.MINIFS($DE$156:$DE$235,$DJ$156:$DJ$235,"&gt;"&amp;Inputs!$H$68)</f>
        <v>0</v>
      </c>
      <c r="BG371" s="462">
        <f>_xlfn.MINIFS($DE$242:$DE$321,$DJ$242:$DJ$321,"&gt;"&amp;Inputs!$H$68)</f>
        <v>5.9999999999999982</v>
      </c>
      <c r="BH371" s="477">
        <f>IF(Inputs!$F$68&gt;MAX(Pile!$DJ$70:$DJ$149),999999,IF(Pile!BE371/(Pile!BC371/1000)&gt;50,999999,IF(Pile!BE371&lt;2,999999,Pile!BE371)))</f>
        <v>13.499999999999996</v>
      </c>
      <c r="BI371" s="461">
        <f>IF(Inputs!BE34="Yes",999999,IF(Pile!BF371/(Pile!BC371/1000)&gt;50,999999,IF(Pile!BF371&lt;2,999999,Pile!BF371)))</f>
        <v>999999</v>
      </c>
      <c r="BJ371" s="461">
        <f>IF(Inputs!$F$68&gt;MAX(Pile!$DJ$242:$DJ$321),999999,IF(Pile!BG371/(Pile!BC371/1000)&gt;50,999999,IF(Pile!BG371&lt;2,999999,IF(BG371&gt;25,999999,Pile!BG371))))</f>
        <v>5.9999999999999982</v>
      </c>
      <c r="BK371" s="477">
        <f t="shared" si="423"/>
        <v>376.20252533603502</v>
      </c>
      <c r="BL371" s="461">
        <f t="shared" si="424"/>
        <v>20357601.413741466</v>
      </c>
      <c r="BM371" s="462">
        <f t="shared" si="425"/>
        <v>223.52112237157115</v>
      </c>
      <c r="BN371" s="467">
        <f t="shared" si="426"/>
        <v>101.376</v>
      </c>
      <c r="BO371" s="478">
        <v>1</v>
      </c>
      <c r="BP371" s="479">
        <v>900</v>
      </c>
      <c r="BQ371" s="470">
        <f>Inputs!$D$40</f>
        <v>32</v>
      </c>
      <c r="BR371" s="461">
        <f>_xlfn.MINIFS($DE$70:$DE$149,$DJ$70:$DJ$149,"&gt;"&amp;Inputs!$H$75)</f>
        <v>13.499999999999996</v>
      </c>
      <c r="BS371" s="461">
        <f>_xlfn.MINIFS($DE$156:$DE$235,$DJ$156:$DJ$235,"&gt;"&amp;Inputs!$H$75)</f>
        <v>0</v>
      </c>
      <c r="BT371" s="462">
        <f>_xlfn.MINIFS($DE$242:$DE$321,$DJ$242:$DJ$321,"&gt;"&amp;Inputs!$H$75)</f>
        <v>13.499999999999996</v>
      </c>
      <c r="BU371" s="477">
        <f>IF(Inputs!$F$75&gt;MAX(Pile!$DJ$70:$DJ$149),999999,IF(Pile!BR371/(Pile!BP371/1000)&gt;50,999999,IF(Pile!BR371&lt;2,999999,Pile!BR371)))</f>
        <v>13.499999999999996</v>
      </c>
      <c r="BV371" s="461">
        <f>IF(Inputs!BR34="Yes",999999,IF(Pile!BS371/(Pile!BP371/1000)&gt;50,999999,IF(Pile!BS371&lt;2,999999,Pile!BS371)))</f>
        <v>999999</v>
      </c>
      <c r="BW371" s="461">
        <f>IF(Inputs!$F$75&gt;MAX(Pile!$DJ$242:$DJ$321),999999,IF(Pile!BT371/(Pile!BP371/1000)&gt;50,999999,IF(Pile!BT371&lt;2,999999,IF(BT371&gt;25,999999,Pile!BT371))))</f>
        <v>13.499999999999996</v>
      </c>
      <c r="BX371" s="477">
        <f t="shared" si="427"/>
        <v>376.20252533603502</v>
      </c>
      <c r="BY371" s="461">
        <f t="shared" si="428"/>
        <v>20357601.413741466</v>
      </c>
      <c r="BZ371" s="462">
        <f t="shared" si="429"/>
        <v>376.20252533603502</v>
      </c>
      <c r="CA371" s="467">
        <f t="shared" si="430"/>
        <v>101.376</v>
      </c>
      <c r="CB371" s="478">
        <v>1</v>
      </c>
      <c r="CC371" s="479">
        <v>900</v>
      </c>
      <c r="CD371" s="470">
        <f>Inputs!$D$40</f>
        <v>32</v>
      </c>
      <c r="CE371" s="461">
        <f>_xlfn.MINIFS($DE$70:$DE$149,$DJ$70:$DJ$149,"&gt;"&amp;Inputs!$H$82)</f>
        <v>5.3999999999999977</v>
      </c>
      <c r="CF371" s="461">
        <f>_xlfn.MINIFS($DE$156:$DE$235,$DJ$156:$DJ$235,"&gt;"&amp;Inputs!$H$82)</f>
        <v>0</v>
      </c>
      <c r="CG371" s="462">
        <f>_xlfn.MINIFS($DE$242:$DE$321,$DJ$242:$DJ$321,"&gt;"&amp;Inputs!$H$82)</f>
        <v>5.0999999999999979</v>
      </c>
      <c r="CH371" s="477">
        <f>IF(Inputs!$F$82&gt;MAX(Pile!$DJ$70:$DJ$149),999999,IF(Pile!CE371/(Pile!CC371/1000)&gt;50,999999,IF(Pile!CE371&lt;2,999999,Pile!CE371)))</f>
        <v>5.3999999999999977</v>
      </c>
      <c r="CI371" s="461">
        <f>IF(Inputs!CE34="Yes",999999,IF(Pile!CF371/(Pile!CC371/1000)&gt;50,999999,IF(Pile!CF371&lt;2,999999,Pile!CF371)))</f>
        <v>999999</v>
      </c>
      <c r="CJ371" s="461">
        <f>IF(Inputs!$F$82&gt;MAX(Pile!$DJ$242:$DJ$321),999999,IF(Pile!CG371/(Pile!CC371/1000)&gt;50,999999,IF(Pile!CG371&lt;2,999999,IF(CG371&gt;25,999999,Pile!CG371))))</f>
        <v>5.0999999999999979</v>
      </c>
      <c r="CK371" s="477">
        <f t="shared" si="431"/>
        <v>211.30661013441403</v>
      </c>
      <c r="CL371" s="461">
        <f t="shared" si="432"/>
        <v>20357601.413741466</v>
      </c>
      <c r="CM371" s="462">
        <f t="shared" si="433"/>
        <v>205.19935401583547</v>
      </c>
      <c r="CN371" s="467">
        <f t="shared" si="434"/>
        <v>101.376</v>
      </c>
      <c r="CO371" s="478">
        <v>1</v>
      </c>
      <c r="CP371" s="479">
        <v>900</v>
      </c>
      <c r="CQ371" s="470">
        <f>Inputs!$D$40</f>
        <v>32</v>
      </c>
      <c r="CR371" s="461">
        <f>_xlfn.MINIFS($DE$70:$DE$149,$DJ$70:$DJ$149,"&gt;"&amp;Inputs!$H$89)</f>
        <v>4.799999999999998</v>
      </c>
      <c r="CS371" s="461">
        <f>_xlfn.MINIFS($DE$156:$DE$235,$DJ$156:$DJ$235,"&gt;"&amp;Inputs!$H$89)</f>
        <v>0</v>
      </c>
      <c r="CT371" s="462">
        <f>_xlfn.MINIFS($DE$242:$DE$321,$DJ$242:$DJ$321,"&gt;"&amp;Inputs!$H$89)</f>
        <v>4.799999999999998</v>
      </c>
      <c r="CU371" s="477">
        <f>IF(Inputs!$F$89&gt;MAX(Pile!$DJ$70:$DJ$149),999999,IF(Pile!CR371/(Pile!CP371/1000)&gt;50,999999,IF(Pile!CR371&lt;2,999999,Pile!CR371)))</f>
        <v>4.799999999999998</v>
      </c>
      <c r="CV371" s="461">
        <f>IF(Inputs!CR34="Yes",999999,IF(Pile!CS371/(Pile!CP371/1000)&gt;50,999999,IF(Pile!CS371&lt;2,999999,Pile!CS371)))</f>
        <v>999999</v>
      </c>
      <c r="CW371" s="461">
        <f>IF(Inputs!$F$89&gt;MAX(Pile!$DJ$242:$DJ$321),999999,IF(Pile!CT371/(Pile!CP371/1000)&gt;50,999999,IF(Pile!CT371&lt;2,999999,IF(CT371&gt;25,999999,Pile!CT371))))</f>
        <v>4.799999999999998</v>
      </c>
      <c r="CX371" s="477">
        <f t="shared" si="435"/>
        <v>199.09209789725691</v>
      </c>
      <c r="CY371" s="461">
        <f t="shared" si="436"/>
        <v>20357601.413741466</v>
      </c>
      <c r="CZ371" s="462">
        <f t="shared" si="437"/>
        <v>199.09209789725691</v>
      </c>
      <c r="DA371" s="467">
        <f t="shared" si="438"/>
        <v>101.376</v>
      </c>
      <c r="DB371" s="478">
        <v>1</v>
      </c>
      <c r="DC371" s="479">
        <v>900</v>
      </c>
      <c r="DD371" s="470">
        <f>Inputs!$D$40</f>
        <v>32</v>
      </c>
      <c r="DE371" s="461">
        <f>_xlfn.MINIFS($DE$70:$DE$149,$DJ$70:$DJ$149,"&gt;"&amp;Inputs!$H$96)</f>
        <v>4.799999999999998</v>
      </c>
      <c r="DF371" s="461">
        <f>_xlfn.MINIFS($DE$156:$DE$235,$DJ$156:$DJ$235,"&gt;"&amp;Inputs!$H$96)</f>
        <v>0</v>
      </c>
      <c r="DG371" s="462">
        <f>_xlfn.MINIFS($DE$242:$DE$321,$DJ$242:$DJ$321,"&gt;"&amp;Inputs!$H$96)</f>
        <v>4.799999999999998</v>
      </c>
      <c r="DH371" s="477">
        <f>IF(Inputs!$F$96&gt;MAX(Pile!$DJ$70:$DJ$149),999999,IF(Pile!DE371/(Pile!DC371/1000)&gt;50,999999,IF(Pile!DE371&lt;2,999999,Pile!DE371)))</f>
        <v>4.799999999999998</v>
      </c>
      <c r="DI371" s="461">
        <f>IF(Inputs!DE34="Yes",999999,IF(Pile!DF371/(Pile!DC371/1000)&gt;50,999999,IF(Pile!DF371&lt;2,999999,Pile!DF371)))</f>
        <v>999999</v>
      </c>
      <c r="DJ371" s="461">
        <f>IF(Inputs!$F$96&gt;MAX(Pile!$DJ$242:$DJ$321),999999,IF(Pile!DG371/(Pile!DC371/1000)&gt;50,999999,IF(Pile!DG371&lt;2,999999,IF(DG371&gt;25,999999,Pile!DG371))))</f>
        <v>4.799999999999998</v>
      </c>
      <c r="DK371" s="477">
        <f t="shared" si="439"/>
        <v>199.09209789725691</v>
      </c>
      <c r="DL371" s="461">
        <f t="shared" si="440"/>
        <v>20357601.413741466</v>
      </c>
      <c r="DM371" s="462">
        <f t="shared" si="441"/>
        <v>199.09209789725691</v>
      </c>
      <c r="DN371" s="467">
        <f t="shared" si="442"/>
        <v>101.376</v>
      </c>
      <c r="DO371" s="478">
        <v>1</v>
      </c>
      <c r="DP371" s="479">
        <v>900</v>
      </c>
      <c r="DQ371" s="470">
        <f>Inputs!$D$40</f>
        <v>32</v>
      </c>
      <c r="DR371" s="461">
        <f>_xlfn.MINIFS($DE$70:$DE$149,$DJ$70:$DJ$149,"&gt;"&amp;Inputs!$H$103)</f>
        <v>3.8999999999999977</v>
      </c>
      <c r="DS371" s="461">
        <f>_xlfn.MINIFS($DE$156:$DE$235,$DJ$156:$DJ$235,"&gt;"&amp;Inputs!$H$103)</f>
        <v>0</v>
      </c>
      <c r="DT371" s="462">
        <f>_xlfn.MINIFS($DE$242:$DE$321,$DJ$242:$DJ$321,"&gt;"&amp;Inputs!$H$103)</f>
        <v>3.8999999999999977</v>
      </c>
      <c r="DU371" s="477">
        <f>IF(Inputs!$F$103&gt;MAX(Pile!$DJ$70:$DJ$149),999999,IF(Pile!DR371/(Pile!DP371/1000)&gt;50,999999,IF(Pile!DR371&lt;2,999999,Pile!DR371)))</f>
        <v>3.8999999999999977</v>
      </c>
      <c r="DV371" s="461">
        <f>IF(Inputs!DR34="Yes",999999,IF(Pile!DS371/(Pile!DP371/1000)&gt;50,999999,IF(Pile!DS371&lt;2,999999,Pile!DS371)))</f>
        <v>999999</v>
      </c>
      <c r="DW371" s="461">
        <f>IF(Inputs!$F$103&gt;MAX(Pile!$DJ$242:$DJ$321),999999,IF(Pile!DT371/(Pile!DP371/1000)&gt;50,999999,IF(Pile!DT371&lt;2,999999,IF(DT371&gt;25,999999,Pile!DT371))))</f>
        <v>3.8999999999999977</v>
      </c>
      <c r="DX371" s="477">
        <f t="shared" si="443"/>
        <v>180.77032954152122</v>
      </c>
      <c r="DY371" s="461">
        <f t="shared" si="444"/>
        <v>20357601.413741466</v>
      </c>
      <c r="DZ371" s="462">
        <f t="shared" si="445"/>
        <v>180.77032954152122</v>
      </c>
      <c r="EA371" s="467">
        <f t="shared" si="446"/>
        <v>101.376</v>
      </c>
      <c r="EB371" s="478">
        <v>1</v>
      </c>
      <c r="EC371" s="479">
        <v>900</v>
      </c>
      <c r="ED371" s="470">
        <f>Inputs!$D$40</f>
        <v>32</v>
      </c>
      <c r="EE371" s="461">
        <f>_xlfn.MINIFS($DE$70:$DE$149,$DJ$70:$DJ$149,"&gt;"&amp;Inputs!$H$110)</f>
        <v>4.1999999999999975</v>
      </c>
      <c r="EF371" s="461">
        <f>_xlfn.MINIFS($DE$156:$DE$235,$DJ$156:$DJ$235,"&gt;"&amp;Inputs!$H$110)</f>
        <v>0</v>
      </c>
      <c r="EG371" s="462">
        <f>_xlfn.MINIFS($DE$242:$DE$321,$DJ$242:$DJ$321,"&gt;"&amp;Inputs!$H$110)</f>
        <v>3.8999999999999977</v>
      </c>
      <c r="EH371" s="477">
        <f>IF(Inputs!$F$110&gt;MAX(Pile!$DJ$70:$DJ$149),999999,IF(Pile!EE371/(Pile!EC371/1000)&gt;50,999999,IF(Pile!EE371&lt;2,999999,Pile!EE371)))</f>
        <v>4.1999999999999975</v>
      </c>
      <c r="EI371" s="461">
        <f>IF(Inputs!EE34="Yes",999999,IF(Pile!EF371/(Pile!EC371/1000)&gt;50,999999,IF(Pile!EF371&lt;2,999999,Pile!EF371)))</f>
        <v>999999</v>
      </c>
      <c r="EJ371" s="461">
        <f>IF(Inputs!$F$110&gt;MAX(Pile!$DJ$242:$DJ$321),999999,IF(Pile!EG371/(Pile!EC371/1000)&gt;50,999999,IF(Pile!EG371&lt;2,999999,IF(EG371&gt;25,999999,Pile!EG371))))</f>
        <v>3.8999999999999977</v>
      </c>
      <c r="EK371" s="477">
        <f t="shared" si="447"/>
        <v>186.87758566009978</v>
      </c>
      <c r="EL371" s="461">
        <f t="shared" si="448"/>
        <v>20357601.413741466</v>
      </c>
      <c r="EM371" s="462">
        <f t="shared" si="449"/>
        <v>180.77032954152122</v>
      </c>
      <c r="EN371" s="467">
        <f t="shared" si="450"/>
        <v>101.376</v>
      </c>
      <c r="EO371" s="478">
        <v>1</v>
      </c>
      <c r="EP371" s="479">
        <v>900</v>
      </c>
      <c r="EQ371" s="470">
        <f>Inputs!$D$40</f>
        <v>32</v>
      </c>
      <c r="ER371" s="461">
        <f>_xlfn.MINIFS($DE$70:$DE$149,$DJ$70:$DJ$149,"&gt;"&amp;Inputs!$H$117)</f>
        <v>0.29999999999999982</v>
      </c>
      <c r="ES371" s="461">
        <f>_xlfn.MINIFS($DE$156:$DE$235,$DJ$156:$DJ$235,"&gt;"&amp;Inputs!$H$117)</f>
        <v>0</v>
      </c>
      <c r="ET371" s="462">
        <f>_xlfn.MINIFS($DE$242:$DE$321,$DJ$242:$DJ$321,"&gt;"&amp;Inputs!$H$117)</f>
        <v>0.29999999999999982</v>
      </c>
      <c r="EU371" s="477">
        <f>IF(Inputs!$F$117&gt;MAX(Pile!$DJ$70:$DJ$149),999999,IF(Pile!ER371/(Pile!EP371/1000)&gt;50,999999,IF(Pile!ER371&lt;2,999999,Pile!ER371)))</f>
        <v>999999</v>
      </c>
      <c r="EV371" s="461">
        <f>IF(Inputs!ER34="Yes",999999,IF(Inputs!$F$117&gt;MAX(Pile!$DG$156:$DG$235),999999,IF(Pile!ES371/(Pile!EP371/1000)&gt;50,999999,IF(Pile!ES371&lt;2,999999,Pile!ES371))))</f>
        <v>999999</v>
      </c>
      <c r="EW371" s="461">
        <f>IF(Inputs!$F$117&gt;MAX(Pile!$DJ$242:$DJ$321),999999,IF(Pile!ET371/(Pile!EP371/1000)&gt;50,999999,IF(Pile!ET371&lt;2,999999,IF(ET371&gt;25,999999,Pile!ET371))))</f>
        <v>999999</v>
      </c>
      <c r="EX371" s="477">
        <f t="shared" si="406"/>
        <v>20357500.037741467</v>
      </c>
      <c r="EY371" s="461">
        <f t="shared" si="407"/>
        <v>20357500.037741467</v>
      </c>
      <c r="EZ371" s="462">
        <f t="shared" si="408"/>
        <v>20357500.037741467</v>
      </c>
    </row>
    <row r="372" spans="2:156" ht="15">
      <c r="B372" s="475">
        <v>1</v>
      </c>
      <c r="C372" s="476">
        <v>1050</v>
      </c>
      <c r="D372" s="460">
        <f>Inputs!$D$40</f>
        <v>32</v>
      </c>
      <c r="E372" s="461">
        <f>_xlfn.MINIFS($DE$70:$DE$149,$DK$70:$DK$149,"&gt;"&amp;Inputs!$H$40)</f>
        <v>5.3999999999999977</v>
      </c>
      <c r="F372" s="461">
        <f>_xlfn.MINIFS($DE$156:$DE$235,$DK$156:$DK$235,"&gt;"&amp;Inputs!$H$40)</f>
        <v>0</v>
      </c>
      <c r="G372" s="462">
        <f>_xlfn.MINIFS($DE$242:$DE$321,$DK$242:$DK$321,"&gt;"&amp;Inputs!$H$40)</f>
        <v>5.0999999999999979</v>
      </c>
      <c r="H372" s="477">
        <f>IF(Inputs!$F$40&gt;MAX(Pile!$DK$70:$DK$149),999999,IF(Pile!E372/(Pile!C372/1000)&gt;50,999999,IF(Pile!E372&lt;2,999999,Pile!E372)))</f>
        <v>5.3999999999999977</v>
      </c>
      <c r="I372" s="461">
        <f>IF(Inputs!E35="Yes",999999,IF(Pile!F372/(Pile!C372/1000)&gt;50,999999,IF(Pile!F372&lt;2,999999,Pile!F372)))</f>
        <v>999999</v>
      </c>
      <c r="J372" s="461">
        <f>IF(Inputs!$F$40&gt;MAX(Pile!$DK$242:$DK$321),999999,IF(Pile!G372/(Pile!C372/1000)&gt;50,999999,IF(Pile!G372&lt;2,999999,IF(G372&gt;25,999999,Pile!G372))))</f>
        <v>5.0999999999999979</v>
      </c>
      <c r="K372" s="477">
        <f t="shared" si="409"/>
        <v>301.2597749051746</v>
      </c>
      <c r="L372" s="461">
        <f t="shared" si="410"/>
        <v>27708971.12781477</v>
      </c>
      <c r="M372" s="462">
        <f t="shared" si="411"/>
        <v>292.94712074377605</v>
      </c>
      <c r="N372" s="466">
        <f>Inputs!$D$40*D463</f>
        <v>151.63200000000001</v>
      </c>
      <c r="O372" s="475">
        <v>1</v>
      </c>
      <c r="P372" s="476">
        <v>1050</v>
      </c>
      <c r="Q372" s="460">
        <f>Inputs!$D$40</f>
        <v>32</v>
      </c>
      <c r="R372" s="461">
        <f>_xlfn.MINIFS($DE$70:$DE$149,$DK$70:$DK$149,"&gt;"&amp;Inputs!$H$47)</f>
        <v>5.3999999999999977</v>
      </c>
      <c r="S372" s="461">
        <f>_xlfn.MINIFS($DE$156:$DE$235,$DK$156:$DK$235,"&gt;"&amp;Inputs!$H$47)</f>
        <v>0</v>
      </c>
      <c r="T372" s="462">
        <f>_xlfn.MINIFS($DE$242:$DE$321,$DK$242:$DK$321,"&gt;"&amp;Inputs!$H$47)</f>
        <v>5.0999999999999979</v>
      </c>
      <c r="U372" s="477">
        <f>IF(Inputs!$F$47&gt;MAX(Pile!$DK$70:$DK$149),999999,IF(Pile!R372/(Pile!P372/1000)&gt;50,999999,IF(Pile!R372&lt;2,999999,Pile!R372)))</f>
        <v>5.3999999999999977</v>
      </c>
      <c r="V372" s="461">
        <f>IF(Inputs!R35="Yes",999999,IF(Pile!S372/(Pile!P372/1000)&gt;50,999999,IF(Pile!S372&lt;2,999999,Pile!S372)))</f>
        <v>999999</v>
      </c>
      <c r="W372" s="461">
        <f>IF(Inputs!$F$47&gt;MAX(Pile!$DK$242:$DK$321),999999,IF(Pile!T372/(Pile!P372/1000)&gt;50,999999,IF(Pile!T372&lt;2,999999,IF(T372&gt;25,999999,Pile!T372))))</f>
        <v>5.0999999999999979</v>
      </c>
      <c r="X372" s="477">
        <f t="shared" si="412"/>
        <v>301.2597749051746</v>
      </c>
      <c r="Y372" s="461">
        <f t="shared" si="413"/>
        <v>27708971.12781477</v>
      </c>
      <c r="Z372" s="462">
        <f t="shared" si="414"/>
        <v>292.94712074377605</v>
      </c>
      <c r="AA372" s="467">
        <f t="shared" si="369"/>
        <v>151.63200000000001</v>
      </c>
      <c r="AB372" s="478">
        <v>1</v>
      </c>
      <c r="AC372" s="479">
        <v>1050</v>
      </c>
      <c r="AD372" s="470">
        <f>Inputs!$D$40</f>
        <v>32</v>
      </c>
      <c r="AE372" s="461">
        <f>_xlfn.MINIFS($DE$70:$DE$149,$DK$70:$DK$149,"&gt;"&amp;Inputs!$H$54)</f>
        <v>5.0999999999999979</v>
      </c>
      <c r="AF372" s="461">
        <f>_xlfn.MINIFS($DE$156:$DE$235,$DK$156:$DK$235,"&gt;"&amp;Inputs!$H$54)</f>
        <v>0</v>
      </c>
      <c r="AG372" s="462">
        <f>_xlfn.MINIFS($DE$242:$DE$321,$DK$242:$DK$321,"&gt;"&amp;Inputs!$H$54)</f>
        <v>4.799999999999998</v>
      </c>
      <c r="AH372" s="477">
        <f>IF(Inputs!$F$54&gt;MAX(Pile!$DK$70:$DK$149),999999,IF(Pile!AE372/(Pile!AC372/1000)&gt;50,999999,IF(Pile!AE372&lt;2,999999,Pile!AE372)))</f>
        <v>5.0999999999999979</v>
      </c>
      <c r="AI372" s="461">
        <f>IF(Inputs!AE35="Yes",999999,IF(Pile!AF372/(Pile!AC372/1000)&gt;50,999999,IF(Pile!AF372&lt;2,999999,Pile!AF372)))</f>
        <v>999999</v>
      </c>
      <c r="AJ372" s="461">
        <f>IF(Inputs!$F$54&gt;MAX(Pile!$DK$242:$DK$321),999999,IF(Pile!AG372/(Pile!AC372/1000)&gt;50,999999,IF(Pile!AG372&lt;2,999999,IF(AG372&gt;25,999999,Pile!AG372))))</f>
        <v>4.799999999999998</v>
      </c>
      <c r="AK372" s="477">
        <f t="shared" si="415"/>
        <v>292.94712074377605</v>
      </c>
      <c r="AL372" s="461">
        <f t="shared" si="416"/>
        <v>27708971.12781477</v>
      </c>
      <c r="AM372" s="462">
        <f t="shared" si="417"/>
        <v>284.6344665823774</v>
      </c>
      <c r="AN372" s="471">
        <f t="shared" si="418"/>
        <v>151.63200000000001</v>
      </c>
      <c r="AO372" s="478">
        <v>1</v>
      </c>
      <c r="AP372" s="479">
        <v>1050</v>
      </c>
      <c r="AQ372" s="470">
        <f>Inputs!$D$40</f>
        <v>32</v>
      </c>
      <c r="AR372" s="461">
        <f>_xlfn.MINIFS($DE$70:$DE$149,$DK$70:$DK$149,"&gt;"&amp;Inputs!$H$61)</f>
        <v>5.0999999999999979</v>
      </c>
      <c r="AS372" s="461">
        <f>_xlfn.MINIFS($DE$156:$DE$235,$DK$156:$DK$235,"&gt;"&amp;Inputs!$H$61)</f>
        <v>0</v>
      </c>
      <c r="AT372" s="462">
        <f>_xlfn.MINIFS($DE$242:$DE$321,$DK$242:$DK$321,"&gt;"&amp;Inputs!$H$61)</f>
        <v>4.799999999999998</v>
      </c>
      <c r="AU372" s="477">
        <f>IF(Inputs!$F$61&gt;MAX(Pile!$DK$70:$DK$149),999999,IF(Pile!AR372/(Pile!AP372/1000)&gt;50,999999,IF(Pile!AR372&lt;2,999999,Pile!AR372)))</f>
        <v>5.0999999999999979</v>
      </c>
      <c r="AV372" s="461">
        <f>IF(Inputs!AR35="Yes",999999,IF(Pile!AS372/(Pile!AP372/1000)&gt;50,999999,IF(Pile!AS372&lt;2,999999,Pile!AS372)))</f>
        <v>999999</v>
      </c>
      <c r="AW372" s="461">
        <f>IF(Inputs!$F$61&gt;MAX(Pile!$DK$242:$DK$321),999999,IF(Pile!AT372/(Pile!AP372/1000)&gt;50,999999,IF(Pile!AT372&lt;2,999999,IF(AT372&gt;25,999999,Pile!AT372))))</f>
        <v>4.799999999999998</v>
      </c>
      <c r="AX372" s="477">
        <f t="shared" si="419"/>
        <v>292.94712074377605</v>
      </c>
      <c r="AY372" s="461">
        <f t="shared" si="420"/>
        <v>27708971.12781477</v>
      </c>
      <c r="AZ372" s="462">
        <f t="shared" si="421"/>
        <v>284.6344665823774</v>
      </c>
      <c r="BA372" s="467">
        <f t="shared" si="422"/>
        <v>151.63200000000001</v>
      </c>
      <c r="BB372" s="478">
        <v>1</v>
      </c>
      <c r="BC372" s="479">
        <v>1050</v>
      </c>
      <c r="BD372" s="470">
        <f>Inputs!$D$40</f>
        <v>32</v>
      </c>
      <c r="BE372" s="461">
        <f>_xlfn.MINIFS($DE$70:$DE$149,$DK$70:$DK$149,"&gt;"&amp;Inputs!$H$68)</f>
        <v>5.0999999999999979</v>
      </c>
      <c r="BF372" s="461">
        <f>_xlfn.MINIFS($DE$156:$DE$235,$DK$156:$DK$235,"&gt;"&amp;Inputs!$H$68)</f>
        <v>0</v>
      </c>
      <c r="BG372" s="462">
        <f>_xlfn.MINIFS($DE$242:$DE$321,$DK$242:$DK$321,"&gt;"&amp;Inputs!$H$68)</f>
        <v>4.799999999999998</v>
      </c>
      <c r="BH372" s="477">
        <f>IF(Inputs!$F$68&gt;MAX(Pile!$DK$70:$DK$149),999999,IF(Pile!BE372/(Pile!BC372/1000)&gt;50,999999,IF(Pile!BE372&lt;2,999999,Pile!BE372)))</f>
        <v>5.0999999999999979</v>
      </c>
      <c r="BI372" s="461">
        <f>IF(Inputs!BE35="Yes",999999,IF(Pile!BF372/(Pile!BC372/1000)&gt;50,999999,IF(Pile!BF372&lt;2,999999,Pile!BF372)))</f>
        <v>999999</v>
      </c>
      <c r="BJ372" s="461">
        <f>IF(Inputs!$F$68&gt;MAX(Pile!$DK$242:$DK$321),999999,IF(Pile!BG372/(Pile!BC372/1000)&gt;50,999999,IF(Pile!BG372&lt;2,999999,IF(BG372&gt;25,999999,Pile!BG372))))</f>
        <v>4.799999999999998</v>
      </c>
      <c r="BK372" s="477">
        <f t="shared" si="423"/>
        <v>292.94712074377605</v>
      </c>
      <c r="BL372" s="461">
        <f t="shared" si="424"/>
        <v>27708971.12781477</v>
      </c>
      <c r="BM372" s="462">
        <f t="shared" si="425"/>
        <v>284.6344665823774</v>
      </c>
      <c r="BN372" s="467">
        <f t="shared" si="426"/>
        <v>151.63200000000001</v>
      </c>
      <c r="BO372" s="478">
        <v>1</v>
      </c>
      <c r="BP372" s="479">
        <v>1050</v>
      </c>
      <c r="BQ372" s="470">
        <f>Inputs!$D$40</f>
        <v>32</v>
      </c>
      <c r="BR372" s="461">
        <f>_xlfn.MINIFS($DE$70:$DE$149,$DK$70:$DK$149,"&gt;"&amp;Inputs!$H$75)</f>
        <v>5.6999999999999975</v>
      </c>
      <c r="BS372" s="461">
        <f>_xlfn.MINIFS($DE$156:$DE$235,$DK$156:$DK$235,"&gt;"&amp;Inputs!$H$75)</f>
        <v>0</v>
      </c>
      <c r="BT372" s="462">
        <f>_xlfn.MINIFS($DE$242:$DE$321,$DK$242:$DK$321,"&gt;"&amp;Inputs!$H$75)</f>
        <v>5.6999999999999975</v>
      </c>
      <c r="BU372" s="477">
        <f>IF(Inputs!$F$75&gt;MAX(Pile!$DK$70:$DK$149),999999,IF(Pile!BR372/(Pile!BP372/1000)&gt;50,999999,IF(Pile!BR372&lt;2,999999,Pile!BR372)))</f>
        <v>5.6999999999999975</v>
      </c>
      <c r="BV372" s="461">
        <f>IF(Inputs!BR35="Yes",999999,IF(Pile!BS372/(Pile!BP372/1000)&gt;50,999999,IF(Pile!BS372&lt;2,999999,Pile!BS372)))</f>
        <v>999999</v>
      </c>
      <c r="BW372" s="461">
        <f>IF(Inputs!$F$75&gt;MAX(Pile!$DK$242:$DK$321),999999,IF(Pile!BT372/(Pile!BP372/1000)&gt;50,999999,IF(Pile!BT372&lt;2,999999,IF(BT372&gt;25,999999,Pile!BT372))))</f>
        <v>5.6999999999999975</v>
      </c>
      <c r="BX372" s="477">
        <f t="shared" si="427"/>
        <v>309.57242906657319</v>
      </c>
      <c r="BY372" s="461">
        <f t="shared" si="428"/>
        <v>27708971.12781477</v>
      </c>
      <c r="BZ372" s="462">
        <f t="shared" si="429"/>
        <v>309.57242906657319</v>
      </c>
      <c r="CA372" s="467">
        <f t="shared" si="430"/>
        <v>151.63200000000001</v>
      </c>
      <c r="CB372" s="478">
        <v>1</v>
      </c>
      <c r="CC372" s="479">
        <v>1050</v>
      </c>
      <c r="CD372" s="470">
        <f>Inputs!$D$40</f>
        <v>32</v>
      </c>
      <c r="CE372" s="461">
        <f>_xlfn.MINIFS($DE$70:$DE$149,$DK$70:$DK$149,"&gt;"&amp;Inputs!$H$82)</f>
        <v>4.1999999999999975</v>
      </c>
      <c r="CF372" s="461">
        <f>_xlfn.MINIFS($DE$156:$DE$235,$DK$156:$DK$235,"&gt;"&amp;Inputs!$H$82)</f>
        <v>0</v>
      </c>
      <c r="CG372" s="462">
        <f>_xlfn.MINIFS($DE$242:$DE$321,$DK$242:$DK$321,"&gt;"&amp;Inputs!$H$82)</f>
        <v>3.8999999999999977</v>
      </c>
      <c r="CH372" s="477">
        <f>IF(Inputs!$F$82&gt;MAX(Pile!$DK$70:$DK$149),999999,IF(Pile!CE372/(Pile!CC372/1000)&gt;50,999999,IF(Pile!CE372&lt;2,999999,Pile!CE372)))</f>
        <v>4.1999999999999975</v>
      </c>
      <c r="CI372" s="461">
        <f>IF(Inputs!CE35="Yes",999999,IF(Pile!CF372/(Pile!CC372/1000)&gt;50,999999,IF(Pile!CF372&lt;2,999999,Pile!CF372)))</f>
        <v>999999</v>
      </c>
      <c r="CJ372" s="461">
        <f>IF(Inputs!$F$82&gt;MAX(Pile!$DK$242:$DK$321),999999,IF(Pile!CG372/(Pile!CC372/1000)&gt;50,999999,IF(Pile!CG372&lt;2,999999,IF(CG372&gt;25,999999,Pile!CG372))))</f>
        <v>3.8999999999999977</v>
      </c>
      <c r="CK372" s="477">
        <f t="shared" si="431"/>
        <v>268.0091582595802</v>
      </c>
      <c r="CL372" s="461">
        <f t="shared" si="432"/>
        <v>27708971.12781477</v>
      </c>
      <c r="CM372" s="462">
        <f t="shared" si="433"/>
        <v>259.69650409818166</v>
      </c>
      <c r="CN372" s="467">
        <f t="shared" si="434"/>
        <v>151.63200000000001</v>
      </c>
      <c r="CO372" s="478">
        <v>1</v>
      </c>
      <c r="CP372" s="479">
        <v>1050</v>
      </c>
      <c r="CQ372" s="470">
        <f>Inputs!$D$40</f>
        <v>32</v>
      </c>
      <c r="CR372" s="461">
        <f>_xlfn.MINIFS($DE$70:$DE$149,$DK$70:$DK$149,"&gt;"&amp;Inputs!$H$89)</f>
        <v>3.8999999999999977</v>
      </c>
      <c r="CS372" s="461">
        <f>_xlfn.MINIFS($DE$156:$DE$235,$DK$156:$DK$235,"&gt;"&amp;Inputs!$H$89)</f>
        <v>0</v>
      </c>
      <c r="CT372" s="462">
        <f>_xlfn.MINIFS($DE$242:$DE$321,$DK$242:$DK$321,"&gt;"&amp;Inputs!$H$89)</f>
        <v>3.8999999999999977</v>
      </c>
      <c r="CU372" s="477">
        <f>IF(Inputs!$F$89&gt;MAX(Pile!$DK$70:$DK$149),999999,IF(Pile!CR372/(Pile!CP372/1000)&gt;50,999999,IF(Pile!CR372&lt;2,999999,Pile!CR372)))</f>
        <v>3.8999999999999977</v>
      </c>
      <c r="CV372" s="461">
        <f>IF(Inputs!CR35="Yes",999999,IF(Pile!CS372/(Pile!CP372/1000)&gt;50,999999,IF(Pile!CS372&lt;2,999999,Pile!CS372)))</f>
        <v>999999</v>
      </c>
      <c r="CW372" s="461">
        <f>IF(Inputs!$F$89&gt;MAX(Pile!$DK$242:$DK$321),999999,IF(Pile!CT372/(Pile!CP372/1000)&gt;50,999999,IF(Pile!CT372&lt;2,999999,IF(CT372&gt;25,999999,Pile!CT372))))</f>
        <v>3.8999999999999977</v>
      </c>
      <c r="CX372" s="477">
        <f t="shared" si="435"/>
        <v>259.69650409818166</v>
      </c>
      <c r="CY372" s="461">
        <f t="shared" si="436"/>
        <v>27708971.12781477</v>
      </c>
      <c r="CZ372" s="462">
        <f t="shared" si="437"/>
        <v>259.69650409818166</v>
      </c>
      <c r="DA372" s="467">
        <f t="shared" si="438"/>
        <v>151.63200000000001</v>
      </c>
      <c r="DB372" s="478">
        <v>1</v>
      </c>
      <c r="DC372" s="479">
        <v>1050</v>
      </c>
      <c r="DD372" s="470">
        <f>Inputs!$D$40</f>
        <v>32</v>
      </c>
      <c r="DE372" s="461">
        <f>_xlfn.MINIFS($DE$70:$DE$149,$DK$70:$DK$149,"&gt;"&amp;Inputs!$H$96)</f>
        <v>3.8999999999999977</v>
      </c>
      <c r="DF372" s="461">
        <f>_xlfn.MINIFS($DE$156:$DE$235,$DK$156:$DK$235,"&gt;"&amp;Inputs!$H$96)</f>
        <v>0</v>
      </c>
      <c r="DG372" s="462">
        <f>_xlfn.MINIFS($DE$242:$DE$321,$DK$242:$DK$321,"&gt;"&amp;Inputs!$H$96)</f>
        <v>3.8999999999999977</v>
      </c>
      <c r="DH372" s="477">
        <f>IF(Inputs!$F$96&gt;MAX(Pile!$DK$70:$DK$149),999999,IF(Pile!DE372/(Pile!DC372/1000)&gt;50,999999,IF(Pile!DE372&lt;2,999999,Pile!DE372)))</f>
        <v>3.8999999999999977</v>
      </c>
      <c r="DI372" s="461">
        <f>IF(Inputs!DE35="Yes",999999,IF(Pile!DF372/(Pile!DC372/1000)&gt;50,999999,IF(Pile!DF372&lt;2,999999,Pile!DF372)))</f>
        <v>999999</v>
      </c>
      <c r="DJ372" s="461">
        <f>IF(Inputs!$F$96&gt;MAX(Pile!$DK$242:$DK$321),999999,IF(Pile!DG372/(Pile!DC372/1000)&gt;50,999999,IF(Pile!DG372&lt;2,999999,IF(DG372&gt;25,999999,Pile!DG372))))</f>
        <v>3.8999999999999977</v>
      </c>
      <c r="DK372" s="477">
        <f t="shared" si="439"/>
        <v>259.69650409818166</v>
      </c>
      <c r="DL372" s="461">
        <f t="shared" si="440"/>
        <v>27708971.12781477</v>
      </c>
      <c r="DM372" s="462">
        <f t="shared" si="441"/>
        <v>259.69650409818166</v>
      </c>
      <c r="DN372" s="467">
        <f t="shared" si="442"/>
        <v>151.63200000000001</v>
      </c>
      <c r="DO372" s="478">
        <v>1</v>
      </c>
      <c r="DP372" s="479">
        <v>1050</v>
      </c>
      <c r="DQ372" s="470">
        <f>Inputs!$D$40</f>
        <v>32</v>
      </c>
      <c r="DR372" s="461">
        <f>_xlfn.MINIFS($DE$70:$DE$149,$DK$70:$DK$149,"&gt;"&amp;Inputs!$H$103)</f>
        <v>3.299999999999998</v>
      </c>
      <c r="DS372" s="461">
        <f>_xlfn.MINIFS($DE$156:$DE$235,$DK$156:$DK$235,"&gt;"&amp;Inputs!$H$103)</f>
        <v>0</v>
      </c>
      <c r="DT372" s="462">
        <f>_xlfn.MINIFS($DE$242:$DE$321,$DK$242:$DK$321,"&gt;"&amp;Inputs!$H$103)</f>
        <v>2.9999999999999982</v>
      </c>
      <c r="DU372" s="477">
        <f>IF(Inputs!$F$103&gt;MAX(Pile!$DK$70:$DK$149),999999,IF(Pile!DR372/(Pile!DP372/1000)&gt;50,999999,IF(Pile!DR372&lt;2,999999,Pile!DR372)))</f>
        <v>3.299999999999998</v>
      </c>
      <c r="DV372" s="461">
        <f>IF(Inputs!DR35="Yes",999999,IF(Pile!DS372/(Pile!DP372/1000)&gt;50,999999,IF(Pile!DS372&lt;2,999999,Pile!DS372)))</f>
        <v>999999</v>
      </c>
      <c r="DW372" s="461">
        <f>IF(Inputs!$F$103&gt;MAX(Pile!$DK$242:$DK$321),999999,IF(Pile!DT372/(Pile!DP372/1000)&gt;50,999999,IF(Pile!DT372&lt;2,999999,IF(DT372&gt;25,999999,Pile!DT372))))</f>
        <v>2.9999999999999982</v>
      </c>
      <c r="DX372" s="477">
        <f t="shared" si="443"/>
        <v>243.07119577538447</v>
      </c>
      <c r="DY372" s="461">
        <f t="shared" si="444"/>
        <v>27708971.12781477</v>
      </c>
      <c r="DZ372" s="462">
        <f t="shared" si="445"/>
        <v>234.75854161398587</v>
      </c>
      <c r="EA372" s="467">
        <f t="shared" si="446"/>
        <v>151.63200000000001</v>
      </c>
      <c r="EB372" s="478">
        <v>1</v>
      </c>
      <c r="EC372" s="479">
        <v>1050</v>
      </c>
      <c r="ED372" s="470">
        <f>Inputs!$D$40</f>
        <v>32</v>
      </c>
      <c r="EE372" s="461">
        <f>_xlfn.MINIFS($DE$70:$DE$149,$DK$70:$DK$149,"&gt;"&amp;Inputs!$H$110)</f>
        <v>3.299999999999998</v>
      </c>
      <c r="EF372" s="461">
        <f>_xlfn.MINIFS($DE$156:$DE$235,$DK$156:$DK$235,"&gt;"&amp;Inputs!$H$110)</f>
        <v>0</v>
      </c>
      <c r="EG372" s="462">
        <f>_xlfn.MINIFS($DE$242:$DE$321,$DK$242:$DK$321,"&gt;"&amp;Inputs!$H$110)</f>
        <v>2.9999999999999982</v>
      </c>
      <c r="EH372" s="477">
        <f>IF(Inputs!$F$110&gt;MAX(Pile!$DK$70:$DK$149),999999,IF(Pile!EE372/(Pile!EC372/1000)&gt;50,999999,IF(Pile!EE372&lt;2,999999,Pile!EE372)))</f>
        <v>3.299999999999998</v>
      </c>
      <c r="EI372" s="461">
        <f>IF(Inputs!EE35="Yes",999999,IF(Pile!EF372/(Pile!EC372/1000)&gt;50,999999,IF(Pile!EF372&lt;2,999999,Pile!EF372)))</f>
        <v>999999</v>
      </c>
      <c r="EJ372" s="461">
        <f>IF(Inputs!$F$110&gt;MAX(Pile!$DK$242:$DK$321),999999,IF(Pile!EG372/(Pile!EC372/1000)&gt;50,999999,IF(Pile!EG372&lt;2,999999,IF(EG372&gt;25,999999,Pile!EG372))))</f>
        <v>2.9999999999999982</v>
      </c>
      <c r="EK372" s="477">
        <f t="shared" si="447"/>
        <v>243.07119577538447</v>
      </c>
      <c r="EL372" s="461">
        <f t="shared" si="448"/>
        <v>27708971.12781477</v>
      </c>
      <c r="EM372" s="462">
        <f t="shared" si="449"/>
        <v>234.75854161398587</v>
      </c>
      <c r="EN372" s="467">
        <f t="shared" si="450"/>
        <v>151.63200000000001</v>
      </c>
      <c r="EO372" s="478">
        <v>1</v>
      </c>
      <c r="EP372" s="479">
        <v>1050</v>
      </c>
      <c r="EQ372" s="470">
        <f>Inputs!$D$40</f>
        <v>32</v>
      </c>
      <c r="ER372" s="461">
        <f>_xlfn.MINIFS($DE$70:$DE$149,$DK$70:$DK$149,"&gt;"&amp;Inputs!$H$117)</f>
        <v>0.29999999999999982</v>
      </c>
      <c r="ES372" s="461">
        <f>_xlfn.MINIFS($DE$156:$DE$235,$DK$156:$DK$235,"&gt;"&amp;Inputs!$H$117)</f>
        <v>0</v>
      </c>
      <c r="ET372" s="462">
        <f>_xlfn.MINIFS($DE$242:$DE$321,$DK$242:$DK$321,"&gt;"&amp;Inputs!$H$117)</f>
        <v>0.29999999999999982</v>
      </c>
      <c r="EU372" s="477">
        <f>IF(Inputs!$F$117&gt;MAX(Pile!$DK$70:$DK$149),999999,IF(Pile!ER372/(Pile!EP372/1000)&gt;50,999999,IF(Pile!ER372&lt;2,999999,Pile!ER372)))</f>
        <v>999999</v>
      </c>
      <c r="EV372" s="461">
        <f>IF(Inputs!ER35="Yes",999999,IF(Inputs!$F$117&gt;MAX(Pile!$DG$156:$DG$235),999999,IF(Pile!ES372/(Pile!EP372/1000)&gt;50,999999,IF(Pile!ES372&lt;2,999999,Pile!ES372))))</f>
        <v>999999</v>
      </c>
      <c r="EW372" s="461">
        <f>IF(Inputs!$F$117&gt;MAX(Pile!$DK$242:$DK$321),999999,IF(Pile!ET372/(Pile!EP372/1000)&gt;50,999999,IF(Pile!ET372&lt;2,999999,IF(ET372&gt;25,999999,Pile!ET372))))</f>
        <v>999999</v>
      </c>
      <c r="EX372" s="477">
        <f t="shared" si="406"/>
        <v>27708819.49581477</v>
      </c>
      <c r="EY372" s="461">
        <f t="shared" si="407"/>
        <v>27708819.49581477</v>
      </c>
      <c r="EZ372" s="462">
        <f t="shared" si="408"/>
        <v>27708819.49581477</v>
      </c>
    </row>
    <row r="373" spans="2:156" ht="15.75" thickBot="1">
      <c r="B373" s="475">
        <v>1</v>
      </c>
      <c r="C373" s="483">
        <v>1200</v>
      </c>
      <c r="D373" s="460">
        <f>Inputs!$D$40</f>
        <v>32</v>
      </c>
      <c r="E373" s="486">
        <f>_xlfn.MINIFS($DE$70:$DE$149,$DL$70:$DL$149,"&gt;"&amp;Inputs!$H$40)</f>
        <v>4.4999999999999982</v>
      </c>
      <c r="F373" s="486">
        <f>_xlfn.MINIFS($DE$156:$DE$235,$DL$156:$DL$235,"&gt;"&amp;Inputs!$H$40)</f>
        <v>0</v>
      </c>
      <c r="G373" s="484">
        <f>_xlfn.MINIFS($DE$242:$DE$321,$DL$242:$DL$321,"&gt;"&amp;Inputs!$H$40)</f>
        <v>4.1999999999999975</v>
      </c>
      <c r="H373" s="485">
        <f>IF(Inputs!$F$40&gt;MAX(Pile!$DL$70:$DL$149),999999,IF(Pile!E373/(Pile!C373/1000)&gt;50,999999,IF(Pile!E373&lt;2,999999,Pile!E373)))</f>
        <v>4.4999999999999982</v>
      </c>
      <c r="I373" s="486">
        <f>IF(Inputs!E36="Yes",999999,IF(Pile!F373/(Pile!C373/1000)&gt;50,999999,IF(Pile!F373&lt;2,999999,Pile!F373)))</f>
        <v>999999</v>
      </c>
      <c r="J373" s="486">
        <f>IF(Inputs!$F$40&gt;MAX(Pile!$DL$242:$DL$321),999999,IF(Pile!G373/(Pile!C373/1000)&gt;50,999999,IF(Pile!G373&lt;2,999999,IF(G373&gt;25,999999,Pile!G373))))</f>
        <v>4.1999999999999975</v>
      </c>
      <c r="K373" s="485">
        <f t="shared" si="409"/>
        <v>378.86016316209481</v>
      </c>
      <c r="L373" s="486">
        <f t="shared" si="410"/>
        <v>36191327.178207047</v>
      </c>
      <c r="M373" s="484">
        <f t="shared" si="411"/>
        <v>368.00281895128848</v>
      </c>
      <c r="N373" s="466">
        <f>Inputs!$D$40*D464</f>
        <v>216</v>
      </c>
      <c r="O373" s="475">
        <v>1</v>
      </c>
      <c r="P373" s="483">
        <v>1200</v>
      </c>
      <c r="Q373" s="460">
        <f>Inputs!$D$40</f>
        <v>32</v>
      </c>
      <c r="R373" s="486">
        <f>_xlfn.MINIFS($DE$70:$DE$149,$DL$70:$DL$149,"&gt;"&amp;Inputs!$H$47)</f>
        <v>4.1999999999999975</v>
      </c>
      <c r="S373" s="486">
        <f>_xlfn.MINIFS($DE$156:$DE$235,$DL$156:$DL$235,"&gt;"&amp;Inputs!$H$47)</f>
        <v>0</v>
      </c>
      <c r="T373" s="484">
        <f>_xlfn.MINIFS($DE$242:$DE$321,$DL$242:$DL$321,"&gt;"&amp;Inputs!$H$47)</f>
        <v>4.1999999999999975</v>
      </c>
      <c r="U373" s="485">
        <f>IF(Inputs!$F$47&gt;MAX(Pile!$DL$70:$DL$149),999999,IF(Pile!R373/(Pile!P373/1000)&gt;50,999999,IF(Pile!R373&lt;2,999999,Pile!R373)))</f>
        <v>4.1999999999999975</v>
      </c>
      <c r="V373" s="486">
        <f>IF(Inputs!R36="Yes",999999,IF(Pile!S373/(Pile!P373/1000)&gt;50,999999,IF(Pile!S373&lt;2,999999,Pile!S373)))</f>
        <v>999999</v>
      </c>
      <c r="W373" s="486">
        <f>IF(Inputs!$F$47&gt;MAX(Pile!$DL$242:$DL$321),999999,IF(Pile!T373/(Pile!P373/1000)&gt;50,999999,IF(Pile!T373&lt;2,999999,IF(T373&gt;25,999999,Pile!T373))))</f>
        <v>4.1999999999999975</v>
      </c>
      <c r="X373" s="485">
        <f t="shared" si="412"/>
        <v>368.00281895128848</v>
      </c>
      <c r="Y373" s="486">
        <f t="shared" si="413"/>
        <v>36191327.178207047</v>
      </c>
      <c r="Z373" s="484">
        <f t="shared" si="414"/>
        <v>368.00281895128848</v>
      </c>
      <c r="AA373" s="467">
        <f t="shared" si="369"/>
        <v>216</v>
      </c>
      <c r="AB373" s="478">
        <v>1</v>
      </c>
      <c r="AC373" s="487">
        <v>1200</v>
      </c>
      <c r="AD373" s="470">
        <f>Inputs!$D$40</f>
        <v>32</v>
      </c>
      <c r="AE373" s="461">
        <f>_xlfn.MINIFS($DE$70:$DE$149,$DL$70:$DL$149,"&gt;"&amp;Inputs!$H$54)</f>
        <v>4.1999999999999975</v>
      </c>
      <c r="AF373" s="461">
        <f>_xlfn.MINIFS($DE$156:$DE$235,$DL$156:$DL$235,"&gt;"&amp;Inputs!$H$54)</f>
        <v>0</v>
      </c>
      <c r="AG373" s="484">
        <f>_xlfn.MINIFS($DE$242:$DE$321,$DL$242:$DL$321,"&gt;"&amp;Inputs!$H$54)</f>
        <v>4.1999999999999975</v>
      </c>
      <c r="AH373" s="485">
        <f>IF(Inputs!$F$54&gt;MAX(Pile!$DL$70:$DL$149),999999,IF(Pile!AE373/(Pile!AC373/1000)&gt;50,999999,IF(Pile!AE373&lt;2,999999,Pile!AE373)))</f>
        <v>4.1999999999999975</v>
      </c>
      <c r="AI373" s="486">
        <f>IF(Inputs!AE36="Yes",999999,IF(Pile!AF373/(Pile!AC373/1000)&gt;50,999999,IF(Pile!AF373&lt;2,999999,Pile!AF373)))</f>
        <v>999999</v>
      </c>
      <c r="AJ373" s="486">
        <f>IF(Inputs!$F$54&gt;MAX(Pile!$DL$242:$DL$321),999999,IF(Pile!AG373/(Pile!AC373/1000)&gt;50,999999,IF(Pile!AG373&lt;2,999999,IF(AG373&gt;25,999999,Pile!AG373))))</f>
        <v>4.1999999999999975</v>
      </c>
      <c r="AK373" s="485">
        <f t="shared" si="415"/>
        <v>368.00281895128848</v>
      </c>
      <c r="AL373" s="486">
        <f t="shared" si="416"/>
        <v>36191327.178207047</v>
      </c>
      <c r="AM373" s="484">
        <f t="shared" si="417"/>
        <v>368.00281895128848</v>
      </c>
      <c r="AN373" s="471">
        <f t="shared" si="418"/>
        <v>216</v>
      </c>
      <c r="AO373" s="478">
        <v>1</v>
      </c>
      <c r="AP373" s="487">
        <v>1200</v>
      </c>
      <c r="AQ373" s="470">
        <f>Inputs!$D$40</f>
        <v>32</v>
      </c>
      <c r="AR373" s="486">
        <f>_xlfn.MINIFS($DE$70:$DE$149,$DL$70:$DL$149,"&gt;"&amp;Inputs!$H$61)</f>
        <v>4.1999999999999975</v>
      </c>
      <c r="AS373" s="486">
        <f>_xlfn.MINIFS($DE$156:$DE$235,$DL$156:$DL$235,"&gt;"&amp;Inputs!$H$61)</f>
        <v>0</v>
      </c>
      <c r="AT373" s="484">
        <f>_xlfn.MINIFS($DE$242:$DE$321,$DL$242:$DL$321,"&gt;"&amp;Inputs!$H$61)</f>
        <v>3.8999999999999977</v>
      </c>
      <c r="AU373" s="485">
        <f>IF(Inputs!$F$61&gt;MAX(Pile!$DL$70:$DL$149),999999,IF(Pile!AR373/(Pile!AP373/1000)&gt;50,999999,IF(Pile!AR373&lt;2,999999,Pile!AR373)))</f>
        <v>4.1999999999999975</v>
      </c>
      <c r="AV373" s="486">
        <f>IF(Inputs!AR36="Yes",999999,IF(Pile!AS373/(Pile!AP373/1000)&gt;50,999999,IF(Pile!AS373&lt;2,999999,Pile!AS373)))</f>
        <v>999999</v>
      </c>
      <c r="AW373" s="486">
        <f>IF(Inputs!$F$61&gt;MAX(Pile!$DL$242:$DL$321),999999,IF(Pile!AT373/(Pile!AP373/1000)&gt;50,999999,IF(Pile!AT373&lt;2,999999,IF(AT373&gt;25,999999,Pile!AT373))))</f>
        <v>3.8999999999999977</v>
      </c>
      <c r="AX373" s="485">
        <f t="shared" si="419"/>
        <v>368.00281895128848</v>
      </c>
      <c r="AY373" s="486">
        <f t="shared" si="420"/>
        <v>36191327.178207047</v>
      </c>
      <c r="AZ373" s="484">
        <f t="shared" si="421"/>
        <v>357.14547474048214</v>
      </c>
      <c r="BA373" s="467">
        <f t="shared" si="422"/>
        <v>216</v>
      </c>
      <c r="BB373" s="478">
        <v>1</v>
      </c>
      <c r="BC373" s="487">
        <v>1200</v>
      </c>
      <c r="BD373" s="470">
        <f>Inputs!$D$40</f>
        <v>32</v>
      </c>
      <c r="BE373" s="486">
        <f>_xlfn.MINIFS($DE$70:$DE$149,$DL$70:$DL$149,"&gt;"&amp;Inputs!$H$68)</f>
        <v>4.1999999999999975</v>
      </c>
      <c r="BF373" s="486">
        <f>_xlfn.MINIFS($DE$156:$DE$235,$DL$156:$DL$235,"&gt;"&amp;Inputs!$H$68)</f>
        <v>0</v>
      </c>
      <c r="BG373" s="484">
        <f>_xlfn.MINIFS($DE$242:$DE$321,$DL$242:$DL$321,"&gt;"&amp;Inputs!$H$68)</f>
        <v>4.1999999999999975</v>
      </c>
      <c r="BH373" s="485">
        <f>IF(Inputs!$F$68&gt;MAX(Pile!$DL$70:$DL$149),999999,IF(Pile!BE373/(Pile!BC373/1000)&gt;50,999999,IF(Pile!BE373&lt;2,999999,Pile!BE373)))</f>
        <v>4.1999999999999975</v>
      </c>
      <c r="BI373" s="486">
        <f>IF(Inputs!BE36="Yes",999999,IF(Pile!BF373/(Pile!BC373/1000)&gt;50,999999,IF(Pile!BF373&lt;2,999999,Pile!BF373)))</f>
        <v>999999</v>
      </c>
      <c r="BJ373" s="486">
        <f>IF(Inputs!$F$68&gt;MAX(Pile!$DL$242:$DL$321),999999,IF(Pile!BG373/(Pile!BC373/1000)&gt;50,999999,IF(Pile!BG373&lt;2,999999,IF(BG373&gt;25,999999,Pile!BG373))))</f>
        <v>4.1999999999999975</v>
      </c>
      <c r="BK373" s="485">
        <f t="shared" si="423"/>
        <v>368.00281895128848</v>
      </c>
      <c r="BL373" s="486">
        <f t="shared" si="424"/>
        <v>36191327.178207047</v>
      </c>
      <c r="BM373" s="484">
        <f t="shared" si="425"/>
        <v>368.00281895128848</v>
      </c>
      <c r="BN373" s="467">
        <f t="shared" si="426"/>
        <v>216</v>
      </c>
      <c r="BO373" s="478">
        <v>1</v>
      </c>
      <c r="BP373" s="487">
        <v>1200</v>
      </c>
      <c r="BQ373" s="470">
        <f>Inputs!$D$40</f>
        <v>32</v>
      </c>
      <c r="BR373" s="486">
        <f>_xlfn.MINIFS($DE$70:$DE$149,$DL$70:$DL$149,"&gt;"&amp;Inputs!$H$75)</f>
        <v>4.799999999999998</v>
      </c>
      <c r="BS373" s="486">
        <f>_xlfn.MINIFS($DE$156:$DE$235,$DL$156:$DL$235,"&gt;"&amp;Inputs!$H$75)</f>
        <v>0</v>
      </c>
      <c r="BT373" s="484">
        <f>_xlfn.MINIFS($DE$242:$DE$321,$DL$242:$DL$321,"&gt;"&amp;Inputs!$H$75)</f>
        <v>4.4999999999999982</v>
      </c>
      <c r="BU373" s="485">
        <f>IF(Inputs!$F$75&gt;MAX(Pile!$DL$70:$DL$149),999999,IF(Pile!BR373/(Pile!BP373/1000)&gt;50,999999,IF(Pile!BR373&lt;2,999999,Pile!BR373)))</f>
        <v>4.799999999999998</v>
      </c>
      <c r="BV373" s="486">
        <f>IF(Inputs!BR36="Yes",999999,IF(Pile!BS373/(Pile!BP373/1000)&gt;50,999999,IF(Pile!BS373&lt;2,999999,Pile!BS373)))</f>
        <v>999999</v>
      </c>
      <c r="BW373" s="486">
        <f>IF(Inputs!$F$75&gt;MAX(Pile!$DL$242:$DL$321),999999,IF(Pile!BT373/(Pile!BP373/1000)&gt;50,999999,IF(Pile!BT373&lt;2,999999,IF(BT373&gt;25,999999,Pile!BT373))))</f>
        <v>4.4999999999999982</v>
      </c>
      <c r="BX373" s="485">
        <f t="shared" si="427"/>
        <v>389.71750737290114</v>
      </c>
      <c r="BY373" s="486">
        <f t="shared" si="428"/>
        <v>36191327.178207047</v>
      </c>
      <c r="BZ373" s="484">
        <f t="shared" si="429"/>
        <v>378.86016316209481</v>
      </c>
      <c r="CA373" s="467">
        <f t="shared" si="430"/>
        <v>216</v>
      </c>
      <c r="CB373" s="478">
        <v>1</v>
      </c>
      <c r="CC373" s="487">
        <v>1200</v>
      </c>
      <c r="CD373" s="470">
        <f>Inputs!$D$40</f>
        <v>32</v>
      </c>
      <c r="CE373" s="486">
        <f>_xlfn.MINIFS($DE$70:$DE$149,$DL$70:$DL$149,"&gt;"&amp;Inputs!$H$82)</f>
        <v>3.299999999999998</v>
      </c>
      <c r="CF373" s="486">
        <f>_xlfn.MINIFS($DE$156:$DE$235,$DL$156:$DL$235,"&gt;"&amp;Inputs!$H$82)</f>
        <v>0</v>
      </c>
      <c r="CG373" s="484">
        <f>_xlfn.MINIFS($DE$242:$DE$321,$DL$242:$DL$321,"&gt;"&amp;Inputs!$H$82)</f>
        <v>3.299999999999998</v>
      </c>
      <c r="CH373" s="485">
        <f>IF(Inputs!$F$82&gt;MAX(Pile!$DL$70:$DL$149),999999,IF(Pile!CE373/(Pile!CC373/1000)&gt;50,999999,IF(Pile!CE373&lt;2,999999,Pile!CE373)))</f>
        <v>3.299999999999998</v>
      </c>
      <c r="CI373" s="486">
        <f>IF(Inputs!CE36="Yes",999999,IF(Pile!CF373/(Pile!CC373/1000)&gt;50,999999,IF(Pile!CF373&lt;2,999999,Pile!CF373)))</f>
        <v>999999</v>
      </c>
      <c r="CJ373" s="486">
        <f>IF(Inputs!$F$82&gt;MAX(Pile!$DL$242:$DL$321),999999,IF(Pile!CG373/(Pile!CC373/1000)&gt;50,999999,IF(Pile!CG373&lt;2,999999,IF(CG373&gt;25,999999,Pile!CG373))))</f>
        <v>3.299999999999998</v>
      </c>
      <c r="CK373" s="485">
        <f t="shared" si="431"/>
        <v>335.43078631886954</v>
      </c>
      <c r="CL373" s="486">
        <f t="shared" si="432"/>
        <v>36191327.178207047</v>
      </c>
      <c r="CM373" s="484">
        <f t="shared" si="433"/>
        <v>335.43078631886954</v>
      </c>
      <c r="CN373" s="467">
        <f t="shared" si="434"/>
        <v>216</v>
      </c>
      <c r="CO373" s="478">
        <v>1</v>
      </c>
      <c r="CP373" s="487">
        <v>1200</v>
      </c>
      <c r="CQ373" s="470">
        <f>Inputs!$D$40</f>
        <v>32</v>
      </c>
      <c r="CR373" s="486">
        <f>_xlfn.MINIFS($DE$70:$DE$149,$DL$70:$DL$149,"&gt;"&amp;Inputs!$H$89)</f>
        <v>3.299999999999998</v>
      </c>
      <c r="CS373" s="486">
        <f>_xlfn.MINIFS($DE$156:$DE$235,$DL$156:$DL$235,"&gt;"&amp;Inputs!$H$89)</f>
        <v>0</v>
      </c>
      <c r="CT373" s="484">
        <f>_xlfn.MINIFS($DE$242:$DE$321,$DL$242:$DL$321,"&gt;"&amp;Inputs!$H$89)</f>
        <v>2.9999999999999982</v>
      </c>
      <c r="CU373" s="485">
        <f>IF(Inputs!$F$89&gt;MAX(Pile!$DL$70:$DL$149),999999,IF(Pile!CR373/(Pile!CP373/1000)&gt;50,999999,IF(Pile!CR373&lt;2,999999,Pile!CR373)))</f>
        <v>3.299999999999998</v>
      </c>
      <c r="CV373" s="486">
        <f>IF(Inputs!CR36="Yes",999999,IF(Pile!CS373/(Pile!CP373/1000)&gt;50,999999,IF(Pile!CS373&lt;2,999999,Pile!CS373)))</f>
        <v>999999</v>
      </c>
      <c r="CW373" s="486">
        <f>IF(Inputs!$F$89&gt;MAX(Pile!$DL$242:$DL$321),999999,IF(Pile!CT373/(Pile!CP373/1000)&gt;50,999999,IF(Pile!CT373&lt;2,999999,IF(CT373&gt;25,999999,Pile!CT373))))</f>
        <v>2.9999999999999982</v>
      </c>
      <c r="CX373" s="485">
        <f t="shared" si="435"/>
        <v>335.43078631886954</v>
      </c>
      <c r="CY373" s="486">
        <f t="shared" si="436"/>
        <v>36191327.178207047</v>
      </c>
      <c r="CZ373" s="484">
        <f t="shared" si="437"/>
        <v>324.5734421080632</v>
      </c>
      <c r="DA373" s="467">
        <f t="shared" si="438"/>
        <v>216</v>
      </c>
      <c r="DB373" s="478">
        <v>1</v>
      </c>
      <c r="DC373" s="487">
        <v>1200</v>
      </c>
      <c r="DD373" s="470">
        <f>Inputs!$D$40</f>
        <v>32</v>
      </c>
      <c r="DE373" s="486">
        <f>_xlfn.MINIFS($DE$70:$DE$149,$DL$70:$DL$149,"&gt;"&amp;Inputs!$H$96)</f>
        <v>3.299999999999998</v>
      </c>
      <c r="DF373" s="486">
        <f>_xlfn.MINIFS($DE$156:$DE$235,$DL$156:$DL$235,"&gt;"&amp;Inputs!$H$96)</f>
        <v>0</v>
      </c>
      <c r="DG373" s="484">
        <f>_xlfn.MINIFS($DE$242:$DE$321,$DL$242:$DL$321,"&gt;"&amp;Inputs!$H$96)</f>
        <v>2.9999999999999982</v>
      </c>
      <c r="DH373" s="485">
        <f>IF(Inputs!$F$96&gt;MAX(Pile!$DL$70:$DL$149),999999,IF(Pile!DE373/(Pile!DC373/1000)&gt;50,999999,IF(Pile!DE373&lt;2,999999,Pile!DE373)))</f>
        <v>3.299999999999998</v>
      </c>
      <c r="DI373" s="486">
        <f>IF(Inputs!DE36="Yes",999999,IF(Pile!DF373/(Pile!DC373/1000)&gt;50,999999,IF(Pile!DF373&lt;2,999999,Pile!DF373)))</f>
        <v>999999</v>
      </c>
      <c r="DJ373" s="486">
        <f>IF(Inputs!$F$96&gt;MAX(Pile!$DL$242:$DL$321),999999,IF(Pile!DG373/(Pile!DC373/1000)&gt;50,999999,IF(Pile!DG373&lt;2,999999,IF(DG373&gt;25,999999,Pile!DG373))))</f>
        <v>2.9999999999999982</v>
      </c>
      <c r="DK373" s="485">
        <f t="shared" si="439"/>
        <v>335.43078631886954</v>
      </c>
      <c r="DL373" s="486">
        <f t="shared" si="440"/>
        <v>36191327.178207047</v>
      </c>
      <c r="DM373" s="484">
        <f t="shared" si="441"/>
        <v>324.5734421080632</v>
      </c>
      <c r="DN373" s="467">
        <f t="shared" si="442"/>
        <v>216</v>
      </c>
      <c r="DO373" s="478">
        <v>1</v>
      </c>
      <c r="DP373" s="487">
        <v>1200</v>
      </c>
      <c r="DQ373" s="470">
        <f>Inputs!$D$40</f>
        <v>32</v>
      </c>
      <c r="DR373" s="486">
        <f>_xlfn.MINIFS($DE$70:$DE$149,$DL$70:$DL$149,"&gt;"&amp;Inputs!$H$103)</f>
        <v>2.6999999999999984</v>
      </c>
      <c r="DS373" s="486">
        <f>_xlfn.MINIFS($DE$156:$DE$235,$DL$156:$DL$235,"&gt;"&amp;Inputs!$H$103)</f>
        <v>0</v>
      </c>
      <c r="DT373" s="484">
        <f>_xlfn.MINIFS($DE$242:$DE$321,$DL$242:$DL$321,"&gt;"&amp;Inputs!$H$103)</f>
        <v>2.3999999999999986</v>
      </c>
      <c r="DU373" s="485">
        <f>IF(Inputs!$F$103&gt;MAX(Pile!$DL$70:$DL$149),999999,IF(Pile!DR373/(Pile!DP373/1000)&gt;50,999999,IF(Pile!DR373&lt;2,999999,Pile!DR373)))</f>
        <v>2.6999999999999984</v>
      </c>
      <c r="DV373" s="486">
        <f>IF(Inputs!DR36="Yes",999999,IF(Pile!DS373/(Pile!DP373/1000)&gt;50,999999,IF(Pile!DS373&lt;2,999999,Pile!DS373)))</f>
        <v>999999</v>
      </c>
      <c r="DW373" s="486">
        <f>IF(Inputs!$F$103&gt;MAX(Pile!$DL$242:$DL$321),999999,IF(Pile!DT373/(Pile!DP373/1000)&gt;50,999999,IF(Pile!DT373&lt;2,999999,IF(DT373&gt;25,999999,Pile!DT373))))</f>
        <v>2.3999999999999986</v>
      </c>
      <c r="DX373" s="485">
        <f t="shared" si="443"/>
        <v>313.71609789725687</v>
      </c>
      <c r="DY373" s="486">
        <f t="shared" si="444"/>
        <v>36191327.178207047</v>
      </c>
      <c r="DZ373" s="484">
        <f t="shared" si="445"/>
        <v>302.85875368645054</v>
      </c>
      <c r="EA373" s="467">
        <f t="shared" si="446"/>
        <v>216</v>
      </c>
      <c r="EB373" s="478">
        <v>1</v>
      </c>
      <c r="EC373" s="487">
        <v>1200</v>
      </c>
      <c r="ED373" s="470">
        <f>Inputs!$D$40</f>
        <v>32</v>
      </c>
      <c r="EE373" s="486">
        <f>_xlfn.MINIFS($DE$70:$DE$149,$DL$70:$DL$149,"&gt;"&amp;Inputs!$H$110)</f>
        <v>2.6999999999999984</v>
      </c>
      <c r="EF373" s="486">
        <f>_xlfn.MINIFS($DE$156:$DE$235,$DL$156:$DL$235,"&gt;"&amp;Inputs!$H$110)</f>
        <v>0</v>
      </c>
      <c r="EG373" s="484">
        <f>_xlfn.MINIFS($DE$242:$DE$321,$DL$242:$DL$321,"&gt;"&amp;Inputs!$H$110)</f>
        <v>2.6999999999999984</v>
      </c>
      <c r="EH373" s="485">
        <f>IF(Inputs!$F$110&gt;MAX(Pile!$DL$70:$DL$149),999999,IF(Pile!EE373/(Pile!EC373/1000)&gt;50,999999,IF(Pile!EE373&lt;2,999999,Pile!EE373)))</f>
        <v>2.6999999999999984</v>
      </c>
      <c r="EI373" s="486">
        <f>IF(Inputs!EE36="Yes",999999,IF(Pile!EF373/(Pile!EC373/1000)&gt;50,999999,IF(Pile!EF373&lt;2,999999,Pile!EF373)))</f>
        <v>999999</v>
      </c>
      <c r="EJ373" s="486">
        <f>IF(Inputs!$F$110&gt;MAX(Pile!$DL$242:$DL$321),999999,IF(Pile!EG373/(Pile!EC373/1000)&gt;50,999999,IF(Pile!EG373&lt;2,999999,IF(EG373&gt;25,999999,Pile!EG373))))</f>
        <v>2.6999999999999984</v>
      </c>
      <c r="EK373" s="485">
        <f t="shared" si="447"/>
        <v>313.71609789725687</v>
      </c>
      <c r="EL373" s="486">
        <f t="shared" si="448"/>
        <v>36191327.178207047</v>
      </c>
      <c r="EM373" s="484">
        <f t="shared" si="449"/>
        <v>313.71609789725687</v>
      </c>
      <c r="EN373" s="467">
        <f t="shared" si="450"/>
        <v>216</v>
      </c>
      <c r="EO373" s="478">
        <v>1</v>
      </c>
      <c r="EP373" s="487">
        <v>1200</v>
      </c>
      <c r="EQ373" s="470">
        <f>Inputs!$D$40</f>
        <v>32</v>
      </c>
      <c r="ER373" s="486">
        <f>_xlfn.MINIFS($DE$70:$DE$149,$DL$70:$DL$149,"&gt;"&amp;Inputs!$H$117)</f>
        <v>0.29999999999999982</v>
      </c>
      <c r="ES373" s="486">
        <f>_xlfn.MINIFS($DE$156:$DE$235,$DL$156:$DL$235,"&gt;"&amp;Inputs!$H$117)</f>
        <v>0</v>
      </c>
      <c r="ET373" s="484">
        <f>_xlfn.MINIFS($DE$242:$DE$321,$DL$242:$DL$321,"&gt;"&amp;Inputs!$H$117)</f>
        <v>0.29999999999999982</v>
      </c>
      <c r="EU373" s="485">
        <f>IF(Inputs!$F$117&gt;MAX(Pile!$DL$70:$DL$149),999999,IF(Pile!ER373/(Pile!EP373/1000)&gt;50,999999,IF(Pile!ER373&lt;2,999999,Pile!ER373)))</f>
        <v>999999</v>
      </c>
      <c r="EV373" s="486">
        <f>IF(Inputs!ER36="Yes",999999,IF(Inputs!$F$117&gt;MAX(Pile!$DG$156:$DG$235),999999,IF(Pile!ES373/(Pile!EP373/1000)&gt;50,999999,IF(Pile!ES373&lt;2,999999,Pile!ES373))))</f>
        <v>999999</v>
      </c>
      <c r="EW373" s="486">
        <f>IF(Inputs!$F$117&gt;MAX(Pile!$DL$242:$DL$321),999999,IF(Pile!ET373/(Pile!EP373/1000)&gt;50,999999,IF(Pile!ET373&lt;2,999999,IF(ET373&gt;25,999999,Pile!ET373))))</f>
        <v>999999</v>
      </c>
      <c r="EX373" s="485">
        <f t="shared" si="406"/>
        <v>36191111.178207047</v>
      </c>
      <c r="EY373" s="486">
        <f t="shared" si="407"/>
        <v>36191111.178207047</v>
      </c>
      <c r="EZ373" s="484">
        <f t="shared" si="408"/>
        <v>36191111.178207047</v>
      </c>
    </row>
    <row r="374" spans="2:156" ht="15">
      <c r="B374" s="491">
        <v>2</v>
      </c>
      <c r="C374" s="492">
        <v>450</v>
      </c>
      <c r="D374" s="493">
        <f>Inputs!$D$40*2</f>
        <v>64</v>
      </c>
      <c r="E374" s="494">
        <f>_xlfn.MINIFS($DE$70:$DE$149,$DG$70:$DG$149,"&gt;"&amp;Inputs!$I$40)</f>
        <v>13.499999999999996</v>
      </c>
      <c r="F374" s="494">
        <f>_xlfn.MINIFS($DE$156:$DE$235,$DG$156:$DG$235,"&gt;"&amp;Inputs!$I$40)</f>
        <v>13.499999999999996</v>
      </c>
      <c r="G374" s="495">
        <f>_xlfn.MINIFS($DE$242:$DE$321,$DG$242:$DG$321,"&gt;"&amp;Inputs!$I$40)</f>
        <v>13.499999999999996</v>
      </c>
      <c r="H374" s="496">
        <f>IF(Inputs!$F$40/2&gt;MAX(Pile!$DG$70:$DG$149),999999,IF(Pile!E374/(Pile!C374/1000)&gt;50,999999,IF(Pile!E374&lt;2,999999,Pile!E374)))</f>
        <v>13.499999999999996</v>
      </c>
      <c r="I374" s="494">
        <f>IF(Inputs!E37="Yes",999999,IF(Pile!F374/(Pile!C374/1000)&gt;50,999999,IF(Pile!F374&lt;2,999999,Pile!F374)))</f>
        <v>13.499999999999996</v>
      </c>
      <c r="J374" s="494">
        <f>IF(Inputs!$F$40/2&gt;MAX(Pile!$DG$242:$DG$321),999999,IF(Pile!G374/(Pile!C374/1000)&gt;50,999999,IF(Pile!G374&lt;2,999999,IF(G374&gt;25,999999,Pile!G374))))</f>
        <v>13.499999999999996</v>
      </c>
      <c r="K374" s="496">
        <f t="shared" si="409"/>
        <v>187.81326266801753</v>
      </c>
      <c r="L374" s="494">
        <f t="shared" si="410"/>
        <v>187.81326266801753</v>
      </c>
      <c r="M374" s="495">
        <f t="shared" si="411"/>
        <v>187.81326266801753</v>
      </c>
      <c r="N374" s="466">
        <f>Inputs!$D$40*E459</f>
        <v>50.400000000000006</v>
      </c>
      <c r="O374" s="491">
        <v>2</v>
      </c>
      <c r="P374" s="492">
        <v>450</v>
      </c>
      <c r="Q374" s="493">
        <f>Inputs!$D$40*2</f>
        <v>64</v>
      </c>
      <c r="R374" s="494">
        <f>_xlfn.MINIFS($DE$70:$DE$149,$DG$70:$DG$149,"&gt;"&amp;Inputs!$I$47)</f>
        <v>13.499999999999996</v>
      </c>
      <c r="S374" s="494">
        <f>_xlfn.MINIFS($DE$156:$DE$235,$DG$156:$DG$235,"&gt;"&amp;Inputs!$I$47)</f>
        <v>13.499999999999996</v>
      </c>
      <c r="T374" s="495">
        <f>_xlfn.MINIFS($DE$242:$DE$321,$DG$242:$DG$321,"&gt;"&amp;Inputs!$I$47)</f>
        <v>13.499999999999996</v>
      </c>
      <c r="U374" s="496">
        <f>IF(Inputs!$F$47/2&gt;MAX(Pile!$DG$70:$DG$149),999999,IF(Pile!R374/(Pile!P374/1000)&gt;50,999999,IF(Pile!R374&lt;2,999999,Pile!R374)))</f>
        <v>13.499999999999996</v>
      </c>
      <c r="V374" s="494">
        <f>IF(Inputs!R37="Yes",999999,IF(Pile!S374/(Pile!P374/1000)&gt;50,999999,IF(Pile!S374&lt;2,999999,Pile!S374)))</f>
        <v>13.499999999999996</v>
      </c>
      <c r="W374" s="494">
        <f>IF(Inputs!$F$47/2&gt;MAX(Pile!$DG$242:$DG$321),999999,IF(Pile!T374/(Pile!P374/1000)&gt;50,999999,IF(Pile!T374&lt;2,999999,IF(T374&gt;25,999999,Pile!T374))))</f>
        <v>13.499999999999996</v>
      </c>
      <c r="X374" s="496">
        <f t="shared" si="412"/>
        <v>187.81326266801753</v>
      </c>
      <c r="Y374" s="494">
        <f t="shared" si="413"/>
        <v>187.81326266801753</v>
      </c>
      <c r="Z374" s="495">
        <f t="shared" si="414"/>
        <v>187.81326266801753</v>
      </c>
      <c r="AA374" s="467">
        <f t="shared" si="369"/>
        <v>50.400000000000006</v>
      </c>
      <c r="AB374" s="497">
        <v>2</v>
      </c>
      <c r="AC374" s="498">
        <v>450</v>
      </c>
      <c r="AD374" s="499">
        <f>Inputs!$D$40*2</f>
        <v>64</v>
      </c>
      <c r="AE374" s="494">
        <f>_xlfn.MINIFS($DE$70:$DE$149,$DG$70:$DG$149,"&gt;"&amp;Inputs!$I$54)</f>
        <v>13.499999999999996</v>
      </c>
      <c r="AF374" s="494">
        <f>_xlfn.MINIFS($DE$156:$DE$235,$DG$156:$DG$235,"&gt;"&amp;Inputs!$I$54)</f>
        <v>13.499999999999996</v>
      </c>
      <c r="AG374" s="495">
        <f>_xlfn.MINIFS($DE$242:$DE$321,$DG$242:$DG$321,"&gt;"&amp;Inputs!$I$54)</f>
        <v>13.499999999999996</v>
      </c>
      <c r="AH374" s="496">
        <f>IF(Inputs!$F$54/2&gt;MAX(Pile!$DG$70:$DG$149),999999,IF(Pile!AE374/(Pile!AC374/1000)&gt;50,999999,IF(Pile!AE374&lt;2,999999,Pile!AE374)))</f>
        <v>13.499999999999996</v>
      </c>
      <c r="AI374" s="494">
        <f>IF(Inputs!AE37="Yes",999999,IF(Pile!AF374/(Pile!AC374/1000)&gt;50,999999,IF(Pile!AF374&lt;2,999999,Pile!AF374)))</f>
        <v>13.499999999999996</v>
      </c>
      <c r="AJ374" s="494">
        <f>IF(Inputs!$F$54/2&gt;MAX(Pile!$DG$242:$DG$321),999999,IF(Pile!AG374/(Pile!AC374/1000)&gt;50,999999,IF(Pile!AG374&lt;2,999999,IF(AG374&gt;25,999999,Pile!AG374))))</f>
        <v>13.499999999999996</v>
      </c>
      <c r="AK374" s="496">
        <f t="shared" si="415"/>
        <v>187.81326266801753</v>
      </c>
      <c r="AL374" s="494">
        <f t="shared" si="416"/>
        <v>187.81326266801753</v>
      </c>
      <c r="AM374" s="495">
        <f t="shared" si="417"/>
        <v>187.81326266801753</v>
      </c>
      <c r="AN374" s="471">
        <f t="shared" si="418"/>
        <v>50.400000000000006</v>
      </c>
      <c r="AO374" s="497">
        <v>2</v>
      </c>
      <c r="AP374" s="498">
        <v>450</v>
      </c>
      <c r="AQ374" s="499">
        <f>Inputs!$D$40*2</f>
        <v>64</v>
      </c>
      <c r="AR374" s="494">
        <f>_xlfn.MINIFS($DE$70:$DE$149,$DG$70:$DG$149,"&gt;"&amp;Inputs!$I$61)</f>
        <v>13.499999999999996</v>
      </c>
      <c r="AS374" s="494">
        <f>_xlfn.MINIFS($DE$156:$DE$235,$DG$156:$DG$235,"&gt;"&amp;Inputs!$I$61)</f>
        <v>13.499999999999996</v>
      </c>
      <c r="AT374" s="495">
        <f>_xlfn.MINIFS($DE$242:$DE$321,$DG$242:$DG$321,"&gt;"&amp;Inputs!$I$61)</f>
        <v>13.499999999999996</v>
      </c>
      <c r="AU374" s="496">
        <f>IF(Inputs!$F$61/2&gt;MAX(Pile!$DG$70:$DG$149),999999,IF(Pile!AR374/(Pile!AP374/1000)&gt;50,999999,IF(Pile!AR374&lt;2,999999,Pile!AR374)))</f>
        <v>13.499999999999996</v>
      </c>
      <c r="AV374" s="494">
        <f>IF(Inputs!AR37="Yes",999999,IF(Pile!AS374/(Pile!AP374/1000)&gt;50,999999,IF(Pile!AS374&lt;2,999999,Pile!AS374)))</f>
        <v>13.499999999999996</v>
      </c>
      <c r="AW374" s="494">
        <f>IF(Inputs!$F$61/2&gt;MAX(Pile!$DG$242:$DG$321),999999,IF(Pile!AT374/(Pile!AP374/1000)&gt;50,999999,IF(Pile!AT374&lt;2,999999,IF(AT374&gt;25,999999,Pile!AT374))))</f>
        <v>13.499999999999996</v>
      </c>
      <c r="AX374" s="496">
        <f t="shared" si="419"/>
        <v>187.81326266801753</v>
      </c>
      <c r="AY374" s="494">
        <f t="shared" si="420"/>
        <v>187.81326266801753</v>
      </c>
      <c r="AZ374" s="495">
        <f t="shared" si="421"/>
        <v>187.81326266801753</v>
      </c>
      <c r="BA374" s="467">
        <f t="shared" si="422"/>
        <v>50.400000000000006</v>
      </c>
      <c r="BB374" s="497">
        <v>2</v>
      </c>
      <c r="BC374" s="498">
        <v>450</v>
      </c>
      <c r="BD374" s="499">
        <f>Inputs!$D$40*2</f>
        <v>64</v>
      </c>
      <c r="BE374" s="494">
        <f>_xlfn.MINIFS($DE$70:$DE$149,$DG$70:$DG$149,"&gt;"&amp;Inputs!$I$68)</f>
        <v>13.499999999999996</v>
      </c>
      <c r="BF374" s="494">
        <f>_xlfn.MINIFS($DE$156:$DE$235,$DG$156:$DG$235,"&gt;"&amp;Inputs!$I$68)</f>
        <v>13.499999999999996</v>
      </c>
      <c r="BG374" s="495">
        <f>_xlfn.MINIFS($DE$242:$DE$321,$DG$242:$DG$321,"&gt;"&amp;Inputs!$I$68)</f>
        <v>13.499999999999996</v>
      </c>
      <c r="BH374" s="496">
        <f>IF(Inputs!$F$68/2&gt;MAX(Pile!$DG$70:$DG$149),999999,IF(Pile!BE374/(Pile!BC374/1000)&gt;50,999999,IF(Pile!BE374&lt;2,999999,Pile!BE374)))</f>
        <v>13.499999999999996</v>
      </c>
      <c r="BI374" s="494">
        <f>IF(Inputs!BE37="Yes",999999,IF(Pile!BF374/(Pile!BC374/1000)&gt;50,999999,IF(Pile!BF374&lt;2,999999,Pile!BF374)))</f>
        <v>13.499999999999996</v>
      </c>
      <c r="BJ374" s="494">
        <f>IF(Inputs!$F$68/2&gt;MAX(Pile!$DG$242:$DG$321),999999,IF(Pile!BG374/(Pile!BC374/1000)&gt;50,999999,IF(Pile!BG374&lt;2,999999,IF(BG374&gt;25,999999,Pile!BG374))))</f>
        <v>13.499999999999996</v>
      </c>
      <c r="BK374" s="496">
        <f t="shared" si="423"/>
        <v>187.81326266801753</v>
      </c>
      <c r="BL374" s="494">
        <f t="shared" si="424"/>
        <v>187.81326266801753</v>
      </c>
      <c r="BM374" s="495">
        <f t="shared" si="425"/>
        <v>187.81326266801753</v>
      </c>
      <c r="BN374" s="467">
        <f t="shared" si="426"/>
        <v>50.400000000000006</v>
      </c>
      <c r="BO374" s="497">
        <v>2</v>
      </c>
      <c r="BP374" s="498">
        <v>450</v>
      </c>
      <c r="BQ374" s="499">
        <f>Inputs!$D$40*2</f>
        <v>64</v>
      </c>
      <c r="BR374" s="494">
        <f>_xlfn.MINIFS($DE$70:$DE$149,$DG$70:$DG$149,"&gt;"&amp;Inputs!$I$75)</f>
        <v>13.499999999999996</v>
      </c>
      <c r="BS374" s="494">
        <f>_xlfn.MINIFS($DE$156:$DE$235,$DG$156:$DG$235,"&gt;"&amp;Inputs!$I$75)</f>
        <v>13.499999999999996</v>
      </c>
      <c r="BT374" s="495">
        <f>_xlfn.MINIFS($DE$242:$DE$321,$DG$242:$DG$321,"&gt;"&amp;Inputs!$I$75)</f>
        <v>13.499999999999996</v>
      </c>
      <c r="BU374" s="496">
        <f>IF(Inputs!$F$75/2&gt;MAX(Pile!$DG$70:$DG$149),999999,IF(Pile!BR374/(Pile!BP374/1000)&gt;50,999999,IF(Pile!BR374&lt;2,999999,Pile!BR374)))</f>
        <v>13.499999999999996</v>
      </c>
      <c r="BV374" s="494">
        <f>IF(Inputs!BR37="Yes",999999,IF(Pile!BS374/(Pile!BP374/1000)&gt;50,999999,IF(Pile!BS374&lt;2,999999,Pile!BS374)))</f>
        <v>13.499999999999996</v>
      </c>
      <c r="BW374" s="494">
        <f>IF(Inputs!$F$75/2&gt;MAX(Pile!$DG$242:$DG$321),999999,IF(Pile!BT374/(Pile!BP374/1000)&gt;50,999999,IF(Pile!BT374&lt;2,999999,IF(BT374&gt;25,999999,Pile!BT374))))</f>
        <v>13.499999999999996</v>
      </c>
      <c r="BX374" s="496">
        <f t="shared" si="427"/>
        <v>187.81326266801753</v>
      </c>
      <c r="BY374" s="494">
        <f t="shared" si="428"/>
        <v>187.81326266801753</v>
      </c>
      <c r="BZ374" s="495">
        <f t="shared" si="429"/>
        <v>187.81326266801753</v>
      </c>
      <c r="CA374" s="467">
        <f t="shared" si="430"/>
        <v>50.400000000000006</v>
      </c>
      <c r="CB374" s="497">
        <v>2</v>
      </c>
      <c r="CC374" s="498">
        <v>450</v>
      </c>
      <c r="CD374" s="499">
        <f>Inputs!$D$40*2</f>
        <v>64</v>
      </c>
      <c r="CE374" s="494">
        <f>_xlfn.MINIFS($DE$70:$DE$149,$DG$70:$DG$149,"&gt;"&amp;Inputs!$I$82)</f>
        <v>13.499999999999996</v>
      </c>
      <c r="CF374" s="494">
        <f>_xlfn.MINIFS($DE$156:$DE$235,$DG$156:$DG$235,"&gt;"&amp;Inputs!$I$82)</f>
        <v>10.799999999999997</v>
      </c>
      <c r="CG374" s="495">
        <f>_xlfn.MINIFS($DE$242:$DE$321,$DG$242:$DG$321,"&gt;"&amp;Inputs!$I$82)</f>
        <v>13.499999999999996</v>
      </c>
      <c r="CH374" s="496">
        <f>IF(Inputs!$F$82/2&gt;MAX(Pile!$DG$70:$DG$149),999999,IF(Pile!CE374/(Pile!CC374/1000)&gt;50,999999,IF(Pile!CE374&lt;2,999999,Pile!CE374)))</f>
        <v>13.499999999999996</v>
      </c>
      <c r="CI374" s="494">
        <f>IF(Inputs!CE37="Yes",999999,IF(Pile!CF374/(Pile!CC374/1000)&gt;50,999999,IF(Pile!CF374&lt;2,999999,Pile!CF374)))</f>
        <v>10.799999999999997</v>
      </c>
      <c r="CJ374" s="494">
        <f>IF(Inputs!$F$82/2&gt;MAX(Pile!$DG$242:$DG$321),999999,IF(Pile!CG374/(Pile!CC374/1000)&gt;50,999999,IF(Pile!CG374&lt;2,999999,IF(CG374&gt;25,999999,Pile!CG374))))</f>
        <v>13.499999999999996</v>
      </c>
      <c r="CK374" s="496">
        <f t="shared" si="431"/>
        <v>187.81326266801753</v>
      </c>
      <c r="CL374" s="494">
        <f t="shared" si="432"/>
        <v>160.33061013441403</v>
      </c>
      <c r="CM374" s="495">
        <f t="shared" si="433"/>
        <v>187.81326266801753</v>
      </c>
      <c r="CN374" s="467">
        <f t="shared" si="434"/>
        <v>50.400000000000006</v>
      </c>
      <c r="CO374" s="497">
        <v>2</v>
      </c>
      <c r="CP374" s="498">
        <v>450</v>
      </c>
      <c r="CQ374" s="499">
        <f>Inputs!$D$40*2</f>
        <v>64</v>
      </c>
      <c r="CR374" s="494">
        <f>_xlfn.MINIFS($DE$70:$DE$149,$DG$70:$DG$149,"&gt;"&amp;Inputs!$I$89)</f>
        <v>13.499999999999996</v>
      </c>
      <c r="CS374" s="494">
        <f>_xlfn.MINIFS($DE$156:$DE$235,$DG$156:$DG$235,"&gt;"&amp;Inputs!$I$89)</f>
        <v>10.199999999999996</v>
      </c>
      <c r="CT374" s="495">
        <f>_xlfn.MINIFS($DE$242:$DE$321,$DG$242:$DG$321,"&gt;"&amp;Inputs!$I$89)</f>
        <v>13.499999999999996</v>
      </c>
      <c r="CU374" s="496">
        <f>IF(Inputs!$F$89/2&gt;MAX(Pile!$DG$70:$DG$149),999999,IF(Pile!CR374/(Pile!CP374/1000)&gt;50,999999,IF(Pile!CR374&lt;2,999999,Pile!CR374)))</f>
        <v>13.499999999999996</v>
      </c>
      <c r="CV374" s="494">
        <f>IF(Inputs!CR37="Yes",999999,IF(Pile!CS374/(Pile!CP374/1000)&gt;50,999999,IF(Pile!CS374&lt;2,999999,Pile!CS374)))</f>
        <v>10.199999999999996</v>
      </c>
      <c r="CW374" s="494">
        <f>IF(Inputs!$F$89/2&gt;MAX(Pile!$DG$242:$DG$321),999999,IF(Pile!CT374/(Pile!CP374/1000)&gt;50,999999,IF(Pile!CT374&lt;2,999999,IF(CT374&gt;25,999999,Pile!CT374))))</f>
        <v>13.499999999999996</v>
      </c>
      <c r="CX374" s="496">
        <f t="shared" si="435"/>
        <v>187.81326266801753</v>
      </c>
      <c r="CY374" s="494">
        <f t="shared" si="436"/>
        <v>154.22335401583547</v>
      </c>
      <c r="CZ374" s="495">
        <f t="shared" si="437"/>
        <v>187.81326266801753</v>
      </c>
      <c r="DA374" s="467">
        <f t="shared" si="438"/>
        <v>50.400000000000006</v>
      </c>
      <c r="DB374" s="497">
        <v>2</v>
      </c>
      <c r="DC374" s="498">
        <v>450</v>
      </c>
      <c r="DD374" s="499">
        <f>Inputs!$D$40*2</f>
        <v>64</v>
      </c>
      <c r="DE374" s="494">
        <f>_xlfn.MINIFS($DE$70:$DE$149,$DG$70:$DG$149,"&gt;"&amp;Inputs!$I$96)</f>
        <v>13.499999999999996</v>
      </c>
      <c r="DF374" s="494">
        <f>_xlfn.MINIFS($DE$156:$DE$235,$DG$156:$DG$235,"&gt;"&amp;Inputs!$I$96)</f>
        <v>10.199999999999996</v>
      </c>
      <c r="DG374" s="495">
        <f>_xlfn.MINIFS($DE$242:$DE$321,$DG$242:$DG$321,"&gt;"&amp;Inputs!$I$96)</f>
        <v>13.499999999999996</v>
      </c>
      <c r="DH374" s="496">
        <f>IF(Inputs!$F$96/2&gt;MAX(Pile!$DG$70:$DG$149),999999,IF(Pile!DE374/(Pile!DC374/1000)&gt;50,999999,IF(Pile!DE374&lt;2,999999,Pile!DE374)))</f>
        <v>13.499999999999996</v>
      </c>
      <c r="DI374" s="494">
        <f>IF(Inputs!DE37="Yes",999999,IF(Pile!DF374/(Pile!DC374/1000)&gt;50,999999,IF(Pile!DF374&lt;2,999999,Pile!DF374)))</f>
        <v>10.199999999999996</v>
      </c>
      <c r="DJ374" s="494">
        <f>IF(Inputs!$F$96/2&gt;MAX(Pile!$DG$242:$DG$321),999999,IF(Pile!DG374/(Pile!DC374/1000)&gt;50,999999,IF(Pile!DG374&lt;2,999999,IF(DG374&gt;25,999999,Pile!DG374))))</f>
        <v>13.499999999999996</v>
      </c>
      <c r="DK374" s="496">
        <f t="shared" si="439"/>
        <v>187.81326266801753</v>
      </c>
      <c r="DL374" s="494">
        <f t="shared" si="440"/>
        <v>154.22335401583547</v>
      </c>
      <c r="DM374" s="495">
        <f t="shared" si="441"/>
        <v>187.81326266801753</v>
      </c>
      <c r="DN374" s="467">
        <f t="shared" si="442"/>
        <v>50.400000000000006</v>
      </c>
      <c r="DO374" s="497">
        <v>2</v>
      </c>
      <c r="DP374" s="498">
        <v>450</v>
      </c>
      <c r="DQ374" s="499">
        <f>Inputs!$D$40*2</f>
        <v>64</v>
      </c>
      <c r="DR374" s="494">
        <f>_xlfn.MINIFS($DE$70:$DE$149,$DG$70:$DG$149,"&gt;"&amp;Inputs!$I$103)</f>
        <v>5.6999999999999975</v>
      </c>
      <c r="DS374" s="494">
        <f>_xlfn.MINIFS($DE$156:$DE$235,$DG$156:$DG$235,"&gt;"&amp;Inputs!$I$103)</f>
        <v>5.3999999999999977</v>
      </c>
      <c r="DT374" s="495">
        <f>_xlfn.MINIFS($DE$242:$DE$321,$DG$242:$DG$321,"&gt;"&amp;Inputs!$I$103)</f>
        <v>5.3999999999999977</v>
      </c>
      <c r="DU374" s="496">
        <f>IF(Inputs!$F$103/2&gt;MAX(Pile!$DG$70:$DG$149),999999,IF(Pile!DR374/(Pile!DP374/1000)&gt;50,999999,IF(Pile!DR374&lt;2,999999,Pile!DR374)))</f>
        <v>5.6999999999999975</v>
      </c>
      <c r="DV374" s="494">
        <f>IF(Inputs!DR37="Yes",999999,IF(Pile!DS374/(Pile!DP374/1000)&gt;50,999999,IF(Pile!DS374&lt;2,999999,Pile!DS374)))</f>
        <v>5.3999999999999977</v>
      </c>
      <c r="DW374" s="494">
        <f>IF(Inputs!$F$103/2&gt;MAX(Pile!$DG$242:$DG$321),999999,IF(Pile!DT374/(Pile!DP374/1000)&gt;50,999999,IF(Pile!DT374&lt;2,999999,IF(DT374&gt;25,999999,Pile!DT374))))</f>
        <v>5.3999999999999977</v>
      </c>
      <c r="DX374" s="496">
        <f t="shared" si="443"/>
        <v>108.41893312649628</v>
      </c>
      <c r="DY374" s="494">
        <f t="shared" si="444"/>
        <v>105.365305067207</v>
      </c>
      <c r="DZ374" s="495">
        <f t="shared" si="445"/>
        <v>105.365305067207</v>
      </c>
      <c r="EA374" s="467">
        <f t="shared" si="446"/>
        <v>50.400000000000006</v>
      </c>
      <c r="EB374" s="497">
        <v>2</v>
      </c>
      <c r="EC374" s="498">
        <v>450</v>
      </c>
      <c r="ED374" s="499">
        <f>Inputs!$D$40*2</f>
        <v>64</v>
      </c>
      <c r="EE374" s="494">
        <f>_xlfn.MINIFS($DE$70:$DE$149,$DG$70:$DG$149,"&gt;"&amp;Inputs!$I$110)</f>
        <v>5.9999999999999982</v>
      </c>
      <c r="EF374" s="494">
        <f>_xlfn.MINIFS($DE$156:$DE$235,$DG$156:$DG$235,"&gt;"&amp;Inputs!$I$110)</f>
        <v>5.3999999999999977</v>
      </c>
      <c r="EG374" s="495">
        <f>_xlfn.MINIFS($DE$242:$DE$321,$DG$242:$DG$321,"&gt;"&amp;Inputs!$I$110)</f>
        <v>5.3999999999999977</v>
      </c>
      <c r="EH374" s="496">
        <f>IF(Inputs!$F$110/2&gt;MAX(Pile!$DG$70:$DG$149),999999,IF(Pile!EE374/(Pile!EC374/1000)&gt;50,999999,IF(Pile!EE374&lt;2,999999,Pile!EE374)))</f>
        <v>5.9999999999999982</v>
      </c>
      <c r="EI374" s="494">
        <f>IF(Inputs!EE37="Yes",999999,IF(Pile!EF374/(Pile!EC374/1000)&gt;50,999999,IF(Pile!EF374&lt;2,999999,Pile!EF374)))</f>
        <v>5.3999999999999977</v>
      </c>
      <c r="EJ374" s="494">
        <f>IF(Inputs!$F$110/2&gt;MAX(Pile!$DG$242:$DG$321),999999,IF(Pile!EG374/(Pile!EC374/1000)&gt;50,999999,IF(Pile!EG374&lt;2,999999,IF(EG374&gt;25,999999,Pile!EG374))))</f>
        <v>5.3999999999999977</v>
      </c>
      <c r="EK374" s="496">
        <f t="shared" si="447"/>
        <v>111.47256118578557</v>
      </c>
      <c r="EL374" s="494">
        <f t="shared" si="448"/>
        <v>105.365305067207</v>
      </c>
      <c r="EM374" s="495">
        <f t="shared" si="449"/>
        <v>105.365305067207</v>
      </c>
      <c r="EN374" s="467">
        <f t="shared" si="450"/>
        <v>50.400000000000006</v>
      </c>
      <c r="EO374" s="497">
        <v>2</v>
      </c>
      <c r="EP374" s="498">
        <v>450</v>
      </c>
      <c r="EQ374" s="499">
        <f>Inputs!$D$40*2</f>
        <v>64</v>
      </c>
      <c r="ER374" s="494">
        <f>_xlfn.MINIFS($DE$70:$DE$149,$DG$70:$DG$149,"&gt;"&amp;Inputs!$I$117)</f>
        <v>0.29999999999999982</v>
      </c>
      <c r="ES374" s="494">
        <f>_xlfn.MINIFS($DE$156:$DE$235,$DG$156:$DG$235,"&gt;"&amp;Inputs!$I$117)</f>
        <v>0.29999999999999982</v>
      </c>
      <c r="ET374" s="495">
        <f>_xlfn.MINIFS($DE$242:$DE$321,$DG$242:$DG$321,"&gt;"&amp;Inputs!$I$117)</f>
        <v>0.29999999999999982</v>
      </c>
      <c r="EU374" s="496">
        <f>IF(Inputs!$F$117/2&gt;MAX(Pile!$DG$70:$DG$149),999999,IF(Pile!ER374/(Pile!EP374/1000)&gt;50,999999,IF(Pile!ER374&lt;2,999999,Pile!ER374)))</f>
        <v>999999</v>
      </c>
      <c r="EV374" s="494">
        <f>IF(Inputs!ER37="Yes",999999,IF(Inputs!$F$117&gt;MAX(Pile!$DG$156:$DG$235),999999,IF(Pile!ES374/(Pile!EP374/1000)&gt;50,999999,IF(Pile!ES374&lt;2,999999,Pile!ES374))))</f>
        <v>999999</v>
      </c>
      <c r="EW374" s="494">
        <f>IF(Inputs!$F$117/2&gt;MAX(Pile!$DG$242:$DG$321),999999,IF(Pile!ET374/(Pile!EP374/1000)&gt;50,999999,IF(Pile!ET374&lt;2,999999,IF(ET374&gt;25,999999,Pile!ET374))))</f>
        <v>999999</v>
      </c>
      <c r="EX374" s="496">
        <f t="shared" si="406"/>
        <v>10178750.018870734</v>
      </c>
      <c r="EY374" s="494">
        <f t="shared" si="407"/>
        <v>10178750.018870734</v>
      </c>
      <c r="EZ374" s="495">
        <f t="shared" si="408"/>
        <v>10178750.018870734</v>
      </c>
    </row>
    <row r="375" spans="2:156" ht="15">
      <c r="B375" s="491">
        <v>2</v>
      </c>
      <c r="C375" s="476">
        <v>600</v>
      </c>
      <c r="D375" s="503">
        <f>Inputs!$D$40*2</f>
        <v>64</v>
      </c>
      <c r="E375" s="504">
        <f>_xlfn.MINIFS($DE$70:$DE$149,$DH$70:$DH$149,"&gt;"&amp;Inputs!$I$40)</f>
        <v>13.499999999999996</v>
      </c>
      <c r="F375" s="504">
        <f>_xlfn.MINIFS($DE$156:$DE$235,$DH$156:$DH$235,"&gt;"&amp;Inputs!$I$40)</f>
        <v>5.9999999999999982</v>
      </c>
      <c r="G375" s="505">
        <f>_xlfn.MINIFS($DE$242:$DE$321,$DH$242:$DH$321,"&gt;"&amp;Inputs!$I$40)</f>
        <v>5.9999999999999982</v>
      </c>
      <c r="H375" s="506">
        <f>IF(Inputs!$F$40/2&gt;MAX(Pile!$DH$70:$DH$149),999999,IF(Pile!E375/(Pile!C375/1000)&gt;50,999999,IF(Pile!E375&lt;2,999999,Pile!E375)))</f>
        <v>13.499999999999996</v>
      </c>
      <c r="I375" s="504">
        <f>IF(Inputs!E38="Yes",999999,IF(Pile!F375/(Pile!C375/1000)&gt;50,999999,IF(Pile!F375&lt;2,999999,Pile!F375)))</f>
        <v>5.9999999999999982</v>
      </c>
      <c r="J375" s="504">
        <f>IF(Inputs!$F$40/2&gt;MAX(Pile!$DH$242:$DH$321),999999,IF(Pile!G375/(Pile!C375/1000)&gt;50,999999,IF(Pile!G375&lt;2,999999,IF(G375&gt;25,999999,Pile!G375))))</f>
        <v>5.9999999999999982</v>
      </c>
      <c r="K375" s="506">
        <f t="shared" si="409"/>
        <v>353.15424474314227</v>
      </c>
      <c r="L375" s="504">
        <f t="shared" si="410"/>
        <v>217.43744210806321</v>
      </c>
      <c r="M375" s="505">
        <f t="shared" si="411"/>
        <v>217.43744210806321</v>
      </c>
      <c r="N375" s="466">
        <f>Inputs!$D$40*E460</f>
        <v>108.86399999999999</v>
      </c>
      <c r="O375" s="491">
        <v>2</v>
      </c>
      <c r="P375" s="476">
        <v>600</v>
      </c>
      <c r="Q375" s="503">
        <f>Inputs!$D$40*2</f>
        <v>64</v>
      </c>
      <c r="R375" s="504">
        <f>_xlfn.MINIFS($DE$70:$DE$149,$DH$70:$DH$149,"&gt;"&amp;Inputs!$I$47)</f>
        <v>13.499999999999996</v>
      </c>
      <c r="S375" s="504">
        <f>_xlfn.MINIFS($DE$156:$DE$235,$DH$156:$DH$235,"&gt;"&amp;Inputs!$I$47)</f>
        <v>5.9999999999999982</v>
      </c>
      <c r="T375" s="505">
        <f>_xlfn.MINIFS($DE$242:$DE$321,$DH$242:$DH$321,"&gt;"&amp;Inputs!$I$47)</f>
        <v>5.9999999999999982</v>
      </c>
      <c r="U375" s="506">
        <f>IF(Inputs!$F$47/2&gt;MAX(Pile!$DH$70:$DH$149),999999,IF(Pile!R375/(Pile!P375/1000)&gt;50,999999,IF(Pile!R375&lt;2,999999,Pile!R375)))</f>
        <v>13.499999999999996</v>
      </c>
      <c r="V375" s="504">
        <f>IF(Inputs!R38="Yes",999999,IF(Pile!S375/(Pile!P375/1000)&gt;50,999999,IF(Pile!S375&lt;2,999999,Pile!S375)))</f>
        <v>5.9999999999999982</v>
      </c>
      <c r="W375" s="504">
        <f>IF(Inputs!$F$47/2&gt;MAX(Pile!$DH$242:$DH$321),999999,IF(Pile!T375/(Pile!P375/1000)&gt;50,999999,IF(Pile!T375&lt;2,999999,IF(T375&gt;25,999999,Pile!T375))))</f>
        <v>5.9999999999999982</v>
      </c>
      <c r="X375" s="506">
        <f t="shared" si="412"/>
        <v>353.15424474314227</v>
      </c>
      <c r="Y375" s="504">
        <f t="shared" si="413"/>
        <v>217.43744210806321</v>
      </c>
      <c r="Z375" s="505">
        <f t="shared" si="414"/>
        <v>217.43744210806321</v>
      </c>
      <c r="AA375" s="467">
        <f t="shared" si="369"/>
        <v>108.86399999999999</v>
      </c>
      <c r="AB375" s="497">
        <v>2</v>
      </c>
      <c r="AC375" s="479">
        <v>600</v>
      </c>
      <c r="AD375" s="507">
        <f>Inputs!$D$40*2</f>
        <v>64</v>
      </c>
      <c r="AE375" s="504">
        <f>_xlfn.MINIFS($DE$70:$DE$149,$DH$70:$DH$149,"&gt;"&amp;Inputs!$I$54)</f>
        <v>13.499999999999996</v>
      </c>
      <c r="AF375" s="504">
        <f>_xlfn.MINIFS($DE$156:$DE$235,$DH$156:$DH$235,"&gt;"&amp;Inputs!$I$54)</f>
        <v>5.6999999999999975</v>
      </c>
      <c r="AG375" s="505">
        <f>_xlfn.MINIFS($DE$242:$DE$321,$DH$242:$DH$321,"&gt;"&amp;Inputs!$I$54)</f>
        <v>5.9999999999999982</v>
      </c>
      <c r="AH375" s="506">
        <f>IF(Inputs!$F$54/2&gt;MAX(Pile!$DH$70:$DH$149),999999,IF(Pile!AE375/(Pile!AC375/1000)&gt;50,999999,IF(Pile!AE375&lt;2,999999,Pile!AE375)))</f>
        <v>13.499999999999996</v>
      </c>
      <c r="AI375" s="504">
        <f>IF(Inputs!AE38="Yes",999999,IF(Pile!AF375/(Pile!AC375/1000)&gt;50,999999,IF(Pile!AF375&lt;2,999999,Pile!AF375)))</f>
        <v>5.6999999999999975</v>
      </c>
      <c r="AJ375" s="504">
        <f>IF(Inputs!$F$54/2&gt;MAX(Pile!$DH$242:$DH$321),999999,IF(Pile!AG375/(Pile!AC375/1000)&gt;50,999999,IF(Pile!AG375&lt;2,999999,IF(AG375&gt;25,999999,Pile!AG375))))</f>
        <v>5.9999999999999982</v>
      </c>
      <c r="AK375" s="506">
        <f t="shared" si="415"/>
        <v>353.15424474314227</v>
      </c>
      <c r="AL375" s="504">
        <f t="shared" si="416"/>
        <v>212.00877000266004</v>
      </c>
      <c r="AM375" s="505">
        <f t="shared" si="417"/>
        <v>217.43744210806321</v>
      </c>
      <c r="AN375" s="471">
        <f t="shared" si="418"/>
        <v>108.86399999999999</v>
      </c>
      <c r="AO375" s="497">
        <v>2</v>
      </c>
      <c r="AP375" s="479">
        <v>600</v>
      </c>
      <c r="AQ375" s="507">
        <f>Inputs!$D$40*2</f>
        <v>64</v>
      </c>
      <c r="AR375" s="504">
        <f>_xlfn.MINIFS($DE$70:$DE$149,$DH$70:$DH$149,"&gt;"&amp;Inputs!$I$61)</f>
        <v>13.499999999999996</v>
      </c>
      <c r="AS375" s="504">
        <f>_xlfn.MINIFS($DE$156:$DE$235,$DH$156:$DH$235,"&gt;"&amp;Inputs!$I$61)</f>
        <v>5.6999999999999975</v>
      </c>
      <c r="AT375" s="505">
        <f>_xlfn.MINIFS($DE$242:$DE$321,$DH$242:$DH$321,"&gt;"&amp;Inputs!$I$61)</f>
        <v>5.6999999999999975</v>
      </c>
      <c r="AU375" s="506">
        <f>IF(Inputs!$F$61/2&gt;MAX(Pile!$DH$70:$DH$149),999999,IF(Pile!AR375/(Pile!AP375/1000)&gt;50,999999,IF(Pile!AR375&lt;2,999999,Pile!AR375)))</f>
        <v>13.499999999999996</v>
      </c>
      <c r="AV375" s="504">
        <f>IF(Inputs!AR38="Yes",999999,IF(Pile!AS375/(Pile!AP375/1000)&gt;50,999999,IF(Pile!AS375&lt;2,999999,Pile!AS375)))</f>
        <v>5.6999999999999975</v>
      </c>
      <c r="AW375" s="504">
        <f>IF(Inputs!$F$61/2&gt;MAX(Pile!$DH$242:$DH$321),999999,IF(Pile!AT375/(Pile!AP375/1000)&gt;50,999999,IF(Pile!AT375&lt;2,999999,IF(AT375&gt;25,999999,Pile!AT375))))</f>
        <v>5.6999999999999975</v>
      </c>
      <c r="AX375" s="506">
        <f t="shared" si="419"/>
        <v>353.15424474314227</v>
      </c>
      <c r="AY375" s="504">
        <f t="shared" si="420"/>
        <v>212.00877000266004</v>
      </c>
      <c r="AZ375" s="505">
        <f t="shared" si="421"/>
        <v>212.00877000266004</v>
      </c>
      <c r="BA375" s="467">
        <f t="shared" si="422"/>
        <v>108.86399999999999</v>
      </c>
      <c r="BB375" s="497">
        <v>2</v>
      </c>
      <c r="BC375" s="479">
        <v>600</v>
      </c>
      <c r="BD375" s="507">
        <f>Inputs!$D$40*2</f>
        <v>64</v>
      </c>
      <c r="BE375" s="504">
        <f>_xlfn.MINIFS($DE$70:$DE$149,$DH$70:$DH$149,"&gt;"&amp;Inputs!$I$68)</f>
        <v>13.499999999999996</v>
      </c>
      <c r="BF375" s="504">
        <f>_xlfn.MINIFS($DE$156:$DE$235,$DH$156:$DH$235,"&gt;"&amp;Inputs!$I$68)</f>
        <v>5.6999999999999975</v>
      </c>
      <c r="BG375" s="505">
        <f>_xlfn.MINIFS($DE$242:$DE$321,$DH$242:$DH$321,"&gt;"&amp;Inputs!$I$68)</f>
        <v>5.9999999999999982</v>
      </c>
      <c r="BH375" s="506">
        <f>IF(Inputs!$F$68/2&gt;MAX(Pile!$DH$70:$DH$149),999999,IF(Pile!BE375/(Pile!BC375/1000)&gt;50,999999,IF(Pile!BE375&lt;2,999999,Pile!BE375)))</f>
        <v>13.499999999999996</v>
      </c>
      <c r="BI375" s="504">
        <f>IF(Inputs!BE38="Yes",999999,IF(Pile!BF375/(Pile!BC375/1000)&gt;50,999999,IF(Pile!BF375&lt;2,999999,Pile!BF375)))</f>
        <v>5.6999999999999975</v>
      </c>
      <c r="BJ375" s="504">
        <f>IF(Inputs!$F$68/2&gt;MAX(Pile!$DH$242:$DH$321),999999,IF(Pile!BG375/(Pile!BC375/1000)&gt;50,999999,IF(Pile!BG375&lt;2,999999,IF(BG375&gt;25,999999,Pile!BG375))))</f>
        <v>5.9999999999999982</v>
      </c>
      <c r="BK375" s="506">
        <f t="shared" si="423"/>
        <v>353.15424474314227</v>
      </c>
      <c r="BL375" s="504">
        <f t="shared" si="424"/>
        <v>212.00877000266004</v>
      </c>
      <c r="BM375" s="505">
        <f t="shared" si="425"/>
        <v>217.43744210806321</v>
      </c>
      <c r="BN375" s="467">
        <f t="shared" si="426"/>
        <v>108.86399999999999</v>
      </c>
      <c r="BO375" s="497">
        <v>2</v>
      </c>
      <c r="BP375" s="479">
        <v>600</v>
      </c>
      <c r="BQ375" s="507">
        <f>Inputs!$D$40*2</f>
        <v>64</v>
      </c>
      <c r="BR375" s="504">
        <f>_xlfn.MINIFS($DE$70:$DE$149,$DH$70:$DH$149,"&gt;"&amp;Inputs!$I$75)</f>
        <v>13.499999999999996</v>
      </c>
      <c r="BS375" s="504">
        <f>_xlfn.MINIFS($DE$156:$DE$235,$DH$156:$DH$235,"&gt;"&amp;Inputs!$I$75)</f>
        <v>11.699999999999996</v>
      </c>
      <c r="BT375" s="505">
        <f>_xlfn.MINIFS($DE$242:$DE$321,$DH$242:$DH$321,"&gt;"&amp;Inputs!$I$75)</f>
        <v>13.499999999999996</v>
      </c>
      <c r="BU375" s="506">
        <f>IF(Inputs!$F$75/2&gt;MAX(Pile!$DH$70:$DH$149),999999,IF(Pile!BR375/(Pile!BP375/1000)&gt;50,999999,IF(Pile!BR375&lt;2,999999,Pile!BR375)))</f>
        <v>13.499999999999996</v>
      </c>
      <c r="BV375" s="504">
        <f>IF(Inputs!BR38="Yes",999999,IF(Pile!BS375/(Pile!BP375/1000)&gt;50,999999,IF(Pile!BS375&lt;2,999999,Pile!BS375)))</f>
        <v>11.699999999999996</v>
      </c>
      <c r="BW375" s="504">
        <f>IF(Inputs!$F$75/2&gt;MAX(Pile!$DH$242:$DH$321),999999,IF(Pile!BT375/(Pile!BP375/1000)&gt;50,999999,IF(Pile!BT375&lt;2,999999,IF(BT375&gt;25,999999,Pile!BT375))))</f>
        <v>13.499999999999996</v>
      </c>
      <c r="BX375" s="506">
        <f t="shared" si="427"/>
        <v>353.15424474314227</v>
      </c>
      <c r="BY375" s="504">
        <f t="shared" si="428"/>
        <v>320.58221211072328</v>
      </c>
      <c r="BZ375" s="505">
        <f t="shared" si="429"/>
        <v>353.15424474314227</v>
      </c>
      <c r="CA375" s="467">
        <f t="shared" si="430"/>
        <v>108.86399999999999</v>
      </c>
      <c r="CB375" s="497">
        <v>2</v>
      </c>
      <c r="CC375" s="479">
        <v>600</v>
      </c>
      <c r="CD375" s="507">
        <f>Inputs!$D$40*2</f>
        <v>64</v>
      </c>
      <c r="CE375" s="504">
        <f>_xlfn.MINIFS($DE$70:$DE$149,$DH$70:$DH$149,"&gt;"&amp;Inputs!$I$82)</f>
        <v>5.3999999999999977</v>
      </c>
      <c r="CF375" s="504">
        <f>_xlfn.MINIFS($DE$156:$DE$235,$DH$156:$DH$235,"&gt;"&amp;Inputs!$I$82)</f>
        <v>4.799999999999998</v>
      </c>
      <c r="CG375" s="505">
        <f>_xlfn.MINIFS($DE$242:$DE$321,$DH$242:$DH$321,"&gt;"&amp;Inputs!$I$82)</f>
        <v>5.0999999999999979</v>
      </c>
      <c r="CH375" s="506">
        <f>IF(Inputs!$F$82/2&gt;MAX(Pile!$DH$70:$DH$149),999999,IF(Pile!CE375/(Pile!CC375/1000)&gt;50,999999,IF(Pile!CE375&lt;2,999999,Pile!CE375)))</f>
        <v>5.3999999999999977</v>
      </c>
      <c r="CI375" s="504">
        <f>IF(Inputs!CE38="Yes",999999,IF(Pile!CF375/(Pile!CC375/1000)&gt;50,999999,IF(Pile!CF375&lt;2,999999,Pile!CF375)))</f>
        <v>4.799999999999998</v>
      </c>
      <c r="CJ375" s="504">
        <f>IF(Inputs!$F$82/2&gt;MAX(Pile!$DH$242:$DH$321),999999,IF(Pile!CG375/(Pile!CC375/1000)&gt;50,999999,IF(Pile!CG375&lt;2,999999,IF(CG375&gt;25,999999,Pile!CG375))))</f>
        <v>5.0999999999999979</v>
      </c>
      <c r="CK375" s="506">
        <f t="shared" si="431"/>
        <v>206.58009789725688</v>
      </c>
      <c r="CL375" s="504">
        <f t="shared" si="432"/>
        <v>195.72275368645057</v>
      </c>
      <c r="CM375" s="505">
        <f t="shared" si="433"/>
        <v>201.15142579185371</v>
      </c>
      <c r="CN375" s="467">
        <f t="shared" si="434"/>
        <v>108.86399999999999</v>
      </c>
      <c r="CO375" s="497">
        <v>2</v>
      </c>
      <c r="CP375" s="479">
        <v>600</v>
      </c>
      <c r="CQ375" s="507">
        <f>Inputs!$D$40*2</f>
        <v>64</v>
      </c>
      <c r="CR375" s="504">
        <f>_xlfn.MINIFS($DE$70:$DE$149,$DH$70:$DH$149,"&gt;"&amp;Inputs!$I$89)</f>
        <v>4.799999999999998</v>
      </c>
      <c r="CS375" s="504">
        <f>_xlfn.MINIFS($DE$156:$DE$235,$DH$156:$DH$235,"&gt;"&amp;Inputs!$I$89)</f>
        <v>4.4999999999999982</v>
      </c>
      <c r="CT375" s="505">
        <f>_xlfn.MINIFS($DE$242:$DE$321,$DH$242:$DH$321,"&gt;"&amp;Inputs!$I$89)</f>
        <v>4.4999999999999982</v>
      </c>
      <c r="CU375" s="506">
        <f>IF(Inputs!$F$89/2&gt;MAX(Pile!$DH$70:$DH$149),999999,IF(Pile!CR375/(Pile!CP375/1000)&gt;50,999999,IF(Pile!CR375&lt;2,999999,Pile!CR375)))</f>
        <v>4.799999999999998</v>
      </c>
      <c r="CV375" s="504">
        <f>IF(Inputs!CR38="Yes",999999,IF(Pile!CS375/(Pile!CP375/1000)&gt;50,999999,IF(Pile!CS375&lt;2,999999,Pile!CS375)))</f>
        <v>4.4999999999999982</v>
      </c>
      <c r="CW375" s="504">
        <f>IF(Inputs!$F$89/2&gt;MAX(Pile!$DH$242:$DH$321),999999,IF(Pile!CT375/(Pile!CP375/1000)&gt;50,999999,IF(Pile!CT375&lt;2,999999,IF(CT375&gt;25,999999,Pile!CT375))))</f>
        <v>4.4999999999999982</v>
      </c>
      <c r="CX375" s="506">
        <f t="shared" si="435"/>
        <v>195.72275368645057</v>
      </c>
      <c r="CY375" s="504">
        <f t="shared" si="436"/>
        <v>190.29408158104741</v>
      </c>
      <c r="CZ375" s="505">
        <f t="shared" si="437"/>
        <v>190.29408158104741</v>
      </c>
      <c r="DA375" s="467">
        <f t="shared" si="438"/>
        <v>108.86399999999999</v>
      </c>
      <c r="DB375" s="497">
        <v>2</v>
      </c>
      <c r="DC375" s="479">
        <v>600</v>
      </c>
      <c r="DD375" s="507">
        <f>Inputs!$D$40*2</f>
        <v>64</v>
      </c>
      <c r="DE375" s="504">
        <f>_xlfn.MINIFS($DE$70:$DE$149,$DH$70:$DH$149,"&gt;"&amp;Inputs!$I$96)</f>
        <v>5.0999999999999979</v>
      </c>
      <c r="DF375" s="504">
        <f>_xlfn.MINIFS($DE$156:$DE$235,$DH$156:$DH$235,"&gt;"&amp;Inputs!$I$96)</f>
        <v>4.4999999999999982</v>
      </c>
      <c r="DG375" s="505">
        <f>_xlfn.MINIFS($DE$242:$DE$321,$DH$242:$DH$321,"&gt;"&amp;Inputs!$I$96)</f>
        <v>4.799999999999998</v>
      </c>
      <c r="DH375" s="506">
        <f>IF(Inputs!$F$96/2&gt;MAX(Pile!$DH$70:$DH$149),999999,IF(Pile!DE375/(Pile!DC375/1000)&gt;50,999999,IF(Pile!DE375&lt;2,999999,Pile!DE375)))</f>
        <v>5.0999999999999979</v>
      </c>
      <c r="DI375" s="504">
        <f>IF(Inputs!DE38="Yes",999999,IF(Pile!DF375/(Pile!DC375/1000)&gt;50,999999,IF(Pile!DF375&lt;2,999999,Pile!DF375)))</f>
        <v>4.4999999999999982</v>
      </c>
      <c r="DJ375" s="504">
        <f>IF(Inputs!$F$96/2&gt;MAX(Pile!$DH$242:$DH$321),999999,IF(Pile!DG375/(Pile!DC375/1000)&gt;50,999999,IF(Pile!DG375&lt;2,999999,IF(DG375&gt;25,999999,Pile!DG375))))</f>
        <v>4.799999999999998</v>
      </c>
      <c r="DK375" s="506">
        <f t="shared" si="439"/>
        <v>201.15142579185371</v>
      </c>
      <c r="DL375" s="504">
        <f t="shared" si="440"/>
        <v>190.29408158104741</v>
      </c>
      <c r="DM375" s="505">
        <f t="shared" si="441"/>
        <v>195.72275368645057</v>
      </c>
      <c r="DN375" s="467">
        <f t="shared" si="442"/>
        <v>108.86399999999999</v>
      </c>
      <c r="DO375" s="497">
        <v>2</v>
      </c>
      <c r="DP375" s="479">
        <v>600</v>
      </c>
      <c r="DQ375" s="507">
        <f>Inputs!$D$40*2</f>
        <v>64</v>
      </c>
      <c r="DR375" s="504">
        <f>_xlfn.MINIFS($DE$70:$DE$149,$DH$70:$DH$149,"&gt;"&amp;Inputs!$I$103)</f>
        <v>4.1999999999999975</v>
      </c>
      <c r="DS375" s="504">
        <f>_xlfn.MINIFS($DE$156:$DE$235,$DH$156:$DH$235,"&gt;"&amp;Inputs!$I$103)</f>
        <v>3.5999999999999979</v>
      </c>
      <c r="DT375" s="505">
        <f>_xlfn.MINIFS($DE$242:$DE$321,$DH$242:$DH$321,"&gt;"&amp;Inputs!$I$103)</f>
        <v>3.8999999999999977</v>
      </c>
      <c r="DU375" s="506">
        <f>IF(Inputs!$F$103/2&gt;MAX(Pile!$DH$70:$DH$149),999999,IF(Pile!DR375/(Pile!DP375/1000)&gt;50,999999,IF(Pile!DR375&lt;2,999999,Pile!DR375)))</f>
        <v>4.1999999999999975</v>
      </c>
      <c r="DV375" s="504">
        <f>IF(Inputs!DR38="Yes",999999,IF(Pile!DS375/(Pile!DP375/1000)&gt;50,999999,IF(Pile!DS375&lt;2,999999,Pile!DS375)))</f>
        <v>3.5999999999999979</v>
      </c>
      <c r="DW375" s="504">
        <f>IF(Inputs!$F$103/2&gt;MAX(Pile!$DH$242:$DH$321),999999,IF(Pile!DT375/(Pile!DP375/1000)&gt;50,999999,IF(Pile!DT375&lt;2,999999,IF(DT375&gt;25,999999,Pile!DT375))))</f>
        <v>3.8999999999999977</v>
      </c>
      <c r="DX375" s="506">
        <f t="shared" si="443"/>
        <v>184.86540947564424</v>
      </c>
      <c r="DY375" s="504">
        <f t="shared" si="444"/>
        <v>174.00806526483791</v>
      </c>
      <c r="DZ375" s="505">
        <f t="shared" si="445"/>
        <v>179.43673737024108</v>
      </c>
      <c r="EA375" s="467">
        <f t="shared" si="446"/>
        <v>108.86399999999999</v>
      </c>
      <c r="EB375" s="497">
        <v>2</v>
      </c>
      <c r="EC375" s="479">
        <v>600</v>
      </c>
      <c r="ED375" s="507">
        <f>Inputs!$D$40*2</f>
        <v>64</v>
      </c>
      <c r="EE375" s="504">
        <f>_xlfn.MINIFS($DE$70:$DE$149,$DH$70:$DH$149,"&gt;"&amp;Inputs!$I$110)</f>
        <v>4.1999999999999975</v>
      </c>
      <c r="EF375" s="504">
        <f>_xlfn.MINIFS($DE$156:$DE$235,$DH$156:$DH$235,"&gt;"&amp;Inputs!$I$110)</f>
        <v>3.5999999999999979</v>
      </c>
      <c r="EG375" s="505">
        <f>_xlfn.MINIFS($DE$242:$DE$321,$DH$242:$DH$321,"&gt;"&amp;Inputs!$I$110)</f>
        <v>3.8999999999999977</v>
      </c>
      <c r="EH375" s="506">
        <f>IF(Inputs!$F$110/2&gt;MAX(Pile!$DH$70:$DH$149),999999,IF(Pile!EE375/(Pile!EC375/1000)&gt;50,999999,IF(Pile!EE375&lt;2,999999,Pile!EE375)))</f>
        <v>4.1999999999999975</v>
      </c>
      <c r="EI375" s="504">
        <f>IF(Inputs!EE38="Yes",999999,IF(Pile!EF375/(Pile!EC375/1000)&gt;50,999999,IF(Pile!EF375&lt;2,999999,Pile!EF375)))</f>
        <v>3.5999999999999979</v>
      </c>
      <c r="EJ375" s="504">
        <f>IF(Inputs!$F$110/2&gt;MAX(Pile!$DH$242:$DH$321),999999,IF(Pile!EG375/(Pile!EC375/1000)&gt;50,999999,IF(Pile!EG375&lt;2,999999,IF(EG375&gt;25,999999,Pile!EG375))))</f>
        <v>3.8999999999999977</v>
      </c>
      <c r="EK375" s="506">
        <f t="shared" si="447"/>
        <v>184.86540947564424</v>
      </c>
      <c r="EL375" s="504">
        <f t="shared" si="448"/>
        <v>174.00806526483791</v>
      </c>
      <c r="EM375" s="505">
        <f t="shared" si="449"/>
        <v>179.43673737024108</v>
      </c>
      <c r="EN375" s="467">
        <f t="shared" si="450"/>
        <v>108.86399999999999</v>
      </c>
      <c r="EO375" s="497">
        <v>2</v>
      </c>
      <c r="EP375" s="479">
        <v>600</v>
      </c>
      <c r="EQ375" s="507">
        <f>Inputs!$D$40*2</f>
        <v>64</v>
      </c>
      <c r="ER375" s="504">
        <f>_xlfn.MINIFS($DE$70:$DE$149,$DH$70:$DH$149,"&gt;"&amp;Inputs!$I$117)</f>
        <v>0.29999999999999982</v>
      </c>
      <c r="ES375" s="504">
        <f>_xlfn.MINIFS($DE$156:$DE$235,$DH$156:$DH$235,"&gt;"&amp;Inputs!$I$117)</f>
        <v>0.29999999999999982</v>
      </c>
      <c r="ET375" s="505">
        <f>_xlfn.MINIFS($DE$242:$DE$321,$DH$242:$DH$321,"&gt;"&amp;Inputs!$I$117)</f>
        <v>0.29999999999999982</v>
      </c>
      <c r="EU375" s="506">
        <f>IF(Inputs!$F$117/2&gt;MAX(Pile!$DH$70:$DH$149),999999,IF(Pile!ER375/(Pile!EP375/1000)&gt;50,999999,IF(Pile!ER375&lt;2,999999,Pile!ER375)))</f>
        <v>999999</v>
      </c>
      <c r="EV375" s="504">
        <f>IF(Inputs!ER38="Yes",999999,IF(Inputs!$F$117&gt;MAX(Pile!$DG$156:$DG$235),999999,IF(Pile!ES375/(Pile!EP375/1000)&gt;50,999999,IF(Pile!ES375&lt;2,999999,Pile!ES375))))</f>
        <v>999999</v>
      </c>
      <c r="EW375" s="504">
        <f>IF(Inputs!$F$117/2&gt;MAX(Pile!$DH$242:$DH$321),999999,IF(Pile!ET375/(Pile!EP375/1000)&gt;50,999999,IF(Pile!ET375&lt;2,999999,IF(ET375&gt;25,999999,Pile!ET375))))</f>
        <v>999999</v>
      </c>
      <c r="EX375" s="506">
        <f t="shared" si="406"/>
        <v>18095555.589103524</v>
      </c>
      <c r="EY375" s="504">
        <f t="shared" si="407"/>
        <v>18095555.589103524</v>
      </c>
      <c r="EZ375" s="505">
        <f t="shared" si="408"/>
        <v>18095555.589103524</v>
      </c>
    </row>
    <row r="376" spans="2:156" ht="15">
      <c r="B376" s="491">
        <v>2</v>
      </c>
      <c r="C376" s="476">
        <v>750</v>
      </c>
      <c r="D376" s="503">
        <f>Inputs!$D$40*2</f>
        <v>64</v>
      </c>
      <c r="E376" s="504">
        <f>_xlfn.MINIFS($DE$70:$DE$149,$DI$70:$DI$149,"&gt;"&amp;Inputs!$I$40)</f>
        <v>4.799999999999998</v>
      </c>
      <c r="F376" s="504">
        <f>_xlfn.MINIFS($DE$156:$DE$235,$DI$156:$DI$235,"&gt;"&amp;Inputs!$I$40)</f>
        <v>4.4999999999999982</v>
      </c>
      <c r="G376" s="505">
        <f>_xlfn.MINIFS($DE$242:$DE$321,$DI$242:$DI$321,"&gt;"&amp;Inputs!$I$40)</f>
        <v>4.799999999999998</v>
      </c>
      <c r="H376" s="506">
        <f>IF(Inputs!$F$40/2&gt;MAX(Pile!$DI$70:$DI$149),999999,IF(Pile!E376/(Pile!C376/1000)&gt;50,999999,IF(Pile!E376&lt;2,999999,Pile!E376)))</f>
        <v>4.799999999999998</v>
      </c>
      <c r="I376" s="504">
        <f>IF(Inputs!E39="Yes",999999,IF(Pile!F376/(Pile!C376/1000)&gt;50,999999,IF(Pile!F376&lt;2,999999,Pile!F376)))</f>
        <v>4.4999999999999982</v>
      </c>
      <c r="J376" s="504">
        <f>IF(Inputs!$F$40/2&gt;MAX(Pile!$DI$242:$DI$321),999999,IF(Pile!G376/(Pile!C376/1000)&gt;50,999999,IF(Pile!G376&lt;2,999999,IF(G376&gt;25,999999,Pile!G376))))</f>
        <v>4.799999999999998</v>
      </c>
      <c r="K376" s="506">
        <f t="shared" si="409"/>
        <v>335.30080263507898</v>
      </c>
      <c r="L376" s="504">
        <f t="shared" si="410"/>
        <v>326.81850247038659</v>
      </c>
      <c r="M376" s="505">
        <f t="shared" si="411"/>
        <v>335.30080263507898</v>
      </c>
      <c r="N376" s="466">
        <f>Inputs!$D$40*E461</f>
        <v>199.584</v>
      </c>
      <c r="O376" s="491">
        <v>2</v>
      </c>
      <c r="P376" s="476">
        <v>750</v>
      </c>
      <c r="Q376" s="503">
        <f>Inputs!$D$40*2</f>
        <v>64</v>
      </c>
      <c r="R376" s="504">
        <f>_xlfn.MINIFS($DE$70:$DE$149,$DI$70:$DI$149,"&gt;"&amp;Inputs!$I$47)</f>
        <v>4.799999999999998</v>
      </c>
      <c r="S376" s="504">
        <f>_xlfn.MINIFS($DE$156:$DE$235,$DI$156:$DI$235,"&gt;"&amp;Inputs!$I$47)</f>
        <v>4.4999999999999982</v>
      </c>
      <c r="T376" s="505">
        <f>_xlfn.MINIFS($DE$242:$DE$321,$DI$242:$DI$321,"&gt;"&amp;Inputs!$I$47)</f>
        <v>4.4999999999999982</v>
      </c>
      <c r="U376" s="506">
        <f>IF(Inputs!$F$47/2&gt;MAX(Pile!$DI$70:$DI$149),999999,IF(Pile!R376/(Pile!P376/1000)&gt;50,999999,IF(Pile!R376&lt;2,999999,Pile!R376)))</f>
        <v>4.799999999999998</v>
      </c>
      <c r="V376" s="504">
        <f>IF(Inputs!R39="Yes",999999,IF(Pile!S376/(Pile!P376/1000)&gt;50,999999,IF(Pile!S376&lt;2,999999,Pile!S376)))</f>
        <v>4.4999999999999982</v>
      </c>
      <c r="W376" s="504">
        <f>IF(Inputs!$F$47/2&gt;MAX(Pile!$DI$242:$DI$321),999999,IF(Pile!T376/(Pile!P376/1000)&gt;50,999999,IF(Pile!T376&lt;2,999999,IF(T376&gt;25,999999,Pile!T376))))</f>
        <v>4.4999999999999982</v>
      </c>
      <c r="X376" s="506">
        <f t="shared" si="412"/>
        <v>335.30080263507898</v>
      </c>
      <c r="Y376" s="504">
        <f t="shared" si="413"/>
        <v>326.81850247038659</v>
      </c>
      <c r="Z376" s="505">
        <f t="shared" si="414"/>
        <v>326.81850247038659</v>
      </c>
      <c r="AA376" s="467">
        <f t="shared" si="369"/>
        <v>199.584</v>
      </c>
      <c r="AB376" s="497">
        <v>2</v>
      </c>
      <c r="AC376" s="479">
        <v>750</v>
      </c>
      <c r="AD376" s="507">
        <f>Inputs!$D$40*2</f>
        <v>64</v>
      </c>
      <c r="AE376" s="504">
        <f>_xlfn.MINIFS($DE$70:$DE$149,$DI$70:$DI$149,"&gt;"&amp;Inputs!$I$54)</f>
        <v>4.799999999999998</v>
      </c>
      <c r="AF376" s="504">
        <f>_xlfn.MINIFS($DE$156:$DE$235,$DI$156:$DI$235,"&gt;"&amp;Inputs!$I$54)</f>
        <v>4.1999999999999975</v>
      </c>
      <c r="AG376" s="505">
        <f>_xlfn.MINIFS($DE$242:$DE$321,$DI$242:$DI$321,"&gt;"&amp;Inputs!$I$54)</f>
        <v>4.4999999999999982</v>
      </c>
      <c r="AH376" s="506">
        <f>IF(Inputs!$F$54/2&gt;MAX(Pile!$DI$70:$DI$149),999999,IF(Pile!AE376/(Pile!AC376/1000)&gt;50,999999,IF(Pile!AE376&lt;2,999999,Pile!AE376)))</f>
        <v>4.799999999999998</v>
      </c>
      <c r="AI376" s="504">
        <f>IF(Inputs!AE39="Yes",999999,IF(Pile!AF376/(Pile!AC376/1000)&gt;50,999999,IF(Pile!AF376&lt;2,999999,Pile!AF376)))</f>
        <v>4.1999999999999975</v>
      </c>
      <c r="AJ376" s="504">
        <f>IF(Inputs!$F$54/2&gt;MAX(Pile!$DI$242:$DI$321),999999,IF(Pile!AG376/(Pile!AC376/1000)&gt;50,999999,IF(Pile!AG376&lt;2,999999,IF(AG376&gt;25,999999,Pile!AG376))))</f>
        <v>4.4999999999999982</v>
      </c>
      <c r="AK376" s="506">
        <f t="shared" si="415"/>
        <v>335.30080263507898</v>
      </c>
      <c r="AL376" s="504">
        <f t="shared" si="416"/>
        <v>318.33620230569409</v>
      </c>
      <c r="AM376" s="505">
        <f t="shared" si="417"/>
        <v>326.81850247038659</v>
      </c>
      <c r="AN376" s="471">
        <f t="shared" si="418"/>
        <v>199.584</v>
      </c>
      <c r="AO376" s="497">
        <v>2</v>
      </c>
      <c r="AP376" s="479">
        <v>750</v>
      </c>
      <c r="AQ376" s="507">
        <f>Inputs!$D$40*2</f>
        <v>64</v>
      </c>
      <c r="AR376" s="504">
        <f>_xlfn.MINIFS($DE$70:$DE$149,$DI$70:$DI$149,"&gt;"&amp;Inputs!$I$61)</f>
        <v>4.799999999999998</v>
      </c>
      <c r="AS376" s="504">
        <f>_xlfn.MINIFS($DE$156:$DE$235,$DI$156:$DI$235,"&gt;"&amp;Inputs!$I$61)</f>
        <v>4.1999999999999975</v>
      </c>
      <c r="AT376" s="505">
        <f>_xlfn.MINIFS($DE$242:$DE$321,$DI$242:$DI$321,"&gt;"&amp;Inputs!$I$61)</f>
        <v>4.4999999999999982</v>
      </c>
      <c r="AU376" s="506">
        <f>IF(Inputs!$F$61/2&gt;MAX(Pile!$DI$70:$DI$149),999999,IF(Pile!AR376/(Pile!AP376/1000)&gt;50,999999,IF(Pile!AR376&lt;2,999999,Pile!AR376)))</f>
        <v>4.799999999999998</v>
      </c>
      <c r="AV376" s="504">
        <f>IF(Inputs!AR39="Yes",999999,IF(Pile!AS376/(Pile!AP376/1000)&gt;50,999999,IF(Pile!AS376&lt;2,999999,Pile!AS376)))</f>
        <v>4.1999999999999975</v>
      </c>
      <c r="AW376" s="504">
        <f>IF(Inputs!$F$61/2&gt;MAX(Pile!$DI$242:$DI$321),999999,IF(Pile!AT376/(Pile!AP376/1000)&gt;50,999999,IF(Pile!AT376&lt;2,999999,IF(AT376&gt;25,999999,Pile!AT376))))</f>
        <v>4.4999999999999982</v>
      </c>
      <c r="AX376" s="506">
        <f t="shared" si="419"/>
        <v>335.30080263507898</v>
      </c>
      <c r="AY376" s="504">
        <f t="shared" si="420"/>
        <v>318.33620230569409</v>
      </c>
      <c r="AZ376" s="505">
        <f t="shared" si="421"/>
        <v>326.81850247038659</v>
      </c>
      <c r="BA376" s="467">
        <f t="shared" si="422"/>
        <v>199.584</v>
      </c>
      <c r="BB376" s="497">
        <v>2</v>
      </c>
      <c r="BC376" s="479">
        <v>750</v>
      </c>
      <c r="BD376" s="507">
        <f>Inputs!$D$40*2</f>
        <v>64</v>
      </c>
      <c r="BE376" s="504">
        <f>_xlfn.MINIFS($DE$70:$DE$149,$DI$70:$DI$149,"&gt;"&amp;Inputs!$I$68)</f>
        <v>4.799999999999998</v>
      </c>
      <c r="BF376" s="504">
        <f>_xlfn.MINIFS($DE$156:$DE$235,$DI$156:$DI$235,"&gt;"&amp;Inputs!$I$68)</f>
        <v>4.1999999999999975</v>
      </c>
      <c r="BG376" s="505">
        <f>_xlfn.MINIFS($DE$242:$DE$321,$DI$242:$DI$321,"&gt;"&amp;Inputs!$I$68)</f>
        <v>4.4999999999999982</v>
      </c>
      <c r="BH376" s="506">
        <f>IF(Inputs!$F$68/2&gt;MAX(Pile!$DI$70:$DI$149),999999,IF(Pile!BE376/(Pile!BC376/1000)&gt;50,999999,IF(Pile!BE376&lt;2,999999,Pile!BE376)))</f>
        <v>4.799999999999998</v>
      </c>
      <c r="BI376" s="504">
        <f>IF(Inputs!BE39="Yes",999999,IF(Pile!BF376/(Pile!BC376/1000)&gt;50,999999,IF(Pile!BF376&lt;2,999999,Pile!BF376)))</f>
        <v>4.1999999999999975</v>
      </c>
      <c r="BJ376" s="504">
        <f>IF(Inputs!$F$68/2&gt;MAX(Pile!$DI$242:$DI$321),999999,IF(Pile!BG376/(Pile!BC376/1000)&gt;50,999999,IF(Pile!BG376&lt;2,999999,IF(BG376&gt;25,999999,Pile!BG376))))</f>
        <v>4.4999999999999982</v>
      </c>
      <c r="BK376" s="506">
        <f t="shared" si="423"/>
        <v>335.30080263507898</v>
      </c>
      <c r="BL376" s="504">
        <f t="shared" si="424"/>
        <v>318.33620230569409</v>
      </c>
      <c r="BM376" s="505">
        <f t="shared" si="425"/>
        <v>326.81850247038659</v>
      </c>
      <c r="BN376" s="467">
        <f t="shared" si="426"/>
        <v>199.584</v>
      </c>
      <c r="BO376" s="497">
        <v>2</v>
      </c>
      <c r="BP376" s="479">
        <v>750</v>
      </c>
      <c r="BQ376" s="507">
        <f>Inputs!$D$40*2</f>
        <v>64</v>
      </c>
      <c r="BR376" s="504">
        <f>_xlfn.MINIFS($DE$70:$DE$149,$DI$70:$DI$149,"&gt;"&amp;Inputs!$I$75)</f>
        <v>5.3999999999999977</v>
      </c>
      <c r="BS376" s="504">
        <f>_xlfn.MINIFS($DE$156:$DE$235,$DI$156:$DI$235,"&gt;"&amp;Inputs!$I$75)</f>
        <v>4.799999999999998</v>
      </c>
      <c r="BT376" s="505">
        <f>_xlfn.MINIFS($DE$242:$DE$321,$DI$242:$DI$321,"&gt;"&amp;Inputs!$I$75)</f>
        <v>5.0999999999999979</v>
      </c>
      <c r="BU376" s="506">
        <f>IF(Inputs!$F$75/2&gt;MAX(Pile!$DI$70:$DI$149),999999,IF(Pile!BR376/(Pile!BP376/1000)&gt;50,999999,IF(Pile!BR376&lt;2,999999,Pile!BR376)))</f>
        <v>5.3999999999999977</v>
      </c>
      <c r="BV376" s="504">
        <f>IF(Inputs!BR39="Yes",999999,IF(Pile!BS376/(Pile!BP376/1000)&gt;50,999999,IF(Pile!BS376&lt;2,999999,Pile!BS376)))</f>
        <v>4.799999999999998</v>
      </c>
      <c r="BW376" s="504">
        <f>IF(Inputs!$F$75/2&gt;MAX(Pile!$DI$242:$DI$321),999999,IF(Pile!BT376/(Pile!BP376/1000)&gt;50,999999,IF(Pile!BT376&lt;2,999999,IF(BT376&gt;25,999999,Pile!BT376))))</f>
        <v>5.0999999999999979</v>
      </c>
      <c r="BX376" s="506">
        <f t="shared" si="427"/>
        <v>352.26540296446387</v>
      </c>
      <c r="BY376" s="504">
        <f t="shared" si="428"/>
        <v>335.30080263507898</v>
      </c>
      <c r="BZ376" s="505">
        <f t="shared" si="429"/>
        <v>343.78310279977143</v>
      </c>
      <c r="CA376" s="467">
        <f t="shared" si="430"/>
        <v>199.584</v>
      </c>
      <c r="CB376" s="497">
        <v>2</v>
      </c>
      <c r="CC376" s="479">
        <v>750</v>
      </c>
      <c r="CD376" s="507">
        <f>Inputs!$D$40*2</f>
        <v>64</v>
      </c>
      <c r="CE376" s="504">
        <f>_xlfn.MINIFS($DE$70:$DE$149,$DI$70:$DI$149,"&gt;"&amp;Inputs!$I$82)</f>
        <v>3.8999999999999977</v>
      </c>
      <c r="CF376" s="504">
        <f>_xlfn.MINIFS($DE$156:$DE$235,$DI$156:$DI$235,"&gt;"&amp;Inputs!$I$82)</f>
        <v>3.5999999999999979</v>
      </c>
      <c r="CG376" s="505">
        <f>_xlfn.MINIFS($DE$242:$DE$321,$DI$242:$DI$321,"&gt;"&amp;Inputs!$I$82)</f>
        <v>3.5999999999999979</v>
      </c>
      <c r="CH376" s="506">
        <f>IF(Inputs!$F$82/2&gt;MAX(Pile!$DI$70:$DI$149),999999,IF(Pile!CE376/(Pile!CC376/1000)&gt;50,999999,IF(Pile!CE376&lt;2,999999,Pile!CE376)))</f>
        <v>3.8999999999999977</v>
      </c>
      <c r="CI376" s="504">
        <f>IF(Inputs!CE39="Yes",999999,IF(Pile!CF376/(Pile!CC376/1000)&gt;50,999999,IF(Pile!CF376&lt;2,999999,Pile!CF376)))</f>
        <v>3.5999999999999979</v>
      </c>
      <c r="CJ376" s="504">
        <f>IF(Inputs!$F$82/2&gt;MAX(Pile!$DI$242:$DI$321),999999,IF(Pile!CG376/(Pile!CC376/1000)&gt;50,999999,IF(Pile!CG376&lt;2,999999,IF(CG376&gt;25,999999,Pile!CG376))))</f>
        <v>3.5999999999999979</v>
      </c>
      <c r="CK376" s="506">
        <f t="shared" si="431"/>
        <v>309.8539021410017</v>
      </c>
      <c r="CL376" s="504">
        <f t="shared" si="432"/>
        <v>301.37160197630925</v>
      </c>
      <c r="CM376" s="505">
        <f t="shared" si="433"/>
        <v>301.37160197630925</v>
      </c>
      <c r="CN376" s="467">
        <f t="shared" si="434"/>
        <v>199.584</v>
      </c>
      <c r="CO376" s="497">
        <v>2</v>
      </c>
      <c r="CP376" s="479">
        <v>750</v>
      </c>
      <c r="CQ376" s="507">
        <f>Inputs!$D$40*2</f>
        <v>64</v>
      </c>
      <c r="CR376" s="504">
        <f>_xlfn.MINIFS($DE$70:$DE$149,$DI$70:$DI$149,"&gt;"&amp;Inputs!$I$89)</f>
        <v>3.5999999999999979</v>
      </c>
      <c r="CS376" s="504">
        <f>_xlfn.MINIFS($DE$156:$DE$235,$DI$156:$DI$235,"&gt;"&amp;Inputs!$I$89)</f>
        <v>3.299999999999998</v>
      </c>
      <c r="CT376" s="505">
        <f>_xlfn.MINIFS($DE$242:$DE$321,$DI$242:$DI$321,"&gt;"&amp;Inputs!$I$89)</f>
        <v>3.5999999999999979</v>
      </c>
      <c r="CU376" s="506">
        <f>IF(Inputs!$F$89/2&gt;MAX(Pile!$DI$70:$DI$149),999999,IF(Pile!CR376/(Pile!CP376/1000)&gt;50,999999,IF(Pile!CR376&lt;2,999999,Pile!CR376)))</f>
        <v>3.5999999999999979</v>
      </c>
      <c r="CV376" s="504">
        <f>IF(Inputs!CR39="Yes",999999,IF(Pile!CS376/(Pile!CP376/1000)&gt;50,999999,IF(Pile!CS376&lt;2,999999,Pile!CS376)))</f>
        <v>3.299999999999998</v>
      </c>
      <c r="CW376" s="504">
        <f>IF(Inputs!$F$89/2&gt;MAX(Pile!$DI$242:$DI$321),999999,IF(Pile!CT376/(Pile!CP376/1000)&gt;50,999999,IF(Pile!CT376&lt;2,999999,IF(CT376&gt;25,999999,Pile!CT376))))</f>
        <v>3.5999999999999979</v>
      </c>
      <c r="CX376" s="506">
        <f t="shared" si="435"/>
        <v>301.37160197630925</v>
      </c>
      <c r="CY376" s="504">
        <f t="shared" si="436"/>
        <v>292.8893018116168</v>
      </c>
      <c r="CZ376" s="505">
        <f t="shared" si="437"/>
        <v>301.37160197630925</v>
      </c>
      <c r="DA376" s="467">
        <f t="shared" si="438"/>
        <v>199.584</v>
      </c>
      <c r="DB376" s="497">
        <v>2</v>
      </c>
      <c r="DC376" s="479">
        <v>750</v>
      </c>
      <c r="DD376" s="507">
        <f>Inputs!$D$40*2</f>
        <v>64</v>
      </c>
      <c r="DE376" s="504">
        <f>_xlfn.MINIFS($DE$70:$DE$149,$DI$70:$DI$149,"&gt;"&amp;Inputs!$I$96)</f>
        <v>3.5999999999999979</v>
      </c>
      <c r="DF376" s="504">
        <f>_xlfn.MINIFS($DE$156:$DE$235,$DI$156:$DI$235,"&gt;"&amp;Inputs!$I$96)</f>
        <v>3.299999999999998</v>
      </c>
      <c r="DG376" s="505">
        <f>_xlfn.MINIFS($DE$242:$DE$321,$DI$242:$DI$321,"&gt;"&amp;Inputs!$I$96)</f>
        <v>3.5999999999999979</v>
      </c>
      <c r="DH376" s="506">
        <f>IF(Inputs!$F$96/2&gt;MAX(Pile!$DI$70:$DI$149),999999,IF(Pile!DE376/(Pile!DC376/1000)&gt;50,999999,IF(Pile!DE376&lt;2,999999,Pile!DE376)))</f>
        <v>3.5999999999999979</v>
      </c>
      <c r="DI376" s="504">
        <f>IF(Inputs!DE39="Yes",999999,IF(Pile!DF376/(Pile!DC376/1000)&gt;50,999999,IF(Pile!DF376&lt;2,999999,Pile!DF376)))</f>
        <v>3.299999999999998</v>
      </c>
      <c r="DJ376" s="504">
        <f>IF(Inputs!$F$96/2&gt;MAX(Pile!$DI$242:$DI$321),999999,IF(Pile!DG376/(Pile!DC376/1000)&gt;50,999999,IF(Pile!DG376&lt;2,999999,IF(DG376&gt;25,999999,Pile!DG376))))</f>
        <v>3.5999999999999979</v>
      </c>
      <c r="DK376" s="506">
        <f t="shared" si="439"/>
        <v>301.37160197630925</v>
      </c>
      <c r="DL376" s="504">
        <f t="shared" si="440"/>
        <v>292.8893018116168</v>
      </c>
      <c r="DM376" s="505">
        <f t="shared" si="441"/>
        <v>301.37160197630925</v>
      </c>
      <c r="DN376" s="467">
        <f t="shared" si="442"/>
        <v>199.584</v>
      </c>
      <c r="DO376" s="497">
        <v>2</v>
      </c>
      <c r="DP376" s="479">
        <v>750</v>
      </c>
      <c r="DQ376" s="507">
        <f>Inputs!$D$40*2</f>
        <v>64</v>
      </c>
      <c r="DR376" s="504">
        <f>_xlfn.MINIFS($DE$70:$DE$149,$DI$70:$DI$149,"&gt;"&amp;Inputs!$I$103)</f>
        <v>2.9999999999999982</v>
      </c>
      <c r="DS376" s="504">
        <f>_xlfn.MINIFS($DE$156:$DE$235,$DI$156:$DI$235,"&gt;"&amp;Inputs!$I$103)</f>
        <v>2.6999999999999984</v>
      </c>
      <c r="DT376" s="505">
        <f>_xlfn.MINIFS($DE$242:$DE$321,$DI$242:$DI$321,"&gt;"&amp;Inputs!$I$103)</f>
        <v>2.9999999999999982</v>
      </c>
      <c r="DU376" s="506">
        <f>IF(Inputs!$F$103/2&gt;MAX(Pile!$DI$70:$DI$149),999999,IF(Pile!DR376/(Pile!DP376/1000)&gt;50,999999,IF(Pile!DR376&lt;2,999999,Pile!DR376)))</f>
        <v>2.9999999999999982</v>
      </c>
      <c r="DV376" s="504">
        <f>IF(Inputs!DR39="Yes",999999,IF(Pile!DS376/(Pile!DP376/1000)&gt;50,999999,IF(Pile!DS376&lt;2,999999,Pile!DS376)))</f>
        <v>2.6999999999999984</v>
      </c>
      <c r="DW376" s="504">
        <f>IF(Inputs!$F$103/2&gt;MAX(Pile!$DI$242:$DI$321),999999,IF(Pile!DT376/(Pile!DP376/1000)&gt;50,999999,IF(Pile!DT376&lt;2,999999,IF(DT376&gt;25,999999,Pile!DT376))))</f>
        <v>2.9999999999999982</v>
      </c>
      <c r="DX376" s="506">
        <f t="shared" si="443"/>
        <v>284.40700164692436</v>
      </c>
      <c r="DY376" s="504">
        <f t="shared" si="444"/>
        <v>275.92470148223191</v>
      </c>
      <c r="DZ376" s="505">
        <f t="shared" si="445"/>
        <v>284.40700164692436</v>
      </c>
      <c r="EA376" s="467">
        <f t="shared" si="446"/>
        <v>199.584</v>
      </c>
      <c r="EB376" s="497">
        <v>2</v>
      </c>
      <c r="EC376" s="479">
        <v>750</v>
      </c>
      <c r="ED376" s="507">
        <f>Inputs!$D$40*2</f>
        <v>64</v>
      </c>
      <c r="EE376" s="504">
        <f>_xlfn.MINIFS($DE$70:$DE$149,$DI$70:$DI$149,"&gt;"&amp;Inputs!$I$110)</f>
        <v>2.9999999999999982</v>
      </c>
      <c r="EF376" s="504">
        <f>_xlfn.MINIFS($DE$156:$DE$235,$DI$156:$DI$235,"&gt;"&amp;Inputs!$I$110)</f>
        <v>2.6999999999999984</v>
      </c>
      <c r="EG376" s="505">
        <f>_xlfn.MINIFS($DE$242:$DE$321,$DI$242:$DI$321,"&gt;"&amp;Inputs!$I$110)</f>
        <v>2.9999999999999982</v>
      </c>
      <c r="EH376" s="506">
        <f>IF(Inputs!$F$110/2&gt;MAX(Pile!$DI$70:$DI$149),999999,IF(Pile!EE376/(Pile!EC376/1000)&gt;50,999999,IF(Pile!EE376&lt;2,999999,Pile!EE376)))</f>
        <v>2.9999999999999982</v>
      </c>
      <c r="EI376" s="504">
        <f>IF(Inputs!EE39="Yes",999999,IF(Pile!EF376/(Pile!EC376/1000)&gt;50,999999,IF(Pile!EF376&lt;2,999999,Pile!EF376)))</f>
        <v>2.6999999999999984</v>
      </c>
      <c r="EJ376" s="504">
        <f>IF(Inputs!$F$110/2&gt;MAX(Pile!$DI$242:$DI$321),999999,IF(Pile!EG376/(Pile!EC376/1000)&gt;50,999999,IF(Pile!EG376&lt;2,999999,IF(EG376&gt;25,999999,Pile!EG376))))</f>
        <v>2.9999999999999982</v>
      </c>
      <c r="EK376" s="506">
        <f t="shared" si="447"/>
        <v>284.40700164692436</v>
      </c>
      <c r="EL376" s="504">
        <f t="shared" si="448"/>
        <v>275.92470148223191</v>
      </c>
      <c r="EM376" s="505">
        <f t="shared" si="449"/>
        <v>284.40700164692436</v>
      </c>
      <c r="EN376" s="467">
        <f t="shared" si="450"/>
        <v>199.584</v>
      </c>
      <c r="EO376" s="497">
        <v>2</v>
      </c>
      <c r="EP376" s="479">
        <v>750</v>
      </c>
      <c r="EQ376" s="507">
        <f>Inputs!$D$40*2</f>
        <v>64</v>
      </c>
      <c r="ER376" s="504">
        <f>_xlfn.MINIFS($DE$70:$DE$149,$DI$70:$DI$149,"&gt;"&amp;Inputs!$I$117)</f>
        <v>0.29999999999999982</v>
      </c>
      <c r="ES376" s="504">
        <f>_xlfn.MINIFS($DE$156:$DE$235,$DI$156:$DI$235,"&gt;"&amp;Inputs!$I$117)</f>
        <v>0.29999999999999982</v>
      </c>
      <c r="ET376" s="505">
        <f>_xlfn.MINIFS($DE$242:$DE$321,$DI$242:$DI$321,"&gt;"&amp;Inputs!$I$117)</f>
        <v>0.29999999999999982</v>
      </c>
      <c r="EU376" s="506">
        <f>IF(Inputs!$F$117/2&gt;MAX(Pile!$DI$70:$DI$149),999999,IF(Pile!ER376/(Pile!EP376/1000)&gt;50,999999,IF(Pile!ER376&lt;2,999999,Pile!ER376)))</f>
        <v>999999</v>
      </c>
      <c r="EV376" s="504">
        <f>IF(Inputs!ER39="Yes",999999,IF(Inputs!$F$117&gt;MAX(Pile!$DG$156:$DG$235),999999,IF(Pile!ES376/(Pile!EP376/1000)&gt;50,999999,IF(Pile!ES376&lt;2,999999,Pile!ES376))))</f>
        <v>999999</v>
      </c>
      <c r="EW376" s="504">
        <f>IF(Inputs!$F$117/2&gt;MAX(Pile!$DI$242:$DI$321),999999,IF(Pile!ET376/(Pile!EP376/1000)&gt;50,999999,IF(Pile!ET376&lt;2,999999,IF(ET376&gt;25,999999,Pile!ET376))))</f>
        <v>999999</v>
      </c>
      <c r="EX376" s="506">
        <f t="shared" si="406"/>
        <v>28274305.607974257</v>
      </c>
      <c r="EY376" s="504">
        <f t="shared" si="407"/>
        <v>28274305.607974257</v>
      </c>
      <c r="EZ376" s="505">
        <f t="shared" si="408"/>
        <v>28274305.607974257</v>
      </c>
    </row>
    <row r="377" spans="2:156" ht="15">
      <c r="B377" s="491">
        <v>2</v>
      </c>
      <c r="C377" s="476">
        <v>900</v>
      </c>
      <c r="D377" s="503">
        <f>Inputs!$D$40*2</f>
        <v>64</v>
      </c>
      <c r="E377" s="504">
        <f>_xlfn.MINIFS($DE$70:$DE$149,$DJ$70:$DJ$149,"&gt;"&amp;Inputs!$I$40)</f>
        <v>3.8999999999999977</v>
      </c>
      <c r="F377" s="504">
        <f>_xlfn.MINIFS($DE$156:$DE$235,$DJ$156:$DJ$235,"&gt;"&amp;Inputs!$I$40)</f>
        <v>0</v>
      </c>
      <c r="G377" s="505">
        <f>_xlfn.MINIFS($DE$242:$DE$321,$DJ$242:$DJ$321,"&gt;"&amp;Inputs!$I$40)</f>
        <v>3.5999999999999979</v>
      </c>
      <c r="H377" s="506">
        <f>IF(Inputs!$F$40/2&gt;MAX(Pile!$DJ$70:$DJ$149),999999,IF(Pile!E377/(Pile!C377/1000)&gt;50,999999,IF(Pile!E377&lt;2,999999,Pile!E377)))</f>
        <v>3.8999999999999977</v>
      </c>
      <c r="I377" s="504">
        <f>IF(Inputs!E40="Yes",999999,IF(Pile!F377/(Pile!C377/1000)&gt;50,999999,IF(Pile!F377&lt;2,999999,Pile!F377)))</f>
        <v>999999</v>
      </c>
      <c r="J377" s="504">
        <f>IF(Inputs!$F$40/2&gt;MAX(Pile!$DJ$242:$DJ$321),999999,IF(Pile!G377/(Pile!C377/1000)&gt;50,999999,IF(Pile!G377&lt;2,999999,IF(G377&gt;25,999999,Pile!G377))))</f>
        <v>3.5999999999999979</v>
      </c>
      <c r="K377" s="506">
        <f t="shared" si="409"/>
        <v>488.26065908304241</v>
      </c>
      <c r="L377" s="504">
        <f t="shared" si="410"/>
        <v>40715329.547482938</v>
      </c>
      <c r="M377" s="505">
        <f t="shared" si="411"/>
        <v>476.04614684588529</v>
      </c>
      <c r="N377" s="466">
        <f>Inputs!$D$40*E462</f>
        <v>329.47199999999998</v>
      </c>
      <c r="O377" s="491">
        <v>2</v>
      </c>
      <c r="P377" s="476">
        <v>900</v>
      </c>
      <c r="Q377" s="503">
        <f>Inputs!$D$40*2</f>
        <v>64</v>
      </c>
      <c r="R377" s="504">
        <f>_xlfn.MINIFS($DE$70:$DE$149,$DJ$70:$DJ$149,"&gt;"&amp;Inputs!$I$47)</f>
        <v>3.8999999999999977</v>
      </c>
      <c r="S377" s="504">
        <f>_xlfn.MINIFS($DE$156:$DE$235,$DJ$156:$DJ$235,"&gt;"&amp;Inputs!$I$47)</f>
        <v>0</v>
      </c>
      <c r="T377" s="505">
        <f>_xlfn.MINIFS($DE$242:$DE$321,$DJ$242:$DJ$321,"&gt;"&amp;Inputs!$I$47)</f>
        <v>3.5999999999999979</v>
      </c>
      <c r="U377" s="506">
        <f>IF(Inputs!$F$47/2&gt;MAX(Pile!$DJ$70:$DJ$149),999999,IF(Pile!R377/(Pile!P377/1000)&gt;50,999999,IF(Pile!R377&lt;2,999999,Pile!R377)))</f>
        <v>3.8999999999999977</v>
      </c>
      <c r="V377" s="504">
        <f>IF(Inputs!R40="Yes",999999,IF(Pile!S377/(Pile!P377/1000)&gt;50,999999,IF(Pile!S377&lt;2,999999,Pile!S377)))</f>
        <v>999999</v>
      </c>
      <c r="W377" s="504">
        <f>IF(Inputs!$F$47/2&gt;MAX(Pile!$DJ$242:$DJ$321),999999,IF(Pile!T377/(Pile!P377/1000)&gt;50,999999,IF(Pile!T377&lt;2,999999,IF(T377&gt;25,999999,Pile!T377))))</f>
        <v>3.5999999999999979</v>
      </c>
      <c r="X377" s="506">
        <f t="shared" si="412"/>
        <v>488.26065908304241</v>
      </c>
      <c r="Y377" s="504">
        <f t="shared" si="413"/>
        <v>40715329.547482938</v>
      </c>
      <c r="Z377" s="505">
        <f t="shared" si="414"/>
        <v>476.04614684588529</v>
      </c>
      <c r="AA377" s="467">
        <f t="shared" si="369"/>
        <v>329.47199999999998</v>
      </c>
      <c r="AB377" s="497">
        <v>2</v>
      </c>
      <c r="AC377" s="479">
        <v>900</v>
      </c>
      <c r="AD377" s="507">
        <f>Inputs!$D$40*2</f>
        <v>64</v>
      </c>
      <c r="AE377" s="504">
        <f>_xlfn.MINIFS($DE$70:$DE$149,$DJ$70:$DJ$149,"&gt;"&amp;Inputs!$I$54)</f>
        <v>3.5999999999999979</v>
      </c>
      <c r="AF377" s="504">
        <f>_xlfn.MINIFS($DE$156:$DE$235,$DJ$156:$DJ$235,"&gt;"&amp;Inputs!$I$54)</f>
        <v>0</v>
      </c>
      <c r="AG377" s="505">
        <f>_xlfn.MINIFS($DE$242:$DE$321,$DJ$242:$DJ$321,"&gt;"&amp;Inputs!$I$54)</f>
        <v>3.5999999999999979</v>
      </c>
      <c r="AH377" s="506">
        <f>IF(Inputs!$F$54/2&gt;MAX(Pile!$DJ$70:$DJ$149),999999,IF(Pile!AE377/(Pile!AC377/1000)&gt;50,999999,IF(Pile!AE377&lt;2,999999,Pile!AE377)))</f>
        <v>3.5999999999999979</v>
      </c>
      <c r="AI377" s="504">
        <f>IF(Inputs!AE40="Yes",999999,IF(Pile!AF377/(Pile!AC377/1000)&gt;50,999999,IF(Pile!AF377&lt;2,999999,Pile!AF377)))</f>
        <v>999999</v>
      </c>
      <c r="AJ377" s="504">
        <f>IF(Inputs!$F$54/2&gt;MAX(Pile!$DJ$242:$DJ$321),999999,IF(Pile!AG377/(Pile!AC377/1000)&gt;50,999999,IF(Pile!AG377&lt;2,999999,IF(AG377&gt;25,999999,Pile!AG377))))</f>
        <v>3.5999999999999979</v>
      </c>
      <c r="AK377" s="506">
        <f t="shared" si="415"/>
        <v>476.04614684588529</v>
      </c>
      <c r="AL377" s="504">
        <f t="shared" si="416"/>
        <v>40715329.547482938</v>
      </c>
      <c r="AM377" s="505">
        <f t="shared" si="417"/>
        <v>476.04614684588529</v>
      </c>
      <c r="AN377" s="471">
        <f t="shared" si="418"/>
        <v>329.47199999999998</v>
      </c>
      <c r="AO377" s="497">
        <v>2</v>
      </c>
      <c r="AP377" s="479">
        <v>900</v>
      </c>
      <c r="AQ377" s="507">
        <f>Inputs!$D$40*2</f>
        <v>64</v>
      </c>
      <c r="AR377" s="504">
        <f>_xlfn.MINIFS($DE$70:$DE$149,$DJ$70:$DJ$149,"&gt;"&amp;Inputs!$I$61)</f>
        <v>3.5999999999999979</v>
      </c>
      <c r="AS377" s="504">
        <f>_xlfn.MINIFS($DE$156:$DE$235,$DJ$156:$DJ$235,"&gt;"&amp;Inputs!$I$61)</f>
        <v>0</v>
      </c>
      <c r="AT377" s="505">
        <f>_xlfn.MINIFS($DE$242:$DE$321,$DJ$242:$DJ$321,"&gt;"&amp;Inputs!$I$61)</f>
        <v>3.5999999999999979</v>
      </c>
      <c r="AU377" s="506">
        <f>IF(Inputs!$F$61/2&gt;MAX(Pile!$DJ$70:$DJ$149),999999,IF(Pile!AR377/(Pile!AP377/1000)&gt;50,999999,IF(Pile!AR377&lt;2,999999,Pile!AR377)))</f>
        <v>3.5999999999999979</v>
      </c>
      <c r="AV377" s="504">
        <f>IF(Inputs!AR40="Yes",999999,IF(Pile!AS377/(Pile!AP377/1000)&gt;50,999999,IF(Pile!AS377&lt;2,999999,Pile!AS377)))</f>
        <v>999999</v>
      </c>
      <c r="AW377" s="504">
        <f>IF(Inputs!$F$61/2&gt;MAX(Pile!$DJ$242:$DJ$321),999999,IF(Pile!AT377/(Pile!AP377/1000)&gt;50,999999,IF(Pile!AT377&lt;2,999999,IF(AT377&gt;25,999999,Pile!AT377))))</f>
        <v>3.5999999999999979</v>
      </c>
      <c r="AX377" s="506">
        <f t="shared" si="419"/>
        <v>476.04614684588529</v>
      </c>
      <c r="AY377" s="504">
        <f t="shared" si="420"/>
        <v>40715329.547482938</v>
      </c>
      <c r="AZ377" s="505">
        <f t="shared" si="421"/>
        <v>476.04614684588529</v>
      </c>
      <c r="BA377" s="467">
        <f t="shared" si="422"/>
        <v>329.47199999999998</v>
      </c>
      <c r="BB377" s="497">
        <v>2</v>
      </c>
      <c r="BC377" s="479">
        <v>900</v>
      </c>
      <c r="BD377" s="507">
        <f>Inputs!$D$40*2</f>
        <v>64</v>
      </c>
      <c r="BE377" s="504">
        <f>_xlfn.MINIFS($DE$70:$DE$149,$DJ$70:$DJ$149,"&gt;"&amp;Inputs!$I$68)</f>
        <v>3.5999999999999979</v>
      </c>
      <c r="BF377" s="504">
        <f>_xlfn.MINIFS($DE$156:$DE$235,$DJ$156:$DJ$235,"&gt;"&amp;Inputs!$I$68)</f>
        <v>0</v>
      </c>
      <c r="BG377" s="505">
        <f>_xlfn.MINIFS($DE$242:$DE$321,$DJ$242:$DJ$321,"&gt;"&amp;Inputs!$I$68)</f>
        <v>3.5999999999999979</v>
      </c>
      <c r="BH377" s="506">
        <f>IF(Inputs!$F$68/2&gt;MAX(Pile!$DJ$70:$DJ$149),999999,IF(Pile!BE377/(Pile!BC377/1000)&gt;50,999999,IF(Pile!BE377&lt;2,999999,Pile!BE377)))</f>
        <v>3.5999999999999979</v>
      </c>
      <c r="BI377" s="504">
        <f>IF(Inputs!BE40="Yes",999999,IF(Pile!BF377/(Pile!BC377/1000)&gt;50,999999,IF(Pile!BF377&lt;2,999999,Pile!BF377)))</f>
        <v>999999</v>
      </c>
      <c r="BJ377" s="504">
        <f>IF(Inputs!$F$68/2&gt;MAX(Pile!$DJ$242:$DJ$321),999999,IF(Pile!BG377/(Pile!BC377/1000)&gt;50,999999,IF(Pile!BG377&lt;2,999999,IF(BG377&gt;25,999999,Pile!BG377))))</f>
        <v>3.5999999999999979</v>
      </c>
      <c r="BK377" s="506">
        <f t="shared" si="423"/>
        <v>476.04614684588529</v>
      </c>
      <c r="BL377" s="504">
        <f t="shared" si="424"/>
        <v>40715329.547482938</v>
      </c>
      <c r="BM377" s="505">
        <f t="shared" si="425"/>
        <v>476.04614684588529</v>
      </c>
      <c r="BN377" s="467">
        <f t="shared" si="426"/>
        <v>329.47199999999998</v>
      </c>
      <c r="BO377" s="497">
        <v>2</v>
      </c>
      <c r="BP377" s="479">
        <v>900</v>
      </c>
      <c r="BQ377" s="507">
        <f>Inputs!$D$40*2</f>
        <v>64</v>
      </c>
      <c r="BR377" s="504">
        <f>_xlfn.MINIFS($DE$70:$DE$149,$DJ$70:$DJ$149,"&gt;"&amp;Inputs!$I$75)</f>
        <v>4.1999999999999975</v>
      </c>
      <c r="BS377" s="504">
        <f>_xlfn.MINIFS($DE$156:$DE$235,$DJ$156:$DJ$235,"&gt;"&amp;Inputs!$I$75)</f>
        <v>0</v>
      </c>
      <c r="BT377" s="505">
        <f>_xlfn.MINIFS($DE$242:$DE$321,$DJ$242:$DJ$321,"&gt;"&amp;Inputs!$I$75)</f>
        <v>3.8999999999999977</v>
      </c>
      <c r="BU377" s="506">
        <f>IF(Inputs!$F$75/2&gt;MAX(Pile!$DJ$70:$DJ$149),999999,IF(Pile!BR377/(Pile!BP377/1000)&gt;50,999999,IF(Pile!BR377&lt;2,999999,Pile!BR377)))</f>
        <v>4.1999999999999975</v>
      </c>
      <c r="BV377" s="504">
        <f>IF(Inputs!BR40="Yes",999999,IF(Pile!BS377/(Pile!BP377/1000)&gt;50,999999,IF(Pile!BS377&lt;2,999999,Pile!BS377)))</f>
        <v>999999</v>
      </c>
      <c r="BW377" s="504">
        <f>IF(Inputs!$F$75/2&gt;MAX(Pile!$DJ$242:$DJ$321),999999,IF(Pile!BT377/(Pile!BP377/1000)&gt;50,999999,IF(Pile!BT377&lt;2,999999,IF(BT377&gt;25,999999,Pile!BT377))))</f>
        <v>3.8999999999999977</v>
      </c>
      <c r="BX377" s="506">
        <f t="shared" si="427"/>
        <v>500.47517132019948</v>
      </c>
      <c r="BY377" s="504">
        <f t="shared" si="428"/>
        <v>40715329.547482938</v>
      </c>
      <c r="BZ377" s="505">
        <f t="shared" si="429"/>
        <v>488.26065908304241</v>
      </c>
      <c r="CA377" s="467">
        <f t="shared" si="430"/>
        <v>329.47199999999998</v>
      </c>
      <c r="CB377" s="497">
        <v>2</v>
      </c>
      <c r="CC377" s="479">
        <v>900</v>
      </c>
      <c r="CD377" s="507">
        <f>Inputs!$D$40*2</f>
        <v>64</v>
      </c>
      <c r="CE377" s="504">
        <f>_xlfn.MINIFS($DE$70:$DE$149,$DJ$70:$DJ$149,"&gt;"&amp;Inputs!$I$82)</f>
        <v>2.9999999999999982</v>
      </c>
      <c r="CF377" s="504">
        <f>_xlfn.MINIFS($DE$156:$DE$235,$DJ$156:$DJ$235,"&gt;"&amp;Inputs!$I$82)</f>
        <v>0</v>
      </c>
      <c r="CG377" s="505">
        <f>_xlfn.MINIFS($DE$242:$DE$321,$DJ$242:$DJ$321,"&gt;"&amp;Inputs!$I$82)</f>
        <v>2.9999999999999982</v>
      </c>
      <c r="CH377" s="506">
        <f>IF(Inputs!$F$82/2&gt;MAX(Pile!$DJ$70:$DJ$149),999999,IF(Pile!CE377/(Pile!CC377/1000)&gt;50,999999,IF(Pile!CE377&lt;2,999999,Pile!CE377)))</f>
        <v>2.9999999999999982</v>
      </c>
      <c r="CI377" s="504">
        <f>IF(Inputs!CE40="Yes",999999,IF(Pile!CF377/(Pile!CC377/1000)&gt;50,999999,IF(Pile!CF377&lt;2,999999,Pile!CF377)))</f>
        <v>999999</v>
      </c>
      <c r="CJ377" s="504">
        <f>IF(Inputs!$F$82/2&gt;MAX(Pile!$DJ$242:$DJ$321),999999,IF(Pile!CG377/(Pile!CC377/1000)&gt;50,999999,IF(Pile!CG377&lt;2,999999,IF(CG377&gt;25,999999,Pile!CG377))))</f>
        <v>2.9999999999999982</v>
      </c>
      <c r="CK377" s="506">
        <f t="shared" si="431"/>
        <v>451.6171223715711</v>
      </c>
      <c r="CL377" s="504">
        <f t="shared" si="432"/>
        <v>40715329.547482938</v>
      </c>
      <c r="CM377" s="505">
        <f t="shared" si="433"/>
        <v>451.6171223715711</v>
      </c>
      <c r="CN377" s="467">
        <f t="shared" si="434"/>
        <v>329.47199999999998</v>
      </c>
      <c r="CO377" s="497">
        <v>2</v>
      </c>
      <c r="CP377" s="479">
        <v>900</v>
      </c>
      <c r="CQ377" s="507">
        <f>Inputs!$D$40*2</f>
        <v>64</v>
      </c>
      <c r="CR377" s="504">
        <f>_xlfn.MINIFS($DE$70:$DE$149,$DJ$70:$DJ$149,"&gt;"&amp;Inputs!$I$89)</f>
        <v>2.6999999999999984</v>
      </c>
      <c r="CS377" s="504">
        <f>_xlfn.MINIFS($DE$156:$DE$235,$DJ$156:$DJ$235,"&gt;"&amp;Inputs!$I$89)</f>
        <v>0</v>
      </c>
      <c r="CT377" s="505">
        <f>_xlfn.MINIFS($DE$242:$DE$321,$DJ$242:$DJ$321,"&gt;"&amp;Inputs!$I$89)</f>
        <v>2.6999999999999984</v>
      </c>
      <c r="CU377" s="506">
        <f>IF(Inputs!$F$89/2&gt;MAX(Pile!$DJ$70:$DJ$149),999999,IF(Pile!CR377/(Pile!CP377/1000)&gt;50,999999,IF(Pile!CR377&lt;2,999999,Pile!CR377)))</f>
        <v>2.6999999999999984</v>
      </c>
      <c r="CV377" s="504">
        <f>IF(Inputs!CR40="Yes",999999,IF(Pile!CS377/(Pile!CP377/1000)&gt;50,999999,IF(Pile!CS377&lt;2,999999,Pile!CS377)))</f>
        <v>999999</v>
      </c>
      <c r="CW377" s="504">
        <f>IF(Inputs!$F$89/2&gt;MAX(Pile!$DJ$242:$DJ$321),999999,IF(Pile!CT377/(Pile!CP377/1000)&gt;50,999999,IF(Pile!CT377&lt;2,999999,IF(CT377&gt;25,999999,Pile!CT377))))</f>
        <v>2.6999999999999984</v>
      </c>
      <c r="CX377" s="506">
        <f t="shared" si="435"/>
        <v>439.40261013441398</v>
      </c>
      <c r="CY377" s="504">
        <f t="shared" si="436"/>
        <v>40715329.547482938</v>
      </c>
      <c r="CZ377" s="505">
        <f t="shared" si="437"/>
        <v>439.40261013441398</v>
      </c>
      <c r="DA377" s="467">
        <f t="shared" si="438"/>
        <v>329.47199999999998</v>
      </c>
      <c r="DB377" s="497">
        <v>2</v>
      </c>
      <c r="DC377" s="479">
        <v>900</v>
      </c>
      <c r="DD377" s="507">
        <f>Inputs!$D$40*2</f>
        <v>64</v>
      </c>
      <c r="DE377" s="504">
        <f>_xlfn.MINIFS($DE$70:$DE$149,$DJ$70:$DJ$149,"&gt;"&amp;Inputs!$I$96)</f>
        <v>2.6999999999999984</v>
      </c>
      <c r="DF377" s="504">
        <f>_xlfn.MINIFS($DE$156:$DE$235,$DJ$156:$DJ$235,"&gt;"&amp;Inputs!$I$96)</f>
        <v>0</v>
      </c>
      <c r="DG377" s="505">
        <f>_xlfn.MINIFS($DE$242:$DE$321,$DJ$242:$DJ$321,"&gt;"&amp;Inputs!$I$96)</f>
        <v>2.6999999999999984</v>
      </c>
      <c r="DH377" s="506">
        <f>IF(Inputs!$F$96/2&gt;MAX(Pile!$DJ$70:$DJ$149),999999,IF(Pile!DE377/(Pile!DC377/1000)&gt;50,999999,IF(Pile!DE377&lt;2,999999,Pile!DE377)))</f>
        <v>2.6999999999999984</v>
      </c>
      <c r="DI377" s="504">
        <f>IF(Inputs!DE40="Yes",999999,IF(Pile!DF377/(Pile!DC377/1000)&gt;50,999999,IF(Pile!DF377&lt;2,999999,Pile!DF377)))</f>
        <v>999999</v>
      </c>
      <c r="DJ377" s="504">
        <f>IF(Inputs!$F$96/2&gt;MAX(Pile!$DJ$242:$DJ$321),999999,IF(Pile!DG377/(Pile!DC377/1000)&gt;50,999999,IF(Pile!DG377&lt;2,999999,IF(DG377&gt;25,999999,Pile!DG377))))</f>
        <v>2.6999999999999984</v>
      </c>
      <c r="DK377" s="506">
        <f t="shared" si="439"/>
        <v>439.40261013441398</v>
      </c>
      <c r="DL377" s="504">
        <f t="shared" si="440"/>
        <v>40715329.547482938</v>
      </c>
      <c r="DM377" s="505">
        <f t="shared" si="441"/>
        <v>439.40261013441398</v>
      </c>
      <c r="DN377" s="467">
        <f t="shared" si="442"/>
        <v>329.47199999999998</v>
      </c>
      <c r="DO377" s="497">
        <v>2</v>
      </c>
      <c r="DP377" s="479">
        <v>900</v>
      </c>
      <c r="DQ377" s="507">
        <f>Inputs!$D$40*2</f>
        <v>64</v>
      </c>
      <c r="DR377" s="504">
        <f>_xlfn.MINIFS($DE$70:$DE$149,$DJ$70:$DJ$149,"&gt;"&amp;Inputs!$I$103)</f>
        <v>2.3999999999999986</v>
      </c>
      <c r="DS377" s="504">
        <f>_xlfn.MINIFS($DE$156:$DE$235,$DJ$156:$DJ$235,"&gt;"&amp;Inputs!$I$103)</f>
        <v>0</v>
      </c>
      <c r="DT377" s="505">
        <f>_xlfn.MINIFS($DE$242:$DE$321,$DJ$242:$DJ$321,"&gt;"&amp;Inputs!$I$103)</f>
        <v>2.0999999999999988</v>
      </c>
      <c r="DU377" s="506">
        <f>IF(Inputs!$F$103/2&gt;MAX(Pile!$DJ$70:$DJ$149),999999,IF(Pile!DR377/(Pile!DP377/1000)&gt;50,999999,IF(Pile!DR377&lt;2,999999,Pile!DR377)))</f>
        <v>2.3999999999999986</v>
      </c>
      <c r="DV377" s="504">
        <f>IF(Inputs!DR40="Yes",999999,IF(Pile!DS377/(Pile!DP377/1000)&gt;50,999999,IF(Pile!DS377&lt;2,999999,Pile!DS377)))</f>
        <v>999999</v>
      </c>
      <c r="DW377" s="504">
        <f>IF(Inputs!$F$103/2&gt;MAX(Pile!$DJ$242:$DJ$321),999999,IF(Pile!DT377/(Pile!DP377/1000)&gt;50,999999,IF(Pile!DT377&lt;2,999999,IF(DT377&gt;25,999999,Pile!DT377))))</f>
        <v>2.0999999999999988</v>
      </c>
      <c r="DX377" s="506">
        <f t="shared" si="443"/>
        <v>427.18809789725685</v>
      </c>
      <c r="DY377" s="504">
        <f t="shared" si="444"/>
        <v>40715329.547482938</v>
      </c>
      <c r="DZ377" s="505">
        <f t="shared" si="445"/>
        <v>414.97358566009973</v>
      </c>
      <c r="EA377" s="467">
        <f t="shared" si="446"/>
        <v>329.47199999999998</v>
      </c>
      <c r="EB377" s="497">
        <v>2</v>
      </c>
      <c r="EC377" s="479">
        <v>900</v>
      </c>
      <c r="ED377" s="507">
        <f>Inputs!$D$40*2</f>
        <v>64</v>
      </c>
      <c r="EE377" s="504">
        <f>_xlfn.MINIFS($DE$70:$DE$149,$DJ$70:$DJ$149,"&gt;"&amp;Inputs!$I$110)</f>
        <v>2.3999999999999986</v>
      </c>
      <c r="EF377" s="504">
        <f>_xlfn.MINIFS($DE$156:$DE$235,$DJ$156:$DJ$235,"&gt;"&amp;Inputs!$I$110)</f>
        <v>0</v>
      </c>
      <c r="EG377" s="505">
        <f>_xlfn.MINIFS($DE$242:$DE$321,$DJ$242:$DJ$321,"&gt;"&amp;Inputs!$I$110)</f>
        <v>2.0999999999999988</v>
      </c>
      <c r="EH377" s="506">
        <f>IF(Inputs!$F$110/2&gt;MAX(Pile!$DJ$70:$DJ$149),999999,IF(Pile!EE377/(Pile!EC377/1000)&gt;50,999999,IF(Pile!EE377&lt;2,999999,Pile!EE377)))</f>
        <v>2.3999999999999986</v>
      </c>
      <c r="EI377" s="504">
        <f>IF(Inputs!EE40="Yes",999999,IF(Pile!EF377/(Pile!EC377/1000)&gt;50,999999,IF(Pile!EF377&lt;2,999999,Pile!EF377)))</f>
        <v>999999</v>
      </c>
      <c r="EJ377" s="504">
        <f>IF(Inputs!$F$110/2&gt;MAX(Pile!$DJ$242:$DJ$321),999999,IF(Pile!EG377/(Pile!EC377/1000)&gt;50,999999,IF(Pile!EG377&lt;2,999999,IF(EG377&gt;25,999999,Pile!EG377))))</f>
        <v>2.0999999999999988</v>
      </c>
      <c r="EK377" s="506">
        <f t="shared" si="447"/>
        <v>427.18809789725685</v>
      </c>
      <c r="EL377" s="504">
        <f t="shared" si="448"/>
        <v>40715329.547482938</v>
      </c>
      <c r="EM377" s="505">
        <f t="shared" si="449"/>
        <v>414.97358566009973</v>
      </c>
      <c r="EN377" s="467">
        <f t="shared" si="450"/>
        <v>329.47199999999998</v>
      </c>
      <c r="EO377" s="497">
        <v>2</v>
      </c>
      <c r="EP377" s="479">
        <v>900</v>
      </c>
      <c r="EQ377" s="507">
        <f>Inputs!$D$40*2</f>
        <v>64</v>
      </c>
      <c r="ER377" s="504">
        <f>_xlfn.MINIFS($DE$70:$DE$149,$DJ$70:$DJ$149,"&gt;"&amp;Inputs!$I$117)</f>
        <v>0.29999999999999982</v>
      </c>
      <c r="ES377" s="504">
        <f>_xlfn.MINIFS($DE$156:$DE$235,$DJ$156:$DJ$235,"&gt;"&amp;Inputs!$I$117)</f>
        <v>0</v>
      </c>
      <c r="ET377" s="505">
        <f>_xlfn.MINIFS($DE$242:$DE$321,$DJ$242:$DJ$321,"&gt;"&amp;Inputs!$I$117)</f>
        <v>0.29999999999999982</v>
      </c>
      <c r="EU377" s="506">
        <f>IF(Inputs!$F$117/2&gt;MAX(Pile!$DJ$70:$DJ$149),999999,IF(Pile!ER377/(Pile!EP377/1000)&gt;50,999999,IF(Pile!ER377&lt;2,999999,Pile!ER377)))</f>
        <v>999999</v>
      </c>
      <c r="EV377" s="504">
        <f>IF(Inputs!ER40="Yes",999999,IF(Inputs!$F$117&gt;MAX(Pile!$DG$156:$DG$235),999999,IF(Pile!ES377/(Pile!EP377/1000)&gt;50,999999,IF(Pile!ES377&lt;2,999999,Pile!ES377))))</f>
        <v>999999</v>
      </c>
      <c r="EW377" s="504">
        <f>IF(Inputs!$F$117/2&gt;MAX(Pile!$DJ$242:$DJ$321),999999,IF(Pile!ET377/(Pile!EP377/1000)&gt;50,999999,IF(Pile!ET377&lt;2,999999,IF(ET377&gt;25,999999,Pile!ET377))))</f>
        <v>999999</v>
      </c>
      <c r="EX377" s="506">
        <f t="shared" si="406"/>
        <v>40715000.075482935</v>
      </c>
      <c r="EY377" s="504">
        <f t="shared" si="407"/>
        <v>40715000.075482935</v>
      </c>
      <c r="EZ377" s="505">
        <f t="shared" si="408"/>
        <v>40715000.075482935</v>
      </c>
    </row>
    <row r="378" spans="2:156" ht="15">
      <c r="B378" s="491">
        <v>2</v>
      </c>
      <c r="C378" s="476">
        <v>1050</v>
      </c>
      <c r="D378" s="503">
        <f>Inputs!$D$40*2</f>
        <v>64</v>
      </c>
      <c r="E378" s="504">
        <f>_xlfn.MINIFS($DE$70:$DE$149,$DK$70:$DK$149,"&gt;"&amp;Inputs!$I$40)</f>
        <v>2.9999999999999982</v>
      </c>
      <c r="F378" s="504">
        <f>_xlfn.MINIFS($DE$156:$DE$235,$DK$156:$DK$235,"&gt;"&amp;Inputs!$I$40)</f>
        <v>0</v>
      </c>
      <c r="G378" s="505">
        <f>_xlfn.MINIFS($DE$242:$DE$321,$DK$242:$DK$321,"&gt;"&amp;Inputs!$I$40)</f>
        <v>2.9999999999999982</v>
      </c>
      <c r="H378" s="506">
        <f>IF(Inputs!$F$40/2&gt;MAX(Pile!$DK$70:$DK$149),999999,IF(Pile!E378/(Pile!C378/1000)&gt;50,999999,IF(Pile!E378&lt;2,999999,Pile!E378)))</f>
        <v>2.9999999999999982</v>
      </c>
      <c r="I378" s="504">
        <f>IF(Inputs!E41="Yes",999999,IF(Pile!F378/(Pile!C378/1000)&gt;50,999999,IF(Pile!F378&lt;2,999999,Pile!F378)))</f>
        <v>999999</v>
      </c>
      <c r="J378" s="504">
        <f>IF(Inputs!$F$40/2&gt;MAX(Pile!$DK$242:$DK$321),999999,IF(Pile!G378/(Pile!C378/1000)&gt;50,999999,IF(Pile!G378&lt;2,999999,IF(G378&gt;25,999999,Pile!G378))))</f>
        <v>2.9999999999999982</v>
      </c>
      <c r="K378" s="506">
        <f t="shared" si="409"/>
        <v>671.69308322797178</v>
      </c>
      <c r="L378" s="504">
        <f t="shared" si="410"/>
        <v>55418144.431629539</v>
      </c>
      <c r="M378" s="505">
        <f t="shared" si="411"/>
        <v>671.69308322797178</v>
      </c>
      <c r="N378" s="466">
        <f>Inputs!$D$40*E463</f>
        <v>505.44000000000005</v>
      </c>
      <c r="O378" s="491">
        <v>2</v>
      </c>
      <c r="P378" s="476">
        <v>1050</v>
      </c>
      <c r="Q378" s="503">
        <f>Inputs!$D$40*2</f>
        <v>64</v>
      </c>
      <c r="R378" s="504">
        <f>_xlfn.MINIFS($DE$70:$DE$149,$DK$70:$DK$149,"&gt;"&amp;Inputs!$I$47)</f>
        <v>2.9999999999999982</v>
      </c>
      <c r="S378" s="504">
        <f>_xlfn.MINIFS($DE$156:$DE$235,$DK$156:$DK$235,"&gt;"&amp;Inputs!$I$47)</f>
        <v>0</v>
      </c>
      <c r="T378" s="505">
        <f>_xlfn.MINIFS($DE$242:$DE$321,$DK$242:$DK$321,"&gt;"&amp;Inputs!$I$47)</f>
        <v>2.9999999999999982</v>
      </c>
      <c r="U378" s="506">
        <f>IF(Inputs!$F$47/2&gt;MAX(Pile!$DK$70:$DK$149),999999,IF(Pile!R378/(Pile!P378/1000)&gt;50,999999,IF(Pile!R378&lt;2,999999,Pile!R378)))</f>
        <v>2.9999999999999982</v>
      </c>
      <c r="V378" s="504">
        <f>IF(Inputs!R41="Yes",999999,IF(Pile!S378/(Pile!P378/1000)&gt;50,999999,IF(Pile!S378&lt;2,999999,Pile!S378)))</f>
        <v>999999</v>
      </c>
      <c r="W378" s="504">
        <f>IF(Inputs!$F$47/2&gt;MAX(Pile!$DK$242:$DK$321),999999,IF(Pile!T378/(Pile!P378/1000)&gt;50,999999,IF(Pile!T378&lt;2,999999,IF(T378&gt;25,999999,Pile!T378))))</f>
        <v>2.9999999999999982</v>
      </c>
      <c r="X378" s="506">
        <f t="shared" si="412"/>
        <v>671.69308322797178</v>
      </c>
      <c r="Y378" s="504">
        <f t="shared" si="413"/>
        <v>55418144.431629539</v>
      </c>
      <c r="Z378" s="505">
        <f t="shared" si="414"/>
        <v>671.69308322797178</v>
      </c>
      <c r="AA378" s="467">
        <f t="shared" si="369"/>
        <v>505.44000000000005</v>
      </c>
      <c r="AB378" s="497">
        <v>2</v>
      </c>
      <c r="AC378" s="479">
        <v>1050</v>
      </c>
      <c r="AD378" s="507">
        <f>Inputs!$D$40*2</f>
        <v>64</v>
      </c>
      <c r="AE378" s="504">
        <f>_xlfn.MINIFS($DE$70:$DE$149,$DK$70:$DK$149,"&gt;"&amp;Inputs!$I$54)</f>
        <v>2.9999999999999982</v>
      </c>
      <c r="AF378" s="504">
        <f>_xlfn.MINIFS($DE$156:$DE$235,$DK$156:$DK$235,"&gt;"&amp;Inputs!$I$54)</f>
        <v>0</v>
      </c>
      <c r="AG378" s="505">
        <f>_xlfn.MINIFS($DE$242:$DE$321,$DK$242:$DK$321,"&gt;"&amp;Inputs!$I$54)</f>
        <v>2.6999999999999984</v>
      </c>
      <c r="AH378" s="506">
        <f>IF(Inputs!$F$54/2&gt;MAX(Pile!$DK$70:$DK$149),999999,IF(Pile!AE378/(Pile!AC378/1000)&gt;50,999999,IF(Pile!AE378&lt;2,999999,Pile!AE378)))</f>
        <v>2.9999999999999982</v>
      </c>
      <c r="AI378" s="504">
        <f>IF(Inputs!AE41="Yes",999999,IF(Pile!AF378/(Pile!AC378/1000)&gt;50,999999,IF(Pile!AF378&lt;2,999999,Pile!AF378)))</f>
        <v>999999</v>
      </c>
      <c r="AJ378" s="504">
        <f>IF(Inputs!$F$54/2&gt;MAX(Pile!$DK$242:$DK$321),999999,IF(Pile!AG378/(Pile!AC378/1000)&gt;50,999999,IF(Pile!AG378&lt;2,999999,IF(AG378&gt;25,999999,Pile!AG378))))</f>
        <v>2.6999999999999984</v>
      </c>
      <c r="AK378" s="506">
        <f t="shared" si="415"/>
        <v>671.69308322797178</v>
      </c>
      <c r="AL378" s="504">
        <f t="shared" si="416"/>
        <v>55418144.431629539</v>
      </c>
      <c r="AM378" s="505">
        <f t="shared" si="417"/>
        <v>655.0677749051747</v>
      </c>
      <c r="AN378" s="471">
        <f t="shared" si="418"/>
        <v>505.44000000000005</v>
      </c>
      <c r="AO378" s="497">
        <v>2</v>
      </c>
      <c r="AP378" s="479">
        <v>1050</v>
      </c>
      <c r="AQ378" s="507">
        <f>Inputs!$D$40*2</f>
        <v>64</v>
      </c>
      <c r="AR378" s="504">
        <f>_xlfn.MINIFS($DE$70:$DE$149,$DK$70:$DK$149,"&gt;"&amp;Inputs!$I$61)</f>
        <v>2.9999999999999982</v>
      </c>
      <c r="AS378" s="504">
        <f>_xlfn.MINIFS($DE$156:$DE$235,$DK$156:$DK$235,"&gt;"&amp;Inputs!$I$61)</f>
        <v>0</v>
      </c>
      <c r="AT378" s="505">
        <f>_xlfn.MINIFS($DE$242:$DE$321,$DK$242:$DK$321,"&gt;"&amp;Inputs!$I$61)</f>
        <v>2.6999999999999984</v>
      </c>
      <c r="AU378" s="506">
        <f>IF(Inputs!$F$61/2&gt;MAX(Pile!$DK$70:$DK$149),999999,IF(Pile!AR378/(Pile!AP378/1000)&gt;50,999999,IF(Pile!AR378&lt;2,999999,Pile!AR378)))</f>
        <v>2.9999999999999982</v>
      </c>
      <c r="AV378" s="504">
        <f>IF(Inputs!AR41="Yes",999999,IF(Pile!AS378/(Pile!AP378/1000)&gt;50,999999,IF(Pile!AS378&lt;2,999999,Pile!AS378)))</f>
        <v>999999</v>
      </c>
      <c r="AW378" s="504">
        <f>IF(Inputs!$F$61/2&gt;MAX(Pile!$DK$242:$DK$321),999999,IF(Pile!AT378/(Pile!AP378/1000)&gt;50,999999,IF(Pile!AT378&lt;2,999999,IF(AT378&gt;25,999999,Pile!AT378))))</f>
        <v>2.6999999999999984</v>
      </c>
      <c r="AX378" s="506">
        <f t="shared" si="419"/>
        <v>671.69308322797178</v>
      </c>
      <c r="AY378" s="504">
        <f t="shared" si="420"/>
        <v>55418144.431629539</v>
      </c>
      <c r="AZ378" s="505">
        <f t="shared" si="421"/>
        <v>655.0677749051747</v>
      </c>
      <c r="BA378" s="467">
        <f t="shared" si="422"/>
        <v>505.44000000000005</v>
      </c>
      <c r="BB378" s="497">
        <v>2</v>
      </c>
      <c r="BC378" s="479">
        <v>1050</v>
      </c>
      <c r="BD378" s="507">
        <f>Inputs!$D$40*2</f>
        <v>64</v>
      </c>
      <c r="BE378" s="504">
        <f>_xlfn.MINIFS($DE$70:$DE$149,$DK$70:$DK$149,"&gt;"&amp;Inputs!$I$68)</f>
        <v>2.9999999999999982</v>
      </c>
      <c r="BF378" s="504">
        <f>_xlfn.MINIFS($DE$156:$DE$235,$DK$156:$DK$235,"&gt;"&amp;Inputs!$I$68)</f>
        <v>0</v>
      </c>
      <c r="BG378" s="505">
        <f>_xlfn.MINIFS($DE$242:$DE$321,$DK$242:$DK$321,"&gt;"&amp;Inputs!$I$68)</f>
        <v>2.6999999999999984</v>
      </c>
      <c r="BH378" s="506">
        <f>IF(Inputs!$F$68/2&gt;MAX(Pile!$DK$70:$DK$149),999999,IF(Pile!BE378/(Pile!BC378/1000)&gt;50,999999,IF(Pile!BE378&lt;2,999999,Pile!BE378)))</f>
        <v>2.9999999999999982</v>
      </c>
      <c r="BI378" s="504">
        <f>IF(Inputs!BE41="Yes",999999,IF(Pile!BF378/(Pile!BC378/1000)&gt;50,999999,IF(Pile!BF378&lt;2,999999,Pile!BF378)))</f>
        <v>999999</v>
      </c>
      <c r="BJ378" s="504">
        <f>IF(Inputs!$F$68/2&gt;MAX(Pile!$DK$242:$DK$321),999999,IF(Pile!BG378/(Pile!BC378/1000)&gt;50,999999,IF(Pile!BG378&lt;2,999999,IF(BG378&gt;25,999999,Pile!BG378))))</f>
        <v>2.6999999999999984</v>
      </c>
      <c r="BK378" s="506">
        <f t="shared" si="423"/>
        <v>671.69308322797178</v>
      </c>
      <c r="BL378" s="504">
        <f t="shared" si="424"/>
        <v>55418144.431629539</v>
      </c>
      <c r="BM378" s="505">
        <f t="shared" si="425"/>
        <v>655.0677749051747</v>
      </c>
      <c r="BN378" s="467">
        <f t="shared" si="426"/>
        <v>505.44000000000005</v>
      </c>
      <c r="BO378" s="497">
        <v>2</v>
      </c>
      <c r="BP378" s="479">
        <v>1050</v>
      </c>
      <c r="BQ378" s="507">
        <f>Inputs!$D$40*2</f>
        <v>64</v>
      </c>
      <c r="BR378" s="504">
        <f>_xlfn.MINIFS($DE$70:$DE$149,$DK$70:$DK$149,"&gt;"&amp;Inputs!$I$75)</f>
        <v>3.299999999999998</v>
      </c>
      <c r="BS378" s="504">
        <f>_xlfn.MINIFS($DE$156:$DE$235,$DK$156:$DK$235,"&gt;"&amp;Inputs!$I$75)</f>
        <v>0</v>
      </c>
      <c r="BT378" s="505">
        <f>_xlfn.MINIFS($DE$242:$DE$321,$DK$242:$DK$321,"&gt;"&amp;Inputs!$I$75)</f>
        <v>3.299999999999998</v>
      </c>
      <c r="BU378" s="506">
        <f>IF(Inputs!$F$75/2&gt;MAX(Pile!$DK$70:$DK$149),999999,IF(Pile!BR378/(Pile!BP378/1000)&gt;50,999999,IF(Pile!BR378&lt;2,999999,Pile!BR378)))</f>
        <v>3.299999999999998</v>
      </c>
      <c r="BV378" s="504">
        <f>IF(Inputs!BR41="Yes",999999,IF(Pile!BS378/(Pile!BP378/1000)&gt;50,999999,IF(Pile!BS378&lt;2,999999,Pile!BS378)))</f>
        <v>999999</v>
      </c>
      <c r="BW378" s="504">
        <f>IF(Inputs!$F$75/2&gt;MAX(Pile!$DK$242:$DK$321),999999,IF(Pile!BT378/(Pile!BP378/1000)&gt;50,999999,IF(Pile!BT378&lt;2,999999,IF(BT378&gt;25,999999,Pile!BT378))))</f>
        <v>3.299999999999998</v>
      </c>
      <c r="BX378" s="506">
        <f t="shared" si="427"/>
        <v>688.31839155076898</v>
      </c>
      <c r="BY378" s="504">
        <f t="shared" si="428"/>
        <v>55418144.431629539</v>
      </c>
      <c r="BZ378" s="505">
        <f t="shared" si="429"/>
        <v>688.31839155076898</v>
      </c>
      <c r="CA378" s="467">
        <f t="shared" si="430"/>
        <v>505.44000000000005</v>
      </c>
      <c r="CB378" s="497">
        <v>2</v>
      </c>
      <c r="CC378" s="479">
        <v>1050</v>
      </c>
      <c r="CD378" s="507">
        <f>Inputs!$D$40*2</f>
        <v>64</v>
      </c>
      <c r="CE378" s="504">
        <f>_xlfn.MINIFS($DE$70:$DE$149,$DK$70:$DK$149,"&gt;"&amp;Inputs!$I$82)</f>
        <v>2.3999999999999986</v>
      </c>
      <c r="CF378" s="504">
        <f>_xlfn.MINIFS($DE$156:$DE$235,$DK$156:$DK$235,"&gt;"&amp;Inputs!$I$82)</f>
        <v>0</v>
      </c>
      <c r="CG378" s="505">
        <f>_xlfn.MINIFS($DE$242:$DE$321,$DK$242:$DK$321,"&gt;"&amp;Inputs!$I$82)</f>
        <v>2.3999999999999986</v>
      </c>
      <c r="CH378" s="506">
        <f>IF(Inputs!$F$82/2&gt;MAX(Pile!$DK$70:$DK$149),999999,IF(Pile!CE378/(Pile!CC378/1000)&gt;50,999999,IF(Pile!CE378&lt;2,999999,Pile!CE378)))</f>
        <v>2.3999999999999986</v>
      </c>
      <c r="CI378" s="504">
        <f>IF(Inputs!CE41="Yes",999999,IF(Pile!CF378/(Pile!CC378/1000)&gt;50,999999,IF(Pile!CF378&lt;2,999999,Pile!CF378)))</f>
        <v>999999</v>
      </c>
      <c r="CJ378" s="504">
        <f>IF(Inputs!$F$82/2&gt;MAX(Pile!$DK$242:$DK$321),999999,IF(Pile!CG378/(Pile!CC378/1000)&gt;50,999999,IF(Pile!CG378&lt;2,999999,IF(CG378&gt;25,999999,Pile!CG378))))</f>
        <v>2.3999999999999986</v>
      </c>
      <c r="CK378" s="506">
        <f t="shared" si="431"/>
        <v>638.44246658237739</v>
      </c>
      <c r="CL378" s="504">
        <f t="shared" si="432"/>
        <v>55418144.431629539</v>
      </c>
      <c r="CM378" s="505">
        <f t="shared" si="433"/>
        <v>638.44246658237739</v>
      </c>
      <c r="CN378" s="467">
        <f t="shared" si="434"/>
        <v>505.44000000000005</v>
      </c>
      <c r="CO378" s="497">
        <v>2</v>
      </c>
      <c r="CP378" s="479">
        <v>1050</v>
      </c>
      <c r="CQ378" s="507">
        <f>Inputs!$D$40*2</f>
        <v>64</v>
      </c>
      <c r="CR378" s="504">
        <f>_xlfn.MINIFS($DE$70:$DE$149,$DK$70:$DK$149,"&gt;"&amp;Inputs!$I$89)</f>
        <v>2.0999999999999988</v>
      </c>
      <c r="CS378" s="504">
        <f>_xlfn.MINIFS($DE$156:$DE$235,$DK$156:$DK$235,"&gt;"&amp;Inputs!$I$89)</f>
        <v>0</v>
      </c>
      <c r="CT378" s="505">
        <f>_xlfn.MINIFS($DE$242:$DE$321,$DK$242:$DK$321,"&gt;"&amp;Inputs!$I$89)</f>
        <v>2.0999999999999988</v>
      </c>
      <c r="CU378" s="506">
        <f>IF(Inputs!$F$89/2&gt;MAX(Pile!$DK$70:$DK$149),999999,IF(Pile!CR378/(Pile!CP378/1000)&gt;50,999999,IF(Pile!CR378&lt;2,999999,Pile!CR378)))</f>
        <v>2.0999999999999988</v>
      </c>
      <c r="CV378" s="504">
        <f>IF(Inputs!CR41="Yes",999999,IF(Pile!CS378/(Pile!CP378/1000)&gt;50,999999,IF(Pile!CS378&lt;2,999999,Pile!CS378)))</f>
        <v>999999</v>
      </c>
      <c r="CW378" s="504">
        <f>IF(Inputs!$F$89/2&gt;MAX(Pile!$DK$242:$DK$321),999999,IF(Pile!CT378/(Pile!CP378/1000)&gt;50,999999,IF(Pile!CT378&lt;2,999999,IF(CT378&gt;25,999999,Pile!CT378))))</f>
        <v>2.0999999999999988</v>
      </c>
      <c r="CX378" s="506">
        <f t="shared" si="435"/>
        <v>621.81715825958031</v>
      </c>
      <c r="CY378" s="504">
        <f t="shared" si="436"/>
        <v>55418144.431629539</v>
      </c>
      <c r="CZ378" s="505">
        <f t="shared" si="437"/>
        <v>621.81715825958031</v>
      </c>
      <c r="DA378" s="467">
        <f t="shared" si="438"/>
        <v>505.44000000000005</v>
      </c>
      <c r="DB378" s="497">
        <v>2</v>
      </c>
      <c r="DC378" s="479">
        <v>1050</v>
      </c>
      <c r="DD378" s="507">
        <f>Inputs!$D$40*2</f>
        <v>64</v>
      </c>
      <c r="DE378" s="504">
        <f>_xlfn.MINIFS($DE$70:$DE$149,$DK$70:$DK$149,"&gt;"&amp;Inputs!$I$96)</f>
        <v>2.0999999999999988</v>
      </c>
      <c r="DF378" s="504">
        <f>_xlfn.MINIFS($DE$156:$DE$235,$DK$156:$DK$235,"&gt;"&amp;Inputs!$I$96)</f>
        <v>0</v>
      </c>
      <c r="DG378" s="505">
        <f>_xlfn.MINIFS($DE$242:$DE$321,$DK$242:$DK$321,"&gt;"&amp;Inputs!$I$96)</f>
        <v>2.0999999999999988</v>
      </c>
      <c r="DH378" s="506">
        <f>IF(Inputs!$F$96/2&gt;MAX(Pile!$DK$70:$DK$149),999999,IF(Pile!DE378/(Pile!DC378/1000)&gt;50,999999,IF(Pile!DE378&lt;2,999999,Pile!DE378)))</f>
        <v>2.0999999999999988</v>
      </c>
      <c r="DI378" s="504">
        <f>IF(Inputs!DE41="Yes",999999,IF(Pile!DF378/(Pile!DC378/1000)&gt;50,999999,IF(Pile!DF378&lt;2,999999,Pile!DF378)))</f>
        <v>999999</v>
      </c>
      <c r="DJ378" s="504">
        <f>IF(Inputs!$F$96/2&gt;MAX(Pile!$DK$242:$DK$321),999999,IF(Pile!DG378/(Pile!DC378/1000)&gt;50,999999,IF(Pile!DG378&lt;2,999999,IF(DG378&gt;25,999999,Pile!DG378))))</f>
        <v>2.0999999999999988</v>
      </c>
      <c r="DK378" s="506">
        <f t="shared" si="439"/>
        <v>621.81715825958031</v>
      </c>
      <c r="DL378" s="504">
        <f t="shared" si="440"/>
        <v>55418144.431629539</v>
      </c>
      <c r="DM378" s="505">
        <f t="shared" si="441"/>
        <v>621.81715825958031</v>
      </c>
      <c r="DN378" s="467">
        <f t="shared" si="442"/>
        <v>505.44000000000005</v>
      </c>
      <c r="DO378" s="497">
        <v>2</v>
      </c>
      <c r="DP378" s="479">
        <v>1050</v>
      </c>
      <c r="DQ378" s="507">
        <f>Inputs!$D$40*2</f>
        <v>64</v>
      </c>
      <c r="DR378" s="504">
        <f>_xlfn.MINIFS($DE$70:$DE$149,$DK$70:$DK$149,"&gt;"&amp;Inputs!$I$103)</f>
        <v>1.7999999999999989</v>
      </c>
      <c r="DS378" s="504">
        <f>_xlfn.MINIFS($DE$156:$DE$235,$DK$156:$DK$235,"&gt;"&amp;Inputs!$I$103)</f>
        <v>0</v>
      </c>
      <c r="DT378" s="505">
        <f>_xlfn.MINIFS($DE$242:$DE$321,$DK$242:$DK$321,"&gt;"&amp;Inputs!$I$103)</f>
        <v>1.7999999999999989</v>
      </c>
      <c r="DU378" s="506">
        <f>IF(Inputs!$F$103/2&gt;MAX(Pile!$DK$70:$DK$149),999999,IF(Pile!DR378/(Pile!DP378/1000)&gt;50,999999,IF(Pile!DR378&lt;2,999999,Pile!DR378)))</f>
        <v>999999</v>
      </c>
      <c r="DV378" s="504">
        <f>IF(Inputs!DR41="Yes",999999,IF(Pile!DS378/(Pile!DP378/1000)&gt;50,999999,IF(Pile!DS378&lt;2,999999,Pile!DS378)))</f>
        <v>999999</v>
      </c>
      <c r="DW378" s="504">
        <f>IF(Inputs!$F$103/2&gt;MAX(Pile!$DK$242:$DK$321),999999,IF(Pile!DT378/(Pile!DP378/1000)&gt;50,999999,IF(Pile!DT378&lt;2,999999,IF(DT378&gt;25,999999,Pile!DT378))))</f>
        <v>999999</v>
      </c>
      <c r="DX378" s="506">
        <f t="shared" si="443"/>
        <v>55418144.431629539</v>
      </c>
      <c r="DY378" s="504">
        <f t="shared" si="444"/>
        <v>55418144.431629539</v>
      </c>
      <c r="DZ378" s="505">
        <f t="shared" si="445"/>
        <v>55418144.431629539</v>
      </c>
      <c r="EA378" s="467">
        <f t="shared" si="446"/>
        <v>505.44000000000005</v>
      </c>
      <c r="EB378" s="497">
        <v>2</v>
      </c>
      <c r="EC378" s="479">
        <v>1050</v>
      </c>
      <c r="ED378" s="507">
        <f>Inputs!$D$40*2</f>
        <v>64</v>
      </c>
      <c r="EE378" s="504">
        <f>_xlfn.MINIFS($DE$70:$DE$149,$DK$70:$DK$149,"&gt;"&amp;Inputs!$I$110)</f>
        <v>1.7999999999999989</v>
      </c>
      <c r="EF378" s="504">
        <f>_xlfn.MINIFS($DE$156:$DE$235,$DK$156:$DK$235,"&gt;"&amp;Inputs!$I$110)</f>
        <v>0</v>
      </c>
      <c r="EG378" s="505">
        <f>_xlfn.MINIFS($DE$242:$DE$321,$DK$242:$DK$321,"&gt;"&amp;Inputs!$I$110)</f>
        <v>1.7999999999999989</v>
      </c>
      <c r="EH378" s="506">
        <f>IF(Inputs!$F$110/2&gt;MAX(Pile!$DK$70:$DK$149),999999,IF(Pile!EE378/(Pile!EC378/1000)&gt;50,999999,IF(Pile!EE378&lt;2,999999,Pile!EE378)))</f>
        <v>999999</v>
      </c>
      <c r="EI378" s="504">
        <f>IF(Inputs!EE41="Yes",999999,IF(Pile!EF378/(Pile!EC378/1000)&gt;50,999999,IF(Pile!EF378&lt;2,999999,Pile!EF378)))</f>
        <v>999999</v>
      </c>
      <c r="EJ378" s="504">
        <f>IF(Inputs!$F$110/2&gt;MAX(Pile!$DK$242:$DK$321),999999,IF(Pile!EG378/(Pile!EC378/1000)&gt;50,999999,IF(Pile!EG378&lt;2,999999,IF(EG378&gt;25,999999,Pile!EG378))))</f>
        <v>999999</v>
      </c>
      <c r="EK378" s="506">
        <f t="shared" si="447"/>
        <v>55418144.431629539</v>
      </c>
      <c r="EL378" s="504">
        <f t="shared" si="448"/>
        <v>55418144.431629539</v>
      </c>
      <c r="EM378" s="505">
        <f t="shared" si="449"/>
        <v>55418144.431629539</v>
      </c>
      <c r="EN378" s="467">
        <f t="shared" si="450"/>
        <v>505.44000000000005</v>
      </c>
      <c r="EO378" s="497">
        <v>2</v>
      </c>
      <c r="EP378" s="479">
        <v>1050</v>
      </c>
      <c r="EQ378" s="507">
        <f>Inputs!$D$40*2</f>
        <v>64</v>
      </c>
      <c r="ER378" s="504">
        <f>_xlfn.MINIFS($DE$70:$DE$149,$DK$70:$DK$149,"&gt;"&amp;Inputs!$I$117)</f>
        <v>0.29999999999999982</v>
      </c>
      <c r="ES378" s="504">
        <f>_xlfn.MINIFS($DE$156:$DE$235,$DK$156:$DK$235,"&gt;"&amp;Inputs!$I$117)</f>
        <v>0</v>
      </c>
      <c r="ET378" s="505">
        <f>_xlfn.MINIFS($DE$242:$DE$321,$DK$242:$DK$321,"&gt;"&amp;Inputs!$I$117)</f>
        <v>0.29999999999999982</v>
      </c>
      <c r="EU378" s="506">
        <f>IF(Inputs!$F$117/2&gt;MAX(Pile!$DK$70:$DK$149),999999,IF(Pile!ER378/(Pile!EP378/1000)&gt;50,999999,IF(Pile!ER378&lt;2,999999,Pile!ER378)))</f>
        <v>999999</v>
      </c>
      <c r="EV378" s="504">
        <f>IF(Inputs!ER41="Yes",999999,IF(Inputs!$F$117&gt;MAX(Pile!$DG$156:$DG$235),999999,IF(Pile!ES378/(Pile!EP378/1000)&gt;50,999999,IF(Pile!ES378&lt;2,999999,Pile!ES378))))</f>
        <v>999999</v>
      </c>
      <c r="EW378" s="504">
        <f>IF(Inputs!$F$117/2&gt;MAX(Pile!$DK$242:$DK$321),999999,IF(Pile!ET378/(Pile!EP378/1000)&gt;50,999999,IF(Pile!ET378&lt;2,999999,IF(ET378&gt;25,999999,Pile!ET378))))</f>
        <v>999999</v>
      </c>
      <c r="EX378" s="506">
        <f t="shared" si="406"/>
        <v>55417638.991629541</v>
      </c>
      <c r="EY378" s="504">
        <f t="shared" si="407"/>
        <v>55417638.991629541</v>
      </c>
      <c r="EZ378" s="505">
        <f t="shared" si="408"/>
        <v>55417638.991629541</v>
      </c>
    </row>
    <row r="379" spans="2:156" ht="15.75" thickBot="1">
      <c r="B379" s="491">
        <v>2</v>
      </c>
      <c r="C379" s="483">
        <v>1200</v>
      </c>
      <c r="D379" s="503">
        <f>Inputs!$D$40*2</f>
        <v>64</v>
      </c>
      <c r="E379" s="511">
        <f>_xlfn.MINIFS($DE$70:$DE$149,$DL$70:$DL$149,"&gt;"&amp;Inputs!$I$40)</f>
        <v>2.3999999999999986</v>
      </c>
      <c r="F379" s="511">
        <f>_xlfn.MINIFS($DE$156:$DE$235,$DL$156:$DL$235,"&gt;"&amp;Inputs!$I$40)</f>
        <v>0</v>
      </c>
      <c r="G379" s="512">
        <f>_xlfn.MINIFS($DE$242:$DE$321,$DL$242:$DL$321,"&gt;"&amp;Inputs!$I$40)</f>
        <v>2.3999999999999986</v>
      </c>
      <c r="H379" s="513">
        <f>IF(Inputs!$F$40/2&gt;MAX(Pile!$DL$70:$DL$149),999999,IF(Pile!E379/(Pile!C379/1000)&gt;50,999999,IF(Pile!E379&lt;2,999999,Pile!E379)))</f>
        <v>2.3999999999999986</v>
      </c>
      <c r="I379" s="511">
        <f>IF(Inputs!E42="Yes",999999,IF(Pile!F379/(Pile!C379/1000)&gt;50,999999,IF(Pile!F379&lt;2,999999,Pile!F379)))</f>
        <v>999999</v>
      </c>
      <c r="J379" s="511">
        <f>IF(Inputs!$F$40/2&gt;MAX(Pile!$DL$242:$DL$321),999999,IF(Pile!G379/(Pile!C379/1000)&gt;50,999999,IF(Pile!G379&lt;2,999999,IF(G379&gt;25,999999,Pile!G379))))</f>
        <v>2.3999999999999986</v>
      </c>
      <c r="K379" s="513">
        <f t="shared" si="409"/>
        <v>908.11750737290106</v>
      </c>
      <c r="L379" s="511">
        <f t="shared" si="410"/>
        <v>72382956.756414101</v>
      </c>
      <c r="M379" s="512">
        <f t="shared" si="411"/>
        <v>908.11750737290106</v>
      </c>
      <c r="N379" s="466">
        <f>Inputs!$D$40*E464</f>
        <v>734.4</v>
      </c>
      <c r="O379" s="491">
        <v>2</v>
      </c>
      <c r="P379" s="483">
        <v>1200</v>
      </c>
      <c r="Q379" s="503">
        <f>Inputs!$D$40*2</f>
        <v>64</v>
      </c>
      <c r="R379" s="511">
        <f>_xlfn.MINIFS($DE$70:$DE$149,$DL$70:$DL$149,"&gt;"&amp;Inputs!$I$47)</f>
        <v>2.3999999999999986</v>
      </c>
      <c r="S379" s="511">
        <f>_xlfn.MINIFS($DE$156:$DE$235,$DL$156:$DL$235,"&gt;"&amp;Inputs!$I$47)</f>
        <v>0</v>
      </c>
      <c r="T379" s="512">
        <f>_xlfn.MINIFS($DE$242:$DE$321,$DL$242:$DL$321,"&gt;"&amp;Inputs!$I$47)</f>
        <v>2.3999999999999986</v>
      </c>
      <c r="U379" s="513">
        <f>IF(Inputs!$F$47/2&gt;MAX(Pile!$DL$70:$DL$149),999999,IF(Pile!R379/(Pile!P379/1000)&gt;50,999999,IF(Pile!R379&lt;2,999999,Pile!R379)))</f>
        <v>2.3999999999999986</v>
      </c>
      <c r="V379" s="511">
        <f>IF(Inputs!R42="Yes",999999,IF(Pile!S379/(Pile!P379/1000)&gt;50,999999,IF(Pile!S379&lt;2,999999,Pile!S379)))</f>
        <v>999999</v>
      </c>
      <c r="W379" s="511">
        <f>IF(Inputs!$F$47/2&gt;MAX(Pile!$DL$242:$DL$321),999999,IF(Pile!T379/(Pile!P379/1000)&gt;50,999999,IF(Pile!T379&lt;2,999999,IF(T379&gt;25,999999,Pile!T379))))</f>
        <v>2.3999999999999986</v>
      </c>
      <c r="X379" s="513">
        <f t="shared" si="412"/>
        <v>908.11750737290106</v>
      </c>
      <c r="Y379" s="511">
        <f t="shared" si="413"/>
        <v>72382956.756414101</v>
      </c>
      <c r="Z379" s="512">
        <f t="shared" si="414"/>
        <v>908.11750737290106</v>
      </c>
      <c r="AA379" s="467">
        <f t="shared" si="369"/>
        <v>734.4</v>
      </c>
      <c r="AB379" s="497">
        <v>2</v>
      </c>
      <c r="AC379" s="487">
        <v>1200</v>
      </c>
      <c r="AD379" s="507">
        <f>Inputs!$D$40*2</f>
        <v>64</v>
      </c>
      <c r="AE379" s="511">
        <f>_xlfn.MINIFS($DE$70:$DE$149,$DL$70:$DL$149,"&gt;"&amp;Inputs!$I$54)</f>
        <v>2.3999999999999986</v>
      </c>
      <c r="AF379" s="511">
        <f>_xlfn.MINIFS($DE$156:$DE$235,$DL$156:$DL$235,"&gt;"&amp;Inputs!$I$54)</f>
        <v>0</v>
      </c>
      <c r="AG379" s="512">
        <f>_xlfn.MINIFS($DE$242:$DE$321,$DL$242:$DL$321,"&gt;"&amp;Inputs!$I$54)</f>
        <v>2.3999999999999986</v>
      </c>
      <c r="AH379" s="513">
        <f>IF(Inputs!$F$54/2&gt;MAX(Pile!$DL$70:$DL$149),999999,IF(Pile!AE379/(Pile!AC379/1000)&gt;50,999999,IF(Pile!AE379&lt;2,999999,Pile!AE379)))</f>
        <v>2.3999999999999986</v>
      </c>
      <c r="AI379" s="511">
        <f>IF(Inputs!AE42="Yes",999999,IF(Pile!AF379/(Pile!AC379/1000)&gt;50,999999,IF(Pile!AF379&lt;2,999999,Pile!AF379)))</f>
        <v>999999</v>
      </c>
      <c r="AJ379" s="511">
        <f>IF(Inputs!$F$54/2&gt;MAX(Pile!$DL$242:$DL$321),999999,IF(Pile!AG379/(Pile!AC379/1000)&gt;50,999999,IF(Pile!AG379&lt;2,999999,IF(AG379&gt;25,999999,Pile!AG379))))</f>
        <v>2.3999999999999986</v>
      </c>
      <c r="AK379" s="513">
        <f t="shared" si="415"/>
        <v>908.11750737290106</v>
      </c>
      <c r="AL379" s="511">
        <f t="shared" si="416"/>
        <v>72382956.756414101</v>
      </c>
      <c r="AM379" s="512">
        <f t="shared" si="417"/>
        <v>908.11750737290106</v>
      </c>
      <c r="AN379" s="471">
        <f t="shared" si="418"/>
        <v>734.4</v>
      </c>
      <c r="AO379" s="497">
        <v>2</v>
      </c>
      <c r="AP379" s="487">
        <v>1200</v>
      </c>
      <c r="AQ379" s="507">
        <f>Inputs!$D$40*2</f>
        <v>64</v>
      </c>
      <c r="AR379" s="511">
        <f>_xlfn.MINIFS($DE$70:$DE$149,$DL$70:$DL$149,"&gt;"&amp;Inputs!$I$61)</f>
        <v>2.3999999999999986</v>
      </c>
      <c r="AS379" s="511">
        <f>_xlfn.MINIFS($DE$156:$DE$235,$DL$156:$DL$235,"&gt;"&amp;Inputs!$I$61)</f>
        <v>0</v>
      </c>
      <c r="AT379" s="512">
        <f>_xlfn.MINIFS($DE$242:$DE$321,$DL$242:$DL$321,"&gt;"&amp;Inputs!$I$61)</f>
        <v>2.3999999999999986</v>
      </c>
      <c r="AU379" s="513">
        <f>IF(Inputs!$F$61/2&gt;MAX(Pile!$DL$70:$DL$149),999999,IF(Pile!AR379/(Pile!AP379/1000)&gt;50,999999,IF(Pile!AR379&lt;2,999999,Pile!AR379)))</f>
        <v>2.3999999999999986</v>
      </c>
      <c r="AV379" s="511">
        <f>IF(Inputs!AR42="Yes",999999,IF(Pile!AS379/(Pile!AP379/1000)&gt;50,999999,IF(Pile!AS379&lt;2,999999,Pile!AS379)))</f>
        <v>999999</v>
      </c>
      <c r="AW379" s="511">
        <f>IF(Inputs!$F$61/2&gt;MAX(Pile!$DL$242:$DL$321),999999,IF(Pile!AT379/(Pile!AP379/1000)&gt;50,999999,IF(Pile!AT379&lt;2,999999,IF(AT379&gt;25,999999,Pile!AT379))))</f>
        <v>2.3999999999999986</v>
      </c>
      <c r="AX379" s="513">
        <f t="shared" si="419"/>
        <v>908.11750737290106</v>
      </c>
      <c r="AY379" s="511">
        <f t="shared" si="420"/>
        <v>72382956.756414101</v>
      </c>
      <c r="AZ379" s="512">
        <f t="shared" si="421"/>
        <v>908.11750737290106</v>
      </c>
      <c r="BA379" s="467">
        <f t="shared" si="422"/>
        <v>734.4</v>
      </c>
      <c r="BB379" s="497">
        <v>2</v>
      </c>
      <c r="BC379" s="487">
        <v>1200</v>
      </c>
      <c r="BD379" s="507">
        <f>Inputs!$D$40*2</f>
        <v>64</v>
      </c>
      <c r="BE379" s="511">
        <f>_xlfn.MINIFS($DE$70:$DE$149,$DL$70:$DL$149,"&gt;"&amp;Inputs!$I$68)</f>
        <v>2.3999999999999986</v>
      </c>
      <c r="BF379" s="511">
        <f>_xlfn.MINIFS($DE$156:$DE$235,$DL$156:$DL$235,"&gt;"&amp;Inputs!$I$68)</f>
        <v>0</v>
      </c>
      <c r="BG379" s="512">
        <f>_xlfn.MINIFS($DE$242:$DE$321,$DL$242:$DL$321,"&gt;"&amp;Inputs!$I$68)</f>
        <v>2.3999999999999986</v>
      </c>
      <c r="BH379" s="513">
        <f>IF(Inputs!$F$68/2&gt;MAX(Pile!$DL$70:$DL$149),999999,IF(Pile!BE379/(Pile!BC379/1000)&gt;50,999999,IF(Pile!BE379&lt;2,999999,Pile!BE379)))</f>
        <v>2.3999999999999986</v>
      </c>
      <c r="BI379" s="511">
        <f>IF(Inputs!BE42="Yes",999999,IF(Pile!BF379/(Pile!BC379/1000)&gt;50,999999,IF(Pile!BF379&lt;2,999999,Pile!BF379)))</f>
        <v>999999</v>
      </c>
      <c r="BJ379" s="511">
        <f>IF(Inputs!$F$68/2&gt;MAX(Pile!$DL$242:$DL$321),999999,IF(Pile!BG379/(Pile!BC379/1000)&gt;50,999999,IF(Pile!BG379&lt;2,999999,IF(BG379&gt;25,999999,Pile!BG379))))</f>
        <v>2.3999999999999986</v>
      </c>
      <c r="BK379" s="513">
        <f t="shared" si="423"/>
        <v>908.11750737290106</v>
      </c>
      <c r="BL379" s="511">
        <f t="shared" si="424"/>
        <v>72382956.756414101</v>
      </c>
      <c r="BM379" s="512">
        <f t="shared" si="425"/>
        <v>908.11750737290106</v>
      </c>
      <c r="BN379" s="467">
        <f t="shared" si="426"/>
        <v>734.4</v>
      </c>
      <c r="BO379" s="497">
        <v>2</v>
      </c>
      <c r="BP379" s="487">
        <v>1200</v>
      </c>
      <c r="BQ379" s="507">
        <f>Inputs!$D$40*2</f>
        <v>64</v>
      </c>
      <c r="BR379" s="511">
        <f>_xlfn.MINIFS($DE$70:$DE$149,$DL$70:$DL$149,"&gt;"&amp;Inputs!$I$75)</f>
        <v>2.6999999999999984</v>
      </c>
      <c r="BS379" s="511">
        <f>_xlfn.MINIFS($DE$156:$DE$235,$DL$156:$DL$235,"&gt;"&amp;Inputs!$I$75)</f>
        <v>0</v>
      </c>
      <c r="BT379" s="512">
        <f>_xlfn.MINIFS($DE$242:$DE$321,$DL$242:$DL$321,"&gt;"&amp;Inputs!$I$75)</f>
        <v>2.6999999999999984</v>
      </c>
      <c r="BU379" s="513">
        <f>IF(Inputs!$F$75/2&gt;MAX(Pile!$DL$70:$DL$149),999999,IF(Pile!BR379/(Pile!BP379/1000)&gt;50,999999,IF(Pile!BR379&lt;2,999999,Pile!BR379)))</f>
        <v>2.6999999999999984</v>
      </c>
      <c r="BV379" s="511">
        <f>IF(Inputs!BR42="Yes",999999,IF(Pile!BS379/(Pile!BP379/1000)&gt;50,999999,IF(Pile!BS379&lt;2,999999,Pile!BS379)))</f>
        <v>999999</v>
      </c>
      <c r="BW379" s="511">
        <f>IF(Inputs!$F$75/2&gt;MAX(Pile!$DL$242:$DL$321),999999,IF(Pile!BT379/(Pile!BP379/1000)&gt;50,999999,IF(Pile!BT379&lt;2,999999,IF(BT379&gt;25,999999,Pile!BT379))))</f>
        <v>2.6999999999999984</v>
      </c>
      <c r="BX379" s="513">
        <f t="shared" si="427"/>
        <v>929.83219579451372</v>
      </c>
      <c r="BY379" s="511">
        <f t="shared" si="428"/>
        <v>72382956.756414101</v>
      </c>
      <c r="BZ379" s="512">
        <f t="shared" si="429"/>
        <v>929.83219579451372</v>
      </c>
      <c r="CA379" s="467">
        <f t="shared" si="430"/>
        <v>734.4</v>
      </c>
      <c r="CB379" s="497">
        <v>2</v>
      </c>
      <c r="CC379" s="487">
        <v>1200</v>
      </c>
      <c r="CD379" s="507">
        <f>Inputs!$D$40*2</f>
        <v>64</v>
      </c>
      <c r="CE379" s="511">
        <f>_xlfn.MINIFS($DE$70:$DE$149,$DL$70:$DL$149,"&gt;"&amp;Inputs!$I$82)</f>
        <v>1.7999999999999989</v>
      </c>
      <c r="CF379" s="511">
        <f>_xlfn.MINIFS($DE$156:$DE$235,$DL$156:$DL$235,"&gt;"&amp;Inputs!$I$82)</f>
        <v>0</v>
      </c>
      <c r="CG379" s="512">
        <f>_xlfn.MINIFS($DE$242:$DE$321,$DL$242:$DL$321,"&gt;"&amp;Inputs!$I$82)</f>
        <v>1.7999999999999989</v>
      </c>
      <c r="CH379" s="513">
        <f>IF(Inputs!$F$82/2&gt;MAX(Pile!$DL$70:$DL$149),999999,IF(Pile!CE379/(Pile!CC379/1000)&gt;50,999999,IF(Pile!CE379&lt;2,999999,Pile!CE379)))</f>
        <v>999999</v>
      </c>
      <c r="CI379" s="511">
        <f>IF(Inputs!CE42="Yes",999999,IF(Pile!CF379/(Pile!CC379/1000)&gt;50,999999,IF(Pile!CF379&lt;2,999999,Pile!CF379)))</f>
        <v>999999</v>
      </c>
      <c r="CJ379" s="511">
        <f>IF(Inputs!$F$82/2&gt;MAX(Pile!$DL$242:$DL$321),999999,IF(Pile!CG379/(Pile!CC379/1000)&gt;50,999999,IF(Pile!CG379&lt;2,999999,IF(CG379&gt;25,999999,Pile!CG379))))</f>
        <v>999999</v>
      </c>
      <c r="CK379" s="513">
        <f t="shared" si="431"/>
        <v>72382956.756414101</v>
      </c>
      <c r="CL379" s="511">
        <f t="shared" si="432"/>
        <v>72382956.756414101</v>
      </c>
      <c r="CM379" s="512">
        <f t="shared" si="433"/>
        <v>72382956.756414101</v>
      </c>
      <c r="CN379" s="467">
        <f t="shared" si="434"/>
        <v>734.4</v>
      </c>
      <c r="CO379" s="497">
        <v>2</v>
      </c>
      <c r="CP379" s="487">
        <v>1200</v>
      </c>
      <c r="CQ379" s="507">
        <f>Inputs!$D$40*2</f>
        <v>64</v>
      </c>
      <c r="CR379" s="511">
        <f>_xlfn.MINIFS($DE$70:$DE$149,$DL$70:$DL$149,"&gt;"&amp;Inputs!$I$89)</f>
        <v>1.7999999999999989</v>
      </c>
      <c r="CS379" s="511">
        <f>_xlfn.MINIFS($DE$156:$DE$235,$DL$156:$DL$235,"&gt;"&amp;Inputs!$I$89)</f>
        <v>0</v>
      </c>
      <c r="CT379" s="512">
        <f>_xlfn.MINIFS($DE$242:$DE$321,$DL$242:$DL$321,"&gt;"&amp;Inputs!$I$89)</f>
        <v>1.7999999999999989</v>
      </c>
      <c r="CU379" s="513">
        <f>IF(Inputs!$F$89/2&gt;MAX(Pile!$DL$70:$DL$149),999999,IF(Pile!CR379/(Pile!CP379/1000)&gt;50,999999,IF(Pile!CR379&lt;2,999999,Pile!CR379)))</f>
        <v>999999</v>
      </c>
      <c r="CV379" s="511">
        <f>IF(Inputs!CR42="Yes",999999,IF(Pile!CS379/(Pile!CP379/1000)&gt;50,999999,IF(Pile!CS379&lt;2,999999,Pile!CS379)))</f>
        <v>999999</v>
      </c>
      <c r="CW379" s="511">
        <f>IF(Inputs!$F$89/2&gt;MAX(Pile!$DL$242:$DL$321),999999,IF(Pile!CT379/(Pile!CP379/1000)&gt;50,999999,IF(Pile!CT379&lt;2,999999,IF(CT379&gt;25,999999,Pile!CT379))))</f>
        <v>999999</v>
      </c>
      <c r="CX379" s="513">
        <f t="shared" si="435"/>
        <v>72382956.756414101</v>
      </c>
      <c r="CY379" s="511">
        <f t="shared" si="436"/>
        <v>72382956.756414101</v>
      </c>
      <c r="CZ379" s="512">
        <f t="shared" si="437"/>
        <v>72382956.756414101</v>
      </c>
      <c r="DA379" s="467">
        <f t="shared" si="438"/>
        <v>734.4</v>
      </c>
      <c r="DB379" s="497">
        <v>2</v>
      </c>
      <c r="DC379" s="487">
        <v>1200</v>
      </c>
      <c r="DD379" s="507">
        <f>Inputs!$D$40*2</f>
        <v>64</v>
      </c>
      <c r="DE379" s="511">
        <f>_xlfn.MINIFS($DE$70:$DE$149,$DL$70:$DL$149,"&gt;"&amp;Inputs!$I$96)</f>
        <v>1.7999999999999989</v>
      </c>
      <c r="DF379" s="511">
        <f>_xlfn.MINIFS($DE$156:$DE$235,$DL$156:$DL$235,"&gt;"&amp;Inputs!$I$96)</f>
        <v>0</v>
      </c>
      <c r="DG379" s="512">
        <f>_xlfn.MINIFS($DE$242:$DE$321,$DL$242:$DL$321,"&gt;"&amp;Inputs!$I$96)</f>
        <v>1.7999999999999989</v>
      </c>
      <c r="DH379" s="513">
        <f>IF(Inputs!$F$96/2&gt;MAX(Pile!$DL$70:$DL$149),999999,IF(Pile!DE379/(Pile!DC379/1000)&gt;50,999999,IF(Pile!DE379&lt;2,999999,Pile!DE379)))</f>
        <v>999999</v>
      </c>
      <c r="DI379" s="511">
        <f>IF(Inputs!DE42="Yes",999999,IF(Pile!DF379/(Pile!DC379/1000)&gt;50,999999,IF(Pile!DF379&lt;2,999999,Pile!DF379)))</f>
        <v>999999</v>
      </c>
      <c r="DJ379" s="511">
        <f>IF(Inputs!$F$96/2&gt;MAX(Pile!$DL$242:$DL$321),999999,IF(Pile!DG379/(Pile!DC379/1000)&gt;50,999999,IF(Pile!DG379&lt;2,999999,IF(DG379&gt;25,999999,Pile!DG379))))</f>
        <v>999999</v>
      </c>
      <c r="DK379" s="513">
        <f t="shared" si="439"/>
        <v>72382956.756414101</v>
      </c>
      <c r="DL379" s="511">
        <f t="shared" si="440"/>
        <v>72382956.756414101</v>
      </c>
      <c r="DM379" s="512">
        <f t="shared" si="441"/>
        <v>72382956.756414101</v>
      </c>
      <c r="DN379" s="467">
        <f t="shared" si="442"/>
        <v>734.4</v>
      </c>
      <c r="DO379" s="497">
        <v>2</v>
      </c>
      <c r="DP379" s="487">
        <v>1200</v>
      </c>
      <c r="DQ379" s="507">
        <f>Inputs!$D$40*2</f>
        <v>64</v>
      </c>
      <c r="DR379" s="511">
        <f>_xlfn.MINIFS($DE$70:$DE$149,$DL$70:$DL$149,"&gt;"&amp;Inputs!$I$103)</f>
        <v>1.4999999999999991</v>
      </c>
      <c r="DS379" s="511">
        <f>_xlfn.MINIFS($DE$156:$DE$235,$DL$156:$DL$235,"&gt;"&amp;Inputs!$I$103)</f>
        <v>0</v>
      </c>
      <c r="DT379" s="512">
        <f>_xlfn.MINIFS($DE$242:$DE$321,$DL$242:$DL$321,"&gt;"&amp;Inputs!$I$103)</f>
        <v>1.4999999999999991</v>
      </c>
      <c r="DU379" s="513">
        <f>IF(Inputs!$F$103/2&gt;MAX(Pile!$DL$70:$DL$149),999999,IF(Pile!DR379/(Pile!DP379/1000)&gt;50,999999,IF(Pile!DR379&lt;2,999999,Pile!DR379)))</f>
        <v>999999</v>
      </c>
      <c r="DV379" s="511">
        <f>IF(Inputs!DR42="Yes",999999,IF(Pile!DS379/(Pile!DP379/1000)&gt;50,999999,IF(Pile!DS379&lt;2,999999,Pile!DS379)))</f>
        <v>999999</v>
      </c>
      <c r="DW379" s="511">
        <f>IF(Inputs!$F$103/2&gt;MAX(Pile!$DL$242:$DL$321),999999,IF(Pile!DT379/(Pile!DP379/1000)&gt;50,999999,IF(Pile!DT379&lt;2,999999,IF(DT379&gt;25,999999,Pile!DT379))))</f>
        <v>999999</v>
      </c>
      <c r="DX379" s="513">
        <f t="shared" si="443"/>
        <v>72382956.756414101</v>
      </c>
      <c r="DY379" s="511">
        <f t="shared" si="444"/>
        <v>72382956.756414101</v>
      </c>
      <c r="DZ379" s="512">
        <f t="shared" si="445"/>
        <v>72382956.756414101</v>
      </c>
      <c r="EA379" s="467">
        <f t="shared" si="446"/>
        <v>734.4</v>
      </c>
      <c r="EB379" s="497">
        <v>2</v>
      </c>
      <c r="EC379" s="487">
        <v>1200</v>
      </c>
      <c r="ED379" s="507">
        <f>Inputs!$D$40*2</f>
        <v>64</v>
      </c>
      <c r="EE379" s="511">
        <f>_xlfn.MINIFS($DE$70:$DE$149,$DL$70:$DL$149,"&gt;"&amp;Inputs!$I$110)</f>
        <v>1.4999999999999991</v>
      </c>
      <c r="EF379" s="511">
        <f>_xlfn.MINIFS($DE$156:$DE$235,$DL$156:$DL$235,"&gt;"&amp;Inputs!$I$110)</f>
        <v>0</v>
      </c>
      <c r="EG379" s="512">
        <f>_xlfn.MINIFS($DE$242:$DE$321,$DL$242:$DL$321,"&gt;"&amp;Inputs!$I$110)</f>
        <v>1.4999999999999991</v>
      </c>
      <c r="EH379" s="513">
        <f>IF(Inputs!$F$110/2&gt;MAX(Pile!$DL$70:$DL$149),999999,IF(Pile!EE379/(Pile!EC379/1000)&gt;50,999999,IF(Pile!EE379&lt;2,999999,Pile!EE379)))</f>
        <v>999999</v>
      </c>
      <c r="EI379" s="511">
        <f>IF(Inputs!EE42="Yes",999999,IF(Pile!EF379/(Pile!EC379/1000)&gt;50,999999,IF(Pile!EF379&lt;2,999999,Pile!EF379)))</f>
        <v>999999</v>
      </c>
      <c r="EJ379" s="511">
        <f>IF(Inputs!$F$110/2&gt;MAX(Pile!$DL$242:$DL$321),999999,IF(Pile!EG379/(Pile!EC379/1000)&gt;50,999999,IF(Pile!EG379&lt;2,999999,IF(EG379&gt;25,999999,Pile!EG379))))</f>
        <v>999999</v>
      </c>
      <c r="EK379" s="513">
        <f t="shared" si="447"/>
        <v>72382956.756414101</v>
      </c>
      <c r="EL379" s="511">
        <f t="shared" si="448"/>
        <v>72382956.756414101</v>
      </c>
      <c r="EM379" s="512">
        <f t="shared" si="449"/>
        <v>72382956.756414101</v>
      </c>
      <c r="EN379" s="467">
        <f t="shared" si="450"/>
        <v>734.4</v>
      </c>
      <c r="EO379" s="497">
        <v>2</v>
      </c>
      <c r="EP379" s="487">
        <v>1200</v>
      </c>
      <c r="EQ379" s="507">
        <f>Inputs!$D$40*2</f>
        <v>64</v>
      </c>
      <c r="ER379" s="511">
        <f>_xlfn.MINIFS($DE$70:$DE$149,$DL$70:$DL$149,"&gt;"&amp;Inputs!$I$117)</f>
        <v>0.29999999999999982</v>
      </c>
      <c r="ES379" s="511">
        <f>_xlfn.MINIFS($DE$156:$DE$235,$DL$156:$DL$235,"&gt;"&amp;Inputs!$I$117)</f>
        <v>0</v>
      </c>
      <c r="ET379" s="512">
        <f>_xlfn.MINIFS($DE$242:$DE$321,$DL$242:$DL$321,"&gt;"&amp;Inputs!$I$117)</f>
        <v>0.29999999999999982</v>
      </c>
      <c r="EU379" s="513">
        <f>IF(Inputs!$F$117/2&gt;MAX(Pile!$DL$70:$DL$149),999999,IF(Pile!ER379/(Pile!EP379/1000)&gt;50,999999,IF(Pile!ER379&lt;2,999999,Pile!ER379)))</f>
        <v>999999</v>
      </c>
      <c r="EV379" s="511">
        <f>IF(Inputs!ER42="Yes",999999,IF(Inputs!$F$117&gt;MAX(Pile!$DG$156:$DG$235),999999,IF(Pile!ES379/(Pile!EP379/1000)&gt;50,999999,IF(Pile!ES379&lt;2,999999,Pile!ES379))))</f>
        <v>999999</v>
      </c>
      <c r="EW379" s="511">
        <f>IF(Inputs!$F$117/2&gt;MAX(Pile!$DL$242:$DL$321),999999,IF(Pile!ET379/(Pile!EP379/1000)&gt;50,999999,IF(Pile!ET379&lt;2,999999,IF(ET379&gt;25,999999,Pile!ET379))))</f>
        <v>999999</v>
      </c>
      <c r="EX379" s="513">
        <f t="shared" si="406"/>
        <v>72382222.356414095</v>
      </c>
      <c r="EY379" s="511">
        <f t="shared" si="407"/>
        <v>72382222.356414095</v>
      </c>
      <c r="EZ379" s="512">
        <f t="shared" si="408"/>
        <v>72382222.356414095</v>
      </c>
    </row>
    <row r="380" spans="2:156" ht="15">
      <c r="B380" s="517">
        <v>3</v>
      </c>
      <c r="C380" s="492">
        <v>450</v>
      </c>
      <c r="D380" s="518">
        <f>Inputs!$D$40*3</f>
        <v>96</v>
      </c>
      <c r="E380" s="519">
        <f>_xlfn.MINIFS($DE$70:$DE$149,$DG$70:$DG$149,"&gt;"&amp;Inputs!$J$40)</f>
        <v>13.499999999999996</v>
      </c>
      <c r="F380" s="519">
        <f>_xlfn.MINIFS($DE$156:$DE$235,$DG$156:$DG$235,"&gt;"&amp;Inputs!$J$40)</f>
        <v>9.8999999999999968</v>
      </c>
      <c r="G380" s="520">
        <f>_xlfn.MINIFS($DE$242:$DE$321,$DG$242:$DG$321,"&gt;"&amp;Inputs!$J$40)</f>
        <v>13.499999999999996</v>
      </c>
      <c r="H380" s="521">
        <f>IF(Inputs!$F$40/3&gt;MAX(Pile!$DG$70:$DG$149),999999,IF(Pile!E380/(Pile!C380/1000)&gt;50,999999,IF(Pile!E380&lt;2,999999,Pile!E380)))</f>
        <v>13.499999999999996</v>
      </c>
      <c r="I380" s="519">
        <f>IF(Inputs!E43="Yes",999999,IF(Pile!F380/(Pile!C380/1000)&gt;50,999999,IF(Pile!F380&lt;2,999999,Pile!F380)))</f>
        <v>9.8999999999999968</v>
      </c>
      <c r="J380" s="519">
        <f>IF(Inputs!$F$40/3&gt;MAX(Pile!$DG$242:$DG$321),999999,IF(Pile!G380/(Pile!C380/1000)&gt;50,999999,IF(Pile!G380&lt;2,999999,IF(G380&gt;25,999999,Pile!G380))))</f>
        <v>13.499999999999996</v>
      </c>
      <c r="K380" s="521">
        <f t="shared" si="409"/>
        <v>309.79989400202635</v>
      </c>
      <c r="L380" s="519">
        <f t="shared" si="410"/>
        <v>254.83458893481929</v>
      </c>
      <c r="M380" s="520">
        <f t="shared" si="411"/>
        <v>309.79989400202635</v>
      </c>
      <c r="N380" s="466">
        <f>Inputs!$D$40*F459</f>
        <v>103.68</v>
      </c>
      <c r="O380" s="517">
        <v>3</v>
      </c>
      <c r="P380" s="492">
        <v>450</v>
      </c>
      <c r="Q380" s="518">
        <f>Inputs!$D$40*3</f>
        <v>96</v>
      </c>
      <c r="R380" s="519">
        <f>_xlfn.MINIFS($DE$70:$DE$149,$DG$70:$DG$149,"&gt;"&amp;Inputs!$J$47)</f>
        <v>13.499999999999996</v>
      </c>
      <c r="S380" s="519">
        <f>_xlfn.MINIFS($DE$156:$DE$235,$DG$156:$DG$235,"&gt;"&amp;Inputs!$J$47)</f>
        <v>9.8999999999999968</v>
      </c>
      <c r="T380" s="520">
        <f>_xlfn.MINIFS($DE$242:$DE$321,$DG$242:$DG$321,"&gt;"&amp;Inputs!$J$47)</f>
        <v>13.499999999999996</v>
      </c>
      <c r="U380" s="521">
        <f>IF(Inputs!$F$47/3&gt;MAX(Pile!$DG$70:$DG$149),999999,IF(Pile!R380/(Pile!P380/1000)&gt;50,999999,IF(Pile!R380&lt;2,999999,Pile!R380)))</f>
        <v>13.499999999999996</v>
      </c>
      <c r="V380" s="519">
        <f>IF(Inputs!R43="Yes",999999,IF(Pile!S380/(Pile!P380/1000)&gt;50,999999,IF(Pile!S380&lt;2,999999,Pile!S380)))</f>
        <v>9.8999999999999968</v>
      </c>
      <c r="W380" s="519">
        <f>IF(Inputs!$F$47/3&gt;MAX(Pile!$DG$242:$DG$321),999999,IF(Pile!T380/(Pile!P380/1000)&gt;50,999999,IF(Pile!T380&lt;2,999999,IF(T380&gt;25,999999,Pile!T380))))</f>
        <v>13.499999999999996</v>
      </c>
      <c r="X380" s="521">
        <f t="shared" si="412"/>
        <v>309.79989400202635</v>
      </c>
      <c r="Y380" s="519">
        <f t="shared" si="413"/>
        <v>254.83458893481929</v>
      </c>
      <c r="Z380" s="520">
        <f t="shared" si="414"/>
        <v>309.79989400202635</v>
      </c>
      <c r="AA380" s="467">
        <f t="shared" si="369"/>
        <v>103.68</v>
      </c>
      <c r="AB380" s="522">
        <v>3</v>
      </c>
      <c r="AC380" s="498">
        <v>450</v>
      </c>
      <c r="AD380" s="523">
        <f>Inputs!$D$40*3</f>
        <v>96</v>
      </c>
      <c r="AE380" s="519">
        <f>_xlfn.MINIFS($DE$70:$DE$149,$DG$70:$DG$149,"&gt;"&amp;Inputs!$J$54)</f>
        <v>13.499999999999996</v>
      </c>
      <c r="AF380" s="519">
        <f>_xlfn.MINIFS($DE$156:$DE$235,$DG$156:$DG$235,"&gt;"&amp;Inputs!$J$54)</f>
        <v>5.9999999999999982</v>
      </c>
      <c r="AG380" s="520">
        <f>_xlfn.MINIFS($DE$242:$DE$321,$DG$242:$DG$321,"&gt;"&amp;Inputs!$J$54)</f>
        <v>5.9999999999999982</v>
      </c>
      <c r="AH380" s="521">
        <f>IF(Inputs!$F$54/3&gt;MAX(Pile!$DG$70:$DG$149),999999,IF(Pile!AE380/(Pile!AC380/1000)&gt;50,999999,IF(Pile!AE380&lt;2,999999,Pile!AE380)))</f>
        <v>13.499999999999996</v>
      </c>
      <c r="AI380" s="519">
        <f>IF(Inputs!AE43="Yes",999999,IF(Pile!AF380/(Pile!AC380/1000)&gt;50,999999,IF(Pile!AF380&lt;2,999999,Pile!AF380)))</f>
        <v>5.9999999999999982</v>
      </c>
      <c r="AJ380" s="519">
        <f>IF(Inputs!$F$54/3&gt;MAX(Pile!$DG$242:$DG$321),999999,IF(Pile!AG380/(Pile!AC380/1000)&gt;50,999999,IF(Pile!AG380&lt;2,999999,IF(AG380&gt;25,999999,Pile!AG380))))</f>
        <v>5.9999999999999982</v>
      </c>
      <c r="AK380" s="521">
        <f t="shared" si="415"/>
        <v>309.79989400202635</v>
      </c>
      <c r="AL380" s="519">
        <f t="shared" si="416"/>
        <v>195.28884177867837</v>
      </c>
      <c r="AM380" s="520">
        <f t="shared" si="417"/>
        <v>195.28884177867837</v>
      </c>
      <c r="AN380" s="471">
        <f t="shared" si="418"/>
        <v>103.68</v>
      </c>
      <c r="AO380" s="522">
        <v>3</v>
      </c>
      <c r="AP380" s="498">
        <v>450</v>
      </c>
      <c r="AQ380" s="523">
        <f>Inputs!$D$40*3</f>
        <v>96</v>
      </c>
      <c r="AR380" s="519">
        <f>_xlfn.MINIFS($DE$70:$DE$149,$DG$70:$DG$149,"&gt;"&amp;Inputs!$J$61)</f>
        <v>13.499999999999996</v>
      </c>
      <c r="AS380" s="519">
        <f>_xlfn.MINIFS($DE$156:$DE$235,$DG$156:$DG$235,"&gt;"&amp;Inputs!$J$61)</f>
        <v>5.9999999999999982</v>
      </c>
      <c r="AT380" s="520">
        <f>_xlfn.MINIFS($DE$242:$DE$321,$DG$242:$DG$321,"&gt;"&amp;Inputs!$J$61)</f>
        <v>5.9999999999999982</v>
      </c>
      <c r="AU380" s="521">
        <f>IF(Inputs!$F$61/3&gt;MAX(Pile!$DG$70:$DG$149),999999,IF(Pile!AR380/(Pile!AP380/1000)&gt;50,999999,IF(Pile!AR380&lt;2,999999,Pile!AR380)))</f>
        <v>13.499999999999996</v>
      </c>
      <c r="AV380" s="519">
        <f>IF(Inputs!AR43="Yes",999999,IF(Pile!AS380/(Pile!AP380/1000)&gt;50,999999,IF(Pile!AS380&lt;2,999999,Pile!AS380)))</f>
        <v>5.9999999999999982</v>
      </c>
      <c r="AW380" s="519">
        <f>IF(Inputs!$F$61/3&gt;MAX(Pile!$DG$242:$DG$321),999999,IF(Pile!AT380/(Pile!AP380/1000)&gt;50,999999,IF(Pile!AT380&lt;2,999999,IF(AT380&gt;25,999999,Pile!AT380))))</f>
        <v>5.9999999999999982</v>
      </c>
      <c r="AX380" s="521">
        <f t="shared" si="419"/>
        <v>309.79989400202635</v>
      </c>
      <c r="AY380" s="519">
        <f t="shared" si="420"/>
        <v>195.28884177867837</v>
      </c>
      <c r="AZ380" s="520">
        <f t="shared" si="421"/>
        <v>195.28884177867837</v>
      </c>
      <c r="BA380" s="467">
        <f t="shared" si="422"/>
        <v>103.68</v>
      </c>
      <c r="BB380" s="522">
        <v>3</v>
      </c>
      <c r="BC380" s="498">
        <v>450</v>
      </c>
      <c r="BD380" s="523">
        <f>Inputs!$D$40*3</f>
        <v>96</v>
      </c>
      <c r="BE380" s="519">
        <f>_xlfn.MINIFS($DE$70:$DE$149,$DG$70:$DG$149,"&gt;"&amp;Inputs!$J$68)</f>
        <v>13.499999999999996</v>
      </c>
      <c r="BF380" s="519">
        <f>_xlfn.MINIFS($DE$156:$DE$235,$DG$156:$DG$235,"&gt;"&amp;Inputs!$J$68)</f>
        <v>5.9999999999999982</v>
      </c>
      <c r="BG380" s="520">
        <f>_xlfn.MINIFS($DE$242:$DE$321,$DG$242:$DG$321,"&gt;"&amp;Inputs!$J$68)</f>
        <v>5.9999999999999982</v>
      </c>
      <c r="BH380" s="521">
        <f>IF(Inputs!$F$68/3&gt;MAX(Pile!$DG$70:$DG$149),999999,IF(Pile!BE380/(Pile!BC380/1000)&gt;50,999999,IF(Pile!BE380&lt;2,999999,Pile!BE380)))</f>
        <v>13.499999999999996</v>
      </c>
      <c r="BI380" s="519">
        <f>IF(Inputs!BE43="Yes",999999,IF(Pile!BF380/(Pile!BC380/1000)&gt;50,999999,IF(Pile!BF380&lt;2,999999,Pile!BF380)))</f>
        <v>5.9999999999999982</v>
      </c>
      <c r="BJ380" s="519">
        <f>IF(Inputs!$F$68/3&gt;MAX(Pile!$DG$242:$DG$321),999999,IF(Pile!BG380/(Pile!BC380/1000)&gt;50,999999,IF(Pile!BG380&lt;2,999999,IF(BG380&gt;25,999999,Pile!BG380))))</f>
        <v>5.9999999999999982</v>
      </c>
      <c r="BK380" s="521">
        <f t="shared" si="423"/>
        <v>309.79989400202635</v>
      </c>
      <c r="BL380" s="519">
        <f t="shared" si="424"/>
        <v>195.28884177867837</v>
      </c>
      <c r="BM380" s="520">
        <f t="shared" si="425"/>
        <v>195.28884177867837</v>
      </c>
      <c r="BN380" s="467">
        <f t="shared" si="426"/>
        <v>103.68</v>
      </c>
      <c r="BO380" s="522">
        <v>3</v>
      </c>
      <c r="BP380" s="498">
        <v>450</v>
      </c>
      <c r="BQ380" s="523">
        <f>Inputs!$D$40*3</f>
        <v>96</v>
      </c>
      <c r="BR380" s="519">
        <f>_xlfn.MINIFS($DE$70:$DE$149,$DG$70:$DG$149,"&gt;"&amp;Inputs!$J$75)</f>
        <v>13.499999999999996</v>
      </c>
      <c r="BS380" s="519">
        <f>_xlfn.MINIFS($DE$156:$DE$235,$DG$156:$DG$235,"&gt;"&amp;Inputs!$J$75)</f>
        <v>10.799999999999997</v>
      </c>
      <c r="BT380" s="520">
        <f>_xlfn.MINIFS($DE$242:$DE$321,$DG$242:$DG$321,"&gt;"&amp;Inputs!$J$75)</f>
        <v>13.499999999999996</v>
      </c>
      <c r="BU380" s="521">
        <f>IF(Inputs!$F$75/3&gt;MAX(Pile!$DG$70:$DG$149),999999,IF(Pile!BR380/(Pile!BP380/1000)&gt;50,999999,IF(Pile!BR380&lt;2,999999,Pile!BR380)))</f>
        <v>13.499999999999996</v>
      </c>
      <c r="BV380" s="519">
        <f>IF(Inputs!BR43="Yes",999999,IF(Pile!BS380/(Pile!BP380/1000)&gt;50,999999,IF(Pile!BS380&lt;2,999999,Pile!BS380)))</f>
        <v>10.799999999999997</v>
      </c>
      <c r="BW380" s="519">
        <f>IF(Inputs!$F$75/3&gt;MAX(Pile!$DG$242:$DG$321),999999,IF(Pile!BT380/(Pile!BP380/1000)&gt;50,999999,IF(Pile!BT380&lt;2,999999,IF(BT380&gt;25,999999,Pile!BT380))))</f>
        <v>13.499999999999996</v>
      </c>
      <c r="BX380" s="521">
        <f t="shared" si="427"/>
        <v>309.79989400202635</v>
      </c>
      <c r="BY380" s="519">
        <f t="shared" si="428"/>
        <v>268.57591520162106</v>
      </c>
      <c r="BZ380" s="520">
        <f t="shared" si="429"/>
        <v>309.79989400202635</v>
      </c>
      <c r="CA380" s="467">
        <f t="shared" si="430"/>
        <v>103.68</v>
      </c>
      <c r="CB380" s="522">
        <v>3</v>
      </c>
      <c r="CC380" s="498">
        <v>450</v>
      </c>
      <c r="CD380" s="523">
        <f>Inputs!$D$40*3</f>
        <v>96</v>
      </c>
      <c r="CE380" s="519">
        <f>_xlfn.MINIFS($DE$70:$DE$149,$DG$70:$DG$149,"&gt;"&amp;Inputs!$J$82)</f>
        <v>5.3999999999999977</v>
      </c>
      <c r="CF380" s="519">
        <f>_xlfn.MINIFS($DE$156:$DE$235,$DG$156:$DG$235,"&gt;"&amp;Inputs!$J$82)</f>
        <v>5.0999999999999979</v>
      </c>
      <c r="CG380" s="520">
        <f>_xlfn.MINIFS($DE$242:$DE$321,$DG$242:$DG$321,"&gt;"&amp;Inputs!$J$82)</f>
        <v>5.0999999999999979</v>
      </c>
      <c r="CH380" s="521">
        <f>IF(Inputs!$F$82/3&gt;MAX(Pile!$DG$70:$DG$149),999999,IF(Pile!CE380/(Pile!CC380/1000)&gt;50,999999,IF(Pile!CE380&lt;2,999999,Pile!CE380)))</f>
        <v>5.3999999999999977</v>
      </c>
      <c r="CI380" s="519">
        <f>IF(Inputs!CE43="Yes",999999,IF(Pile!CF380/(Pile!CC380/1000)&gt;50,999999,IF(Pile!CF380&lt;2,999999,Pile!CF380)))</f>
        <v>5.0999999999999979</v>
      </c>
      <c r="CJ380" s="519">
        <f>IF(Inputs!$F$82/3&gt;MAX(Pile!$DG$242:$DG$321),999999,IF(Pile!CG380/(Pile!CC380/1000)&gt;50,999999,IF(Pile!CG380&lt;2,999999,IF(CG380&gt;25,999999,Pile!CG380))))</f>
        <v>5.0999999999999979</v>
      </c>
      <c r="CK380" s="521">
        <f t="shared" si="431"/>
        <v>186.12795760081053</v>
      </c>
      <c r="CL380" s="519">
        <f t="shared" si="432"/>
        <v>181.54751551187661</v>
      </c>
      <c r="CM380" s="520">
        <f t="shared" si="433"/>
        <v>181.54751551187661</v>
      </c>
      <c r="CN380" s="467">
        <f t="shared" si="434"/>
        <v>103.68</v>
      </c>
      <c r="CO380" s="522">
        <v>3</v>
      </c>
      <c r="CP380" s="498">
        <v>450</v>
      </c>
      <c r="CQ380" s="523">
        <f>Inputs!$D$40*3</f>
        <v>96</v>
      </c>
      <c r="CR380" s="519">
        <f>_xlfn.MINIFS($DE$70:$DE$149,$DG$70:$DG$149,"&gt;"&amp;Inputs!$J$89)</f>
        <v>5.0999999999999979</v>
      </c>
      <c r="CS380" s="519">
        <f>_xlfn.MINIFS($DE$156:$DE$235,$DG$156:$DG$235,"&gt;"&amp;Inputs!$J$89)</f>
        <v>4.799999999999998</v>
      </c>
      <c r="CT380" s="520">
        <f>_xlfn.MINIFS($DE$242:$DE$321,$DG$242:$DG$321,"&gt;"&amp;Inputs!$J$89)</f>
        <v>4.799999999999998</v>
      </c>
      <c r="CU380" s="521">
        <f>IF(Inputs!$F$89/3&gt;MAX(Pile!$DG$70:$DG$149),999999,IF(Pile!CR380/(Pile!CP380/1000)&gt;50,999999,IF(Pile!CR380&lt;2,999999,Pile!CR380)))</f>
        <v>5.0999999999999979</v>
      </c>
      <c r="CV380" s="519">
        <f>IF(Inputs!CR43="Yes",999999,IF(Pile!CS380/(Pile!CP380/1000)&gt;50,999999,IF(Pile!CS380&lt;2,999999,Pile!CS380)))</f>
        <v>4.799999999999998</v>
      </c>
      <c r="CW380" s="519">
        <f>IF(Inputs!$F$89/3&gt;MAX(Pile!$DG$242:$DG$321),999999,IF(Pile!CT380/(Pile!CP380/1000)&gt;50,999999,IF(Pile!CT380&lt;2,999999,IF(CT380&gt;25,999999,Pile!CT380))))</f>
        <v>4.799999999999998</v>
      </c>
      <c r="CX380" s="521">
        <f t="shared" si="435"/>
        <v>181.54751551187661</v>
      </c>
      <c r="CY380" s="519">
        <f t="shared" si="436"/>
        <v>176.96707342294269</v>
      </c>
      <c r="CZ380" s="520">
        <f t="shared" si="437"/>
        <v>176.96707342294269</v>
      </c>
      <c r="DA380" s="467">
        <f t="shared" si="438"/>
        <v>103.68</v>
      </c>
      <c r="DB380" s="522">
        <v>3</v>
      </c>
      <c r="DC380" s="498">
        <v>450</v>
      </c>
      <c r="DD380" s="523">
        <f>Inputs!$D$40*3</f>
        <v>96</v>
      </c>
      <c r="DE380" s="519">
        <f>_xlfn.MINIFS($DE$70:$DE$149,$DG$70:$DG$149,"&gt;"&amp;Inputs!$J$96)</f>
        <v>5.0999999999999979</v>
      </c>
      <c r="DF380" s="519">
        <f>_xlfn.MINIFS($DE$156:$DE$235,$DG$156:$DG$235,"&gt;"&amp;Inputs!$J$96)</f>
        <v>4.799999999999998</v>
      </c>
      <c r="DG380" s="520">
        <f>_xlfn.MINIFS($DE$242:$DE$321,$DG$242:$DG$321,"&gt;"&amp;Inputs!$J$96)</f>
        <v>4.799999999999998</v>
      </c>
      <c r="DH380" s="521">
        <f>IF(Inputs!$F$96/3&gt;MAX(Pile!$DG$70:$DG$149),999999,IF(Pile!DE380/(Pile!DC380/1000)&gt;50,999999,IF(Pile!DE380&lt;2,999999,Pile!DE380)))</f>
        <v>5.0999999999999979</v>
      </c>
      <c r="DI380" s="519">
        <f>IF(Inputs!DE43="Yes",999999,IF(Pile!DF380/(Pile!DC380/1000)&gt;50,999999,IF(Pile!DF380&lt;2,999999,Pile!DF380)))</f>
        <v>4.799999999999998</v>
      </c>
      <c r="DJ380" s="519">
        <f>IF(Inputs!$F$96/3&gt;MAX(Pile!$DG$242:$DG$321),999999,IF(Pile!DG380/(Pile!DC380/1000)&gt;50,999999,IF(Pile!DG380&lt;2,999999,IF(DG380&gt;25,999999,Pile!DG380))))</f>
        <v>4.799999999999998</v>
      </c>
      <c r="DK380" s="521">
        <f t="shared" si="439"/>
        <v>181.54751551187661</v>
      </c>
      <c r="DL380" s="519">
        <f t="shared" si="440"/>
        <v>176.96707342294269</v>
      </c>
      <c r="DM380" s="520">
        <f t="shared" si="441"/>
        <v>176.96707342294269</v>
      </c>
      <c r="DN380" s="467">
        <f t="shared" si="442"/>
        <v>103.68</v>
      </c>
      <c r="DO380" s="522">
        <v>3</v>
      </c>
      <c r="DP380" s="498">
        <v>450</v>
      </c>
      <c r="DQ380" s="523">
        <f>Inputs!$D$40*3</f>
        <v>96</v>
      </c>
      <c r="DR380" s="519">
        <f>_xlfn.MINIFS($DE$70:$DE$149,$DG$70:$DG$149,"&gt;"&amp;Inputs!$J$103)</f>
        <v>4.4999999999999982</v>
      </c>
      <c r="DS380" s="519">
        <f>_xlfn.MINIFS($DE$156:$DE$235,$DG$156:$DG$235,"&gt;"&amp;Inputs!$J$103)</f>
        <v>3.8999999999999977</v>
      </c>
      <c r="DT380" s="520">
        <f>_xlfn.MINIFS($DE$242:$DE$321,$DG$242:$DG$321,"&gt;"&amp;Inputs!$J$103)</f>
        <v>4.1999999999999975</v>
      </c>
      <c r="DU380" s="521">
        <f>IF(Inputs!$F$103/3&gt;MAX(Pile!$DG$70:$DG$149),999999,IF(Pile!DR380/(Pile!DP380/1000)&gt;50,999999,IF(Pile!DR380&lt;2,999999,Pile!DR380)))</f>
        <v>4.4999999999999982</v>
      </c>
      <c r="DV380" s="519">
        <f>IF(Inputs!DR43="Yes",999999,IF(Pile!DS380/(Pile!DP380/1000)&gt;50,999999,IF(Pile!DS380&lt;2,999999,Pile!DS380)))</f>
        <v>3.8999999999999977</v>
      </c>
      <c r="DW380" s="519">
        <f>IF(Inputs!$F$103/3&gt;MAX(Pile!$DG$242:$DG$321),999999,IF(Pile!DT380/(Pile!DP380/1000)&gt;50,999999,IF(Pile!DT380&lt;2,999999,IF(DT380&gt;25,999999,Pile!DT380))))</f>
        <v>4.1999999999999975</v>
      </c>
      <c r="DX380" s="521">
        <f t="shared" si="443"/>
        <v>172.38663133400877</v>
      </c>
      <c r="DY380" s="519">
        <f t="shared" si="444"/>
        <v>163.22574715614093</v>
      </c>
      <c r="DZ380" s="520">
        <f t="shared" si="445"/>
        <v>167.80618924507485</v>
      </c>
      <c r="EA380" s="467">
        <f t="shared" si="446"/>
        <v>103.68</v>
      </c>
      <c r="EB380" s="522">
        <v>3</v>
      </c>
      <c r="EC380" s="498">
        <v>450</v>
      </c>
      <c r="ED380" s="523">
        <f>Inputs!$D$40*3</f>
        <v>96</v>
      </c>
      <c r="EE380" s="519">
        <f>_xlfn.MINIFS($DE$70:$DE$149,$DG$70:$DG$149,"&gt;"&amp;Inputs!$J$110)</f>
        <v>4.4999999999999982</v>
      </c>
      <c r="EF380" s="519">
        <f>_xlfn.MINIFS($DE$156:$DE$235,$DG$156:$DG$235,"&gt;"&amp;Inputs!$J$110)</f>
        <v>3.8999999999999977</v>
      </c>
      <c r="EG380" s="520">
        <f>_xlfn.MINIFS($DE$242:$DE$321,$DG$242:$DG$321,"&gt;"&amp;Inputs!$J$110)</f>
        <v>4.1999999999999975</v>
      </c>
      <c r="EH380" s="521">
        <f>IF(Inputs!$F$110/3&gt;MAX(Pile!$DG$70:$DG$149),999999,IF(Pile!EE380/(Pile!EC380/1000)&gt;50,999999,IF(Pile!EE380&lt;2,999999,Pile!EE380)))</f>
        <v>4.4999999999999982</v>
      </c>
      <c r="EI380" s="519">
        <f>IF(Inputs!EE43="Yes",999999,IF(Pile!EF380/(Pile!EC380/1000)&gt;50,999999,IF(Pile!EF380&lt;2,999999,Pile!EF380)))</f>
        <v>3.8999999999999977</v>
      </c>
      <c r="EJ380" s="519">
        <f>IF(Inputs!$F$110/3&gt;MAX(Pile!$DG$242:$DG$321),999999,IF(Pile!EG380/(Pile!EC380/1000)&gt;50,999999,IF(Pile!EG380&lt;2,999999,IF(EG380&gt;25,999999,Pile!EG380))))</f>
        <v>4.1999999999999975</v>
      </c>
      <c r="EK380" s="521">
        <f t="shared" si="447"/>
        <v>172.38663133400877</v>
      </c>
      <c r="EL380" s="519">
        <f t="shared" si="448"/>
        <v>163.22574715614093</v>
      </c>
      <c r="EM380" s="520">
        <f t="shared" si="449"/>
        <v>167.80618924507485</v>
      </c>
      <c r="EN380" s="467">
        <f t="shared" si="450"/>
        <v>103.68</v>
      </c>
      <c r="EO380" s="522">
        <v>3</v>
      </c>
      <c r="EP380" s="498">
        <v>450</v>
      </c>
      <c r="EQ380" s="523">
        <f>Inputs!$D$40*3</f>
        <v>96</v>
      </c>
      <c r="ER380" s="519">
        <f>_xlfn.MINIFS($DE$70:$DE$149,$DG$70:$DG$149,"&gt;"&amp;Inputs!$J$117)</f>
        <v>0.29999999999999982</v>
      </c>
      <c r="ES380" s="519">
        <f>_xlfn.MINIFS($DE$156:$DE$235,$DG$156:$DG$235,"&gt;"&amp;Inputs!$J$117)</f>
        <v>0.29999999999999982</v>
      </c>
      <c r="ET380" s="520">
        <f>_xlfn.MINIFS($DE$242:$DE$321,$DG$242:$DG$321,"&gt;"&amp;Inputs!$J$117)</f>
        <v>0.29999999999999982</v>
      </c>
      <c r="EU380" s="521">
        <f>IF(Inputs!$F$117/3&gt;MAX(Pile!$DG$70:$DG$149),999999,IF(Pile!ER380/(Pile!EP380/1000)&gt;50,999999,IF(Pile!ER380&lt;2,999999,Pile!ER380)))</f>
        <v>999999</v>
      </c>
      <c r="EV380" s="519">
        <f>IF(Inputs!ER43="Yes",999999,IF(Inputs!$F$117&gt;MAX(Pile!$DG$156:$DG$235),999999,IF(Pile!ES380/(Pile!EP380/1000)&gt;50,999999,IF(Pile!ES380&lt;2,999999,Pile!ES380))))</f>
        <v>999999</v>
      </c>
      <c r="EW380" s="519">
        <f>IF(Inputs!$F$117/3&gt;MAX(Pile!$DG$242:$DG$321),999999,IF(Pile!ET380/(Pile!EP380/1000)&gt;50,999999,IF(Pile!ET380&lt;2,999999,IF(ET380&gt;25,999999,Pile!ET380))))</f>
        <v>999999</v>
      </c>
      <c r="EX380" s="521">
        <f t="shared" si="406"/>
        <v>15268125.028306101</v>
      </c>
      <c r="EY380" s="519">
        <f t="shared" si="407"/>
        <v>15268125.028306101</v>
      </c>
      <c r="EZ380" s="520">
        <f t="shared" si="408"/>
        <v>15268125.028306101</v>
      </c>
    </row>
    <row r="381" spans="2:156" ht="15">
      <c r="B381" s="517">
        <v>3</v>
      </c>
      <c r="C381" s="476">
        <v>600</v>
      </c>
      <c r="D381" s="527">
        <f>Inputs!$D$40*3</f>
        <v>96</v>
      </c>
      <c r="E381" s="528">
        <f>_xlfn.MINIFS($DE$70:$DE$149,$DH$70:$DH$149,"&gt;"&amp;Inputs!$J$40)</f>
        <v>4.799999999999998</v>
      </c>
      <c r="F381" s="528">
        <f>_xlfn.MINIFS($DE$156:$DE$235,$DH$156:$DH$235,"&gt;"&amp;Inputs!$J$40)</f>
        <v>4.4999999999999982</v>
      </c>
      <c r="G381" s="529">
        <f>_xlfn.MINIFS($DE$242:$DE$321,$DH$242:$DH$321,"&gt;"&amp;Inputs!$J$40)</f>
        <v>4.4999999999999982</v>
      </c>
      <c r="H381" s="530">
        <f>IF(Inputs!$F$40/3&gt;MAX(Pile!$DH$70:$DH$149),999999,IF(Pile!E381/(Pile!C381/1000)&gt;50,999999,IF(Pile!E381&lt;2,999999,Pile!E381)))</f>
        <v>4.799999999999998</v>
      </c>
      <c r="I381" s="528">
        <f>IF(Inputs!E44="Yes",999999,IF(Pile!F381/(Pile!C381/1000)&gt;50,999999,IF(Pile!F381&lt;2,999999,Pile!F381)))</f>
        <v>4.4999999999999982</v>
      </c>
      <c r="J381" s="528">
        <f>IF(Inputs!$F$40/3&gt;MAX(Pile!$DH$242:$DH$321),999999,IF(Pile!G381/(Pile!C381/1000)&gt;50,999999,IF(Pile!G381&lt;2,999999,IF(G381&gt;25,999999,Pile!G381))))</f>
        <v>4.4999999999999982</v>
      </c>
      <c r="K381" s="530">
        <f t="shared" si="409"/>
        <v>365.04013052967582</v>
      </c>
      <c r="L381" s="528">
        <f t="shared" si="410"/>
        <v>356.89712237157107</v>
      </c>
      <c r="M381" s="529">
        <f t="shared" si="411"/>
        <v>356.89712237157107</v>
      </c>
      <c r="N381" s="466">
        <f>Inputs!$D$40*F460</f>
        <v>234.75199999999998</v>
      </c>
      <c r="O381" s="517">
        <v>3</v>
      </c>
      <c r="P381" s="476">
        <v>600</v>
      </c>
      <c r="Q381" s="527">
        <f>Inputs!$D$40*3</f>
        <v>96</v>
      </c>
      <c r="R381" s="528">
        <f>_xlfn.MINIFS($DE$70:$DE$149,$DH$70:$DH$149,"&gt;"&amp;Inputs!$J$47)</f>
        <v>4.799999999999998</v>
      </c>
      <c r="S381" s="528">
        <f>_xlfn.MINIFS($DE$156:$DE$235,$DH$156:$DH$235,"&gt;"&amp;Inputs!$J$47)</f>
        <v>4.1999999999999975</v>
      </c>
      <c r="T381" s="529">
        <f>_xlfn.MINIFS($DE$242:$DE$321,$DH$242:$DH$321,"&gt;"&amp;Inputs!$J$47)</f>
        <v>4.4999999999999982</v>
      </c>
      <c r="U381" s="530">
        <f>IF(Inputs!$F$47/3&gt;MAX(Pile!$DH$70:$DH$149),999999,IF(Pile!R381/(Pile!P381/1000)&gt;50,999999,IF(Pile!R381&lt;2,999999,Pile!R381)))</f>
        <v>4.799999999999998</v>
      </c>
      <c r="V381" s="528">
        <f>IF(Inputs!R44="Yes",999999,IF(Pile!S381/(Pile!P381/1000)&gt;50,999999,IF(Pile!S381&lt;2,999999,Pile!S381)))</f>
        <v>4.1999999999999975</v>
      </c>
      <c r="W381" s="528">
        <f>IF(Inputs!$F$47/3&gt;MAX(Pile!$DH$242:$DH$321),999999,IF(Pile!T381/(Pile!P381/1000)&gt;50,999999,IF(Pile!T381&lt;2,999999,IF(T381&gt;25,999999,Pile!T381))))</f>
        <v>4.4999999999999982</v>
      </c>
      <c r="X381" s="530">
        <f t="shared" si="412"/>
        <v>365.04013052967582</v>
      </c>
      <c r="Y381" s="528">
        <f t="shared" si="413"/>
        <v>348.75411421346632</v>
      </c>
      <c r="Z381" s="529">
        <f t="shared" si="414"/>
        <v>356.89712237157107</v>
      </c>
      <c r="AA381" s="467">
        <f t="shared" si="369"/>
        <v>234.75199999999998</v>
      </c>
      <c r="AB381" s="522">
        <v>3</v>
      </c>
      <c r="AC381" s="479">
        <v>600</v>
      </c>
      <c r="AD381" s="531">
        <f>Inputs!$D$40*3</f>
        <v>96</v>
      </c>
      <c r="AE381" s="528">
        <f>_xlfn.MINIFS($DE$70:$DE$149,$DH$70:$DH$149,"&gt;"&amp;Inputs!$J$54)</f>
        <v>4.799999999999998</v>
      </c>
      <c r="AF381" s="528">
        <f>_xlfn.MINIFS($DE$156:$DE$235,$DH$156:$DH$235,"&gt;"&amp;Inputs!$J$54)</f>
        <v>4.1999999999999975</v>
      </c>
      <c r="AG381" s="529">
        <f>_xlfn.MINIFS($DE$242:$DE$321,$DH$242:$DH$321,"&gt;"&amp;Inputs!$J$54)</f>
        <v>4.4999999999999982</v>
      </c>
      <c r="AH381" s="530">
        <f>IF(Inputs!$F$54/3&gt;MAX(Pile!$DH$70:$DH$149),999999,IF(Pile!AE381/(Pile!AC381/1000)&gt;50,999999,IF(Pile!AE381&lt;2,999999,Pile!AE381)))</f>
        <v>4.799999999999998</v>
      </c>
      <c r="AI381" s="528">
        <f>IF(Inputs!AE44="Yes",999999,IF(Pile!AF381/(Pile!AC381/1000)&gt;50,999999,IF(Pile!AF381&lt;2,999999,Pile!AF381)))</f>
        <v>4.1999999999999975</v>
      </c>
      <c r="AJ381" s="528">
        <f>IF(Inputs!$F$54/3&gt;MAX(Pile!$DH$242:$DH$321),999999,IF(Pile!AG381/(Pile!AC381/1000)&gt;50,999999,IF(Pile!AG381&lt;2,999999,IF(AG381&gt;25,999999,Pile!AG381))))</f>
        <v>4.4999999999999982</v>
      </c>
      <c r="AK381" s="530">
        <f t="shared" si="415"/>
        <v>365.04013052967582</v>
      </c>
      <c r="AL381" s="528">
        <f t="shared" si="416"/>
        <v>348.75411421346632</v>
      </c>
      <c r="AM381" s="529">
        <f t="shared" si="417"/>
        <v>356.89712237157107</v>
      </c>
      <c r="AN381" s="471">
        <f t="shared" si="418"/>
        <v>234.75199999999998</v>
      </c>
      <c r="AO381" s="522">
        <v>3</v>
      </c>
      <c r="AP381" s="479">
        <v>600</v>
      </c>
      <c r="AQ381" s="531">
        <f>Inputs!$D$40*3</f>
        <v>96</v>
      </c>
      <c r="AR381" s="528">
        <f>_xlfn.MINIFS($DE$70:$DE$149,$DH$70:$DH$149,"&gt;"&amp;Inputs!$J$61)</f>
        <v>4.4999999999999982</v>
      </c>
      <c r="AS381" s="528">
        <f>_xlfn.MINIFS($DE$156:$DE$235,$DH$156:$DH$235,"&gt;"&amp;Inputs!$J$61)</f>
        <v>4.1999999999999975</v>
      </c>
      <c r="AT381" s="529">
        <f>_xlfn.MINIFS($DE$242:$DE$321,$DH$242:$DH$321,"&gt;"&amp;Inputs!$J$61)</f>
        <v>4.4999999999999982</v>
      </c>
      <c r="AU381" s="530">
        <f>IF(Inputs!$F$61/3&gt;MAX(Pile!$DH$70:$DH$149),999999,IF(Pile!AR381/(Pile!AP381/1000)&gt;50,999999,IF(Pile!AR381&lt;2,999999,Pile!AR381)))</f>
        <v>4.4999999999999982</v>
      </c>
      <c r="AV381" s="528">
        <f>IF(Inputs!AR44="Yes",999999,IF(Pile!AS381/(Pile!AP381/1000)&gt;50,999999,IF(Pile!AS381&lt;2,999999,Pile!AS381)))</f>
        <v>4.1999999999999975</v>
      </c>
      <c r="AW381" s="528">
        <f>IF(Inputs!$F$61/3&gt;MAX(Pile!$DH$242:$DH$321),999999,IF(Pile!AT381/(Pile!AP381/1000)&gt;50,999999,IF(Pile!AT381&lt;2,999999,IF(AT381&gt;25,999999,Pile!AT381))))</f>
        <v>4.4999999999999982</v>
      </c>
      <c r="AX381" s="530">
        <f t="shared" si="419"/>
        <v>356.89712237157107</v>
      </c>
      <c r="AY381" s="528">
        <f t="shared" si="420"/>
        <v>348.75411421346632</v>
      </c>
      <c r="AZ381" s="529">
        <f t="shared" si="421"/>
        <v>356.89712237157107</v>
      </c>
      <c r="BA381" s="467">
        <f t="shared" si="422"/>
        <v>234.75199999999998</v>
      </c>
      <c r="BB381" s="522">
        <v>3</v>
      </c>
      <c r="BC381" s="479">
        <v>600</v>
      </c>
      <c r="BD381" s="531">
        <f>Inputs!$D$40*3</f>
        <v>96</v>
      </c>
      <c r="BE381" s="528">
        <f>_xlfn.MINIFS($DE$70:$DE$149,$DH$70:$DH$149,"&gt;"&amp;Inputs!$J$68)</f>
        <v>4.799999999999998</v>
      </c>
      <c r="BF381" s="528">
        <f>_xlfn.MINIFS($DE$156:$DE$235,$DH$156:$DH$235,"&gt;"&amp;Inputs!$J$68)</f>
        <v>4.1999999999999975</v>
      </c>
      <c r="BG381" s="529">
        <f>_xlfn.MINIFS($DE$242:$DE$321,$DH$242:$DH$321,"&gt;"&amp;Inputs!$J$68)</f>
        <v>4.4999999999999982</v>
      </c>
      <c r="BH381" s="530">
        <f>IF(Inputs!$F$68/3&gt;MAX(Pile!$DH$70:$DH$149),999999,IF(Pile!BE381/(Pile!BC381/1000)&gt;50,999999,IF(Pile!BE381&lt;2,999999,Pile!BE381)))</f>
        <v>4.799999999999998</v>
      </c>
      <c r="BI381" s="528">
        <f>IF(Inputs!BE44="Yes",999999,IF(Pile!BF381/(Pile!BC381/1000)&gt;50,999999,IF(Pile!BF381&lt;2,999999,Pile!BF381)))</f>
        <v>4.1999999999999975</v>
      </c>
      <c r="BJ381" s="528">
        <f>IF(Inputs!$F$68/3&gt;MAX(Pile!$DH$242:$DH$321),999999,IF(Pile!BG381/(Pile!BC381/1000)&gt;50,999999,IF(Pile!BG381&lt;2,999999,IF(BG381&gt;25,999999,Pile!BG381))))</f>
        <v>4.4999999999999982</v>
      </c>
      <c r="BK381" s="530">
        <f t="shared" si="423"/>
        <v>365.04013052967582</v>
      </c>
      <c r="BL381" s="528">
        <f t="shared" si="424"/>
        <v>348.75411421346632</v>
      </c>
      <c r="BM381" s="529">
        <f t="shared" si="425"/>
        <v>356.89712237157107</v>
      </c>
      <c r="BN381" s="467">
        <f t="shared" si="426"/>
        <v>234.75199999999998</v>
      </c>
      <c r="BO381" s="522">
        <v>3</v>
      </c>
      <c r="BP381" s="479">
        <v>600</v>
      </c>
      <c r="BQ381" s="531">
        <f>Inputs!$D$40*3</f>
        <v>96</v>
      </c>
      <c r="BR381" s="528">
        <f>_xlfn.MINIFS($DE$70:$DE$149,$DH$70:$DH$149,"&gt;"&amp;Inputs!$J$75)</f>
        <v>5.3999999999999977</v>
      </c>
      <c r="BS381" s="528">
        <f>_xlfn.MINIFS($DE$156:$DE$235,$DH$156:$DH$235,"&gt;"&amp;Inputs!$J$75)</f>
        <v>4.799999999999998</v>
      </c>
      <c r="BT381" s="529">
        <f>_xlfn.MINIFS($DE$242:$DE$321,$DH$242:$DH$321,"&gt;"&amp;Inputs!$J$75)</f>
        <v>5.0999999999999979</v>
      </c>
      <c r="BU381" s="530">
        <f>IF(Inputs!$F$75/3&gt;MAX(Pile!$DH$70:$DH$149),999999,IF(Pile!BR381/(Pile!BP381/1000)&gt;50,999999,IF(Pile!BR381&lt;2,999999,Pile!BR381)))</f>
        <v>5.3999999999999977</v>
      </c>
      <c r="BV381" s="528">
        <f>IF(Inputs!BR44="Yes",999999,IF(Pile!BS381/(Pile!BP381/1000)&gt;50,999999,IF(Pile!BS381&lt;2,999999,Pile!BS381)))</f>
        <v>4.799999999999998</v>
      </c>
      <c r="BW381" s="528">
        <f>IF(Inputs!$F$75/3&gt;MAX(Pile!$DH$242:$DH$321),999999,IF(Pile!BT381/(Pile!BP381/1000)&gt;50,999999,IF(Pile!BT381&lt;2,999999,IF(BT381&gt;25,999999,Pile!BT381))))</f>
        <v>5.0999999999999979</v>
      </c>
      <c r="BX381" s="530">
        <f t="shared" si="427"/>
        <v>381.32614684588532</v>
      </c>
      <c r="BY381" s="528">
        <f t="shared" si="428"/>
        <v>365.04013052967582</v>
      </c>
      <c r="BZ381" s="529">
        <f t="shared" si="429"/>
        <v>373.18313868778057</v>
      </c>
      <c r="CA381" s="467">
        <f t="shared" si="430"/>
        <v>234.75199999999998</v>
      </c>
      <c r="CB381" s="522">
        <v>3</v>
      </c>
      <c r="CC381" s="479">
        <v>600</v>
      </c>
      <c r="CD381" s="531">
        <f>Inputs!$D$40*3</f>
        <v>96</v>
      </c>
      <c r="CE381" s="528">
        <f>_xlfn.MINIFS($DE$70:$DE$149,$DH$70:$DH$149,"&gt;"&amp;Inputs!$J$82)</f>
        <v>3.8999999999999977</v>
      </c>
      <c r="CF381" s="528">
        <f>_xlfn.MINIFS($DE$156:$DE$235,$DH$156:$DH$235,"&gt;"&amp;Inputs!$J$82)</f>
        <v>3.5999999999999979</v>
      </c>
      <c r="CG381" s="529">
        <f>_xlfn.MINIFS($DE$242:$DE$321,$DH$242:$DH$321,"&gt;"&amp;Inputs!$J$82)</f>
        <v>3.5999999999999979</v>
      </c>
      <c r="CH381" s="530">
        <f>IF(Inputs!$F$82/3&gt;MAX(Pile!$DH$70:$DH$149),999999,IF(Pile!CE381/(Pile!CC381/1000)&gt;50,999999,IF(Pile!CE381&lt;2,999999,Pile!CE381)))</f>
        <v>3.8999999999999977</v>
      </c>
      <c r="CI381" s="528">
        <f>IF(Inputs!CE44="Yes",999999,IF(Pile!CF381/(Pile!CC381/1000)&gt;50,999999,IF(Pile!CF381&lt;2,999999,Pile!CF381)))</f>
        <v>3.5999999999999979</v>
      </c>
      <c r="CJ381" s="528">
        <f>IF(Inputs!$F$82/3&gt;MAX(Pile!$DH$242:$DH$321),999999,IF(Pile!CG381/(Pile!CC381/1000)&gt;50,999999,IF(Pile!CG381&lt;2,999999,IF(CG381&gt;25,999999,Pile!CG381))))</f>
        <v>3.5999999999999979</v>
      </c>
      <c r="CK381" s="530">
        <f t="shared" si="431"/>
        <v>340.61110605536157</v>
      </c>
      <c r="CL381" s="528">
        <f t="shared" si="432"/>
        <v>332.46809789725683</v>
      </c>
      <c r="CM381" s="529">
        <f t="shared" si="433"/>
        <v>332.46809789725683</v>
      </c>
      <c r="CN381" s="467">
        <f t="shared" si="434"/>
        <v>234.75199999999998</v>
      </c>
      <c r="CO381" s="522">
        <v>3</v>
      </c>
      <c r="CP381" s="479">
        <v>600</v>
      </c>
      <c r="CQ381" s="531">
        <f>Inputs!$D$40*3</f>
        <v>96</v>
      </c>
      <c r="CR381" s="528">
        <f>_xlfn.MINIFS($DE$70:$DE$149,$DH$70:$DH$149,"&gt;"&amp;Inputs!$J$89)</f>
        <v>3.5999999999999979</v>
      </c>
      <c r="CS381" s="528">
        <f>_xlfn.MINIFS($DE$156:$DE$235,$DH$156:$DH$235,"&gt;"&amp;Inputs!$J$89)</f>
        <v>3.299999999999998</v>
      </c>
      <c r="CT381" s="529">
        <f>_xlfn.MINIFS($DE$242:$DE$321,$DH$242:$DH$321,"&gt;"&amp;Inputs!$J$89)</f>
        <v>3.299999999999998</v>
      </c>
      <c r="CU381" s="530">
        <f>IF(Inputs!$F$89/3&gt;MAX(Pile!$DH$70:$DH$149),999999,IF(Pile!CR381/(Pile!CP381/1000)&gt;50,999999,IF(Pile!CR381&lt;2,999999,Pile!CR381)))</f>
        <v>3.5999999999999979</v>
      </c>
      <c r="CV381" s="528">
        <f>IF(Inputs!CR44="Yes",999999,IF(Pile!CS381/(Pile!CP381/1000)&gt;50,999999,IF(Pile!CS381&lt;2,999999,Pile!CS381)))</f>
        <v>3.299999999999998</v>
      </c>
      <c r="CW381" s="528">
        <f>IF(Inputs!$F$89/3&gt;MAX(Pile!$DH$242:$DH$321),999999,IF(Pile!CT381/(Pile!CP381/1000)&gt;50,999999,IF(Pile!CT381&lt;2,999999,IF(CT381&gt;25,999999,Pile!CT381))))</f>
        <v>3.299999999999998</v>
      </c>
      <c r="CX381" s="530">
        <f t="shared" si="435"/>
        <v>332.46809789725683</v>
      </c>
      <c r="CY381" s="528">
        <f t="shared" si="436"/>
        <v>324.32508973915213</v>
      </c>
      <c r="CZ381" s="529">
        <f t="shared" si="437"/>
        <v>324.32508973915213</v>
      </c>
      <c r="DA381" s="467">
        <f t="shared" si="438"/>
        <v>234.75199999999998</v>
      </c>
      <c r="DB381" s="522">
        <v>3</v>
      </c>
      <c r="DC381" s="479">
        <v>600</v>
      </c>
      <c r="DD381" s="531">
        <f>Inputs!$D$40*3</f>
        <v>96</v>
      </c>
      <c r="DE381" s="528">
        <f>_xlfn.MINIFS($DE$70:$DE$149,$DH$70:$DH$149,"&gt;"&amp;Inputs!$J$96)</f>
        <v>3.5999999999999979</v>
      </c>
      <c r="DF381" s="528">
        <f>_xlfn.MINIFS($DE$156:$DE$235,$DH$156:$DH$235,"&gt;"&amp;Inputs!$J$96)</f>
        <v>3.299999999999998</v>
      </c>
      <c r="DG381" s="529">
        <f>_xlfn.MINIFS($DE$242:$DE$321,$DH$242:$DH$321,"&gt;"&amp;Inputs!$J$96)</f>
        <v>3.5999999999999979</v>
      </c>
      <c r="DH381" s="530">
        <f>IF(Inputs!$F$96/3&gt;MAX(Pile!$DH$70:$DH$149),999999,IF(Pile!DE381/(Pile!DC381/1000)&gt;50,999999,IF(Pile!DE381&lt;2,999999,Pile!DE381)))</f>
        <v>3.5999999999999979</v>
      </c>
      <c r="DI381" s="528">
        <f>IF(Inputs!DE44="Yes",999999,IF(Pile!DF381/(Pile!DC381/1000)&gt;50,999999,IF(Pile!DF381&lt;2,999999,Pile!DF381)))</f>
        <v>3.299999999999998</v>
      </c>
      <c r="DJ381" s="528">
        <f>IF(Inputs!$F$96/3&gt;MAX(Pile!$DH$242:$DH$321),999999,IF(Pile!DG381/(Pile!DC381/1000)&gt;50,999999,IF(Pile!DG381&lt;2,999999,IF(DG381&gt;25,999999,Pile!DG381))))</f>
        <v>3.5999999999999979</v>
      </c>
      <c r="DK381" s="530">
        <f t="shared" si="439"/>
        <v>332.46809789725683</v>
      </c>
      <c r="DL381" s="528">
        <f t="shared" si="440"/>
        <v>324.32508973915213</v>
      </c>
      <c r="DM381" s="529">
        <f t="shared" si="441"/>
        <v>332.46809789725683</v>
      </c>
      <c r="DN381" s="467">
        <f t="shared" si="442"/>
        <v>234.75199999999998</v>
      </c>
      <c r="DO381" s="522">
        <v>3</v>
      </c>
      <c r="DP381" s="479">
        <v>600</v>
      </c>
      <c r="DQ381" s="531">
        <f>Inputs!$D$40*3</f>
        <v>96</v>
      </c>
      <c r="DR381" s="528">
        <f>_xlfn.MINIFS($DE$70:$DE$149,$DH$70:$DH$149,"&gt;"&amp;Inputs!$J$103)</f>
        <v>2.9999999999999982</v>
      </c>
      <c r="DS381" s="528">
        <f>_xlfn.MINIFS($DE$156:$DE$235,$DH$156:$DH$235,"&gt;"&amp;Inputs!$J$103)</f>
        <v>2.6999999999999984</v>
      </c>
      <c r="DT381" s="529">
        <f>_xlfn.MINIFS($DE$242:$DE$321,$DH$242:$DH$321,"&gt;"&amp;Inputs!$J$103)</f>
        <v>2.9999999999999982</v>
      </c>
      <c r="DU381" s="530">
        <f>IF(Inputs!$F$103/3&gt;MAX(Pile!$DH$70:$DH$149),999999,IF(Pile!DR381/(Pile!DP381/1000)&gt;50,999999,IF(Pile!DR381&lt;2,999999,Pile!DR381)))</f>
        <v>2.9999999999999982</v>
      </c>
      <c r="DV381" s="528">
        <f>IF(Inputs!DR44="Yes",999999,IF(Pile!DS381/(Pile!DP381/1000)&gt;50,999999,IF(Pile!DS381&lt;2,999999,Pile!DS381)))</f>
        <v>2.6999999999999984</v>
      </c>
      <c r="DW381" s="528">
        <f>IF(Inputs!$F$103/3&gt;MAX(Pile!$DH$242:$DH$321),999999,IF(Pile!DT381/(Pile!DP381/1000)&gt;50,999999,IF(Pile!DT381&lt;2,999999,IF(DT381&gt;25,999999,Pile!DT381))))</f>
        <v>2.9999999999999982</v>
      </c>
      <c r="DX381" s="530">
        <f t="shared" si="443"/>
        <v>316.18208158104738</v>
      </c>
      <c r="DY381" s="528">
        <f t="shared" si="444"/>
        <v>308.03907342294264</v>
      </c>
      <c r="DZ381" s="529">
        <f t="shared" si="445"/>
        <v>316.18208158104738</v>
      </c>
      <c r="EA381" s="467">
        <f t="shared" si="446"/>
        <v>234.75199999999998</v>
      </c>
      <c r="EB381" s="522">
        <v>3</v>
      </c>
      <c r="EC381" s="479">
        <v>600</v>
      </c>
      <c r="ED381" s="531">
        <f>Inputs!$D$40*3</f>
        <v>96</v>
      </c>
      <c r="EE381" s="528">
        <f>_xlfn.MINIFS($DE$70:$DE$149,$DH$70:$DH$149,"&gt;"&amp;Inputs!$J$110)</f>
        <v>2.9999999999999982</v>
      </c>
      <c r="EF381" s="528">
        <f>_xlfn.MINIFS($DE$156:$DE$235,$DH$156:$DH$235,"&gt;"&amp;Inputs!$J$110)</f>
        <v>2.6999999999999984</v>
      </c>
      <c r="EG381" s="529">
        <f>_xlfn.MINIFS($DE$242:$DE$321,$DH$242:$DH$321,"&gt;"&amp;Inputs!$J$110)</f>
        <v>2.9999999999999982</v>
      </c>
      <c r="EH381" s="530">
        <f>IF(Inputs!$F$110/3&gt;MAX(Pile!$DH$70:$DH$149),999999,IF(Pile!EE381/(Pile!EC381/1000)&gt;50,999999,IF(Pile!EE381&lt;2,999999,Pile!EE381)))</f>
        <v>2.9999999999999982</v>
      </c>
      <c r="EI381" s="528">
        <f>IF(Inputs!EE44="Yes",999999,IF(Pile!EF381/(Pile!EC381/1000)&gt;50,999999,IF(Pile!EF381&lt;2,999999,Pile!EF381)))</f>
        <v>2.6999999999999984</v>
      </c>
      <c r="EJ381" s="528">
        <f>IF(Inputs!$F$110/3&gt;MAX(Pile!$DH$242:$DH$321),999999,IF(Pile!EG381/(Pile!EC381/1000)&gt;50,999999,IF(Pile!EG381&lt;2,999999,IF(EG381&gt;25,999999,Pile!EG381))))</f>
        <v>2.9999999999999982</v>
      </c>
      <c r="EK381" s="530">
        <f t="shared" si="447"/>
        <v>316.18208158104738</v>
      </c>
      <c r="EL381" s="528">
        <f t="shared" si="448"/>
        <v>308.03907342294264</v>
      </c>
      <c r="EM381" s="529">
        <f t="shared" si="449"/>
        <v>316.18208158104738</v>
      </c>
      <c r="EN381" s="467">
        <f t="shared" si="450"/>
        <v>234.75199999999998</v>
      </c>
      <c r="EO381" s="522">
        <v>3</v>
      </c>
      <c r="EP381" s="479">
        <v>600</v>
      </c>
      <c r="EQ381" s="531">
        <f>Inputs!$D$40*3</f>
        <v>96</v>
      </c>
      <c r="ER381" s="528">
        <f>_xlfn.MINIFS($DE$70:$DE$149,$DH$70:$DH$149,"&gt;"&amp;Inputs!$J$117)</f>
        <v>0.29999999999999982</v>
      </c>
      <c r="ES381" s="528">
        <f>_xlfn.MINIFS($DE$156:$DE$235,$DH$156:$DH$235,"&gt;"&amp;Inputs!$J$117)</f>
        <v>0.29999999999999982</v>
      </c>
      <c r="ET381" s="529">
        <f>_xlfn.MINIFS($DE$242:$DE$321,$DH$242:$DH$321,"&gt;"&amp;Inputs!$J$117)</f>
        <v>0.29999999999999982</v>
      </c>
      <c r="EU381" s="530">
        <f>IF(Inputs!$F$117/3&gt;MAX(Pile!$DH$70:$DH$149),999999,IF(Pile!ER381/(Pile!EP381/1000)&gt;50,999999,IF(Pile!ER381&lt;2,999999,Pile!ER381)))</f>
        <v>999999</v>
      </c>
      <c r="EV381" s="528">
        <f>IF(Inputs!ER44="Yes",999999,IF(Inputs!$F$117&gt;MAX(Pile!$DG$156:$DG$235),999999,IF(Pile!ES381/(Pile!EP381/1000)&gt;50,999999,IF(Pile!ES381&lt;2,999999,Pile!ES381))))</f>
        <v>999999</v>
      </c>
      <c r="EW381" s="528">
        <f>IF(Inputs!$F$117/3&gt;MAX(Pile!$DH$242:$DH$321),999999,IF(Pile!ET381/(Pile!EP381/1000)&gt;50,999999,IF(Pile!ET381&lt;2,999999,IF(ET381&gt;25,999999,Pile!ET381))))</f>
        <v>999999</v>
      </c>
      <c r="EX381" s="530">
        <f t="shared" si="406"/>
        <v>27143333.383655287</v>
      </c>
      <c r="EY381" s="528">
        <f t="shared" si="407"/>
        <v>27143333.383655287</v>
      </c>
      <c r="EZ381" s="529">
        <f t="shared" si="408"/>
        <v>27143333.383655287</v>
      </c>
    </row>
    <row r="382" spans="2:156" ht="15">
      <c r="B382" s="517">
        <v>3</v>
      </c>
      <c r="C382" s="476">
        <v>750</v>
      </c>
      <c r="D382" s="527">
        <f>Inputs!$D$40*3</f>
        <v>96</v>
      </c>
      <c r="E382" s="528">
        <f>_xlfn.MINIFS($DE$70:$DE$149,$DI$70:$DI$149,"&gt;"&amp;Inputs!$J$40)</f>
        <v>3.5999999999999979</v>
      </c>
      <c r="F382" s="528">
        <f>_xlfn.MINIFS($DE$156:$DE$235,$DI$156:$DI$235,"&gt;"&amp;Inputs!$J$40)</f>
        <v>3.299999999999998</v>
      </c>
      <c r="G382" s="529">
        <f>_xlfn.MINIFS($DE$242:$DE$321,$DI$242:$DI$321,"&gt;"&amp;Inputs!$J$40)</f>
        <v>3.299999999999998</v>
      </c>
      <c r="H382" s="530">
        <f>IF(Inputs!$F$40/3&gt;MAX(Pile!$DI$70:$DI$149),999999,IF(Pile!E382/(Pile!C382/1000)&gt;50,999999,IF(Pile!E382&lt;2,999999,Pile!E382)))</f>
        <v>3.5999999999999979</v>
      </c>
      <c r="I382" s="528">
        <f>IF(Inputs!E45="Yes",999999,IF(Pile!F382/(Pile!C382/1000)&gt;50,999999,IF(Pile!F382&lt;2,999999,Pile!F382)))</f>
        <v>3.299999999999998</v>
      </c>
      <c r="J382" s="528">
        <f>IF(Inputs!$F$40/3&gt;MAX(Pile!$DI$242:$DI$321),999999,IF(Pile!G382/(Pile!C382/1000)&gt;50,999999,IF(Pile!G382&lt;2,999999,IF(G382&gt;25,999999,Pile!G382))))</f>
        <v>3.299999999999998</v>
      </c>
      <c r="K382" s="530">
        <f t="shared" si="409"/>
        <v>596.20140296446391</v>
      </c>
      <c r="L382" s="528">
        <f t="shared" si="410"/>
        <v>583.4779527174253</v>
      </c>
      <c r="M382" s="529">
        <f t="shared" si="411"/>
        <v>583.4779527174253</v>
      </c>
      <c r="N382" s="466">
        <f>Inputs!$D$40*F461</f>
        <v>443.52000000000004</v>
      </c>
      <c r="O382" s="517">
        <v>3</v>
      </c>
      <c r="P382" s="476">
        <v>750</v>
      </c>
      <c r="Q382" s="527">
        <f>Inputs!$D$40*3</f>
        <v>96</v>
      </c>
      <c r="R382" s="528">
        <f>_xlfn.MINIFS($DE$70:$DE$149,$DI$70:$DI$149,"&gt;"&amp;Inputs!$J$47)</f>
        <v>3.5999999999999979</v>
      </c>
      <c r="S382" s="528">
        <f>_xlfn.MINIFS($DE$156:$DE$235,$DI$156:$DI$235,"&gt;"&amp;Inputs!$J$47)</f>
        <v>3.299999999999998</v>
      </c>
      <c r="T382" s="529">
        <f>_xlfn.MINIFS($DE$242:$DE$321,$DI$242:$DI$321,"&gt;"&amp;Inputs!$J$47)</f>
        <v>3.299999999999998</v>
      </c>
      <c r="U382" s="530">
        <f>IF(Inputs!$F$47/3&gt;MAX(Pile!$DI$70:$DI$149),999999,IF(Pile!R382/(Pile!P382/1000)&gt;50,999999,IF(Pile!R382&lt;2,999999,Pile!R382)))</f>
        <v>3.5999999999999979</v>
      </c>
      <c r="V382" s="528">
        <f>IF(Inputs!R45="Yes",999999,IF(Pile!S382/(Pile!P382/1000)&gt;50,999999,IF(Pile!S382&lt;2,999999,Pile!S382)))</f>
        <v>3.299999999999998</v>
      </c>
      <c r="W382" s="528">
        <f>IF(Inputs!$F$47/3&gt;MAX(Pile!$DI$242:$DI$321),999999,IF(Pile!T382/(Pile!P382/1000)&gt;50,999999,IF(Pile!T382&lt;2,999999,IF(T382&gt;25,999999,Pile!T382))))</f>
        <v>3.299999999999998</v>
      </c>
      <c r="X382" s="530">
        <f t="shared" si="412"/>
        <v>596.20140296446391</v>
      </c>
      <c r="Y382" s="528">
        <f t="shared" si="413"/>
        <v>583.4779527174253</v>
      </c>
      <c r="Z382" s="529">
        <f t="shared" si="414"/>
        <v>583.4779527174253</v>
      </c>
      <c r="AA382" s="467">
        <f t="shared" si="369"/>
        <v>443.52000000000004</v>
      </c>
      <c r="AB382" s="522">
        <v>3</v>
      </c>
      <c r="AC382" s="479">
        <v>750</v>
      </c>
      <c r="AD382" s="531">
        <f>Inputs!$D$40*3</f>
        <v>96</v>
      </c>
      <c r="AE382" s="528">
        <f>_xlfn.MINIFS($DE$70:$DE$149,$DI$70:$DI$149,"&gt;"&amp;Inputs!$J$54)</f>
        <v>3.5999999999999979</v>
      </c>
      <c r="AF382" s="528">
        <f>_xlfn.MINIFS($DE$156:$DE$235,$DI$156:$DI$235,"&gt;"&amp;Inputs!$J$54)</f>
        <v>2.9999999999999982</v>
      </c>
      <c r="AG382" s="529">
        <f>_xlfn.MINIFS($DE$242:$DE$321,$DI$242:$DI$321,"&gt;"&amp;Inputs!$J$54)</f>
        <v>3.299999999999998</v>
      </c>
      <c r="AH382" s="530">
        <f>IF(Inputs!$F$54/3&gt;MAX(Pile!$DI$70:$DI$149),999999,IF(Pile!AE382/(Pile!AC382/1000)&gt;50,999999,IF(Pile!AE382&lt;2,999999,Pile!AE382)))</f>
        <v>3.5999999999999979</v>
      </c>
      <c r="AI382" s="528">
        <f>IF(Inputs!AE45="Yes",999999,IF(Pile!AF382/(Pile!AC382/1000)&gt;50,999999,IF(Pile!AF382&lt;2,999999,Pile!AF382)))</f>
        <v>2.9999999999999982</v>
      </c>
      <c r="AJ382" s="528">
        <f>IF(Inputs!$F$54/3&gt;MAX(Pile!$DI$242:$DI$321),999999,IF(Pile!AG382/(Pile!AC382/1000)&gt;50,999999,IF(Pile!AG382&lt;2,999999,IF(AG382&gt;25,999999,Pile!AG382))))</f>
        <v>3.299999999999998</v>
      </c>
      <c r="AK382" s="530">
        <f t="shared" si="415"/>
        <v>596.20140296446391</v>
      </c>
      <c r="AL382" s="528">
        <f t="shared" si="416"/>
        <v>570.75450247038657</v>
      </c>
      <c r="AM382" s="529">
        <f t="shared" si="417"/>
        <v>583.4779527174253</v>
      </c>
      <c r="AN382" s="471">
        <f t="shared" si="418"/>
        <v>443.52000000000004</v>
      </c>
      <c r="AO382" s="522">
        <v>3</v>
      </c>
      <c r="AP382" s="479">
        <v>750</v>
      </c>
      <c r="AQ382" s="531">
        <f>Inputs!$D$40*3</f>
        <v>96</v>
      </c>
      <c r="AR382" s="528">
        <f>_xlfn.MINIFS($DE$70:$DE$149,$DI$70:$DI$149,"&gt;"&amp;Inputs!$J$61)</f>
        <v>3.299999999999998</v>
      </c>
      <c r="AS382" s="528">
        <f>_xlfn.MINIFS($DE$156:$DE$235,$DI$156:$DI$235,"&gt;"&amp;Inputs!$J$61)</f>
        <v>2.9999999999999982</v>
      </c>
      <c r="AT382" s="529">
        <f>_xlfn.MINIFS($DE$242:$DE$321,$DI$242:$DI$321,"&gt;"&amp;Inputs!$J$61)</f>
        <v>3.299999999999998</v>
      </c>
      <c r="AU382" s="530">
        <f>IF(Inputs!$F$61/3&gt;MAX(Pile!$DI$70:$DI$149),999999,IF(Pile!AR382/(Pile!AP382/1000)&gt;50,999999,IF(Pile!AR382&lt;2,999999,Pile!AR382)))</f>
        <v>3.299999999999998</v>
      </c>
      <c r="AV382" s="528">
        <f>IF(Inputs!AR45="Yes",999999,IF(Pile!AS382/(Pile!AP382/1000)&gt;50,999999,IF(Pile!AS382&lt;2,999999,Pile!AS382)))</f>
        <v>2.9999999999999982</v>
      </c>
      <c r="AW382" s="528">
        <f>IF(Inputs!$F$61/3&gt;MAX(Pile!$DI$242:$DI$321),999999,IF(Pile!AT382/(Pile!AP382/1000)&gt;50,999999,IF(Pile!AT382&lt;2,999999,IF(AT382&gt;25,999999,Pile!AT382))))</f>
        <v>3.299999999999998</v>
      </c>
      <c r="AX382" s="530">
        <f t="shared" si="419"/>
        <v>583.4779527174253</v>
      </c>
      <c r="AY382" s="528">
        <f t="shared" si="420"/>
        <v>570.75450247038657</v>
      </c>
      <c r="AZ382" s="529">
        <f t="shared" si="421"/>
        <v>583.4779527174253</v>
      </c>
      <c r="BA382" s="467">
        <f t="shared" si="422"/>
        <v>443.52000000000004</v>
      </c>
      <c r="BB382" s="522">
        <v>3</v>
      </c>
      <c r="BC382" s="479">
        <v>750</v>
      </c>
      <c r="BD382" s="531">
        <f>Inputs!$D$40*3</f>
        <v>96</v>
      </c>
      <c r="BE382" s="528">
        <f>_xlfn.MINIFS($DE$70:$DE$149,$DI$70:$DI$149,"&gt;"&amp;Inputs!$J$68)</f>
        <v>3.5999999999999979</v>
      </c>
      <c r="BF382" s="528">
        <f>_xlfn.MINIFS($DE$156:$DE$235,$DI$156:$DI$235,"&gt;"&amp;Inputs!$J$68)</f>
        <v>2.9999999999999982</v>
      </c>
      <c r="BG382" s="529">
        <f>_xlfn.MINIFS($DE$242:$DE$321,$DI$242:$DI$321,"&gt;"&amp;Inputs!$J$68)</f>
        <v>3.299999999999998</v>
      </c>
      <c r="BH382" s="530">
        <f>IF(Inputs!$F$68/3&gt;MAX(Pile!$DI$70:$DI$149),999999,IF(Pile!BE382/(Pile!BC382/1000)&gt;50,999999,IF(Pile!BE382&lt;2,999999,Pile!BE382)))</f>
        <v>3.5999999999999979</v>
      </c>
      <c r="BI382" s="528">
        <f>IF(Inputs!BE45="Yes",999999,IF(Pile!BF382/(Pile!BC382/1000)&gt;50,999999,IF(Pile!BF382&lt;2,999999,Pile!BF382)))</f>
        <v>2.9999999999999982</v>
      </c>
      <c r="BJ382" s="528">
        <f>IF(Inputs!$F$68/3&gt;MAX(Pile!$DI$242:$DI$321),999999,IF(Pile!BG382/(Pile!BC382/1000)&gt;50,999999,IF(Pile!BG382&lt;2,999999,IF(BG382&gt;25,999999,Pile!BG382))))</f>
        <v>3.299999999999998</v>
      </c>
      <c r="BK382" s="530">
        <f t="shared" si="423"/>
        <v>596.20140296446391</v>
      </c>
      <c r="BL382" s="528">
        <f t="shared" si="424"/>
        <v>570.75450247038657</v>
      </c>
      <c r="BM382" s="529">
        <f t="shared" si="425"/>
        <v>583.4779527174253</v>
      </c>
      <c r="BN382" s="467">
        <f t="shared" si="426"/>
        <v>443.52000000000004</v>
      </c>
      <c r="BO382" s="522">
        <v>3</v>
      </c>
      <c r="BP382" s="479">
        <v>750</v>
      </c>
      <c r="BQ382" s="531">
        <f>Inputs!$D$40*3</f>
        <v>96</v>
      </c>
      <c r="BR382" s="528">
        <f>_xlfn.MINIFS($DE$70:$DE$149,$DI$70:$DI$149,"&gt;"&amp;Inputs!$J$75)</f>
        <v>3.8999999999999977</v>
      </c>
      <c r="BS382" s="528">
        <f>_xlfn.MINIFS($DE$156:$DE$235,$DI$156:$DI$235,"&gt;"&amp;Inputs!$J$75)</f>
        <v>3.5999999999999979</v>
      </c>
      <c r="BT382" s="529">
        <f>_xlfn.MINIFS($DE$242:$DE$321,$DI$242:$DI$321,"&gt;"&amp;Inputs!$J$75)</f>
        <v>3.5999999999999979</v>
      </c>
      <c r="BU382" s="530">
        <f>IF(Inputs!$F$75/3&gt;MAX(Pile!$DI$70:$DI$149),999999,IF(Pile!BR382/(Pile!BP382/1000)&gt;50,999999,IF(Pile!BR382&lt;2,999999,Pile!BR382)))</f>
        <v>3.8999999999999977</v>
      </c>
      <c r="BV382" s="528">
        <f>IF(Inputs!BR45="Yes",999999,IF(Pile!BS382/(Pile!BP382/1000)&gt;50,999999,IF(Pile!BS382&lt;2,999999,Pile!BS382)))</f>
        <v>3.5999999999999979</v>
      </c>
      <c r="BW382" s="528">
        <f>IF(Inputs!$F$75/3&gt;MAX(Pile!$DI$242:$DI$321),999999,IF(Pile!BT382/(Pile!BP382/1000)&gt;50,999999,IF(Pile!BT382&lt;2,999999,IF(BT382&gt;25,999999,Pile!BT382))))</f>
        <v>3.5999999999999979</v>
      </c>
      <c r="BX382" s="530">
        <f t="shared" si="427"/>
        <v>608.92485321150252</v>
      </c>
      <c r="BY382" s="528">
        <f t="shared" si="428"/>
        <v>596.20140296446391</v>
      </c>
      <c r="BZ382" s="529">
        <f t="shared" si="429"/>
        <v>596.20140296446391</v>
      </c>
      <c r="CA382" s="467">
        <f t="shared" si="430"/>
        <v>443.52000000000004</v>
      </c>
      <c r="CB382" s="522">
        <v>3</v>
      </c>
      <c r="CC382" s="479">
        <v>750</v>
      </c>
      <c r="CD382" s="531">
        <f>Inputs!$D$40*3</f>
        <v>96</v>
      </c>
      <c r="CE382" s="528">
        <f>_xlfn.MINIFS($DE$70:$DE$149,$DI$70:$DI$149,"&gt;"&amp;Inputs!$J$82)</f>
        <v>2.6999999999999984</v>
      </c>
      <c r="CF382" s="528">
        <f>_xlfn.MINIFS($DE$156:$DE$235,$DI$156:$DI$235,"&gt;"&amp;Inputs!$J$82)</f>
        <v>2.3999999999999986</v>
      </c>
      <c r="CG382" s="529">
        <f>_xlfn.MINIFS($DE$242:$DE$321,$DI$242:$DI$321,"&gt;"&amp;Inputs!$J$82)</f>
        <v>2.6999999999999984</v>
      </c>
      <c r="CH382" s="530">
        <f>IF(Inputs!$F$82/3&gt;MAX(Pile!$DI$70:$DI$149),999999,IF(Pile!CE382/(Pile!CC382/1000)&gt;50,999999,IF(Pile!CE382&lt;2,999999,Pile!CE382)))</f>
        <v>2.6999999999999984</v>
      </c>
      <c r="CI382" s="528">
        <f>IF(Inputs!CE45="Yes",999999,IF(Pile!CF382/(Pile!CC382/1000)&gt;50,999999,IF(Pile!CF382&lt;2,999999,Pile!CF382)))</f>
        <v>2.3999999999999986</v>
      </c>
      <c r="CJ382" s="528">
        <f>IF(Inputs!$F$82/3&gt;MAX(Pile!$DI$242:$DI$321),999999,IF(Pile!CG382/(Pile!CC382/1000)&gt;50,999999,IF(Pile!CG382&lt;2,999999,IF(CG382&gt;25,999999,Pile!CG382))))</f>
        <v>2.6999999999999984</v>
      </c>
      <c r="CK382" s="530">
        <f t="shared" si="431"/>
        <v>558.03105222334796</v>
      </c>
      <c r="CL382" s="528">
        <f t="shared" si="432"/>
        <v>545.30760197630923</v>
      </c>
      <c r="CM382" s="529">
        <f t="shared" si="433"/>
        <v>558.03105222334796</v>
      </c>
      <c r="CN382" s="467">
        <f t="shared" si="434"/>
        <v>443.52000000000004</v>
      </c>
      <c r="CO382" s="522">
        <v>3</v>
      </c>
      <c r="CP382" s="479">
        <v>750</v>
      </c>
      <c r="CQ382" s="531">
        <f>Inputs!$D$40*3</f>
        <v>96</v>
      </c>
      <c r="CR382" s="528">
        <f>_xlfn.MINIFS($DE$70:$DE$149,$DI$70:$DI$149,"&gt;"&amp;Inputs!$J$89)</f>
        <v>2.6999999999999984</v>
      </c>
      <c r="CS382" s="528">
        <f>_xlfn.MINIFS($DE$156:$DE$235,$DI$156:$DI$235,"&gt;"&amp;Inputs!$J$89)</f>
        <v>2.3999999999999986</v>
      </c>
      <c r="CT382" s="529">
        <f>_xlfn.MINIFS($DE$242:$DE$321,$DI$242:$DI$321,"&gt;"&amp;Inputs!$J$89)</f>
        <v>2.3999999999999986</v>
      </c>
      <c r="CU382" s="530">
        <f>IF(Inputs!$F$89/3&gt;MAX(Pile!$DI$70:$DI$149),999999,IF(Pile!CR382/(Pile!CP382/1000)&gt;50,999999,IF(Pile!CR382&lt;2,999999,Pile!CR382)))</f>
        <v>2.6999999999999984</v>
      </c>
      <c r="CV382" s="528">
        <f>IF(Inputs!CR45="Yes",999999,IF(Pile!CS382/(Pile!CP382/1000)&gt;50,999999,IF(Pile!CS382&lt;2,999999,Pile!CS382)))</f>
        <v>2.3999999999999986</v>
      </c>
      <c r="CW382" s="528">
        <f>IF(Inputs!$F$89/3&gt;MAX(Pile!$DI$242:$DI$321),999999,IF(Pile!CT382/(Pile!CP382/1000)&gt;50,999999,IF(Pile!CT382&lt;2,999999,IF(CT382&gt;25,999999,Pile!CT382))))</f>
        <v>2.3999999999999986</v>
      </c>
      <c r="CX382" s="530">
        <f t="shared" si="435"/>
        <v>558.03105222334796</v>
      </c>
      <c r="CY382" s="528">
        <f t="shared" si="436"/>
        <v>545.30760197630923</v>
      </c>
      <c r="CZ382" s="529">
        <f t="shared" si="437"/>
        <v>545.30760197630923</v>
      </c>
      <c r="DA382" s="467">
        <f t="shared" si="438"/>
        <v>443.52000000000004</v>
      </c>
      <c r="DB382" s="522">
        <v>3</v>
      </c>
      <c r="DC382" s="479">
        <v>750</v>
      </c>
      <c r="DD382" s="531">
        <f>Inputs!$D$40*3</f>
        <v>96</v>
      </c>
      <c r="DE382" s="528">
        <f>_xlfn.MINIFS($DE$70:$DE$149,$DI$70:$DI$149,"&gt;"&amp;Inputs!$J$96)</f>
        <v>2.6999999999999984</v>
      </c>
      <c r="DF382" s="528">
        <f>_xlfn.MINIFS($DE$156:$DE$235,$DI$156:$DI$235,"&gt;"&amp;Inputs!$J$96)</f>
        <v>2.3999999999999986</v>
      </c>
      <c r="DG382" s="529">
        <f>_xlfn.MINIFS($DE$242:$DE$321,$DI$242:$DI$321,"&gt;"&amp;Inputs!$J$96)</f>
        <v>2.6999999999999984</v>
      </c>
      <c r="DH382" s="530">
        <f>IF(Inputs!$F$96/3&gt;MAX(Pile!$DI$70:$DI$149),999999,IF(Pile!DE382/(Pile!DC382/1000)&gt;50,999999,IF(Pile!DE382&lt;2,999999,Pile!DE382)))</f>
        <v>2.6999999999999984</v>
      </c>
      <c r="DI382" s="528">
        <f>IF(Inputs!DE45="Yes",999999,IF(Pile!DF382/(Pile!DC382/1000)&gt;50,999999,IF(Pile!DF382&lt;2,999999,Pile!DF382)))</f>
        <v>2.3999999999999986</v>
      </c>
      <c r="DJ382" s="528">
        <f>IF(Inputs!$F$96/3&gt;MAX(Pile!$DI$242:$DI$321),999999,IF(Pile!DG382/(Pile!DC382/1000)&gt;50,999999,IF(Pile!DG382&lt;2,999999,IF(DG382&gt;25,999999,Pile!DG382))))</f>
        <v>2.6999999999999984</v>
      </c>
      <c r="DK382" s="530">
        <f t="shared" si="439"/>
        <v>558.03105222334796</v>
      </c>
      <c r="DL382" s="528">
        <f t="shared" si="440"/>
        <v>545.30760197630923</v>
      </c>
      <c r="DM382" s="529">
        <f t="shared" si="441"/>
        <v>558.03105222334796</v>
      </c>
      <c r="DN382" s="467">
        <f t="shared" si="442"/>
        <v>443.52000000000004</v>
      </c>
      <c r="DO382" s="522">
        <v>3</v>
      </c>
      <c r="DP382" s="479">
        <v>750</v>
      </c>
      <c r="DQ382" s="531">
        <f>Inputs!$D$40*3</f>
        <v>96</v>
      </c>
      <c r="DR382" s="528">
        <f>_xlfn.MINIFS($DE$70:$DE$149,$DI$70:$DI$149,"&gt;"&amp;Inputs!$J$103)</f>
        <v>2.0999999999999988</v>
      </c>
      <c r="DS382" s="528">
        <f>_xlfn.MINIFS($DE$156:$DE$235,$DI$156:$DI$235,"&gt;"&amp;Inputs!$J$103)</f>
        <v>1.7999999999999989</v>
      </c>
      <c r="DT382" s="529">
        <f>_xlfn.MINIFS($DE$242:$DE$321,$DI$242:$DI$321,"&gt;"&amp;Inputs!$J$103)</f>
        <v>2.0999999999999988</v>
      </c>
      <c r="DU382" s="530">
        <f>IF(Inputs!$F$103/3&gt;MAX(Pile!$DI$70:$DI$149),999999,IF(Pile!DR382/(Pile!DP382/1000)&gt;50,999999,IF(Pile!DR382&lt;2,999999,Pile!DR382)))</f>
        <v>2.0999999999999988</v>
      </c>
      <c r="DV382" s="528">
        <f>IF(Inputs!DR45="Yes",999999,IF(Pile!DS382/(Pile!DP382/1000)&gt;50,999999,IF(Pile!DS382&lt;2,999999,Pile!DS382)))</f>
        <v>999999</v>
      </c>
      <c r="DW382" s="528">
        <f>IF(Inputs!$F$103/3&gt;MAX(Pile!$DI$242:$DI$321),999999,IF(Pile!DT382/(Pile!DP382/1000)&gt;50,999999,IF(Pile!DT382&lt;2,999999,IF(DT382&gt;25,999999,Pile!DT382))))</f>
        <v>2.0999999999999988</v>
      </c>
      <c r="DX382" s="530">
        <f t="shared" si="443"/>
        <v>532.58415172927062</v>
      </c>
      <c r="DY382" s="528">
        <f t="shared" si="444"/>
        <v>42411901.931961387</v>
      </c>
      <c r="DZ382" s="529">
        <f t="shared" si="445"/>
        <v>532.58415172927062</v>
      </c>
      <c r="EA382" s="467">
        <f t="shared" si="446"/>
        <v>443.52000000000004</v>
      </c>
      <c r="EB382" s="522">
        <v>3</v>
      </c>
      <c r="EC382" s="479">
        <v>750</v>
      </c>
      <c r="ED382" s="531">
        <f>Inputs!$D$40*3</f>
        <v>96</v>
      </c>
      <c r="EE382" s="528">
        <f>_xlfn.MINIFS($DE$70:$DE$149,$DI$70:$DI$149,"&gt;"&amp;Inputs!$J$110)</f>
        <v>2.0999999999999988</v>
      </c>
      <c r="EF382" s="528">
        <f>_xlfn.MINIFS($DE$156:$DE$235,$DI$156:$DI$235,"&gt;"&amp;Inputs!$J$110)</f>
        <v>1.7999999999999989</v>
      </c>
      <c r="EG382" s="529">
        <f>_xlfn.MINIFS($DE$242:$DE$321,$DI$242:$DI$321,"&gt;"&amp;Inputs!$J$110)</f>
        <v>2.0999999999999988</v>
      </c>
      <c r="EH382" s="530">
        <f>IF(Inputs!$F$110/3&gt;MAX(Pile!$DI$70:$DI$149),999999,IF(Pile!EE382/(Pile!EC382/1000)&gt;50,999999,IF(Pile!EE382&lt;2,999999,Pile!EE382)))</f>
        <v>2.0999999999999988</v>
      </c>
      <c r="EI382" s="528">
        <f>IF(Inputs!EE45="Yes",999999,IF(Pile!EF382/(Pile!EC382/1000)&gt;50,999999,IF(Pile!EF382&lt;2,999999,Pile!EF382)))</f>
        <v>999999</v>
      </c>
      <c r="EJ382" s="528">
        <f>IF(Inputs!$F$110/3&gt;MAX(Pile!$DI$242:$DI$321),999999,IF(Pile!EG382/(Pile!EC382/1000)&gt;50,999999,IF(Pile!EG382&lt;2,999999,IF(EG382&gt;25,999999,Pile!EG382))))</f>
        <v>2.0999999999999988</v>
      </c>
      <c r="EK382" s="530">
        <f t="shared" si="447"/>
        <v>532.58415172927062</v>
      </c>
      <c r="EL382" s="528">
        <f t="shared" si="448"/>
        <v>42411901.931961387</v>
      </c>
      <c r="EM382" s="529">
        <f t="shared" si="449"/>
        <v>532.58415172927062</v>
      </c>
      <c r="EN382" s="467">
        <f t="shared" si="450"/>
        <v>443.52000000000004</v>
      </c>
      <c r="EO382" s="522">
        <v>3</v>
      </c>
      <c r="EP382" s="479">
        <v>750</v>
      </c>
      <c r="EQ382" s="531">
        <f>Inputs!$D$40*3</f>
        <v>96</v>
      </c>
      <c r="ER382" s="528">
        <f>_xlfn.MINIFS($DE$70:$DE$149,$DI$70:$DI$149,"&gt;"&amp;Inputs!$J$117)</f>
        <v>0.29999999999999982</v>
      </c>
      <c r="ES382" s="528">
        <f>_xlfn.MINIFS($DE$156:$DE$235,$DI$156:$DI$235,"&gt;"&amp;Inputs!$J$117)</f>
        <v>0.29999999999999982</v>
      </c>
      <c r="ET382" s="529">
        <f>_xlfn.MINIFS($DE$242:$DE$321,$DI$242:$DI$321,"&gt;"&amp;Inputs!$J$117)</f>
        <v>0.29999999999999982</v>
      </c>
      <c r="EU382" s="530">
        <f>IF(Inputs!$F$117/3&gt;MAX(Pile!$DI$70:$DI$149),999999,IF(Pile!ER382/(Pile!EP382/1000)&gt;50,999999,IF(Pile!ER382&lt;2,999999,Pile!ER382)))</f>
        <v>999999</v>
      </c>
      <c r="EV382" s="528">
        <f>IF(Inputs!ER45="Yes",999999,IF(Inputs!$F$117&gt;MAX(Pile!$DG$156:$DG$235),999999,IF(Pile!ES382/(Pile!EP382/1000)&gt;50,999999,IF(Pile!ES382&lt;2,999999,Pile!ES382))))</f>
        <v>999999</v>
      </c>
      <c r="EW382" s="528">
        <f>IF(Inputs!$F$117/3&gt;MAX(Pile!$DI$242:$DI$321),999999,IF(Pile!ET382/(Pile!EP382/1000)&gt;50,999999,IF(Pile!ET382&lt;2,999999,IF(ET382&gt;25,999999,Pile!ET382))))</f>
        <v>999999</v>
      </c>
      <c r="EX382" s="530">
        <f t="shared" si="406"/>
        <v>42411458.411961384</v>
      </c>
      <c r="EY382" s="528">
        <f t="shared" si="407"/>
        <v>42411458.411961384</v>
      </c>
      <c r="EZ382" s="529">
        <f t="shared" si="408"/>
        <v>42411458.411961384</v>
      </c>
    </row>
    <row r="383" spans="2:156" ht="15">
      <c r="B383" s="517">
        <v>3</v>
      </c>
      <c r="C383" s="476">
        <v>900</v>
      </c>
      <c r="D383" s="527">
        <f>Inputs!$D$40*3</f>
        <v>96</v>
      </c>
      <c r="E383" s="528">
        <f>_xlfn.MINIFS($DE$70:$DE$149,$DJ$70:$DJ$149,"&gt;"&amp;Inputs!$J$40)</f>
        <v>2.6999999999999984</v>
      </c>
      <c r="F383" s="528">
        <f>_xlfn.MINIFS($DE$156:$DE$235,$DJ$156:$DJ$235,"&gt;"&amp;Inputs!$J$40)</f>
        <v>0</v>
      </c>
      <c r="G383" s="529">
        <f>_xlfn.MINIFS($DE$242:$DE$321,$DJ$242:$DJ$321,"&gt;"&amp;Inputs!$J$40)</f>
        <v>2.6999999999999984</v>
      </c>
      <c r="H383" s="530">
        <f>IF(Inputs!$F$40/3&gt;MAX(Pile!$DJ$70:$DJ$149),999999,IF(Pile!E383/(Pile!C383/1000)&gt;50,999999,IF(Pile!E383&lt;2,999999,Pile!E383)))</f>
        <v>2.6999999999999984</v>
      </c>
      <c r="I383" s="528">
        <f>IF(Inputs!E46="Yes",999999,IF(Pile!F383/(Pile!C383/1000)&gt;50,999999,IF(Pile!F383&lt;2,999999,Pile!F383)))</f>
        <v>999999</v>
      </c>
      <c r="J383" s="528">
        <f>IF(Inputs!$F$40/3&gt;MAX(Pile!$DJ$242:$DJ$321),999999,IF(Pile!G383/(Pile!C383/1000)&gt;50,999999,IF(Pile!G383&lt;2,999999,IF(G383&gt;25,999999,Pile!G383))))</f>
        <v>2.6999999999999984</v>
      </c>
      <c r="K383" s="530">
        <f t="shared" si="409"/>
        <v>911.13591520162095</v>
      </c>
      <c r="L383" s="528">
        <f t="shared" si="410"/>
        <v>61073246.353224404</v>
      </c>
      <c r="M383" s="529">
        <f t="shared" si="411"/>
        <v>911.13591520162095</v>
      </c>
      <c r="N383" s="466">
        <f>Inputs!$D$40*F462</f>
        <v>746.24</v>
      </c>
      <c r="O383" s="517">
        <v>3</v>
      </c>
      <c r="P383" s="476">
        <v>900</v>
      </c>
      <c r="Q383" s="527">
        <f>Inputs!$D$40*3</f>
        <v>96</v>
      </c>
      <c r="R383" s="528">
        <f>_xlfn.MINIFS($DE$70:$DE$149,$DJ$70:$DJ$149,"&gt;"&amp;Inputs!$J$47)</f>
        <v>2.6999999999999984</v>
      </c>
      <c r="S383" s="528">
        <f>_xlfn.MINIFS($DE$156:$DE$235,$DJ$156:$DJ$235,"&gt;"&amp;Inputs!$J$47)</f>
        <v>0</v>
      </c>
      <c r="T383" s="529">
        <f>_xlfn.MINIFS($DE$242:$DE$321,$DJ$242:$DJ$321,"&gt;"&amp;Inputs!$J$47)</f>
        <v>2.6999999999999984</v>
      </c>
      <c r="U383" s="530">
        <f>IF(Inputs!$F$47/3&gt;MAX(Pile!$DJ$70:$DJ$149),999999,IF(Pile!R383/(Pile!P383/1000)&gt;50,999999,IF(Pile!R383&lt;2,999999,Pile!R383)))</f>
        <v>2.6999999999999984</v>
      </c>
      <c r="V383" s="528">
        <f>IF(Inputs!R46="Yes",999999,IF(Pile!S383/(Pile!P383/1000)&gt;50,999999,IF(Pile!S383&lt;2,999999,Pile!S383)))</f>
        <v>999999</v>
      </c>
      <c r="W383" s="528">
        <f>IF(Inputs!$F$47/3&gt;MAX(Pile!$DJ$242:$DJ$321),999999,IF(Pile!T383/(Pile!P383/1000)&gt;50,999999,IF(Pile!T383&lt;2,999999,IF(T383&gt;25,999999,Pile!T383))))</f>
        <v>2.6999999999999984</v>
      </c>
      <c r="X383" s="530">
        <f t="shared" si="412"/>
        <v>911.13591520162095</v>
      </c>
      <c r="Y383" s="528">
        <f t="shared" si="413"/>
        <v>61073246.353224404</v>
      </c>
      <c r="Z383" s="529">
        <f t="shared" si="414"/>
        <v>911.13591520162095</v>
      </c>
      <c r="AA383" s="467">
        <f t="shared" si="369"/>
        <v>746.24</v>
      </c>
      <c r="AB383" s="522">
        <v>3</v>
      </c>
      <c r="AC383" s="479">
        <v>900</v>
      </c>
      <c r="AD383" s="531">
        <f>Inputs!$D$40*3</f>
        <v>96</v>
      </c>
      <c r="AE383" s="528">
        <f>_xlfn.MINIFS($DE$70:$DE$149,$DJ$70:$DJ$149,"&gt;"&amp;Inputs!$J$54)</f>
        <v>2.6999999999999984</v>
      </c>
      <c r="AF383" s="528">
        <f>_xlfn.MINIFS($DE$156:$DE$235,$DJ$156:$DJ$235,"&gt;"&amp;Inputs!$J$54)</f>
        <v>0</v>
      </c>
      <c r="AG383" s="529">
        <f>_xlfn.MINIFS($DE$242:$DE$321,$DJ$242:$DJ$321,"&gt;"&amp;Inputs!$J$54)</f>
        <v>2.6999999999999984</v>
      </c>
      <c r="AH383" s="530">
        <f>IF(Inputs!$F$54/3&gt;MAX(Pile!$DJ$70:$DJ$149),999999,IF(Pile!AE383/(Pile!AC383/1000)&gt;50,999999,IF(Pile!AE383&lt;2,999999,Pile!AE383)))</f>
        <v>2.6999999999999984</v>
      </c>
      <c r="AI383" s="528">
        <f>IF(Inputs!AE46="Yes",999999,IF(Pile!AF383/(Pile!AC383/1000)&gt;50,999999,IF(Pile!AF383&lt;2,999999,Pile!AF383)))</f>
        <v>999999</v>
      </c>
      <c r="AJ383" s="528">
        <f>IF(Inputs!$F$54/3&gt;MAX(Pile!$DJ$242:$DJ$321),999999,IF(Pile!AG383/(Pile!AC383/1000)&gt;50,999999,IF(Pile!AG383&lt;2,999999,IF(AG383&gt;25,999999,Pile!AG383))))</f>
        <v>2.6999999999999984</v>
      </c>
      <c r="AK383" s="530">
        <f t="shared" si="415"/>
        <v>911.13591520162095</v>
      </c>
      <c r="AL383" s="528">
        <f t="shared" si="416"/>
        <v>61073246.353224404</v>
      </c>
      <c r="AM383" s="529">
        <f t="shared" si="417"/>
        <v>911.13591520162095</v>
      </c>
      <c r="AN383" s="471">
        <f t="shared" si="418"/>
        <v>746.24</v>
      </c>
      <c r="AO383" s="522">
        <v>3</v>
      </c>
      <c r="AP383" s="479">
        <v>900</v>
      </c>
      <c r="AQ383" s="531">
        <f>Inputs!$D$40*3</f>
        <v>96</v>
      </c>
      <c r="AR383" s="528">
        <f>_xlfn.MINIFS($DE$70:$DE$149,$DJ$70:$DJ$149,"&gt;"&amp;Inputs!$J$61)</f>
        <v>2.6999999999999984</v>
      </c>
      <c r="AS383" s="528">
        <f>_xlfn.MINIFS($DE$156:$DE$235,$DJ$156:$DJ$235,"&gt;"&amp;Inputs!$J$61)</f>
        <v>0</v>
      </c>
      <c r="AT383" s="529">
        <f>_xlfn.MINIFS($DE$242:$DE$321,$DJ$242:$DJ$321,"&gt;"&amp;Inputs!$J$61)</f>
        <v>2.3999999999999986</v>
      </c>
      <c r="AU383" s="530">
        <f>IF(Inputs!$F$61/3&gt;MAX(Pile!$DJ$70:$DJ$149),999999,IF(Pile!AR383/(Pile!AP383/1000)&gt;50,999999,IF(Pile!AR383&lt;2,999999,Pile!AR383)))</f>
        <v>2.6999999999999984</v>
      </c>
      <c r="AV383" s="528">
        <f>IF(Inputs!AR46="Yes",999999,IF(Pile!AS383/(Pile!AP383/1000)&gt;50,999999,IF(Pile!AS383&lt;2,999999,Pile!AS383)))</f>
        <v>999999</v>
      </c>
      <c r="AW383" s="528">
        <f>IF(Inputs!$F$61/3&gt;MAX(Pile!$DJ$242:$DJ$321),999999,IF(Pile!AT383/(Pile!AP383/1000)&gt;50,999999,IF(Pile!AT383&lt;2,999999,IF(AT383&gt;25,999999,Pile!AT383))))</f>
        <v>2.3999999999999986</v>
      </c>
      <c r="AX383" s="530">
        <f t="shared" si="419"/>
        <v>911.13591520162095</v>
      </c>
      <c r="AY383" s="528">
        <f t="shared" si="420"/>
        <v>61073246.353224404</v>
      </c>
      <c r="AZ383" s="529">
        <f t="shared" si="421"/>
        <v>892.81414684588538</v>
      </c>
      <c r="BA383" s="467">
        <f t="shared" si="422"/>
        <v>746.24</v>
      </c>
      <c r="BB383" s="522">
        <v>3</v>
      </c>
      <c r="BC383" s="479">
        <v>900</v>
      </c>
      <c r="BD383" s="531">
        <f>Inputs!$D$40*3</f>
        <v>96</v>
      </c>
      <c r="BE383" s="528">
        <f>_xlfn.MINIFS($DE$70:$DE$149,$DJ$70:$DJ$149,"&gt;"&amp;Inputs!$J$68)</f>
        <v>2.6999999999999984</v>
      </c>
      <c r="BF383" s="528">
        <f>_xlfn.MINIFS($DE$156:$DE$235,$DJ$156:$DJ$235,"&gt;"&amp;Inputs!$J$68)</f>
        <v>0</v>
      </c>
      <c r="BG383" s="529">
        <f>_xlfn.MINIFS($DE$242:$DE$321,$DJ$242:$DJ$321,"&gt;"&amp;Inputs!$J$68)</f>
        <v>2.6999999999999984</v>
      </c>
      <c r="BH383" s="530">
        <f>IF(Inputs!$F$68/3&gt;MAX(Pile!$DJ$70:$DJ$149),999999,IF(Pile!BE383/(Pile!BC383/1000)&gt;50,999999,IF(Pile!BE383&lt;2,999999,Pile!BE383)))</f>
        <v>2.6999999999999984</v>
      </c>
      <c r="BI383" s="528">
        <f>IF(Inputs!BE46="Yes",999999,IF(Pile!BF383/(Pile!BC383/1000)&gt;50,999999,IF(Pile!BF383&lt;2,999999,Pile!BF383)))</f>
        <v>999999</v>
      </c>
      <c r="BJ383" s="528">
        <f>IF(Inputs!$F$68/3&gt;MAX(Pile!$DJ$242:$DJ$321),999999,IF(Pile!BG383/(Pile!BC383/1000)&gt;50,999999,IF(Pile!BG383&lt;2,999999,IF(BG383&gt;25,999999,Pile!BG383))))</f>
        <v>2.6999999999999984</v>
      </c>
      <c r="BK383" s="530">
        <f t="shared" si="423"/>
        <v>911.13591520162095</v>
      </c>
      <c r="BL383" s="528">
        <f t="shared" si="424"/>
        <v>61073246.353224404</v>
      </c>
      <c r="BM383" s="529">
        <f t="shared" si="425"/>
        <v>911.13591520162095</v>
      </c>
      <c r="BN383" s="467">
        <f t="shared" si="426"/>
        <v>746.24</v>
      </c>
      <c r="BO383" s="522">
        <v>3</v>
      </c>
      <c r="BP383" s="479">
        <v>900</v>
      </c>
      <c r="BQ383" s="531">
        <f>Inputs!$D$40*3</f>
        <v>96</v>
      </c>
      <c r="BR383" s="528">
        <f>_xlfn.MINIFS($DE$70:$DE$149,$DJ$70:$DJ$149,"&gt;"&amp;Inputs!$J$75)</f>
        <v>2.9999999999999982</v>
      </c>
      <c r="BS383" s="528">
        <f>_xlfn.MINIFS($DE$156:$DE$235,$DJ$156:$DJ$235,"&gt;"&amp;Inputs!$J$75)</f>
        <v>0</v>
      </c>
      <c r="BT383" s="529">
        <f>_xlfn.MINIFS($DE$242:$DE$321,$DJ$242:$DJ$321,"&gt;"&amp;Inputs!$J$75)</f>
        <v>2.9999999999999982</v>
      </c>
      <c r="BU383" s="530">
        <f>IF(Inputs!$F$75/3&gt;MAX(Pile!$DJ$70:$DJ$149),999999,IF(Pile!BR383/(Pile!BP383/1000)&gt;50,999999,IF(Pile!BR383&lt;2,999999,Pile!BR383)))</f>
        <v>2.9999999999999982</v>
      </c>
      <c r="BV383" s="528">
        <f>IF(Inputs!BR46="Yes",999999,IF(Pile!BS383/(Pile!BP383/1000)&gt;50,999999,IF(Pile!BS383&lt;2,999999,Pile!BS383)))</f>
        <v>999999</v>
      </c>
      <c r="BW383" s="528">
        <f>IF(Inputs!$F$75/3&gt;MAX(Pile!$DJ$242:$DJ$321),999999,IF(Pile!BT383/(Pile!BP383/1000)&gt;50,999999,IF(Pile!BT383&lt;2,999999,IF(BT383&gt;25,999999,Pile!BT383))))</f>
        <v>2.9999999999999982</v>
      </c>
      <c r="BX383" s="530">
        <f t="shared" si="427"/>
        <v>929.45768355735663</v>
      </c>
      <c r="BY383" s="528">
        <f t="shared" si="428"/>
        <v>61073246.353224404</v>
      </c>
      <c r="BZ383" s="529">
        <f t="shared" si="429"/>
        <v>929.45768355735663</v>
      </c>
      <c r="CA383" s="467">
        <f t="shared" si="430"/>
        <v>746.24</v>
      </c>
      <c r="CB383" s="522">
        <v>3</v>
      </c>
      <c r="CC383" s="479">
        <v>900</v>
      </c>
      <c r="CD383" s="531">
        <f>Inputs!$D$40*3</f>
        <v>96</v>
      </c>
      <c r="CE383" s="528">
        <f>_xlfn.MINIFS($DE$70:$DE$149,$DJ$70:$DJ$149,"&gt;"&amp;Inputs!$J$82)</f>
        <v>2.0999999999999988</v>
      </c>
      <c r="CF383" s="528">
        <f>_xlfn.MINIFS($DE$156:$DE$235,$DJ$156:$DJ$235,"&gt;"&amp;Inputs!$J$82)</f>
        <v>0</v>
      </c>
      <c r="CG383" s="529">
        <f>_xlfn.MINIFS($DE$242:$DE$321,$DJ$242:$DJ$321,"&gt;"&amp;Inputs!$J$82)</f>
        <v>2.0999999999999988</v>
      </c>
      <c r="CH383" s="530">
        <f>IF(Inputs!$F$82/3&gt;MAX(Pile!$DJ$70:$DJ$149),999999,IF(Pile!CE383/(Pile!CC383/1000)&gt;50,999999,IF(Pile!CE383&lt;2,999999,Pile!CE383)))</f>
        <v>2.0999999999999988</v>
      </c>
      <c r="CI383" s="528">
        <f>IF(Inputs!CE46="Yes",999999,IF(Pile!CF383/(Pile!CC383/1000)&gt;50,999999,IF(Pile!CF383&lt;2,999999,Pile!CF383)))</f>
        <v>999999</v>
      </c>
      <c r="CJ383" s="528">
        <f>IF(Inputs!$F$82/3&gt;MAX(Pile!$DJ$242:$DJ$321),999999,IF(Pile!CG383/(Pile!CC383/1000)&gt;50,999999,IF(Pile!CG383&lt;2,999999,IF(CG383&gt;25,999999,Pile!CG383))))</f>
        <v>2.0999999999999988</v>
      </c>
      <c r="CK383" s="530">
        <f t="shared" si="431"/>
        <v>874.49237849014969</v>
      </c>
      <c r="CL383" s="528">
        <f t="shared" si="432"/>
        <v>61073246.353224404</v>
      </c>
      <c r="CM383" s="529">
        <f t="shared" si="433"/>
        <v>874.49237849014969</v>
      </c>
      <c r="CN383" s="467">
        <f t="shared" si="434"/>
        <v>746.24</v>
      </c>
      <c r="CO383" s="522">
        <v>3</v>
      </c>
      <c r="CP383" s="479">
        <v>900</v>
      </c>
      <c r="CQ383" s="531">
        <f>Inputs!$D$40*3</f>
        <v>96</v>
      </c>
      <c r="CR383" s="528">
        <f>_xlfn.MINIFS($DE$70:$DE$149,$DJ$70:$DJ$149,"&gt;"&amp;Inputs!$J$89)</f>
        <v>2.0999999999999988</v>
      </c>
      <c r="CS383" s="528">
        <f>_xlfn.MINIFS($DE$156:$DE$235,$DJ$156:$DJ$235,"&gt;"&amp;Inputs!$J$89)</f>
        <v>0</v>
      </c>
      <c r="CT383" s="529">
        <f>_xlfn.MINIFS($DE$242:$DE$321,$DJ$242:$DJ$321,"&gt;"&amp;Inputs!$J$89)</f>
        <v>1.7999999999999989</v>
      </c>
      <c r="CU383" s="530">
        <f>IF(Inputs!$F$89/3&gt;MAX(Pile!$DJ$70:$DJ$149),999999,IF(Pile!CR383/(Pile!CP383/1000)&gt;50,999999,IF(Pile!CR383&lt;2,999999,Pile!CR383)))</f>
        <v>2.0999999999999988</v>
      </c>
      <c r="CV383" s="528">
        <f>IF(Inputs!CR46="Yes",999999,IF(Pile!CS383/(Pile!CP383/1000)&gt;50,999999,IF(Pile!CS383&lt;2,999999,Pile!CS383)))</f>
        <v>999999</v>
      </c>
      <c r="CW383" s="528">
        <f>IF(Inputs!$F$89/3&gt;MAX(Pile!$DJ$242:$DJ$321),999999,IF(Pile!CT383/(Pile!CP383/1000)&gt;50,999999,IF(Pile!CT383&lt;2,999999,IF(CT383&gt;25,999999,Pile!CT383))))</f>
        <v>999999</v>
      </c>
      <c r="CX383" s="530">
        <f t="shared" si="435"/>
        <v>874.49237849014969</v>
      </c>
      <c r="CY383" s="528">
        <f t="shared" si="436"/>
        <v>61073246.353224404</v>
      </c>
      <c r="CZ383" s="529">
        <f t="shared" si="437"/>
        <v>61073246.353224404</v>
      </c>
      <c r="DA383" s="467">
        <f t="shared" si="438"/>
        <v>746.24</v>
      </c>
      <c r="DB383" s="522">
        <v>3</v>
      </c>
      <c r="DC383" s="479">
        <v>900</v>
      </c>
      <c r="DD383" s="531">
        <f>Inputs!$D$40*3</f>
        <v>96</v>
      </c>
      <c r="DE383" s="528">
        <f>_xlfn.MINIFS($DE$70:$DE$149,$DJ$70:$DJ$149,"&gt;"&amp;Inputs!$J$96)</f>
        <v>2.0999999999999988</v>
      </c>
      <c r="DF383" s="528">
        <f>_xlfn.MINIFS($DE$156:$DE$235,$DJ$156:$DJ$235,"&gt;"&amp;Inputs!$J$96)</f>
        <v>0</v>
      </c>
      <c r="DG383" s="529">
        <f>_xlfn.MINIFS($DE$242:$DE$321,$DJ$242:$DJ$321,"&gt;"&amp;Inputs!$J$96)</f>
        <v>1.7999999999999989</v>
      </c>
      <c r="DH383" s="530">
        <f>IF(Inputs!$F$96/3&gt;MAX(Pile!$DJ$70:$DJ$149),999999,IF(Pile!DE383/(Pile!DC383/1000)&gt;50,999999,IF(Pile!DE383&lt;2,999999,Pile!DE383)))</f>
        <v>2.0999999999999988</v>
      </c>
      <c r="DI383" s="528">
        <f>IF(Inputs!DE46="Yes",999999,IF(Pile!DF383/(Pile!DC383/1000)&gt;50,999999,IF(Pile!DF383&lt;2,999999,Pile!DF383)))</f>
        <v>999999</v>
      </c>
      <c r="DJ383" s="528">
        <f>IF(Inputs!$F$96/3&gt;MAX(Pile!$DJ$242:$DJ$321),999999,IF(Pile!DG383/(Pile!DC383/1000)&gt;50,999999,IF(Pile!DG383&lt;2,999999,IF(DG383&gt;25,999999,Pile!DG383))))</f>
        <v>999999</v>
      </c>
      <c r="DK383" s="530">
        <f t="shared" si="439"/>
        <v>874.49237849014969</v>
      </c>
      <c r="DL383" s="528">
        <f t="shared" si="440"/>
        <v>61073246.353224404</v>
      </c>
      <c r="DM383" s="529">
        <f t="shared" si="441"/>
        <v>61073246.353224404</v>
      </c>
      <c r="DN383" s="467">
        <f t="shared" si="442"/>
        <v>746.24</v>
      </c>
      <c r="DO383" s="522">
        <v>3</v>
      </c>
      <c r="DP383" s="479">
        <v>900</v>
      </c>
      <c r="DQ383" s="531">
        <f>Inputs!$D$40*3</f>
        <v>96</v>
      </c>
      <c r="DR383" s="528">
        <f>_xlfn.MINIFS($DE$70:$DE$149,$DJ$70:$DJ$149,"&gt;"&amp;Inputs!$J$103)</f>
        <v>1.4999999999999991</v>
      </c>
      <c r="DS383" s="528">
        <f>_xlfn.MINIFS($DE$156:$DE$235,$DJ$156:$DJ$235,"&gt;"&amp;Inputs!$J$103)</f>
        <v>0</v>
      </c>
      <c r="DT383" s="529">
        <f>_xlfn.MINIFS($DE$242:$DE$321,$DJ$242:$DJ$321,"&gt;"&amp;Inputs!$J$103)</f>
        <v>1.4999999999999991</v>
      </c>
      <c r="DU383" s="530">
        <f>IF(Inputs!$F$103/3&gt;MAX(Pile!$DJ$70:$DJ$149),999999,IF(Pile!DR383/(Pile!DP383/1000)&gt;50,999999,IF(Pile!DR383&lt;2,999999,Pile!DR383)))</f>
        <v>999999</v>
      </c>
      <c r="DV383" s="528">
        <f>IF(Inputs!DR46="Yes",999999,IF(Pile!DS383/(Pile!DP383/1000)&gt;50,999999,IF(Pile!DS383&lt;2,999999,Pile!DS383)))</f>
        <v>999999</v>
      </c>
      <c r="DW383" s="528">
        <f>IF(Inputs!$F$103/3&gt;MAX(Pile!$DJ$242:$DJ$321),999999,IF(Pile!DT383/(Pile!DP383/1000)&gt;50,999999,IF(Pile!DT383&lt;2,999999,IF(DT383&gt;25,999999,Pile!DT383))))</f>
        <v>999999</v>
      </c>
      <c r="DX383" s="530">
        <f t="shared" si="443"/>
        <v>61073246.353224404</v>
      </c>
      <c r="DY383" s="528">
        <f t="shared" si="444"/>
        <v>61073246.353224404</v>
      </c>
      <c r="DZ383" s="529">
        <f t="shared" si="445"/>
        <v>61073246.353224404</v>
      </c>
      <c r="EA383" s="467">
        <f t="shared" si="446"/>
        <v>746.24</v>
      </c>
      <c r="EB383" s="522">
        <v>3</v>
      </c>
      <c r="EC383" s="479">
        <v>900</v>
      </c>
      <c r="ED383" s="531">
        <f>Inputs!$D$40*3</f>
        <v>96</v>
      </c>
      <c r="EE383" s="528">
        <f>_xlfn.MINIFS($DE$70:$DE$149,$DJ$70:$DJ$149,"&gt;"&amp;Inputs!$J$110)</f>
        <v>1.4999999999999991</v>
      </c>
      <c r="EF383" s="528">
        <f>_xlfn.MINIFS($DE$156:$DE$235,$DJ$156:$DJ$235,"&gt;"&amp;Inputs!$J$110)</f>
        <v>0</v>
      </c>
      <c r="EG383" s="529">
        <f>_xlfn.MINIFS($DE$242:$DE$321,$DJ$242:$DJ$321,"&gt;"&amp;Inputs!$J$110)</f>
        <v>1.4999999999999991</v>
      </c>
      <c r="EH383" s="530">
        <f>IF(Inputs!$F$110/3&gt;MAX(Pile!$DJ$70:$DJ$149),999999,IF(Pile!EE383/(Pile!EC383/1000)&gt;50,999999,IF(Pile!EE383&lt;2,999999,Pile!EE383)))</f>
        <v>999999</v>
      </c>
      <c r="EI383" s="528">
        <f>IF(Inputs!EE46="Yes",999999,IF(Pile!EF383/(Pile!EC383/1000)&gt;50,999999,IF(Pile!EF383&lt;2,999999,Pile!EF383)))</f>
        <v>999999</v>
      </c>
      <c r="EJ383" s="528">
        <f>IF(Inputs!$F$110/3&gt;MAX(Pile!$DJ$242:$DJ$321),999999,IF(Pile!EG383/(Pile!EC383/1000)&gt;50,999999,IF(Pile!EG383&lt;2,999999,IF(EG383&gt;25,999999,Pile!EG383))))</f>
        <v>999999</v>
      </c>
      <c r="EK383" s="530">
        <f t="shared" si="447"/>
        <v>61073246.353224404</v>
      </c>
      <c r="EL383" s="528">
        <f t="shared" si="448"/>
        <v>61073246.353224404</v>
      </c>
      <c r="EM383" s="529">
        <f t="shared" si="449"/>
        <v>61073246.353224404</v>
      </c>
      <c r="EN383" s="467">
        <f t="shared" si="450"/>
        <v>746.24</v>
      </c>
      <c r="EO383" s="522">
        <v>3</v>
      </c>
      <c r="EP383" s="479">
        <v>900</v>
      </c>
      <c r="EQ383" s="531">
        <f>Inputs!$D$40*3</f>
        <v>96</v>
      </c>
      <c r="ER383" s="528">
        <f>_xlfn.MINIFS($DE$70:$DE$149,$DJ$70:$DJ$149,"&gt;"&amp;Inputs!$J$117)</f>
        <v>0.29999999999999982</v>
      </c>
      <c r="ES383" s="528">
        <f>_xlfn.MINIFS($DE$156:$DE$235,$DJ$156:$DJ$235,"&gt;"&amp;Inputs!$J$117)</f>
        <v>0</v>
      </c>
      <c r="ET383" s="529">
        <f>_xlfn.MINIFS($DE$242:$DE$321,$DJ$242:$DJ$321,"&gt;"&amp;Inputs!$J$117)</f>
        <v>0.29999999999999982</v>
      </c>
      <c r="EU383" s="530">
        <f>IF(Inputs!$F$117/3&gt;MAX(Pile!$DJ$70:$DJ$149),999999,IF(Pile!ER383/(Pile!EP383/1000)&gt;50,999999,IF(Pile!ER383&lt;2,999999,Pile!ER383)))</f>
        <v>999999</v>
      </c>
      <c r="EV383" s="528">
        <f>IF(Inputs!ER46="Yes",999999,IF(Inputs!$F$117&gt;MAX(Pile!$DG$156:$DG$235),999999,IF(Pile!ES383/(Pile!EP383/1000)&gt;50,999999,IF(Pile!ES383&lt;2,999999,Pile!ES383))))</f>
        <v>999999</v>
      </c>
      <c r="EW383" s="528">
        <f>IF(Inputs!$F$117/3&gt;MAX(Pile!$DJ$242:$DJ$321),999999,IF(Pile!ET383/(Pile!EP383/1000)&gt;50,999999,IF(Pile!ET383&lt;2,999999,IF(ET383&gt;25,999999,Pile!ET383))))</f>
        <v>999999</v>
      </c>
      <c r="EX383" s="530">
        <f t="shared" si="406"/>
        <v>61072500.113224402</v>
      </c>
      <c r="EY383" s="528">
        <f t="shared" si="407"/>
        <v>61072500.113224402</v>
      </c>
      <c r="EZ383" s="529">
        <f t="shared" si="408"/>
        <v>61072500.113224402</v>
      </c>
    </row>
    <row r="384" spans="2:156" ht="15">
      <c r="B384" s="517">
        <v>3</v>
      </c>
      <c r="C384" s="476">
        <v>1050</v>
      </c>
      <c r="D384" s="527">
        <f>Inputs!$D$40*3</f>
        <v>96</v>
      </c>
      <c r="E384" s="528">
        <f>_xlfn.MINIFS($DE$70:$DE$149,$DK$70:$DK$149,"&gt;"&amp;Inputs!$J$40)</f>
        <v>2.0999999999999988</v>
      </c>
      <c r="F384" s="528">
        <f>_xlfn.MINIFS($DE$156:$DE$235,$DK$156:$DK$235,"&gt;"&amp;Inputs!$J$40)</f>
        <v>0</v>
      </c>
      <c r="G384" s="529">
        <f>_xlfn.MINIFS($DE$242:$DE$321,$DK$242:$DK$321,"&gt;"&amp;Inputs!$J$40)</f>
        <v>2.0999999999999988</v>
      </c>
      <c r="H384" s="530">
        <f>IF(Inputs!$F$40/3&gt;MAX(Pile!$DK$70:$DK$149),999999,IF(Pile!E384/(Pile!C384/1000)&gt;50,999999,IF(Pile!E384&lt;2,999999,Pile!E384)))</f>
        <v>2.0999999999999988</v>
      </c>
      <c r="I384" s="528">
        <f>IF(Inputs!E47="Yes",999999,IF(Pile!F384/(Pile!C384/1000)&gt;50,999999,IF(Pile!F384&lt;2,999999,Pile!F384)))</f>
        <v>999999</v>
      </c>
      <c r="J384" s="528">
        <f>IF(Inputs!$F$40/3&gt;MAX(Pile!$DK$242:$DK$321),999999,IF(Pile!G384/(Pile!C384/1000)&gt;50,999999,IF(Pile!G384&lt;2,999999,IF(G384&gt;25,999999,Pile!G384))))</f>
        <v>2.0999999999999988</v>
      </c>
      <c r="K384" s="530">
        <f t="shared" si="409"/>
        <v>1343.8869085893705</v>
      </c>
      <c r="L384" s="528">
        <f t="shared" si="410"/>
        <v>83127627.808615506</v>
      </c>
      <c r="M384" s="529">
        <f t="shared" si="411"/>
        <v>1343.8869085893705</v>
      </c>
      <c r="N384" s="466">
        <f>Inputs!$D$40*F463</f>
        <v>1169.3211712000002</v>
      </c>
      <c r="O384" s="517">
        <v>3</v>
      </c>
      <c r="P384" s="476">
        <v>1050</v>
      </c>
      <c r="Q384" s="527">
        <f>Inputs!$D$40*3</f>
        <v>96</v>
      </c>
      <c r="R384" s="528">
        <f>_xlfn.MINIFS($DE$70:$DE$149,$DK$70:$DK$149,"&gt;"&amp;Inputs!$J$47)</f>
        <v>2.0999999999999988</v>
      </c>
      <c r="S384" s="528">
        <f>_xlfn.MINIFS($DE$156:$DE$235,$DK$156:$DK$235,"&gt;"&amp;Inputs!$J$47)</f>
        <v>0</v>
      </c>
      <c r="T384" s="529">
        <f>_xlfn.MINIFS($DE$242:$DE$321,$DK$242:$DK$321,"&gt;"&amp;Inputs!$J$47)</f>
        <v>2.0999999999999988</v>
      </c>
      <c r="U384" s="530">
        <f>IF(Inputs!$F$47/3&gt;MAX(Pile!$DK$70:$DK$149),999999,IF(Pile!R384/(Pile!P384/1000)&gt;50,999999,IF(Pile!R384&lt;2,999999,Pile!R384)))</f>
        <v>2.0999999999999988</v>
      </c>
      <c r="V384" s="528">
        <f>IF(Inputs!R47="Yes",999999,IF(Pile!S384/(Pile!P384/1000)&gt;50,999999,IF(Pile!S384&lt;2,999999,Pile!S384)))</f>
        <v>999999</v>
      </c>
      <c r="W384" s="528">
        <f>IF(Inputs!$F$47/3&gt;MAX(Pile!$DK$242:$DK$321),999999,IF(Pile!T384/(Pile!P384/1000)&gt;50,999999,IF(Pile!T384&lt;2,999999,IF(T384&gt;25,999999,Pile!T384))))</f>
        <v>2.0999999999999988</v>
      </c>
      <c r="X384" s="530">
        <f t="shared" si="412"/>
        <v>1343.8869085893705</v>
      </c>
      <c r="Y384" s="528">
        <f t="shared" si="413"/>
        <v>83127627.808615506</v>
      </c>
      <c r="Z384" s="529">
        <f t="shared" si="414"/>
        <v>1343.8869085893705</v>
      </c>
      <c r="AA384" s="467">
        <f t="shared" si="369"/>
        <v>1169.3211712000002</v>
      </c>
      <c r="AB384" s="522">
        <v>3</v>
      </c>
      <c r="AC384" s="479">
        <v>1050</v>
      </c>
      <c r="AD384" s="531">
        <f>Inputs!$D$40*3</f>
        <v>96</v>
      </c>
      <c r="AE384" s="528">
        <f>_xlfn.MINIFS($DE$70:$DE$149,$DK$70:$DK$149,"&gt;"&amp;Inputs!$J$54)</f>
        <v>2.0999999999999988</v>
      </c>
      <c r="AF384" s="528">
        <f>_xlfn.MINIFS($DE$156:$DE$235,$DK$156:$DK$235,"&gt;"&amp;Inputs!$J$54)</f>
        <v>0</v>
      </c>
      <c r="AG384" s="529">
        <f>_xlfn.MINIFS($DE$242:$DE$321,$DK$242:$DK$321,"&gt;"&amp;Inputs!$J$54)</f>
        <v>2.0999999999999988</v>
      </c>
      <c r="AH384" s="530">
        <f>IF(Inputs!$F$54/3&gt;MAX(Pile!$DK$70:$DK$149),999999,IF(Pile!AE384/(Pile!AC384/1000)&gt;50,999999,IF(Pile!AE384&lt;2,999999,Pile!AE384)))</f>
        <v>2.0999999999999988</v>
      </c>
      <c r="AI384" s="528">
        <f>IF(Inputs!AE47="Yes",999999,IF(Pile!AF384/(Pile!AC384/1000)&gt;50,999999,IF(Pile!AF384&lt;2,999999,Pile!AF384)))</f>
        <v>999999</v>
      </c>
      <c r="AJ384" s="528">
        <f>IF(Inputs!$F$54/3&gt;MAX(Pile!$DK$242:$DK$321),999999,IF(Pile!AG384/(Pile!AC384/1000)&gt;50,999999,IF(Pile!AG384&lt;2,999999,IF(AG384&gt;25,999999,Pile!AG384))))</f>
        <v>2.0999999999999988</v>
      </c>
      <c r="AK384" s="530">
        <f t="shared" si="415"/>
        <v>1343.8869085893705</v>
      </c>
      <c r="AL384" s="528">
        <f t="shared" si="416"/>
        <v>83127627.808615506</v>
      </c>
      <c r="AM384" s="529">
        <f t="shared" si="417"/>
        <v>1343.8869085893705</v>
      </c>
      <c r="AN384" s="471">
        <f t="shared" si="418"/>
        <v>1169.3211712000002</v>
      </c>
      <c r="AO384" s="522">
        <v>3</v>
      </c>
      <c r="AP384" s="479">
        <v>1050</v>
      </c>
      <c r="AQ384" s="531">
        <f>Inputs!$D$40*3</f>
        <v>96</v>
      </c>
      <c r="AR384" s="528">
        <f>_xlfn.MINIFS($DE$70:$DE$149,$DK$70:$DK$149,"&gt;"&amp;Inputs!$J$61)</f>
        <v>2.0999999999999988</v>
      </c>
      <c r="AS384" s="528">
        <f>_xlfn.MINIFS($DE$156:$DE$235,$DK$156:$DK$235,"&gt;"&amp;Inputs!$J$61)</f>
        <v>0</v>
      </c>
      <c r="AT384" s="529">
        <f>_xlfn.MINIFS($DE$242:$DE$321,$DK$242:$DK$321,"&gt;"&amp;Inputs!$J$61)</f>
        <v>2.0999999999999988</v>
      </c>
      <c r="AU384" s="530">
        <f>IF(Inputs!$F$61/3&gt;MAX(Pile!$DK$70:$DK$149),999999,IF(Pile!AR384/(Pile!AP384/1000)&gt;50,999999,IF(Pile!AR384&lt;2,999999,Pile!AR384)))</f>
        <v>2.0999999999999988</v>
      </c>
      <c r="AV384" s="528">
        <f>IF(Inputs!AR47="Yes",999999,IF(Pile!AS384/(Pile!AP384/1000)&gt;50,999999,IF(Pile!AS384&lt;2,999999,Pile!AS384)))</f>
        <v>999999</v>
      </c>
      <c r="AW384" s="528">
        <f>IF(Inputs!$F$61/3&gt;MAX(Pile!$DK$242:$DK$321),999999,IF(Pile!AT384/(Pile!AP384/1000)&gt;50,999999,IF(Pile!AT384&lt;2,999999,IF(AT384&gt;25,999999,Pile!AT384))))</f>
        <v>2.0999999999999988</v>
      </c>
      <c r="AX384" s="530">
        <f t="shared" si="419"/>
        <v>1343.8869085893705</v>
      </c>
      <c r="AY384" s="528">
        <f t="shared" si="420"/>
        <v>83127627.808615506</v>
      </c>
      <c r="AZ384" s="529">
        <f t="shared" si="421"/>
        <v>1343.8869085893705</v>
      </c>
      <c r="BA384" s="467">
        <f t="shared" si="422"/>
        <v>1169.3211712000002</v>
      </c>
      <c r="BB384" s="522">
        <v>3</v>
      </c>
      <c r="BC384" s="479">
        <v>1050</v>
      </c>
      <c r="BD384" s="531">
        <f>Inputs!$D$40*3</f>
        <v>96</v>
      </c>
      <c r="BE384" s="528">
        <f>_xlfn.MINIFS($DE$70:$DE$149,$DK$70:$DK$149,"&gt;"&amp;Inputs!$J$68)</f>
        <v>2.0999999999999988</v>
      </c>
      <c r="BF384" s="528">
        <f>_xlfn.MINIFS($DE$156:$DE$235,$DK$156:$DK$235,"&gt;"&amp;Inputs!$J$68)</f>
        <v>0</v>
      </c>
      <c r="BG384" s="529">
        <f>_xlfn.MINIFS($DE$242:$DE$321,$DK$242:$DK$321,"&gt;"&amp;Inputs!$J$68)</f>
        <v>2.0999999999999988</v>
      </c>
      <c r="BH384" s="530">
        <f>IF(Inputs!$F$68/3&gt;MAX(Pile!$DK$70:$DK$149),999999,IF(Pile!BE384/(Pile!BC384/1000)&gt;50,999999,IF(Pile!BE384&lt;2,999999,Pile!BE384)))</f>
        <v>2.0999999999999988</v>
      </c>
      <c r="BI384" s="528">
        <f>IF(Inputs!BE47="Yes",999999,IF(Pile!BF384/(Pile!BC384/1000)&gt;50,999999,IF(Pile!BF384&lt;2,999999,Pile!BF384)))</f>
        <v>999999</v>
      </c>
      <c r="BJ384" s="528">
        <f>IF(Inputs!$F$68/3&gt;MAX(Pile!$DK$242:$DK$321),999999,IF(Pile!BG384/(Pile!BC384/1000)&gt;50,999999,IF(Pile!BG384&lt;2,999999,IF(BG384&gt;25,999999,Pile!BG384))))</f>
        <v>2.0999999999999988</v>
      </c>
      <c r="BK384" s="530">
        <f t="shared" si="423"/>
        <v>1343.8869085893705</v>
      </c>
      <c r="BL384" s="528">
        <f t="shared" si="424"/>
        <v>83127627.808615506</v>
      </c>
      <c r="BM384" s="529">
        <f t="shared" si="425"/>
        <v>1343.8869085893705</v>
      </c>
      <c r="BN384" s="467">
        <f t="shared" si="426"/>
        <v>1169.3211712000002</v>
      </c>
      <c r="BO384" s="522">
        <v>3</v>
      </c>
      <c r="BP384" s="479">
        <v>1050</v>
      </c>
      <c r="BQ384" s="531">
        <f>Inputs!$D$40*3</f>
        <v>96</v>
      </c>
      <c r="BR384" s="528">
        <f>_xlfn.MINIFS($DE$70:$DE$149,$DK$70:$DK$149,"&gt;"&amp;Inputs!$J$75)</f>
        <v>2.3999999999999986</v>
      </c>
      <c r="BS384" s="528">
        <f>_xlfn.MINIFS($DE$156:$DE$235,$DK$156:$DK$235,"&gt;"&amp;Inputs!$J$75)</f>
        <v>0</v>
      </c>
      <c r="BT384" s="529">
        <f>_xlfn.MINIFS($DE$242:$DE$321,$DK$242:$DK$321,"&gt;"&amp;Inputs!$J$75)</f>
        <v>2.3999999999999986</v>
      </c>
      <c r="BU384" s="530">
        <f>IF(Inputs!$F$75/3&gt;MAX(Pile!$DK$70:$DK$149),999999,IF(Pile!BR384/(Pile!BP384/1000)&gt;50,999999,IF(Pile!BR384&lt;2,999999,Pile!BR384)))</f>
        <v>2.3999999999999986</v>
      </c>
      <c r="BV384" s="528">
        <f>IF(Inputs!BR47="Yes",999999,IF(Pile!BS384/(Pile!BP384/1000)&gt;50,999999,IF(Pile!BS384&lt;2,999999,Pile!BS384)))</f>
        <v>999999</v>
      </c>
      <c r="BW384" s="528">
        <f>IF(Inputs!$F$75/3&gt;MAX(Pile!$DK$242:$DK$321),999999,IF(Pile!BT384/(Pile!BP384/1000)&gt;50,999999,IF(Pile!BT384&lt;2,999999,IF(BT384&gt;25,999999,Pile!BT384))))</f>
        <v>2.3999999999999986</v>
      </c>
      <c r="BX384" s="530">
        <f t="shared" si="427"/>
        <v>1368.8248710735663</v>
      </c>
      <c r="BY384" s="528">
        <f t="shared" si="428"/>
        <v>83127627.808615506</v>
      </c>
      <c r="BZ384" s="529">
        <f t="shared" si="429"/>
        <v>1368.8248710735663</v>
      </c>
      <c r="CA384" s="467">
        <f t="shared" si="430"/>
        <v>1169.3211712000002</v>
      </c>
      <c r="CB384" s="522">
        <v>3</v>
      </c>
      <c r="CC384" s="479">
        <v>1050</v>
      </c>
      <c r="CD384" s="531">
        <f>Inputs!$D$40*3</f>
        <v>96</v>
      </c>
      <c r="CE384" s="528">
        <f>_xlfn.MINIFS($DE$70:$DE$149,$DK$70:$DK$149,"&gt;"&amp;Inputs!$J$82)</f>
        <v>1.7999999999999989</v>
      </c>
      <c r="CF384" s="528">
        <f>_xlfn.MINIFS($DE$156:$DE$235,$DK$156:$DK$235,"&gt;"&amp;Inputs!$J$82)</f>
        <v>0</v>
      </c>
      <c r="CG384" s="529">
        <f>_xlfn.MINIFS($DE$242:$DE$321,$DK$242:$DK$321,"&gt;"&amp;Inputs!$J$82)</f>
        <v>1.4999999999999991</v>
      </c>
      <c r="CH384" s="530">
        <f>IF(Inputs!$F$82/3&gt;MAX(Pile!$DK$70:$DK$149),999999,IF(Pile!CE384/(Pile!CC384/1000)&gt;50,999999,IF(Pile!CE384&lt;2,999999,Pile!CE384)))</f>
        <v>999999</v>
      </c>
      <c r="CI384" s="528">
        <f>IF(Inputs!CE47="Yes",999999,IF(Pile!CF384/(Pile!CC384/1000)&gt;50,999999,IF(Pile!CF384&lt;2,999999,Pile!CF384)))</f>
        <v>999999</v>
      </c>
      <c r="CJ384" s="528">
        <f>IF(Inputs!$F$82/3&gt;MAX(Pile!$DK$242:$DK$321),999999,IF(Pile!CG384/(Pile!CC384/1000)&gt;50,999999,IF(Pile!CG384&lt;2,999999,IF(CG384&gt;25,999999,Pile!CG384))))</f>
        <v>999999</v>
      </c>
      <c r="CK384" s="530">
        <f t="shared" si="431"/>
        <v>83127627.808615506</v>
      </c>
      <c r="CL384" s="528">
        <f t="shared" si="432"/>
        <v>83127627.808615506</v>
      </c>
      <c r="CM384" s="529">
        <f t="shared" si="433"/>
        <v>83127627.808615506</v>
      </c>
      <c r="CN384" s="467">
        <f t="shared" si="434"/>
        <v>1169.3211712000002</v>
      </c>
      <c r="CO384" s="522">
        <v>3</v>
      </c>
      <c r="CP384" s="479">
        <v>1050</v>
      </c>
      <c r="CQ384" s="531">
        <f>Inputs!$D$40*3</f>
        <v>96</v>
      </c>
      <c r="CR384" s="528">
        <f>_xlfn.MINIFS($DE$70:$DE$149,$DK$70:$DK$149,"&gt;"&amp;Inputs!$J$89)</f>
        <v>1.4999999999999991</v>
      </c>
      <c r="CS384" s="528">
        <f>_xlfn.MINIFS($DE$156:$DE$235,$DK$156:$DK$235,"&gt;"&amp;Inputs!$J$89)</f>
        <v>0</v>
      </c>
      <c r="CT384" s="529">
        <f>_xlfn.MINIFS($DE$242:$DE$321,$DK$242:$DK$321,"&gt;"&amp;Inputs!$J$89)</f>
        <v>1.4999999999999991</v>
      </c>
      <c r="CU384" s="530">
        <f>IF(Inputs!$F$89/3&gt;MAX(Pile!$DK$70:$DK$149),999999,IF(Pile!CR384/(Pile!CP384/1000)&gt;50,999999,IF(Pile!CR384&lt;2,999999,Pile!CR384)))</f>
        <v>999999</v>
      </c>
      <c r="CV384" s="528">
        <f>IF(Inputs!CR47="Yes",999999,IF(Pile!CS384/(Pile!CP384/1000)&gt;50,999999,IF(Pile!CS384&lt;2,999999,Pile!CS384)))</f>
        <v>999999</v>
      </c>
      <c r="CW384" s="528">
        <f>IF(Inputs!$F$89/3&gt;MAX(Pile!$DK$242:$DK$321),999999,IF(Pile!CT384/(Pile!CP384/1000)&gt;50,999999,IF(Pile!CT384&lt;2,999999,IF(CT384&gt;25,999999,Pile!CT384))))</f>
        <v>999999</v>
      </c>
      <c r="CX384" s="530">
        <f t="shared" si="435"/>
        <v>83127627.808615506</v>
      </c>
      <c r="CY384" s="528">
        <f t="shared" si="436"/>
        <v>83127627.808615506</v>
      </c>
      <c r="CZ384" s="529">
        <f t="shared" si="437"/>
        <v>83127627.808615506</v>
      </c>
      <c r="DA384" s="467">
        <f t="shared" si="438"/>
        <v>1169.3211712000002</v>
      </c>
      <c r="DB384" s="522">
        <v>3</v>
      </c>
      <c r="DC384" s="479">
        <v>1050</v>
      </c>
      <c r="DD384" s="531">
        <f>Inputs!$D$40*3</f>
        <v>96</v>
      </c>
      <c r="DE384" s="528">
        <f>_xlfn.MINIFS($DE$70:$DE$149,$DK$70:$DK$149,"&gt;"&amp;Inputs!$J$96)</f>
        <v>1.4999999999999991</v>
      </c>
      <c r="DF384" s="528">
        <f>_xlfn.MINIFS($DE$156:$DE$235,$DK$156:$DK$235,"&gt;"&amp;Inputs!$J$96)</f>
        <v>0</v>
      </c>
      <c r="DG384" s="529">
        <f>_xlfn.MINIFS($DE$242:$DE$321,$DK$242:$DK$321,"&gt;"&amp;Inputs!$J$96)</f>
        <v>1.4999999999999991</v>
      </c>
      <c r="DH384" s="530">
        <f>IF(Inputs!$F$96/3&gt;MAX(Pile!$DK$70:$DK$149),999999,IF(Pile!DE384/(Pile!DC384/1000)&gt;50,999999,IF(Pile!DE384&lt;2,999999,Pile!DE384)))</f>
        <v>999999</v>
      </c>
      <c r="DI384" s="528">
        <f>IF(Inputs!DE47="Yes",999999,IF(Pile!DF384/(Pile!DC384/1000)&gt;50,999999,IF(Pile!DF384&lt;2,999999,Pile!DF384)))</f>
        <v>999999</v>
      </c>
      <c r="DJ384" s="528">
        <f>IF(Inputs!$F$96/3&gt;MAX(Pile!$DK$242:$DK$321),999999,IF(Pile!DG384/(Pile!DC384/1000)&gt;50,999999,IF(Pile!DG384&lt;2,999999,IF(DG384&gt;25,999999,Pile!DG384))))</f>
        <v>999999</v>
      </c>
      <c r="DK384" s="530">
        <f t="shared" si="439"/>
        <v>83127627.808615506</v>
      </c>
      <c r="DL384" s="528">
        <f t="shared" si="440"/>
        <v>83127627.808615506</v>
      </c>
      <c r="DM384" s="529">
        <f t="shared" si="441"/>
        <v>83127627.808615506</v>
      </c>
      <c r="DN384" s="467">
        <f t="shared" si="442"/>
        <v>1169.3211712000002</v>
      </c>
      <c r="DO384" s="522">
        <v>3</v>
      </c>
      <c r="DP384" s="479">
        <v>1050</v>
      </c>
      <c r="DQ384" s="531">
        <f>Inputs!$D$40*3</f>
        <v>96</v>
      </c>
      <c r="DR384" s="528">
        <f>_xlfn.MINIFS($DE$70:$DE$149,$DK$70:$DK$149,"&gt;"&amp;Inputs!$J$103)</f>
        <v>1.1999999999999993</v>
      </c>
      <c r="DS384" s="528">
        <f>_xlfn.MINIFS($DE$156:$DE$235,$DK$156:$DK$235,"&gt;"&amp;Inputs!$J$103)</f>
        <v>0</v>
      </c>
      <c r="DT384" s="529">
        <f>_xlfn.MINIFS($DE$242:$DE$321,$DK$242:$DK$321,"&gt;"&amp;Inputs!$J$103)</f>
        <v>1.1999999999999993</v>
      </c>
      <c r="DU384" s="530">
        <f>IF(Inputs!$F$103/3&gt;MAX(Pile!$DK$70:$DK$149),999999,IF(Pile!DR384/(Pile!DP384/1000)&gt;50,999999,IF(Pile!DR384&lt;2,999999,Pile!DR384)))</f>
        <v>999999</v>
      </c>
      <c r="DV384" s="528">
        <f>IF(Inputs!DR47="Yes",999999,IF(Pile!DS384/(Pile!DP384/1000)&gt;50,999999,IF(Pile!DS384&lt;2,999999,Pile!DS384)))</f>
        <v>999999</v>
      </c>
      <c r="DW384" s="528">
        <f>IF(Inputs!$F$103/3&gt;MAX(Pile!$DK$242:$DK$321),999999,IF(Pile!DT384/(Pile!DP384/1000)&gt;50,999999,IF(Pile!DT384&lt;2,999999,IF(DT384&gt;25,999999,Pile!DT384))))</f>
        <v>999999</v>
      </c>
      <c r="DX384" s="530">
        <f t="shared" si="443"/>
        <v>83127627.808615506</v>
      </c>
      <c r="DY384" s="528">
        <f t="shared" si="444"/>
        <v>83127627.808615506</v>
      </c>
      <c r="DZ384" s="529">
        <f t="shared" si="445"/>
        <v>83127627.808615506</v>
      </c>
      <c r="EA384" s="467">
        <f t="shared" si="446"/>
        <v>1169.3211712000002</v>
      </c>
      <c r="EB384" s="522">
        <v>3</v>
      </c>
      <c r="EC384" s="479">
        <v>1050</v>
      </c>
      <c r="ED384" s="531">
        <f>Inputs!$D$40*3</f>
        <v>96</v>
      </c>
      <c r="EE384" s="528">
        <f>_xlfn.MINIFS($DE$70:$DE$149,$DK$70:$DK$149,"&gt;"&amp;Inputs!$J$110)</f>
        <v>1.1999999999999993</v>
      </c>
      <c r="EF384" s="528">
        <f>_xlfn.MINIFS($DE$156:$DE$235,$DK$156:$DK$235,"&gt;"&amp;Inputs!$J$110)</f>
        <v>0</v>
      </c>
      <c r="EG384" s="529">
        <f>_xlfn.MINIFS($DE$242:$DE$321,$DK$242:$DK$321,"&gt;"&amp;Inputs!$J$110)</f>
        <v>1.1999999999999993</v>
      </c>
      <c r="EH384" s="530">
        <f>IF(Inputs!$F$110/3&gt;MAX(Pile!$DK$70:$DK$149),999999,IF(Pile!EE384/(Pile!EC384/1000)&gt;50,999999,IF(Pile!EE384&lt;2,999999,Pile!EE384)))</f>
        <v>999999</v>
      </c>
      <c r="EI384" s="528">
        <f>IF(Inputs!EE47="Yes",999999,IF(Pile!EF384/(Pile!EC384/1000)&gt;50,999999,IF(Pile!EF384&lt;2,999999,Pile!EF384)))</f>
        <v>999999</v>
      </c>
      <c r="EJ384" s="528">
        <f>IF(Inputs!$F$110/3&gt;MAX(Pile!$DK$242:$DK$321),999999,IF(Pile!EG384/(Pile!EC384/1000)&gt;50,999999,IF(Pile!EG384&lt;2,999999,IF(EG384&gt;25,999999,Pile!EG384))))</f>
        <v>999999</v>
      </c>
      <c r="EK384" s="530">
        <f t="shared" si="447"/>
        <v>83127627.808615506</v>
      </c>
      <c r="EL384" s="528">
        <f t="shared" si="448"/>
        <v>83127627.808615506</v>
      </c>
      <c r="EM384" s="529">
        <f t="shared" si="449"/>
        <v>83127627.808615506</v>
      </c>
      <c r="EN384" s="467">
        <f t="shared" si="450"/>
        <v>1169.3211712000002</v>
      </c>
      <c r="EO384" s="522">
        <v>3</v>
      </c>
      <c r="EP384" s="479">
        <v>1050</v>
      </c>
      <c r="EQ384" s="531">
        <f>Inputs!$D$40*3</f>
        <v>96</v>
      </c>
      <c r="ER384" s="528">
        <f>_xlfn.MINIFS($DE$70:$DE$149,$DK$70:$DK$149,"&gt;"&amp;Inputs!$J$117)</f>
        <v>0.29999999999999982</v>
      </c>
      <c r="ES384" s="528">
        <f>_xlfn.MINIFS($DE$156:$DE$235,$DK$156:$DK$235,"&gt;"&amp;Inputs!$J$117)</f>
        <v>0</v>
      </c>
      <c r="ET384" s="529">
        <f>_xlfn.MINIFS($DE$242:$DE$321,$DK$242:$DK$321,"&gt;"&amp;Inputs!$J$117)</f>
        <v>0.29999999999999982</v>
      </c>
      <c r="EU384" s="530">
        <f>IF(Inputs!$F$117/3&gt;MAX(Pile!$DK$70:$DK$149),999999,IF(Pile!ER384/(Pile!EP384/1000)&gt;50,999999,IF(Pile!ER384&lt;2,999999,Pile!ER384)))</f>
        <v>999999</v>
      </c>
      <c r="EV384" s="528">
        <f>IF(Inputs!ER47="Yes",999999,IF(Inputs!$F$117&gt;MAX(Pile!$DG$156:$DG$235),999999,IF(Pile!ES384/(Pile!EP384/1000)&gt;50,999999,IF(Pile!ES384&lt;2,999999,Pile!ES384))))</f>
        <v>999999</v>
      </c>
      <c r="EW384" s="528">
        <f>IF(Inputs!$F$117/3&gt;MAX(Pile!$DK$242:$DK$321),999999,IF(Pile!ET384/(Pile!EP384/1000)&gt;50,999999,IF(Pile!ET384&lt;2,999999,IF(ET384&gt;25,999999,Pile!ET384))))</f>
        <v>999999</v>
      </c>
      <c r="EX384" s="530">
        <f t="shared" si="406"/>
        <v>83126458.487444311</v>
      </c>
      <c r="EY384" s="528">
        <f t="shared" si="407"/>
        <v>83126458.487444311</v>
      </c>
      <c r="EZ384" s="529">
        <f t="shared" si="408"/>
        <v>83126458.487444311</v>
      </c>
    </row>
    <row r="385" spans="2:158" ht="15.75" thickBot="1">
      <c r="B385" s="517">
        <v>3</v>
      </c>
      <c r="C385" s="483">
        <v>1200</v>
      </c>
      <c r="D385" s="527">
        <f>Inputs!$D$40*3</f>
        <v>96</v>
      </c>
      <c r="E385" s="535">
        <f>_xlfn.MINIFS($DE$70:$DE$149,$DL$70:$DL$149,"&gt;"&amp;Inputs!$J$40)</f>
        <v>1.7999999999999989</v>
      </c>
      <c r="F385" s="535">
        <f>_xlfn.MINIFS($DE$156:$DE$235,$DL$156:$DL$235,"&gt;"&amp;Inputs!$J$40)</f>
        <v>0</v>
      </c>
      <c r="G385" s="536">
        <f>_xlfn.MINIFS($DE$242:$DE$321,$DL$242:$DL$321,"&gt;"&amp;Inputs!$J$40)</f>
        <v>1.7999999999999989</v>
      </c>
      <c r="H385" s="537">
        <f>IF(Inputs!$F$40/3&gt;MAX(Pile!$DL$70:$DL$149),999999,IF(Pile!E385/(Pile!C385/1000)&gt;50,999999,IF(Pile!E385&lt;2,999999,Pile!E385)))</f>
        <v>999999</v>
      </c>
      <c r="I385" s="535">
        <f>IF(Inputs!E48="Yes",999999,IF(Pile!F385/(Pile!C385/1000)&gt;50,999999,IF(Pile!F385&lt;2,999999,Pile!F385)))</f>
        <v>999999</v>
      </c>
      <c r="J385" s="535">
        <f>IF(Inputs!$F$40/3&gt;MAX(Pile!$DL$242:$DL$321),999999,IF(Pile!G385/(Pile!C385/1000)&gt;50,999999,IF(Pile!G385&lt;2,999999,IF(G385&gt;25,999999,Pile!G385))))</f>
        <v>999999</v>
      </c>
      <c r="K385" s="537">
        <f t="shared" si="409"/>
        <v>108575051.93462116</v>
      </c>
      <c r="L385" s="535">
        <f t="shared" si="410"/>
        <v>108575051.93462116</v>
      </c>
      <c r="M385" s="536">
        <f t="shared" si="411"/>
        <v>108575051.93462116</v>
      </c>
      <c r="N385" s="466">
        <f>Inputs!$D$40*F464</f>
        <v>1718.3999999999999</v>
      </c>
      <c r="O385" s="517">
        <v>3</v>
      </c>
      <c r="P385" s="483">
        <v>1200</v>
      </c>
      <c r="Q385" s="527">
        <f>Inputs!$D$40*3</f>
        <v>96</v>
      </c>
      <c r="R385" s="535">
        <f>_xlfn.MINIFS($DE$70:$DE$149,$DL$70:$DL$149,"&gt;"&amp;Inputs!$J$47)</f>
        <v>1.7999999999999989</v>
      </c>
      <c r="S385" s="535">
        <f>_xlfn.MINIFS($DE$156:$DE$235,$DL$156:$DL$235,"&gt;"&amp;Inputs!$J$47)</f>
        <v>0</v>
      </c>
      <c r="T385" s="536">
        <f>_xlfn.MINIFS($DE$242:$DE$321,$DL$242:$DL$321,"&gt;"&amp;Inputs!$J$47)</f>
        <v>1.7999999999999989</v>
      </c>
      <c r="U385" s="537">
        <f>IF(Inputs!$F$47/3&gt;MAX(Pile!$DL$70:$DL$149),999999,IF(Pile!R385/(Pile!P385/1000)&gt;50,999999,IF(Pile!R385&lt;2,999999,Pile!R385)))</f>
        <v>999999</v>
      </c>
      <c r="V385" s="535">
        <f>IF(Inputs!R48="Yes",999999,IF(Pile!S385/(Pile!P385/1000)&gt;50,999999,IF(Pile!S385&lt;2,999999,Pile!S385)))</f>
        <v>999999</v>
      </c>
      <c r="W385" s="535">
        <f>IF(Inputs!$F$47/3&gt;MAX(Pile!$DL$242:$DL$321),999999,IF(Pile!T385/(Pile!P385/1000)&gt;50,999999,IF(Pile!T385&lt;2,999999,IF(T385&gt;25,999999,Pile!T385))))</f>
        <v>999999</v>
      </c>
      <c r="X385" s="537">
        <f t="shared" si="412"/>
        <v>108575051.93462116</v>
      </c>
      <c r="Y385" s="535">
        <f t="shared" si="413"/>
        <v>108575051.93462116</v>
      </c>
      <c r="Z385" s="536">
        <f t="shared" si="414"/>
        <v>108575051.93462116</v>
      </c>
      <c r="AA385" s="467">
        <f t="shared" si="369"/>
        <v>1718.3999999999999</v>
      </c>
      <c r="AB385" s="522">
        <v>3</v>
      </c>
      <c r="AC385" s="487">
        <v>1200</v>
      </c>
      <c r="AD385" s="531">
        <f>Inputs!$D$40*3</f>
        <v>96</v>
      </c>
      <c r="AE385" s="535">
        <f>_xlfn.MINIFS($DE$70:$DE$149,$DL$70:$DL$149,"&gt;"&amp;Inputs!$J$54)</f>
        <v>1.7999999999999989</v>
      </c>
      <c r="AF385" s="535">
        <f>_xlfn.MINIFS($DE$156:$DE$235,$DL$156:$DL$235,"&gt;"&amp;Inputs!$J$54)</f>
        <v>0</v>
      </c>
      <c r="AG385" s="536">
        <f>_xlfn.MINIFS($DE$242:$DE$321,$DL$242:$DL$321,"&gt;"&amp;Inputs!$J$54)</f>
        <v>1.4999999999999991</v>
      </c>
      <c r="AH385" s="537">
        <f>IF(Inputs!$F$54/3&gt;MAX(Pile!$DL$70:$DL$149),999999,IF(Pile!AE385/(Pile!AC385/1000)&gt;50,999999,IF(Pile!AE385&lt;2,999999,Pile!AE385)))</f>
        <v>999999</v>
      </c>
      <c r="AI385" s="535">
        <f>IF(Inputs!AE48="Yes",999999,IF(Pile!AF385/(Pile!AC385/1000)&gt;50,999999,IF(Pile!AF385&lt;2,999999,Pile!AF385)))</f>
        <v>999999</v>
      </c>
      <c r="AJ385" s="535">
        <f>IF(Inputs!$F$54/3&gt;MAX(Pile!$DL$242:$DL$321),999999,IF(Pile!AG385/(Pile!AC385/1000)&gt;50,999999,IF(Pile!AG385&lt;2,999999,IF(AG385&gt;25,999999,Pile!AG385))))</f>
        <v>999999</v>
      </c>
      <c r="AK385" s="537">
        <f t="shared" si="415"/>
        <v>108575051.93462116</v>
      </c>
      <c r="AL385" s="535">
        <f t="shared" si="416"/>
        <v>108575051.93462116</v>
      </c>
      <c r="AM385" s="536">
        <f t="shared" si="417"/>
        <v>108575051.93462116</v>
      </c>
      <c r="AN385" s="471">
        <f t="shared" si="418"/>
        <v>1718.3999999999999</v>
      </c>
      <c r="AO385" s="522">
        <v>3</v>
      </c>
      <c r="AP385" s="487">
        <v>1200</v>
      </c>
      <c r="AQ385" s="531">
        <f>Inputs!$D$40*3</f>
        <v>96</v>
      </c>
      <c r="AR385" s="535">
        <f>_xlfn.MINIFS($DE$70:$DE$149,$DL$70:$DL$149,"&gt;"&amp;Inputs!$J$61)</f>
        <v>1.4999999999999991</v>
      </c>
      <c r="AS385" s="535">
        <f>_xlfn.MINIFS($DE$156:$DE$235,$DL$156:$DL$235,"&gt;"&amp;Inputs!$J$61)</f>
        <v>0</v>
      </c>
      <c r="AT385" s="536">
        <f>_xlfn.MINIFS($DE$242:$DE$321,$DL$242:$DL$321,"&gt;"&amp;Inputs!$J$61)</f>
        <v>1.4999999999999991</v>
      </c>
      <c r="AU385" s="537">
        <f>IF(Inputs!$F$61/3&gt;MAX(Pile!$DL$70:$DL$149),999999,IF(Pile!AR385/(Pile!AP385/1000)&gt;50,999999,IF(Pile!AR385&lt;2,999999,Pile!AR385)))</f>
        <v>999999</v>
      </c>
      <c r="AV385" s="535">
        <f>IF(Inputs!AR48="Yes",999999,IF(Pile!AS385/(Pile!AP385/1000)&gt;50,999999,IF(Pile!AS385&lt;2,999999,Pile!AS385)))</f>
        <v>999999</v>
      </c>
      <c r="AW385" s="535">
        <f>IF(Inputs!$F$61/3&gt;MAX(Pile!$DL$242:$DL$321),999999,IF(Pile!AT385/(Pile!AP385/1000)&gt;50,999999,IF(Pile!AT385&lt;2,999999,IF(AT385&gt;25,999999,Pile!AT385))))</f>
        <v>999999</v>
      </c>
      <c r="AX385" s="537">
        <f t="shared" si="419"/>
        <v>108575051.93462116</v>
      </c>
      <c r="AY385" s="535">
        <f t="shared" si="420"/>
        <v>108575051.93462116</v>
      </c>
      <c r="AZ385" s="536">
        <f t="shared" si="421"/>
        <v>108575051.93462116</v>
      </c>
      <c r="BA385" s="467">
        <f t="shared" si="422"/>
        <v>1718.3999999999999</v>
      </c>
      <c r="BB385" s="522">
        <v>3</v>
      </c>
      <c r="BC385" s="487">
        <v>1200</v>
      </c>
      <c r="BD385" s="531">
        <f>Inputs!$D$40*3</f>
        <v>96</v>
      </c>
      <c r="BE385" s="535">
        <f>_xlfn.MINIFS($DE$70:$DE$149,$DL$70:$DL$149,"&gt;"&amp;Inputs!$J$68)</f>
        <v>1.7999999999999989</v>
      </c>
      <c r="BF385" s="535">
        <f>_xlfn.MINIFS($DE$156:$DE$235,$DL$156:$DL$235,"&gt;"&amp;Inputs!$J$68)</f>
        <v>0</v>
      </c>
      <c r="BG385" s="536">
        <f>_xlfn.MINIFS($DE$242:$DE$321,$DL$242:$DL$321,"&gt;"&amp;Inputs!$J$68)</f>
        <v>1.4999999999999991</v>
      </c>
      <c r="BH385" s="537">
        <f>IF(Inputs!$F$68/3&gt;MAX(Pile!$DL$70:$DL$149),999999,IF(Pile!BE385/(Pile!BC385/1000)&gt;50,999999,IF(Pile!BE385&lt;2,999999,Pile!BE385)))</f>
        <v>999999</v>
      </c>
      <c r="BI385" s="535">
        <f>IF(Inputs!BE48="Yes",999999,IF(Pile!BF385/(Pile!BC385/1000)&gt;50,999999,IF(Pile!BF385&lt;2,999999,Pile!BF385)))</f>
        <v>999999</v>
      </c>
      <c r="BJ385" s="535">
        <f>IF(Inputs!$F$68/3&gt;MAX(Pile!$DL$242:$DL$321),999999,IF(Pile!BG385/(Pile!BC385/1000)&gt;50,999999,IF(Pile!BG385&lt;2,999999,IF(BG385&gt;25,999999,Pile!BG385))))</f>
        <v>999999</v>
      </c>
      <c r="BK385" s="537">
        <f t="shared" si="423"/>
        <v>108575051.93462116</v>
      </c>
      <c r="BL385" s="535">
        <f t="shared" si="424"/>
        <v>108575051.93462116</v>
      </c>
      <c r="BM385" s="536">
        <f t="shared" si="425"/>
        <v>108575051.93462116</v>
      </c>
      <c r="BN385" s="467">
        <f t="shared" si="426"/>
        <v>1718.3999999999999</v>
      </c>
      <c r="BO385" s="522">
        <v>3</v>
      </c>
      <c r="BP385" s="487">
        <v>1200</v>
      </c>
      <c r="BQ385" s="531">
        <f>Inputs!$D$40*3</f>
        <v>96</v>
      </c>
      <c r="BR385" s="535">
        <f>_xlfn.MINIFS($DE$70:$DE$149,$DL$70:$DL$149,"&gt;"&amp;Inputs!$J$75)</f>
        <v>1.7999999999999989</v>
      </c>
      <c r="BS385" s="535">
        <f>_xlfn.MINIFS($DE$156:$DE$235,$DL$156:$DL$235,"&gt;"&amp;Inputs!$J$75)</f>
        <v>0</v>
      </c>
      <c r="BT385" s="536">
        <f>_xlfn.MINIFS($DE$242:$DE$321,$DL$242:$DL$321,"&gt;"&amp;Inputs!$J$75)</f>
        <v>1.7999999999999989</v>
      </c>
      <c r="BU385" s="537">
        <f>IF(Inputs!$F$75/3&gt;MAX(Pile!$DL$70:$DL$149),999999,IF(Pile!BR385/(Pile!BP385/1000)&gt;50,999999,IF(Pile!BR385&lt;2,999999,Pile!BR385)))</f>
        <v>999999</v>
      </c>
      <c r="BV385" s="535">
        <f>IF(Inputs!BR48="Yes",999999,IF(Pile!BS385/(Pile!BP385/1000)&gt;50,999999,IF(Pile!BS385&lt;2,999999,Pile!BS385)))</f>
        <v>999999</v>
      </c>
      <c r="BW385" s="535">
        <f>IF(Inputs!$F$75/3&gt;MAX(Pile!$DL$242:$DL$321),999999,IF(Pile!BT385/(Pile!BP385/1000)&gt;50,999999,IF(Pile!BT385&lt;2,999999,IF(BT385&gt;25,999999,Pile!BT385))))</f>
        <v>999999</v>
      </c>
      <c r="BX385" s="537">
        <f t="shared" si="427"/>
        <v>108575051.93462116</v>
      </c>
      <c r="BY385" s="535">
        <f t="shared" si="428"/>
        <v>108575051.93462116</v>
      </c>
      <c r="BZ385" s="536">
        <f t="shared" si="429"/>
        <v>108575051.93462116</v>
      </c>
      <c r="CA385" s="467">
        <f t="shared" si="430"/>
        <v>1718.3999999999999</v>
      </c>
      <c r="CB385" s="522">
        <v>3</v>
      </c>
      <c r="CC385" s="487">
        <v>1200</v>
      </c>
      <c r="CD385" s="531">
        <f>Inputs!$D$40*3</f>
        <v>96</v>
      </c>
      <c r="CE385" s="535">
        <f>_xlfn.MINIFS($DE$70:$DE$149,$DL$70:$DL$149,"&gt;"&amp;Inputs!$J$82)</f>
        <v>1.1999999999999993</v>
      </c>
      <c r="CF385" s="535">
        <f>_xlfn.MINIFS($DE$156:$DE$235,$DL$156:$DL$235,"&gt;"&amp;Inputs!$J$82)</f>
        <v>0</v>
      </c>
      <c r="CG385" s="536">
        <f>_xlfn.MINIFS($DE$242:$DE$321,$DL$242:$DL$321,"&gt;"&amp;Inputs!$J$82)</f>
        <v>1.1999999999999993</v>
      </c>
      <c r="CH385" s="537">
        <f>IF(Inputs!$F$82/3&gt;MAX(Pile!$DL$70:$DL$149),999999,IF(Pile!CE385/(Pile!CC385/1000)&gt;50,999999,IF(Pile!CE385&lt;2,999999,Pile!CE385)))</f>
        <v>999999</v>
      </c>
      <c r="CI385" s="535">
        <f>IF(Inputs!CE48="Yes",999999,IF(Pile!CF385/(Pile!CC385/1000)&gt;50,999999,IF(Pile!CF385&lt;2,999999,Pile!CF385)))</f>
        <v>999999</v>
      </c>
      <c r="CJ385" s="535">
        <f>IF(Inputs!$F$82/3&gt;MAX(Pile!$DL$242:$DL$321),999999,IF(Pile!CG385/(Pile!CC385/1000)&gt;50,999999,IF(Pile!CG385&lt;2,999999,IF(CG385&gt;25,999999,Pile!CG385))))</f>
        <v>999999</v>
      </c>
      <c r="CK385" s="537">
        <f t="shared" si="431"/>
        <v>108575051.93462116</v>
      </c>
      <c r="CL385" s="535">
        <f t="shared" si="432"/>
        <v>108575051.93462116</v>
      </c>
      <c r="CM385" s="536">
        <f t="shared" si="433"/>
        <v>108575051.93462116</v>
      </c>
      <c r="CN385" s="467">
        <f t="shared" si="434"/>
        <v>1718.3999999999999</v>
      </c>
      <c r="CO385" s="522">
        <v>3</v>
      </c>
      <c r="CP385" s="487">
        <v>1200</v>
      </c>
      <c r="CQ385" s="531">
        <f>Inputs!$D$40*3</f>
        <v>96</v>
      </c>
      <c r="CR385" s="535">
        <f>_xlfn.MINIFS($DE$70:$DE$149,$DL$70:$DL$149,"&gt;"&amp;Inputs!$J$89)</f>
        <v>1.1999999999999993</v>
      </c>
      <c r="CS385" s="535">
        <f>_xlfn.MINIFS($DE$156:$DE$235,$DL$156:$DL$235,"&gt;"&amp;Inputs!$J$89)</f>
        <v>0</v>
      </c>
      <c r="CT385" s="536">
        <f>_xlfn.MINIFS($DE$242:$DE$321,$DL$242:$DL$321,"&gt;"&amp;Inputs!$J$89)</f>
        <v>1.1999999999999993</v>
      </c>
      <c r="CU385" s="537">
        <f>IF(Inputs!$F$89/3&gt;MAX(Pile!$DL$70:$DL$149),999999,IF(Pile!CR385/(Pile!CP385/1000)&gt;50,999999,IF(Pile!CR385&lt;2,999999,Pile!CR385)))</f>
        <v>999999</v>
      </c>
      <c r="CV385" s="535">
        <f>IF(Inputs!CR48="Yes",999999,IF(Pile!CS385/(Pile!CP385/1000)&gt;50,999999,IF(Pile!CS385&lt;2,999999,Pile!CS385)))</f>
        <v>999999</v>
      </c>
      <c r="CW385" s="535">
        <f>IF(Inputs!$F$89/3&gt;MAX(Pile!$DL$242:$DL$321),999999,IF(Pile!CT385/(Pile!CP385/1000)&gt;50,999999,IF(Pile!CT385&lt;2,999999,IF(CT385&gt;25,999999,Pile!CT385))))</f>
        <v>999999</v>
      </c>
      <c r="CX385" s="537">
        <f t="shared" si="435"/>
        <v>108575051.93462116</v>
      </c>
      <c r="CY385" s="535">
        <f t="shared" si="436"/>
        <v>108575051.93462116</v>
      </c>
      <c r="CZ385" s="536">
        <f t="shared" si="437"/>
        <v>108575051.93462116</v>
      </c>
      <c r="DA385" s="467">
        <f t="shared" si="438"/>
        <v>1718.3999999999999</v>
      </c>
      <c r="DB385" s="522">
        <v>3</v>
      </c>
      <c r="DC385" s="487">
        <v>1200</v>
      </c>
      <c r="DD385" s="531">
        <f>Inputs!$D$40*3</f>
        <v>96</v>
      </c>
      <c r="DE385" s="535">
        <f>_xlfn.MINIFS($DE$70:$DE$149,$DL$70:$DL$149,"&gt;"&amp;Inputs!$J$96)</f>
        <v>1.1999999999999993</v>
      </c>
      <c r="DF385" s="535">
        <f>_xlfn.MINIFS($DE$156:$DE$235,$DL$156:$DL$235,"&gt;"&amp;Inputs!$J$96)</f>
        <v>0</v>
      </c>
      <c r="DG385" s="536">
        <f>_xlfn.MINIFS($DE$242:$DE$321,$DL$242:$DL$321,"&gt;"&amp;Inputs!$J$96)</f>
        <v>1.1999999999999993</v>
      </c>
      <c r="DH385" s="537">
        <f>IF(Inputs!$F$96/3&gt;MAX(Pile!$DL$70:$DL$149),999999,IF(Pile!DE385/(Pile!DC385/1000)&gt;50,999999,IF(Pile!DE385&lt;2,999999,Pile!DE385)))</f>
        <v>999999</v>
      </c>
      <c r="DI385" s="535">
        <f>IF(Inputs!DE48="Yes",999999,IF(Pile!DF385/(Pile!DC385/1000)&gt;50,999999,IF(Pile!DF385&lt;2,999999,Pile!DF385)))</f>
        <v>999999</v>
      </c>
      <c r="DJ385" s="535">
        <f>IF(Inputs!$F$96/3&gt;MAX(Pile!$DL$242:$DL$321),999999,IF(Pile!DG385/(Pile!DC385/1000)&gt;50,999999,IF(Pile!DG385&lt;2,999999,IF(DG385&gt;25,999999,Pile!DG385))))</f>
        <v>999999</v>
      </c>
      <c r="DK385" s="537">
        <f t="shared" si="439"/>
        <v>108575051.93462116</v>
      </c>
      <c r="DL385" s="535">
        <f t="shared" si="440"/>
        <v>108575051.93462116</v>
      </c>
      <c r="DM385" s="536">
        <f t="shared" si="441"/>
        <v>108575051.93462116</v>
      </c>
      <c r="DN385" s="467">
        <f t="shared" si="442"/>
        <v>1718.3999999999999</v>
      </c>
      <c r="DO385" s="522">
        <v>3</v>
      </c>
      <c r="DP385" s="487">
        <v>1200</v>
      </c>
      <c r="DQ385" s="531">
        <f>Inputs!$D$40*3</f>
        <v>96</v>
      </c>
      <c r="DR385" s="535">
        <f>_xlfn.MINIFS($DE$70:$DE$149,$DL$70:$DL$149,"&gt;"&amp;Inputs!$J$103)</f>
        <v>0.89999999999999947</v>
      </c>
      <c r="DS385" s="535">
        <f>_xlfn.MINIFS($DE$156:$DE$235,$DL$156:$DL$235,"&gt;"&amp;Inputs!$J$103)</f>
        <v>0</v>
      </c>
      <c r="DT385" s="536">
        <f>_xlfn.MINIFS($DE$242:$DE$321,$DL$242:$DL$321,"&gt;"&amp;Inputs!$J$103)</f>
        <v>0.89999999999999947</v>
      </c>
      <c r="DU385" s="537">
        <f>IF(Inputs!$F$103/3&gt;MAX(Pile!$DL$70:$DL$149),999999,IF(Pile!DR385/(Pile!DP385/1000)&gt;50,999999,IF(Pile!DR385&lt;2,999999,Pile!DR385)))</f>
        <v>999999</v>
      </c>
      <c r="DV385" s="535">
        <f>IF(Inputs!DR48="Yes",999999,IF(Pile!DS385/(Pile!DP385/1000)&gt;50,999999,IF(Pile!DS385&lt;2,999999,Pile!DS385)))</f>
        <v>999999</v>
      </c>
      <c r="DW385" s="535">
        <f>IF(Inputs!$F$103/3&gt;MAX(Pile!$DL$242:$DL$321),999999,IF(Pile!DT385/(Pile!DP385/1000)&gt;50,999999,IF(Pile!DT385&lt;2,999999,IF(DT385&gt;25,999999,Pile!DT385))))</f>
        <v>999999</v>
      </c>
      <c r="DX385" s="537">
        <f t="shared" si="443"/>
        <v>108575051.93462116</v>
      </c>
      <c r="DY385" s="535">
        <f t="shared" si="444"/>
        <v>108575051.93462116</v>
      </c>
      <c r="DZ385" s="536">
        <f t="shared" si="445"/>
        <v>108575051.93462116</v>
      </c>
      <c r="EA385" s="467">
        <f t="shared" si="446"/>
        <v>1718.3999999999999</v>
      </c>
      <c r="EB385" s="522">
        <v>3</v>
      </c>
      <c r="EC385" s="487">
        <v>1200</v>
      </c>
      <c r="ED385" s="531">
        <f>Inputs!$D$40*3</f>
        <v>96</v>
      </c>
      <c r="EE385" s="535">
        <f>_xlfn.MINIFS($DE$70:$DE$149,$DL$70:$DL$149,"&gt;"&amp;Inputs!$J$110)</f>
        <v>0.89999999999999947</v>
      </c>
      <c r="EF385" s="535">
        <f>_xlfn.MINIFS($DE$156:$DE$235,$DL$156:$DL$235,"&gt;"&amp;Inputs!$J$110)</f>
        <v>0</v>
      </c>
      <c r="EG385" s="536">
        <f>_xlfn.MINIFS($DE$242:$DE$321,$DL$242:$DL$321,"&gt;"&amp;Inputs!$J$110)</f>
        <v>0.89999999999999947</v>
      </c>
      <c r="EH385" s="537">
        <f>IF(Inputs!$F$110/3&gt;MAX(Pile!$DL$70:$DL$149),999999,IF(Pile!EE385/(Pile!EC385/1000)&gt;50,999999,IF(Pile!EE385&lt;2,999999,Pile!EE385)))</f>
        <v>999999</v>
      </c>
      <c r="EI385" s="535">
        <f>IF(Inputs!EE48="Yes",999999,IF(Pile!EF385/(Pile!EC385/1000)&gt;50,999999,IF(Pile!EF385&lt;2,999999,Pile!EF385)))</f>
        <v>999999</v>
      </c>
      <c r="EJ385" s="535">
        <f>IF(Inputs!$F$110/3&gt;MAX(Pile!$DL$242:$DL$321),999999,IF(Pile!EG385/(Pile!EC385/1000)&gt;50,999999,IF(Pile!EG385&lt;2,999999,IF(EG385&gt;25,999999,Pile!EG385))))</f>
        <v>999999</v>
      </c>
      <c r="EK385" s="537">
        <f t="shared" si="447"/>
        <v>108575051.93462116</v>
      </c>
      <c r="EL385" s="535">
        <f t="shared" si="448"/>
        <v>108575051.93462116</v>
      </c>
      <c r="EM385" s="536">
        <f t="shared" si="449"/>
        <v>108575051.93462116</v>
      </c>
      <c r="EN385" s="467">
        <f t="shared" si="450"/>
        <v>1718.3999999999999</v>
      </c>
      <c r="EO385" s="522">
        <v>3</v>
      </c>
      <c r="EP385" s="487">
        <v>1200</v>
      </c>
      <c r="EQ385" s="531">
        <f>Inputs!$D$40*3</f>
        <v>96</v>
      </c>
      <c r="ER385" s="535">
        <f>_xlfn.MINIFS($DE$70:$DE$149,$DL$70:$DL$149,"&gt;"&amp;Inputs!$J$117)</f>
        <v>0.29999999999999982</v>
      </c>
      <c r="ES385" s="535">
        <f>_xlfn.MINIFS($DE$156:$DE$235,$DL$156:$DL$235,"&gt;"&amp;Inputs!$J$117)</f>
        <v>0</v>
      </c>
      <c r="ET385" s="536">
        <f>_xlfn.MINIFS($DE$242:$DE$321,$DL$242:$DL$321,"&gt;"&amp;Inputs!$J$117)</f>
        <v>0.29999999999999982</v>
      </c>
      <c r="EU385" s="537">
        <f>IF(Inputs!$F$117/3&gt;MAX(Pile!$DL$70:$DL$149),999999,IF(Pile!ER385/(Pile!EP385/1000)&gt;50,999999,IF(Pile!ER385&lt;2,999999,Pile!ER385)))</f>
        <v>999999</v>
      </c>
      <c r="EV385" s="535">
        <f>IF(Inputs!ER48="Yes",999999,IF(Inputs!$F$117&gt;MAX(Pile!$DG$156:$DG$235),999999,IF(Pile!ES385/(Pile!EP385/1000)&gt;50,999999,IF(Pile!ES385&lt;2,999999,Pile!ES385))))</f>
        <v>999999</v>
      </c>
      <c r="EW385" s="535">
        <f>IF(Inputs!$F$117/3&gt;MAX(Pile!$DL$242:$DL$321),999999,IF(Pile!ET385/(Pile!EP385/1000)&gt;50,999999,IF(Pile!ET385&lt;2,999999,IF(ET385&gt;25,999999,Pile!ET385))))</f>
        <v>999999</v>
      </c>
      <c r="EX385" s="537">
        <f t="shared" si="406"/>
        <v>108573333.53462115</v>
      </c>
      <c r="EY385" s="535">
        <f t="shared" si="407"/>
        <v>108573333.53462115</v>
      </c>
      <c r="EZ385" s="536">
        <f t="shared" si="408"/>
        <v>108573333.53462115</v>
      </c>
    </row>
    <row r="386" spans="2:158" ht="15">
      <c r="B386" s="541">
        <v>4</v>
      </c>
      <c r="C386" s="492">
        <v>450</v>
      </c>
      <c r="D386" s="542">
        <f>Inputs!$D$40*4</f>
        <v>128</v>
      </c>
      <c r="E386" s="543">
        <f>_xlfn.MINIFS($DE$70:$DE$149,$DG$70:$DG$149,"&gt;"&amp;Inputs!$K$40)</f>
        <v>5.6999999999999975</v>
      </c>
      <c r="F386" s="543">
        <f>_xlfn.MINIFS($DE$156:$DE$235,$DG$156:$DG$235,"&gt;"&amp;Inputs!$K$40)</f>
        <v>5.0999999999999979</v>
      </c>
      <c r="G386" s="544">
        <f>_xlfn.MINIFS($DE$242:$DE$321,$DG$242:$DG$321,"&gt;"&amp;Inputs!$K$40)</f>
        <v>5.0999999999999979</v>
      </c>
      <c r="H386" s="545">
        <f>IF(Inputs!$F$40/4&gt;MAX(Pile!$DG$70:$DG$149),999999,IF(Pile!E386/(Pile!C386/1000)&gt;50,999999,IF(Pile!E386&lt;2,999999,Pile!E386)))</f>
        <v>5.6999999999999975</v>
      </c>
      <c r="I386" s="543">
        <f>IF(Inputs!E49="Yes",999999,IF(Pile!F386/(Pile!C386/1000)&gt;50,999999,IF(Pile!F386&lt;2,999999,Pile!F386)))</f>
        <v>5.0999999999999979</v>
      </c>
      <c r="J386" s="543">
        <f>IF(Inputs!$F$40/4&gt;MAX(Pile!$DG$242:$DG$321),999999,IF(Pile!G386/(Pile!C386/1000)&gt;50,999999,IF(Pile!G386&lt;2,999999,IF(G386&gt;25,999999,Pile!G386))))</f>
        <v>5.0999999999999979</v>
      </c>
      <c r="K386" s="545">
        <f t="shared" si="409"/>
        <v>257.15786625299256</v>
      </c>
      <c r="L386" s="543">
        <f t="shared" si="410"/>
        <v>244.94335401583544</v>
      </c>
      <c r="M386" s="544">
        <f t="shared" si="411"/>
        <v>244.94335401583544</v>
      </c>
      <c r="N386" s="466">
        <f>Inputs!$D$40*G459</f>
        <v>141.12</v>
      </c>
      <c r="O386" s="541">
        <v>4</v>
      </c>
      <c r="P386" s="492">
        <v>450</v>
      </c>
      <c r="Q386" s="542">
        <f>Inputs!$D$40*4</f>
        <v>128</v>
      </c>
      <c r="R386" s="543">
        <f>_xlfn.MINIFS($DE$70:$DE$149,$DG$70:$DG$149,"&gt;"&amp;Inputs!$K$47)</f>
        <v>5.3999999999999977</v>
      </c>
      <c r="S386" s="543">
        <f>_xlfn.MINIFS($DE$156:$DE$235,$DG$156:$DG$235,"&gt;"&amp;Inputs!$K$47)</f>
        <v>5.0999999999999979</v>
      </c>
      <c r="T386" s="544">
        <f>_xlfn.MINIFS($DE$242:$DE$321,$DG$242:$DG$321,"&gt;"&amp;Inputs!$K$47)</f>
        <v>5.0999999999999979</v>
      </c>
      <c r="U386" s="545">
        <f>IF(Inputs!$F$47/4&gt;MAX(Pile!$DG$70:$DG$149),999999,IF(Pile!R386/(Pile!P386/1000)&gt;50,999999,IF(Pile!R386&lt;2,999999,Pile!R386)))</f>
        <v>5.3999999999999977</v>
      </c>
      <c r="V386" s="543">
        <f>IF(Inputs!R49="Yes",999999,IF(Pile!S386/(Pile!P386/1000)&gt;50,999999,IF(Pile!S386&lt;2,999999,Pile!S386)))</f>
        <v>5.0999999999999979</v>
      </c>
      <c r="W386" s="543">
        <f>IF(Inputs!$F$47/4&gt;MAX(Pile!$DG$242:$DG$321),999999,IF(Pile!T386/(Pile!P386/1000)&gt;50,999999,IF(Pile!T386&lt;2,999999,IF(T386&gt;25,999999,Pile!T386))))</f>
        <v>5.0999999999999979</v>
      </c>
      <c r="X386" s="545">
        <f t="shared" si="412"/>
        <v>251.050610134414</v>
      </c>
      <c r="Y386" s="543">
        <f t="shared" si="413"/>
        <v>244.94335401583544</v>
      </c>
      <c r="Z386" s="544">
        <f t="shared" si="414"/>
        <v>244.94335401583544</v>
      </c>
      <c r="AA386" s="467">
        <f t="shared" si="369"/>
        <v>141.12</v>
      </c>
      <c r="AB386" s="546">
        <v>4</v>
      </c>
      <c r="AC386" s="498">
        <v>450</v>
      </c>
      <c r="AD386" s="547">
        <f>Inputs!$D$40*4</f>
        <v>128</v>
      </c>
      <c r="AE386" s="543">
        <f>_xlfn.MINIFS($DE$70:$DE$149,$DG$70:$DG$149,"&gt;"&amp;Inputs!$K$54)</f>
        <v>5.3999999999999977</v>
      </c>
      <c r="AF386" s="543">
        <f>_xlfn.MINIFS($DE$156:$DE$235,$DG$156:$DG$235,"&gt;"&amp;Inputs!$K$54)</f>
        <v>4.799999999999998</v>
      </c>
      <c r="AG386" s="544">
        <f>_xlfn.MINIFS($DE$242:$DE$321,$DG$242:$DG$321,"&gt;"&amp;Inputs!$K$54)</f>
        <v>5.0999999999999979</v>
      </c>
      <c r="AH386" s="545">
        <f>IF(Inputs!$F$54/4&gt;MAX(Pile!$DG$70:$DG$149),999999,IF(Pile!AE386/(Pile!AC386/1000)&gt;50,999999,IF(Pile!AE386&lt;2,999999,Pile!AE386)))</f>
        <v>5.3999999999999977</v>
      </c>
      <c r="AI386" s="543">
        <f>IF(Inputs!AE49="Yes",999999,IF(Pile!AF386/(Pile!AC386/1000)&gt;50,999999,IF(Pile!AF386&lt;2,999999,Pile!AF386)))</f>
        <v>4.799999999999998</v>
      </c>
      <c r="AJ386" s="543">
        <f>IF(Inputs!$F$54/4&gt;MAX(Pile!$DG$242:$DG$321),999999,IF(Pile!AG386/(Pile!AC386/1000)&gt;50,999999,IF(Pile!AG386&lt;2,999999,IF(AG386&gt;25,999999,Pile!AG386))))</f>
        <v>5.0999999999999979</v>
      </c>
      <c r="AK386" s="545">
        <f t="shared" si="415"/>
        <v>251.050610134414</v>
      </c>
      <c r="AL386" s="543">
        <f t="shared" si="416"/>
        <v>238.83609789725691</v>
      </c>
      <c r="AM386" s="544">
        <f t="shared" si="417"/>
        <v>244.94335401583544</v>
      </c>
      <c r="AN386" s="471">
        <f t="shared" si="418"/>
        <v>141.12</v>
      </c>
      <c r="AO386" s="546">
        <v>4</v>
      </c>
      <c r="AP386" s="498">
        <v>450</v>
      </c>
      <c r="AQ386" s="547">
        <f>Inputs!$D$40*4</f>
        <v>128</v>
      </c>
      <c r="AR386" s="543">
        <f>_xlfn.MINIFS($DE$70:$DE$149,$DG$70:$DG$149,"&gt;"&amp;Inputs!$K$61)</f>
        <v>5.3999999999999977</v>
      </c>
      <c r="AS386" s="543">
        <f>_xlfn.MINIFS($DE$156:$DE$235,$DG$156:$DG$235,"&gt;"&amp;Inputs!$K$61)</f>
        <v>4.799999999999998</v>
      </c>
      <c r="AT386" s="544">
        <f>_xlfn.MINIFS($DE$242:$DE$321,$DG$242:$DG$321,"&gt;"&amp;Inputs!$K$61)</f>
        <v>4.799999999999998</v>
      </c>
      <c r="AU386" s="545">
        <f>IF(Inputs!$F$61/4&gt;MAX(Pile!$DG$70:$DG$149),999999,IF(Pile!AR386/(Pile!AP386/1000)&gt;50,999999,IF(Pile!AR386&lt;2,999999,Pile!AR386)))</f>
        <v>5.3999999999999977</v>
      </c>
      <c r="AV386" s="543">
        <f>IF(Inputs!AR49="Yes",999999,IF(Pile!AS386/(Pile!AP386/1000)&gt;50,999999,IF(Pile!AS386&lt;2,999999,Pile!AS386)))</f>
        <v>4.799999999999998</v>
      </c>
      <c r="AW386" s="543">
        <f>IF(Inputs!$F$61/4&gt;MAX(Pile!$DG$242:$DG$321),999999,IF(Pile!AT386/(Pile!AP386/1000)&gt;50,999999,IF(Pile!AT386&lt;2,999999,IF(AT386&gt;25,999999,Pile!AT386))))</f>
        <v>4.799999999999998</v>
      </c>
      <c r="AX386" s="545">
        <f t="shared" si="419"/>
        <v>251.050610134414</v>
      </c>
      <c r="AY386" s="543">
        <f t="shared" si="420"/>
        <v>238.83609789725691</v>
      </c>
      <c r="AZ386" s="544">
        <f t="shared" si="421"/>
        <v>238.83609789725691</v>
      </c>
      <c r="BA386" s="467">
        <f t="shared" si="422"/>
        <v>141.12</v>
      </c>
      <c r="BB386" s="546">
        <v>4</v>
      </c>
      <c r="BC386" s="498">
        <v>450</v>
      </c>
      <c r="BD386" s="547">
        <f>Inputs!$D$40*4</f>
        <v>128</v>
      </c>
      <c r="BE386" s="543">
        <f>_xlfn.MINIFS($DE$70:$DE$149,$DG$70:$DG$149,"&gt;"&amp;Inputs!$K$68)</f>
        <v>5.3999999999999977</v>
      </c>
      <c r="BF386" s="543">
        <f>_xlfn.MINIFS($DE$156:$DE$235,$DG$156:$DG$235,"&gt;"&amp;Inputs!$K$68)</f>
        <v>4.799999999999998</v>
      </c>
      <c r="BG386" s="544">
        <f>_xlfn.MINIFS($DE$242:$DE$321,$DG$242:$DG$321,"&gt;"&amp;Inputs!$K$68)</f>
        <v>5.0999999999999979</v>
      </c>
      <c r="BH386" s="545">
        <f>IF(Inputs!$F$68/4&gt;MAX(Pile!$DG$70:$DG$149),999999,IF(Pile!BE386/(Pile!BC386/1000)&gt;50,999999,IF(Pile!BE386&lt;2,999999,Pile!BE386)))</f>
        <v>5.3999999999999977</v>
      </c>
      <c r="BI386" s="543">
        <f>IF(Inputs!BE49="Yes",999999,IF(Pile!BF386/(Pile!BC386/1000)&gt;50,999999,IF(Pile!BF386&lt;2,999999,Pile!BF386)))</f>
        <v>4.799999999999998</v>
      </c>
      <c r="BJ386" s="543">
        <f>IF(Inputs!$F$68/4&gt;MAX(Pile!$DG$242:$DG$321),999999,IF(Pile!BG386/(Pile!BC386/1000)&gt;50,999999,IF(Pile!BG386&lt;2,999999,IF(BG386&gt;25,999999,Pile!BG386))))</f>
        <v>5.0999999999999979</v>
      </c>
      <c r="BK386" s="545">
        <f t="shared" si="423"/>
        <v>251.050610134414</v>
      </c>
      <c r="BL386" s="543">
        <f t="shared" si="424"/>
        <v>238.83609789725691</v>
      </c>
      <c r="BM386" s="544">
        <f t="shared" si="425"/>
        <v>244.94335401583544</v>
      </c>
      <c r="BN386" s="467">
        <f t="shared" si="426"/>
        <v>141.12</v>
      </c>
      <c r="BO386" s="546">
        <v>4</v>
      </c>
      <c r="BP386" s="498">
        <v>450</v>
      </c>
      <c r="BQ386" s="547">
        <f>Inputs!$D$40*4</f>
        <v>128</v>
      </c>
      <c r="BR386" s="543">
        <f>_xlfn.MINIFS($DE$70:$DE$149,$DG$70:$DG$149,"&gt;"&amp;Inputs!$K$75)</f>
        <v>5.9999999999999982</v>
      </c>
      <c r="BS386" s="543">
        <f>_xlfn.MINIFS($DE$156:$DE$235,$DG$156:$DG$235,"&gt;"&amp;Inputs!$K$75)</f>
        <v>5.3999999999999977</v>
      </c>
      <c r="BT386" s="544">
        <f>_xlfn.MINIFS($DE$242:$DE$321,$DG$242:$DG$321,"&gt;"&amp;Inputs!$K$75)</f>
        <v>5.6999999999999975</v>
      </c>
      <c r="BU386" s="545">
        <f>IF(Inputs!$F$75/4&gt;MAX(Pile!$DG$70:$DG$149),999999,IF(Pile!BR386/(Pile!BP386/1000)&gt;50,999999,IF(Pile!BR386&lt;2,999999,Pile!BR386)))</f>
        <v>5.9999999999999982</v>
      </c>
      <c r="BV386" s="543">
        <f>IF(Inputs!BR49="Yes",999999,IF(Pile!BS386/(Pile!BP386/1000)&gt;50,999999,IF(Pile!BS386&lt;2,999999,Pile!BS386)))</f>
        <v>5.3999999999999977</v>
      </c>
      <c r="BW386" s="543">
        <f>IF(Inputs!$F$75/4&gt;MAX(Pile!$DG$242:$DG$321),999999,IF(Pile!BT386/(Pile!BP386/1000)&gt;50,999999,IF(Pile!BT386&lt;2,999999,IF(BT386&gt;25,999999,Pile!BT386))))</f>
        <v>5.6999999999999975</v>
      </c>
      <c r="BX386" s="545">
        <f t="shared" si="427"/>
        <v>263.26512237157112</v>
      </c>
      <c r="BY386" s="543">
        <f t="shared" si="428"/>
        <v>251.050610134414</v>
      </c>
      <c r="BZ386" s="544">
        <f t="shared" si="429"/>
        <v>257.15786625299256</v>
      </c>
      <c r="CA386" s="467">
        <f t="shared" si="430"/>
        <v>141.12</v>
      </c>
      <c r="CB386" s="546">
        <v>4</v>
      </c>
      <c r="CC386" s="498">
        <v>450</v>
      </c>
      <c r="CD386" s="547">
        <f>Inputs!$D$40*4</f>
        <v>128</v>
      </c>
      <c r="CE386" s="543">
        <f>_xlfn.MINIFS($DE$70:$DE$149,$DG$70:$DG$149,"&gt;"&amp;Inputs!$K$82)</f>
        <v>4.4999999999999982</v>
      </c>
      <c r="CF386" s="543">
        <f>_xlfn.MINIFS($DE$156:$DE$235,$DG$156:$DG$235,"&gt;"&amp;Inputs!$K$82)</f>
        <v>4.1999999999999975</v>
      </c>
      <c r="CG386" s="544">
        <f>_xlfn.MINIFS($DE$242:$DE$321,$DG$242:$DG$321,"&gt;"&amp;Inputs!$K$82)</f>
        <v>4.1999999999999975</v>
      </c>
      <c r="CH386" s="545">
        <f>IF(Inputs!$F$82/4&gt;MAX(Pile!$DG$70:$DG$149),999999,IF(Pile!CE386/(Pile!CC386/1000)&gt;50,999999,IF(Pile!CE386&lt;2,999999,Pile!CE386)))</f>
        <v>4.4999999999999982</v>
      </c>
      <c r="CI386" s="543">
        <f>IF(Inputs!CE49="Yes",999999,IF(Pile!CF386/(Pile!CC386/1000)&gt;50,999999,IF(Pile!CF386&lt;2,999999,Pile!CF386)))</f>
        <v>4.1999999999999975</v>
      </c>
      <c r="CJ386" s="543">
        <f>IF(Inputs!$F$82/4&gt;MAX(Pile!$DG$242:$DG$321),999999,IF(Pile!CG386/(Pile!CC386/1000)&gt;50,999999,IF(Pile!CG386&lt;2,999999,IF(CG386&gt;25,999999,Pile!CG386))))</f>
        <v>4.1999999999999975</v>
      </c>
      <c r="CK386" s="545">
        <f t="shared" si="431"/>
        <v>232.72884177867834</v>
      </c>
      <c r="CL386" s="543">
        <f t="shared" si="432"/>
        <v>226.62158566009975</v>
      </c>
      <c r="CM386" s="544">
        <f t="shared" si="433"/>
        <v>226.62158566009975</v>
      </c>
      <c r="CN386" s="467">
        <f t="shared" si="434"/>
        <v>141.12</v>
      </c>
      <c r="CO386" s="546">
        <v>4</v>
      </c>
      <c r="CP386" s="498">
        <v>450</v>
      </c>
      <c r="CQ386" s="547">
        <f>Inputs!$D$40*4</f>
        <v>128</v>
      </c>
      <c r="CR386" s="543">
        <f>_xlfn.MINIFS($DE$70:$DE$149,$DG$70:$DG$149,"&gt;"&amp;Inputs!$K$89)</f>
        <v>4.1999999999999975</v>
      </c>
      <c r="CS386" s="543">
        <f>_xlfn.MINIFS($DE$156:$DE$235,$DG$156:$DG$235,"&gt;"&amp;Inputs!$K$89)</f>
        <v>3.8999999999999977</v>
      </c>
      <c r="CT386" s="544">
        <f>_xlfn.MINIFS($DE$242:$DE$321,$DG$242:$DG$321,"&gt;"&amp;Inputs!$K$89)</f>
        <v>3.8999999999999977</v>
      </c>
      <c r="CU386" s="545">
        <f>IF(Inputs!$F$89/4&gt;MAX(Pile!$DG$70:$DG$149),999999,IF(Pile!CR386/(Pile!CP386/1000)&gt;50,999999,IF(Pile!CR386&lt;2,999999,Pile!CR386)))</f>
        <v>4.1999999999999975</v>
      </c>
      <c r="CV386" s="543">
        <f>IF(Inputs!CR49="Yes",999999,IF(Pile!CS386/(Pile!CP386/1000)&gt;50,999999,IF(Pile!CS386&lt;2,999999,Pile!CS386)))</f>
        <v>3.8999999999999977</v>
      </c>
      <c r="CW386" s="543">
        <f>IF(Inputs!$F$89/4&gt;MAX(Pile!$DG$242:$DG$321),999999,IF(Pile!CT386/(Pile!CP386/1000)&gt;50,999999,IF(Pile!CT386&lt;2,999999,IF(CT386&gt;25,999999,Pile!CT386))))</f>
        <v>3.8999999999999977</v>
      </c>
      <c r="CX386" s="545">
        <f t="shared" si="435"/>
        <v>226.62158566009975</v>
      </c>
      <c r="CY386" s="543">
        <f t="shared" si="436"/>
        <v>220.51432954152122</v>
      </c>
      <c r="CZ386" s="544">
        <f t="shared" si="437"/>
        <v>220.51432954152122</v>
      </c>
      <c r="DA386" s="467">
        <f t="shared" si="438"/>
        <v>141.12</v>
      </c>
      <c r="DB386" s="546">
        <v>4</v>
      </c>
      <c r="DC386" s="498">
        <v>450</v>
      </c>
      <c r="DD386" s="547">
        <f>Inputs!$D$40*4</f>
        <v>128</v>
      </c>
      <c r="DE386" s="543">
        <f>_xlfn.MINIFS($DE$70:$DE$149,$DG$70:$DG$149,"&gt;"&amp;Inputs!$K$96)</f>
        <v>4.1999999999999975</v>
      </c>
      <c r="DF386" s="543">
        <f>_xlfn.MINIFS($DE$156:$DE$235,$DG$156:$DG$235,"&gt;"&amp;Inputs!$K$96)</f>
        <v>3.8999999999999977</v>
      </c>
      <c r="DG386" s="544">
        <f>_xlfn.MINIFS($DE$242:$DE$321,$DG$242:$DG$321,"&gt;"&amp;Inputs!$K$96)</f>
        <v>3.8999999999999977</v>
      </c>
      <c r="DH386" s="545">
        <f>IF(Inputs!$F$96/4&gt;MAX(Pile!$DG$70:$DG$149),999999,IF(Pile!DE386/(Pile!DC386/1000)&gt;50,999999,IF(Pile!DE386&lt;2,999999,Pile!DE386)))</f>
        <v>4.1999999999999975</v>
      </c>
      <c r="DI386" s="543">
        <f>IF(Inputs!DE49="Yes",999999,IF(Pile!DF386/(Pile!DC386/1000)&gt;50,999999,IF(Pile!DF386&lt;2,999999,Pile!DF386)))</f>
        <v>3.8999999999999977</v>
      </c>
      <c r="DJ386" s="543">
        <f>IF(Inputs!$F$96/4&gt;MAX(Pile!$DG$242:$DG$321),999999,IF(Pile!DG386/(Pile!DC386/1000)&gt;50,999999,IF(Pile!DG386&lt;2,999999,IF(DG386&gt;25,999999,Pile!DG386))))</f>
        <v>3.8999999999999977</v>
      </c>
      <c r="DK386" s="545">
        <f t="shared" si="439"/>
        <v>226.62158566009975</v>
      </c>
      <c r="DL386" s="543">
        <f t="shared" si="440"/>
        <v>220.51432954152122</v>
      </c>
      <c r="DM386" s="544">
        <f t="shared" si="441"/>
        <v>220.51432954152122</v>
      </c>
      <c r="DN386" s="467">
        <f t="shared" si="442"/>
        <v>141.12</v>
      </c>
      <c r="DO386" s="546">
        <v>4</v>
      </c>
      <c r="DP386" s="498">
        <v>450</v>
      </c>
      <c r="DQ386" s="547">
        <f>Inputs!$D$40*4</f>
        <v>128</v>
      </c>
      <c r="DR386" s="543">
        <f>_xlfn.MINIFS($DE$70:$DE$149,$DG$70:$DG$149,"&gt;"&amp;Inputs!$K$103)</f>
        <v>3.5999999999999979</v>
      </c>
      <c r="DS386" s="543">
        <f>_xlfn.MINIFS($DE$156:$DE$235,$DG$156:$DG$235,"&gt;"&amp;Inputs!$K$103)</f>
        <v>3.299999999999998</v>
      </c>
      <c r="DT386" s="544">
        <f>_xlfn.MINIFS($DE$242:$DE$321,$DG$242:$DG$321,"&gt;"&amp;Inputs!$K$103)</f>
        <v>3.299999999999998</v>
      </c>
      <c r="DU386" s="545">
        <f>IF(Inputs!$F$103/4&gt;MAX(Pile!$DG$70:$DG$149),999999,IF(Pile!DR386/(Pile!DP386/1000)&gt;50,999999,IF(Pile!DR386&lt;2,999999,Pile!DR386)))</f>
        <v>3.5999999999999979</v>
      </c>
      <c r="DV386" s="543">
        <f>IF(Inputs!DR49="Yes",999999,IF(Pile!DS386/(Pile!DP386/1000)&gt;50,999999,IF(Pile!DS386&lt;2,999999,Pile!DS386)))</f>
        <v>3.299999999999998</v>
      </c>
      <c r="DW386" s="543">
        <f>IF(Inputs!$F$103/4&gt;MAX(Pile!$DG$242:$DG$321),999999,IF(Pile!DT386/(Pile!DP386/1000)&gt;50,999999,IF(Pile!DT386&lt;2,999999,IF(DT386&gt;25,999999,Pile!DT386))))</f>
        <v>3.299999999999998</v>
      </c>
      <c r="DX386" s="545">
        <f t="shared" si="443"/>
        <v>214.40707342294266</v>
      </c>
      <c r="DY386" s="543">
        <f t="shared" si="444"/>
        <v>208.29981730436413</v>
      </c>
      <c r="DZ386" s="544">
        <f t="shared" si="445"/>
        <v>208.29981730436413</v>
      </c>
      <c r="EA386" s="467">
        <f t="shared" si="446"/>
        <v>141.12</v>
      </c>
      <c r="EB386" s="546">
        <v>4</v>
      </c>
      <c r="EC386" s="498">
        <v>450</v>
      </c>
      <c r="ED386" s="547">
        <f>Inputs!$D$40*4</f>
        <v>128</v>
      </c>
      <c r="EE386" s="543">
        <f>_xlfn.MINIFS($DE$70:$DE$149,$DG$70:$DG$149,"&gt;"&amp;Inputs!$K$110)</f>
        <v>3.5999999999999979</v>
      </c>
      <c r="EF386" s="543">
        <f>_xlfn.MINIFS($DE$156:$DE$235,$DG$156:$DG$235,"&gt;"&amp;Inputs!$K$110)</f>
        <v>3.299999999999998</v>
      </c>
      <c r="EG386" s="544">
        <f>_xlfn.MINIFS($DE$242:$DE$321,$DG$242:$DG$321,"&gt;"&amp;Inputs!$K$110)</f>
        <v>3.299999999999998</v>
      </c>
      <c r="EH386" s="545">
        <f>IF(Inputs!$F$110/4&gt;MAX(Pile!$DG$70:$DG$149),999999,IF(Pile!EE386/(Pile!EC386/1000)&gt;50,999999,IF(Pile!EE386&lt;2,999999,Pile!EE386)))</f>
        <v>3.5999999999999979</v>
      </c>
      <c r="EI386" s="543">
        <f>IF(Inputs!EE49="Yes",999999,IF(Pile!EF386/(Pile!EC386/1000)&gt;50,999999,IF(Pile!EF386&lt;2,999999,Pile!EF386)))</f>
        <v>3.299999999999998</v>
      </c>
      <c r="EJ386" s="543">
        <f>IF(Inputs!$F$110/4&gt;MAX(Pile!$DG$242:$DG$321),999999,IF(Pile!EG386/(Pile!EC386/1000)&gt;50,999999,IF(Pile!EG386&lt;2,999999,IF(EG386&gt;25,999999,Pile!EG386))))</f>
        <v>3.299999999999998</v>
      </c>
      <c r="EK386" s="545">
        <f t="shared" si="447"/>
        <v>214.40707342294266</v>
      </c>
      <c r="EL386" s="543">
        <f t="shared" si="448"/>
        <v>208.29981730436413</v>
      </c>
      <c r="EM386" s="544">
        <f t="shared" si="449"/>
        <v>208.29981730436413</v>
      </c>
      <c r="EN386" s="467">
        <f t="shared" si="450"/>
        <v>141.12</v>
      </c>
      <c r="EO386" s="546">
        <v>4</v>
      </c>
      <c r="EP386" s="498">
        <v>450</v>
      </c>
      <c r="EQ386" s="547">
        <f>Inputs!$D$40*4</f>
        <v>128</v>
      </c>
      <c r="ER386" s="543">
        <f>_xlfn.MINIFS($DE$70:$DE$149,$DG$70:$DG$149,"&gt;"&amp;Inputs!$K$117)</f>
        <v>0.29999999999999982</v>
      </c>
      <c r="ES386" s="543">
        <f>_xlfn.MINIFS($DE$156:$DE$235,$DG$156:$DG$235,"&gt;"&amp;Inputs!$K$117)</f>
        <v>0.29999999999999982</v>
      </c>
      <c r="ET386" s="544">
        <f>_xlfn.MINIFS($DE$242:$DE$321,$DG$242:$DG$321,"&gt;"&amp;Inputs!$K$117)</f>
        <v>0.29999999999999982</v>
      </c>
      <c r="EU386" s="545">
        <f>IF(Inputs!$F$117/4&gt;MAX(Pile!$DG$70:$DG$149),999999,IF(Pile!ER386/(Pile!EP386/1000)&gt;50,999999,IF(Pile!ER386&lt;2,999999,Pile!ER386)))</f>
        <v>999999</v>
      </c>
      <c r="EV386" s="543">
        <f>IF(Inputs!ER49="Yes",999999,IF(Inputs!$F$117&gt;MAX(Pile!$DG$156:$DG$235),999999,IF(Pile!ES386/(Pile!EP386/1000)&gt;50,999999,IF(Pile!ES386&lt;2,999999,Pile!ES386))))</f>
        <v>999999</v>
      </c>
      <c r="EW386" s="543">
        <f>IF(Inputs!$F$117/4&gt;MAX(Pile!$DG$242:$DG$321),999999,IF(Pile!ET386/(Pile!EP386/1000)&gt;50,999999,IF(Pile!ET386&lt;2,999999,IF(ET386&gt;25,999999,Pile!ET386))))</f>
        <v>999999</v>
      </c>
      <c r="EX386" s="545">
        <f t="shared" si="406"/>
        <v>20357500.037741467</v>
      </c>
      <c r="EY386" s="543">
        <f t="shared" si="407"/>
        <v>20357500.037741467</v>
      </c>
      <c r="EZ386" s="544">
        <f t="shared" si="408"/>
        <v>20357500.037741467</v>
      </c>
    </row>
    <row r="387" spans="2:158" ht="15">
      <c r="B387" s="541">
        <v>4</v>
      </c>
      <c r="C387" s="476">
        <v>600</v>
      </c>
      <c r="D387" s="551">
        <f>Inputs!$D$40*4</f>
        <v>128</v>
      </c>
      <c r="E387" s="552">
        <f>_xlfn.MINIFS($DE$70:$DE$149,$DH$70:$DH$149,"&gt;"&amp;Inputs!$K$40)</f>
        <v>3.8999999999999977</v>
      </c>
      <c r="F387" s="552">
        <f>_xlfn.MINIFS($DE$156:$DE$235,$DH$156:$DH$235,"&gt;"&amp;Inputs!$K$40)</f>
        <v>3.5999999999999979</v>
      </c>
      <c r="G387" s="553">
        <f>_xlfn.MINIFS($DE$242:$DE$321,$DH$242:$DH$321,"&gt;"&amp;Inputs!$K$40)</f>
        <v>3.5999999999999979</v>
      </c>
      <c r="H387" s="554">
        <f>IF(Inputs!$F$40/4&gt;MAX(Pile!$DH$70:$DH$149),999999,IF(Pile!E387/(Pile!C387/1000)&gt;50,999999,IF(Pile!E387&lt;2,999999,Pile!E387)))</f>
        <v>3.8999999999999977</v>
      </c>
      <c r="I387" s="552">
        <f>IF(Inputs!E50="Yes",999999,IF(Pile!F387/(Pile!C387/1000)&gt;50,999999,IF(Pile!F387&lt;2,999999,Pile!F387)))</f>
        <v>3.5999999999999979</v>
      </c>
      <c r="J387" s="552">
        <f>IF(Inputs!$F$40/4&gt;MAX(Pile!$DH$242:$DH$321),999999,IF(Pile!G387/(Pile!C387/1000)&gt;50,999999,IF(Pile!G387&lt;2,999999,IF(G387&gt;25,999999,Pile!G387))))</f>
        <v>3.5999999999999979</v>
      </c>
      <c r="K387" s="554">
        <f t="shared" si="409"/>
        <v>467.73747474048213</v>
      </c>
      <c r="L387" s="552">
        <f t="shared" si="410"/>
        <v>456.88013052967585</v>
      </c>
      <c r="M387" s="553">
        <f t="shared" si="411"/>
        <v>456.88013052967585</v>
      </c>
      <c r="N387" s="466">
        <f>Inputs!$D$40*G460</f>
        <v>326.59199999999998</v>
      </c>
      <c r="O387" s="541">
        <v>4</v>
      </c>
      <c r="P387" s="476">
        <v>600</v>
      </c>
      <c r="Q387" s="551">
        <f>Inputs!$D$40*4</f>
        <v>128</v>
      </c>
      <c r="R387" s="552">
        <f>_xlfn.MINIFS($DE$70:$DE$149,$DH$70:$DH$149,"&gt;"&amp;Inputs!$K$47)</f>
        <v>3.8999999999999977</v>
      </c>
      <c r="S387" s="552">
        <f>_xlfn.MINIFS($DE$156:$DE$235,$DH$156:$DH$235,"&gt;"&amp;Inputs!$K$47)</f>
        <v>3.5999999999999979</v>
      </c>
      <c r="T387" s="553">
        <f>_xlfn.MINIFS($DE$242:$DE$321,$DH$242:$DH$321,"&gt;"&amp;Inputs!$K$47)</f>
        <v>3.5999999999999979</v>
      </c>
      <c r="U387" s="554">
        <f>IF(Inputs!$F$47/4&gt;MAX(Pile!$DH$70:$DH$149),999999,IF(Pile!R387/(Pile!P387/1000)&gt;50,999999,IF(Pile!R387&lt;2,999999,Pile!R387)))</f>
        <v>3.8999999999999977</v>
      </c>
      <c r="V387" s="552">
        <f>IF(Inputs!R50="Yes",999999,IF(Pile!S387/(Pile!P387/1000)&gt;50,999999,IF(Pile!S387&lt;2,999999,Pile!S387)))</f>
        <v>3.5999999999999979</v>
      </c>
      <c r="W387" s="552">
        <f>IF(Inputs!$F$47/4&gt;MAX(Pile!$DH$242:$DH$321),999999,IF(Pile!T387/(Pile!P387/1000)&gt;50,999999,IF(Pile!T387&lt;2,999999,IF(T387&gt;25,999999,Pile!T387))))</f>
        <v>3.5999999999999979</v>
      </c>
      <c r="X387" s="554">
        <f t="shared" si="412"/>
        <v>467.73747474048213</v>
      </c>
      <c r="Y387" s="552">
        <f t="shared" si="413"/>
        <v>456.88013052967585</v>
      </c>
      <c r="Z387" s="553">
        <f t="shared" si="414"/>
        <v>456.88013052967585</v>
      </c>
      <c r="AA387" s="467">
        <f t="shared" si="369"/>
        <v>326.59199999999998</v>
      </c>
      <c r="AB387" s="546">
        <v>4</v>
      </c>
      <c r="AC387" s="479">
        <v>600</v>
      </c>
      <c r="AD387" s="555">
        <f>Inputs!$D$40*4</f>
        <v>128</v>
      </c>
      <c r="AE387" s="552">
        <f>_xlfn.MINIFS($DE$70:$DE$149,$DH$70:$DH$149,"&gt;"&amp;Inputs!$K$54)</f>
        <v>3.8999999999999977</v>
      </c>
      <c r="AF387" s="552">
        <f>_xlfn.MINIFS($DE$156:$DE$235,$DH$156:$DH$235,"&gt;"&amp;Inputs!$K$54)</f>
        <v>3.299999999999998</v>
      </c>
      <c r="AG387" s="553">
        <f>_xlfn.MINIFS($DE$242:$DE$321,$DH$242:$DH$321,"&gt;"&amp;Inputs!$K$54)</f>
        <v>3.5999999999999979</v>
      </c>
      <c r="AH387" s="554">
        <f>IF(Inputs!$F$54/4&gt;MAX(Pile!$DH$70:$DH$149),999999,IF(Pile!AE387/(Pile!AC387/1000)&gt;50,999999,IF(Pile!AE387&lt;2,999999,Pile!AE387)))</f>
        <v>3.8999999999999977</v>
      </c>
      <c r="AI387" s="552">
        <f>IF(Inputs!AE50="Yes",999999,IF(Pile!AF387/(Pile!AC387/1000)&gt;50,999999,IF(Pile!AF387&lt;2,999999,Pile!AF387)))</f>
        <v>3.299999999999998</v>
      </c>
      <c r="AJ387" s="552">
        <f>IF(Inputs!$F$54/4&gt;MAX(Pile!$DH$242:$DH$321),999999,IF(Pile!AG387/(Pile!AC387/1000)&gt;50,999999,IF(Pile!AG387&lt;2,999999,IF(AG387&gt;25,999999,Pile!AG387))))</f>
        <v>3.5999999999999979</v>
      </c>
      <c r="AK387" s="554">
        <f t="shared" si="415"/>
        <v>467.73747474048213</v>
      </c>
      <c r="AL387" s="552">
        <f t="shared" si="416"/>
        <v>446.02278631886952</v>
      </c>
      <c r="AM387" s="553">
        <f t="shared" si="417"/>
        <v>456.88013052967585</v>
      </c>
      <c r="AN387" s="471">
        <f t="shared" si="418"/>
        <v>326.59199999999998</v>
      </c>
      <c r="AO387" s="546">
        <v>4</v>
      </c>
      <c r="AP387" s="479">
        <v>600</v>
      </c>
      <c r="AQ387" s="555">
        <f>Inputs!$D$40*4</f>
        <v>128</v>
      </c>
      <c r="AR387" s="552">
        <f>_xlfn.MINIFS($DE$70:$DE$149,$DH$70:$DH$149,"&gt;"&amp;Inputs!$K$61)</f>
        <v>3.5999999999999979</v>
      </c>
      <c r="AS387" s="552">
        <f>_xlfn.MINIFS($DE$156:$DE$235,$DH$156:$DH$235,"&gt;"&amp;Inputs!$K$61)</f>
        <v>3.299999999999998</v>
      </c>
      <c r="AT387" s="553">
        <f>_xlfn.MINIFS($DE$242:$DE$321,$DH$242:$DH$321,"&gt;"&amp;Inputs!$K$61)</f>
        <v>3.5999999999999979</v>
      </c>
      <c r="AU387" s="554">
        <f>IF(Inputs!$F$61/4&gt;MAX(Pile!$DH$70:$DH$149),999999,IF(Pile!AR387/(Pile!AP387/1000)&gt;50,999999,IF(Pile!AR387&lt;2,999999,Pile!AR387)))</f>
        <v>3.5999999999999979</v>
      </c>
      <c r="AV387" s="552">
        <f>IF(Inputs!AR50="Yes",999999,IF(Pile!AS387/(Pile!AP387/1000)&gt;50,999999,IF(Pile!AS387&lt;2,999999,Pile!AS387)))</f>
        <v>3.299999999999998</v>
      </c>
      <c r="AW387" s="552">
        <f>IF(Inputs!$F$61/4&gt;MAX(Pile!$DH$242:$DH$321),999999,IF(Pile!AT387/(Pile!AP387/1000)&gt;50,999999,IF(Pile!AT387&lt;2,999999,IF(AT387&gt;25,999999,Pile!AT387))))</f>
        <v>3.5999999999999979</v>
      </c>
      <c r="AX387" s="554">
        <f t="shared" si="419"/>
        <v>456.88013052967585</v>
      </c>
      <c r="AY387" s="552">
        <f t="shared" si="420"/>
        <v>446.02278631886952</v>
      </c>
      <c r="AZ387" s="553">
        <f t="shared" si="421"/>
        <v>456.88013052967585</v>
      </c>
      <c r="BA387" s="467">
        <f t="shared" si="422"/>
        <v>326.59199999999998</v>
      </c>
      <c r="BB387" s="546">
        <v>4</v>
      </c>
      <c r="BC387" s="479">
        <v>600</v>
      </c>
      <c r="BD387" s="555">
        <f>Inputs!$D$40*4</f>
        <v>128</v>
      </c>
      <c r="BE387" s="552">
        <f>_xlfn.MINIFS($DE$70:$DE$149,$DH$70:$DH$149,"&gt;"&amp;Inputs!$K$68)</f>
        <v>3.8999999999999977</v>
      </c>
      <c r="BF387" s="552">
        <f>_xlfn.MINIFS($DE$156:$DE$235,$DH$156:$DH$235,"&gt;"&amp;Inputs!$K$68)</f>
        <v>3.299999999999998</v>
      </c>
      <c r="BG387" s="553">
        <f>_xlfn.MINIFS($DE$242:$DE$321,$DH$242:$DH$321,"&gt;"&amp;Inputs!$K$68)</f>
        <v>3.5999999999999979</v>
      </c>
      <c r="BH387" s="554">
        <f>IF(Inputs!$F$68/4&gt;MAX(Pile!$DH$70:$DH$149),999999,IF(Pile!BE387/(Pile!BC387/1000)&gt;50,999999,IF(Pile!BE387&lt;2,999999,Pile!BE387)))</f>
        <v>3.8999999999999977</v>
      </c>
      <c r="BI387" s="552">
        <f>IF(Inputs!BE50="Yes",999999,IF(Pile!BF387/(Pile!BC387/1000)&gt;50,999999,IF(Pile!BF387&lt;2,999999,Pile!BF387)))</f>
        <v>3.299999999999998</v>
      </c>
      <c r="BJ387" s="552">
        <f>IF(Inputs!$F$68/4&gt;MAX(Pile!$DH$242:$DH$321),999999,IF(Pile!BG387/(Pile!BC387/1000)&gt;50,999999,IF(Pile!BG387&lt;2,999999,IF(BG387&gt;25,999999,Pile!BG387))))</f>
        <v>3.5999999999999979</v>
      </c>
      <c r="BK387" s="554">
        <f t="shared" si="423"/>
        <v>467.73747474048213</v>
      </c>
      <c r="BL387" s="552">
        <f t="shared" si="424"/>
        <v>446.02278631886952</v>
      </c>
      <c r="BM387" s="553">
        <f t="shared" si="425"/>
        <v>456.88013052967585</v>
      </c>
      <c r="BN387" s="467">
        <f t="shared" si="426"/>
        <v>326.59199999999998</v>
      </c>
      <c r="BO387" s="546">
        <v>4</v>
      </c>
      <c r="BP387" s="479">
        <v>600</v>
      </c>
      <c r="BQ387" s="555">
        <f>Inputs!$D$40*4</f>
        <v>128</v>
      </c>
      <c r="BR387" s="552">
        <f>_xlfn.MINIFS($DE$70:$DE$149,$DH$70:$DH$149,"&gt;"&amp;Inputs!$K$75)</f>
        <v>4.1999999999999975</v>
      </c>
      <c r="BS387" s="552">
        <f>_xlfn.MINIFS($DE$156:$DE$235,$DH$156:$DH$235,"&gt;"&amp;Inputs!$K$75)</f>
        <v>3.8999999999999977</v>
      </c>
      <c r="BT387" s="553">
        <f>_xlfn.MINIFS($DE$242:$DE$321,$DH$242:$DH$321,"&gt;"&amp;Inputs!$K$75)</f>
        <v>3.8999999999999977</v>
      </c>
      <c r="BU387" s="554">
        <f>IF(Inputs!$F$75/4&gt;MAX(Pile!$DH$70:$DH$149),999999,IF(Pile!BR387/(Pile!BP387/1000)&gt;50,999999,IF(Pile!BR387&lt;2,999999,Pile!BR387)))</f>
        <v>4.1999999999999975</v>
      </c>
      <c r="BV387" s="552">
        <f>IF(Inputs!BR50="Yes",999999,IF(Pile!BS387/(Pile!BP387/1000)&gt;50,999999,IF(Pile!BS387&lt;2,999999,Pile!BS387)))</f>
        <v>3.8999999999999977</v>
      </c>
      <c r="BW387" s="552">
        <f>IF(Inputs!$F$75/4&gt;MAX(Pile!$DH$242:$DH$321),999999,IF(Pile!BT387/(Pile!BP387/1000)&gt;50,999999,IF(Pile!BT387&lt;2,999999,IF(BT387&gt;25,999999,Pile!BT387))))</f>
        <v>3.8999999999999977</v>
      </c>
      <c r="BX387" s="554">
        <f t="shared" si="427"/>
        <v>478.59481895128846</v>
      </c>
      <c r="BY387" s="552">
        <f t="shared" si="428"/>
        <v>467.73747474048213</v>
      </c>
      <c r="BZ387" s="553">
        <f t="shared" si="429"/>
        <v>467.73747474048213</v>
      </c>
      <c r="CA387" s="467">
        <f t="shared" si="430"/>
        <v>326.59199999999998</v>
      </c>
      <c r="CB387" s="546">
        <v>4</v>
      </c>
      <c r="CC387" s="479">
        <v>600</v>
      </c>
      <c r="CD387" s="555">
        <f>Inputs!$D$40*4</f>
        <v>128</v>
      </c>
      <c r="CE387" s="552">
        <f>_xlfn.MINIFS($DE$70:$DE$149,$DH$70:$DH$149,"&gt;"&amp;Inputs!$K$82)</f>
        <v>2.9999999999999982</v>
      </c>
      <c r="CF387" s="552">
        <f>_xlfn.MINIFS($DE$156:$DE$235,$DH$156:$DH$235,"&gt;"&amp;Inputs!$K$82)</f>
        <v>2.6999999999999984</v>
      </c>
      <c r="CG387" s="553">
        <f>_xlfn.MINIFS($DE$242:$DE$321,$DH$242:$DH$321,"&gt;"&amp;Inputs!$K$82)</f>
        <v>2.9999999999999982</v>
      </c>
      <c r="CH387" s="554">
        <f>IF(Inputs!$F$82/4&gt;MAX(Pile!$DH$70:$DH$149),999999,IF(Pile!CE387/(Pile!CC387/1000)&gt;50,999999,IF(Pile!CE387&lt;2,999999,Pile!CE387)))</f>
        <v>2.9999999999999982</v>
      </c>
      <c r="CI387" s="552">
        <f>IF(Inputs!CE50="Yes",999999,IF(Pile!CF387/(Pile!CC387/1000)&gt;50,999999,IF(Pile!CF387&lt;2,999999,Pile!CF387)))</f>
        <v>2.6999999999999984</v>
      </c>
      <c r="CJ387" s="552">
        <f>IF(Inputs!$F$82/4&gt;MAX(Pile!$DH$242:$DH$321),999999,IF(Pile!CG387/(Pile!CC387/1000)&gt;50,999999,IF(Pile!CG387&lt;2,999999,IF(CG387&gt;25,999999,Pile!CG387))))</f>
        <v>2.9999999999999982</v>
      </c>
      <c r="CK387" s="554">
        <f t="shared" si="431"/>
        <v>435.16544210806319</v>
      </c>
      <c r="CL387" s="552">
        <f t="shared" si="432"/>
        <v>424.30809789725686</v>
      </c>
      <c r="CM387" s="553">
        <f t="shared" si="433"/>
        <v>435.16544210806319</v>
      </c>
      <c r="CN387" s="467">
        <f t="shared" si="434"/>
        <v>326.59199999999998</v>
      </c>
      <c r="CO387" s="546">
        <v>4</v>
      </c>
      <c r="CP387" s="479">
        <v>600</v>
      </c>
      <c r="CQ387" s="555">
        <f>Inputs!$D$40*4</f>
        <v>128</v>
      </c>
      <c r="CR387" s="552">
        <f>_xlfn.MINIFS($DE$70:$DE$149,$DH$70:$DH$149,"&gt;"&amp;Inputs!$K$89)</f>
        <v>2.9999999999999982</v>
      </c>
      <c r="CS387" s="552">
        <f>_xlfn.MINIFS($DE$156:$DE$235,$DH$156:$DH$235,"&gt;"&amp;Inputs!$K$89)</f>
        <v>2.6999999999999984</v>
      </c>
      <c r="CT387" s="553">
        <f>_xlfn.MINIFS($DE$242:$DE$321,$DH$242:$DH$321,"&gt;"&amp;Inputs!$K$89)</f>
        <v>2.6999999999999984</v>
      </c>
      <c r="CU387" s="554">
        <f>IF(Inputs!$F$89/4&gt;MAX(Pile!$DH$70:$DH$149),999999,IF(Pile!CR387/(Pile!CP387/1000)&gt;50,999999,IF(Pile!CR387&lt;2,999999,Pile!CR387)))</f>
        <v>2.9999999999999982</v>
      </c>
      <c r="CV387" s="552">
        <f>IF(Inputs!CR50="Yes",999999,IF(Pile!CS387/(Pile!CP387/1000)&gt;50,999999,IF(Pile!CS387&lt;2,999999,Pile!CS387)))</f>
        <v>2.6999999999999984</v>
      </c>
      <c r="CW387" s="552">
        <f>IF(Inputs!$F$89/4&gt;MAX(Pile!$DH$242:$DH$321),999999,IF(Pile!CT387/(Pile!CP387/1000)&gt;50,999999,IF(Pile!CT387&lt;2,999999,IF(CT387&gt;25,999999,Pile!CT387))))</f>
        <v>2.6999999999999984</v>
      </c>
      <c r="CX387" s="554">
        <f t="shared" si="435"/>
        <v>435.16544210806319</v>
      </c>
      <c r="CY387" s="552">
        <f t="shared" si="436"/>
        <v>424.30809789725686</v>
      </c>
      <c r="CZ387" s="553">
        <f t="shared" si="437"/>
        <v>424.30809789725686</v>
      </c>
      <c r="DA387" s="467">
        <f t="shared" si="438"/>
        <v>326.59199999999998</v>
      </c>
      <c r="DB387" s="546">
        <v>4</v>
      </c>
      <c r="DC387" s="479">
        <v>600</v>
      </c>
      <c r="DD387" s="555">
        <f>Inputs!$D$40*4</f>
        <v>128</v>
      </c>
      <c r="DE387" s="552">
        <f>_xlfn.MINIFS($DE$70:$DE$149,$DH$70:$DH$149,"&gt;"&amp;Inputs!$K$96)</f>
        <v>2.9999999999999982</v>
      </c>
      <c r="DF387" s="552">
        <f>_xlfn.MINIFS($DE$156:$DE$235,$DH$156:$DH$235,"&gt;"&amp;Inputs!$K$96)</f>
        <v>2.6999999999999984</v>
      </c>
      <c r="DG387" s="553">
        <f>_xlfn.MINIFS($DE$242:$DE$321,$DH$242:$DH$321,"&gt;"&amp;Inputs!$K$96)</f>
        <v>2.6999999999999984</v>
      </c>
      <c r="DH387" s="554">
        <f>IF(Inputs!$F$96/4&gt;MAX(Pile!$DH$70:$DH$149),999999,IF(Pile!DE387/(Pile!DC387/1000)&gt;50,999999,IF(Pile!DE387&lt;2,999999,Pile!DE387)))</f>
        <v>2.9999999999999982</v>
      </c>
      <c r="DI387" s="552">
        <f>IF(Inputs!DE50="Yes",999999,IF(Pile!DF387/(Pile!DC387/1000)&gt;50,999999,IF(Pile!DF387&lt;2,999999,Pile!DF387)))</f>
        <v>2.6999999999999984</v>
      </c>
      <c r="DJ387" s="552">
        <f>IF(Inputs!$F$96/4&gt;MAX(Pile!$DH$242:$DH$321),999999,IF(Pile!DG387/(Pile!DC387/1000)&gt;50,999999,IF(Pile!DG387&lt;2,999999,IF(DG387&gt;25,999999,Pile!DG387))))</f>
        <v>2.6999999999999984</v>
      </c>
      <c r="DK387" s="554">
        <f t="shared" si="439"/>
        <v>435.16544210806319</v>
      </c>
      <c r="DL387" s="552">
        <f t="shared" si="440"/>
        <v>424.30809789725686</v>
      </c>
      <c r="DM387" s="553">
        <f t="shared" si="441"/>
        <v>424.30809789725686</v>
      </c>
      <c r="DN387" s="467">
        <f t="shared" si="442"/>
        <v>326.59199999999998</v>
      </c>
      <c r="DO387" s="546">
        <v>4</v>
      </c>
      <c r="DP387" s="479">
        <v>600</v>
      </c>
      <c r="DQ387" s="555">
        <f>Inputs!$D$40*4</f>
        <v>128</v>
      </c>
      <c r="DR387" s="552">
        <f>_xlfn.MINIFS($DE$70:$DE$149,$DH$70:$DH$149,"&gt;"&amp;Inputs!$K$103)</f>
        <v>2.3999999999999986</v>
      </c>
      <c r="DS387" s="552">
        <f>_xlfn.MINIFS($DE$156:$DE$235,$DH$156:$DH$235,"&gt;"&amp;Inputs!$K$103)</f>
        <v>2.0999999999999988</v>
      </c>
      <c r="DT387" s="553">
        <f>_xlfn.MINIFS($DE$242:$DE$321,$DH$242:$DH$321,"&gt;"&amp;Inputs!$K$103)</f>
        <v>2.3999999999999986</v>
      </c>
      <c r="DU387" s="554">
        <f>IF(Inputs!$F$103/4&gt;MAX(Pile!$DH$70:$DH$149),999999,IF(Pile!DR387/(Pile!DP387/1000)&gt;50,999999,IF(Pile!DR387&lt;2,999999,Pile!DR387)))</f>
        <v>2.3999999999999986</v>
      </c>
      <c r="DV387" s="552">
        <f>IF(Inputs!DR50="Yes",999999,IF(Pile!DS387/(Pile!DP387/1000)&gt;50,999999,IF(Pile!DS387&lt;2,999999,Pile!DS387)))</f>
        <v>2.0999999999999988</v>
      </c>
      <c r="DW387" s="552">
        <f>IF(Inputs!$F$103/4&gt;MAX(Pile!$DH$242:$DH$321),999999,IF(Pile!DT387/(Pile!DP387/1000)&gt;50,999999,IF(Pile!DT387&lt;2,999999,IF(DT387&gt;25,999999,Pile!DT387))))</f>
        <v>2.3999999999999986</v>
      </c>
      <c r="DX387" s="554">
        <f t="shared" si="443"/>
        <v>413.45075368645053</v>
      </c>
      <c r="DY387" s="552">
        <f t="shared" si="444"/>
        <v>402.59340947564419</v>
      </c>
      <c r="DZ387" s="553">
        <f t="shared" si="445"/>
        <v>413.45075368645053</v>
      </c>
      <c r="EA387" s="467">
        <f t="shared" si="446"/>
        <v>326.59199999999998</v>
      </c>
      <c r="EB387" s="546">
        <v>4</v>
      </c>
      <c r="EC387" s="479">
        <v>600</v>
      </c>
      <c r="ED387" s="555">
        <f>Inputs!$D$40*4</f>
        <v>128</v>
      </c>
      <c r="EE387" s="552">
        <f>_xlfn.MINIFS($DE$70:$DE$149,$DH$70:$DH$149,"&gt;"&amp;Inputs!$K$110)</f>
        <v>2.3999999999999986</v>
      </c>
      <c r="EF387" s="552">
        <f>_xlfn.MINIFS($DE$156:$DE$235,$DH$156:$DH$235,"&gt;"&amp;Inputs!$K$110)</f>
        <v>2.0999999999999988</v>
      </c>
      <c r="EG387" s="553">
        <f>_xlfn.MINIFS($DE$242:$DE$321,$DH$242:$DH$321,"&gt;"&amp;Inputs!$K$110)</f>
        <v>2.3999999999999986</v>
      </c>
      <c r="EH387" s="554">
        <f>IF(Inputs!$F$110/4&gt;MAX(Pile!$DH$70:$DH$149),999999,IF(Pile!EE387/(Pile!EC387/1000)&gt;50,999999,IF(Pile!EE387&lt;2,999999,Pile!EE387)))</f>
        <v>2.3999999999999986</v>
      </c>
      <c r="EI387" s="552">
        <f>IF(Inputs!EE50="Yes",999999,IF(Pile!EF387/(Pile!EC387/1000)&gt;50,999999,IF(Pile!EF387&lt;2,999999,Pile!EF387)))</f>
        <v>2.0999999999999988</v>
      </c>
      <c r="EJ387" s="552">
        <f>IF(Inputs!$F$110/4&gt;MAX(Pile!$DH$242:$DH$321),999999,IF(Pile!EG387/(Pile!EC387/1000)&gt;50,999999,IF(Pile!EG387&lt;2,999999,IF(EG387&gt;25,999999,Pile!EG387))))</f>
        <v>2.3999999999999986</v>
      </c>
      <c r="EK387" s="554">
        <f t="shared" si="447"/>
        <v>413.45075368645053</v>
      </c>
      <c r="EL387" s="552">
        <f t="shared" si="448"/>
        <v>402.59340947564419</v>
      </c>
      <c r="EM387" s="553">
        <f t="shared" si="449"/>
        <v>413.45075368645053</v>
      </c>
      <c r="EN387" s="467">
        <f t="shared" si="450"/>
        <v>326.59199999999998</v>
      </c>
      <c r="EO387" s="546">
        <v>4</v>
      </c>
      <c r="EP387" s="479">
        <v>600</v>
      </c>
      <c r="EQ387" s="555">
        <f>Inputs!$D$40*4</f>
        <v>128</v>
      </c>
      <c r="ER387" s="552">
        <f>_xlfn.MINIFS($DE$70:$DE$149,$DH$70:$DH$149,"&gt;"&amp;Inputs!$K$117)</f>
        <v>0.29999999999999982</v>
      </c>
      <c r="ES387" s="552">
        <f>_xlfn.MINIFS($DE$156:$DE$235,$DH$156:$DH$235,"&gt;"&amp;Inputs!$K$117)</f>
        <v>0.29999999999999982</v>
      </c>
      <c r="ET387" s="553">
        <f>_xlfn.MINIFS($DE$242:$DE$321,$DH$242:$DH$321,"&gt;"&amp;Inputs!$K$117)</f>
        <v>0.29999999999999982</v>
      </c>
      <c r="EU387" s="554">
        <f>IF(Inputs!$F$117/4&gt;MAX(Pile!$DH$70:$DH$149),999999,IF(Pile!ER387/(Pile!EP387/1000)&gt;50,999999,IF(Pile!ER387&lt;2,999999,Pile!ER387)))</f>
        <v>999999</v>
      </c>
      <c r="EV387" s="552">
        <f>IF(Inputs!ER50="Yes",999999,IF(Inputs!$F$117&gt;MAX(Pile!$DG$156:$DG$235),999999,IF(Pile!ES387/(Pile!EP387/1000)&gt;50,999999,IF(Pile!ES387&lt;2,999999,Pile!ES387))))</f>
        <v>999999</v>
      </c>
      <c r="EW387" s="552">
        <f>IF(Inputs!$F$117/4&gt;MAX(Pile!$DH$242:$DH$321),999999,IF(Pile!ET387/(Pile!EP387/1000)&gt;50,999999,IF(Pile!ET387&lt;2,999999,IF(ET387&gt;25,999999,Pile!ET387))))</f>
        <v>999999</v>
      </c>
      <c r="EX387" s="554">
        <f t="shared" si="406"/>
        <v>36191111.178207047</v>
      </c>
      <c r="EY387" s="552">
        <f t="shared" si="407"/>
        <v>36191111.178207047</v>
      </c>
      <c r="EZ387" s="553">
        <f t="shared" si="408"/>
        <v>36191111.178207047</v>
      </c>
      <c r="FA387" s="434"/>
      <c r="FB387" s="434"/>
    </row>
    <row r="388" spans="2:158" ht="15">
      <c r="B388" s="541">
        <v>4</v>
      </c>
      <c r="C388" s="476">
        <v>750</v>
      </c>
      <c r="D388" s="551">
        <f>Inputs!$D$40*4</f>
        <v>128</v>
      </c>
      <c r="E388" s="552">
        <f>_xlfn.MINIFS($DE$70:$DE$149,$DI$70:$DI$149,"&gt;"&amp;Inputs!$K$40)</f>
        <v>2.6999999999999984</v>
      </c>
      <c r="F388" s="552">
        <f>_xlfn.MINIFS($DE$156:$DE$235,$DI$156:$DI$235,"&gt;"&amp;Inputs!$K$40)</f>
        <v>2.3999999999999986</v>
      </c>
      <c r="G388" s="553">
        <f>_xlfn.MINIFS($DE$242:$DE$321,$DI$242:$DI$321,"&gt;"&amp;Inputs!$K$40)</f>
        <v>2.6999999999999984</v>
      </c>
      <c r="H388" s="554">
        <f>IF(Inputs!$F$40/4&gt;MAX(Pile!$DI$70:$DI$149),999999,IF(Pile!E388/(Pile!C388/1000)&gt;50,999999,IF(Pile!E388&lt;2,999999,Pile!E388)))</f>
        <v>2.6999999999999984</v>
      </c>
      <c r="I388" s="552">
        <f>IF(Inputs!E51="Yes",999999,IF(Pile!F388/(Pile!C388/1000)&gt;50,999999,IF(Pile!F388&lt;2,999999,Pile!F388)))</f>
        <v>2.3999999999999986</v>
      </c>
      <c r="J388" s="552">
        <f>IF(Inputs!$F$40/4&gt;MAX(Pile!$DI$242:$DI$321),999999,IF(Pile!G388/(Pile!C388/1000)&gt;50,999999,IF(Pile!G388&lt;2,999999,IF(G388&gt;25,999999,Pile!G388))))</f>
        <v>2.6999999999999984</v>
      </c>
      <c r="K388" s="554">
        <f t="shared" si="409"/>
        <v>779.94540296446371</v>
      </c>
      <c r="L388" s="552">
        <f t="shared" si="410"/>
        <v>762.98080263507882</v>
      </c>
      <c r="M388" s="553">
        <f t="shared" si="411"/>
        <v>779.94540296446371</v>
      </c>
      <c r="N388" s="466">
        <f>Inputs!$D$40*G461</f>
        <v>627.2639999999999</v>
      </c>
      <c r="O388" s="541">
        <v>4</v>
      </c>
      <c r="P388" s="476">
        <v>750</v>
      </c>
      <c r="Q388" s="551">
        <f>Inputs!$D$40*4</f>
        <v>128</v>
      </c>
      <c r="R388" s="552">
        <f>_xlfn.MINIFS($DE$70:$DE$149,$DI$70:$DI$149,"&gt;"&amp;Inputs!$K$47)</f>
        <v>2.6999999999999984</v>
      </c>
      <c r="S388" s="552">
        <f>_xlfn.MINIFS($DE$156:$DE$235,$DI$156:$DI$235,"&gt;"&amp;Inputs!$K$47)</f>
        <v>2.3999999999999986</v>
      </c>
      <c r="T388" s="553">
        <f>_xlfn.MINIFS($DE$242:$DE$321,$DI$242:$DI$321,"&gt;"&amp;Inputs!$K$47)</f>
        <v>2.6999999999999984</v>
      </c>
      <c r="U388" s="554">
        <f>IF(Inputs!$F$47/4&gt;MAX(Pile!$DI$70:$DI$149),999999,IF(Pile!R388/(Pile!P388/1000)&gt;50,999999,IF(Pile!R388&lt;2,999999,Pile!R388)))</f>
        <v>2.6999999999999984</v>
      </c>
      <c r="V388" s="552">
        <f>IF(Inputs!R51="Yes",999999,IF(Pile!S388/(Pile!P388/1000)&gt;50,999999,IF(Pile!S388&lt;2,999999,Pile!S388)))</f>
        <v>2.3999999999999986</v>
      </c>
      <c r="W388" s="552">
        <f>IF(Inputs!$F$47/4&gt;MAX(Pile!$DI$242:$DI$321),999999,IF(Pile!T388/(Pile!P388/1000)&gt;50,999999,IF(Pile!T388&lt;2,999999,IF(T388&gt;25,999999,Pile!T388))))</f>
        <v>2.6999999999999984</v>
      </c>
      <c r="X388" s="554">
        <f t="shared" si="412"/>
        <v>779.94540296446371</v>
      </c>
      <c r="Y388" s="552">
        <f t="shared" si="413"/>
        <v>762.98080263507882</v>
      </c>
      <c r="Z388" s="553">
        <f t="shared" si="414"/>
        <v>779.94540296446371</v>
      </c>
      <c r="AA388" s="467">
        <f t="shared" si="369"/>
        <v>627.2639999999999</v>
      </c>
      <c r="AB388" s="546">
        <v>4</v>
      </c>
      <c r="AC388" s="479">
        <v>750</v>
      </c>
      <c r="AD388" s="555">
        <f>Inputs!$D$40*4</f>
        <v>128</v>
      </c>
      <c r="AE388" s="552">
        <f>_xlfn.MINIFS($DE$70:$DE$149,$DI$70:$DI$149,"&gt;"&amp;Inputs!$K$54)</f>
        <v>2.6999999999999984</v>
      </c>
      <c r="AF388" s="552">
        <f>_xlfn.MINIFS($DE$156:$DE$235,$DI$156:$DI$235,"&gt;"&amp;Inputs!$K$54)</f>
        <v>2.3999999999999986</v>
      </c>
      <c r="AG388" s="553">
        <f>_xlfn.MINIFS($DE$242:$DE$321,$DI$242:$DI$321,"&gt;"&amp;Inputs!$K$54)</f>
        <v>2.6999999999999984</v>
      </c>
      <c r="AH388" s="554">
        <f>IF(Inputs!$F$54/4&gt;MAX(Pile!$DI$70:$DI$149),999999,IF(Pile!AE388/(Pile!AC388/1000)&gt;50,999999,IF(Pile!AE388&lt;2,999999,Pile!AE388)))</f>
        <v>2.6999999999999984</v>
      </c>
      <c r="AI388" s="552">
        <f>IF(Inputs!AE51="Yes",999999,IF(Pile!AF388/(Pile!AC388/1000)&gt;50,999999,IF(Pile!AF388&lt;2,999999,Pile!AF388)))</f>
        <v>2.3999999999999986</v>
      </c>
      <c r="AJ388" s="552">
        <f>IF(Inputs!$F$54/4&gt;MAX(Pile!$DI$242:$DI$321),999999,IF(Pile!AG388/(Pile!AC388/1000)&gt;50,999999,IF(Pile!AG388&lt;2,999999,IF(AG388&gt;25,999999,Pile!AG388))))</f>
        <v>2.6999999999999984</v>
      </c>
      <c r="AK388" s="554">
        <f t="shared" si="415"/>
        <v>779.94540296446371</v>
      </c>
      <c r="AL388" s="552">
        <f t="shared" si="416"/>
        <v>762.98080263507882</v>
      </c>
      <c r="AM388" s="553">
        <f t="shared" si="417"/>
        <v>779.94540296446371</v>
      </c>
      <c r="AN388" s="471">
        <f t="shared" si="418"/>
        <v>627.2639999999999</v>
      </c>
      <c r="AO388" s="546">
        <v>4</v>
      </c>
      <c r="AP388" s="479">
        <v>750</v>
      </c>
      <c r="AQ388" s="555">
        <f>Inputs!$D$40*4</f>
        <v>128</v>
      </c>
      <c r="AR388" s="552">
        <f>_xlfn.MINIFS($DE$70:$DE$149,$DI$70:$DI$149,"&gt;"&amp;Inputs!$K$61)</f>
        <v>2.6999999999999984</v>
      </c>
      <c r="AS388" s="552">
        <f>_xlfn.MINIFS($DE$156:$DE$235,$DI$156:$DI$235,"&gt;"&amp;Inputs!$K$61)</f>
        <v>2.3999999999999986</v>
      </c>
      <c r="AT388" s="553">
        <f>_xlfn.MINIFS($DE$242:$DE$321,$DI$242:$DI$321,"&gt;"&amp;Inputs!$K$61)</f>
        <v>2.6999999999999984</v>
      </c>
      <c r="AU388" s="554">
        <f>IF(Inputs!$F$61/4&gt;MAX(Pile!$DI$70:$DI$149),999999,IF(Pile!AR388/(Pile!AP388/1000)&gt;50,999999,IF(Pile!AR388&lt;2,999999,Pile!AR388)))</f>
        <v>2.6999999999999984</v>
      </c>
      <c r="AV388" s="552">
        <f>IF(Inputs!AR51="Yes",999999,IF(Pile!AS388/(Pile!AP388/1000)&gt;50,999999,IF(Pile!AS388&lt;2,999999,Pile!AS388)))</f>
        <v>2.3999999999999986</v>
      </c>
      <c r="AW388" s="552">
        <f>IF(Inputs!$F$61/4&gt;MAX(Pile!$DI$242:$DI$321),999999,IF(Pile!AT388/(Pile!AP388/1000)&gt;50,999999,IF(Pile!AT388&lt;2,999999,IF(AT388&gt;25,999999,Pile!AT388))))</f>
        <v>2.6999999999999984</v>
      </c>
      <c r="AX388" s="554">
        <f t="shared" si="419"/>
        <v>779.94540296446371</v>
      </c>
      <c r="AY388" s="552">
        <f t="shared" si="420"/>
        <v>762.98080263507882</v>
      </c>
      <c r="AZ388" s="553">
        <f t="shared" si="421"/>
        <v>779.94540296446371</v>
      </c>
      <c r="BA388" s="467">
        <f t="shared" si="422"/>
        <v>627.2639999999999</v>
      </c>
      <c r="BB388" s="546">
        <v>4</v>
      </c>
      <c r="BC388" s="479">
        <v>750</v>
      </c>
      <c r="BD388" s="555">
        <f>Inputs!$D$40*4</f>
        <v>128</v>
      </c>
      <c r="BE388" s="552">
        <f>_xlfn.MINIFS($DE$70:$DE$149,$DI$70:$DI$149,"&gt;"&amp;Inputs!$K$68)</f>
        <v>2.6999999999999984</v>
      </c>
      <c r="BF388" s="552">
        <f>_xlfn.MINIFS($DE$156:$DE$235,$DI$156:$DI$235,"&gt;"&amp;Inputs!$K$68)</f>
        <v>2.3999999999999986</v>
      </c>
      <c r="BG388" s="553">
        <f>_xlfn.MINIFS($DE$242:$DE$321,$DI$242:$DI$321,"&gt;"&amp;Inputs!$K$68)</f>
        <v>2.6999999999999984</v>
      </c>
      <c r="BH388" s="554">
        <f>IF(Inputs!$F$68/4&gt;MAX(Pile!$DI$70:$DI$149),999999,IF(Pile!BE388/(Pile!BC388/1000)&gt;50,999999,IF(Pile!BE388&lt;2,999999,Pile!BE388)))</f>
        <v>2.6999999999999984</v>
      </c>
      <c r="BI388" s="552">
        <f>IF(Inputs!BE51="Yes",999999,IF(Pile!BF388/(Pile!BC388/1000)&gt;50,999999,IF(Pile!BF388&lt;2,999999,Pile!BF388)))</f>
        <v>2.3999999999999986</v>
      </c>
      <c r="BJ388" s="552">
        <f>IF(Inputs!$F$68/4&gt;MAX(Pile!$DI$242:$DI$321),999999,IF(Pile!BG388/(Pile!BC388/1000)&gt;50,999999,IF(Pile!BG388&lt;2,999999,IF(BG388&gt;25,999999,Pile!BG388))))</f>
        <v>2.6999999999999984</v>
      </c>
      <c r="BK388" s="554">
        <f t="shared" si="423"/>
        <v>779.94540296446371</v>
      </c>
      <c r="BL388" s="552">
        <f t="shared" si="424"/>
        <v>762.98080263507882</v>
      </c>
      <c r="BM388" s="553">
        <f t="shared" si="425"/>
        <v>779.94540296446371</v>
      </c>
      <c r="BN388" s="467">
        <f t="shared" si="426"/>
        <v>627.2639999999999</v>
      </c>
      <c r="BO388" s="546">
        <v>4</v>
      </c>
      <c r="BP388" s="479">
        <v>750</v>
      </c>
      <c r="BQ388" s="555">
        <f>Inputs!$D$40*4</f>
        <v>128</v>
      </c>
      <c r="BR388" s="552">
        <f>_xlfn.MINIFS($DE$70:$DE$149,$DI$70:$DI$149,"&gt;"&amp;Inputs!$K$75)</f>
        <v>2.9999999999999982</v>
      </c>
      <c r="BS388" s="552">
        <f>_xlfn.MINIFS($DE$156:$DE$235,$DI$156:$DI$235,"&gt;"&amp;Inputs!$K$75)</f>
        <v>2.6999999999999984</v>
      </c>
      <c r="BT388" s="553">
        <f>_xlfn.MINIFS($DE$242:$DE$321,$DI$242:$DI$321,"&gt;"&amp;Inputs!$K$75)</f>
        <v>2.9999999999999982</v>
      </c>
      <c r="BU388" s="554">
        <f>IF(Inputs!$F$75/4&gt;MAX(Pile!$DI$70:$DI$149),999999,IF(Pile!BR388/(Pile!BP388/1000)&gt;50,999999,IF(Pile!BR388&lt;2,999999,Pile!BR388)))</f>
        <v>2.9999999999999982</v>
      </c>
      <c r="BV388" s="552">
        <f>IF(Inputs!BR51="Yes",999999,IF(Pile!BS388/(Pile!BP388/1000)&gt;50,999999,IF(Pile!BS388&lt;2,999999,Pile!BS388)))</f>
        <v>2.6999999999999984</v>
      </c>
      <c r="BW388" s="552">
        <f>IF(Inputs!$F$75/4&gt;MAX(Pile!$DI$242:$DI$321),999999,IF(Pile!BT388/(Pile!BP388/1000)&gt;50,999999,IF(Pile!BT388&lt;2,999999,IF(BT388&gt;25,999999,Pile!BT388))))</f>
        <v>2.9999999999999982</v>
      </c>
      <c r="BX388" s="554">
        <f t="shared" si="427"/>
        <v>796.9100032938486</v>
      </c>
      <c r="BY388" s="552">
        <f t="shared" si="428"/>
        <v>779.94540296446371</v>
      </c>
      <c r="BZ388" s="553">
        <f t="shared" si="429"/>
        <v>796.9100032938486</v>
      </c>
      <c r="CA388" s="467">
        <f t="shared" si="430"/>
        <v>627.2639999999999</v>
      </c>
      <c r="CB388" s="546">
        <v>4</v>
      </c>
      <c r="CC388" s="479">
        <v>750</v>
      </c>
      <c r="CD388" s="555">
        <f>Inputs!$D$40*4</f>
        <v>128</v>
      </c>
      <c r="CE388" s="552">
        <f>_xlfn.MINIFS($DE$70:$DE$149,$DI$70:$DI$149,"&gt;"&amp;Inputs!$K$82)</f>
        <v>2.0999999999999988</v>
      </c>
      <c r="CF388" s="552">
        <f>_xlfn.MINIFS($DE$156:$DE$235,$DI$156:$DI$235,"&gt;"&amp;Inputs!$K$82)</f>
        <v>2.0999999999999988</v>
      </c>
      <c r="CG388" s="553">
        <f>_xlfn.MINIFS($DE$242:$DE$321,$DI$242:$DI$321,"&gt;"&amp;Inputs!$K$82)</f>
        <v>2.0999999999999988</v>
      </c>
      <c r="CH388" s="554">
        <f>IF(Inputs!$F$82/4&gt;MAX(Pile!$DI$70:$DI$149),999999,IF(Pile!CE388/(Pile!CC388/1000)&gt;50,999999,IF(Pile!CE388&lt;2,999999,Pile!CE388)))</f>
        <v>2.0999999999999988</v>
      </c>
      <c r="CI388" s="552">
        <f>IF(Inputs!CE51="Yes",999999,IF(Pile!CF388/(Pile!CC388/1000)&gt;50,999999,IF(Pile!CF388&lt;2,999999,Pile!CF388)))</f>
        <v>2.0999999999999988</v>
      </c>
      <c r="CJ388" s="552">
        <f>IF(Inputs!$F$82/4&gt;MAX(Pile!$DI$242:$DI$321),999999,IF(Pile!CG388/(Pile!CC388/1000)&gt;50,999999,IF(Pile!CG388&lt;2,999999,IF(CG388&gt;25,999999,Pile!CG388))))</f>
        <v>2.0999999999999988</v>
      </c>
      <c r="CK388" s="554">
        <f t="shared" si="431"/>
        <v>746.01620230569404</v>
      </c>
      <c r="CL388" s="552">
        <f t="shared" si="432"/>
        <v>746.01620230569404</v>
      </c>
      <c r="CM388" s="553">
        <f t="shared" si="433"/>
        <v>746.01620230569404</v>
      </c>
      <c r="CN388" s="467">
        <f t="shared" si="434"/>
        <v>627.2639999999999</v>
      </c>
      <c r="CO388" s="546">
        <v>4</v>
      </c>
      <c r="CP388" s="479">
        <v>750</v>
      </c>
      <c r="CQ388" s="555">
        <f>Inputs!$D$40*4</f>
        <v>128</v>
      </c>
      <c r="CR388" s="552">
        <f>_xlfn.MINIFS($DE$70:$DE$149,$DI$70:$DI$149,"&gt;"&amp;Inputs!$K$89)</f>
        <v>2.0999999999999988</v>
      </c>
      <c r="CS388" s="552">
        <f>_xlfn.MINIFS($DE$156:$DE$235,$DI$156:$DI$235,"&gt;"&amp;Inputs!$K$89)</f>
        <v>1.7999999999999989</v>
      </c>
      <c r="CT388" s="553">
        <f>_xlfn.MINIFS($DE$242:$DE$321,$DI$242:$DI$321,"&gt;"&amp;Inputs!$K$89)</f>
        <v>2.0999999999999988</v>
      </c>
      <c r="CU388" s="554">
        <f>IF(Inputs!$F$89/4&gt;MAX(Pile!$DI$70:$DI$149),999999,IF(Pile!CR388/(Pile!CP388/1000)&gt;50,999999,IF(Pile!CR388&lt;2,999999,Pile!CR388)))</f>
        <v>2.0999999999999988</v>
      </c>
      <c r="CV388" s="552">
        <f>IF(Inputs!CR51="Yes",999999,IF(Pile!CS388/(Pile!CP388/1000)&gt;50,999999,IF(Pile!CS388&lt;2,999999,Pile!CS388)))</f>
        <v>999999</v>
      </c>
      <c r="CW388" s="552">
        <f>IF(Inputs!$F$89/4&gt;MAX(Pile!$DI$242:$DI$321),999999,IF(Pile!CT388/(Pile!CP388/1000)&gt;50,999999,IF(Pile!CT388&lt;2,999999,IF(CT388&gt;25,999999,Pile!CT388))))</f>
        <v>2.0999999999999988</v>
      </c>
      <c r="CX388" s="554">
        <f t="shared" si="435"/>
        <v>746.01620230569404</v>
      </c>
      <c r="CY388" s="552">
        <f t="shared" si="436"/>
        <v>56549238.479948513</v>
      </c>
      <c r="CZ388" s="553">
        <f t="shared" si="437"/>
        <v>746.01620230569404</v>
      </c>
      <c r="DA388" s="467">
        <f t="shared" si="438"/>
        <v>627.2639999999999</v>
      </c>
      <c r="DB388" s="546">
        <v>4</v>
      </c>
      <c r="DC388" s="479">
        <v>750</v>
      </c>
      <c r="DD388" s="555">
        <f>Inputs!$D$40*4</f>
        <v>128</v>
      </c>
      <c r="DE388" s="552">
        <f>_xlfn.MINIFS($DE$70:$DE$149,$DI$70:$DI$149,"&gt;"&amp;Inputs!$K$96)</f>
        <v>2.0999999999999988</v>
      </c>
      <c r="DF388" s="552">
        <f>_xlfn.MINIFS($DE$156:$DE$235,$DI$156:$DI$235,"&gt;"&amp;Inputs!$K$96)</f>
        <v>1.7999999999999989</v>
      </c>
      <c r="DG388" s="553">
        <f>_xlfn.MINIFS($DE$242:$DE$321,$DI$242:$DI$321,"&gt;"&amp;Inputs!$K$96)</f>
        <v>2.0999999999999988</v>
      </c>
      <c r="DH388" s="554">
        <f>IF(Inputs!$F$96/4&gt;MAX(Pile!$DI$70:$DI$149),999999,IF(Pile!DE388/(Pile!DC388/1000)&gt;50,999999,IF(Pile!DE388&lt;2,999999,Pile!DE388)))</f>
        <v>2.0999999999999988</v>
      </c>
      <c r="DI388" s="552">
        <f>IF(Inputs!DE51="Yes",999999,IF(Pile!DF388/(Pile!DC388/1000)&gt;50,999999,IF(Pile!DF388&lt;2,999999,Pile!DF388)))</f>
        <v>999999</v>
      </c>
      <c r="DJ388" s="552">
        <f>IF(Inputs!$F$96/4&gt;MAX(Pile!$DI$242:$DI$321),999999,IF(Pile!DG388/(Pile!DC388/1000)&gt;50,999999,IF(Pile!DG388&lt;2,999999,IF(DG388&gt;25,999999,Pile!DG388))))</f>
        <v>2.0999999999999988</v>
      </c>
      <c r="DK388" s="554">
        <f t="shared" si="439"/>
        <v>746.01620230569404</v>
      </c>
      <c r="DL388" s="552">
        <f t="shared" si="440"/>
        <v>56549238.479948513</v>
      </c>
      <c r="DM388" s="553">
        <f t="shared" si="441"/>
        <v>746.01620230569404</v>
      </c>
      <c r="DN388" s="467">
        <f t="shared" si="442"/>
        <v>627.2639999999999</v>
      </c>
      <c r="DO388" s="546">
        <v>4</v>
      </c>
      <c r="DP388" s="479">
        <v>750</v>
      </c>
      <c r="DQ388" s="555">
        <f>Inputs!$D$40*4</f>
        <v>128</v>
      </c>
      <c r="DR388" s="552">
        <f>_xlfn.MINIFS($DE$70:$DE$149,$DI$70:$DI$149,"&gt;"&amp;Inputs!$K$103)</f>
        <v>1.7999999999999989</v>
      </c>
      <c r="DS388" s="552">
        <f>_xlfn.MINIFS($DE$156:$DE$235,$DI$156:$DI$235,"&gt;"&amp;Inputs!$K$103)</f>
        <v>1.4999999999999991</v>
      </c>
      <c r="DT388" s="553">
        <f>_xlfn.MINIFS($DE$242:$DE$321,$DI$242:$DI$321,"&gt;"&amp;Inputs!$K$103)</f>
        <v>1.7999999999999989</v>
      </c>
      <c r="DU388" s="554">
        <f>IF(Inputs!$F$103/4&gt;MAX(Pile!$DI$70:$DI$149),999999,IF(Pile!DR388/(Pile!DP388/1000)&gt;50,999999,IF(Pile!DR388&lt;2,999999,Pile!DR388)))</f>
        <v>999999</v>
      </c>
      <c r="DV388" s="552">
        <f>IF(Inputs!DR51="Yes",999999,IF(Pile!DS388/(Pile!DP388/1000)&gt;50,999999,IF(Pile!DS388&lt;2,999999,Pile!DS388)))</f>
        <v>999999</v>
      </c>
      <c r="DW388" s="552">
        <f>IF(Inputs!$F$103/4&gt;MAX(Pile!$DI$242:$DI$321),999999,IF(Pile!DT388/(Pile!DP388/1000)&gt;50,999999,IF(Pile!DT388&lt;2,999999,IF(DT388&gt;25,999999,Pile!DT388))))</f>
        <v>999999</v>
      </c>
      <c r="DX388" s="554">
        <f t="shared" si="443"/>
        <v>56549238.479948513</v>
      </c>
      <c r="DY388" s="552">
        <f t="shared" si="444"/>
        <v>56549238.479948513</v>
      </c>
      <c r="DZ388" s="553">
        <f t="shared" si="445"/>
        <v>56549238.479948513</v>
      </c>
      <c r="EA388" s="467">
        <f t="shared" si="446"/>
        <v>627.2639999999999</v>
      </c>
      <c r="EB388" s="546">
        <v>4</v>
      </c>
      <c r="EC388" s="479">
        <v>750</v>
      </c>
      <c r="ED388" s="555">
        <f>Inputs!$D$40*4</f>
        <v>128</v>
      </c>
      <c r="EE388" s="552">
        <f>_xlfn.MINIFS($DE$70:$DE$149,$DI$70:$DI$149,"&gt;"&amp;Inputs!$K$110)</f>
        <v>1.7999999999999989</v>
      </c>
      <c r="EF388" s="552">
        <f>_xlfn.MINIFS($DE$156:$DE$235,$DI$156:$DI$235,"&gt;"&amp;Inputs!$K$110)</f>
        <v>1.4999999999999991</v>
      </c>
      <c r="EG388" s="553">
        <f>_xlfn.MINIFS($DE$242:$DE$321,$DI$242:$DI$321,"&gt;"&amp;Inputs!$K$110)</f>
        <v>1.7999999999999989</v>
      </c>
      <c r="EH388" s="554">
        <f>IF(Inputs!$F$110/4&gt;MAX(Pile!$DI$70:$DI$149),999999,IF(Pile!EE388/(Pile!EC388/1000)&gt;50,999999,IF(Pile!EE388&lt;2,999999,Pile!EE388)))</f>
        <v>999999</v>
      </c>
      <c r="EI388" s="552">
        <f>IF(Inputs!EE51="Yes",999999,IF(Pile!EF388/(Pile!EC388/1000)&gt;50,999999,IF(Pile!EF388&lt;2,999999,Pile!EF388)))</f>
        <v>999999</v>
      </c>
      <c r="EJ388" s="552">
        <f>IF(Inputs!$F$110/4&gt;MAX(Pile!$DI$242:$DI$321),999999,IF(Pile!EG388/(Pile!EC388/1000)&gt;50,999999,IF(Pile!EG388&lt;2,999999,IF(EG388&gt;25,999999,Pile!EG388))))</f>
        <v>999999</v>
      </c>
      <c r="EK388" s="554">
        <f t="shared" si="447"/>
        <v>56549238.479948513</v>
      </c>
      <c r="EL388" s="552">
        <f t="shared" si="448"/>
        <v>56549238.479948513</v>
      </c>
      <c r="EM388" s="553">
        <f t="shared" si="449"/>
        <v>56549238.479948513</v>
      </c>
      <c r="EN388" s="467">
        <f t="shared" si="450"/>
        <v>627.2639999999999</v>
      </c>
      <c r="EO388" s="546">
        <v>4</v>
      </c>
      <c r="EP388" s="479">
        <v>750</v>
      </c>
      <c r="EQ388" s="555">
        <f>Inputs!$D$40*4</f>
        <v>128</v>
      </c>
      <c r="ER388" s="552">
        <f>_xlfn.MINIFS($DE$70:$DE$149,$DI$70:$DI$149,"&gt;"&amp;Inputs!$K$117)</f>
        <v>0.29999999999999982</v>
      </c>
      <c r="ES388" s="552">
        <f>_xlfn.MINIFS($DE$156:$DE$235,$DI$156:$DI$235,"&gt;"&amp;Inputs!$K$117)</f>
        <v>0.29999999999999982</v>
      </c>
      <c r="ET388" s="553">
        <f>_xlfn.MINIFS($DE$242:$DE$321,$DI$242:$DI$321,"&gt;"&amp;Inputs!$K$117)</f>
        <v>0.29999999999999982</v>
      </c>
      <c r="EU388" s="554">
        <f>IF(Inputs!$F$117/4&gt;MAX(Pile!$DI$70:$DI$149),999999,IF(Pile!ER388/(Pile!EP388/1000)&gt;50,999999,IF(Pile!ER388&lt;2,999999,Pile!ER388)))</f>
        <v>999999</v>
      </c>
      <c r="EV388" s="552">
        <f>IF(Inputs!ER51="Yes",999999,IF(Inputs!$F$117&gt;MAX(Pile!$DG$156:$DG$235),999999,IF(Pile!ES388/(Pile!EP388/1000)&gt;50,999999,IF(Pile!ES388&lt;2,999999,Pile!ES388))))</f>
        <v>999999</v>
      </c>
      <c r="EW388" s="552">
        <f>IF(Inputs!$F$117/4&gt;MAX(Pile!$DI$242:$DI$321),999999,IF(Pile!ET388/(Pile!EP388/1000)&gt;50,999999,IF(Pile!ET388&lt;2,999999,IF(ET388&gt;25,999999,Pile!ET388))))</f>
        <v>999999</v>
      </c>
      <c r="EX388" s="554">
        <f t="shared" si="406"/>
        <v>56548611.215948515</v>
      </c>
      <c r="EY388" s="552">
        <f t="shared" si="407"/>
        <v>56548611.215948515</v>
      </c>
      <c r="EZ388" s="553">
        <f t="shared" si="408"/>
        <v>56548611.215948515</v>
      </c>
    </row>
    <row r="389" spans="2:158" ht="15">
      <c r="B389" s="541">
        <v>4</v>
      </c>
      <c r="C389" s="476">
        <v>900</v>
      </c>
      <c r="D389" s="551">
        <f>Inputs!$D$40*4</f>
        <v>128</v>
      </c>
      <c r="E389" s="552">
        <f>_xlfn.MINIFS($DE$70:$DE$149,$DJ$70:$DJ$149,"&gt;"&amp;Inputs!$K$40)</f>
        <v>2.0999999999999988</v>
      </c>
      <c r="F389" s="552">
        <f>_xlfn.MINIFS($DE$156:$DE$235,$DJ$156:$DJ$235,"&gt;"&amp;Inputs!$K$40)</f>
        <v>0</v>
      </c>
      <c r="G389" s="553">
        <f>_xlfn.MINIFS($DE$242:$DE$321,$DJ$242:$DJ$321,"&gt;"&amp;Inputs!$K$40)</f>
        <v>2.0999999999999988</v>
      </c>
      <c r="H389" s="554">
        <f>IF(Inputs!$F$40/4&gt;MAX(Pile!$DJ$70:$DJ$149),999999,IF(Pile!E389/(Pile!C389/1000)&gt;50,999999,IF(Pile!E389&lt;2,999999,Pile!E389)))</f>
        <v>2.0999999999999988</v>
      </c>
      <c r="I389" s="552">
        <f>IF(Inputs!E52="Yes",999999,IF(Pile!F389/(Pile!C389/1000)&gt;50,999999,IF(Pile!F389&lt;2,999999,Pile!F389)))</f>
        <v>999999</v>
      </c>
      <c r="J389" s="552">
        <f>IF(Inputs!$F$40/4&gt;MAX(Pile!$DJ$242:$DJ$321),999999,IF(Pile!G389/(Pile!C389/1000)&gt;50,999999,IF(Pile!G389&lt;2,999999,IF(G389&gt;25,999999,Pile!G389))))</f>
        <v>2.0999999999999988</v>
      </c>
      <c r="K389" s="554">
        <f t="shared" si="409"/>
        <v>1241.7871713201994</v>
      </c>
      <c r="L389" s="552">
        <f t="shared" si="410"/>
        <v>81431070.934965864</v>
      </c>
      <c r="M389" s="553">
        <f t="shared" si="411"/>
        <v>1241.7871713201994</v>
      </c>
      <c r="N389" s="466">
        <f>Inputs!$D$40*G462</f>
        <v>1070.7839999999999</v>
      </c>
      <c r="O389" s="541">
        <v>4</v>
      </c>
      <c r="P389" s="476">
        <v>900</v>
      </c>
      <c r="Q389" s="551">
        <f>Inputs!$D$40*4</f>
        <v>128</v>
      </c>
      <c r="R389" s="552">
        <f>_xlfn.MINIFS($DE$70:$DE$149,$DJ$70:$DJ$149,"&gt;"&amp;Inputs!$K$47)</f>
        <v>2.0999999999999988</v>
      </c>
      <c r="S389" s="552">
        <f>_xlfn.MINIFS($DE$156:$DE$235,$DJ$156:$DJ$235,"&gt;"&amp;Inputs!$K$47)</f>
        <v>0</v>
      </c>
      <c r="T389" s="553">
        <f>_xlfn.MINIFS($DE$242:$DE$321,$DJ$242:$DJ$321,"&gt;"&amp;Inputs!$K$47)</f>
        <v>2.0999999999999988</v>
      </c>
      <c r="U389" s="554">
        <f>IF(Inputs!$F$47/4&gt;MAX(Pile!$DJ$70:$DJ$149),999999,IF(Pile!R389/(Pile!P389/1000)&gt;50,999999,IF(Pile!R389&lt;2,999999,Pile!R389)))</f>
        <v>2.0999999999999988</v>
      </c>
      <c r="V389" s="552">
        <f>IF(Inputs!R52="Yes",999999,IF(Pile!S389/(Pile!P389/1000)&gt;50,999999,IF(Pile!S389&lt;2,999999,Pile!S389)))</f>
        <v>999999</v>
      </c>
      <c r="W389" s="552">
        <f>IF(Inputs!$F$47/4&gt;MAX(Pile!$DJ$242:$DJ$321),999999,IF(Pile!T389/(Pile!P389/1000)&gt;50,999999,IF(Pile!T389&lt;2,999999,IF(T389&gt;25,999999,Pile!T389))))</f>
        <v>2.0999999999999988</v>
      </c>
      <c r="X389" s="554">
        <f t="shared" si="412"/>
        <v>1241.7871713201994</v>
      </c>
      <c r="Y389" s="552">
        <f t="shared" si="413"/>
        <v>81431070.934965864</v>
      </c>
      <c r="Z389" s="553">
        <f t="shared" si="414"/>
        <v>1241.7871713201994</v>
      </c>
      <c r="AA389" s="467">
        <f t="shared" si="369"/>
        <v>1070.7839999999999</v>
      </c>
      <c r="AB389" s="546">
        <v>4</v>
      </c>
      <c r="AC389" s="479">
        <v>900</v>
      </c>
      <c r="AD389" s="555">
        <f>Inputs!$D$40*4</f>
        <v>128</v>
      </c>
      <c r="AE389" s="552">
        <f>_xlfn.MINIFS($DE$70:$DE$149,$DJ$70:$DJ$149,"&gt;"&amp;Inputs!$K$54)</f>
        <v>2.0999999999999988</v>
      </c>
      <c r="AF389" s="552">
        <f>_xlfn.MINIFS($DE$156:$DE$235,$DJ$156:$DJ$235,"&gt;"&amp;Inputs!$K$54)</f>
        <v>0</v>
      </c>
      <c r="AG389" s="553">
        <f>_xlfn.MINIFS($DE$242:$DE$321,$DJ$242:$DJ$321,"&gt;"&amp;Inputs!$K$54)</f>
        <v>2.0999999999999988</v>
      </c>
      <c r="AH389" s="554">
        <f>IF(Inputs!$F$54/4&gt;MAX(Pile!$DJ$70:$DJ$149),999999,IF(Pile!AE389/(Pile!AC389/1000)&gt;50,999999,IF(Pile!AE389&lt;2,999999,Pile!AE389)))</f>
        <v>2.0999999999999988</v>
      </c>
      <c r="AI389" s="552">
        <f>IF(Inputs!AE52="Yes",999999,IF(Pile!AF389/(Pile!AC389/1000)&gt;50,999999,IF(Pile!AF389&lt;2,999999,Pile!AF389)))</f>
        <v>999999</v>
      </c>
      <c r="AJ389" s="552">
        <f>IF(Inputs!$F$54/4&gt;MAX(Pile!$DJ$242:$DJ$321),999999,IF(Pile!AG389/(Pile!AC389/1000)&gt;50,999999,IF(Pile!AG389&lt;2,999999,IF(AG389&gt;25,999999,Pile!AG389))))</f>
        <v>2.0999999999999988</v>
      </c>
      <c r="AK389" s="554">
        <f t="shared" si="415"/>
        <v>1241.7871713201994</v>
      </c>
      <c r="AL389" s="552">
        <f t="shared" si="416"/>
        <v>81431070.934965864</v>
      </c>
      <c r="AM389" s="553">
        <f t="shared" si="417"/>
        <v>1241.7871713201994</v>
      </c>
      <c r="AN389" s="471">
        <f t="shared" si="418"/>
        <v>1070.7839999999999</v>
      </c>
      <c r="AO389" s="546">
        <v>4</v>
      </c>
      <c r="AP389" s="479">
        <v>900</v>
      </c>
      <c r="AQ389" s="555">
        <f>Inputs!$D$40*4</f>
        <v>128</v>
      </c>
      <c r="AR389" s="552">
        <f>_xlfn.MINIFS($DE$70:$DE$149,$DJ$70:$DJ$149,"&gt;"&amp;Inputs!$K$61)</f>
        <v>2.0999999999999988</v>
      </c>
      <c r="AS389" s="552">
        <f>_xlfn.MINIFS($DE$156:$DE$235,$DJ$156:$DJ$235,"&gt;"&amp;Inputs!$K$61)</f>
        <v>0</v>
      </c>
      <c r="AT389" s="553">
        <f>_xlfn.MINIFS($DE$242:$DE$321,$DJ$242:$DJ$321,"&gt;"&amp;Inputs!$K$61)</f>
        <v>2.0999999999999988</v>
      </c>
      <c r="AU389" s="554">
        <f>IF(Inputs!$F$61/4&gt;MAX(Pile!$DJ$70:$DJ$149),999999,IF(Pile!AR389/(Pile!AP389/1000)&gt;50,999999,IF(Pile!AR389&lt;2,999999,Pile!AR389)))</f>
        <v>2.0999999999999988</v>
      </c>
      <c r="AV389" s="552">
        <f>IF(Inputs!AR52="Yes",999999,IF(Pile!AS389/(Pile!AP389/1000)&gt;50,999999,IF(Pile!AS389&lt;2,999999,Pile!AS389)))</f>
        <v>999999</v>
      </c>
      <c r="AW389" s="552">
        <f>IF(Inputs!$F$61/4&gt;MAX(Pile!$DJ$242:$DJ$321),999999,IF(Pile!AT389/(Pile!AP389/1000)&gt;50,999999,IF(Pile!AT389&lt;2,999999,IF(AT389&gt;25,999999,Pile!AT389))))</f>
        <v>2.0999999999999988</v>
      </c>
      <c r="AX389" s="554">
        <f t="shared" si="419"/>
        <v>1241.7871713201994</v>
      </c>
      <c r="AY389" s="552">
        <f t="shared" si="420"/>
        <v>81431070.934965864</v>
      </c>
      <c r="AZ389" s="553">
        <f t="shared" si="421"/>
        <v>1241.7871713201994</v>
      </c>
      <c r="BA389" s="467">
        <f t="shared" si="422"/>
        <v>1070.7839999999999</v>
      </c>
      <c r="BB389" s="546">
        <v>4</v>
      </c>
      <c r="BC389" s="479">
        <v>900</v>
      </c>
      <c r="BD389" s="555">
        <f>Inputs!$D$40*4</f>
        <v>128</v>
      </c>
      <c r="BE389" s="552">
        <f>_xlfn.MINIFS($DE$70:$DE$149,$DJ$70:$DJ$149,"&gt;"&amp;Inputs!$K$68)</f>
        <v>2.0999999999999988</v>
      </c>
      <c r="BF389" s="552">
        <f>_xlfn.MINIFS($DE$156:$DE$235,$DJ$156:$DJ$235,"&gt;"&amp;Inputs!$K$68)</f>
        <v>0</v>
      </c>
      <c r="BG389" s="553">
        <f>_xlfn.MINIFS($DE$242:$DE$321,$DJ$242:$DJ$321,"&gt;"&amp;Inputs!$K$68)</f>
        <v>2.0999999999999988</v>
      </c>
      <c r="BH389" s="554">
        <f>IF(Inputs!$F$68/4&gt;MAX(Pile!$DJ$70:$DJ$149),999999,IF(Pile!BE389/(Pile!BC389/1000)&gt;50,999999,IF(Pile!BE389&lt;2,999999,Pile!BE389)))</f>
        <v>2.0999999999999988</v>
      </c>
      <c r="BI389" s="552">
        <f>IF(Inputs!BE52="Yes",999999,IF(Pile!BF389/(Pile!BC389/1000)&gt;50,999999,IF(Pile!BF389&lt;2,999999,Pile!BF389)))</f>
        <v>999999</v>
      </c>
      <c r="BJ389" s="552">
        <f>IF(Inputs!$F$68/4&gt;MAX(Pile!$DJ$242:$DJ$321),999999,IF(Pile!BG389/(Pile!BC389/1000)&gt;50,999999,IF(Pile!BG389&lt;2,999999,IF(BG389&gt;25,999999,Pile!BG389))))</f>
        <v>2.0999999999999988</v>
      </c>
      <c r="BK389" s="554">
        <f t="shared" si="423"/>
        <v>1241.7871713201994</v>
      </c>
      <c r="BL389" s="552">
        <f t="shared" si="424"/>
        <v>81431070.934965864</v>
      </c>
      <c r="BM389" s="553">
        <f t="shared" si="425"/>
        <v>1241.7871713201994</v>
      </c>
      <c r="BN389" s="467">
        <f t="shared" si="426"/>
        <v>1070.7839999999999</v>
      </c>
      <c r="BO389" s="546">
        <v>4</v>
      </c>
      <c r="BP389" s="479">
        <v>900</v>
      </c>
      <c r="BQ389" s="555">
        <f>Inputs!$D$40*4</f>
        <v>128</v>
      </c>
      <c r="BR389" s="552">
        <f>_xlfn.MINIFS($DE$70:$DE$149,$DJ$70:$DJ$149,"&gt;"&amp;Inputs!$K$75)</f>
        <v>2.3999999999999986</v>
      </c>
      <c r="BS389" s="552">
        <f>_xlfn.MINIFS($DE$156:$DE$235,$DJ$156:$DJ$235,"&gt;"&amp;Inputs!$K$75)</f>
        <v>0</v>
      </c>
      <c r="BT389" s="553">
        <f>_xlfn.MINIFS($DE$242:$DE$321,$DJ$242:$DJ$321,"&gt;"&amp;Inputs!$K$75)</f>
        <v>2.3999999999999986</v>
      </c>
      <c r="BU389" s="554">
        <f>IF(Inputs!$F$75/4&gt;MAX(Pile!$DJ$70:$DJ$149),999999,IF(Pile!BR389/(Pile!BP389/1000)&gt;50,999999,IF(Pile!BR389&lt;2,999999,Pile!BR389)))</f>
        <v>2.3999999999999986</v>
      </c>
      <c r="BV389" s="552">
        <f>IF(Inputs!BR52="Yes",999999,IF(Pile!BS389/(Pile!BP389/1000)&gt;50,999999,IF(Pile!BS389&lt;2,999999,Pile!BS389)))</f>
        <v>999999</v>
      </c>
      <c r="BW389" s="552">
        <f>IF(Inputs!$F$75/4&gt;MAX(Pile!$DJ$242:$DJ$321),999999,IF(Pile!BT389/(Pile!BP389/1000)&gt;50,999999,IF(Pile!BT389&lt;2,999999,IF(BT389&gt;25,999999,Pile!BT389))))</f>
        <v>2.3999999999999986</v>
      </c>
      <c r="BX389" s="554">
        <f t="shared" si="427"/>
        <v>1266.2161957945136</v>
      </c>
      <c r="BY389" s="552">
        <f t="shared" si="428"/>
        <v>81431070.934965864</v>
      </c>
      <c r="BZ389" s="553">
        <f t="shared" si="429"/>
        <v>1266.2161957945136</v>
      </c>
      <c r="CA389" s="467">
        <f t="shared" si="430"/>
        <v>1070.7839999999999</v>
      </c>
      <c r="CB389" s="546">
        <v>4</v>
      </c>
      <c r="CC389" s="479">
        <v>900</v>
      </c>
      <c r="CD389" s="555">
        <f>Inputs!$D$40*4</f>
        <v>128</v>
      </c>
      <c r="CE389" s="552">
        <f>_xlfn.MINIFS($DE$70:$DE$149,$DJ$70:$DJ$149,"&gt;"&amp;Inputs!$K$82)</f>
        <v>1.7999999999999989</v>
      </c>
      <c r="CF389" s="552">
        <f>_xlfn.MINIFS($DE$156:$DE$235,$DJ$156:$DJ$235,"&gt;"&amp;Inputs!$K$82)</f>
        <v>0</v>
      </c>
      <c r="CG389" s="553">
        <f>_xlfn.MINIFS($DE$242:$DE$321,$DJ$242:$DJ$321,"&gt;"&amp;Inputs!$K$82)</f>
        <v>1.4999999999999991</v>
      </c>
      <c r="CH389" s="554">
        <f>IF(Inputs!$F$82/4&gt;MAX(Pile!$DJ$70:$DJ$149),999999,IF(Pile!CE389/(Pile!CC389/1000)&gt;50,999999,IF(Pile!CE389&lt;2,999999,Pile!CE389)))</f>
        <v>999999</v>
      </c>
      <c r="CI389" s="552">
        <f>IF(Inputs!CE52="Yes",999999,IF(Pile!CF389/(Pile!CC389/1000)&gt;50,999999,IF(Pile!CF389&lt;2,999999,Pile!CF389)))</f>
        <v>999999</v>
      </c>
      <c r="CJ389" s="552">
        <f>IF(Inputs!$F$82/4&gt;MAX(Pile!$DJ$242:$DJ$321),999999,IF(Pile!CG389/(Pile!CC389/1000)&gt;50,999999,IF(Pile!CG389&lt;2,999999,IF(CG389&gt;25,999999,Pile!CG389))))</f>
        <v>999999</v>
      </c>
      <c r="CK389" s="554">
        <f t="shared" si="431"/>
        <v>81431070.934965864</v>
      </c>
      <c r="CL389" s="552">
        <f t="shared" si="432"/>
        <v>81431070.934965864</v>
      </c>
      <c r="CM389" s="553">
        <f t="shared" si="433"/>
        <v>81431070.934965864</v>
      </c>
      <c r="CN389" s="467">
        <f t="shared" si="434"/>
        <v>1070.7839999999999</v>
      </c>
      <c r="CO389" s="546">
        <v>4</v>
      </c>
      <c r="CP389" s="479">
        <v>900</v>
      </c>
      <c r="CQ389" s="555">
        <f>Inputs!$D$40*4</f>
        <v>128</v>
      </c>
      <c r="CR389" s="552">
        <f>_xlfn.MINIFS($DE$70:$DE$149,$DJ$70:$DJ$149,"&gt;"&amp;Inputs!$K$89)</f>
        <v>1.4999999999999991</v>
      </c>
      <c r="CS389" s="552">
        <f>_xlfn.MINIFS($DE$156:$DE$235,$DJ$156:$DJ$235,"&gt;"&amp;Inputs!$K$89)</f>
        <v>0</v>
      </c>
      <c r="CT389" s="553">
        <f>_xlfn.MINIFS($DE$242:$DE$321,$DJ$242:$DJ$321,"&gt;"&amp;Inputs!$K$89)</f>
        <v>1.4999999999999991</v>
      </c>
      <c r="CU389" s="554">
        <f>IF(Inputs!$F$89/4&gt;MAX(Pile!$DJ$70:$DJ$149),999999,IF(Pile!CR389/(Pile!CP389/1000)&gt;50,999999,IF(Pile!CR389&lt;2,999999,Pile!CR389)))</f>
        <v>999999</v>
      </c>
      <c r="CV389" s="552">
        <f>IF(Inputs!CR52="Yes",999999,IF(Pile!CS389/(Pile!CP389/1000)&gt;50,999999,IF(Pile!CS389&lt;2,999999,Pile!CS389)))</f>
        <v>999999</v>
      </c>
      <c r="CW389" s="552">
        <f>IF(Inputs!$F$89/4&gt;MAX(Pile!$DJ$242:$DJ$321),999999,IF(Pile!CT389/(Pile!CP389/1000)&gt;50,999999,IF(Pile!CT389&lt;2,999999,IF(CT389&gt;25,999999,Pile!CT389))))</f>
        <v>999999</v>
      </c>
      <c r="CX389" s="554">
        <f t="shared" si="435"/>
        <v>81431070.934965864</v>
      </c>
      <c r="CY389" s="552">
        <f t="shared" si="436"/>
        <v>81431070.934965864</v>
      </c>
      <c r="CZ389" s="553">
        <f t="shared" si="437"/>
        <v>81431070.934965864</v>
      </c>
      <c r="DA389" s="467">
        <f t="shared" si="438"/>
        <v>1070.7839999999999</v>
      </c>
      <c r="DB389" s="546">
        <v>4</v>
      </c>
      <c r="DC389" s="479">
        <v>900</v>
      </c>
      <c r="DD389" s="555">
        <f>Inputs!$D$40*4</f>
        <v>128</v>
      </c>
      <c r="DE389" s="552">
        <f>_xlfn.MINIFS($DE$70:$DE$149,$DJ$70:$DJ$149,"&gt;"&amp;Inputs!$K$96)</f>
        <v>1.4999999999999991</v>
      </c>
      <c r="DF389" s="552">
        <f>_xlfn.MINIFS($DE$156:$DE$235,$DJ$156:$DJ$235,"&gt;"&amp;Inputs!$K$96)</f>
        <v>0</v>
      </c>
      <c r="DG389" s="553">
        <f>_xlfn.MINIFS($DE$242:$DE$321,$DJ$242:$DJ$321,"&gt;"&amp;Inputs!$K$96)</f>
        <v>1.4999999999999991</v>
      </c>
      <c r="DH389" s="554">
        <f>IF(Inputs!$F$96/4&gt;MAX(Pile!$DJ$70:$DJ$149),999999,IF(Pile!DE389/(Pile!DC389/1000)&gt;50,999999,IF(Pile!DE389&lt;2,999999,Pile!DE389)))</f>
        <v>999999</v>
      </c>
      <c r="DI389" s="552">
        <f>IF(Inputs!DE52="Yes",999999,IF(Pile!DF389/(Pile!DC389/1000)&gt;50,999999,IF(Pile!DF389&lt;2,999999,Pile!DF389)))</f>
        <v>999999</v>
      </c>
      <c r="DJ389" s="552">
        <f>IF(Inputs!$F$96/4&gt;MAX(Pile!$DJ$242:$DJ$321),999999,IF(Pile!DG389/(Pile!DC389/1000)&gt;50,999999,IF(Pile!DG389&lt;2,999999,IF(DG389&gt;25,999999,Pile!DG389))))</f>
        <v>999999</v>
      </c>
      <c r="DK389" s="554">
        <f t="shared" si="439"/>
        <v>81431070.934965864</v>
      </c>
      <c r="DL389" s="552">
        <f t="shared" si="440"/>
        <v>81431070.934965864</v>
      </c>
      <c r="DM389" s="553">
        <f t="shared" si="441"/>
        <v>81431070.934965864</v>
      </c>
      <c r="DN389" s="467">
        <f t="shared" si="442"/>
        <v>1070.7839999999999</v>
      </c>
      <c r="DO389" s="546">
        <v>4</v>
      </c>
      <c r="DP389" s="479">
        <v>900</v>
      </c>
      <c r="DQ389" s="555">
        <f>Inputs!$D$40*4</f>
        <v>128</v>
      </c>
      <c r="DR389" s="552">
        <f>_xlfn.MINIFS($DE$70:$DE$149,$DJ$70:$DJ$149,"&gt;"&amp;Inputs!$K$103)</f>
        <v>1.1999999999999993</v>
      </c>
      <c r="DS389" s="552">
        <f>_xlfn.MINIFS($DE$156:$DE$235,$DJ$156:$DJ$235,"&gt;"&amp;Inputs!$K$103)</f>
        <v>0</v>
      </c>
      <c r="DT389" s="553">
        <f>_xlfn.MINIFS($DE$242:$DE$321,$DJ$242:$DJ$321,"&gt;"&amp;Inputs!$K$103)</f>
        <v>1.1999999999999993</v>
      </c>
      <c r="DU389" s="554">
        <f>IF(Inputs!$F$103/4&gt;MAX(Pile!$DJ$70:$DJ$149),999999,IF(Pile!DR389/(Pile!DP389/1000)&gt;50,999999,IF(Pile!DR389&lt;2,999999,Pile!DR389)))</f>
        <v>999999</v>
      </c>
      <c r="DV389" s="552">
        <f>IF(Inputs!DR52="Yes",999999,IF(Pile!DS389/(Pile!DP389/1000)&gt;50,999999,IF(Pile!DS389&lt;2,999999,Pile!DS389)))</f>
        <v>999999</v>
      </c>
      <c r="DW389" s="552">
        <f>IF(Inputs!$F$103/4&gt;MAX(Pile!$DJ$242:$DJ$321),999999,IF(Pile!DT389/(Pile!DP389/1000)&gt;50,999999,IF(Pile!DT389&lt;2,999999,IF(DT389&gt;25,999999,Pile!DT389))))</f>
        <v>999999</v>
      </c>
      <c r="DX389" s="554">
        <f t="shared" si="443"/>
        <v>81431070.934965864</v>
      </c>
      <c r="DY389" s="552">
        <f t="shared" si="444"/>
        <v>81431070.934965864</v>
      </c>
      <c r="DZ389" s="553">
        <f t="shared" si="445"/>
        <v>81431070.934965864</v>
      </c>
      <c r="EA389" s="467">
        <f t="shared" si="446"/>
        <v>1070.7839999999999</v>
      </c>
      <c r="EB389" s="546">
        <v>4</v>
      </c>
      <c r="EC389" s="479">
        <v>900</v>
      </c>
      <c r="ED389" s="555">
        <f>Inputs!$D$40*4</f>
        <v>128</v>
      </c>
      <c r="EE389" s="552">
        <f>_xlfn.MINIFS($DE$70:$DE$149,$DJ$70:$DJ$149,"&gt;"&amp;Inputs!$K$110)</f>
        <v>1.1999999999999993</v>
      </c>
      <c r="EF389" s="552">
        <f>_xlfn.MINIFS($DE$156:$DE$235,$DJ$156:$DJ$235,"&gt;"&amp;Inputs!$K$110)</f>
        <v>0</v>
      </c>
      <c r="EG389" s="553">
        <f>_xlfn.MINIFS($DE$242:$DE$321,$DJ$242:$DJ$321,"&gt;"&amp;Inputs!$K$110)</f>
        <v>1.1999999999999993</v>
      </c>
      <c r="EH389" s="554">
        <f>IF(Inputs!$F$110/4&gt;MAX(Pile!$DJ$70:$DJ$149),999999,IF(Pile!EE389/(Pile!EC389/1000)&gt;50,999999,IF(Pile!EE389&lt;2,999999,Pile!EE389)))</f>
        <v>999999</v>
      </c>
      <c r="EI389" s="552">
        <f>IF(Inputs!EE52="Yes",999999,IF(Pile!EF389/(Pile!EC389/1000)&gt;50,999999,IF(Pile!EF389&lt;2,999999,Pile!EF389)))</f>
        <v>999999</v>
      </c>
      <c r="EJ389" s="552">
        <f>IF(Inputs!$F$110/4&gt;MAX(Pile!$DJ$242:$DJ$321),999999,IF(Pile!EG389/(Pile!EC389/1000)&gt;50,999999,IF(Pile!EG389&lt;2,999999,IF(EG389&gt;25,999999,Pile!EG389))))</f>
        <v>999999</v>
      </c>
      <c r="EK389" s="554">
        <f t="shared" si="447"/>
        <v>81431070.934965864</v>
      </c>
      <c r="EL389" s="552">
        <f t="shared" si="448"/>
        <v>81431070.934965864</v>
      </c>
      <c r="EM389" s="553">
        <f t="shared" si="449"/>
        <v>81431070.934965864</v>
      </c>
      <c r="EN389" s="467">
        <f t="shared" si="450"/>
        <v>1070.7839999999999</v>
      </c>
      <c r="EO389" s="546">
        <v>4</v>
      </c>
      <c r="EP389" s="479">
        <v>900</v>
      </c>
      <c r="EQ389" s="555">
        <f>Inputs!$D$40*4</f>
        <v>128</v>
      </c>
      <c r="ER389" s="552">
        <f>_xlfn.MINIFS($DE$70:$DE$149,$DJ$70:$DJ$149,"&gt;"&amp;Inputs!$K$117)</f>
        <v>0.29999999999999982</v>
      </c>
      <c r="ES389" s="552">
        <f>_xlfn.MINIFS($DE$156:$DE$235,$DJ$156:$DJ$235,"&gt;"&amp;Inputs!$K$117)</f>
        <v>0</v>
      </c>
      <c r="ET389" s="553">
        <f>_xlfn.MINIFS($DE$242:$DE$321,$DJ$242:$DJ$321,"&gt;"&amp;Inputs!$K$117)</f>
        <v>0.29999999999999982</v>
      </c>
      <c r="EU389" s="554">
        <f>IF(Inputs!$F$117/4&gt;MAX(Pile!$DJ$70:$DJ$149),999999,IF(Pile!ER389/(Pile!EP389/1000)&gt;50,999999,IF(Pile!ER389&lt;2,999999,Pile!ER389)))</f>
        <v>999999</v>
      </c>
      <c r="EV389" s="552">
        <f>IF(Inputs!ER52="Yes",999999,IF(Inputs!$F$117&gt;MAX(Pile!$DG$156:$DG$235),999999,IF(Pile!ES389/(Pile!EP389/1000)&gt;50,999999,IF(Pile!ES389&lt;2,999999,Pile!ES389))))</f>
        <v>999999</v>
      </c>
      <c r="EW389" s="552">
        <f>IF(Inputs!$F$117/4&gt;MAX(Pile!$DJ$242:$DJ$321),999999,IF(Pile!ET389/(Pile!EP389/1000)&gt;50,999999,IF(Pile!ET389&lt;2,999999,IF(ET389&gt;25,999999,Pile!ET389))))</f>
        <v>999999</v>
      </c>
      <c r="EX389" s="554">
        <f t="shared" si="406"/>
        <v>81430000.150965869</v>
      </c>
      <c r="EY389" s="552">
        <f t="shared" si="407"/>
        <v>81430000.150965869</v>
      </c>
      <c r="EZ389" s="553">
        <f t="shared" si="408"/>
        <v>81430000.150965869</v>
      </c>
    </row>
    <row r="390" spans="2:158" ht="15">
      <c r="B390" s="541">
        <v>4</v>
      </c>
      <c r="C390" s="476">
        <v>1050</v>
      </c>
      <c r="D390" s="551">
        <f>Inputs!$D$40*4</f>
        <v>128</v>
      </c>
      <c r="E390" s="552">
        <f>_xlfn.MINIFS($DE$70:$DE$149,$DK$70:$DK$149,"&gt;"&amp;Inputs!$K$40)</f>
        <v>1.7999999999999989</v>
      </c>
      <c r="F390" s="552">
        <f>_xlfn.MINIFS($DE$156:$DE$235,$DK$156:$DK$235,"&gt;"&amp;Inputs!$K$40)</f>
        <v>0</v>
      </c>
      <c r="G390" s="553">
        <f>_xlfn.MINIFS($DE$242:$DE$321,$DK$242:$DK$321,"&gt;"&amp;Inputs!$K$40)</f>
        <v>1.4999999999999991</v>
      </c>
      <c r="H390" s="554">
        <f>IF(Inputs!$F$40/4&gt;MAX(Pile!$DK$70:$DK$149),999999,IF(Pile!E390/(Pile!C390/1000)&gt;50,999999,IF(Pile!E390&lt;2,999999,Pile!E390)))</f>
        <v>999999</v>
      </c>
      <c r="I390" s="552">
        <f>IF(Inputs!E53="Yes",999999,IF(Pile!F390/(Pile!C390/1000)&gt;50,999999,IF(Pile!F390&lt;2,999999,Pile!F390)))</f>
        <v>999999</v>
      </c>
      <c r="J390" s="552">
        <f>IF(Inputs!$F$40/4&gt;MAX(Pile!$DK$242:$DK$321),999999,IF(Pile!G390/(Pile!C390/1000)&gt;50,999999,IF(Pile!G390&lt;2,999999,IF(G390&gt;25,999999,Pile!G390))))</f>
        <v>999999</v>
      </c>
      <c r="K390" s="554">
        <f t="shared" si="409"/>
        <v>110836962.78325908</v>
      </c>
      <c r="L390" s="552">
        <f t="shared" si="410"/>
        <v>110836962.78325908</v>
      </c>
      <c r="M390" s="553">
        <f t="shared" si="411"/>
        <v>110836962.78325908</v>
      </c>
      <c r="N390" s="466">
        <f>Inputs!$D$40*G463</f>
        <v>1684.8</v>
      </c>
      <c r="O390" s="541">
        <v>4</v>
      </c>
      <c r="P390" s="476">
        <v>1050</v>
      </c>
      <c r="Q390" s="551">
        <f>Inputs!$D$40*4</f>
        <v>128</v>
      </c>
      <c r="R390" s="552">
        <f>_xlfn.MINIFS($DE$70:$DE$149,$DK$70:$DK$149,"&gt;"&amp;Inputs!$K$47)</f>
        <v>1.7999999999999989</v>
      </c>
      <c r="S390" s="552">
        <f>_xlfn.MINIFS($DE$156:$DE$235,$DK$156:$DK$235,"&gt;"&amp;Inputs!$K$47)</f>
        <v>0</v>
      </c>
      <c r="T390" s="553">
        <f>_xlfn.MINIFS($DE$242:$DE$321,$DK$242:$DK$321,"&gt;"&amp;Inputs!$K$47)</f>
        <v>1.4999999999999991</v>
      </c>
      <c r="U390" s="554">
        <f>IF(Inputs!$F$47/4&gt;MAX(Pile!$DK$70:$DK$149),999999,IF(Pile!R390/(Pile!P390/1000)&gt;50,999999,IF(Pile!R390&lt;2,999999,Pile!R390)))</f>
        <v>999999</v>
      </c>
      <c r="V390" s="552">
        <f>IF(Inputs!R53="Yes",999999,IF(Pile!S390/(Pile!P390/1000)&gt;50,999999,IF(Pile!S390&lt;2,999999,Pile!S390)))</f>
        <v>999999</v>
      </c>
      <c r="W390" s="552">
        <f>IF(Inputs!$F$47/4&gt;MAX(Pile!$DK$242:$DK$321),999999,IF(Pile!T390/(Pile!P390/1000)&gt;50,999999,IF(Pile!T390&lt;2,999999,IF(T390&gt;25,999999,Pile!T390))))</f>
        <v>999999</v>
      </c>
      <c r="X390" s="554">
        <f t="shared" si="412"/>
        <v>110836962.78325908</v>
      </c>
      <c r="Y390" s="552">
        <f t="shared" si="413"/>
        <v>110836962.78325908</v>
      </c>
      <c r="Z390" s="553">
        <f t="shared" si="414"/>
        <v>110836962.78325908</v>
      </c>
      <c r="AA390" s="467">
        <f t="shared" si="369"/>
        <v>1684.8</v>
      </c>
      <c r="AB390" s="546">
        <v>4</v>
      </c>
      <c r="AC390" s="479">
        <v>1050</v>
      </c>
      <c r="AD390" s="555">
        <f>Inputs!$D$40*4</f>
        <v>128</v>
      </c>
      <c r="AE390" s="552">
        <f>_xlfn.MINIFS($DE$70:$DE$149,$DK$70:$DK$149,"&gt;"&amp;Inputs!$K$54)</f>
        <v>1.4999999999999991</v>
      </c>
      <c r="AF390" s="552">
        <f>_xlfn.MINIFS($DE$156:$DE$235,$DK$156:$DK$235,"&gt;"&amp;Inputs!$K$54)</f>
        <v>0</v>
      </c>
      <c r="AG390" s="553">
        <f>_xlfn.MINIFS($DE$242:$DE$321,$DK$242:$DK$321,"&gt;"&amp;Inputs!$K$54)</f>
        <v>1.4999999999999991</v>
      </c>
      <c r="AH390" s="554">
        <f>IF(Inputs!$F$54/4&gt;MAX(Pile!$DK$70:$DK$149),999999,IF(Pile!AE390/(Pile!AC390/1000)&gt;50,999999,IF(Pile!AE390&lt;2,999999,Pile!AE390)))</f>
        <v>999999</v>
      </c>
      <c r="AI390" s="552">
        <f>IF(Inputs!AE53="Yes",999999,IF(Pile!AF390/(Pile!AC390/1000)&gt;50,999999,IF(Pile!AF390&lt;2,999999,Pile!AF390)))</f>
        <v>999999</v>
      </c>
      <c r="AJ390" s="552">
        <f>IF(Inputs!$F$54/4&gt;MAX(Pile!$DK$242:$DK$321),999999,IF(Pile!AG390/(Pile!AC390/1000)&gt;50,999999,IF(Pile!AG390&lt;2,999999,IF(AG390&gt;25,999999,Pile!AG390))))</f>
        <v>999999</v>
      </c>
      <c r="AK390" s="554">
        <f t="shared" si="415"/>
        <v>110836962.78325908</v>
      </c>
      <c r="AL390" s="552">
        <f t="shared" si="416"/>
        <v>110836962.78325908</v>
      </c>
      <c r="AM390" s="553">
        <f t="shared" si="417"/>
        <v>110836962.78325908</v>
      </c>
      <c r="AN390" s="471">
        <f t="shared" si="418"/>
        <v>1684.8</v>
      </c>
      <c r="AO390" s="546">
        <v>4</v>
      </c>
      <c r="AP390" s="479">
        <v>1050</v>
      </c>
      <c r="AQ390" s="555">
        <f>Inputs!$D$40*4</f>
        <v>128</v>
      </c>
      <c r="AR390" s="552">
        <f>_xlfn.MINIFS($DE$70:$DE$149,$DK$70:$DK$149,"&gt;"&amp;Inputs!$K$61)</f>
        <v>1.4999999999999991</v>
      </c>
      <c r="AS390" s="552">
        <f>_xlfn.MINIFS($DE$156:$DE$235,$DK$156:$DK$235,"&gt;"&amp;Inputs!$K$61)</f>
        <v>0</v>
      </c>
      <c r="AT390" s="553">
        <f>_xlfn.MINIFS($DE$242:$DE$321,$DK$242:$DK$321,"&gt;"&amp;Inputs!$K$61)</f>
        <v>1.4999999999999991</v>
      </c>
      <c r="AU390" s="554">
        <f>IF(Inputs!$F$61/4&gt;MAX(Pile!$DK$70:$DK$149),999999,IF(Pile!AR390/(Pile!AP390/1000)&gt;50,999999,IF(Pile!AR390&lt;2,999999,Pile!AR390)))</f>
        <v>999999</v>
      </c>
      <c r="AV390" s="552">
        <f>IF(Inputs!AR53="Yes",999999,IF(Pile!AS390/(Pile!AP390/1000)&gt;50,999999,IF(Pile!AS390&lt;2,999999,Pile!AS390)))</f>
        <v>999999</v>
      </c>
      <c r="AW390" s="552">
        <f>IF(Inputs!$F$61/4&gt;MAX(Pile!$DK$242:$DK$321),999999,IF(Pile!AT390/(Pile!AP390/1000)&gt;50,999999,IF(Pile!AT390&lt;2,999999,IF(AT390&gt;25,999999,Pile!AT390))))</f>
        <v>999999</v>
      </c>
      <c r="AX390" s="554">
        <f t="shared" si="419"/>
        <v>110836962.78325908</v>
      </c>
      <c r="AY390" s="552">
        <f t="shared" si="420"/>
        <v>110836962.78325908</v>
      </c>
      <c r="AZ390" s="553">
        <f t="shared" si="421"/>
        <v>110836962.78325908</v>
      </c>
      <c r="BA390" s="467">
        <f t="shared" si="422"/>
        <v>1684.8</v>
      </c>
      <c r="BB390" s="546">
        <v>4</v>
      </c>
      <c r="BC390" s="479">
        <v>1050</v>
      </c>
      <c r="BD390" s="555">
        <f>Inputs!$D$40*4</f>
        <v>128</v>
      </c>
      <c r="BE390" s="552">
        <f>_xlfn.MINIFS($DE$70:$DE$149,$DK$70:$DK$149,"&gt;"&amp;Inputs!$K$68)</f>
        <v>1.4999999999999991</v>
      </c>
      <c r="BF390" s="552">
        <f>_xlfn.MINIFS($DE$156:$DE$235,$DK$156:$DK$235,"&gt;"&amp;Inputs!$K$68)</f>
        <v>0</v>
      </c>
      <c r="BG390" s="553">
        <f>_xlfn.MINIFS($DE$242:$DE$321,$DK$242:$DK$321,"&gt;"&amp;Inputs!$K$68)</f>
        <v>1.4999999999999991</v>
      </c>
      <c r="BH390" s="554">
        <f>IF(Inputs!$F$68/4&gt;MAX(Pile!$DK$70:$DK$149),999999,IF(Pile!BE390/(Pile!BC390/1000)&gt;50,999999,IF(Pile!BE390&lt;2,999999,Pile!BE390)))</f>
        <v>999999</v>
      </c>
      <c r="BI390" s="552">
        <f>IF(Inputs!BE53="Yes",999999,IF(Pile!BF390/(Pile!BC390/1000)&gt;50,999999,IF(Pile!BF390&lt;2,999999,Pile!BF390)))</f>
        <v>999999</v>
      </c>
      <c r="BJ390" s="552">
        <f>IF(Inputs!$F$68/4&gt;MAX(Pile!$DK$242:$DK$321),999999,IF(Pile!BG390/(Pile!BC390/1000)&gt;50,999999,IF(Pile!BG390&lt;2,999999,IF(BG390&gt;25,999999,Pile!BG390))))</f>
        <v>999999</v>
      </c>
      <c r="BK390" s="554">
        <f t="shared" si="423"/>
        <v>110836962.78325908</v>
      </c>
      <c r="BL390" s="552">
        <f t="shared" si="424"/>
        <v>110836962.78325908</v>
      </c>
      <c r="BM390" s="553">
        <f t="shared" si="425"/>
        <v>110836962.78325908</v>
      </c>
      <c r="BN390" s="467">
        <f t="shared" si="426"/>
        <v>1684.8</v>
      </c>
      <c r="BO390" s="546">
        <v>4</v>
      </c>
      <c r="BP390" s="479">
        <v>1050</v>
      </c>
      <c r="BQ390" s="555">
        <f>Inputs!$D$40*4</f>
        <v>128</v>
      </c>
      <c r="BR390" s="552">
        <f>_xlfn.MINIFS($DE$70:$DE$149,$DK$70:$DK$149,"&gt;"&amp;Inputs!$K$75)</f>
        <v>1.7999999999999989</v>
      </c>
      <c r="BS390" s="552">
        <f>_xlfn.MINIFS($DE$156:$DE$235,$DK$156:$DK$235,"&gt;"&amp;Inputs!$K$75)</f>
        <v>0</v>
      </c>
      <c r="BT390" s="553">
        <f>_xlfn.MINIFS($DE$242:$DE$321,$DK$242:$DK$321,"&gt;"&amp;Inputs!$K$75)</f>
        <v>1.7999999999999989</v>
      </c>
      <c r="BU390" s="554">
        <f>IF(Inputs!$F$75/4&gt;MAX(Pile!$DK$70:$DK$149),999999,IF(Pile!BR390/(Pile!BP390/1000)&gt;50,999999,IF(Pile!BR390&lt;2,999999,Pile!BR390)))</f>
        <v>999999</v>
      </c>
      <c r="BV390" s="552">
        <f>IF(Inputs!BR53="Yes",999999,IF(Pile!BS390/(Pile!BP390/1000)&gt;50,999999,IF(Pile!BS390&lt;2,999999,Pile!BS390)))</f>
        <v>999999</v>
      </c>
      <c r="BW390" s="552">
        <f>IF(Inputs!$F$75/4&gt;MAX(Pile!$DK$242:$DK$321),999999,IF(Pile!BT390/(Pile!BP390/1000)&gt;50,999999,IF(Pile!BT390&lt;2,999999,IF(BT390&gt;25,999999,Pile!BT390))))</f>
        <v>999999</v>
      </c>
      <c r="BX390" s="554">
        <f t="shared" si="427"/>
        <v>110836962.78325908</v>
      </c>
      <c r="BY390" s="552">
        <f t="shared" si="428"/>
        <v>110836962.78325908</v>
      </c>
      <c r="BZ390" s="553">
        <f t="shared" si="429"/>
        <v>110836962.78325908</v>
      </c>
      <c r="CA390" s="467">
        <f t="shared" si="430"/>
        <v>1684.8</v>
      </c>
      <c r="CB390" s="546">
        <v>4</v>
      </c>
      <c r="CC390" s="479">
        <v>1050</v>
      </c>
      <c r="CD390" s="555">
        <f>Inputs!$D$40*4</f>
        <v>128</v>
      </c>
      <c r="CE390" s="552">
        <f>_xlfn.MINIFS($DE$70:$DE$149,$DK$70:$DK$149,"&gt;"&amp;Inputs!$K$82)</f>
        <v>1.1999999999999993</v>
      </c>
      <c r="CF390" s="552">
        <f>_xlfn.MINIFS($DE$156:$DE$235,$DK$156:$DK$235,"&gt;"&amp;Inputs!$K$82)</f>
        <v>0</v>
      </c>
      <c r="CG390" s="553">
        <f>_xlfn.MINIFS($DE$242:$DE$321,$DK$242:$DK$321,"&gt;"&amp;Inputs!$K$82)</f>
        <v>1.1999999999999993</v>
      </c>
      <c r="CH390" s="554">
        <f>IF(Inputs!$F$82/4&gt;MAX(Pile!$DK$70:$DK$149),999999,IF(Pile!CE390/(Pile!CC390/1000)&gt;50,999999,IF(Pile!CE390&lt;2,999999,Pile!CE390)))</f>
        <v>999999</v>
      </c>
      <c r="CI390" s="552">
        <f>IF(Inputs!CE53="Yes",999999,IF(Pile!CF390/(Pile!CC390/1000)&gt;50,999999,IF(Pile!CF390&lt;2,999999,Pile!CF390)))</f>
        <v>999999</v>
      </c>
      <c r="CJ390" s="552">
        <f>IF(Inputs!$F$82/4&gt;MAX(Pile!$DK$242:$DK$321),999999,IF(Pile!CG390/(Pile!CC390/1000)&gt;50,999999,IF(Pile!CG390&lt;2,999999,IF(CG390&gt;25,999999,Pile!CG390))))</f>
        <v>999999</v>
      </c>
      <c r="CK390" s="554">
        <f t="shared" si="431"/>
        <v>110836962.78325908</v>
      </c>
      <c r="CL390" s="552">
        <f t="shared" si="432"/>
        <v>110836962.78325908</v>
      </c>
      <c r="CM390" s="553">
        <f t="shared" si="433"/>
        <v>110836962.78325908</v>
      </c>
      <c r="CN390" s="467">
        <f t="shared" si="434"/>
        <v>1684.8</v>
      </c>
      <c r="CO390" s="546">
        <v>4</v>
      </c>
      <c r="CP390" s="479">
        <v>1050</v>
      </c>
      <c r="CQ390" s="555">
        <f>Inputs!$D$40*4</f>
        <v>128</v>
      </c>
      <c r="CR390" s="552">
        <f>_xlfn.MINIFS($DE$70:$DE$149,$DK$70:$DK$149,"&gt;"&amp;Inputs!$K$89)</f>
        <v>1.1999999999999993</v>
      </c>
      <c r="CS390" s="552">
        <f>_xlfn.MINIFS($DE$156:$DE$235,$DK$156:$DK$235,"&gt;"&amp;Inputs!$K$89)</f>
        <v>0</v>
      </c>
      <c r="CT390" s="553">
        <f>_xlfn.MINIFS($DE$242:$DE$321,$DK$242:$DK$321,"&gt;"&amp;Inputs!$K$89)</f>
        <v>1.1999999999999993</v>
      </c>
      <c r="CU390" s="554">
        <f>IF(Inputs!$F$89/4&gt;MAX(Pile!$DK$70:$DK$149),999999,IF(Pile!CR390/(Pile!CP390/1000)&gt;50,999999,IF(Pile!CR390&lt;2,999999,Pile!CR390)))</f>
        <v>999999</v>
      </c>
      <c r="CV390" s="552">
        <f>IF(Inputs!CR53="Yes",999999,IF(Pile!CS390/(Pile!CP390/1000)&gt;50,999999,IF(Pile!CS390&lt;2,999999,Pile!CS390)))</f>
        <v>999999</v>
      </c>
      <c r="CW390" s="552">
        <f>IF(Inputs!$F$89/4&gt;MAX(Pile!$DK$242:$DK$321),999999,IF(Pile!CT390/(Pile!CP390/1000)&gt;50,999999,IF(Pile!CT390&lt;2,999999,IF(CT390&gt;25,999999,Pile!CT390))))</f>
        <v>999999</v>
      </c>
      <c r="CX390" s="554">
        <f t="shared" si="435"/>
        <v>110836962.78325908</v>
      </c>
      <c r="CY390" s="552">
        <f t="shared" si="436"/>
        <v>110836962.78325908</v>
      </c>
      <c r="CZ390" s="553">
        <f t="shared" si="437"/>
        <v>110836962.78325908</v>
      </c>
      <c r="DA390" s="467">
        <f t="shared" si="438"/>
        <v>1684.8</v>
      </c>
      <c r="DB390" s="546">
        <v>4</v>
      </c>
      <c r="DC390" s="479">
        <v>1050</v>
      </c>
      <c r="DD390" s="555">
        <f>Inputs!$D$40*4</f>
        <v>128</v>
      </c>
      <c r="DE390" s="552">
        <f>_xlfn.MINIFS($DE$70:$DE$149,$DK$70:$DK$149,"&gt;"&amp;Inputs!$K$96)</f>
        <v>1.1999999999999993</v>
      </c>
      <c r="DF390" s="552">
        <f>_xlfn.MINIFS($DE$156:$DE$235,$DK$156:$DK$235,"&gt;"&amp;Inputs!$K$96)</f>
        <v>0</v>
      </c>
      <c r="DG390" s="553">
        <f>_xlfn.MINIFS($DE$242:$DE$321,$DK$242:$DK$321,"&gt;"&amp;Inputs!$K$96)</f>
        <v>1.1999999999999993</v>
      </c>
      <c r="DH390" s="554">
        <f>IF(Inputs!$F$96/4&gt;MAX(Pile!$DK$70:$DK$149),999999,IF(Pile!DE390/(Pile!DC390/1000)&gt;50,999999,IF(Pile!DE390&lt;2,999999,Pile!DE390)))</f>
        <v>999999</v>
      </c>
      <c r="DI390" s="552">
        <f>IF(Inputs!DE53="Yes",999999,IF(Pile!DF390/(Pile!DC390/1000)&gt;50,999999,IF(Pile!DF390&lt;2,999999,Pile!DF390)))</f>
        <v>999999</v>
      </c>
      <c r="DJ390" s="552">
        <f>IF(Inputs!$F$96/4&gt;MAX(Pile!$DK$242:$DK$321),999999,IF(Pile!DG390/(Pile!DC390/1000)&gt;50,999999,IF(Pile!DG390&lt;2,999999,IF(DG390&gt;25,999999,Pile!DG390))))</f>
        <v>999999</v>
      </c>
      <c r="DK390" s="554">
        <f t="shared" si="439"/>
        <v>110836962.78325908</v>
      </c>
      <c r="DL390" s="552">
        <f t="shared" si="440"/>
        <v>110836962.78325908</v>
      </c>
      <c r="DM390" s="553">
        <f t="shared" si="441"/>
        <v>110836962.78325908</v>
      </c>
      <c r="DN390" s="467">
        <f t="shared" si="442"/>
        <v>1684.8</v>
      </c>
      <c r="DO390" s="546">
        <v>4</v>
      </c>
      <c r="DP390" s="479">
        <v>1050</v>
      </c>
      <c r="DQ390" s="555">
        <f>Inputs!$D$40*4</f>
        <v>128</v>
      </c>
      <c r="DR390" s="552">
        <f>_xlfn.MINIFS($DE$70:$DE$149,$DK$70:$DK$149,"&gt;"&amp;Inputs!$K$103)</f>
        <v>0.89999999999999947</v>
      </c>
      <c r="DS390" s="552">
        <f>_xlfn.MINIFS($DE$156:$DE$235,$DK$156:$DK$235,"&gt;"&amp;Inputs!$K$103)</f>
        <v>0</v>
      </c>
      <c r="DT390" s="553">
        <f>_xlfn.MINIFS($DE$242:$DE$321,$DK$242:$DK$321,"&gt;"&amp;Inputs!$K$103)</f>
        <v>0.89999999999999947</v>
      </c>
      <c r="DU390" s="554">
        <f>IF(Inputs!$F$103/4&gt;MAX(Pile!$DK$70:$DK$149),999999,IF(Pile!DR390/(Pile!DP390/1000)&gt;50,999999,IF(Pile!DR390&lt;2,999999,Pile!DR390)))</f>
        <v>999999</v>
      </c>
      <c r="DV390" s="552">
        <f>IF(Inputs!DR53="Yes",999999,IF(Pile!DS390/(Pile!DP390/1000)&gt;50,999999,IF(Pile!DS390&lt;2,999999,Pile!DS390)))</f>
        <v>999999</v>
      </c>
      <c r="DW390" s="552">
        <f>IF(Inputs!$F$103/4&gt;MAX(Pile!$DK$242:$DK$321),999999,IF(Pile!DT390/(Pile!DP390/1000)&gt;50,999999,IF(Pile!DT390&lt;2,999999,IF(DT390&gt;25,999999,Pile!DT390))))</f>
        <v>999999</v>
      </c>
      <c r="DX390" s="554">
        <f t="shared" si="443"/>
        <v>110836962.78325908</v>
      </c>
      <c r="DY390" s="552">
        <f t="shared" si="444"/>
        <v>110836962.78325908</v>
      </c>
      <c r="DZ390" s="553">
        <f t="shared" si="445"/>
        <v>110836962.78325908</v>
      </c>
      <c r="EA390" s="467">
        <f t="shared" si="446"/>
        <v>1684.8</v>
      </c>
      <c r="EB390" s="546">
        <v>4</v>
      </c>
      <c r="EC390" s="479">
        <v>1050</v>
      </c>
      <c r="ED390" s="555">
        <f>Inputs!$D$40*4</f>
        <v>128</v>
      </c>
      <c r="EE390" s="552">
        <f>_xlfn.MINIFS($DE$70:$DE$149,$DK$70:$DK$149,"&gt;"&amp;Inputs!$K$110)</f>
        <v>0.89999999999999947</v>
      </c>
      <c r="EF390" s="552">
        <f>_xlfn.MINIFS($DE$156:$DE$235,$DK$156:$DK$235,"&gt;"&amp;Inputs!$K$110)</f>
        <v>0</v>
      </c>
      <c r="EG390" s="553">
        <f>_xlfn.MINIFS($DE$242:$DE$321,$DK$242:$DK$321,"&gt;"&amp;Inputs!$K$110)</f>
        <v>0.89999999999999947</v>
      </c>
      <c r="EH390" s="554">
        <f>IF(Inputs!$F$110/4&gt;MAX(Pile!$DK$70:$DK$149),999999,IF(Pile!EE390/(Pile!EC390/1000)&gt;50,999999,IF(Pile!EE390&lt;2,999999,Pile!EE390)))</f>
        <v>999999</v>
      </c>
      <c r="EI390" s="552">
        <f>IF(Inputs!EE53="Yes",999999,IF(Pile!EF390/(Pile!EC390/1000)&gt;50,999999,IF(Pile!EF390&lt;2,999999,Pile!EF390)))</f>
        <v>999999</v>
      </c>
      <c r="EJ390" s="552">
        <f>IF(Inputs!$F$110/4&gt;MAX(Pile!$DK$242:$DK$321),999999,IF(Pile!EG390/(Pile!EC390/1000)&gt;50,999999,IF(Pile!EG390&lt;2,999999,IF(EG390&gt;25,999999,Pile!EG390))))</f>
        <v>999999</v>
      </c>
      <c r="EK390" s="554">
        <f t="shared" si="447"/>
        <v>110836962.78325908</v>
      </c>
      <c r="EL390" s="552">
        <f t="shared" si="448"/>
        <v>110836962.78325908</v>
      </c>
      <c r="EM390" s="553">
        <f t="shared" si="449"/>
        <v>110836962.78325908</v>
      </c>
      <c r="EN390" s="467">
        <f t="shared" si="450"/>
        <v>1684.8</v>
      </c>
      <c r="EO390" s="546">
        <v>4</v>
      </c>
      <c r="EP390" s="479">
        <v>1050</v>
      </c>
      <c r="EQ390" s="555">
        <f>Inputs!$D$40*4</f>
        <v>128</v>
      </c>
      <c r="ER390" s="552">
        <f>_xlfn.MINIFS($DE$70:$DE$149,$DK$70:$DK$149,"&gt;"&amp;Inputs!$K$117)</f>
        <v>0.29999999999999982</v>
      </c>
      <c r="ES390" s="552">
        <f>_xlfn.MINIFS($DE$156:$DE$235,$DK$156:$DK$235,"&gt;"&amp;Inputs!$K$117)</f>
        <v>0</v>
      </c>
      <c r="ET390" s="553">
        <f>_xlfn.MINIFS($DE$242:$DE$321,$DK$242:$DK$321,"&gt;"&amp;Inputs!$K$117)</f>
        <v>0.29999999999999982</v>
      </c>
      <c r="EU390" s="554">
        <f>IF(Inputs!$F$117/4&gt;MAX(Pile!$DK$70:$DK$149),999999,IF(Pile!ER390/(Pile!EP390/1000)&gt;50,999999,IF(Pile!ER390&lt;2,999999,Pile!ER390)))</f>
        <v>999999</v>
      </c>
      <c r="EV390" s="552">
        <f>IF(Inputs!ER53="Yes",999999,IF(Inputs!$F$117&gt;MAX(Pile!$DG$156:$DG$235),999999,IF(Pile!ES390/(Pile!EP390/1000)&gt;50,999999,IF(Pile!ES390&lt;2,999999,Pile!ES390))))</f>
        <v>999999</v>
      </c>
      <c r="EW390" s="552">
        <f>IF(Inputs!$F$117/4&gt;MAX(Pile!$DK$242:$DK$321),999999,IF(Pile!ET390/(Pile!EP390/1000)&gt;50,999999,IF(Pile!ET390&lt;2,999999,IF(ET390&gt;25,999999,Pile!ET390))))</f>
        <v>999999</v>
      </c>
      <c r="EX390" s="554">
        <f t="shared" si="406"/>
        <v>110835277.98325908</v>
      </c>
      <c r="EY390" s="552">
        <f t="shared" si="407"/>
        <v>110835277.98325908</v>
      </c>
      <c r="EZ390" s="553">
        <f t="shared" si="408"/>
        <v>110835277.98325908</v>
      </c>
    </row>
    <row r="391" spans="2:158" ht="15.75" thickBot="1">
      <c r="B391" s="559">
        <v>4</v>
      </c>
      <c r="C391" s="483">
        <v>1200</v>
      </c>
      <c r="D391" s="560">
        <f>Inputs!$D$40*4</f>
        <v>128</v>
      </c>
      <c r="E391" s="561">
        <f>_xlfn.MINIFS($DE$70:$DE$149,$DL$70:$DL$149,"&gt;"&amp;Inputs!$K$40)</f>
        <v>1.1999999999999993</v>
      </c>
      <c r="F391" s="561">
        <f>_xlfn.MINIFS($DE$156:$DE$235,$DL$156:$DL$235,"&gt;"&amp;Inputs!$K$40)</f>
        <v>0</v>
      </c>
      <c r="G391" s="562">
        <f>_xlfn.MINIFS($DE$242:$DE$321,$DL$242:$DL$321,"&gt;"&amp;Inputs!$K$40)</f>
        <v>1.1999999999999993</v>
      </c>
      <c r="H391" s="563">
        <f>IF(Inputs!$F$40/4&gt;MAX(Pile!$DL$70:$DL$149),999999,IF(Pile!E391/(Pile!C391/1000)&gt;50,999999,IF(Pile!E391&lt;2,999999,Pile!E391)))</f>
        <v>999999</v>
      </c>
      <c r="I391" s="561">
        <f>IF(Inputs!E54="Yes",999999,IF(Pile!F391/(Pile!C391/1000)&gt;50,999999,IF(Pile!F391&lt;2,999999,Pile!F391)))</f>
        <v>999999</v>
      </c>
      <c r="J391" s="561">
        <f>IF(Inputs!$F$40/4&gt;MAX(Pile!$DL$242:$DL$321),999999,IF(Pile!G391/(Pile!C391/1000)&gt;50,999999,IF(Pile!G391&lt;2,999999,IF(G391&gt;25,999999,Pile!G391))))</f>
        <v>999999</v>
      </c>
      <c r="K391" s="563">
        <f t="shared" si="409"/>
        <v>144766941.6728282</v>
      </c>
      <c r="L391" s="561">
        <f t="shared" si="410"/>
        <v>144766941.6728282</v>
      </c>
      <c r="M391" s="562">
        <f t="shared" si="411"/>
        <v>144766941.6728282</v>
      </c>
      <c r="N391" s="466">
        <f>Inputs!$D$40*G464</f>
        <v>2496.9599999999996</v>
      </c>
      <c r="O391" s="559">
        <v>4</v>
      </c>
      <c r="P391" s="483">
        <v>1200</v>
      </c>
      <c r="Q391" s="560">
        <f>Inputs!$D$40*4</f>
        <v>128</v>
      </c>
      <c r="R391" s="561">
        <f>_xlfn.MINIFS($DE$70:$DE$149,$DL$70:$DL$149,"&gt;"&amp;Inputs!$K$47)</f>
        <v>1.1999999999999993</v>
      </c>
      <c r="S391" s="561">
        <f>_xlfn.MINIFS($DE$156:$DE$235,$DL$156:$DL$235,"&gt;"&amp;Inputs!$K$47)</f>
        <v>0</v>
      </c>
      <c r="T391" s="562">
        <f>_xlfn.MINIFS($DE$242:$DE$321,$DL$242:$DL$321,"&gt;"&amp;Inputs!$K$47)</f>
        <v>1.1999999999999993</v>
      </c>
      <c r="U391" s="563">
        <f>IF(Inputs!$F$47/4&gt;MAX(Pile!$DL$70:$DL$149),999999,IF(Pile!R391/(Pile!P391/1000)&gt;50,999999,IF(Pile!R391&lt;2,999999,Pile!R391)))</f>
        <v>999999</v>
      </c>
      <c r="V391" s="561">
        <f>IF(Inputs!R54="Yes",999999,IF(Pile!S391/(Pile!P391/1000)&gt;50,999999,IF(Pile!S391&lt;2,999999,Pile!S391)))</f>
        <v>999999</v>
      </c>
      <c r="W391" s="561">
        <f>IF(Inputs!$F$47/4&gt;MAX(Pile!$DL$242:$DL$321),999999,IF(Pile!T391/(Pile!P391/1000)&gt;50,999999,IF(Pile!T391&lt;2,999999,IF(T391&gt;25,999999,Pile!T391))))</f>
        <v>999999</v>
      </c>
      <c r="X391" s="563">
        <f t="shared" si="412"/>
        <v>144766941.6728282</v>
      </c>
      <c r="Y391" s="561">
        <f t="shared" si="413"/>
        <v>144766941.6728282</v>
      </c>
      <c r="Z391" s="562">
        <f t="shared" si="414"/>
        <v>144766941.6728282</v>
      </c>
      <c r="AA391" s="467">
        <f t="shared" si="369"/>
        <v>2496.9599999999996</v>
      </c>
      <c r="AB391" s="564">
        <v>4</v>
      </c>
      <c r="AC391" s="487">
        <v>1200</v>
      </c>
      <c r="AD391" s="565">
        <f>Inputs!$D$40*4</f>
        <v>128</v>
      </c>
      <c r="AE391" s="561">
        <f>_xlfn.MINIFS($DE$70:$DE$149,$DL$70:$DL$149,"&gt;"&amp;Inputs!$K$54)</f>
        <v>1.1999999999999993</v>
      </c>
      <c r="AF391" s="561">
        <f>_xlfn.MINIFS($DE$156:$DE$235,$DL$156:$DL$235,"&gt;"&amp;Inputs!$K$54)</f>
        <v>0</v>
      </c>
      <c r="AG391" s="562">
        <f>_xlfn.MINIFS($DE$242:$DE$321,$DL$242:$DL$321,"&gt;"&amp;Inputs!$K$54)</f>
        <v>1.1999999999999993</v>
      </c>
      <c r="AH391" s="563">
        <f>IF(Inputs!$F$54/4&gt;MAX(Pile!$DL$70:$DL$149),999999,IF(Pile!AE391/(Pile!AC391/1000)&gt;50,999999,IF(Pile!AE391&lt;2,999999,Pile!AE391)))</f>
        <v>999999</v>
      </c>
      <c r="AI391" s="561">
        <f>IF(Inputs!AE54="Yes",999999,IF(Pile!AF391/(Pile!AC391/1000)&gt;50,999999,IF(Pile!AF391&lt;2,999999,Pile!AF391)))</f>
        <v>999999</v>
      </c>
      <c r="AJ391" s="561">
        <f>IF(Inputs!$F$54/4&gt;MAX(Pile!$DL$242:$DL$321),999999,IF(Pile!AG391/(Pile!AC391/1000)&gt;50,999999,IF(Pile!AG391&lt;2,999999,IF(AG391&gt;25,999999,Pile!AG391))))</f>
        <v>999999</v>
      </c>
      <c r="AK391" s="563">
        <f t="shared" si="415"/>
        <v>144766941.6728282</v>
      </c>
      <c r="AL391" s="561">
        <f t="shared" si="416"/>
        <v>144766941.6728282</v>
      </c>
      <c r="AM391" s="562">
        <f t="shared" si="417"/>
        <v>144766941.6728282</v>
      </c>
      <c r="AN391" s="471">
        <f t="shared" si="418"/>
        <v>2496.9599999999996</v>
      </c>
      <c r="AO391" s="564">
        <v>4</v>
      </c>
      <c r="AP391" s="487">
        <v>1200</v>
      </c>
      <c r="AQ391" s="565">
        <f>Inputs!$D$40*4</f>
        <v>128</v>
      </c>
      <c r="AR391" s="561">
        <f>_xlfn.MINIFS($DE$70:$DE$149,$DL$70:$DL$149,"&gt;"&amp;Inputs!$K$61)</f>
        <v>1.1999999999999993</v>
      </c>
      <c r="AS391" s="561">
        <f>_xlfn.MINIFS($DE$156:$DE$235,$DL$156:$DL$235,"&gt;"&amp;Inputs!$K$61)</f>
        <v>0</v>
      </c>
      <c r="AT391" s="562">
        <f>_xlfn.MINIFS($DE$242:$DE$321,$DL$242:$DL$321,"&gt;"&amp;Inputs!$K$61)</f>
        <v>1.1999999999999993</v>
      </c>
      <c r="AU391" s="563">
        <f>IF(Inputs!$F$61/4&gt;MAX(Pile!$DL$70:$DL$149),999999,IF(Pile!AR391/(Pile!AP391/1000)&gt;50,999999,IF(Pile!AR391&lt;2,999999,Pile!AR391)))</f>
        <v>999999</v>
      </c>
      <c r="AV391" s="561">
        <f>IF(Inputs!AR54="Yes",999999,IF(Pile!AS391/(Pile!AP391/1000)&gt;50,999999,IF(Pile!AS391&lt;2,999999,Pile!AS391)))</f>
        <v>999999</v>
      </c>
      <c r="AW391" s="561">
        <f>IF(Inputs!$F$61/4&gt;MAX(Pile!$DL$242:$DL$321),999999,IF(Pile!AT391/(Pile!AP391/1000)&gt;50,999999,IF(Pile!AT391&lt;2,999999,IF(AT391&gt;25,999999,Pile!AT391))))</f>
        <v>999999</v>
      </c>
      <c r="AX391" s="563">
        <f t="shared" si="419"/>
        <v>144766941.6728282</v>
      </c>
      <c r="AY391" s="561">
        <f t="shared" si="420"/>
        <v>144766941.6728282</v>
      </c>
      <c r="AZ391" s="562">
        <f t="shared" si="421"/>
        <v>144766941.6728282</v>
      </c>
      <c r="BA391" s="467">
        <f t="shared" si="422"/>
        <v>2496.9599999999996</v>
      </c>
      <c r="BB391" s="564">
        <v>4</v>
      </c>
      <c r="BC391" s="487">
        <v>1200</v>
      </c>
      <c r="BD391" s="565">
        <f>Inputs!$D$40*4</f>
        <v>128</v>
      </c>
      <c r="BE391" s="561">
        <f>_xlfn.MINIFS($DE$70:$DE$149,$DL$70:$DL$149,"&gt;"&amp;Inputs!$K$68)</f>
        <v>1.1999999999999993</v>
      </c>
      <c r="BF391" s="561">
        <f>_xlfn.MINIFS($DE$156:$DE$235,$DL$156:$DL$235,"&gt;"&amp;Inputs!$K$68)</f>
        <v>0</v>
      </c>
      <c r="BG391" s="562">
        <f>_xlfn.MINIFS($DE$242:$DE$321,$DL$242:$DL$321,"&gt;"&amp;Inputs!$K$68)</f>
        <v>1.1999999999999993</v>
      </c>
      <c r="BH391" s="563">
        <f>IF(Inputs!$F$68/4&gt;MAX(Pile!$DL$70:$DL$149),999999,IF(Pile!BE391/(Pile!BC391/1000)&gt;50,999999,IF(Pile!BE391&lt;2,999999,Pile!BE391)))</f>
        <v>999999</v>
      </c>
      <c r="BI391" s="561">
        <f>IF(Inputs!BE54="Yes",999999,IF(Pile!BF391/(Pile!BC391/1000)&gt;50,999999,IF(Pile!BF391&lt;2,999999,Pile!BF391)))</f>
        <v>999999</v>
      </c>
      <c r="BJ391" s="561">
        <f>IF(Inputs!$F$68/4&gt;MAX(Pile!$DL$242:$DL$321),999999,IF(Pile!BG391/(Pile!BC391/1000)&gt;50,999999,IF(Pile!BG391&lt;2,999999,IF(BG391&gt;25,999999,Pile!BG391))))</f>
        <v>999999</v>
      </c>
      <c r="BK391" s="563">
        <f t="shared" si="423"/>
        <v>144766941.6728282</v>
      </c>
      <c r="BL391" s="561">
        <f t="shared" si="424"/>
        <v>144766941.6728282</v>
      </c>
      <c r="BM391" s="562">
        <f t="shared" si="425"/>
        <v>144766941.6728282</v>
      </c>
      <c r="BN391" s="467">
        <f t="shared" si="426"/>
        <v>2496.9599999999996</v>
      </c>
      <c r="BO391" s="564">
        <v>4</v>
      </c>
      <c r="BP391" s="487">
        <v>1200</v>
      </c>
      <c r="BQ391" s="565">
        <f>Inputs!$D$40*4</f>
        <v>128</v>
      </c>
      <c r="BR391" s="561">
        <f>_xlfn.MINIFS($DE$70:$DE$149,$DL$70:$DL$149,"&gt;"&amp;Inputs!$K$75)</f>
        <v>1.4999999999999991</v>
      </c>
      <c r="BS391" s="561">
        <f>_xlfn.MINIFS($DE$156:$DE$235,$DL$156:$DL$235,"&gt;"&amp;Inputs!$K$75)</f>
        <v>0</v>
      </c>
      <c r="BT391" s="562">
        <f>_xlfn.MINIFS($DE$242:$DE$321,$DL$242:$DL$321,"&gt;"&amp;Inputs!$K$75)</f>
        <v>1.4999999999999991</v>
      </c>
      <c r="BU391" s="563">
        <f>IF(Inputs!$F$75/4&gt;MAX(Pile!$DL$70:$DL$149),999999,IF(Pile!BR391/(Pile!BP391/1000)&gt;50,999999,IF(Pile!BR391&lt;2,999999,Pile!BR391)))</f>
        <v>999999</v>
      </c>
      <c r="BV391" s="561">
        <f>IF(Inputs!BR54="Yes",999999,IF(Pile!BS391/(Pile!BP391/1000)&gt;50,999999,IF(Pile!BS391&lt;2,999999,Pile!BS391)))</f>
        <v>999999</v>
      </c>
      <c r="BW391" s="561">
        <f>IF(Inputs!$F$75/4&gt;MAX(Pile!$DL$242:$DL$321),999999,IF(Pile!BT391/(Pile!BP391/1000)&gt;50,999999,IF(Pile!BT391&lt;2,999999,IF(BT391&gt;25,999999,Pile!BT391))))</f>
        <v>999999</v>
      </c>
      <c r="BX391" s="563">
        <f t="shared" si="427"/>
        <v>144766941.6728282</v>
      </c>
      <c r="BY391" s="561">
        <f t="shared" si="428"/>
        <v>144766941.6728282</v>
      </c>
      <c r="BZ391" s="562">
        <f t="shared" si="429"/>
        <v>144766941.6728282</v>
      </c>
      <c r="CA391" s="467">
        <f t="shared" si="430"/>
        <v>2496.9599999999996</v>
      </c>
      <c r="CB391" s="564">
        <v>4</v>
      </c>
      <c r="CC391" s="487">
        <v>1200</v>
      </c>
      <c r="CD391" s="565">
        <f>Inputs!$D$40*4</f>
        <v>128</v>
      </c>
      <c r="CE391" s="561">
        <f>_xlfn.MINIFS($DE$70:$DE$149,$DL$70:$DL$149,"&gt;"&amp;Inputs!$K$82)</f>
        <v>1.1999999999999993</v>
      </c>
      <c r="CF391" s="561">
        <f>_xlfn.MINIFS($DE$156:$DE$235,$DL$156:$DL$235,"&gt;"&amp;Inputs!$K$82)</f>
        <v>0</v>
      </c>
      <c r="CG391" s="562">
        <f>_xlfn.MINIFS($DE$242:$DE$321,$DL$242:$DL$321,"&gt;"&amp;Inputs!$K$82)</f>
        <v>0.89999999999999947</v>
      </c>
      <c r="CH391" s="563">
        <f>IF(Inputs!$F$82/4&gt;MAX(Pile!$DL$70:$DL$149),999999,IF(Pile!CE391/(Pile!CC391/1000)&gt;50,999999,IF(Pile!CE391&lt;2,999999,Pile!CE391)))</f>
        <v>999999</v>
      </c>
      <c r="CI391" s="561">
        <f>IF(Inputs!CE54="Yes",999999,IF(Pile!CF391/(Pile!CC391/1000)&gt;50,999999,IF(Pile!CF391&lt;2,999999,Pile!CF391)))</f>
        <v>999999</v>
      </c>
      <c r="CJ391" s="561">
        <f>IF(Inputs!$F$82/4&gt;MAX(Pile!$DL$242:$DL$321),999999,IF(Pile!CG391/(Pile!CC391/1000)&gt;50,999999,IF(Pile!CG391&lt;2,999999,IF(CG391&gt;25,999999,Pile!CG391))))</f>
        <v>999999</v>
      </c>
      <c r="CK391" s="563">
        <f t="shared" si="431"/>
        <v>144766941.6728282</v>
      </c>
      <c r="CL391" s="561">
        <f t="shared" si="432"/>
        <v>144766941.6728282</v>
      </c>
      <c r="CM391" s="562">
        <f t="shared" si="433"/>
        <v>144766941.6728282</v>
      </c>
      <c r="CN391" s="467">
        <f t="shared" si="434"/>
        <v>2496.9599999999996</v>
      </c>
      <c r="CO391" s="564">
        <v>4</v>
      </c>
      <c r="CP391" s="487">
        <v>1200</v>
      </c>
      <c r="CQ391" s="565">
        <f>Inputs!$D$40*4</f>
        <v>128</v>
      </c>
      <c r="CR391" s="561">
        <f>_xlfn.MINIFS($DE$70:$DE$149,$DL$70:$DL$149,"&gt;"&amp;Inputs!$K$89)</f>
        <v>0.89999999999999947</v>
      </c>
      <c r="CS391" s="561">
        <f>_xlfn.MINIFS($DE$156:$DE$235,$DL$156:$DL$235,"&gt;"&amp;Inputs!$K$89)</f>
        <v>0</v>
      </c>
      <c r="CT391" s="562">
        <f>_xlfn.MINIFS($DE$242:$DE$321,$DL$242:$DL$321,"&gt;"&amp;Inputs!$K$89)</f>
        <v>0.89999999999999947</v>
      </c>
      <c r="CU391" s="563">
        <f>IF(Inputs!$F$89/4&gt;MAX(Pile!$DL$70:$DL$149),999999,IF(Pile!CR391/(Pile!CP391/1000)&gt;50,999999,IF(Pile!CR391&lt;2,999999,Pile!CR391)))</f>
        <v>999999</v>
      </c>
      <c r="CV391" s="561">
        <f>IF(Inputs!CR54="Yes",999999,IF(Pile!CS391/(Pile!CP391/1000)&gt;50,999999,IF(Pile!CS391&lt;2,999999,Pile!CS391)))</f>
        <v>999999</v>
      </c>
      <c r="CW391" s="561">
        <f>IF(Inputs!$F$89/4&gt;MAX(Pile!$DL$242:$DL$321),999999,IF(Pile!CT391/(Pile!CP391/1000)&gt;50,999999,IF(Pile!CT391&lt;2,999999,IF(CT391&gt;25,999999,Pile!CT391))))</f>
        <v>999999</v>
      </c>
      <c r="CX391" s="563">
        <f t="shared" si="435"/>
        <v>144766941.6728282</v>
      </c>
      <c r="CY391" s="561">
        <f t="shared" si="436"/>
        <v>144766941.6728282</v>
      </c>
      <c r="CZ391" s="562">
        <f t="shared" si="437"/>
        <v>144766941.6728282</v>
      </c>
      <c r="DA391" s="467">
        <f t="shared" si="438"/>
        <v>2496.9599999999996</v>
      </c>
      <c r="DB391" s="564">
        <v>4</v>
      </c>
      <c r="DC391" s="487">
        <v>1200</v>
      </c>
      <c r="DD391" s="565">
        <f>Inputs!$D$40*4</f>
        <v>128</v>
      </c>
      <c r="DE391" s="561">
        <f>_xlfn.MINIFS($DE$70:$DE$149,$DL$70:$DL$149,"&gt;"&amp;Inputs!$K$96)</f>
        <v>0.89999999999999947</v>
      </c>
      <c r="DF391" s="561">
        <f>_xlfn.MINIFS($DE$156:$DE$235,$DL$156:$DL$235,"&gt;"&amp;Inputs!$K$96)</f>
        <v>0</v>
      </c>
      <c r="DG391" s="562">
        <f>_xlfn.MINIFS($DE$242:$DE$321,$DL$242:$DL$321,"&gt;"&amp;Inputs!$K$96)</f>
        <v>0.89999999999999947</v>
      </c>
      <c r="DH391" s="563">
        <f>IF(Inputs!$F$96/4&gt;MAX(Pile!$DL$70:$DL$149),999999,IF(Pile!DE391/(Pile!DC391/1000)&gt;50,999999,IF(Pile!DE391&lt;2,999999,Pile!DE391)))</f>
        <v>999999</v>
      </c>
      <c r="DI391" s="561">
        <f>IF(Inputs!DE54="Yes",999999,IF(Pile!DF391/(Pile!DC391/1000)&gt;50,999999,IF(Pile!DF391&lt;2,999999,Pile!DF391)))</f>
        <v>999999</v>
      </c>
      <c r="DJ391" s="561">
        <f>IF(Inputs!$F$96/4&gt;MAX(Pile!$DL$242:$DL$321),999999,IF(Pile!DG391/(Pile!DC391/1000)&gt;50,999999,IF(Pile!DG391&lt;2,999999,IF(DG391&gt;25,999999,Pile!DG391))))</f>
        <v>999999</v>
      </c>
      <c r="DK391" s="563">
        <f t="shared" si="439"/>
        <v>144766941.6728282</v>
      </c>
      <c r="DL391" s="561">
        <f t="shared" si="440"/>
        <v>144766941.6728282</v>
      </c>
      <c r="DM391" s="562">
        <f t="shared" si="441"/>
        <v>144766941.6728282</v>
      </c>
      <c r="DN391" s="467">
        <f t="shared" si="442"/>
        <v>2496.9599999999996</v>
      </c>
      <c r="DO391" s="564">
        <v>4</v>
      </c>
      <c r="DP391" s="487">
        <v>1200</v>
      </c>
      <c r="DQ391" s="565">
        <f>Inputs!$D$40*4</f>
        <v>128</v>
      </c>
      <c r="DR391" s="561">
        <f>_xlfn.MINIFS($DE$70:$DE$149,$DL$70:$DL$149,"&gt;"&amp;Inputs!$K$103)</f>
        <v>0.89999999999999947</v>
      </c>
      <c r="DS391" s="561">
        <f>_xlfn.MINIFS($DE$156:$DE$235,$DL$156:$DL$235,"&gt;"&amp;Inputs!$K$103)</f>
        <v>0</v>
      </c>
      <c r="DT391" s="562">
        <f>_xlfn.MINIFS($DE$242:$DE$321,$DL$242:$DL$321,"&gt;"&amp;Inputs!$K$103)</f>
        <v>0.89999999999999947</v>
      </c>
      <c r="DU391" s="563">
        <f>IF(Inputs!$F$103/4&gt;MAX(Pile!$DL$70:$DL$149),999999,IF(Pile!DR391/(Pile!DP391/1000)&gt;50,999999,IF(Pile!DR391&lt;2,999999,Pile!DR391)))</f>
        <v>999999</v>
      </c>
      <c r="DV391" s="561">
        <f>IF(Inputs!DR54="Yes",999999,IF(Pile!DS391/(Pile!DP391/1000)&gt;50,999999,IF(Pile!DS391&lt;2,999999,Pile!DS391)))</f>
        <v>999999</v>
      </c>
      <c r="DW391" s="561">
        <f>IF(Inputs!$F$103/4&gt;MAX(Pile!$DL$242:$DL$321),999999,IF(Pile!DT391/(Pile!DP391/1000)&gt;50,999999,IF(Pile!DT391&lt;2,999999,IF(DT391&gt;25,999999,Pile!DT391))))</f>
        <v>999999</v>
      </c>
      <c r="DX391" s="563">
        <f t="shared" si="443"/>
        <v>144766941.6728282</v>
      </c>
      <c r="DY391" s="561">
        <f t="shared" si="444"/>
        <v>144766941.6728282</v>
      </c>
      <c r="DZ391" s="562">
        <f t="shared" si="445"/>
        <v>144766941.6728282</v>
      </c>
      <c r="EA391" s="467">
        <f t="shared" si="446"/>
        <v>2496.9599999999996</v>
      </c>
      <c r="EB391" s="564">
        <v>4</v>
      </c>
      <c r="EC391" s="487">
        <v>1200</v>
      </c>
      <c r="ED391" s="565">
        <f>Inputs!$D$40*4</f>
        <v>128</v>
      </c>
      <c r="EE391" s="561">
        <f>_xlfn.MINIFS($DE$70:$DE$149,$DL$70:$DL$149,"&gt;"&amp;Inputs!$K$110)</f>
        <v>0.89999999999999947</v>
      </c>
      <c r="EF391" s="561">
        <f>_xlfn.MINIFS($DE$156:$DE$235,$DL$156:$DL$235,"&gt;"&amp;Inputs!$K$110)</f>
        <v>0</v>
      </c>
      <c r="EG391" s="562">
        <f>_xlfn.MINIFS($DE$242:$DE$321,$DL$242:$DL$321,"&gt;"&amp;Inputs!$K$110)</f>
        <v>0.89999999999999947</v>
      </c>
      <c r="EH391" s="563">
        <f>IF(Inputs!$F$110/4&gt;MAX(Pile!$DL$70:$DL$149),999999,IF(Pile!EE391/(Pile!EC391/1000)&gt;50,999999,IF(Pile!EE391&lt;2,999999,Pile!EE391)))</f>
        <v>999999</v>
      </c>
      <c r="EI391" s="561">
        <f>IF(Inputs!EE54="Yes",999999,IF(Pile!EF391/(Pile!EC391/1000)&gt;50,999999,IF(Pile!EF391&lt;2,999999,Pile!EF391)))</f>
        <v>999999</v>
      </c>
      <c r="EJ391" s="561">
        <f>IF(Inputs!$F$110/4&gt;MAX(Pile!$DL$242:$DL$321),999999,IF(Pile!EG391/(Pile!EC391/1000)&gt;50,999999,IF(Pile!EG391&lt;2,999999,IF(EG391&gt;25,999999,Pile!EG391))))</f>
        <v>999999</v>
      </c>
      <c r="EK391" s="563">
        <f t="shared" si="447"/>
        <v>144766941.6728282</v>
      </c>
      <c r="EL391" s="561">
        <f t="shared" si="448"/>
        <v>144766941.6728282</v>
      </c>
      <c r="EM391" s="562">
        <f t="shared" si="449"/>
        <v>144766941.6728282</v>
      </c>
      <c r="EN391" s="467">
        <f t="shared" si="450"/>
        <v>2496.9599999999996</v>
      </c>
      <c r="EO391" s="564">
        <v>4</v>
      </c>
      <c r="EP391" s="487">
        <v>1200</v>
      </c>
      <c r="EQ391" s="565">
        <f>Inputs!$D$40*4</f>
        <v>128</v>
      </c>
      <c r="ER391" s="561">
        <f>_xlfn.MINIFS($DE$70:$DE$149,$DL$70:$DL$149,"&gt;"&amp;Inputs!$K$117)</f>
        <v>0.29999999999999982</v>
      </c>
      <c r="ES391" s="561">
        <f>_xlfn.MINIFS($DE$156:$DE$235,$DL$156:$DL$235,"&gt;"&amp;Inputs!$K$117)</f>
        <v>0</v>
      </c>
      <c r="ET391" s="562">
        <f>_xlfn.MINIFS($DE$242:$DE$321,$DL$242:$DL$321,"&gt;"&amp;Inputs!$K$117)</f>
        <v>0.29999999999999982</v>
      </c>
      <c r="EU391" s="563">
        <f>IF(Inputs!$F$117/4&gt;MAX(Pile!$DL$70:$DL$149),999999,IF(Pile!ER391/(Pile!EP391/1000)&gt;50,999999,IF(Pile!ER391&lt;2,999999,Pile!ER391)))</f>
        <v>999999</v>
      </c>
      <c r="EV391" s="561">
        <f>IF(Inputs!ER54="Yes",999999,IF(Inputs!$F$117&gt;MAX(Pile!$DG$156:$DG$235),999999,IF(Pile!ES391/(Pile!EP391/1000)&gt;50,999999,IF(Pile!ES391&lt;2,999999,Pile!ES391))))</f>
        <v>999999</v>
      </c>
      <c r="EW391" s="561">
        <f>IF(Inputs!$F$117/4&gt;MAX(Pile!$DL$242:$DL$321),999999,IF(Pile!ET391/(Pile!EP391/1000)&gt;50,999999,IF(Pile!ET391&lt;2,999999,IF(ET391&gt;25,999999,Pile!ET391))))</f>
        <v>999999</v>
      </c>
      <c r="EX391" s="563">
        <f t="shared" si="406"/>
        <v>144764444.71282819</v>
      </c>
      <c r="EY391" s="561">
        <f t="shared" si="407"/>
        <v>144764444.71282819</v>
      </c>
      <c r="EZ391" s="562">
        <f t="shared" si="408"/>
        <v>144764444.71282819</v>
      </c>
      <c r="FA391" s="583"/>
      <c r="FB391" s="583"/>
    </row>
    <row r="392" spans="2:158" ht="15">
      <c r="E392" s="584"/>
      <c r="F392" s="584"/>
      <c r="G392" s="584"/>
      <c r="L392" s="585"/>
      <c r="M392" s="585"/>
      <c r="N392" s="585"/>
      <c r="R392" s="569"/>
      <c r="S392" s="569"/>
      <c r="T392" s="569"/>
      <c r="U392" s="308"/>
      <c r="V392" s="308"/>
      <c r="W392" s="308"/>
      <c r="Y392" s="585"/>
      <c r="Z392" s="585"/>
      <c r="AA392" s="467"/>
      <c r="AB392" s="308"/>
      <c r="AC392" s="308"/>
      <c r="AD392" s="308"/>
      <c r="AE392" s="569"/>
      <c r="AF392" s="569"/>
      <c r="AG392" s="569"/>
      <c r="AH392" s="308"/>
      <c r="AI392" s="308"/>
      <c r="AJ392" s="308"/>
      <c r="AL392" s="585"/>
      <c r="AM392" s="585"/>
      <c r="AN392" s="586"/>
      <c r="AO392" s="308"/>
      <c r="AP392" s="308"/>
      <c r="AQ392" s="308"/>
      <c r="AR392" s="569"/>
      <c r="AS392" s="569"/>
      <c r="AT392" s="569"/>
      <c r="AU392" s="308"/>
      <c r="AV392" s="308"/>
      <c r="AW392" s="308"/>
      <c r="AY392" s="585"/>
      <c r="AZ392" s="585"/>
      <c r="BA392" s="586"/>
      <c r="BB392" s="308"/>
      <c r="BC392" s="308"/>
      <c r="BD392" s="308"/>
      <c r="BE392" s="569"/>
      <c r="BF392" s="569"/>
      <c r="BG392" s="569"/>
      <c r="BH392" s="308"/>
      <c r="BI392" s="308"/>
      <c r="BJ392" s="308"/>
      <c r="BL392" s="585"/>
      <c r="BM392" s="585"/>
      <c r="BN392" s="586"/>
      <c r="BO392" s="308"/>
      <c r="BP392" s="308"/>
      <c r="BQ392" s="308"/>
      <c r="BR392" s="569"/>
      <c r="BS392" s="569"/>
      <c r="BT392" s="569"/>
      <c r="BU392" s="308"/>
      <c r="BV392" s="308"/>
      <c r="BW392" s="308"/>
      <c r="BY392" s="585"/>
      <c r="BZ392" s="585"/>
      <c r="CA392" s="586"/>
      <c r="CB392" s="308"/>
      <c r="CC392" s="308"/>
      <c r="CD392" s="308"/>
      <c r="CE392" s="569"/>
      <c r="CF392" s="569"/>
      <c r="CG392" s="569"/>
      <c r="CH392" s="308"/>
      <c r="CI392" s="308"/>
      <c r="CJ392" s="308"/>
      <c r="CL392" s="585"/>
      <c r="CM392" s="585"/>
      <c r="CN392" s="586"/>
      <c r="CO392" s="308"/>
      <c r="CP392" s="308"/>
      <c r="CQ392" s="308"/>
      <c r="CR392" s="569"/>
      <c r="CS392" s="569"/>
      <c r="CT392" s="569"/>
      <c r="CU392" s="308"/>
      <c r="CV392" s="308"/>
      <c r="CW392" s="308"/>
      <c r="CY392" s="585"/>
      <c r="CZ392" s="585"/>
      <c r="DA392" s="586"/>
      <c r="DB392" s="308"/>
      <c r="DC392" s="308"/>
      <c r="DD392" s="308"/>
      <c r="DE392" s="569"/>
      <c r="DF392" s="569"/>
      <c r="DG392" s="569"/>
      <c r="DH392" s="308"/>
      <c r="DI392" s="308"/>
      <c r="DJ392" s="308"/>
      <c r="DL392" s="585"/>
      <c r="DM392" s="585"/>
      <c r="DN392" s="586"/>
      <c r="DO392" s="308"/>
      <c r="DP392" s="308"/>
      <c r="DQ392" s="308"/>
      <c r="DR392" s="569"/>
      <c r="DS392" s="569"/>
      <c r="DT392" s="569"/>
      <c r="DU392" s="308"/>
      <c r="DV392" s="308"/>
      <c r="DW392" s="308"/>
      <c r="DY392" s="585"/>
      <c r="DZ392" s="585"/>
      <c r="EA392" s="586"/>
      <c r="EB392" s="308"/>
      <c r="EC392" s="308"/>
      <c r="ED392" s="308"/>
      <c r="EE392" s="569"/>
      <c r="EF392" s="569"/>
      <c r="EG392" s="569"/>
      <c r="EH392" s="308"/>
      <c r="EI392" s="308"/>
      <c r="EJ392" s="308"/>
      <c r="EL392" s="585"/>
      <c r="EM392" s="585"/>
      <c r="EN392" s="586"/>
      <c r="EO392" s="308"/>
      <c r="EP392" s="308"/>
      <c r="EQ392" s="308"/>
      <c r="ER392" s="569"/>
      <c r="ES392" s="569"/>
      <c r="ET392" s="569"/>
      <c r="EU392" s="308"/>
      <c r="EV392" s="308"/>
      <c r="EW392" s="308"/>
      <c r="EX392" s="308"/>
      <c r="EY392" s="586"/>
      <c r="EZ392" s="586"/>
      <c r="FA392" s="585"/>
      <c r="FB392" s="585"/>
    </row>
    <row r="393" spans="2:158" ht="15">
      <c r="J393" s="434"/>
      <c r="K393" s="434"/>
      <c r="L393" s="585"/>
      <c r="M393" s="585"/>
      <c r="N393" s="585"/>
      <c r="R393" s="308"/>
      <c r="S393" s="308"/>
      <c r="T393" s="308"/>
      <c r="U393" s="308"/>
      <c r="V393" s="308"/>
      <c r="W393" s="401"/>
      <c r="X393" s="434"/>
      <c r="Y393" s="585"/>
      <c r="Z393" s="585"/>
      <c r="AA393" s="467"/>
      <c r="AB393" s="308"/>
      <c r="AC393" s="308"/>
      <c r="AD393" s="308"/>
      <c r="AE393" s="308"/>
      <c r="AF393" s="308"/>
      <c r="AG393" s="308"/>
      <c r="AH393" s="308"/>
      <c r="AI393" s="308"/>
      <c r="AJ393" s="401"/>
      <c r="AK393" s="434"/>
      <c r="AL393" s="585"/>
      <c r="AM393" s="585"/>
      <c r="AN393" s="586"/>
      <c r="AO393" s="308"/>
      <c r="AP393" s="308"/>
      <c r="AQ393" s="308"/>
      <c r="AR393" s="308"/>
      <c r="AS393" s="308"/>
      <c r="AT393" s="308"/>
      <c r="AU393" s="308"/>
      <c r="AV393" s="308"/>
      <c r="AW393" s="401"/>
      <c r="AX393" s="434"/>
      <c r="AY393" s="585"/>
      <c r="AZ393" s="585"/>
      <c r="BA393" s="586"/>
      <c r="BB393" s="308"/>
      <c r="BC393" s="308"/>
      <c r="BD393" s="308"/>
      <c r="BE393" s="308"/>
      <c r="BF393" s="308"/>
      <c r="BG393" s="308"/>
      <c r="BH393" s="308"/>
      <c r="BI393" s="308"/>
      <c r="BJ393" s="401"/>
      <c r="BK393" s="434"/>
      <c r="BL393" s="585"/>
      <c r="BM393" s="585"/>
      <c r="BN393" s="586"/>
      <c r="BO393" s="308"/>
      <c r="BP393" s="308"/>
      <c r="BQ393" s="308"/>
      <c r="BR393" s="308"/>
      <c r="BS393" s="308"/>
      <c r="BT393" s="308"/>
      <c r="BU393" s="308"/>
      <c r="BV393" s="308"/>
      <c r="BW393" s="401"/>
      <c r="BX393" s="434"/>
      <c r="BY393" s="585"/>
      <c r="BZ393" s="585"/>
      <c r="CA393" s="586"/>
      <c r="CB393" s="308"/>
      <c r="CC393" s="308"/>
      <c r="CD393" s="308"/>
      <c r="CE393" s="308"/>
      <c r="CF393" s="308"/>
      <c r="CG393" s="308"/>
      <c r="CH393" s="308"/>
      <c r="CI393" s="308"/>
      <c r="CJ393" s="401"/>
      <c r="CK393" s="434"/>
      <c r="CL393" s="585"/>
      <c r="CM393" s="585"/>
      <c r="CN393" s="586"/>
      <c r="CO393" s="308"/>
      <c r="CP393" s="308"/>
      <c r="CQ393" s="308"/>
      <c r="CR393" s="308"/>
      <c r="CS393" s="308"/>
      <c r="CT393" s="308"/>
      <c r="CU393" s="308"/>
      <c r="CV393" s="308"/>
      <c r="CW393" s="401"/>
      <c r="CX393" s="434"/>
      <c r="CY393" s="585"/>
      <c r="CZ393" s="585"/>
      <c r="DA393" s="586"/>
      <c r="DB393" s="308"/>
      <c r="DC393" s="308"/>
      <c r="DD393" s="308"/>
      <c r="DE393" s="308"/>
      <c r="DF393" s="308"/>
      <c r="DG393" s="308"/>
      <c r="DH393" s="308"/>
      <c r="DI393" s="308"/>
      <c r="DJ393" s="401"/>
      <c r="DK393" s="434"/>
      <c r="DL393" s="585"/>
      <c r="DM393" s="585"/>
      <c r="DN393" s="586"/>
      <c r="DO393" s="308"/>
      <c r="DP393" s="308"/>
      <c r="DQ393" s="308"/>
      <c r="DR393" s="308"/>
      <c r="DS393" s="308"/>
      <c r="DT393" s="308"/>
      <c r="DU393" s="308"/>
      <c r="DV393" s="308"/>
      <c r="DW393" s="401"/>
      <c r="DX393" s="434"/>
      <c r="DY393" s="585"/>
      <c r="DZ393" s="585"/>
      <c r="EA393" s="586"/>
      <c r="EB393" s="308"/>
      <c r="EC393" s="308"/>
      <c r="ED393" s="308"/>
      <c r="EE393" s="308"/>
      <c r="EF393" s="308"/>
      <c r="EG393" s="308"/>
      <c r="EH393" s="308"/>
      <c r="EI393" s="308"/>
      <c r="EJ393" s="401"/>
      <c r="EK393" s="434"/>
      <c r="EL393" s="585"/>
      <c r="EM393" s="585"/>
      <c r="EN393" s="586"/>
      <c r="EO393" s="308"/>
      <c r="EP393" s="308"/>
      <c r="EQ393" s="308"/>
      <c r="ER393" s="308"/>
      <c r="ES393" s="308"/>
      <c r="ET393" s="308"/>
      <c r="EU393" s="308"/>
      <c r="EV393" s="308"/>
      <c r="EW393" s="401"/>
      <c r="EX393" s="401"/>
      <c r="EY393" s="586"/>
      <c r="EZ393" s="586"/>
      <c r="FA393" s="585"/>
      <c r="FB393" s="585"/>
    </row>
    <row r="394" spans="2:158" ht="23.25">
      <c r="B394" s="446" t="s">
        <v>875</v>
      </c>
      <c r="N394" s="585"/>
      <c r="O394" s="446" t="s">
        <v>875</v>
      </c>
      <c r="R394" s="308"/>
      <c r="S394" s="308"/>
      <c r="T394" s="308"/>
      <c r="U394" s="308"/>
      <c r="V394" s="308"/>
      <c r="W394" s="308"/>
      <c r="AA394" s="467"/>
      <c r="AB394" s="570" t="s">
        <v>875</v>
      </c>
      <c r="AC394" s="308"/>
      <c r="AD394" s="308"/>
      <c r="AE394" s="308"/>
      <c r="AF394" s="308"/>
      <c r="AG394" s="308"/>
      <c r="AH394" s="308"/>
      <c r="AI394" s="308"/>
      <c r="AJ394" s="308"/>
      <c r="AN394" s="586"/>
      <c r="AO394" s="570" t="s">
        <v>875</v>
      </c>
      <c r="AP394" s="308"/>
      <c r="AQ394" s="308"/>
      <c r="AR394" s="308"/>
      <c r="AS394" s="308"/>
      <c r="AT394" s="308"/>
      <c r="AU394" s="308"/>
      <c r="AV394" s="308"/>
      <c r="AW394" s="308"/>
      <c r="BA394" s="586"/>
      <c r="BB394" s="570" t="s">
        <v>875</v>
      </c>
      <c r="BC394" s="308"/>
      <c r="BD394" s="308"/>
      <c r="BE394" s="308"/>
      <c r="BF394" s="308"/>
      <c r="BG394" s="308"/>
      <c r="BH394" s="308"/>
      <c r="BI394" s="308"/>
      <c r="BJ394" s="308"/>
      <c r="BN394" s="586"/>
      <c r="BO394" s="570" t="s">
        <v>875</v>
      </c>
      <c r="BP394" s="308"/>
      <c r="BQ394" s="308"/>
      <c r="BR394" s="308"/>
      <c r="BS394" s="308"/>
      <c r="BT394" s="308"/>
      <c r="BU394" s="308"/>
      <c r="BV394" s="308"/>
      <c r="BW394" s="308"/>
      <c r="CA394" s="586"/>
      <c r="CB394" s="570" t="s">
        <v>875</v>
      </c>
      <c r="CC394" s="308"/>
      <c r="CD394" s="308"/>
      <c r="CE394" s="308"/>
      <c r="CF394" s="308"/>
      <c r="CG394" s="308"/>
      <c r="CH394" s="308"/>
      <c r="CI394" s="308"/>
      <c r="CJ394" s="308"/>
      <c r="CN394" s="586"/>
      <c r="CO394" s="570" t="s">
        <v>875</v>
      </c>
      <c r="CP394" s="308"/>
      <c r="CQ394" s="308"/>
      <c r="CR394" s="308"/>
      <c r="CS394" s="308"/>
      <c r="CT394" s="308"/>
      <c r="CU394" s="308"/>
      <c r="CV394" s="308"/>
      <c r="CW394" s="308"/>
      <c r="DA394" s="586"/>
      <c r="DB394" s="570" t="s">
        <v>875</v>
      </c>
      <c r="DC394" s="308"/>
      <c r="DD394" s="308"/>
      <c r="DE394" s="308"/>
      <c r="DF394" s="308"/>
      <c r="DG394" s="308"/>
      <c r="DH394" s="308"/>
      <c r="DI394" s="308"/>
      <c r="DJ394" s="308"/>
      <c r="DN394" s="586"/>
      <c r="DO394" s="570" t="s">
        <v>875</v>
      </c>
      <c r="DP394" s="308"/>
      <c r="DQ394" s="308"/>
      <c r="DR394" s="308"/>
      <c r="DS394" s="308"/>
      <c r="DT394" s="308"/>
      <c r="DU394" s="308"/>
      <c r="DV394" s="308"/>
      <c r="DW394" s="308"/>
      <c r="EA394" s="586"/>
      <c r="EB394" s="570" t="s">
        <v>875</v>
      </c>
      <c r="EC394" s="308"/>
      <c r="ED394" s="308"/>
      <c r="EE394" s="308"/>
      <c r="EF394" s="308"/>
      <c r="EG394" s="308"/>
      <c r="EH394" s="308"/>
      <c r="EI394" s="308"/>
      <c r="EJ394" s="308"/>
      <c r="EN394" s="586"/>
      <c r="EO394" s="570" t="s">
        <v>875</v>
      </c>
      <c r="EP394" s="308"/>
      <c r="EQ394" s="308"/>
      <c r="ER394" s="308"/>
      <c r="ES394" s="308"/>
      <c r="ET394" s="308"/>
      <c r="EU394" s="308"/>
      <c r="EV394" s="308"/>
      <c r="EW394" s="308"/>
      <c r="EX394" s="308"/>
      <c r="EY394" s="308"/>
      <c r="EZ394" s="308"/>
      <c r="FA394" s="585"/>
      <c r="FB394" s="585"/>
    </row>
    <row r="395" spans="2:158" ht="15">
      <c r="N395" s="585"/>
      <c r="R395" s="308"/>
      <c r="S395" s="308"/>
      <c r="T395" s="308"/>
      <c r="U395" s="308"/>
      <c r="V395" s="308"/>
      <c r="W395" s="308"/>
      <c r="AA395" s="467"/>
      <c r="AB395" s="308"/>
      <c r="AC395" s="308"/>
      <c r="AD395" s="308"/>
      <c r="AE395" s="308"/>
      <c r="AF395" s="308"/>
      <c r="AG395" s="308"/>
      <c r="AH395" s="308"/>
      <c r="AI395" s="308"/>
      <c r="AJ395" s="308"/>
      <c r="AN395" s="586"/>
      <c r="AO395" s="308"/>
      <c r="AP395" s="308"/>
      <c r="AQ395" s="308"/>
      <c r="AR395" s="308"/>
      <c r="AS395" s="308"/>
      <c r="AT395" s="308"/>
      <c r="AU395" s="308"/>
      <c r="AV395" s="308"/>
      <c r="AW395" s="308"/>
      <c r="BA395" s="586"/>
      <c r="BB395" s="308"/>
      <c r="BC395" s="308"/>
      <c r="BD395" s="308"/>
      <c r="BE395" s="308"/>
      <c r="BF395" s="308"/>
      <c r="BG395" s="308"/>
      <c r="BH395" s="308"/>
      <c r="BI395" s="308"/>
      <c r="BJ395" s="308"/>
      <c r="BN395" s="586"/>
      <c r="BO395" s="308"/>
      <c r="BP395" s="308"/>
      <c r="BQ395" s="308"/>
      <c r="BR395" s="308"/>
      <c r="BS395" s="308"/>
      <c r="BT395" s="308"/>
      <c r="BU395" s="308"/>
      <c r="BV395" s="308"/>
      <c r="BW395" s="308"/>
      <c r="CA395" s="586"/>
      <c r="CB395" s="308"/>
      <c r="CC395" s="308"/>
      <c r="CD395" s="308"/>
      <c r="CE395" s="308"/>
      <c r="CF395" s="308"/>
      <c r="CG395" s="308"/>
      <c r="CH395" s="308"/>
      <c r="CI395" s="308"/>
      <c r="CJ395" s="308"/>
      <c r="CN395" s="586"/>
      <c r="CO395" s="308"/>
      <c r="CP395" s="308"/>
      <c r="CQ395" s="308"/>
      <c r="CR395" s="308"/>
      <c r="CS395" s="308"/>
      <c r="CT395" s="308"/>
      <c r="CU395" s="308"/>
      <c r="CV395" s="308"/>
      <c r="CW395" s="308"/>
      <c r="DA395" s="586"/>
      <c r="DB395" s="308"/>
      <c r="DC395" s="308"/>
      <c r="DD395" s="308"/>
      <c r="DE395" s="308"/>
      <c r="DF395" s="308"/>
      <c r="DG395" s="308"/>
      <c r="DH395" s="308"/>
      <c r="DI395" s="308"/>
      <c r="DJ395" s="308"/>
      <c r="DN395" s="586"/>
      <c r="DO395" s="308"/>
      <c r="DP395" s="308"/>
      <c r="DQ395" s="308"/>
      <c r="DR395" s="308"/>
      <c r="DS395" s="308"/>
      <c r="DT395" s="308"/>
      <c r="DU395" s="308"/>
      <c r="DV395" s="308"/>
      <c r="DW395" s="308"/>
      <c r="EA395" s="586"/>
      <c r="EB395" s="308"/>
      <c r="EC395" s="308"/>
      <c r="ED395" s="308"/>
      <c r="EE395" s="308"/>
      <c r="EF395" s="308"/>
      <c r="EG395" s="308"/>
      <c r="EH395" s="308"/>
      <c r="EI395" s="308"/>
      <c r="EJ395" s="308"/>
      <c r="EN395" s="586"/>
      <c r="EO395" s="308"/>
      <c r="EP395" s="308"/>
      <c r="EQ395" s="308"/>
      <c r="ER395" s="308"/>
      <c r="ES395" s="308"/>
      <c r="ET395" s="308"/>
      <c r="EU395" s="308"/>
      <c r="EV395" s="308"/>
      <c r="EW395" s="308"/>
      <c r="EX395" s="308"/>
      <c r="EY395" s="308"/>
      <c r="EZ395" s="308"/>
      <c r="FA395" s="585"/>
      <c r="FB395" s="585"/>
    </row>
    <row r="396" spans="2:158" ht="15.75" thickBot="1">
      <c r="N396" s="585"/>
      <c r="R396" s="308"/>
      <c r="S396" s="308"/>
      <c r="T396" s="308"/>
      <c r="U396" s="308"/>
      <c r="V396" s="308"/>
      <c r="W396" s="308"/>
      <c r="AA396" s="467"/>
      <c r="AB396" s="308"/>
      <c r="AC396" s="308"/>
      <c r="AD396" s="308"/>
      <c r="AE396" s="308"/>
      <c r="AF396" s="308"/>
      <c r="AG396" s="308"/>
      <c r="AH396" s="308"/>
      <c r="AI396" s="308"/>
      <c r="AJ396" s="308"/>
      <c r="AN396" s="586"/>
      <c r="AO396" s="308"/>
      <c r="AP396" s="308"/>
      <c r="AQ396" s="308"/>
      <c r="AR396" s="308"/>
      <c r="AS396" s="308"/>
      <c r="AT396" s="308"/>
      <c r="AU396" s="308"/>
      <c r="AV396" s="308"/>
      <c r="AW396" s="308"/>
      <c r="BA396" s="586"/>
      <c r="BB396" s="308"/>
      <c r="BC396" s="308"/>
      <c r="BD396" s="308"/>
      <c r="BE396" s="308"/>
      <c r="BF396" s="308"/>
      <c r="BG396" s="308"/>
      <c r="BH396" s="308"/>
      <c r="BI396" s="308"/>
      <c r="BJ396" s="308"/>
      <c r="BN396" s="586"/>
      <c r="BO396" s="308"/>
      <c r="BP396" s="308"/>
      <c r="BQ396" s="308"/>
      <c r="BR396" s="308"/>
      <c r="BS396" s="308"/>
      <c r="BT396" s="308"/>
      <c r="BU396" s="308"/>
      <c r="BV396" s="308"/>
      <c r="BW396" s="308"/>
      <c r="CA396" s="586"/>
      <c r="CB396" s="308"/>
      <c r="CC396" s="308"/>
      <c r="CD396" s="308"/>
      <c r="CE396" s="308"/>
      <c r="CF396" s="308"/>
      <c r="CG396" s="308"/>
      <c r="CH396" s="308"/>
      <c r="CI396" s="308"/>
      <c r="CJ396" s="308"/>
      <c r="CN396" s="586"/>
      <c r="CO396" s="308"/>
      <c r="CP396" s="308"/>
      <c r="CQ396" s="308"/>
      <c r="CR396" s="308"/>
      <c r="CS396" s="308"/>
      <c r="CT396" s="308"/>
      <c r="CU396" s="308"/>
      <c r="CV396" s="308"/>
      <c r="CW396" s="308"/>
      <c r="DA396" s="586"/>
      <c r="DB396" s="308"/>
      <c r="DC396" s="308"/>
      <c r="DD396" s="308"/>
      <c r="DE396" s="308"/>
      <c r="DF396" s="308"/>
      <c r="DG396" s="308"/>
      <c r="DH396" s="308"/>
      <c r="DI396" s="308"/>
      <c r="DJ396" s="308"/>
      <c r="DN396" s="586"/>
      <c r="DO396" s="308"/>
      <c r="DP396" s="308"/>
      <c r="DQ396" s="308"/>
      <c r="DR396" s="308"/>
      <c r="DS396" s="308"/>
      <c r="DT396" s="308"/>
      <c r="DU396" s="308"/>
      <c r="DV396" s="308"/>
      <c r="DW396" s="308"/>
      <c r="EA396" s="586"/>
      <c r="EB396" s="308"/>
      <c r="EC396" s="308"/>
      <c r="ED396" s="308"/>
      <c r="EE396" s="308"/>
      <c r="EF396" s="308"/>
      <c r="EG396" s="308"/>
      <c r="EH396" s="308"/>
      <c r="EI396" s="308"/>
      <c r="EJ396" s="308"/>
      <c r="EN396" s="586"/>
      <c r="EO396" s="308"/>
      <c r="EP396" s="308"/>
      <c r="EQ396" s="308"/>
      <c r="ER396" s="308"/>
      <c r="ES396" s="308"/>
      <c r="ET396" s="308"/>
      <c r="EU396" s="308"/>
      <c r="EV396" s="308"/>
      <c r="EW396" s="308"/>
      <c r="EX396" s="308"/>
      <c r="EY396" s="308"/>
      <c r="EZ396" s="308"/>
      <c r="FA396" s="585"/>
      <c r="FB396" s="585"/>
    </row>
    <row r="397" spans="2:158" ht="27.75" customHeight="1" thickBot="1">
      <c r="E397" s="447" t="s">
        <v>864</v>
      </c>
      <c r="F397" s="448"/>
      <c r="G397" s="449"/>
      <c r="H397" s="447" t="s">
        <v>865</v>
      </c>
      <c r="I397" s="448"/>
      <c r="J397" s="449"/>
      <c r="K397" s="447" t="s">
        <v>874</v>
      </c>
      <c r="L397" s="448"/>
      <c r="M397" s="449"/>
      <c r="N397" s="585"/>
      <c r="R397" s="572" t="s">
        <v>864</v>
      </c>
      <c r="S397" s="573"/>
      <c r="T397" s="574"/>
      <c r="U397" s="572" t="s">
        <v>865</v>
      </c>
      <c r="V397" s="573"/>
      <c r="W397" s="574"/>
      <c r="X397" s="447" t="s">
        <v>874</v>
      </c>
      <c r="Y397" s="448"/>
      <c r="Z397" s="449"/>
      <c r="AA397" s="467"/>
      <c r="AB397" s="308"/>
      <c r="AC397" s="308"/>
      <c r="AD397" s="308"/>
      <c r="AE397" s="572" t="s">
        <v>864</v>
      </c>
      <c r="AF397" s="573"/>
      <c r="AG397" s="574"/>
      <c r="AH397" s="572" t="s">
        <v>865</v>
      </c>
      <c r="AI397" s="573"/>
      <c r="AJ397" s="574"/>
      <c r="AK397" s="447" t="s">
        <v>874</v>
      </c>
      <c r="AL397" s="448"/>
      <c r="AM397" s="449"/>
      <c r="AN397" s="586"/>
      <c r="AO397" s="308"/>
      <c r="AP397" s="308"/>
      <c r="AQ397" s="308"/>
      <c r="AR397" s="572" t="s">
        <v>864</v>
      </c>
      <c r="AS397" s="573"/>
      <c r="AT397" s="574"/>
      <c r="AU397" s="572" t="s">
        <v>865</v>
      </c>
      <c r="AV397" s="573"/>
      <c r="AW397" s="574"/>
      <c r="AX397" s="447" t="s">
        <v>874</v>
      </c>
      <c r="AY397" s="448"/>
      <c r="AZ397" s="449"/>
      <c r="BA397" s="586"/>
      <c r="BB397" s="308"/>
      <c r="BC397" s="308"/>
      <c r="BD397" s="308"/>
      <c r="BE397" s="572" t="s">
        <v>864</v>
      </c>
      <c r="BF397" s="573"/>
      <c r="BG397" s="574"/>
      <c r="BH397" s="572" t="s">
        <v>865</v>
      </c>
      <c r="BI397" s="573"/>
      <c r="BJ397" s="574"/>
      <c r="BK397" s="447" t="s">
        <v>874</v>
      </c>
      <c r="BL397" s="448"/>
      <c r="BM397" s="449"/>
      <c r="BN397" s="586"/>
      <c r="BO397" s="308"/>
      <c r="BP397" s="308"/>
      <c r="BQ397" s="308"/>
      <c r="BR397" s="572" t="s">
        <v>864</v>
      </c>
      <c r="BS397" s="573"/>
      <c r="BT397" s="574"/>
      <c r="BU397" s="572" t="s">
        <v>865</v>
      </c>
      <c r="BV397" s="573"/>
      <c r="BW397" s="574"/>
      <c r="BX397" s="447" t="s">
        <v>874</v>
      </c>
      <c r="BY397" s="448"/>
      <c r="BZ397" s="449"/>
      <c r="CA397" s="586"/>
      <c r="CB397" s="308"/>
      <c r="CC397" s="308"/>
      <c r="CD397" s="308"/>
      <c r="CE397" s="572" t="s">
        <v>864</v>
      </c>
      <c r="CF397" s="573"/>
      <c r="CG397" s="574"/>
      <c r="CH397" s="572" t="s">
        <v>865</v>
      </c>
      <c r="CI397" s="573"/>
      <c r="CJ397" s="574"/>
      <c r="CK397" s="447" t="s">
        <v>874</v>
      </c>
      <c r="CL397" s="448"/>
      <c r="CM397" s="449"/>
      <c r="CN397" s="586"/>
      <c r="CO397" s="308"/>
      <c r="CP397" s="308"/>
      <c r="CQ397" s="308"/>
      <c r="CR397" s="572" t="s">
        <v>864</v>
      </c>
      <c r="CS397" s="573"/>
      <c r="CT397" s="574"/>
      <c r="CU397" s="572" t="s">
        <v>865</v>
      </c>
      <c r="CV397" s="573"/>
      <c r="CW397" s="574"/>
      <c r="CX397" s="447" t="s">
        <v>874</v>
      </c>
      <c r="CY397" s="448"/>
      <c r="CZ397" s="449"/>
      <c r="DA397" s="586"/>
      <c r="DB397" s="308"/>
      <c r="DC397" s="308"/>
      <c r="DD397" s="308"/>
      <c r="DE397" s="572" t="s">
        <v>864</v>
      </c>
      <c r="DF397" s="573"/>
      <c r="DG397" s="574"/>
      <c r="DH397" s="572" t="s">
        <v>865</v>
      </c>
      <c r="DI397" s="573"/>
      <c r="DJ397" s="574"/>
      <c r="DK397" s="447" t="s">
        <v>874</v>
      </c>
      <c r="DL397" s="448"/>
      <c r="DM397" s="449"/>
      <c r="DN397" s="586"/>
      <c r="DO397" s="308"/>
      <c r="DP397" s="308"/>
      <c r="DQ397" s="308"/>
      <c r="DR397" s="572" t="s">
        <v>864</v>
      </c>
      <c r="DS397" s="573"/>
      <c r="DT397" s="574"/>
      <c r="DU397" s="572" t="s">
        <v>865</v>
      </c>
      <c r="DV397" s="573"/>
      <c r="DW397" s="574"/>
      <c r="DX397" s="447" t="s">
        <v>874</v>
      </c>
      <c r="DY397" s="448"/>
      <c r="DZ397" s="449"/>
      <c r="EA397" s="586"/>
      <c r="EB397" s="308"/>
      <c r="EC397" s="308"/>
      <c r="ED397" s="308"/>
      <c r="EE397" s="572" t="s">
        <v>864</v>
      </c>
      <c r="EF397" s="573"/>
      <c r="EG397" s="574"/>
      <c r="EH397" s="572" t="s">
        <v>865</v>
      </c>
      <c r="EI397" s="573"/>
      <c r="EJ397" s="574"/>
      <c r="EK397" s="447" t="s">
        <v>874</v>
      </c>
      <c r="EL397" s="448"/>
      <c r="EM397" s="449"/>
      <c r="EN397" s="586"/>
      <c r="EO397" s="308"/>
      <c r="EP397" s="308"/>
      <c r="EQ397" s="308"/>
      <c r="ER397" s="572" t="s">
        <v>864</v>
      </c>
      <c r="ES397" s="573"/>
      <c r="ET397" s="574"/>
      <c r="EU397" s="572" t="s">
        <v>865</v>
      </c>
      <c r="EV397" s="573"/>
      <c r="EW397" s="574"/>
      <c r="EX397" s="572" t="s">
        <v>874</v>
      </c>
      <c r="EY397" s="573"/>
      <c r="EZ397" s="574"/>
      <c r="FA397" s="585"/>
      <c r="FB397" s="585"/>
    </row>
    <row r="398" spans="2:158" ht="180.75" thickBot="1">
      <c r="B398" s="450" t="s">
        <v>867</v>
      </c>
      <c r="C398" s="451" t="s">
        <v>868</v>
      </c>
      <c r="D398" s="451" t="s">
        <v>869</v>
      </c>
      <c r="E398" s="587" t="s">
        <v>870</v>
      </c>
      <c r="F398" s="587" t="s">
        <v>871</v>
      </c>
      <c r="G398" s="588" t="s">
        <v>872</v>
      </c>
      <c r="H398" s="589" t="s">
        <v>870</v>
      </c>
      <c r="I398" s="587" t="s">
        <v>871</v>
      </c>
      <c r="J398" s="588" t="s">
        <v>872</v>
      </c>
      <c r="K398" s="590" t="s">
        <v>870</v>
      </c>
      <c r="L398" s="591" t="s">
        <v>871</v>
      </c>
      <c r="M398" s="592" t="s">
        <v>872</v>
      </c>
      <c r="N398" s="585"/>
      <c r="O398" s="450" t="s">
        <v>867</v>
      </c>
      <c r="P398" s="451" t="s">
        <v>868</v>
      </c>
      <c r="Q398" s="451" t="s">
        <v>869</v>
      </c>
      <c r="R398" s="593" t="s">
        <v>870</v>
      </c>
      <c r="S398" s="593" t="s">
        <v>871</v>
      </c>
      <c r="T398" s="594" t="s">
        <v>872</v>
      </c>
      <c r="U398" s="595" t="s">
        <v>870</v>
      </c>
      <c r="V398" s="593" t="s">
        <v>871</v>
      </c>
      <c r="W398" s="594" t="s">
        <v>872</v>
      </c>
      <c r="X398" s="590" t="s">
        <v>870</v>
      </c>
      <c r="Y398" s="591" t="s">
        <v>871</v>
      </c>
      <c r="Z398" s="592" t="s">
        <v>872</v>
      </c>
      <c r="AA398" s="467"/>
      <c r="AB398" s="578" t="s">
        <v>867</v>
      </c>
      <c r="AC398" s="579" t="s">
        <v>868</v>
      </c>
      <c r="AD398" s="579" t="s">
        <v>869</v>
      </c>
      <c r="AE398" s="593" t="s">
        <v>870</v>
      </c>
      <c r="AF398" s="593" t="s">
        <v>871</v>
      </c>
      <c r="AG398" s="594" t="s">
        <v>872</v>
      </c>
      <c r="AH398" s="595" t="s">
        <v>870</v>
      </c>
      <c r="AI398" s="593" t="s">
        <v>871</v>
      </c>
      <c r="AJ398" s="594" t="s">
        <v>872</v>
      </c>
      <c r="AK398" s="590" t="s">
        <v>870</v>
      </c>
      <c r="AL398" s="591" t="s">
        <v>871</v>
      </c>
      <c r="AM398" s="592" t="s">
        <v>872</v>
      </c>
      <c r="AN398" s="586"/>
      <c r="AO398" s="578" t="s">
        <v>867</v>
      </c>
      <c r="AP398" s="579" t="s">
        <v>868</v>
      </c>
      <c r="AQ398" s="579" t="s">
        <v>869</v>
      </c>
      <c r="AR398" s="593" t="s">
        <v>870</v>
      </c>
      <c r="AS398" s="593" t="s">
        <v>871</v>
      </c>
      <c r="AT398" s="594" t="s">
        <v>872</v>
      </c>
      <c r="AU398" s="595" t="s">
        <v>870</v>
      </c>
      <c r="AV398" s="593" t="s">
        <v>871</v>
      </c>
      <c r="AW398" s="594" t="s">
        <v>872</v>
      </c>
      <c r="AX398" s="590" t="s">
        <v>870</v>
      </c>
      <c r="AY398" s="591" t="s">
        <v>871</v>
      </c>
      <c r="AZ398" s="592" t="s">
        <v>872</v>
      </c>
      <c r="BA398" s="586"/>
      <c r="BB398" s="578" t="s">
        <v>867</v>
      </c>
      <c r="BC398" s="579" t="s">
        <v>868</v>
      </c>
      <c r="BD398" s="579" t="s">
        <v>869</v>
      </c>
      <c r="BE398" s="593" t="s">
        <v>870</v>
      </c>
      <c r="BF398" s="593" t="s">
        <v>871</v>
      </c>
      <c r="BG398" s="594" t="s">
        <v>872</v>
      </c>
      <c r="BH398" s="595" t="s">
        <v>870</v>
      </c>
      <c r="BI398" s="593" t="s">
        <v>871</v>
      </c>
      <c r="BJ398" s="594" t="s">
        <v>872</v>
      </c>
      <c r="BK398" s="590" t="s">
        <v>870</v>
      </c>
      <c r="BL398" s="591" t="s">
        <v>871</v>
      </c>
      <c r="BM398" s="592" t="s">
        <v>872</v>
      </c>
      <c r="BN398" s="586"/>
      <c r="BO398" s="578" t="s">
        <v>867</v>
      </c>
      <c r="BP398" s="579" t="s">
        <v>868</v>
      </c>
      <c r="BQ398" s="579" t="s">
        <v>869</v>
      </c>
      <c r="BR398" s="593" t="s">
        <v>870</v>
      </c>
      <c r="BS398" s="593" t="s">
        <v>871</v>
      </c>
      <c r="BT398" s="594" t="s">
        <v>872</v>
      </c>
      <c r="BU398" s="595" t="s">
        <v>870</v>
      </c>
      <c r="BV398" s="593" t="s">
        <v>871</v>
      </c>
      <c r="BW398" s="594" t="s">
        <v>872</v>
      </c>
      <c r="BX398" s="590" t="s">
        <v>870</v>
      </c>
      <c r="BY398" s="591" t="s">
        <v>871</v>
      </c>
      <c r="BZ398" s="592" t="s">
        <v>872</v>
      </c>
      <c r="CA398" s="586"/>
      <c r="CB398" s="578" t="s">
        <v>867</v>
      </c>
      <c r="CC398" s="579" t="s">
        <v>868</v>
      </c>
      <c r="CD398" s="579" t="s">
        <v>869</v>
      </c>
      <c r="CE398" s="593" t="s">
        <v>870</v>
      </c>
      <c r="CF398" s="593" t="s">
        <v>871</v>
      </c>
      <c r="CG398" s="594" t="s">
        <v>872</v>
      </c>
      <c r="CH398" s="595" t="s">
        <v>870</v>
      </c>
      <c r="CI398" s="593" t="s">
        <v>871</v>
      </c>
      <c r="CJ398" s="594" t="s">
        <v>872</v>
      </c>
      <c r="CK398" s="590" t="s">
        <v>870</v>
      </c>
      <c r="CL398" s="591" t="s">
        <v>871</v>
      </c>
      <c r="CM398" s="592" t="s">
        <v>872</v>
      </c>
      <c r="CN398" s="586"/>
      <c r="CO398" s="578" t="s">
        <v>867</v>
      </c>
      <c r="CP398" s="579" t="s">
        <v>868</v>
      </c>
      <c r="CQ398" s="579" t="s">
        <v>869</v>
      </c>
      <c r="CR398" s="593" t="s">
        <v>870</v>
      </c>
      <c r="CS398" s="593" t="s">
        <v>871</v>
      </c>
      <c r="CT398" s="594" t="s">
        <v>872</v>
      </c>
      <c r="CU398" s="595" t="s">
        <v>870</v>
      </c>
      <c r="CV398" s="593" t="s">
        <v>871</v>
      </c>
      <c r="CW398" s="594" t="s">
        <v>872</v>
      </c>
      <c r="CX398" s="590" t="s">
        <v>870</v>
      </c>
      <c r="CY398" s="591" t="s">
        <v>871</v>
      </c>
      <c r="CZ398" s="592" t="s">
        <v>872</v>
      </c>
      <c r="DA398" s="586"/>
      <c r="DB398" s="578" t="s">
        <v>867</v>
      </c>
      <c r="DC398" s="579" t="s">
        <v>868</v>
      </c>
      <c r="DD398" s="579" t="s">
        <v>869</v>
      </c>
      <c r="DE398" s="593" t="s">
        <v>870</v>
      </c>
      <c r="DF398" s="593" t="s">
        <v>871</v>
      </c>
      <c r="DG398" s="594" t="s">
        <v>872</v>
      </c>
      <c r="DH398" s="595" t="s">
        <v>870</v>
      </c>
      <c r="DI398" s="593" t="s">
        <v>871</v>
      </c>
      <c r="DJ398" s="594" t="s">
        <v>872</v>
      </c>
      <c r="DK398" s="590" t="s">
        <v>870</v>
      </c>
      <c r="DL398" s="591" t="s">
        <v>871</v>
      </c>
      <c r="DM398" s="592" t="s">
        <v>872</v>
      </c>
      <c r="DN398" s="586"/>
      <c r="DO398" s="578" t="s">
        <v>867</v>
      </c>
      <c r="DP398" s="579" t="s">
        <v>868</v>
      </c>
      <c r="DQ398" s="579" t="s">
        <v>869</v>
      </c>
      <c r="DR398" s="593" t="s">
        <v>870</v>
      </c>
      <c r="DS398" s="593" t="s">
        <v>871</v>
      </c>
      <c r="DT398" s="594" t="s">
        <v>872</v>
      </c>
      <c r="DU398" s="595" t="s">
        <v>870</v>
      </c>
      <c r="DV398" s="593" t="s">
        <v>871</v>
      </c>
      <c r="DW398" s="594" t="s">
        <v>872</v>
      </c>
      <c r="DX398" s="590" t="s">
        <v>870</v>
      </c>
      <c r="DY398" s="591" t="s">
        <v>871</v>
      </c>
      <c r="DZ398" s="592" t="s">
        <v>872</v>
      </c>
      <c r="EA398" s="586"/>
      <c r="EB398" s="578" t="s">
        <v>867</v>
      </c>
      <c r="EC398" s="579" t="s">
        <v>868</v>
      </c>
      <c r="ED398" s="579" t="s">
        <v>869</v>
      </c>
      <c r="EE398" s="593" t="s">
        <v>870</v>
      </c>
      <c r="EF398" s="593" t="s">
        <v>871</v>
      </c>
      <c r="EG398" s="594" t="s">
        <v>872</v>
      </c>
      <c r="EH398" s="595" t="s">
        <v>870</v>
      </c>
      <c r="EI398" s="593" t="s">
        <v>871</v>
      </c>
      <c r="EJ398" s="594" t="s">
        <v>872</v>
      </c>
      <c r="EK398" s="590" t="s">
        <v>870</v>
      </c>
      <c r="EL398" s="591" t="s">
        <v>871</v>
      </c>
      <c r="EM398" s="592" t="s">
        <v>872</v>
      </c>
      <c r="EN398" s="586"/>
      <c r="EO398" s="578" t="s">
        <v>867</v>
      </c>
      <c r="EP398" s="579" t="s">
        <v>868</v>
      </c>
      <c r="EQ398" s="579" t="s">
        <v>869</v>
      </c>
      <c r="ER398" s="593" t="s">
        <v>870</v>
      </c>
      <c r="ES398" s="593" t="s">
        <v>871</v>
      </c>
      <c r="ET398" s="594" t="s">
        <v>872</v>
      </c>
      <c r="EU398" s="595" t="s">
        <v>870</v>
      </c>
      <c r="EV398" s="593" t="s">
        <v>871</v>
      </c>
      <c r="EW398" s="594" t="s">
        <v>872</v>
      </c>
      <c r="EX398" s="596" t="s">
        <v>870</v>
      </c>
      <c r="EY398" s="597" t="s">
        <v>871</v>
      </c>
      <c r="EZ398" s="598" t="s">
        <v>872</v>
      </c>
      <c r="FA398" s="585"/>
      <c r="FB398" s="585"/>
    </row>
    <row r="399" spans="2:158" ht="15">
      <c r="B399" s="458">
        <v>1</v>
      </c>
      <c r="C399" s="459">
        <v>450</v>
      </c>
      <c r="D399" s="460">
        <f>Inputs!$D$41</f>
        <v>4</v>
      </c>
      <c r="E399" s="461">
        <f>_xlfn.MINIFS($DE$70:$DE$149,$DG$70:$DG$149,"&gt;"&amp;Inputs!$H$41)</f>
        <v>13.499999999999996</v>
      </c>
      <c r="F399" s="461">
        <f>_xlfn.MINIFS($DE$156:$DE$235,$DG$156:$DG$235,"&gt;"&amp;Inputs!$H$41)</f>
        <v>13.499999999999996</v>
      </c>
      <c r="G399" s="462">
        <f>_xlfn.MINIFS($DE$242:$DE$321,$DG$242:$DG$321,"&gt;"&amp;Inputs!$H$41)</f>
        <v>13.499999999999996</v>
      </c>
      <c r="H399" s="463">
        <f>IF(Inputs!$F$41&gt;MAX(Pile!$DG$70:$DG$149),999999,IF(Pile!E399/(Pile!C399/1000)&gt;50,999999,IF(Pile!E399&lt;2,999999,Pile!E399)))</f>
        <v>13.499999999999996</v>
      </c>
      <c r="I399" s="464">
        <f>IF(Inputs!E31="Yes",999999,IF(Pile!F399/(Pile!C399/1000)&gt;50,999999,IF(Pile!F399&lt;2,999999,Pile!F399)))</f>
        <v>13.499999999999996</v>
      </c>
      <c r="J399" s="464">
        <f>IF(Inputs!$F$41&gt;MAX(Pile!$DG$242:$DG$321),999999,IF(Pile!G399/(Pile!C399/1000)&gt;50,999999,IF(Pile!G399&lt;2,999999,IF(G399&gt;25,999999,Pile!G399))))</f>
        <v>13.499999999999996</v>
      </c>
      <c r="K399" s="463">
        <f>IF(ISNUMBER(H399),D399*(PI()*(C399/2000)^2)*H399,H399)+N399</f>
        <v>10.838328916751095</v>
      </c>
      <c r="L399" s="464">
        <f>IF(ISNUMBER(I399),D399*(PI()*(C399/2000)^2)*I399,I399)+N399</f>
        <v>10.838328916751095</v>
      </c>
      <c r="M399" s="465">
        <f>IF(ISNUMBER(J399),D399*(PI()*(C399/2000)^2)*J399,J399)+N399</f>
        <v>10.838328916751095</v>
      </c>
      <c r="N399" s="585">
        <f>Inputs!$D$41*D459</f>
        <v>2.25</v>
      </c>
      <c r="O399" s="458">
        <v>1</v>
      </c>
      <c r="P399" s="459">
        <v>450</v>
      </c>
      <c r="Q399" s="460">
        <f>Inputs!$D$41</f>
        <v>4</v>
      </c>
      <c r="R399" s="461">
        <f>_xlfn.MINIFS($DE$70:$DE$149,$DG$70:$DG$149,"&gt;"&amp;Inputs!$H$48)</f>
        <v>13.499999999999996</v>
      </c>
      <c r="S399" s="461">
        <f>_xlfn.MINIFS($DE$156:$DE$235,$DG$156:$DG$235,"&gt;"&amp;Inputs!$H$48)</f>
        <v>13.499999999999996</v>
      </c>
      <c r="T399" s="462">
        <f>_xlfn.MINIFS($DE$242:$DE$321,$DG$242:$DG$321,"&gt;"&amp;Inputs!$H$48)</f>
        <v>13.499999999999996</v>
      </c>
      <c r="U399" s="463">
        <f>IF(Inputs!$F$48&gt;MAX(Pile!$DG$70:$DG$149),999999,IF(Pile!R399/(Pile!P399/1000)&gt;50,999999,IF(Pile!R399&lt;2,999999,Pile!R399)))</f>
        <v>13.499999999999996</v>
      </c>
      <c r="V399" s="464">
        <f>IF(Inputs!R31="Yes",999999,IF(Pile!S399/(Pile!P399/1000)&gt;50,999999,IF(Pile!S399&lt;2,999999,Pile!S399)))</f>
        <v>13.499999999999996</v>
      </c>
      <c r="W399" s="464">
        <f>IF(Inputs!$F$48&gt;MAX(Pile!$DG$242:$DG$321),999999,IF(Pile!T399/(Pile!P399/1000)&gt;50,999999,IF(Pile!T399&lt;2,999999,IF(T399&gt;25,999999,Pile!T399))))</f>
        <v>13.499999999999996</v>
      </c>
      <c r="X399" s="463">
        <f>IF(ISNUMBER(U399),Q399*(PI()*(P399/2000)^2)*U399,U399)+AA399</f>
        <v>10.838328916751095</v>
      </c>
      <c r="Y399" s="464">
        <f>IF(ISNUMBER(V399),Q399*(PI()*(P399/2000)^2)*V399,V399)+AA399</f>
        <v>10.838328916751095</v>
      </c>
      <c r="Z399" s="465">
        <f>IF(ISNUMBER(W399),Q399*(PI()*(P399/2000)^2)*W399,W399)+AA399</f>
        <v>10.838328916751095</v>
      </c>
      <c r="AA399" s="467">
        <f t="shared" si="369"/>
        <v>2.25</v>
      </c>
      <c r="AB399" s="468">
        <v>1</v>
      </c>
      <c r="AC399" s="469">
        <v>450</v>
      </c>
      <c r="AD399" s="470">
        <f>Inputs!$D$41</f>
        <v>4</v>
      </c>
      <c r="AE399" s="461">
        <f>_xlfn.MINIFS($DE$70:$DE$149,$DG$70:$DG$149,"&gt;"&amp;Inputs!$H$55)</f>
        <v>13.499999999999996</v>
      </c>
      <c r="AF399" s="461">
        <f>_xlfn.MINIFS($DE$156:$DE$235,$DG$156:$DG$235,"&gt;"&amp;Inputs!$H$55)</f>
        <v>13.499999999999996</v>
      </c>
      <c r="AG399" s="462">
        <f>_xlfn.MINIFS($DE$242:$DE$321,$DG$242:$DG$321,"&gt;"&amp;Inputs!$H$55)</f>
        <v>13.499999999999996</v>
      </c>
      <c r="AH399" s="463">
        <f>IF(Inputs!$F$55&gt;MAX(Pile!$DG$70:$DG$149),999999,IF(Pile!AE399/(Pile!AC399/1000)&gt;50,999999,IF(Pile!AE399&lt;2,999999,Pile!AE399)))</f>
        <v>13.499999999999996</v>
      </c>
      <c r="AI399" s="464">
        <f>IF(Inputs!AE31="Yes",999999,IF(Pile!AF399/(Pile!AC399/1000)&gt;50,999999,IF(Pile!AF399&lt;2,999999,Pile!AF399)))</f>
        <v>13.499999999999996</v>
      </c>
      <c r="AJ399" s="464">
        <f>IF(Inputs!$F$55&gt;MAX(Pile!$DG$242:$DG$321),999999,IF(Pile!AG399/(Pile!AC399/1000)&gt;50,999999,IF(Pile!AG399&lt;2,999999,IF(AG399&gt;25,999999,Pile!AG399))))</f>
        <v>13.499999999999996</v>
      </c>
      <c r="AK399" s="463">
        <f>IF(ISNUMBER(AH399),AD399*(PI()*(AC399/2000)^2)*AH399,AH399)+AN399</f>
        <v>10.838328916751095</v>
      </c>
      <c r="AL399" s="464">
        <f>IF(ISNUMBER(AI399),AD399*(PI()*(AC399/2000)^2)*AI399,AI399)+AN399</f>
        <v>10.838328916751095</v>
      </c>
      <c r="AM399" s="465">
        <f>IF(ISNUMBER(AJ399),AD399*(PI()*(AC399/2000)^2)*AJ399,AJ399)+AN399</f>
        <v>10.838328916751095</v>
      </c>
      <c r="AN399" s="586">
        <f>N399</f>
        <v>2.25</v>
      </c>
      <c r="AO399" s="468">
        <v>1</v>
      </c>
      <c r="AP399" s="469">
        <v>450</v>
      </c>
      <c r="AQ399" s="470">
        <f>Inputs!$D$41</f>
        <v>4</v>
      </c>
      <c r="AR399" s="461">
        <f>_xlfn.MINIFS($DE$70:$DE$149,$DG$70:$DG$149,"&gt;"&amp;Inputs!$H$62)</f>
        <v>13.499999999999996</v>
      </c>
      <c r="AS399" s="461">
        <f>_xlfn.MINIFS($DE$156:$DE$235,$DG$156:$DG$235,"&gt;"&amp;Inputs!$H$62)</f>
        <v>13.499999999999996</v>
      </c>
      <c r="AT399" s="462">
        <f>_xlfn.MINIFS($DE$242:$DE$321,$DG$242:$DG$321,"&gt;"&amp;Inputs!$H$62)</f>
        <v>13.499999999999996</v>
      </c>
      <c r="AU399" s="463">
        <f>IF(Inputs!$F$62&gt;MAX(Pile!$DG$70:$DG$149),999999,IF(Pile!AR399/(Pile!AP399/1000)&gt;50,999999,IF(Pile!AR399&lt;2,999999,Pile!AR399)))</f>
        <v>13.499999999999996</v>
      </c>
      <c r="AV399" s="464">
        <f>IF(Inputs!AR31="Yes",999999,IF(Pile!AS399/(Pile!AP399/1000)&gt;50,999999,IF(Pile!AS399&lt;2,999999,Pile!AS399)))</f>
        <v>13.499999999999996</v>
      </c>
      <c r="AW399" s="464">
        <f>IF(Inputs!$F$62&gt;MAX(Pile!$DG$242:$DG$321),999999,IF(Pile!AT399/(Pile!AP399/1000)&gt;50,999999,IF(Pile!AT399&lt;2,999999,IF(AT399&gt;25,999999,Pile!AT399))))</f>
        <v>13.499999999999996</v>
      </c>
      <c r="AX399" s="463">
        <f>IF(ISNUMBER(AU399),AQ399*(PI()*(AP399/2000)^2)*AU399,AU399)+BA399</f>
        <v>10.838328916751095</v>
      </c>
      <c r="AY399" s="464">
        <f>IF(ISNUMBER(AV399),AQ399*(PI()*(AP399/2000)^2)*AV399,AV399)+BA399</f>
        <v>10.838328916751095</v>
      </c>
      <c r="AZ399" s="465">
        <f>IF(ISNUMBER(AW399),AQ399*(PI()*(AP399/2000)^2)*AW399,AW399)+BA399</f>
        <v>10.838328916751095</v>
      </c>
      <c r="BA399" s="586">
        <f>AN399</f>
        <v>2.25</v>
      </c>
      <c r="BB399" s="468">
        <v>1</v>
      </c>
      <c r="BC399" s="469">
        <v>450</v>
      </c>
      <c r="BD399" s="470">
        <f>Inputs!$D$41</f>
        <v>4</v>
      </c>
      <c r="BE399" s="461">
        <f>_xlfn.MINIFS($DE$70:$DE$149,$DG$70:$DG$149,"&gt;"&amp;Inputs!$H$69)</f>
        <v>13.499999999999996</v>
      </c>
      <c r="BF399" s="461">
        <f>_xlfn.MINIFS($DE$156:$DE$235,$DG$156:$DG$235,"&gt;"&amp;Inputs!$H$69)</f>
        <v>13.499999999999996</v>
      </c>
      <c r="BG399" s="462">
        <f>_xlfn.MINIFS($DE$242:$DE$321,$DG$242:$DG$321,"&gt;"&amp;Inputs!$H$69)</f>
        <v>13.499999999999996</v>
      </c>
      <c r="BH399" s="463">
        <f>IF(Inputs!$F$69&gt;MAX(Pile!$DG$70:$DG$149),999999,IF(Pile!BE399/(Pile!BC399/1000)&gt;50,999999,IF(Pile!BE399&lt;2,999999,Pile!BE399)))</f>
        <v>13.499999999999996</v>
      </c>
      <c r="BI399" s="464">
        <f>IF(Inputs!BE31="Yes",999999,IF(Pile!BF399/(Pile!BC399/1000)&gt;50,999999,IF(Pile!BF399&lt;2,999999,Pile!BF399)))</f>
        <v>13.499999999999996</v>
      </c>
      <c r="BJ399" s="464">
        <f>IF(Inputs!$F$69&gt;MAX(Pile!$DG$242:$DG$321),999999,IF(Pile!BG399/(Pile!BC399/1000)&gt;50,999999,IF(Pile!BG399&lt;2,999999,IF(BG399&gt;25,999999,Pile!BG399))))</f>
        <v>13.499999999999996</v>
      </c>
      <c r="BK399" s="463">
        <f>IF(ISNUMBER(BH399),BD399*(PI()*(BC399/2000)^2)*BH399,BH399)+BN399</f>
        <v>10.838328916751095</v>
      </c>
      <c r="BL399" s="464">
        <f>IF(ISNUMBER(BI399),BD399*(PI()*(BC399/2000)^2)*BI399,BI399)+BN399</f>
        <v>10.838328916751095</v>
      </c>
      <c r="BM399" s="465">
        <f>IF(ISNUMBER(BJ399),BD399*(PI()*(BC399/2000)^2)*BJ399,BJ399)+BN399</f>
        <v>10.838328916751095</v>
      </c>
      <c r="BN399" s="586">
        <f>BA399</f>
        <v>2.25</v>
      </c>
      <c r="BO399" s="468">
        <v>1</v>
      </c>
      <c r="BP399" s="469">
        <v>450</v>
      </c>
      <c r="BQ399" s="470">
        <f>Inputs!$D$41</f>
        <v>4</v>
      </c>
      <c r="BR399" s="461">
        <f>_xlfn.MINIFS($DE$70:$DE$149,$DG$70:$DG$149,"&gt;"&amp;Inputs!$H$76)</f>
        <v>13.499999999999996</v>
      </c>
      <c r="BS399" s="461">
        <f>_xlfn.MINIFS($DE$156:$DE$235,$DG$156:$DG$235,"&gt;"&amp;Inputs!$H$76)</f>
        <v>13.499999999999996</v>
      </c>
      <c r="BT399" s="462">
        <f>_xlfn.MINIFS($DE$242:$DE$321,$DG$242:$DG$321,"&gt;"&amp;Inputs!$H$76)</f>
        <v>13.499999999999996</v>
      </c>
      <c r="BU399" s="463">
        <f>IF(Inputs!$F$76&gt;MAX(Pile!$DG$70:$DG$149),999999,IF(Pile!BR399/(Pile!BP399/1000)&gt;50,999999,IF(Pile!BR399&lt;2,999999,Pile!BR399)))</f>
        <v>13.499999999999996</v>
      </c>
      <c r="BV399" s="464">
        <f>IF(Inputs!BR31="Yes",999999,IF(Pile!BS399/(Pile!BP399/1000)&gt;50,999999,IF(Pile!BS399&lt;2,999999,Pile!BS399)))</f>
        <v>13.499999999999996</v>
      </c>
      <c r="BW399" s="464">
        <f>IF(Inputs!$F$76&gt;MAX(Pile!$DG$242:$DG$321),999999,IF(Pile!BT399/(Pile!BP399/1000)&gt;50,999999,IF(Pile!BT399&lt;2,999999,IF(BT399&gt;25,999999,Pile!BT399))))</f>
        <v>13.499999999999996</v>
      </c>
      <c r="BX399" s="463">
        <f>IF(ISNUMBER(BU399),BQ399*(PI()*(BP399/2000)^2)*BU399,BU399)+CA399</f>
        <v>10.838328916751095</v>
      </c>
      <c r="BY399" s="464">
        <f>IF(ISNUMBER(BV399),BQ399*(PI()*(BP399/2000)^2)*BV399,BV399)+CA399</f>
        <v>10.838328916751095</v>
      </c>
      <c r="BZ399" s="465">
        <f>IF(ISNUMBER(BW399),BQ399*(PI()*(BP399/2000)^2)*BW399,BW399)+CA399</f>
        <v>10.838328916751095</v>
      </c>
      <c r="CA399" s="586">
        <f>BN399</f>
        <v>2.25</v>
      </c>
      <c r="CB399" s="468">
        <v>1</v>
      </c>
      <c r="CC399" s="469">
        <v>450</v>
      </c>
      <c r="CD399" s="470">
        <f>Inputs!$D$41</f>
        <v>4</v>
      </c>
      <c r="CE399" s="461">
        <f>_xlfn.MINIFS($DE$70:$DE$149,$DG$70:$DG$149,"&gt;"&amp;Inputs!$H$83)</f>
        <v>13.499999999999996</v>
      </c>
      <c r="CF399" s="461">
        <f>_xlfn.MINIFS($DE$156:$DE$235,$DG$156:$DG$235,"&gt;"&amp;Inputs!$H$83)</f>
        <v>11.999999999999996</v>
      </c>
      <c r="CG399" s="462">
        <f>_xlfn.MINIFS($DE$242:$DE$321,$DG$242:$DG$321,"&gt;"&amp;Inputs!$H$83)</f>
        <v>13.499999999999996</v>
      </c>
      <c r="CH399" s="463">
        <f>IF(Inputs!$F$83&gt;MAX(Pile!$DG$70:$DG$149),999999,IF(Pile!CE399/(Pile!CC399/1000)&gt;50,999999,IF(Pile!CE399&lt;2,999999,Pile!CE399)))</f>
        <v>13.499999999999996</v>
      </c>
      <c r="CI399" s="464">
        <f>IF(Inputs!CE31="Yes",999999,IF(Pile!CF399/(Pile!CC399/1000)&gt;50,999999,IF(Pile!CF399&lt;2,999999,Pile!CF399)))</f>
        <v>11.999999999999996</v>
      </c>
      <c r="CJ399" s="464">
        <f>IF(Inputs!$F$83&gt;MAX(Pile!$DG$242:$DG$321),999999,IF(Pile!CG399/(Pile!CC399/1000)&gt;50,999999,IF(Pile!CG399&lt;2,999999,IF(CG399&gt;25,999999,Pile!CG399))))</f>
        <v>13.499999999999996</v>
      </c>
      <c r="CK399" s="463">
        <f>IF(ISNUMBER(CH399),CD399*(PI()*(CC399/2000)^2)*CH399,CH399)+CN399</f>
        <v>10.838328916751095</v>
      </c>
      <c r="CL399" s="464">
        <f>IF(ISNUMBER(CI399),CD399*(PI()*(CC399/2000)^2)*CI399,CI399)+CN399</f>
        <v>9.884070148223195</v>
      </c>
      <c r="CM399" s="465">
        <f>IF(ISNUMBER(CJ399),CD399*(PI()*(CC399/2000)^2)*CJ399,CJ399)+CN399</f>
        <v>10.838328916751095</v>
      </c>
      <c r="CN399" s="586">
        <f>CA399</f>
        <v>2.25</v>
      </c>
      <c r="CO399" s="468">
        <v>1</v>
      </c>
      <c r="CP399" s="469">
        <v>450</v>
      </c>
      <c r="CQ399" s="470">
        <f>Inputs!$D$41</f>
        <v>4</v>
      </c>
      <c r="CR399" s="461">
        <f>_xlfn.MINIFS($DE$70:$DE$149,$DG$70:$DG$149,"&gt;"&amp;Inputs!$H$90)</f>
        <v>13.499999999999996</v>
      </c>
      <c r="CS399" s="461">
        <f>_xlfn.MINIFS($DE$156:$DE$235,$DG$156:$DG$235,"&gt;"&amp;Inputs!$H$90)</f>
        <v>11.099999999999996</v>
      </c>
      <c r="CT399" s="462">
        <f>_xlfn.MINIFS($DE$242:$DE$321,$DG$242:$DG$321,"&gt;"&amp;Inputs!$H$90)</f>
        <v>13.499999999999996</v>
      </c>
      <c r="CU399" s="463">
        <f>IF(Inputs!$F$90&gt;MAX(Pile!$DG$70:$DG$149),999999,IF(Pile!CR399/(Pile!CP399/1000)&gt;50,999999,IF(Pile!CR399&lt;2,999999,Pile!CR399)))</f>
        <v>13.499999999999996</v>
      </c>
      <c r="CV399" s="464">
        <f>IF(Inputs!CR31="Yes",999999,IF(Pile!CS399/(Pile!CP399/1000)&gt;50,999999,IF(Pile!CS399&lt;2,999999,Pile!CS399)))</f>
        <v>11.099999999999996</v>
      </c>
      <c r="CW399" s="464">
        <f>IF(Inputs!$F$90&gt;MAX(Pile!$DG$242:$DG$321),999999,IF(Pile!CT399/(Pile!CP399/1000)&gt;50,999999,IF(Pile!CT399&lt;2,999999,IF(CT399&gt;25,999999,Pile!CT399))))</f>
        <v>13.499999999999996</v>
      </c>
      <c r="CX399" s="463">
        <f>IF(ISNUMBER(CU399),CQ399*(PI()*(CP399/2000)^2)*CU399,CU399)+DA399</f>
        <v>10.838328916751095</v>
      </c>
      <c r="CY399" s="464">
        <f>IF(ISNUMBER(CV399),CQ399*(PI()*(CP399/2000)^2)*CV399,CV399)+DA399</f>
        <v>9.3115148871064548</v>
      </c>
      <c r="CZ399" s="465">
        <f>IF(ISNUMBER(CW399),CQ399*(PI()*(CP399/2000)^2)*CW399,CW399)+DA399</f>
        <v>10.838328916751095</v>
      </c>
      <c r="DA399" s="586">
        <f>CN399</f>
        <v>2.25</v>
      </c>
      <c r="DB399" s="468">
        <v>1</v>
      </c>
      <c r="DC399" s="469">
        <v>450</v>
      </c>
      <c r="DD399" s="470">
        <f>Inputs!$D$41</f>
        <v>4</v>
      </c>
      <c r="DE399" s="461">
        <f>_xlfn.MINIFS($DE$70:$DE$149,$DG$70:$DG$149,"&gt;"&amp;Inputs!$H$97)</f>
        <v>13.499999999999996</v>
      </c>
      <c r="DF399" s="461">
        <f>_xlfn.MINIFS($DE$156:$DE$235,$DG$156:$DG$235,"&gt;"&amp;Inputs!$H$97)</f>
        <v>11.099999999999996</v>
      </c>
      <c r="DG399" s="462">
        <f>_xlfn.MINIFS($DE$242:$DE$321,$DG$242:$DG$321,"&gt;"&amp;Inputs!$H$97)</f>
        <v>13.499999999999996</v>
      </c>
      <c r="DH399" s="463">
        <f>IF(Inputs!$F$97&gt;MAX(Pile!$DG$70:$DG$149),999999,IF(Pile!DE399/(Pile!DC399/1000)&gt;50,999999,IF(Pile!DE399&lt;2,999999,Pile!DE399)))</f>
        <v>13.499999999999996</v>
      </c>
      <c r="DI399" s="464">
        <f>IF(Inputs!DE31="Yes",999999,IF(Pile!DF399/(Pile!DC399/1000)&gt;50,999999,IF(Pile!DF399&lt;2,999999,Pile!DF399)))</f>
        <v>11.099999999999996</v>
      </c>
      <c r="DJ399" s="464">
        <f>IF(Inputs!$F$97&gt;MAX(Pile!$DG$242:$DG$321),999999,IF(Pile!DG399/(Pile!DC399/1000)&gt;50,999999,IF(Pile!DG399&lt;2,999999,IF(DG399&gt;25,999999,Pile!DG399))))</f>
        <v>13.499999999999996</v>
      </c>
      <c r="DK399" s="463">
        <f>IF(ISNUMBER(DH399),DD399*(PI()*(DC399/2000)^2)*DH399,DH399)+DN399</f>
        <v>10.838328916751095</v>
      </c>
      <c r="DL399" s="464">
        <f>IF(ISNUMBER(DI399),DD399*(PI()*(DC399/2000)^2)*DI399,DI399)+DN399</f>
        <v>9.3115148871064548</v>
      </c>
      <c r="DM399" s="465">
        <f>IF(ISNUMBER(DJ399),DD399*(PI()*(DC399/2000)^2)*DJ399,DJ399)+DN399</f>
        <v>10.838328916751095</v>
      </c>
      <c r="DN399" s="586">
        <f>DA399</f>
        <v>2.25</v>
      </c>
      <c r="DO399" s="468">
        <v>1</v>
      </c>
      <c r="DP399" s="469">
        <v>450</v>
      </c>
      <c r="DQ399" s="470">
        <f>Inputs!$D$41</f>
        <v>4</v>
      </c>
      <c r="DR399" s="461">
        <f>_xlfn.MINIFS($DE$70:$DE$149,$DG$70:$DG$149,"&gt;"&amp;Inputs!$H$104)</f>
        <v>13.499999999999996</v>
      </c>
      <c r="DS399" s="461">
        <f>_xlfn.MINIFS($DE$156:$DE$235,$DG$156:$DG$235,"&gt;"&amp;Inputs!$H$104)</f>
        <v>5.9999999999999982</v>
      </c>
      <c r="DT399" s="462">
        <f>_xlfn.MINIFS($DE$242:$DE$321,$DG$242:$DG$321,"&gt;"&amp;Inputs!$H$104)</f>
        <v>5.9999999999999982</v>
      </c>
      <c r="DU399" s="463">
        <f>IF(Inputs!$F$104&gt;MAX(Pile!$DG$70:$DG$149),999999,IF(Pile!DR399/(Pile!DP399/1000)&gt;50,999999,IF(Pile!DR399&lt;2,999999,Pile!DR399)))</f>
        <v>13.499999999999996</v>
      </c>
      <c r="DV399" s="464">
        <f>IF(Inputs!DR31="Yes",999999,IF(Pile!DS399/(Pile!DP399/1000)&gt;50,999999,IF(Pile!DS399&lt;2,999999,Pile!DS399)))</f>
        <v>5.9999999999999982</v>
      </c>
      <c r="DW399" s="464">
        <f>IF(Inputs!$F$104&gt;MAX(Pile!$DG$242:$DG$321),999999,IF(Pile!DT399/(Pile!DP399/1000)&gt;50,999999,IF(Pile!DT399&lt;2,999999,IF(DT399&gt;25,999999,Pile!DT399))))</f>
        <v>5.9999999999999982</v>
      </c>
      <c r="DX399" s="463">
        <f>IF(ISNUMBER(DU399),DQ399*(PI()*(DP399/2000)^2)*DU399,DU399)+EA399</f>
        <v>10.838328916751095</v>
      </c>
      <c r="DY399" s="464">
        <f>IF(ISNUMBER(DV399),DQ399*(PI()*(DP399/2000)^2)*DV399,DV399)+EA399</f>
        <v>6.0670350741115975</v>
      </c>
      <c r="DZ399" s="465">
        <f>IF(ISNUMBER(DW399),DQ399*(PI()*(DP399/2000)^2)*DW399,DW399)+EA399</f>
        <v>6.0670350741115975</v>
      </c>
      <c r="EA399" s="586">
        <f>DN399</f>
        <v>2.25</v>
      </c>
      <c r="EB399" s="468">
        <v>1</v>
      </c>
      <c r="EC399" s="469">
        <v>450</v>
      </c>
      <c r="ED399" s="470">
        <f>Inputs!$D$41</f>
        <v>4</v>
      </c>
      <c r="EE399" s="461">
        <f>_xlfn.MINIFS($DE$70:$DE$149,$DG$70:$DG$149,"&gt;"&amp;Inputs!$H$111)</f>
        <v>13.499999999999996</v>
      </c>
      <c r="EF399" s="461">
        <f>_xlfn.MINIFS($DE$156:$DE$235,$DG$156:$DG$235,"&gt;"&amp;Inputs!$H$111)</f>
        <v>5.9999999999999982</v>
      </c>
      <c r="EG399" s="462">
        <f>_xlfn.MINIFS($DE$242:$DE$321,$DG$242:$DG$321,"&gt;"&amp;Inputs!$H$111)</f>
        <v>5.9999999999999982</v>
      </c>
      <c r="EH399" s="463">
        <f>IF(Inputs!$F$111&gt;MAX(Pile!$DG$70:$DG$149),999999,IF(Pile!EE399/(Pile!EC399/1000)&gt;50,999999,IF(Pile!EE399&lt;2,999999,Pile!EE399)))</f>
        <v>13.499999999999996</v>
      </c>
      <c r="EI399" s="464">
        <f>IF(Inputs!EE31="Yes",999999,IF(Pile!EF399/(Pile!EC399/1000)&gt;50,999999,IF(Pile!EF399&lt;2,999999,Pile!EF399)))</f>
        <v>5.9999999999999982</v>
      </c>
      <c r="EJ399" s="464">
        <f>IF(Inputs!$F$111&gt;MAX(Pile!$DG$242:$DG$321),999999,IF(Pile!EG399/(Pile!EC399/1000)&gt;50,999999,IF(Pile!EG399&lt;2,999999,IF(EG399&gt;25,999999,Pile!EG399))))</f>
        <v>5.9999999999999982</v>
      </c>
      <c r="EK399" s="463">
        <f>IF(ISNUMBER(EH399),ED399*(PI()*(EC399/2000)^2)*EH399,EH399)+EN399</f>
        <v>10.838328916751095</v>
      </c>
      <c r="EL399" s="464">
        <f>IF(ISNUMBER(EI399),ED399*(PI()*(EC399/2000)^2)*EI399,EI399)+EN399</f>
        <v>6.0670350741115975</v>
      </c>
      <c r="EM399" s="465">
        <f>IF(ISNUMBER(EJ399),ED399*(PI()*(EC399/2000)^2)*EJ399,EJ399)+EN399</f>
        <v>6.0670350741115975</v>
      </c>
      <c r="EN399" s="586">
        <f>EA399</f>
        <v>2.25</v>
      </c>
      <c r="EO399" s="468">
        <v>1</v>
      </c>
      <c r="EP399" s="469">
        <v>450</v>
      </c>
      <c r="EQ399" s="470">
        <f>Inputs!$D$41</f>
        <v>4</v>
      </c>
      <c r="ER399" s="461">
        <f>_xlfn.MINIFS($DE$70:$DE$149,$DG$70:$DG$149,"&gt;"&amp;Inputs!$H$118)</f>
        <v>0.29999999999999982</v>
      </c>
      <c r="ES399" s="461">
        <f>_xlfn.MINIFS($DE$156:$DE$235,$DG$156:$DG$235,"&gt;"&amp;Inputs!$H$118)</f>
        <v>0.29999999999999982</v>
      </c>
      <c r="ET399" s="462">
        <f>_xlfn.MINIFS($DE$242:$DE$321,$DG$242:$DG$321,"&gt;"&amp;Inputs!$H$118)</f>
        <v>0.29999999999999982</v>
      </c>
      <c r="EU399" s="463">
        <f>IF(Inputs!$F$118&gt;MAX(Pile!$DG$70:$DG$149),999999,IF(Pile!ER399/(Pile!EP399/1000)&gt;50,999999,IF(Pile!ER399&lt;2,999999,Pile!ER399)))</f>
        <v>999999</v>
      </c>
      <c r="EV399" s="464">
        <f>IF(Inputs!ER31="Yes",999999,IF(Inputs!$F$118&gt;MAX(Pile!$DG$156:$DG$235),999999,IF(Pile!ES399/(Pile!EP399/1000)&gt;50,999999,IF(Pile!ES399&lt;2,999999,Pile!ES399))))</f>
        <v>999999</v>
      </c>
      <c r="EW399" s="464">
        <f>IF(Inputs!$F$118&gt;MAX(Pile!$DG$242:$DG$321),999999,IF(Pile!ET399/(Pile!EP399/1000)&gt;50,999999,IF(Pile!ET399&lt;2,999999,IF(ET399&gt;25,999999,Pile!ET399))))</f>
        <v>999999</v>
      </c>
      <c r="EX399" s="463">
        <f t="shared" ref="EX399:EX422" si="451">IF(ISNUMBER(EU399),EQ399*(PI()*(EP399/2000)^2)*EU399,EU399)</f>
        <v>636171.87617942085</v>
      </c>
      <c r="EY399" s="464">
        <f t="shared" ref="EY399:EY422" si="452">IF(ISNUMBER(EV399),EQ399*(PI()*(EP399/2000)^2)*EV399,EV399)</f>
        <v>636171.87617942085</v>
      </c>
      <c r="EZ399" s="465">
        <f t="shared" ref="EZ399:EZ422" si="453">IF(ISNUMBER(EW399),EQ399*(PI()*(EP399/2000)^2)*EW399,EW399)</f>
        <v>636171.87617942085</v>
      </c>
      <c r="FA399" s="585"/>
      <c r="FB399" s="585"/>
    </row>
    <row r="400" spans="2:158" ht="15">
      <c r="B400" s="475">
        <v>1</v>
      </c>
      <c r="C400" s="476">
        <v>600</v>
      </c>
      <c r="D400" s="460">
        <f>Inputs!$D$41</f>
        <v>4</v>
      </c>
      <c r="E400" s="461">
        <f>_xlfn.MINIFS($DE$70:$DE$149,$DH$70:$DH$149,"&gt;"&amp;Inputs!$H$41)</f>
        <v>13.499999999999996</v>
      </c>
      <c r="F400" s="461">
        <f>_xlfn.MINIFS($DE$156:$DE$235,$DH$156:$DH$235,"&gt;"&amp;Inputs!$H$41)</f>
        <v>13.499999999999996</v>
      </c>
      <c r="G400" s="462">
        <f>_xlfn.MINIFS($DE$242:$DE$321,$DH$242:$DH$321,"&gt;"&amp;Inputs!$H$41)</f>
        <v>13.499999999999996</v>
      </c>
      <c r="H400" s="477">
        <f>IF(Inputs!$F$41&gt;MAX(Pile!$DH$70:$DH$149),999999,IF(Pile!E400/(Pile!C400/1000)&gt;50,999999,IF(Pile!E400&lt;2,999999,Pile!E400)))</f>
        <v>13.499999999999996</v>
      </c>
      <c r="I400" s="461">
        <f>IF(Inputs!E32="Yes",999999,IF(Pile!F400/(Pile!C400/1000)&gt;50,999999,IF(Pile!F400&lt;2,999999,Pile!F400)))</f>
        <v>13.499999999999996</v>
      </c>
      <c r="J400" s="461">
        <f>IF(Inputs!$F$41&gt;MAX(Pile!$DH$242:$DH$321),999999,IF(Pile!G400/(Pile!C400/1000)&gt;50,999999,IF(Pile!G400&lt;2,999999,IF(G400&gt;25,999999,Pile!G400))))</f>
        <v>13.499999999999996</v>
      </c>
      <c r="K400" s="477">
        <f t="shared" ref="K400:K422" si="454">IF(ISNUMBER(H400),D400*(PI()*(C400/2000)^2)*H400,H400)+N400</f>
        <v>19.804140296446391</v>
      </c>
      <c r="L400" s="461">
        <f t="shared" ref="L400:L422" si="455">IF(ISNUMBER(I400),D400*(PI()*(C400/2000)^2)*I400,I400)+N400</f>
        <v>19.804140296446391</v>
      </c>
      <c r="M400" s="462">
        <f t="shared" ref="M400:M422" si="456">IF(ISNUMBER(J400),D400*(PI()*(C400/2000)^2)*J400,J400)+N400</f>
        <v>19.804140296446391</v>
      </c>
      <c r="N400" s="585">
        <f>Inputs!$D$41*D460</f>
        <v>4.5359999999999996</v>
      </c>
      <c r="O400" s="475">
        <v>1</v>
      </c>
      <c r="P400" s="476">
        <v>600</v>
      </c>
      <c r="Q400" s="460">
        <f>Inputs!$D$41</f>
        <v>4</v>
      </c>
      <c r="R400" s="461">
        <f>_xlfn.MINIFS($DE$70:$DE$149,$DH$70:$DH$149,"&gt;"&amp;Inputs!$H$48)</f>
        <v>13.499999999999996</v>
      </c>
      <c r="S400" s="461">
        <f>_xlfn.MINIFS($DE$156:$DE$235,$DH$156:$DH$235,"&gt;"&amp;Inputs!$H$48)</f>
        <v>13.499999999999996</v>
      </c>
      <c r="T400" s="462">
        <f>_xlfn.MINIFS($DE$242:$DE$321,$DH$242:$DH$321,"&gt;"&amp;Inputs!$H$48)</f>
        <v>13.499999999999996</v>
      </c>
      <c r="U400" s="477">
        <f>IF(Inputs!$F$48&gt;MAX(Pile!$DH$70:$DH$149),999999,IF(Pile!R400/(Pile!P400/1000)&gt;50,999999,IF(Pile!R400&lt;2,999999,Pile!R400)))</f>
        <v>13.499999999999996</v>
      </c>
      <c r="V400" s="461">
        <f>IF(Inputs!R32="Yes",999999,IF(Pile!S400/(Pile!P400/1000)&gt;50,999999,IF(Pile!S400&lt;2,999999,Pile!S400)))</f>
        <v>13.499999999999996</v>
      </c>
      <c r="W400" s="461">
        <f>IF(Inputs!$F$48&gt;MAX(Pile!$DH$242:$DH$321),999999,IF(Pile!T400/(Pile!P400/1000)&gt;50,999999,IF(Pile!T400&lt;2,999999,IF(T400&gt;25,999999,Pile!T400))))</f>
        <v>13.499999999999996</v>
      </c>
      <c r="X400" s="477">
        <f t="shared" ref="X400:X422" si="457">IF(ISNUMBER(U400),Q400*(PI()*(P400/2000)^2)*U400,U400)+AA400</f>
        <v>19.804140296446391</v>
      </c>
      <c r="Y400" s="461">
        <f t="shared" ref="Y400:Y422" si="458">IF(ISNUMBER(V400),Q400*(PI()*(P400/2000)^2)*V400,V400)+AA400</f>
        <v>19.804140296446391</v>
      </c>
      <c r="Z400" s="462">
        <f t="shared" ref="Z400:Z422" si="459">IF(ISNUMBER(W400),Q400*(PI()*(P400/2000)^2)*W400,W400)+AA400</f>
        <v>19.804140296446391</v>
      </c>
      <c r="AA400" s="467">
        <f t="shared" si="369"/>
        <v>4.5359999999999996</v>
      </c>
      <c r="AB400" s="478">
        <v>1</v>
      </c>
      <c r="AC400" s="479">
        <v>600</v>
      </c>
      <c r="AD400" s="470">
        <f>Inputs!$D$41</f>
        <v>4</v>
      </c>
      <c r="AE400" s="461">
        <f>_xlfn.MINIFS($DE$70:$DE$149,$DH$70:$DH$149,"&gt;"&amp;Inputs!$H$55)</f>
        <v>13.499999999999996</v>
      </c>
      <c r="AF400" s="461">
        <f>_xlfn.MINIFS($DE$156:$DE$235,$DH$156:$DH$235,"&gt;"&amp;Inputs!$H$55)</f>
        <v>13.499999999999996</v>
      </c>
      <c r="AG400" s="462">
        <f>_xlfn.MINIFS($DE$242:$DE$321,$DH$242:$DH$321,"&gt;"&amp;Inputs!$H$55)</f>
        <v>13.499999999999996</v>
      </c>
      <c r="AH400" s="477">
        <f>IF(Inputs!$F$55&gt;MAX(Pile!$DH$70:$DH$149),999999,IF(Pile!AE400/(Pile!AC400/1000)&gt;50,999999,IF(Pile!AE400&lt;2,999999,Pile!AE400)))</f>
        <v>13.499999999999996</v>
      </c>
      <c r="AI400" s="461">
        <f>IF(Inputs!AE32="Yes",999999,IF(Pile!AF400/(Pile!AC400/1000)&gt;50,999999,IF(Pile!AF400&lt;2,999999,Pile!AF400)))</f>
        <v>13.499999999999996</v>
      </c>
      <c r="AJ400" s="461">
        <f>IF(Inputs!$F$55&gt;MAX(Pile!$DH$242:$DH$321),999999,IF(Pile!AG400/(Pile!AC400/1000)&gt;50,999999,IF(Pile!AG400&lt;2,999999,IF(AG400&gt;25,999999,Pile!AG400))))</f>
        <v>13.499999999999996</v>
      </c>
      <c r="AK400" s="477">
        <f t="shared" ref="AK400:AK422" si="460">IF(ISNUMBER(AH400),AD400*(PI()*(AC400/2000)^2)*AH400,AH400)+AN400</f>
        <v>19.804140296446391</v>
      </c>
      <c r="AL400" s="461">
        <f t="shared" ref="AL400:AL422" si="461">IF(ISNUMBER(AI400),AD400*(PI()*(AC400/2000)^2)*AI400,AI400)+AN400</f>
        <v>19.804140296446391</v>
      </c>
      <c r="AM400" s="462">
        <f t="shared" ref="AM400:AM422" si="462">IF(ISNUMBER(AJ400),AD400*(PI()*(AC400/2000)^2)*AJ400,AJ400)+AN400</f>
        <v>19.804140296446391</v>
      </c>
      <c r="AN400" s="586">
        <f t="shared" ref="AN400:AN422" si="463">N400</f>
        <v>4.5359999999999996</v>
      </c>
      <c r="AO400" s="478">
        <v>1</v>
      </c>
      <c r="AP400" s="479">
        <v>600</v>
      </c>
      <c r="AQ400" s="470">
        <f>Inputs!$D$41</f>
        <v>4</v>
      </c>
      <c r="AR400" s="461">
        <f>_xlfn.MINIFS($DE$70:$DE$149,$DH$70:$DH$149,"&gt;"&amp;Inputs!$H$62)</f>
        <v>13.499999999999996</v>
      </c>
      <c r="AS400" s="461">
        <f>_xlfn.MINIFS($DE$156:$DE$235,$DH$156:$DH$235,"&gt;"&amp;Inputs!$H$62)</f>
        <v>13.499999999999996</v>
      </c>
      <c r="AT400" s="462">
        <f>_xlfn.MINIFS($DE$242:$DE$321,$DH$242:$DH$321,"&gt;"&amp;Inputs!$H$62)</f>
        <v>13.499999999999996</v>
      </c>
      <c r="AU400" s="477">
        <f>IF(Inputs!$F$62&gt;MAX(Pile!$DH$70:$DH$149),999999,IF(Pile!AR400/(Pile!AP400/1000)&gt;50,999999,IF(Pile!AR400&lt;2,999999,Pile!AR400)))</f>
        <v>13.499999999999996</v>
      </c>
      <c r="AV400" s="461">
        <f>IF(Inputs!AR32="Yes",999999,IF(Pile!AS400/(Pile!AP400/1000)&gt;50,999999,IF(Pile!AS400&lt;2,999999,Pile!AS400)))</f>
        <v>13.499999999999996</v>
      </c>
      <c r="AW400" s="461">
        <f>IF(Inputs!$F$62&gt;MAX(Pile!$DH$242:$DH$321),999999,IF(Pile!AT400/(Pile!AP400/1000)&gt;50,999999,IF(Pile!AT400&lt;2,999999,IF(AT400&gt;25,999999,Pile!AT400))))</f>
        <v>13.499999999999996</v>
      </c>
      <c r="AX400" s="477">
        <f t="shared" ref="AX400:AX422" si="464">IF(ISNUMBER(AU400),AQ400*(PI()*(AP400/2000)^2)*AU400,AU400)+BA400</f>
        <v>19.804140296446391</v>
      </c>
      <c r="AY400" s="461">
        <f t="shared" ref="AY400:AY422" si="465">IF(ISNUMBER(AV400),AQ400*(PI()*(AP400/2000)^2)*AV400,AV400)+BA400</f>
        <v>19.804140296446391</v>
      </c>
      <c r="AZ400" s="462">
        <f t="shared" ref="AZ400:AZ422" si="466">IF(ISNUMBER(AW400),AQ400*(PI()*(AP400/2000)^2)*AW400,AW400)+BA400</f>
        <v>19.804140296446391</v>
      </c>
      <c r="BA400" s="586">
        <f t="shared" ref="BA400:BA422" si="467">AN400</f>
        <v>4.5359999999999996</v>
      </c>
      <c r="BB400" s="478">
        <v>1</v>
      </c>
      <c r="BC400" s="479">
        <v>600</v>
      </c>
      <c r="BD400" s="470">
        <f>Inputs!$D$41</f>
        <v>4</v>
      </c>
      <c r="BE400" s="461">
        <f>_xlfn.MINIFS($DE$70:$DE$149,$DH$70:$DH$149,"&gt;"&amp;Inputs!$H$69)</f>
        <v>13.499999999999996</v>
      </c>
      <c r="BF400" s="461">
        <f>_xlfn.MINIFS($DE$156:$DE$235,$DH$156:$DH$235,"&gt;"&amp;Inputs!$H$69)</f>
        <v>13.499999999999996</v>
      </c>
      <c r="BG400" s="462">
        <f>_xlfn.MINIFS($DE$242:$DE$321,$DH$242:$DH$321,"&gt;"&amp;Inputs!$H$69)</f>
        <v>13.499999999999996</v>
      </c>
      <c r="BH400" s="477">
        <f>IF(Inputs!$F$69&gt;MAX(Pile!$DH$70:$DH$149),999999,IF(Pile!BE400/(Pile!BC400/1000)&gt;50,999999,IF(Pile!BE400&lt;2,999999,Pile!BE400)))</f>
        <v>13.499999999999996</v>
      </c>
      <c r="BI400" s="461">
        <f>IF(Inputs!BE32="Yes",999999,IF(Pile!BF400/(Pile!BC400/1000)&gt;50,999999,IF(Pile!BF400&lt;2,999999,Pile!BF400)))</f>
        <v>13.499999999999996</v>
      </c>
      <c r="BJ400" s="461">
        <f>IF(Inputs!$F$69&gt;MAX(Pile!$DH$242:$DH$321),999999,IF(Pile!BG400/(Pile!BC400/1000)&gt;50,999999,IF(Pile!BG400&lt;2,999999,IF(BG400&gt;25,999999,Pile!BG400))))</f>
        <v>13.499999999999996</v>
      </c>
      <c r="BK400" s="477">
        <f t="shared" ref="BK400:BK422" si="468">IF(ISNUMBER(BH400),BD400*(PI()*(BC400/2000)^2)*BH400,BH400)+BN400</f>
        <v>19.804140296446391</v>
      </c>
      <c r="BL400" s="461">
        <f t="shared" ref="BL400:BL422" si="469">IF(ISNUMBER(BI400),BD400*(PI()*(BC400/2000)^2)*BI400,BI400)+BN400</f>
        <v>19.804140296446391</v>
      </c>
      <c r="BM400" s="462">
        <f t="shared" ref="BM400:BM422" si="470">IF(ISNUMBER(BJ400),BD400*(PI()*(BC400/2000)^2)*BJ400,BJ400)+BN400</f>
        <v>19.804140296446391</v>
      </c>
      <c r="BN400" s="586">
        <f t="shared" ref="BN400:BN422" si="471">BA400</f>
        <v>4.5359999999999996</v>
      </c>
      <c r="BO400" s="478">
        <v>1</v>
      </c>
      <c r="BP400" s="479">
        <v>600</v>
      </c>
      <c r="BQ400" s="470">
        <f>Inputs!$D$41</f>
        <v>4</v>
      </c>
      <c r="BR400" s="461">
        <f>_xlfn.MINIFS($DE$70:$DE$149,$DH$70:$DH$149,"&gt;"&amp;Inputs!$H$76)</f>
        <v>13.499999999999996</v>
      </c>
      <c r="BS400" s="461">
        <f>_xlfn.MINIFS($DE$156:$DE$235,$DH$156:$DH$235,"&gt;"&amp;Inputs!$H$76)</f>
        <v>13.499999999999996</v>
      </c>
      <c r="BT400" s="462">
        <f>_xlfn.MINIFS($DE$242:$DE$321,$DH$242:$DH$321,"&gt;"&amp;Inputs!$H$76)</f>
        <v>13.499999999999996</v>
      </c>
      <c r="BU400" s="477">
        <f>IF(Inputs!$F$76&gt;MAX(Pile!$DH$70:$DH$149),999999,IF(Pile!BR400/(Pile!BP400/1000)&gt;50,999999,IF(Pile!BR400&lt;2,999999,Pile!BR400)))</f>
        <v>13.499999999999996</v>
      </c>
      <c r="BV400" s="461">
        <f>IF(Inputs!BR32="Yes",999999,IF(Pile!BS400/(Pile!BP400/1000)&gt;50,999999,IF(Pile!BS400&lt;2,999999,Pile!BS400)))</f>
        <v>13.499999999999996</v>
      </c>
      <c r="BW400" s="461">
        <f>IF(Inputs!$F$76&gt;MAX(Pile!$DH$242:$DH$321),999999,IF(Pile!BT400/(Pile!BP400/1000)&gt;50,999999,IF(Pile!BT400&lt;2,999999,IF(BT400&gt;25,999999,Pile!BT400))))</f>
        <v>13.499999999999996</v>
      </c>
      <c r="BX400" s="477">
        <f t="shared" ref="BX400:BX422" si="472">IF(ISNUMBER(BU400),BQ400*(PI()*(BP400/2000)^2)*BU400,BU400)+CA400</f>
        <v>19.804140296446391</v>
      </c>
      <c r="BY400" s="461">
        <f t="shared" ref="BY400:BY422" si="473">IF(ISNUMBER(BV400),BQ400*(PI()*(BP400/2000)^2)*BV400,BV400)+CA400</f>
        <v>19.804140296446391</v>
      </c>
      <c r="BZ400" s="462">
        <f t="shared" ref="BZ400:BZ422" si="474">IF(ISNUMBER(BW400),BQ400*(PI()*(BP400/2000)^2)*BW400,BW400)+CA400</f>
        <v>19.804140296446391</v>
      </c>
      <c r="CA400" s="586">
        <f t="shared" ref="CA400:CA422" si="475">BN400</f>
        <v>4.5359999999999996</v>
      </c>
      <c r="CB400" s="478">
        <v>1</v>
      </c>
      <c r="CC400" s="479">
        <v>600</v>
      </c>
      <c r="CD400" s="470">
        <f>Inputs!$D$41</f>
        <v>4</v>
      </c>
      <c r="CE400" s="461">
        <f>_xlfn.MINIFS($DE$70:$DE$149,$DH$70:$DH$149,"&gt;"&amp;Inputs!$H$83)</f>
        <v>5.6999999999999975</v>
      </c>
      <c r="CF400" s="461">
        <f>_xlfn.MINIFS($DE$156:$DE$235,$DH$156:$DH$235,"&gt;"&amp;Inputs!$H$83)</f>
        <v>5.0999999999999979</v>
      </c>
      <c r="CG400" s="462">
        <f>_xlfn.MINIFS($DE$242:$DE$321,$DH$242:$DH$321,"&gt;"&amp;Inputs!$H$83)</f>
        <v>5.3999999999999977</v>
      </c>
      <c r="CH400" s="477">
        <f>IF(Inputs!$F$83&gt;MAX(Pile!$DH$70:$DH$149),999999,IF(Pile!CE400/(Pile!CC400/1000)&gt;50,999999,IF(Pile!CE400&lt;2,999999,Pile!CE400)))</f>
        <v>5.6999999999999975</v>
      </c>
      <c r="CI400" s="461">
        <f>IF(Inputs!CE32="Yes",999999,IF(Pile!CF400/(Pile!CC400/1000)&gt;50,999999,IF(Pile!CF400&lt;2,999999,Pile!CF400)))</f>
        <v>5.0999999999999979</v>
      </c>
      <c r="CJ400" s="461">
        <f>IF(Inputs!$F$83&gt;MAX(Pile!$DH$242:$DH$321),999999,IF(Pile!CG400/(Pile!CC400/1000)&gt;50,999999,IF(Pile!CG400&lt;2,999999,IF(CG400&gt;25,999999,Pile!CG400))))</f>
        <v>5.3999999999999977</v>
      </c>
      <c r="CK400" s="477">
        <f t="shared" ref="CK400:CK422" si="476">IF(ISNUMBER(CH400),CD400*(PI()*(CC400/2000)^2)*CH400,CH400)+CN400</f>
        <v>10.982548125166254</v>
      </c>
      <c r="CL400" s="461">
        <f t="shared" ref="CL400:CL422" si="477">IF(ISNUMBER(CI400),CD400*(PI()*(CC400/2000)^2)*CI400,CI400)+CN400</f>
        <v>10.303964111990858</v>
      </c>
      <c r="CM400" s="462">
        <f t="shared" ref="CM400:CM422" si="478">IF(ISNUMBER(CJ400),CD400*(PI()*(CC400/2000)^2)*CJ400,CJ400)+CN400</f>
        <v>10.643256118578556</v>
      </c>
      <c r="CN400" s="586">
        <f t="shared" ref="CN400:CN422" si="479">CA400</f>
        <v>4.5359999999999996</v>
      </c>
      <c r="CO400" s="478">
        <v>1</v>
      </c>
      <c r="CP400" s="479">
        <v>600</v>
      </c>
      <c r="CQ400" s="470">
        <f>Inputs!$D$41</f>
        <v>4</v>
      </c>
      <c r="CR400" s="461">
        <f>_xlfn.MINIFS($DE$70:$DE$149,$DH$70:$DH$149,"&gt;"&amp;Inputs!$H$90)</f>
        <v>5.3999999999999977</v>
      </c>
      <c r="CS400" s="461">
        <f>_xlfn.MINIFS($DE$156:$DE$235,$DH$156:$DH$235,"&gt;"&amp;Inputs!$H$90)</f>
        <v>4.799999999999998</v>
      </c>
      <c r="CT400" s="462">
        <f>_xlfn.MINIFS($DE$242:$DE$321,$DH$242:$DH$321,"&gt;"&amp;Inputs!$H$90)</f>
        <v>5.0999999999999979</v>
      </c>
      <c r="CU400" s="477">
        <f>IF(Inputs!$F$90&gt;MAX(Pile!$DH$70:$DH$149),999999,IF(Pile!CR400/(Pile!CP400/1000)&gt;50,999999,IF(Pile!CR400&lt;2,999999,Pile!CR400)))</f>
        <v>5.3999999999999977</v>
      </c>
      <c r="CV400" s="461">
        <f>IF(Inputs!CR32="Yes",999999,IF(Pile!CS400/(Pile!CP400/1000)&gt;50,999999,IF(Pile!CS400&lt;2,999999,Pile!CS400)))</f>
        <v>4.799999999999998</v>
      </c>
      <c r="CW400" s="461">
        <f>IF(Inputs!$F$90&gt;MAX(Pile!$DH$242:$DH$321),999999,IF(Pile!CT400/(Pile!CP400/1000)&gt;50,999999,IF(Pile!CT400&lt;2,999999,IF(CT400&gt;25,999999,Pile!CT400))))</f>
        <v>5.0999999999999979</v>
      </c>
      <c r="CX400" s="477">
        <f t="shared" ref="CX400:CX422" si="480">IF(ISNUMBER(CU400),CQ400*(PI()*(CP400/2000)^2)*CU400,CU400)+DA400</f>
        <v>10.643256118578556</v>
      </c>
      <c r="CY400" s="461">
        <f t="shared" ref="CY400:CY422" si="481">IF(ISNUMBER(CV400),CQ400*(PI()*(CP400/2000)^2)*CV400,CV400)+DA400</f>
        <v>9.9646721054031602</v>
      </c>
      <c r="CZ400" s="462">
        <f t="shared" ref="CZ400:CZ422" si="482">IF(ISNUMBER(CW400),CQ400*(PI()*(CP400/2000)^2)*CW400,CW400)+DA400</f>
        <v>10.303964111990858</v>
      </c>
      <c r="DA400" s="586">
        <f t="shared" ref="DA400:DA422" si="483">CN400</f>
        <v>4.5359999999999996</v>
      </c>
      <c r="DB400" s="478">
        <v>1</v>
      </c>
      <c r="DC400" s="479">
        <v>600</v>
      </c>
      <c r="DD400" s="470">
        <f>Inputs!$D$41</f>
        <v>4</v>
      </c>
      <c r="DE400" s="461">
        <f>_xlfn.MINIFS($DE$70:$DE$149,$DH$70:$DH$149,"&gt;"&amp;Inputs!$H$97)</f>
        <v>5.3999999999999977</v>
      </c>
      <c r="DF400" s="461">
        <f>_xlfn.MINIFS($DE$156:$DE$235,$DH$156:$DH$235,"&gt;"&amp;Inputs!$H$97)</f>
        <v>4.799999999999998</v>
      </c>
      <c r="DG400" s="462">
        <f>_xlfn.MINIFS($DE$242:$DE$321,$DH$242:$DH$321,"&gt;"&amp;Inputs!$H$97)</f>
        <v>5.0999999999999979</v>
      </c>
      <c r="DH400" s="477">
        <f>IF(Inputs!$F$97&gt;MAX(Pile!$DH$70:$DH$149),999999,IF(Pile!DE400/(Pile!DC400/1000)&gt;50,999999,IF(Pile!DE400&lt;2,999999,Pile!DE400)))</f>
        <v>5.3999999999999977</v>
      </c>
      <c r="DI400" s="461">
        <f>IF(Inputs!DE32="Yes",999999,IF(Pile!DF400/(Pile!DC400/1000)&gt;50,999999,IF(Pile!DF400&lt;2,999999,Pile!DF400)))</f>
        <v>4.799999999999998</v>
      </c>
      <c r="DJ400" s="461">
        <f>IF(Inputs!$F$97&gt;MAX(Pile!$DH$242:$DH$321),999999,IF(Pile!DG400/(Pile!DC400/1000)&gt;50,999999,IF(Pile!DG400&lt;2,999999,IF(DG400&gt;25,999999,Pile!DG400))))</f>
        <v>5.0999999999999979</v>
      </c>
      <c r="DK400" s="477">
        <f t="shared" ref="DK400:DK422" si="484">IF(ISNUMBER(DH400),DD400*(PI()*(DC400/2000)^2)*DH400,DH400)+DN400</f>
        <v>10.643256118578556</v>
      </c>
      <c r="DL400" s="461">
        <f t="shared" ref="DL400:DL422" si="485">IF(ISNUMBER(DI400),DD400*(PI()*(DC400/2000)^2)*DI400,DI400)+DN400</f>
        <v>9.9646721054031602</v>
      </c>
      <c r="DM400" s="462">
        <f t="shared" ref="DM400:DM422" si="486">IF(ISNUMBER(DJ400),DD400*(PI()*(DC400/2000)^2)*DJ400,DJ400)+DN400</f>
        <v>10.303964111990858</v>
      </c>
      <c r="DN400" s="586">
        <f t="shared" ref="DN400:DN422" si="487">DA400</f>
        <v>4.5359999999999996</v>
      </c>
      <c r="DO400" s="478">
        <v>1</v>
      </c>
      <c r="DP400" s="479">
        <v>600</v>
      </c>
      <c r="DQ400" s="470">
        <f>Inputs!$D$41</f>
        <v>4</v>
      </c>
      <c r="DR400" s="461">
        <f>_xlfn.MINIFS($DE$70:$DE$149,$DH$70:$DH$149,"&gt;"&amp;Inputs!$H$104)</f>
        <v>4.4999999999999982</v>
      </c>
      <c r="DS400" s="461">
        <f>_xlfn.MINIFS($DE$156:$DE$235,$DH$156:$DH$235,"&gt;"&amp;Inputs!$H$104)</f>
        <v>4.1999999999999975</v>
      </c>
      <c r="DT400" s="462">
        <f>_xlfn.MINIFS($DE$242:$DE$321,$DH$242:$DH$321,"&gt;"&amp;Inputs!$H$104)</f>
        <v>4.4999999999999982</v>
      </c>
      <c r="DU400" s="477">
        <f>IF(Inputs!$F$104&gt;MAX(Pile!$DH$70:$DH$149),999999,IF(Pile!DR400/(Pile!DP400/1000)&gt;50,999999,IF(Pile!DR400&lt;2,999999,Pile!DR400)))</f>
        <v>4.4999999999999982</v>
      </c>
      <c r="DV400" s="461">
        <f>IF(Inputs!DR32="Yes",999999,IF(Pile!DS400/(Pile!DP400/1000)&gt;50,999999,IF(Pile!DS400&lt;2,999999,Pile!DS400)))</f>
        <v>4.1999999999999975</v>
      </c>
      <c r="DW400" s="461">
        <f>IF(Inputs!$F$104&gt;MAX(Pile!$DH$242:$DH$321),999999,IF(Pile!DT400/(Pile!DP400/1000)&gt;50,999999,IF(Pile!DT400&lt;2,999999,IF(DT400&gt;25,999999,Pile!DT400))))</f>
        <v>4.4999999999999982</v>
      </c>
      <c r="DX400" s="477">
        <f t="shared" ref="DX400:DX422" si="488">IF(ISNUMBER(DU400),DQ400*(PI()*(DP400/2000)^2)*DU400,DU400)+EA400</f>
        <v>9.6253800988154623</v>
      </c>
      <c r="DY400" s="461">
        <f t="shared" ref="DY400:DY422" si="489">IF(ISNUMBER(DV400),DQ400*(PI()*(DP400/2000)^2)*DV400,DV400)+EA400</f>
        <v>9.2860880922277644</v>
      </c>
      <c r="DZ400" s="462">
        <f t="shared" ref="DZ400:DZ422" si="490">IF(ISNUMBER(DW400),DQ400*(PI()*(DP400/2000)^2)*DW400,DW400)+EA400</f>
        <v>9.6253800988154623</v>
      </c>
      <c r="EA400" s="586">
        <f t="shared" ref="EA400:EA422" si="491">DN400</f>
        <v>4.5359999999999996</v>
      </c>
      <c r="EB400" s="478">
        <v>1</v>
      </c>
      <c r="EC400" s="479">
        <v>600</v>
      </c>
      <c r="ED400" s="470">
        <f>Inputs!$D$41</f>
        <v>4</v>
      </c>
      <c r="EE400" s="461">
        <f>_xlfn.MINIFS($DE$70:$DE$149,$DH$70:$DH$149,"&gt;"&amp;Inputs!$H$111)</f>
        <v>4.799999999999998</v>
      </c>
      <c r="EF400" s="461">
        <f>_xlfn.MINIFS($DE$156:$DE$235,$DH$156:$DH$235,"&gt;"&amp;Inputs!$H$111)</f>
        <v>4.1999999999999975</v>
      </c>
      <c r="EG400" s="462">
        <f>_xlfn.MINIFS($DE$242:$DE$321,$DH$242:$DH$321,"&gt;"&amp;Inputs!$H$111)</f>
        <v>4.4999999999999982</v>
      </c>
      <c r="EH400" s="477">
        <f>IF(Inputs!$F$111&gt;MAX(Pile!$DH$70:$DH$149),999999,IF(Pile!EE400/(Pile!EC400/1000)&gt;50,999999,IF(Pile!EE400&lt;2,999999,Pile!EE400)))</f>
        <v>4.799999999999998</v>
      </c>
      <c r="EI400" s="461">
        <f>IF(Inputs!EE32="Yes",999999,IF(Pile!EF400/(Pile!EC400/1000)&gt;50,999999,IF(Pile!EF400&lt;2,999999,Pile!EF400)))</f>
        <v>4.1999999999999975</v>
      </c>
      <c r="EJ400" s="461">
        <f>IF(Inputs!$F$111&gt;MAX(Pile!$DH$242:$DH$321),999999,IF(Pile!EG400/(Pile!EC400/1000)&gt;50,999999,IF(Pile!EG400&lt;2,999999,IF(EG400&gt;25,999999,Pile!EG400))))</f>
        <v>4.4999999999999982</v>
      </c>
      <c r="EK400" s="477">
        <f t="shared" ref="EK400:EK422" si="492">IF(ISNUMBER(EH400),ED400*(PI()*(EC400/2000)^2)*EH400,EH400)+EN400</f>
        <v>9.9646721054031602</v>
      </c>
      <c r="EL400" s="461">
        <f t="shared" ref="EL400:EL422" si="493">IF(ISNUMBER(EI400),ED400*(PI()*(EC400/2000)^2)*EI400,EI400)+EN400</f>
        <v>9.2860880922277644</v>
      </c>
      <c r="EM400" s="462">
        <f t="shared" ref="EM400:EM422" si="494">IF(ISNUMBER(EJ400),ED400*(PI()*(EC400/2000)^2)*EJ400,EJ400)+EN400</f>
        <v>9.6253800988154623</v>
      </c>
      <c r="EN400" s="586">
        <f t="shared" ref="EN400:EN422" si="495">EA400</f>
        <v>4.5359999999999996</v>
      </c>
      <c r="EO400" s="478">
        <v>1</v>
      </c>
      <c r="EP400" s="479">
        <v>600</v>
      </c>
      <c r="EQ400" s="470">
        <f>Inputs!$D$41</f>
        <v>4</v>
      </c>
      <c r="ER400" s="461">
        <f>_xlfn.MINIFS($DE$70:$DE$149,$DH$70:$DH$149,"&gt;"&amp;Inputs!$H$118)</f>
        <v>0.29999999999999982</v>
      </c>
      <c r="ES400" s="461">
        <f>_xlfn.MINIFS($DE$156:$DE$235,$DH$156:$DH$235,"&gt;"&amp;Inputs!$H$118)</f>
        <v>0.29999999999999982</v>
      </c>
      <c r="ET400" s="462">
        <f>_xlfn.MINIFS($DE$242:$DE$321,$DH$242:$DH$321,"&gt;"&amp;Inputs!$H$118)</f>
        <v>0.29999999999999982</v>
      </c>
      <c r="EU400" s="477">
        <f>IF(Inputs!$F$118&gt;MAX(Pile!$DH$70:$DH$149),999999,IF(Pile!ER400/(Pile!EP400/1000)&gt;50,999999,IF(Pile!ER400&lt;2,999999,Pile!ER400)))</f>
        <v>999999</v>
      </c>
      <c r="EV400" s="461">
        <f>IF(Inputs!ER32="Yes",999999,IF(Inputs!$F$118&gt;MAX(Pile!$DG$156:$DG$235),999999,IF(Pile!ES400/(Pile!EP400/1000)&gt;50,999999,IF(Pile!ES400&lt;2,999999,Pile!ES400))))</f>
        <v>999999</v>
      </c>
      <c r="EW400" s="461">
        <f>IF(Inputs!$F$118&gt;MAX(Pile!$DH$242:$DH$321),999999,IF(Pile!ET400/(Pile!EP400/1000)&gt;50,999999,IF(Pile!ET400&lt;2,999999,IF(ET400&gt;25,999999,Pile!ET400))))</f>
        <v>999999</v>
      </c>
      <c r="EX400" s="477">
        <f t="shared" si="451"/>
        <v>1130972.2243189702</v>
      </c>
      <c r="EY400" s="461">
        <f t="shared" si="452"/>
        <v>1130972.2243189702</v>
      </c>
      <c r="EZ400" s="462">
        <f t="shared" si="453"/>
        <v>1130972.2243189702</v>
      </c>
      <c r="FA400" s="585"/>
      <c r="FB400" s="585"/>
    </row>
    <row r="401" spans="2:158" ht="15">
      <c r="B401" s="475">
        <v>1</v>
      </c>
      <c r="C401" s="476">
        <v>750</v>
      </c>
      <c r="D401" s="460">
        <f>Inputs!$D$41</f>
        <v>4</v>
      </c>
      <c r="E401" s="461">
        <f>_xlfn.MINIFS($DE$70:$DE$149,$DI$70:$DI$149,"&gt;"&amp;Inputs!$H$41)</f>
        <v>5.6999999999999975</v>
      </c>
      <c r="F401" s="461">
        <f>_xlfn.MINIFS($DE$156:$DE$235,$DI$156:$DI$235,"&gt;"&amp;Inputs!$H$41)</f>
        <v>5.0999999999999979</v>
      </c>
      <c r="G401" s="462">
        <f>_xlfn.MINIFS($DE$242:$DE$321,$DI$242:$DI$321,"&gt;"&amp;Inputs!$H$41)</f>
        <v>5.3999999999999977</v>
      </c>
      <c r="H401" s="477">
        <f>IF(Inputs!$F$41&gt;MAX(Pile!$DI$70:$DI$149),999999,IF(Pile!E401/(Pile!C401/1000)&gt;50,999999,IF(Pile!E401&lt;2,999999,Pile!E401)))</f>
        <v>5.6999999999999975</v>
      </c>
      <c r="I401" s="461">
        <f>IF(Inputs!E33="Yes",999999,IF(Pile!F401/(Pile!C401/1000)&gt;50,999999,IF(Pile!F401&lt;2,999999,Pile!F401)))</f>
        <v>5.0999999999999979</v>
      </c>
      <c r="J401" s="461">
        <f>IF(Inputs!$F$41&gt;MAX(Pile!$DI$242:$DI$321),999999,IF(Pile!G401/(Pile!C401/1000)&gt;50,999999,IF(Pile!G401&lt;2,999999,IF(G401&gt;25,999999,Pile!G401))))</f>
        <v>5.3999999999999977</v>
      </c>
      <c r="K401" s="477">
        <f t="shared" si="454"/>
        <v>18.010731445572269</v>
      </c>
      <c r="L401" s="461">
        <f t="shared" si="455"/>
        <v>16.950443924985716</v>
      </c>
      <c r="M401" s="462">
        <f t="shared" si="456"/>
        <v>17.480587685278991</v>
      </c>
      <c r="N401" s="585">
        <f>Inputs!$D$41*D461</f>
        <v>7.9380000000000006</v>
      </c>
      <c r="O401" s="475">
        <v>1</v>
      </c>
      <c r="P401" s="476">
        <v>750</v>
      </c>
      <c r="Q401" s="460">
        <f>Inputs!$D$41</f>
        <v>4</v>
      </c>
      <c r="R401" s="461">
        <f>_xlfn.MINIFS($DE$70:$DE$149,$DI$70:$DI$149,"&gt;"&amp;Inputs!$H$48)</f>
        <v>5.6999999999999975</v>
      </c>
      <c r="S401" s="461">
        <f>_xlfn.MINIFS($DE$156:$DE$235,$DI$156:$DI$235,"&gt;"&amp;Inputs!$H$48)</f>
        <v>5.0999999999999979</v>
      </c>
      <c r="T401" s="462">
        <f>_xlfn.MINIFS($DE$242:$DE$321,$DI$242:$DI$321,"&gt;"&amp;Inputs!$H$48)</f>
        <v>5.3999999999999977</v>
      </c>
      <c r="U401" s="477">
        <f>IF(Inputs!$F$48&gt;MAX(Pile!$DI$70:$DI$149),999999,IF(Pile!R401/(Pile!P401/1000)&gt;50,999999,IF(Pile!R401&lt;2,999999,Pile!R401)))</f>
        <v>5.6999999999999975</v>
      </c>
      <c r="V401" s="461">
        <f>IF(Inputs!R33="Yes",999999,IF(Pile!S401/(Pile!P401/1000)&gt;50,999999,IF(Pile!S401&lt;2,999999,Pile!S401)))</f>
        <v>5.0999999999999979</v>
      </c>
      <c r="W401" s="461">
        <f>IF(Inputs!$F$48&gt;MAX(Pile!$DI$242:$DI$321),999999,IF(Pile!T401/(Pile!P401/1000)&gt;50,999999,IF(Pile!T401&lt;2,999999,IF(T401&gt;25,999999,Pile!T401))))</f>
        <v>5.3999999999999977</v>
      </c>
      <c r="X401" s="477">
        <f t="shared" si="457"/>
        <v>18.010731445572269</v>
      </c>
      <c r="Y401" s="461">
        <f t="shared" si="458"/>
        <v>16.950443924985716</v>
      </c>
      <c r="Z401" s="462">
        <f t="shared" si="459"/>
        <v>17.480587685278991</v>
      </c>
      <c r="AA401" s="467">
        <f t="shared" ref="AA401:AA422" si="496">N401</f>
        <v>7.9380000000000006</v>
      </c>
      <c r="AB401" s="478">
        <v>1</v>
      </c>
      <c r="AC401" s="479">
        <v>750</v>
      </c>
      <c r="AD401" s="470">
        <f>Inputs!$D$41</f>
        <v>4</v>
      </c>
      <c r="AE401" s="461">
        <f>_xlfn.MINIFS($DE$70:$DE$149,$DI$70:$DI$149,"&gt;"&amp;Inputs!$H$55)</f>
        <v>5.6999999999999975</v>
      </c>
      <c r="AF401" s="461">
        <f>_xlfn.MINIFS($DE$156:$DE$235,$DI$156:$DI$235,"&gt;"&amp;Inputs!$H$55)</f>
        <v>5.0999999999999979</v>
      </c>
      <c r="AG401" s="462">
        <f>_xlfn.MINIFS($DE$242:$DE$321,$DI$242:$DI$321,"&gt;"&amp;Inputs!$H$55)</f>
        <v>5.3999999999999977</v>
      </c>
      <c r="AH401" s="477">
        <f>IF(Inputs!$F$55&gt;MAX(Pile!$DI$70:$DI$149),999999,IF(Pile!AE401/(Pile!AC401/1000)&gt;50,999999,IF(Pile!AE401&lt;2,999999,Pile!AE401)))</f>
        <v>5.6999999999999975</v>
      </c>
      <c r="AI401" s="461">
        <f>IF(Inputs!AE33="Yes",999999,IF(Pile!AF401/(Pile!AC401/1000)&gt;50,999999,IF(Pile!AF401&lt;2,999999,Pile!AF401)))</f>
        <v>5.0999999999999979</v>
      </c>
      <c r="AJ401" s="461">
        <f>IF(Inputs!$F$55&gt;MAX(Pile!$DI$242:$DI$321),999999,IF(Pile!AG401/(Pile!AC401/1000)&gt;50,999999,IF(Pile!AG401&lt;2,999999,IF(AG401&gt;25,999999,Pile!AG401))))</f>
        <v>5.3999999999999977</v>
      </c>
      <c r="AK401" s="477">
        <f t="shared" si="460"/>
        <v>18.010731445572269</v>
      </c>
      <c r="AL401" s="461">
        <f t="shared" si="461"/>
        <v>16.950443924985716</v>
      </c>
      <c r="AM401" s="462">
        <f t="shared" si="462"/>
        <v>17.480587685278991</v>
      </c>
      <c r="AN401" s="586">
        <f t="shared" si="463"/>
        <v>7.9380000000000006</v>
      </c>
      <c r="AO401" s="478">
        <v>1</v>
      </c>
      <c r="AP401" s="479">
        <v>750</v>
      </c>
      <c r="AQ401" s="470">
        <f>Inputs!$D$41</f>
        <v>4</v>
      </c>
      <c r="AR401" s="461">
        <f>_xlfn.MINIFS($DE$70:$DE$149,$DI$70:$DI$149,"&gt;"&amp;Inputs!$H$62)</f>
        <v>5.6999999999999975</v>
      </c>
      <c r="AS401" s="461">
        <f>_xlfn.MINIFS($DE$156:$DE$235,$DI$156:$DI$235,"&gt;"&amp;Inputs!$H$62)</f>
        <v>5.0999999999999979</v>
      </c>
      <c r="AT401" s="462">
        <f>_xlfn.MINIFS($DE$242:$DE$321,$DI$242:$DI$321,"&gt;"&amp;Inputs!$H$62)</f>
        <v>5.3999999999999977</v>
      </c>
      <c r="AU401" s="477">
        <f>IF(Inputs!$F$62&gt;MAX(Pile!$DI$70:$DI$149),999999,IF(Pile!AR401/(Pile!AP401/1000)&gt;50,999999,IF(Pile!AR401&lt;2,999999,Pile!AR401)))</f>
        <v>5.6999999999999975</v>
      </c>
      <c r="AV401" s="461">
        <f>IF(Inputs!AR33="Yes",999999,IF(Pile!AS401/(Pile!AP401/1000)&gt;50,999999,IF(Pile!AS401&lt;2,999999,Pile!AS401)))</f>
        <v>5.0999999999999979</v>
      </c>
      <c r="AW401" s="461">
        <f>IF(Inputs!$F$62&gt;MAX(Pile!$DI$242:$DI$321),999999,IF(Pile!AT401/(Pile!AP401/1000)&gt;50,999999,IF(Pile!AT401&lt;2,999999,IF(AT401&gt;25,999999,Pile!AT401))))</f>
        <v>5.3999999999999977</v>
      </c>
      <c r="AX401" s="477">
        <f t="shared" si="464"/>
        <v>18.010731445572269</v>
      </c>
      <c r="AY401" s="461">
        <f t="shared" si="465"/>
        <v>16.950443924985716</v>
      </c>
      <c r="AZ401" s="462">
        <f t="shared" si="466"/>
        <v>17.480587685278991</v>
      </c>
      <c r="BA401" s="586">
        <f t="shared" si="467"/>
        <v>7.9380000000000006</v>
      </c>
      <c r="BB401" s="478">
        <v>1</v>
      </c>
      <c r="BC401" s="479">
        <v>750</v>
      </c>
      <c r="BD401" s="470">
        <f>Inputs!$D$41</f>
        <v>4</v>
      </c>
      <c r="BE401" s="461">
        <f>_xlfn.MINIFS($DE$70:$DE$149,$DI$70:$DI$149,"&gt;"&amp;Inputs!$H$69)</f>
        <v>5.6999999999999975</v>
      </c>
      <c r="BF401" s="461">
        <f>_xlfn.MINIFS($DE$156:$DE$235,$DI$156:$DI$235,"&gt;"&amp;Inputs!$H$69)</f>
        <v>5.0999999999999979</v>
      </c>
      <c r="BG401" s="462">
        <f>_xlfn.MINIFS($DE$242:$DE$321,$DI$242:$DI$321,"&gt;"&amp;Inputs!$H$69)</f>
        <v>5.3999999999999977</v>
      </c>
      <c r="BH401" s="477">
        <f>IF(Inputs!$F$69&gt;MAX(Pile!$DI$70:$DI$149),999999,IF(Pile!BE401/(Pile!BC401/1000)&gt;50,999999,IF(Pile!BE401&lt;2,999999,Pile!BE401)))</f>
        <v>5.6999999999999975</v>
      </c>
      <c r="BI401" s="461">
        <f>IF(Inputs!BE33="Yes",999999,IF(Pile!BF401/(Pile!BC401/1000)&gt;50,999999,IF(Pile!BF401&lt;2,999999,Pile!BF401)))</f>
        <v>5.0999999999999979</v>
      </c>
      <c r="BJ401" s="461">
        <f>IF(Inputs!$F$69&gt;MAX(Pile!$DI$242:$DI$321),999999,IF(Pile!BG401/(Pile!BC401/1000)&gt;50,999999,IF(Pile!BG401&lt;2,999999,IF(BG401&gt;25,999999,Pile!BG401))))</f>
        <v>5.3999999999999977</v>
      </c>
      <c r="BK401" s="477">
        <f t="shared" si="468"/>
        <v>18.010731445572269</v>
      </c>
      <c r="BL401" s="461">
        <f t="shared" si="469"/>
        <v>16.950443924985716</v>
      </c>
      <c r="BM401" s="462">
        <f t="shared" si="470"/>
        <v>17.480587685278991</v>
      </c>
      <c r="BN401" s="586">
        <f t="shared" si="471"/>
        <v>7.9380000000000006</v>
      </c>
      <c r="BO401" s="478">
        <v>1</v>
      </c>
      <c r="BP401" s="479">
        <v>750</v>
      </c>
      <c r="BQ401" s="470">
        <f>Inputs!$D$41</f>
        <v>4</v>
      </c>
      <c r="BR401" s="461">
        <f>_xlfn.MINIFS($DE$70:$DE$149,$DI$70:$DI$149,"&gt;"&amp;Inputs!$H$76)</f>
        <v>5.6999999999999975</v>
      </c>
      <c r="BS401" s="461">
        <f>_xlfn.MINIFS($DE$156:$DE$235,$DI$156:$DI$235,"&gt;"&amp;Inputs!$H$76)</f>
        <v>5.0999999999999979</v>
      </c>
      <c r="BT401" s="462">
        <f>_xlfn.MINIFS($DE$242:$DE$321,$DI$242:$DI$321,"&gt;"&amp;Inputs!$H$76)</f>
        <v>5.3999999999999977</v>
      </c>
      <c r="BU401" s="477">
        <f>IF(Inputs!$F$76&gt;MAX(Pile!$DI$70:$DI$149),999999,IF(Pile!BR401/(Pile!BP401/1000)&gt;50,999999,IF(Pile!BR401&lt;2,999999,Pile!BR401)))</f>
        <v>5.6999999999999975</v>
      </c>
      <c r="BV401" s="461">
        <f>IF(Inputs!BR33="Yes",999999,IF(Pile!BS401/(Pile!BP401/1000)&gt;50,999999,IF(Pile!BS401&lt;2,999999,Pile!BS401)))</f>
        <v>5.0999999999999979</v>
      </c>
      <c r="BW401" s="461">
        <f>IF(Inputs!$F$76&gt;MAX(Pile!$DI$242:$DI$321),999999,IF(Pile!BT401/(Pile!BP401/1000)&gt;50,999999,IF(Pile!BT401&lt;2,999999,IF(BT401&gt;25,999999,Pile!BT401))))</f>
        <v>5.3999999999999977</v>
      </c>
      <c r="BX401" s="477">
        <f t="shared" si="472"/>
        <v>18.010731445572269</v>
      </c>
      <c r="BY401" s="461">
        <f t="shared" si="473"/>
        <v>16.950443924985716</v>
      </c>
      <c r="BZ401" s="462">
        <f t="shared" si="474"/>
        <v>17.480587685278991</v>
      </c>
      <c r="CA401" s="586">
        <f t="shared" si="475"/>
        <v>7.9380000000000006</v>
      </c>
      <c r="CB401" s="478">
        <v>1</v>
      </c>
      <c r="CC401" s="479">
        <v>750</v>
      </c>
      <c r="CD401" s="470">
        <f>Inputs!$D$41</f>
        <v>4</v>
      </c>
      <c r="CE401" s="461">
        <f>_xlfn.MINIFS($DE$70:$DE$149,$DI$70:$DI$149,"&gt;"&amp;Inputs!$H$83)</f>
        <v>4.1999999999999975</v>
      </c>
      <c r="CF401" s="461">
        <f>_xlfn.MINIFS($DE$156:$DE$235,$DI$156:$DI$235,"&gt;"&amp;Inputs!$H$83)</f>
        <v>3.8999999999999977</v>
      </c>
      <c r="CG401" s="462">
        <f>_xlfn.MINIFS($DE$242:$DE$321,$DI$242:$DI$321,"&gt;"&amp;Inputs!$H$83)</f>
        <v>4.1999999999999975</v>
      </c>
      <c r="CH401" s="477">
        <f>IF(Inputs!$F$83&gt;MAX(Pile!$DI$70:$DI$149),999999,IF(Pile!CE401/(Pile!CC401/1000)&gt;50,999999,IF(Pile!CE401&lt;2,999999,Pile!CE401)))</f>
        <v>4.1999999999999975</v>
      </c>
      <c r="CI401" s="461">
        <f>IF(Inputs!CE33="Yes",999999,IF(Pile!CF401/(Pile!CC401/1000)&gt;50,999999,IF(Pile!CF401&lt;2,999999,Pile!CF401)))</f>
        <v>3.8999999999999977</v>
      </c>
      <c r="CJ401" s="461">
        <f>IF(Inputs!$F$83&gt;MAX(Pile!$DI$242:$DI$321),999999,IF(Pile!CG401/(Pile!CC401/1000)&gt;50,999999,IF(Pile!CG401&lt;2,999999,IF(CG401&gt;25,999999,Pile!CG401))))</f>
        <v>4.1999999999999975</v>
      </c>
      <c r="CK401" s="477">
        <f t="shared" si="476"/>
        <v>15.360012644105883</v>
      </c>
      <c r="CL401" s="461">
        <f t="shared" si="477"/>
        <v>14.829868883812605</v>
      </c>
      <c r="CM401" s="462">
        <f t="shared" si="478"/>
        <v>15.360012644105883</v>
      </c>
      <c r="CN401" s="586">
        <f t="shared" si="479"/>
        <v>7.9380000000000006</v>
      </c>
      <c r="CO401" s="478">
        <v>1</v>
      </c>
      <c r="CP401" s="479">
        <v>750</v>
      </c>
      <c r="CQ401" s="470">
        <f>Inputs!$D$41</f>
        <v>4</v>
      </c>
      <c r="CR401" s="461">
        <f>_xlfn.MINIFS($DE$70:$DE$149,$DI$70:$DI$149,"&gt;"&amp;Inputs!$H$90)</f>
        <v>3.8999999999999977</v>
      </c>
      <c r="CS401" s="461">
        <f>_xlfn.MINIFS($DE$156:$DE$235,$DI$156:$DI$235,"&gt;"&amp;Inputs!$H$90)</f>
        <v>3.5999999999999979</v>
      </c>
      <c r="CT401" s="462">
        <f>_xlfn.MINIFS($DE$242:$DE$321,$DI$242:$DI$321,"&gt;"&amp;Inputs!$H$90)</f>
        <v>3.8999999999999977</v>
      </c>
      <c r="CU401" s="477">
        <f>IF(Inputs!$F$90&gt;MAX(Pile!$DI$70:$DI$149),999999,IF(Pile!CR401/(Pile!CP401/1000)&gt;50,999999,IF(Pile!CR401&lt;2,999999,Pile!CR401)))</f>
        <v>3.8999999999999977</v>
      </c>
      <c r="CV401" s="461">
        <f>IF(Inputs!CR33="Yes",999999,IF(Pile!CS401/(Pile!CP401/1000)&gt;50,999999,IF(Pile!CS401&lt;2,999999,Pile!CS401)))</f>
        <v>3.5999999999999979</v>
      </c>
      <c r="CW401" s="461">
        <f>IF(Inputs!$F$90&gt;MAX(Pile!$DI$242:$DI$321),999999,IF(Pile!CT401/(Pile!CP401/1000)&gt;50,999999,IF(Pile!CT401&lt;2,999999,IF(CT401&gt;25,999999,Pile!CT401))))</f>
        <v>3.8999999999999977</v>
      </c>
      <c r="CX401" s="477">
        <f t="shared" si="480"/>
        <v>14.829868883812605</v>
      </c>
      <c r="CY401" s="461">
        <f t="shared" si="481"/>
        <v>14.299725123519327</v>
      </c>
      <c r="CZ401" s="462">
        <f t="shared" si="482"/>
        <v>14.829868883812605</v>
      </c>
      <c r="DA401" s="586">
        <f t="shared" si="483"/>
        <v>7.9380000000000006</v>
      </c>
      <c r="DB401" s="478">
        <v>1</v>
      </c>
      <c r="DC401" s="479">
        <v>750</v>
      </c>
      <c r="DD401" s="470">
        <f>Inputs!$D$41</f>
        <v>4</v>
      </c>
      <c r="DE401" s="461">
        <f>_xlfn.MINIFS($DE$70:$DE$149,$DI$70:$DI$149,"&gt;"&amp;Inputs!$H$97)</f>
        <v>3.8999999999999977</v>
      </c>
      <c r="DF401" s="461">
        <f>_xlfn.MINIFS($DE$156:$DE$235,$DI$156:$DI$235,"&gt;"&amp;Inputs!$H$97)</f>
        <v>3.5999999999999979</v>
      </c>
      <c r="DG401" s="462">
        <f>_xlfn.MINIFS($DE$242:$DE$321,$DI$242:$DI$321,"&gt;"&amp;Inputs!$H$97)</f>
        <v>3.8999999999999977</v>
      </c>
      <c r="DH401" s="477">
        <f>IF(Inputs!$F$97&gt;MAX(Pile!$DI$70:$DI$149),999999,IF(Pile!DE401/(Pile!DC401/1000)&gt;50,999999,IF(Pile!DE401&lt;2,999999,Pile!DE401)))</f>
        <v>3.8999999999999977</v>
      </c>
      <c r="DI401" s="461">
        <f>IF(Inputs!DE33="Yes",999999,IF(Pile!DF401/(Pile!DC401/1000)&gt;50,999999,IF(Pile!DF401&lt;2,999999,Pile!DF401)))</f>
        <v>3.5999999999999979</v>
      </c>
      <c r="DJ401" s="461">
        <f>IF(Inputs!$F$97&gt;MAX(Pile!$DI$242:$DI$321),999999,IF(Pile!DG401/(Pile!DC401/1000)&gt;50,999999,IF(Pile!DG401&lt;2,999999,IF(DG401&gt;25,999999,Pile!DG401))))</f>
        <v>3.8999999999999977</v>
      </c>
      <c r="DK401" s="477">
        <f t="shared" si="484"/>
        <v>14.829868883812605</v>
      </c>
      <c r="DL401" s="461">
        <f t="shared" si="485"/>
        <v>14.299725123519327</v>
      </c>
      <c r="DM401" s="462">
        <f t="shared" si="486"/>
        <v>14.829868883812605</v>
      </c>
      <c r="DN401" s="586">
        <f t="shared" si="487"/>
        <v>7.9380000000000006</v>
      </c>
      <c r="DO401" s="478">
        <v>1</v>
      </c>
      <c r="DP401" s="479">
        <v>750</v>
      </c>
      <c r="DQ401" s="470">
        <f>Inputs!$D$41</f>
        <v>4</v>
      </c>
      <c r="DR401" s="461">
        <f>_xlfn.MINIFS($DE$70:$DE$149,$DI$70:$DI$149,"&gt;"&amp;Inputs!$H$104)</f>
        <v>3.299999999999998</v>
      </c>
      <c r="DS401" s="461">
        <f>_xlfn.MINIFS($DE$156:$DE$235,$DI$156:$DI$235,"&gt;"&amp;Inputs!$H$104)</f>
        <v>2.9999999999999982</v>
      </c>
      <c r="DT401" s="462">
        <f>_xlfn.MINIFS($DE$242:$DE$321,$DI$242:$DI$321,"&gt;"&amp;Inputs!$H$104)</f>
        <v>3.299999999999998</v>
      </c>
      <c r="DU401" s="477">
        <f>IF(Inputs!$F$104&gt;MAX(Pile!$DI$70:$DI$149),999999,IF(Pile!DR401/(Pile!DP401/1000)&gt;50,999999,IF(Pile!DR401&lt;2,999999,Pile!DR401)))</f>
        <v>3.299999999999998</v>
      </c>
      <c r="DV401" s="461">
        <f>IF(Inputs!DR33="Yes",999999,IF(Pile!DS401/(Pile!DP401/1000)&gt;50,999999,IF(Pile!DS401&lt;2,999999,Pile!DS401)))</f>
        <v>2.9999999999999982</v>
      </c>
      <c r="DW401" s="461">
        <f>IF(Inputs!$F$104&gt;MAX(Pile!$DI$242:$DI$321),999999,IF(Pile!DT401/(Pile!DP401/1000)&gt;50,999999,IF(Pile!DT401&lt;2,999999,IF(DT401&gt;25,999999,Pile!DT401))))</f>
        <v>3.299999999999998</v>
      </c>
      <c r="DX401" s="477">
        <f t="shared" si="488"/>
        <v>13.769581363226051</v>
      </c>
      <c r="DY401" s="461">
        <f t="shared" si="489"/>
        <v>13.239437602932774</v>
      </c>
      <c r="DZ401" s="462">
        <f t="shared" si="490"/>
        <v>13.769581363226051</v>
      </c>
      <c r="EA401" s="586">
        <f t="shared" si="491"/>
        <v>7.9380000000000006</v>
      </c>
      <c r="EB401" s="478">
        <v>1</v>
      </c>
      <c r="EC401" s="479">
        <v>750</v>
      </c>
      <c r="ED401" s="470">
        <f>Inputs!$D$41</f>
        <v>4</v>
      </c>
      <c r="EE401" s="461">
        <f>_xlfn.MINIFS($DE$70:$DE$149,$DI$70:$DI$149,"&gt;"&amp;Inputs!$H$111)</f>
        <v>3.299999999999998</v>
      </c>
      <c r="EF401" s="461">
        <f>_xlfn.MINIFS($DE$156:$DE$235,$DI$156:$DI$235,"&gt;"&amp;Inputs!$H$111)</f>
        <v>2.9999999999999982</v>
      </c>
      <c r="EG401" s="462">
        <f>_xlfn.MINIFS($DE$242:$DE$321,$DI$242:$DI$321,"&gt;"&amp;Inputs!$H$111)</f>
        <v>3.299999999999998</v>
      </c>
      <c r="EH401" s="477">
        <f>IF(Inputs!$F$111&gt;MAX(Pile!$DI$70:$DI$149),999999,IF(Pile!EE401/(Pile!EC401/1000)&gt;50,999999,IF(Pile!EE401&lt;2,999999,Pile!EE401)))</f>
        <v>3.299999999999998</v>
      </c>
      <c r="EI401" s="461">
        <f>IF(Inputs!EE33="Yes",999999,IF(Pile!EF401/(Pile!EC401/1000)&gt;50,999999,IF(Pile!EF401&lt;2,999999,Pile!EF401)))</f>
        <v>2.9999999999999982</v>
      </c>
      <c r="EJ401" s="461">
        <f>IF(Inputs!$F$111&gt;MAX(Pile!$DI$242:$DI$321),999999,IF(Pile!EG401/(Pile!EC401/1000)&gt;50,999999,IF(Pile!EG401&lt;2,999999,IF(EG401&gt;25,999999,Pile!EG401))))</f>
        <v>3.299999999999998</v>
      </c>
      <c r="EK401" s="477">
        <f t="shared" si="492"/>
        <v>13.769581363226051</v>
      </c>
      <c r="EL401" s="461">
        <f t="shared" si="493"/>
        <v>13.239437602932774</v>
      </c>
      <c r="EM401" s="462">
        <f t="shared" si="494"/>
        <v>13.769581363226051</v>
      </c>
      <c r="EN401" s="586">
        <f t="shared" si="495"/>
        <v>7.9380000000000006</v>
      </c>
      <c r="EO401" s="478">
        <v>1</v>
      </c>
      <c r="EP401" s="479">
        <v>750</v>
      </c>
      <c r="EQ401" s="470">
        <f>Inputs!$D$41</f>
        <v>4</v>
      </c>
      <c r="ER401" s="461">
        <f>_xlfn.MINIFS($DE$70:$DE$149,$DI$70:$DI$149,"&gt;"&amp;Inputs!$H$118)</f>
        <v>0.29999999999999982</v>
      </c>
      <c r="ES401" s="461">
        <f>_xlfn.MINIFS($DE$156:$DE$235,$DI$156:$DI$235,"&gt;"&amp;Inputs!$H$118)</f>
        <v>0.29999999999999982</v>
      </c>
      <c r="ET401" s="462">
        <f>_xlfn.MINIFS($DE$242:$DE$321,$DI$242:$DI$321,"&gt;"&amp;Inputs!$H$118)</f>
        <v>0.29999999999999982</v>
      </c>
      <c r="EU401" s="477">
        <f>IF(Inputs!$F$118&gt;MAX(Pile!$DI$70:$DI$149),999999,IF(Pile!ER401/(Pile!EP401/1000)&gt;50,999999,IF(Pile!ER401&lt;2,999999,Pile!ER401)))</f>
        <v>999999</v>
      </c>
      <c r="EV401" s="461">
        <f>IF(Inputs!ER33="Yes",999999,IF(Inputs!$F$118&gt;MAX(Pile!$DG$156:$DG$235),999999,IF(Pile!ES401/(Pile!EP401/1000)&gt;50,999999,IF(Pile!ES401&lt;2,999999,Pile!ES401))))</f>
        <v>999999</v>
      </c>
      <c r="EW401" s="461">
        <f>IF(Inputs!$F$118&gt;MAX(Pile!$DI$242:$DI$321),999999,IF(Pile!ET401/(Pile!EP401/1000)&gt;50,999999,IF(Pile!ET401&lt;2,999999,IF(ET401&gt;25,999999,Pile!ET401))))</f>
        <v>999999</v>
      </c>
      <c r="EX401" s="477">
        <f t="shared" si="451"/>
        <v>1767144.1004983911</v>
      </c>
      <c r="EY401" s="461">
        <f t="shared" si="452"/>
        <v>1767144.1004983911</v>
      </c>
      <c r="EZ401" s="462">
        <f t="shared" si="453"/>
        <v>1767144.1004983911</v>
      </c>
      <c r="FA401" s="585"/>
      <c r="FB401" s="585"/>
    </row>
    <row r="402" spans="2:158" ht="15">
      <c r="B402" s="475">
        <v>1</v>
      </c>
      <c r="C402" s="476">
        <v>900</v>
      </c>
      <c r="D402" s="460">
        <f>Inputs!$D$41</f>
        <v>4</v>
      </c>
      <c r="E402" s="461">
        <f>_xlfn.MINIFS($DE$70:$DE$149,$DJ$70:$DJ$149,"&gt;"&amp;Inputs!$H$41)</f>
        <v>4.4999999999999982</v>
      </c>
      <c r="F402" s="461">
        <f>_xlfn.MINIFS($DE$156:$DE$235,$DJ$156:$DJ$235,"&gt;"&amp;Inputs!$H$41)</f>
        <v>0</v>
      </c>
      <c r="G402" s="462">
        <f>_xlfn.MINIFS($DE$242:$DE$321,$DJ$242:$DJ$321,"&gt;"&amp;Inputs!$H$41)</f>
        <v>4.1999999999999975</v>
      </c>
      <c r="H402" s="477">
        <f>IF(Inputs!$F$41&gt;MAX(Pile!$DJ$70:$DJ$149),999999,IF(Pile!E402/(Pile!C402/1000)&gt;50,999999,IF(Pile!E402&lt;2,999999,Pile!E402)))</f>
        <v>4.4999999999999982</v>
      </c>
      <c r="I402" s="461">
        <f>IF(Inputs!E34="Yes",999999,IF(Pile!F402/(Pile!C402/1000)&gt;50,999999,IF(Pile!F402&lt;2,999999,Pile!F402)))</f>
        <v>999999</v>
      </c>
      <c r="J402" s="461">
        <f>IF(Inputs!$F$41&gt;MAX(Pile!$DJ$242:$DJ$321),999999,IF(Pile!G402/(Pile!C402/1000)&gt;50,999999,IF(Pile!G402&lt;2,999999,IF(G402&gt;25,999999,Pile!G402))))</f>
        <v>4.1999999999999975</v>
      </c>
      <c r="K402" s="477">
        <f t="shared" si="454"/>
        <v>24.123105222334793</v>
      </c>
      <c r="L402" s="461">
        <f t="shared" si="455"/>
        <v>2544700.1767176832</v>
      </c>
      <c r="M402" s="462">
        <f t="shared" si="456"/>
        <v>23.359698207512473</v>
      </c>
      <c r="N402" s="585">
        <f>Inputs!$D$41*D462</f>
        <v>12.672000000000001</v>
      </c>
      <c r="O402" s="475">
        <v>1</v>
      </c>
      <c r="P402" s="476">
        <v>900</v>
      </c>
      <c r="Q402" s="460">
        <f>Inputs!$D$41</f>
        <v>4</v>
      </c>
      <c r="R402" s="461">
        <f>_xlfn.MINIFS($DE$70:$DE$149,$DJ$70:$DJ$149,"&gt;"&amp;Inputs!$H$48)</f>
        <v>4.4999999999999982</v>
      </c>
      <c r="S402" s="461">
        <f>_xlfn.MINIFS($DE$156:$DE$235,$DJ$156:$DJ$235,"&gt;"&amp;Inputs!$H$48)</f>
        <v>0</v>
      </c>
      <c r="T402" s="462">
        <f>_xlfn.MINIFS($DE$242:$DE$321,$DJ$242:$DJ$321,"&gt;"&amp;Inputs!$H$48)</f>
        <v>4.1999999999999975</v>
      </c>
      <c r="U402" s="477">
        <f>IF(Inputs!$F$48&gt;MAX(Pile!$DJ$70:$DJ$149),999999,IF(Pile!R402/(Pile!P402/1000)&gt;50,999999,IF(Pile!R402&lt;2,999999,Pile!R402)))</f>
        <v>4.4999999999999982</v>
      </c>
      <c r="V402" s="461">
        <f>IF(Inputs!R34="Yes",999999,IF(Pile!S402/(Pile!P402/1000)&gt;50,999999,IF(Pile!S402&lt;2,999999,Pile!S402)))</f>
        <v>999999</v>
      </c>
      <c r="W402" s="461">
        <f>IF(Inputs!$F$48&gt;MAX(Pile!$DJ$242:$DJ$321),999999,IF(Pile!T402/(Pile!P402/1000)&gt;50,999999,IF(Pile!T402&lt;2,999999,IF(T402&gt;25,999999,Pile!T402))))</f>
        <v>4.1999999999999975</v>
      </c>
      <c r="X402" s="477">
        <f t="shared" si="457"/>
        <v>24.123105222334793</v>
      </c>
      <c r="Y402" s="461">
        <f t="shared" si="458"/>
        <v>2544700.1767176832</v>
      </c>
      <c r="Z402" s="462">
        <f t="shared" si="459"/>
        <v>23.359698207512473</v>
      </c>
      <c r="AA402" s="467">
        <f t="shared" si="496"/>
        <v>12.672000000000001</v>
      </c>
      <c r="AB402" s="478">
        <v>1</v>
      </c>
      <c r="AC402" s="479">
        <v>900</v>
      </c>
      <c r="AD402" s="470">
        <f>Inputs!$D$41</f>
        <v>4</v>
      </c>
      <c r="AE402" s="461">
        <f>_xlfn.MINIFS($DE$70:$DE$149,$DJ$70:$DJ$149,"&gt;"&amp;Inputs!$H$55)</f>
        <v>4.4999999999999982</v>
      </c>
      <c r="AF402" s="461">
        <f>_xlfn.MINIFS($DE$156:$DE$235,$DJ$156:$DJ$235,"&gt;"&amp;Inputs!$H$55)</f>
        <v>0</v>
      </c>
      <c r="AG402" s="462">
        <f>_xlfn.MINIFS($DE$242:$DE$321,$DJ$242:$DJ$321,"&gt;"&amp;Inputs!$H$55)</f>
        <v>4.1999999999999975</v>
      </c>
      <c r="AH402" s="477">
        <f>IF(Inputs!$F$55&gt;MAX(Pile!$DJ$70:$DJ$149),999999,IF(Pile!AE402/(Pile!AC402/1000)&gt;50,999999,IF(Pile!AE402&lt;2,999999,Pile!AE402)))</f>
        <v>4.4999999999999982</v>
      </c>
      <c r="AI402" s="461">
        <f>IF(Inputs!AE34="Yes",999999,IF(Pile!AF402/(Pile!AC402/1000)&gt;50,999999,IF(Pile!AF402&lt;2,999999,Pile!AF402)))</f>
        <v>999999</v>
      </c>
      <c r="AJ402" s="461">
        <f>IF(Inputs!$F$55&gt;MAX(Pile!$DJ$242:$DJ$321),999999,IF(Pile!AG402/(Pile!AC402/1000)&gt;50,999999,IF(Pile!AG402&lt;2,999999,IF(AG402&gt;25,999999,Pile!AG402))))</f>
        <v>4.1999999999999975</v>
      </c>
      <c r="AK402" s="477">
        <f t="shared" si="460"/>
        <v>24.123105222334793</v>
      </c>
      <c r="AL402" s="461">
        <f t="shared" si="461"/>
        <v>2544700.1767176832</v>
      </c>
      <c r="AM402" s="462">
        <f t="shared" si="462"/>
        <v>23.359698207512473</v>
      </c>
      <c r="AN402" s="586">
        <f t="shared" si="463"/>
        <v>12.672000000000001</v>
      </c>
      <c r="AO402" s="478">
        <v>1</v>
      </c>
      <c r="AP402" s="479">
        <v>900</v>
      </c>
      <c r="AQ402" s="470">
        <f>Inputs!$D$41</f>
        <v>4</v>
      </c>
      <c r="AR402" s="461">
        <f>_xlfn.MINIFS($DE$70:$DE$149,$DJ$70:$DJ$149,"&gt;"&amp;Inputs!$H$62)</f>
        <v>4.4999999999999982</v>
      </c>
      <c r="AS402" s="461">
        <f>_xlfn.MINIFS($DE$156:$DE$235,$DJ$156:$DJ$235,"&gt;"&amp;Inputs!$H$62)</f>
        <v>0</v>
      </c>
      <c r="AT402" s="462">
        <f>_xlfn.MINIFS($DE$242:$DE$321,$DJ$242:$DJ$321,"&gt;"&amp;Inputs!$H$62)</f>
        <v>4.1999999999999975</v>
      </c>
      <c r="AU402" s="477">
        <f>IF(Inputs!$F$62&gt;MAX(Pile!$DJ$70:$DJ$149),999999,IF(Pile!AR402/(Pile!AP402/1000)&gt;50,999999,IF(Pile!AR402&lt;2,999999,Pile!AR402)))</f>
        <v>4.4999999999999982</v>
      </c>
      <c r="AV402" s="461">
        <f>IF(Inputs!AR34="Yes",999999,IF(Pile!AS402/(Pile!AP402/1000)&gt;50,999999,IF(Pile!AS402&lt;2,999999,Pile!AS402)))</f>
        <v>999999</v>
      </c>
      <c r="AW402" s="461">
        <f>IF(Inputs!$F$62&gt;MAX(Pile!$DJ$242:$DJ$321),999999,IF(Pile!AT402/(Pile!AP402/1000)&gt;50,999999,IF(Pile!AT402&lt;2,999999,IF(AT402&gt;25,999999,Pile!AT402))))</f>
        <v>4.1999999999999975</v>
      </c>
      <c r="AX402" s="477">
        <f t="shared" si="464"/>
        <v>24.123105222334793</v>
      </c>
      <c r="AY402" s="461">
        <f t="shared" si="465"/>
        <v>2544700.1767176832</v>
      </c>
      <c r="AZ402" s="462">
        <f t="shared" si="466"/>
        <v>23.359698207512473</v>
      </c>
      <c r="BA402" s="586">
        <f t="shared" si="467"/>
        <v>12.672000000000001</v>
      </c>
      <c r="BB402" s="478">
        <v>1</v>
      </c>
      <c r="BC402" s="479">
        <v>900</v>
      </c>
      <c r="BD402" s="470">
        <f>Inputs!$D$41</f>
        <v>4</v>
      </c>
      <c r="BE402" s="461">
        <f>_xlfn.MINIFS($DE$70:$DE$149,$DJ$70:$DJ$149,"&gt;"&amp;Inputs!$H$69)</f>
        <v>4.4999999999999982</v>
      </c>
      <c r="BF402" s="461">
        <f>_xlfn.MINIFS($DE$156:$DE$235,$DJ$156:$DJ$235,"&gt;"&amp;Inputs!$H$69)</f>
        <v>0</v>
      </c>
      <c r="BG402" s="462">
        <f>_xlfn.MINIFS($DE$242:$DE$321,$DJ$242:$DJ$321,"&gt;"&amp;Inputs!$H$69)</f>
        <v>4.1999999999999975</v>
      </c>
      <c r="BH402" s="477">
        <f>IF(Inputs!$F$69&gt;MAX(Pile!$DJ$70:$DJ$149),999999,IF(Pile!BE402/(Pile!BC402/1000)&gt;50,999999,IF(Pile!BE402&lt;2,999999,Pile!BE402)))</f>
        <v>4.4999999999999982</v>
      </c>
      <c r="BI402" s="461">
        <f>IF(Inputs!BE34="Yes",999999,IF(Pile!BF402/(Pile!BC402/1000)&gt;50,999999,IF(Pile!BF402&lt;2,999999,Pile!BF402)))</f>
        <v>999999</v>
      </c>
      <c r="BJ402" s="461">
        <f>IF(Inputs!$F$69&gt;MAX(Pile!$DJ$242:$DJ$321),999999,IF(Pile!BG402/(Pile!BC402/1000)&gt;50,999999,IF(Pile!BG402&lt;2,999999,IF(BG402&gt;25,999999,Pile!BG402))))</f>
        <v>4.1999999999999975</v>
      </c>
      <c r="BK402" s="477">
        <f t="shared" si="468"/>
        <v>24.123105222334793</v>
      </c>
      <c r="BL402" s="461">
        <f t="shared" si="469"/>
        <v>2544700.1767176832</v>
      </c>
      <c r="BM402" s="462">
        <f t="shared" si="470"/>
        <v>23.359698207512473</v>
      </c>
      <c r="BN402" s="586">
        <f t="shared" si="471"/>
        <v>12.672000000000001</v>
      </c>
      <c r="BO402" s="478">
        <v>1</v>
      </c>
      <c r="BP402" s="479">
        <v>900</v>
      </c>
      <c r="BQ402" s="470">
        <f>Inputs!$D$41</f>
        <v>4</v>
      </c>
      <c r="BR402" s="461">
        <f>_xlfn.MINIFS($DE$70:$DE$149,$DJ$70:$DJ$149,"&gt;"&amp;Inputs!$H$76)</f>
        <v>4.4999999999999982</v>
      </c>
      <c r="BS402" s="461">
        <f>_xlfn.MINIFS($DE$156:$DE$235,$DJ$156:$DJ$235,"&gt;"&amp;Inputs!$H$76)</f>
        <v>0</v>
      </c>
      <c r="BT402" s="462">
        <f>_xlfn.MINIFS($DE$242:$DE$321,$DJ$242:$DJ$321,"&gt;"&amp;Inputs!$H$76)</f>
        <v>4.1999999999999975</v>
      </c>
      <c r="BU402" s="477">
        <f>IF(Inputs!$F$76&gt;MAX(Pile!$DJ$70:$DJ$149),999999,IF(Pile!BR402/(Pile!BP402/1000)&gt;50,999999,IF(Pile!BR402&lt;2,999999,Pile!BR402)))</f>
        <v>4.4999999999999982</v>
      </c>
      <c r="BV402" s="461">
        <f>IF(Inputs!BR34="Yes",999999,IF(Pile!BS402/(Pile!BP402/1000)&gt;50,999999,IF(Pile!BS402&lt;2,999999,Pile!BS402)))</f>
        <v>999999</v>
      </c>
      <c r="BW402" s="461">
        <f>IF(Inputs!$F$76&gt;MAX(Pile!$DJ$242:$DJ$321),999999,IF(Pile!BT402/(Pile!BP402/1000)&gt;50,999999,IF(Pile!BT402&lt;2,999999,IF(BT402&gt;25,999999,Pile!BT402))))</f>
        <v>4.1999999999999975</v>
      </c>
      <c r="BX402" s="477">
        <f t="shared" si="472"/>
        <v>24.123105222334793</v>
      </c>
      <c r="BY402" s="461">
        <f t="shared" si="473"/>
        <v>2544700.1767176832</v>
      </c>
      <c r="BZ402" s="462">
        <f t="shared" si="474"/>
        <v>23.359698207512473</v>
      </c>
      <c r="CA402" s="586">
        <f t="shared" si="475"/>
        <v>12.672000000000001</v>
      </c>
      <c r="CB402" s="478">
        <v>1</v>
      </c>
      <c r="CC402" s="479">
        <v>900</v>
      </c>
      <c r="CD402" s="470">
        <f>Inputs!$D$41</f>
        <v>4</v>
      </c>
      <c r="CE402" s="461">
        <f>_xlfn.MINIFS($DE$70:$DE$149,$DJ$70:$DJ$149,"&gt;"&amp;Inputs!$H$83)</f>
        <v>3.299999999999998</v>
      </c>
      <c r="CF402" s="461">
        <f>_xlfn.MINIFS($DE$156:$DE$235,$DJ$156:$DJ$235,"&gt;"&amp;Inputs!$H$83)</f>
        <v>0</v>
      </c>
      <c r="CG402" s="462">
        <f>_xlfn.MINIFS($DE$242:$DE$321,$DJ$242:$DJ$321,"&gt;"&amp;Inputs!$H$83)</f>
        <v>3.299999999999998</v>
      </c>
      <c r="CH402" s="477">
        <f>IF(Inputs!$F$83&gt;MAX(Pile!$DJ$70:$DJ$149),999999,IF(Pile!CE402/(Pile!CC402/1000)&gt;50,999999,IF(Pile!CE402&lt;2,999999,Pile!CE402)))</f>
        <v>3.299999999999998</v>
      </c>
      <c r="CI402" s="461">
        <f>IF(Inputs!CE34="Yes",999999,IF(Pile!CF402/(Pile!CC402/1000)&gt;50,999999,IF(Pile!CF402&lt;2,999999,Pile!CF402)))</f>
        <v>999999</v>
      </c>
      <c r="CJ402" s="461">
        <f>IF(Inputs!$F$83&gt;MAX(Pile!$DJ$242:$DJ$321),999999,IF(Pile!CG402/(Pile!CC402/1000)&gt;50,999999,IF(Pile!CG402&lt;2,999999,IF(CG402&gt;25,999999,Pile!CG402))))</f>
        <v>3.299999999999998</v>
      </c>
      <c r="CK402" s="477">
        <f t="shared" si="476"/>
        <v>21.069477163045512</v>
      </c>
      <c r="CL402" s="461">
        <f t="shared" si="477"/>
        <v>2544700.1767176832</v>
      </c>
      <c r="CM402" s="462">
        <f t="shared" si="478"/>
        <v>21.069477163045512</v>
      </c>
      <c r="CN402" s="586">
        <f t="shared" si="479"/>
        <v>12.672000000000001</v>
      </c>
      <c r="CO402" s="478">
        <v>1</v>
      </c>
      <c r="CP402" s="479">
        <v>900</v>
      </c>
      <c r="CQ402" s="470">
        <f>Inputs!$D$41</f>
        <v>4</v>
      </c>
      <c r="CR402" s="461">
        <f>_xlfn.MINIFS($DE$70:$DE$149,$DJ$70:$DJ$149,"&gt;"&amp;Inputs!$H$90)</f>
        <v>2.9999999999999982</v>
      </c>
      <c r="CS402" s="461">
        <f>_xlfn.MINIFS($DE$156:$DE$235,$DJ$156:$DJ$235,"&gt;"&amp;Inputs!$H$90)</f>
        <v>0</v>
      </c>
      <c r="CT402" s="462">
        <f>_xlfn.MINIFS($DE$242:$DE$321,$DJ$242:$DJ$321,"&gt;"&amp;Inputs!$H$90)</f>
        <v>2.9999999999999982</v>
      </c>
      <c r="CU402" s="477">
        <f>IF(Inputs!$F$90&gt;MAX(Pile!$DJ$70:$DJ$149),999999,IF(Pile!CR402/(Pile!CP402/1000)&gt;50,999999,IF(Pile!CR402&lt;2,999999,Pile!CR402)))</f>
        <v>2.9999999999999982</v>
      </c>
      <c r="CV402" s="461">
        <f>IF(Inputs!CR34="Yes",999999,IF(Pile!CS402/(Pile!CP402/1000)&gt;50,999999,IF(Pile!CS402&lt;2,999999,Pile!CS402)))</f>
        <v>999999</v>
      </c>
      <c r="CW402" s="461">
        <f>IF(Inputs!$F$90&gt;MAX(Pile!$DJ$242:$DJ$321),999999,IF(Pile!CT402/(Pile!CP402/1000)&gt;50,999999,IF(Pile!CT402&lt;2,999999,IF(CT402&gt;25,999999,Pile!CT402))))</f>
        <v>2.9999999999999982</v>
      </c>
      <c r="CX402" s="477">
        <f t="shared" si="480"/>
        <v>20.306070148223192</v>
      </c>
      <c r="CY402" s="461">
        <f t="shared" si="481"/>
        <v>2544700.1767176832</v>
      </c>
      <c r="CZ402" s="462">
        <f t="shared" si="482"/>
        <v>20.306070148223192</v>
      </c>
      <c r="DA402" s="586">
        <f t="shared" si="483"/>
        <v>12.672000000000001</v>
      </c>
      <c r="DB402" s="478">
        <v>1</v>
      </c>
      <c r="DC402" s="479">
        <v>900</v>
      </c>
      <c r="DD402" s="470">
        <f>Inputs!$D$41</f>
        <v>4</v>
      </c>
      <c r="DE402" s="461">
        <f>_xlfn.MINIFS($DE$70:$DE$149,$DJ$70:$DJ$149,"&gt;"&amp;Inputs!$H$97)</f>
        <v>2.9999999999999982</v>
      </c>
      <c r="DF402" s="461">
        <f>_xlfn.MINIFS($DE$156:$DE$235,$DJ$156:$DJ$235,"&gt;"&amp;Inputs!$H$97)</f>
        <v>0</v>
      </c>
      <c r="DG402" s="462">
        <f>_xlfn.MINIFS($DE$242:$DE$321,$DJ$242:$DJ$321,"&gt;"&amp;Inputs!$H$97)</f>
        <v>2.9999999999999982</v>
      </c>
      <c r="DH402" s="477">
        <f>IF(Inputs!$F$97&gt;MAX(Pile!$DJ$70:$DJ$149),999999,IF(Pile!DE402/(Pile!DC402/1000)&gt;50,999999,IF(Pile!DE402&lt;2,999999,Pile!DE402)))</f>
        <v>2.9999999999999982</v>
      </c>
      <c r="DI402" s="461">
        <f>IF(Inputs!DE34="Yes",999999,IF(Pile!DF402/(Pile!DC402/1000)&gt;50,999999,IF(Pile!DF402&lt;2,999999,Pile!DF402)))</f>
        <v>999999</v>
      </c>
      <c r="DJ402" s="461">
        <f>IF(Inputs!$F$97&gt;MAX(Pile!$DJ$242:$DJ$321),999999,IF(Pile!DG402/(Pile!DC402/1000)&gt;50,999999,IF(Pile!DG402&lt;2,999999,IF(DG402&gt;25,999999,Pile!DG402))))</f>
        <v>2.9999999999999982</v>
      </c>
      <c r="DK402" s="477">
        <f t="shared" si="484"/>
        <v>20.306070148223192</v>
      </c>
      <c r="DL402" s="461">
        <f t="shared" si="485"/>
        <v>2544700.1767176832</v>
      </c>
      <c r="DM402" s="462">
        <f t="shared" si="486"/>
        <v>20.306070148223192</v>
      </c>
      <c r="DN402" s="586">
        <f t="shared" si="487"/>
        <v>12.672000000000001</v>
      </c>
      <c r="DO402" s="478">
        <v>1</v>
      </c>
      <c r="DP402" s="479">
        <v>900</v>
      </c>
      <c r="DQ402" s="470">
        <f>Inputs!$D$41</f>
        <v>4</v>
      </c>
      <c r="DR402" s="461">
        <f>_xlfn.MINIFS($DE$70:$DE$149,$DJ$70:$DJ$149,"&gt;"&amp;Inputs!$H$104)</f>
        <v>2.6999999999999984</v>
      </c>
      <c r="DS402" s="461">
        <f>_xlfn.MINIFS($DE$156:$DE$235,$DJ$156:$DJ$235,"&gt;"&amp;Inputs!$H$104)</f>
        <v>0</v>
      </c>
      <c r="DT402" s="462">
        <f>_xlfn.MINIFS($DE$242:$DE$321,$DJ$242:$DJ$321,"&gt;"&amp;Inputs!$H$104)</f>
        <v>2.3999999999999986</v>
      </c>
      <c r="DU402" s="477">
        <f>IF(Inputs!$F$104&gt;MAX(Pile!$DJ$70:$DJ$149),999999,IF(Pile!DR402/(Pile!DP402/1000)&gt;50,999999,IF(Pile!DR402&lt;2,999999,Pile!DR402)))</f>
        <v>2.6999999999999984</v>
      </c>
      <c r="DV402" s="461">
        <f>IF(Inputs!DR34="Yes",999999,IF(Pile!DS402/(Pile!DP402/1000)&gt;50,999999,IF(Pile!DS402&lt;2,999999,Pile!DS402)))</f>
        <v>999999</v>
      </c>
      <c r="DW402" s="461">
        <f>IF(Inputs!$F$104&gt;MAX(Pile!$DJ$242:$DJ$321),999999,IF(Pile!DT402/(Pile!DP402/1000)&gt;50,999999,IF(Pile!DT402&lt;2,999999,IF(DT402&gt;25,999999,Pile!DT402))))</f>
        <v>2.3999999999999986</v>
      </c>
      <c r="DX402" s="477">
        <f t="shared" si="488"/>
        <v>19.542663133400875</v>
      </c>
      <c r="DY402" s="461">
        <f t="shared" si="489"/>
        <v>2544700.1767176832</v>
      </c>
      <c r="DZ402" s="462">
        <f t="shared" si="490"/>
        <v>18.779256118578555</v>
      </c>
      <c r="EA402" s="586">
        <f t="shared" si="491"/>
        <v>12.672000000000001</v>
      </c>
      <c r="EB402" s="478">
        <v>1</v>
      </c>
      <c r="EC402" s="479">
        <v>900</v>
      </c>
      <c r="ED402" s="470">
        <f>Inputs!$D$41</f>
        <v>4</v>
      </c>
      <c r="EE402" s="461">
        <f>_xlfn.MINIFS($DE$70:$DE$149,$DJ$70:$DJ$149,"&gt;"&amp;Inputs!$H$111)</f>
        <v>2.6999999999999984</v>
      </c>
      <c r="EF402" s="461">
        <f>_xlfn.MINIFS($DE$156:$DE$235,$DJ$156:$DJ$235,"&gt;"&amp;Inputs!$H$111)</f>
        <v>0</v>
      </c>
      <c r="EG402" s="462">
        <f>_xlfn.MINIFS($DE$242:$DE$321,$DJ$242:$DJ$321,"&gt;"&amp;Inputs!$H$111)</f>
        <v>2.3999999999999986</v>
      </c>
      <c r="EH402" s="477">
        <f>IF(Inputs!$F$111&gt;MAX(Pile!$DJ$70:$DJ$149),999999,IF(Pile!EE402/(Pile!EC402/1000)&gt;50,999999,IF(Pile!EE402&lt;2,999999,Pile!EE402)))</f>
        <v>2.6999999999999984</v>
      </c>
      <c r="EI402" s="461">
        <f>IF(Inputs!EE34="Yes",999999,IF(Pile!EF402/(Pile!EC402/1000)&gt;50,999999,IF(Pile!EF402&lt;2,999999,Pile!EF402)))</f>
        <v>999999</v>
      </c>
      <c r="EJ402" s="461">
        <f>IF(Inputs!$F$111&gt;MAX(Pile!$DJ$242:$DJ$321),999999,IF(Pile!EG402/(Pile!EC402/1000)&gt;50,999999,IF(Pile!EG402&lt;2,999999,IF(EG402&gt;25,999999,Pile!EG402))))</f>
        <v>2.3999999999999986</v>
      </c>
      <c r="EK402" s="477">
        <f t="shared" si="492"/>
        <v>19.542663133400875</v>
      </c>
      <c r="EL402" s="461">
        <f t="shared" si="493"/>
        <v>2544700.1767176832</v>
      </c>
      <c r="EM402" s="462">
        <f t="shared" si="494"/>
        <v>18.779256118578555</v>
      </c>
      <c r="EN402" s="586">
        <f t="shared" si="495"/>
        <v>12.672000000000001</v>
      </c>
      <c r="EO402" s="478">
        <v>1</v>
      </c>
      <c r="EP402" s="479">
        <v>900</v>
      </c>
      <c r="EQ402" s="470">
        <f>Inputs!$D$41</f>
        <v>4</v>
      </c>
      <c r="ER402" s="461">
        <f>_xlfn.MINIFS($DE$70:$DE$149,$DJ$70:$DJ$149,"&gt;"&amp;Inputs!$H$118)</f>
        <v>0.29999999999999982</v>
      </c>
      <c r="ES402" s="461">
        <f>_xlfn.MINIFS($DE$156:$DE$235,$DJ$156:$DJ$235,"&gt;"&amp;Inputs!$H$118)</f>
        <v>0</v>
      </c>
      <c r="ET402" s="462">
        <f>_xlfn.MINIFS($DE$242:$DE$321,$DJ$242:$DJ$321,"&gt;"&amp;Inputs!$H$118)</f>
        <v>0.29999999999999982</v>
      </c>
      <c r="EU402" s="477">
        <f>IF(Inputs!$F$118&gt;MAX(Pile!$DJ$70:$DJ$149),999999,IF(Pile!ER402/(Pile!EP402/1000)&gt;50,999999,IF(Pile!ER402&lt;2,999999,Pile!ER402)))</f>
        <v>999999</v>
      </c>
      <c r="EV402" s="461">
        <f>IF(Inputs!ER34="Yes",999999,IF(Inputs!$F$118&gt;MAX(Pile!$DG$156:$DG$235),999999,IF(Pile!ES402/(Pile!EP402/1000)&gt;50,999999,IF(Pile!ES402&lt;2,999999,Pile!ES402))))</f>
        <v>999999</v>
      </c>
      <c r="EW402" s="461">
        <f>IF(Inputs!$F$118&gt;MAX(Pile!$DJ$242:$DJ$321),999999,IF(Pile!ET402/(Pile!EP402/1000)&gt;50,999999,IF(Pile!ET402&lt;2,999999,IF(ET402&gt;25,999999,Pile!ET402))))</f>
        <v>999999</v>
      </c>
      <c r="EX402" s="477">
        <f t="shared" si="451"/>
        <v>2544687.5047176834</v>
      </c>
      <c r="EY402" s="461">
        <f t="shared" si="452"/>
        <v>2544687.5047176834</v>
      </c>
      <c r="EZ402" s="462">
        <f t="shared" si="453"/>
        <v>2544687.5047176834</v>
      </c>
      <c r="FA402" s="585"/>
      <c r="FB402" s="585"/>
    </row>
    <row r="403" spans="2:158" ht="15">
      <c r="B403" s="475">
        <v>1</v>
      </c>
      <c r="C403" s="476">
        <v>1050</v>
      </c>
      <c r="D403" s="460">
        <f>Inputs!$D$41</f>
        <v>4</v>
      </c>
      <c r="E403" s="461">
        <f>_xlfn.MINIFS($DE$70:$DE$149,$DK$70:$DK$149,"&gt;"&amp;Inputs!$H$41)</f>
        <v>3.5999999999999979</v>
      </c>
      <c r="F403" s="461">
        <f>_xlfn.MINIFS($DE$156:$DE$235,$DK$156:$DK$235,"&gt;"&amp;Inputs!$H$41)</f>
        <v>0</v>
      </c>
      <c r="G403" s="462">
        <f>_xlfn.MINIFS($DE$242:$DE$321,$DK$242:$DK$321,"&gt;"&amp;Inputs!$H$41)</f>
        <v>3.5999999999999979</v>
      </c>
      <c r="H403" s="477">
        <f>IF(Inputs!$F$41&gt;MAX(Pile!$DK$70:$DK$149),999999,IF(Pile!E403/(Pile!C403/1000)&gt;50,999999,IF(Pile!E403&lt;2,999999,Pile!E403)))</f>
        <v>3.5999999999999979</v>
      </c>
      <c r="I403" s="461">
        <f>IF(Inputs!E35="Yes",999999,IF(Pile!F403/(Pile!C403/1000)&gt;50,999999,IF(Pile!F403&lt;2,999999,Pile!F403)))</f>
        <v>999999</v>
      </c>
      <c r="J403" s="461">
        <f>IF(Inputs!$F$41&gt;MAX(Pile!$DK$242:$DK$321),999999,IF(Pile!G403/(Pile!C403/1000)&gt;50,999999,IF(Pile!G403&lt;2,999999,IF(G403&gt;25,999999,Pile!G403))))</f>
        <v>3.5999999999999979</v>
      </c>
      <c r="K403" s="477">
        <f t="shared" si="454"/>
        <v>31.422981242097883</v>
      </c>
      <c r="L403" s="461">
        <f t="shared" si="455"/>
        <v>3463621.3909768462</v>
      </c>
      <c r="M403" s="462">
        <f t="shared" si="456"/>
        <v>31.422981242097883</v>
      </c>
      <c r="N403" s="585">
        <f>Inputs!$D$41*D463</f>
        <v>18.954000000000001</v>
      </c>
      <c r="O403" s="475">
        <v>1</v>
      </c>
      <c r="P403" s="476">
        <v>1050</v>
      </c>
      <c r="Q403" s="460">
        <f>Inputs!$D$41</f>
        <v>4</v>
      </c>
      <c r="R403" s="461">
        <f>_xlfn.MINIFS($DE$70:$DE$149,$DK$70:$DK$149,"&gt;"&amp;Inputs!$H$48)</f>
        <v>3.5999999999999979</v>
      </c>
      <c r="S403" s="461">
        <f>_xlfn.MINIFS($DE$156:$DE$235,$DK$156:$DK$235,"&gt;"&amp;Inputs!$H$48)</f>
        <v>0</v>
      </c>
      <c r="T403" s="462">
        <f>_xlfn.MINIFS($DE$242:$DE$321,$DK$242:$DK$321,"&gt;"&amp;Inputs!$H$48)</f>
        <v>3.299999999999998</v>
      </c>
      <c r="U403" s="477">
        <f>IF(Inputs!$F$48&gt;MAX(Pile!$DK$70:$DK$149),999999,IF(Pile!R403/(Pile!P403/1000)&gt;50,999999,IF(Pile!R403&lt;2,999999,Pile!R403)))</f>
        <v>3.5999999999999979</v>
      </c>
      <c r="V403" s="461">
        <f>IF(Inputs!R35="Yes",999999,IF(Pile!S403/(Pile!P403/1000)&gt;50,999999,IF(Pile!S403&lt;2,999999,Pile!S403)))</f>
        <v>999999</v>
      </c>
      <c r="W403" s="461">
        <f>IF(Inputs!$F$48&gt;MAX(Pile!$DK$242:$DK$321),999999,IF(Pile!T403/(Pile!P403/1000)&gt;50,999999,IF(Pile!T403&lt;2,999999,IF(T403&gt;25,999999,Pile!T403))))</f>
        <v>3.299999999999998</v>
      </c>
      <c r="X403" s="477">
        <f t="shared" si="457"/>
        <v>31.422981242097883</v>
      </c>
      <c r="Y403" s="461">
        <f t="shared" si="458"/>
        <v>3463621.3909768462</v>
      </c>
      <c r="Z403" s="462">
        <f t="shared" si="459"/>
        <v>30.383899471923058</v>
      </c>
      <c r="AA403" s="467">
        <f t="shared" si="496"/>
        <v>18.954000000000001</v>
      </c>
      <c r="AB403" s="478">
        <v>1</v>
      </c>
      <c r="AC403" s="479">
        <v>1050</v>
      </c>
      <c r="AD403" s="470">
        <f>Inputs!$D$41</f>
        <v>4</v>
      </c>
      <c r="AE403" s="461">
        <f>_xlfn.MINIFS($DE$70:$DE$149,$DK$70:$DK$149,"&gt;"&amp;Inputs!$H$55)</f>
        <v>3.5999999999999979</v>
      </c>
      <c r="AF403" s="461">
        <f>_xlfn.MINIFS($DE$156:$DE$235,$DK$156:$DK$235,"&gt;"&amp;Inputs!$H$55)</f>
        <v>0</v>
      </c>
      <c r="AG403" s="462">
        <f>_xlfn.MINIFS($DE$242:$DE$321,$DK$242:$DK$321,"&gt;"&amp;Inputs!$H$55)</f>
        <v>3.299999999999998</v>
      </c>
      <c r="AH403" s="477">
        <f>IF(Inputs!$F$55&gt;MAX(Pile!$DK$70:$DK$149),999999,IF(Pile!AE403/(Pile!AC403/1000)&gt;50,999999,IF(Pile!AE403&lt;2,999999,Pile!AE403)))</f>
        <v>3.5999999999999979</v>
      </c>
      <c r="AI403" s="461">
        <f>IF(Inputs!AE35="Yes",999999,IF(Pile!AF403/(Pile!AC403/1000)&gt;50,999999,IF(Pile!AF403&lt;2,999999,Pile!AF403)))</f>
        <v>999999</v>
      </c>
      <c r="AJ403" s="461">
        <f>IF(Inputs!$F$55&gt;MAX(Pile!$DK$242:$DK$321),999999,IF(Pile!AG403/(Pile!AC403/1000)&gt;50,999999,IF(Pile!AG403&lt;2,999999,IF(AG403&gt;25,999999,Pile!AG403))))</f>
        <v>3.299999999999998</v>
      </c>
      <c r="AK403" s="477">
        <f t="shared" si="460"/>
        <v>31.422981242097883</v>
      </c>
      <c r="AL403" s="461">
        <f t="shared" si="461"/>
        <v>3463621.3909768462</v>
      </c>
      <c r="AM403" s="462">
        <f t="shared" si="462"/>
        <v>30.383899471923058</v>
      </c>
      <c r="AN403" s="586">
        <f t="shared" si="463"/>
        <v>18.954000000000001</v>
      </c>
      <c r="AO403" s="478">
        <v>1</v>
      </c>
      <c r="AP403" s="479">
        <v>1050</v>
      </c>
      <c r="AQ403" s="470">
        <f>Inputs!$D$41</f>
        <v>4</v>
      </c>
      <c r="AR403" s="461">
        <f>_xlfn.MINIFS($DE$70:$DE$149,$DK$70:$DK$149,"&gt;"&amp;Inputs!$H$62)</f>
        <v>3.5999999999999979</v>
      </c>
      <c r="AS403" s="461">
        <f>_xlfn.MINIFS($DE$156:$DE$235,$DK$156:$DK$235,"&gt;"&amp;Inputs!$H$62)</f>
        <v>0</v>
      </c>
      <c r="AT403" s="462">
        <f>_xlfn.MINIFS($DE$242:$DE$321,$DK$242:$DK$321,"&gt;"&amp;Inputs!$H$62)</f>
        <v>3.299999999999998</v>
      </c>
      <c r="AU403" s="477">
        <f>IF(Inputs!$F$62&gt;MAX(Pile!$DK$70:$DK$149),999999,IF(Pile!AR403/(Pile!AP403/1000)&gt;50,999999,IF(Pile!AR403&lt;2,999999,Pile!AR403)))</f>
        <v>3.5999999999999979</v>
      </c>
      <c r="AV403" s="461">
        <f>IF(Inputs!AR35="Yes",999999,IF(Pile!AS403/(Pile!AP403/1000)&gt;50,999999,IF(Pile!AS403&lt;2,999999,Pile!AS403)))</f>
        <v>999999</v>
      </c>
      <c r="AW403" s="461">
        <f>IF(Inputs!$F$62&gt;MAX(Pile!$DK$242:$DK$321),999999,IF(Pile!AT403/(Pile!AP403/1000)&gt;50,999999,IF(Pile!AT403&lt;2,999999,IF(AT403&gt;25,999999,Pile!AT403))))</f>
        <v>3.299999999999998</v>
      </c>
      <c r="AX403" s="477">
        <f t="shared" si="464"/>
        <v>31.422981242097883</v>
      </c>
      <c r="AY403" s="461">
        <f t="shared" si="465"/>
        <v>3463621.3909768462</v>
      </c>
      <c r="AZ403" s="462">
        <f t="shared" si="466"/>
        <v>30.383899471923058</v>
      </c>
      <c r="BA403" s="586">
        <f t="shared" si="467"/>
        <v>18.954000000000001</v>
      </c>
      <c r="BB403" s="478">
        <v>1</v>
      </c>
      <c r="BC403" s="479">
        <v>1050</v>
      </c>
      <c r="BD403" s="470">
        <f>Inputs!$D$41</f>
        <v>4</v>
      </c>
      <c r="BE403" s="461">
        <f>_xlfn.MINIFS($DE$70:$DE$149,$DK$70:$DK$149,"&gt;"&amp;Inputs!$H$69)</f>
        <v>3.5999999999999979</v>
      </c>
      <c r="BF403" s="461">
        <f>_xlfn.MINIFS($DE$156:$DE$235,$DK$156:$DK$235,"&gt;"&amp;Inputs!$H$69)</f>
        <v>0</v>
      </c>
      <c r="BG403" s="462">
        <f>_xlfn.MINIFS($DE$242:$DE$321,$DK$242:$DK$321,"&gt;"&amp;Inputs!$H$69)</f>
        <v>3.299999999999998</v>
      </c>
      <c r="BH403" s="477">
        <f>IF(Inputs!$F$69&gt;MAX(Pile!$DK$70:$DK$149),999999,IF(Pile!BE403/(Pile!BC403/1000)&gt;50,999999,IF(Pile!BE403&lt;2,999999,Pile!BE403)))</f>
        <v>3.5999999999999979</v>
      </c>
      <c r="BI403" s="461">
        <f>IF(Inputs!BE35="Yes",999999,IF(Pile!BF403/(Pile!BC403/1000)&gt;50,999999,IF(Pile!BF403&lt;2,999999,Pile!BF403)))</f>
        <v>999999</v>
      </c>
      <c r="BJ403" s="461">
        <f>IF(Inputs!$F$69&gt;MAX(Pile!$DK$242:$DK$321),999999,IF(Pile!BG403/(Pile!BC403/1000)&gt;50,999999,IF(Pile!BG403&lt;2,999999,IF(BG403&gt;25,999999,Pile!BG403))))</f>
        <v>3.299999999999998</v>
      </c>
      <c r="BK403" s="477">
        <f t="shared" si="468"/>
        <v>31.422981242097883</v>
      </c>
      <c r="BL403" s="461">
        <f t="shared" si="469"/>
        <v>3463621.3909768462</v>
      </c>
      <c r="BM403" s="462">
        <f t="shared" si="470"/>
        <v>30.383899471923058</v>
      </c>
      <c r="BN403" s="586">
        <f t="shared" si="471"/>
        <v>18.954000000000001</v>
      </c>
      <c r="BO403" s="478">
        <v>1</v>
      </c>
      <c r="BP403" s="479">
        <v>1050</v>
      </c>
      <c r="BQ403" s="470">
        <f>Inputs!$D$41</f>
        <v>4</v>
      </c>
      <c r="BR403" s="461">
        <f>_xlfn.MINIFS($DE$70:$DE$149,$DK$70:$DK$149,"&gt;"&amp;Inputs!$H$76)</f>
        <v>3.5999999999999979</v>
      </c>
      <c r="BS403" s="461">
        <f>_xlfn.MINIFS($DE$156:$DE$235,$DK$156:$DK$235,"&gt;"&amp;Inputs!$H$76)</f>
        <v>0</v>
      </c>
      <c r="BT403" s="462">
        <f>_xlfn.MINIFS($DE$242:$DE$321,$DK$242:$DK$321,"&gt;"&amp;Inputs!$H$76)</f>
        <v>3.5999999999999979</v>
      </c>
      <c r="BU403" s="477">
        <f>IF(Inputs!$F$76&gt;MAX(Pile!$DK$70:$DK$149),999999,IF(Pile!BR403/(Pile!BP403/1000)&gt;50,999999,IF(Pile!BR403&lt;2,999999,Pile!BR403)))</f>
        <v>3.5999999999999979</v>
      </c>
      <c r="BV403" s="461">
        <f>IF(Inputs!BR35="Yes",999999,IF(Pile!BS403/(Pile!BP403/1000)&gt;50,999999,IF(Pile!BS403&lt;2,999999,Pile!BS403)))</f>
        <v>999999</v>
      </c>
      <c r="BW403" s="461">
        <f>IF(Inputs!$F$76&gt;MAX(Pile!$DK$242:$DK$321),999999,IF(Pile!BT403/(Pile!BP403/1000)&gt;50,999999,IF(Pile!BT403&lt;2,999999,IF(BT403&gt;25,999999,Pile!BT403))))</f>
        <v>3.5999999999999979</v>
      </c>
      <c r="BX403" s="477">
        <f t="shared" si="472"/>
        <v>31.422981242097883</v>
      </c>
      <c r="BY403" s="461">
        <f t="shared" si="473"/>
        <v>3463621.3909768462</v>
      </c>
      <c r="BZ403" s="462">
        <f t="shared" si="474"/>
        <v>31.422981242097883</v>
      </c>
      <c r="CA403" s="586">
        <f t="shared" si="475"/>
        <v>18.954000000000001</v>
      </c>
      <c r="CB403" s="478">
        <v>1</v>
      </c>
      <c r="CC403" s="479">
        <v>1050</v>
      </c>
      <c r="CD403" s="470">
        <f>Inputs!$D$41</f>
        <v>4</v>
      </c>
      <c r="CE403" s="461">
        <f>_xlfn.MINIFS($DE$70:$DE$149,$DK$70:$DK$149,"&gt;"&amp;Inputs!$H$83)</f>
        <v>2.6999999999999984</v>
      </c>
      <c r="CF403" s="461">
        <f>_xlfn.MINIFS($DE$156:$DE$235,$DK$156:$DK$235,"&gt;"&amp;Inputs!$H$83)</f>
        <v>0</v>
      </c>
      <c r="CG403" s="462">
        <f>_xlfn.MINIFS($DE$242:$DE$321,$DK$242:$DK$321,"&gt;"&amp;Inputs!$H$83)</f>
        <v>2.3999999999999986</v>
      </c>
      <c r="CH403" s="477">
        <f>IF(Inputs!$F$83&gt;MAX(Pile!$DK$70:$DK$149),999999,IF(Pile!CE403/(Pile!CC403/1000)&gt;50,999999,IF(Pile!CE403&lt;2,999999,Pile!CE403)))</f>
        <v>2.6999999999999984</v>
      </c>
      <c r="CI403" s="461">
        <f>IF(Inputs!CE35="Yes",999999,IF(Pile!CF403/(Pile!CC403/1000)&gt;50,999999,IF(Pile!CF403&lt;2,999999,Pile!CF403)))</f>
        <v>999999</v>
      </c>
      <c r="CJ403" s="461">
        <f>IF(Inputs!$F$83&gt;MAX(Pile!$DK$242:$DK$321),999999,IF(Pile!CG403/(Pile!CC403/1000)&gt;50,999999,IF(Pile!CG403&lt;2,999999,IF(CG403&gt;25,999999,Pile!CG403))))</f>
        <v>2.3999999999999986</v>
      </c>
      <c r="CK403" s="477">
        <f t="shared" si="476"/>
        <v>28.305735931573413</v>
      </c>
      <c r="CL403" s="461">
        <f t="shared" si="477"/>
        <v>3463621.3909768462</v>
      </c>
      <c r="CM403" s="462">
        <f t="shared" si="478"/>
        <v>27.266654161398588</v>
      </c>
      <c r="CN403" s="586">
        <f t="shared" si="479"/>
        <v>18.954000000000001</v>
      </c>
      <c r="CO403" s="478">
        <v>1</v>
      </c>
      <c r="CP403" s="479">
        <v>1050</v>
      </c>
      <c r="CQ403" s="470">
        <f>Inputs!$D$41</f>
        <v>4</v>
      </c>
      <c r="CR403" s="461">
        <f>_xlfn.MINIFS($DE$70:$DE$149,$DK$70:$DK$149,"&gt;"&amp;Inputs!$H$90)</f>
        <v>2.3999999999999986</v>
      </c>
      <c r="CS403" s="461">
        <f>_xlfn.MINIFS($DE$156:$DE$235,$DK$156:$DK$235,"&gt;"&amp;Inputs!$H$90)</f>
        <v>0</v>
      </c>
      <c r="CT403" s="462">
        <f>_xlfn.MINIFS($DE$242:$DE$321,$DK$242:$DK$321,"&gt;"&amp;Inputs!$H$90)</f>
        <v>2.3999999999999986</v>
      </c>
      <c r="CU403" s="477">
        <f>IF(Inputs!$F$90&gt;MAX(Pile!$DK$70:$DK$149),999999,IF(Pile!CR403/(Pile!CP403/1000)&gt;50,999999,IF(Pile!CR403&lt;2,999999,Pile!CR403)))</f>
        <v>2.3999999999999986</v>
      </c>
      <c r="CV403" s="461">
        <f>IF(Inputs!CR35="Yes",999999,IF(Pile!CS403/(Pile!CP403/1000)&gt;50,999999,IF(Pile!CS403&lt;2,999999,Pile!CS403)))</f>
        <v>999999</v>
      </c>
      <c r="CW403" s="461">
        <f>IF(Inputs!$F$90&gt;MAX(Pile!$DK$242:$DK$321),999999,IF(Pile!CT403/(Pile!CP403/1000)&gt;50,999999,IF(Pile!CT403&lt;2,999999,IF(CT403&gt;25,999999,Pile!CT403))))</f>
        <v>2.3999999999999986</v>
      </c>
      <c r="CX403" s="477">
        <f t="shared" si="480"/>
        <v>27.266654161398588</v>
      </c>
      <c r="CY403" s="461">
        <f t="shared" si="481"/>
        <v>3463621.3909768462</v>
      </c>
      <c r="CZ403" s="462">
        <f t="shared" si="482"/>
        <v>27.266654161398588</v>
      </c>
      <c r="DA403" s="586">
        <f t="shared" si="483"/>
        <v>18.954000000000001</v>
      </c>
      <c r="DB403" s="478">
        <v>1</v>
      </c>
      <c r="DC403" s="479">
        <v>1050</v>
      </c>
      <c r="DD403" s="470">
        <f>Inputs!$D$41</f>
        <v>4</v>
      </c>
      <c r="DE403" s="461">
        <f>_xlfn.MINIFS($DE$70:$DE$149,$DK$70:$DK$149,"&gt;"&amp;Inputs!$H$97)</f>
        <v>2.3999999999999986</v>
      </c>
      <c r="DF403" s="461">
        <f>_xlfn.MINIFS($DE$156:$DE$235,$DK$156:$DK$235,"&gt;"&amp;Inputs!$H$97)</f>
        <v>0</v>
      </c>
      <c r="DG403" s="462">
        <f>_xlfn.MINIFS($DE$242:$DE$321,$DK$242:$DK$321,"&gt;"&amp;Inputs!$H$97)</f>
        <v>2.3999999999999986</v>
      </c>
      <c r="DH403" s="477">
        <f>IF(Inputs!$F$97&gt;MAX(Pile!$DK$70:$DK$149),999999,IF(Pile!DE403/(Pile!DC403/1000)&gt;50,999999,IF(Pile!DE403&lt;2,999999,Pile!DE403)))</f>
        <v>2.3999999999999986</v>
      </c>
      <c r="DI403" s="461">
        <f>IF(Inputs!DE35="Yes",999999,IF(Pile!DF403/(Pile!DC403/1000)&gt;50,999999,IF(Pile!DF403&lt;2,999999,Pile!DF403)))</f>
        <v>999999</v>
      </c>
      <c r="DJ403" s="461">
        <f>IF(Inputs!$F$97&gt;MAX(Pile!$DK$242:$DK$321),999999,IF(Pile!DG403/(Pile!DC403/1000)&gt;50,999999,IF(Pile!DG403&lt;2,999999,IF(DG403&gt;25,999999,Pile!DG403))))</f>
        <v>2.3999999999999986</v>
      </c>
      <c r="DK403" s="477">
        <f t="shared" si="484"/>
        <v>27.266654161398588</v>
      </c>
      <c r="DL403" s="461">
        <f t="shared" si="485"/>
        <v>3463621.3909768462</v>
      </c>
      <c r="DM403" s="462">
        <f t="shared" si="486"/>
        <v>27.266654161398588</v>
      </c>
      <c r="DN403" s="586">
        <f t="shared" si="487"/>
        <v>18.954000000000001</v>
      </c>
      <c r="DO403" s="478">
        <v>1</v>
      </c>
      <c r="DP403" s="479">
        <v>1050</v>
      </c>
      <c r="DQ403" s="470">
        <f>Inputs!$D$41</f>
        <v>4</v>
      </c>
      <c r="DR403" s="461">
        <f>_xlfn.MINIFS($DE$70:$DE$149,$DK$70:$DK$149,"&gt;"&amp;Inputs!$H$104)</f>
        <v>2.0999999999999988</v>
      </c>
      <c r="DS403" s="461">
        <f>_xlfn.MINIFS($DE$156:$DE$235,$DK$156:$DK$235,"&gt;"&amp;Inputs!$H$104)</f>
        <v>0</v>
      </c>
      <c r="DT403" s="462">
        <f>_xlfn.MINIFS($DE$242:$DE$321,$DK$242:$DK$321,"&gt;"&amp;Inputs!$H$104)</f>
        <v>2.0999999999999988</v>
      </c>
      <c r="DU403" s="477">
        <f>IF(Inputs!$F$104&gt;MAX(Pile!$DK$70:$DK$149),999999,IF(Pile!DR403/(Pile!DP403/1000)&gt;50,999999,IF(Pile!DR403&lt;2,999999,Pile!DR403)))</f>
        <v>2.0999999999999988</v>
      </c>
      <c r="DV403" s="461">
        <f>IF(Inputs!DR35="Yes",999999,IF(Pile!DS403/(Pile!DP403/1000)&gt;50,999999,IF(Pile!DS403&lt;2,999999,Pile!DS403)))</f>
        <v>999999</v>
      </c>
      <c r="DW403" s="461">
        <f>IF(Inputs!$F$104&gt;MAX(Pile!$DK$242:$DK$321),999999,IF(Pile!DT403/(Pile!DP403/1000)&gt;50,999999,IF(Pile!DT403&lt;2,999999,IF(DT403&gt;25,999999,Pile!DT403))))</f>
        <v>2.0999999999999988</v>
      </c>
      <c r="DX403" s="477">
        <f t="shared" si="488"/>
        <v>26.227572391223767</v>
      </c>
      <c r="DY403" s="461">
        <f t="shared" si="489"/>
        <v>3463621.3909768462</v>
      </c>
      <c r="DZ403" s="462">
        <f t="shared" si="490"/>
        <v>26.227572391223767</v>
      </c>
      <c r="EA403" s="586">
        <f t="shared" si="491"/>
        <v>18.954000000000001</v>
      </c>
      <c r="EB403" s="478">
        <v>1</v>
      </c>
      <c r="EC403" s="479">
        <v>1050</v>
      </c>
      <c r="ED403" s="470">
        <f>Inputs!$D$41</f>
        <v>4</v>
      </c>
      <c r="EE403" s="461">
        <f>_xlfn.MINIFS($DE$70:$DE$149,$DK$70:$DK$149,"&gt;"&amp;Inputs!$H$111)</f>
        <v>2.0999999999999988</v>
      </c>
      <c r="EF403" s="461">
        <f>_xlfn.MINIFS($DE$156:$DE$235,$DK$156:$DK$235,"&gt;"&amp;Inputs!$H$111)</f>
        <v>0</v>
      </c>
      <c r="EG403" s="462">
        <f>_xlfn.MINIFS($DE$242:$DE$321,$DK$242:$DK$321,"&gt;"&amp;Inputs!$H$111)</f>
        <v>2.0999999999999988</v>
      </c>
      <c r="EH403" s="477">
        <f>IF(Inputs!$F$111&gt;MAX(Pile!$DK$70:$DK$149),999999,IF(Pile!EE403/(Pile!EC403/1000)&gt;50,999999,IF(Pile!EE403&lt;2,999999,Pile!EE403)))</f>
        <v>2.0999999999999988</v>
      </c>
      <c r="EI403" s="461">
        <f>IF(Inputs!EE35="Yes",999999,IF(Pile!EF403/(Pile!EC403/1000)&gt;50,999999,IF(Pile!EF403&lt;2,999999,Pile!EF403)))</f>
        <v>999999</v>
      </c>
      <c r="EJ403" s="461">
        <f>IF(Inputs!$F$111&gt;MAX(Pile!$DK$242:$DK$321),999999,IF(Pile!EG403/(Pile!EC403/1000)&gt;50,999999,IF(Pile!EG403&lt;2,999999,IF(EG403&gt;25,999999,Pile!EG403))))</f>
        <v>2.0999999999999988</v>
      </c>
      <c r="EK403" s="477">
        <f t="shared" si="492"/>
        <v>26.227572391223767</v>
      </c>
      <c r="EL403" s="461">
        <f t="shared" si="493"/>
        <v>3463621.3909768462</v>
      </c>
      <c r="EM403" s="462">
        <f t="shared" si="494"/>
        <v>26.227572391223767</v>
      </c>
      <c r="EN403" s="586">
        <f t="shared" si="495"/>
        <v>18.954000000000001</v>
      </c>
      <c r="EO403" s="478">
        <v>1</v>
      </c>
      <c r="EP403" s="479">
        <v>1050</v>
      </c>
      <c r="EQ403" s="470">
        <f>Inputs!$D$41</f>
        <v>4</v>
      </c>
      <c r="ER403" s="461">
        <f>_xlfn.MINIFS($DE$70:$DE$149,$DK$70:$DK$149,"&gt;"&amp;Inputs!$H$118)</f>
        <v>0.29999999999999982</v>
      </c>
      <c r="ES403" s="461">
        <f>_xlfn.MINIFS($DE$156:$DE$235,$DK$156:$DK$235,"&gt;"&amp;Inputs!$H$118)</f>
        <v>0</v>
      </c>
      <c r="ET403" s="462">
        <f>_xlfn.MINIFS($DE$242:$DE$321,$DK$242:$DK$321,"&gt;"&amp;Inputs!$H$118)</f>
        <v>0.29999999999999982</v>
      </c>
      <c r="EU403" s="477">
        <f>IF(Inputs!$F$118&gt;MAX(Pile!$DK$70:$DK$149),999999,IF(Pile!ER403/(Pile!EP403/1000)&gt;50,999999,IF(Pile!ER403&lt;2,999999,Pile!ER403)))</f>
        <v>999999</v>
      </c>
      <c r="EV403" s="461">
        <f>IF(Inputs!ER35="Yes",999999,IF(Inputs!$F$118&gt;MAX(Pile!$DG$156:$DG$235),999999,IF(Pile!ES403/(Pile!EP403/1000)&gt;50,999999,IF(Pile!ES403&lt;2,999999,Pile!ES403))))</f>
        <v>999999</v>
      </c>
      <c r="EW403" s="461">
        <f>IF(Inputs!$F$118&gt;MAX(Pile!$DK$242:$DK$321),999999,IF(Pile!ET403/(Pile!EP403/1000)&gt;50,999999,IF(Pile!ET403&lt;2,999999,IF(ET403&gt;25,999999,Pile!ET403))))</f>
        <v>999999</v>
      </c>
      <c r="EX403" s="477">
        <f t="shared" si="451"/>
        <v>3463602.4369768463</v>
      </c>
      <c r="EY403" s="461">
        <f t="shared" si="452"/>
        <v>3463602.4369768463</v>
      </c>
      <c r="EZ403" s="462">
        <f t="shared" si="453"/>
        <v>3463602.4369768463</v>
      </c>
      <c r="FA403" s="585"/>
      <c r="FB403" s="585"/>
    </row>
    <row r="404" spans="2:158" ht="15.75" thickBot="1">
      <c r="B404" s="475">
        <v>1</v>
      </c>
      <c r="C404" s="483">
        <v>1200</v>
      </c>
      <c r="D404" s="460">
        <f>Inputs!$D$41</f>
        <v>4</v>
      </c>
      <c r="E404" s="486">
        <f>_xlfn.MINIFS($DE$70:$DE$149,$DL$70:$DL$149,"&gt;"&amp;Inputs!$H$41)</f>
        <v>2.9999999999999982</v>
      </c>
      <c r="F404" s="486">
        <f>_xlfn.MINIFS($DE$156:$DE$235,$DL$156:$DL$235,"&gt;"&amp;Inputs!$H$41)</f>
        <v>0</v>
      </c>
      <c r="G404" s="484">
        <f>_xlfn.MINIFS($DE$242:$DE$321,$DL$242:$DL$321,"&gt;"&amp;Inputs!$H$41)</f>
        <v>2.6999999999999984</v>
      </c>
      <c r="H404" s="485">
        <f>IF(Inputs!$F$41&gt;MAX(Pile!$DL$70:$DL$149),999999,IF(Pile!E404/(Pile!C404/1000)&gt;50,999999,IF(Pile!E404&lt;2,999999,Pile!E404)))</f>
        <v>2.9999999999999982</v>
      </c>
      <c r="I404" s="486">
        <f>IF(Inputs!E36="Yes",999999,IF(Pile!F404/(Pile!C404/1000)&gt;50,999999,IF(Pile!F404&lt;2,999999,Pile!F404)))</f>
        <v>999999</v>
      </c>
      <c r="J404" s="486">
        <f>IF(Inputs!$F$41&gt;MAX(Pile!$DL$242:$DL$321),999999,IF(Pile!G404/(Pile!C404/1000)&gt;50,999999,IF(Pile!G404&lt;2,999999,IF(G404&gt;25,999999,Pile!G404))))</f>
        <v>2.6999999999999984</v>
      </c>
      <c r="K404" s="485">
        <f t="shared" si="454"/>
        <v>40.571680263507901</v>
      </c>
      <c r="L404" s="486">
        <f t="shared" si="455"/>
        <v>4523915.8972758809</v>
      </c>
      <c r="M404" s="484">
        <f t="shared" si="456"/>
        <v>39.214512237157109</v>
      </c>
      <c r="N404" s="585">
        <f>Inputs!$D$41*D464</f>
        <v>27</v>
      </c>
      <c r="O404" s="475">
        <v>1</v>
      </c>
      <c r="P404" s="483">
        <v>1200</v>
      </c>
      <c r="Q404" s="460">
        <f>Inputs!$D$41</f>
        <v>4</v>
      </c>
      <c r="R404" s="486">
        <f>_xlfn.MINIFS($DE$70:$DE$149,$DL$70:$DL$149,"&gt;"&amp;Inputs!$H$48)</f>
        <v>2.9999999999999982</v>
      </c>
      <c r="S404" s="486">
        <f>_xlfn.MINIFS($DE$156:$DE$235,$DL$156:$DL$235,"&gt;"&amp;Inputs!$H$48)</f>
        <v>0</v>
      </c>
      <c r="T404" s="484">
        <f>_xlfn.MINIFS($DE$242:$DE$321,$DL$242:$DL$321,"&gt;"&amp;Inputs!$H$48)</f>
        <v>2.6999999999999984</v>
      </c>
      <c r="U404" s="485">
        <f>IF(Inputs!$F$48&gt;MAX(Pile!$DL$70:$DL$149),999999,IF(Pile!R404/(Pile!P404/1000)&gt;50,999999,IF(Pile!R404&lt;2,999999,Pile!R404)))</f>
        <v>2.9999999999999982</v>
      </c>
      <c r="V404" s="486">
        <f>IF(Inputs!R36="Yes",999999,IF(Pile!S404/(Pile!P404/1000)&gt;50,999999,IF(Pile!S404&lt;2,999999,Pile!S404)))</f>
        <v>999999</v>
      </c>
      <c r="W404" s="486">
        <f>IF(Inputs!$F$48&gt;MAX(Pile!$DL$242:$DL$321),999999,IF(Pile!T404/(Pile!P404/1000)&gt;50,999999,IF(Pile!T404&lt;2,999999,IF(T404&gt;25,999999,Pile!T404))))</f>
        <v>2.6999999999999984</v>
      </c>
      <c r="X404" s="485">
        <f t="shared" si="457"/>
        <v>40.571680263507901</v>
      </c>
      <c r="Y404" s="486">
        <f t="shared" si="458"/>
        <v>4523915.8972758809</v>
      </c>
      <c r="Z404" s="484">
        <f t="shared" si="459"/>
        <v>39.214512237157109</v>
      </c>
      <c r="AA404" s="467">
        <f t="shared" si="496"/>
        <v>27</v>
      </c>
      <c r="AB404" s="478">
        <v>1</v>
      </c>
      <c r="AC404" s="487">
        <v>1200</v>
      </c>
      <c r="AD404" s="470">
        <f>Inputs!$D$41</f>
        <v>4</v>
      </c>
      <c r="AE404" s="461">
        <f>_xlfn.MINIFS($DE$70:$DE$149,$DL$70:$DL$149,"&gt;"&amp;Inputs!$H$55)</f>
        <v>2.9999999999999982</v>
      </c>
      <c r="AF404" s="461">
        <f>_xlfn.MINIFS($DE$156:$DE$235,$DL$156:$DL$235,"&gt;"&amp;Inputs!$H$55)</f>
        <v>0</v>
      </c>
      <c r="AG404" s="484">
        <f>_xlfn.MINIFS($DE$242:$DE$321,$DL$242:$DL$321,"&gt;"&amp;Inputs!$H$55)</f>
        <v>2.6999999999999984</v>
      </c>
      <c r="AH404" s="485">
        <f>IF(Inputs!$F$55&gt;MAX(Pile!$DL$70:$DL$149),999999,IF(Pile!AE404/(Pile!AC404/1000)&gt;50,999999,IF(Pile!AE404&lt;2,999999,Pile!AE404)))</f>
        <v>2.9999999999999982</v>
      </c>
      <c r="AI404" s="486">
        <f>IF(Inputs!AE36="Yes",999999,IF(Pile!AF404/(Pile!AC404/1000)&gt;50,999999,IF(Pile!AF404&lt;2,999999,Pile!AF404)))</f>
        <v>999999</v>
      </c>
      <c r="AJ404" s="486">
        <f>IF(Inputs!$F$55&gt;MAX(Pile!$DL$242:$DL$321),999999,IF(Pile!AG404/(Pile!AC404/1000)&gt;50,999999,IF(Pile!AG404&lt;2,999999,IF(AG404&gt;25,999999,Pile!AG404))))</f>
        <v>2.6999999999999984</v>
      </c>
      <c r="AK404" s="485">
        <f t="shared" si="460"/>
        <v>40.571680263507901</v>
      </c>
      <c r="AL404" s="486">
        <f t="shared" si="461"/>
        <v>4523915.8972758809</v>
      </c>
      <c r="AM404" s="484">
        <f t="shared" si="462"/>
        <v>39.214512237157109</v>
      </c>
      <c r="AN404" s="586">
        <f t="shared" si="463"/>
        <v>27</v>
      </c>
      <c r="AO404" s="478">
        <v>1</v>
      </c>
      <c r="AP404" s="487">
        <v>1200</v>
      </c>
      <c r="AQ404" s="470">
        <f>Inputs!$D$41</f>
        <v>4</v>
      </c>
      <c r="AR404" s="486">
        <f>_xlfn.MINIFS($DE$70:$DE$149,$DL$70:$DL$149,"&gt;"&amp;Inputs!$H$62)</f>
        <v>2.9999999999999982</v>
      </c>
      <c r="AS404" s="486">
        <f>_xlfn.MINIFS($DE$156:$DE$235,$DL$156:$DL$235,"&gt;"&amp;Inputs!$H$62)</f>
        <v>0</v>
      </c>
      <c r="AT404" s="484">
        <f>_xlfn.MINIFS($DE$242:$DE$321,$DL$242:$DL$321,"&gt;"&amp;Inputs!$H$62)</f>
        <v>2.6999999999999984</v>
      </c>
      <c r="AU404" s="485">
        <f>IF(Inputs!$F$62&gt;MAX(Pile!$DL$70:$DL$149),999999,IF(Pile!AR404/(Pile!AP404/1000)&gt;50,999999,IF(Pile!AR404&lt;2,999999,Pile!AR404)))</f>
        <v>2.9999999999999982</v>
      </c>
      <c r="AV404" s="486">
        <f>IF(Inputs!AR36="Yes",999999,IF(Pile!AS404/(Pile!AP404/1000)&gt;50,999999,IF(Pile!AS404&lt;2,999999,Pile!AS404)))</f>
        <v>999999</v>
      </c>
      <c r="AW404" s="486">
        <f>IF(Inputs!$F$62&gt;MAX(Pile!$DL$242:$DL$321),999999,IF(Pile!AT404/(Pile!AP404/1000)&gt;50,999999,IF(Pile!AT404&lt;2,999999,IF(AT404&gt;25,999999,Pile!AT404))))</f>
        <v>2.6999999999999984</v>
      </c>
      <c r="AX404" s="485">
        <f t="shared" si="464"/>
        <v>40.571680263507901</v>
      </c>
      <c r="AY404" s="486">
        <f t="shared" si="465"/>
        <v>4523915.8972758809</v>
      </c>
      <c r="AZ404" s="484">
        <f t="shared" si="466"/>
        <v>39.214512237157109</v>
      </c>
      <c r="BA404" s="586">
        <f t="shared" si="467"/>
        <v>27</v>
      </c>
      <c r="BB404" s="478">
        <v>1</v>
      </c>
      <c r="BC404" s="487">
        <v>1200</v>
      </c>
      <c r="BD404" s="470">
        <f>Inputs!$D$41</f>
        <v>4</v>
      </c>
      <c r="BE404" s="486">
        <f>_xlfn.MINIFS($DE$70:$DE$149,$DL$70:$DL$149,"&gt;"&amp;Inputs!$H$69)</f>
        <v>2.9999999999999982</v>
      </c>
      <c r="BF404" s="486">
        <f>_xlfn.MINIFS($DE$156:$DE$235,$DL$156:$DL$235,"&gt;"&amp;Inputs!$H$69)</f>
        <v>0</v>
      </c>
      <c r="BG404" s="484">
        <f>_xlfn.MINIFS($DE$242:$DE$321,$DL$242:$DL$321,"&gt;"&amp;Inputs!$H$69)</f>
        <v>2.6999999999999984</v>
      </c>
      <c r="BH404" s="485">
        <f>IF(Inputs!$F$69&gt;MAX(Pile!$DL$70:$DL$149),999999,IF(Pile!BE404/(Pile!BC404/1000)&gt;50,999999,IF(Pile!BE404&lt;2,999999,Pile!BE404)))</f>
        <v>2.9999999999999982</v>
      </c>
      <c r="BI404" s="486">
        <f>IF(Inputs!BE36="Yes",999999,IF(Pile!BF404/(Pile!BC404/1000)&gt;50,999999,IF(Pile!BF404&lt;2,999999,Pile!BF404)))</f>
        <v>999999</v>
      </c>
      <c r="BJ404" s="486">
        <f>IF(Inputs!$F$69&gt;MAX(Pile!$DL$242:$DL$321),999999,IF(Pile!BG404/(Pile!BC404/1000)&gt;50,999999,IF(Pile!BG404&lt;2,999999,IF(BG404&gt;25,999999,Pile!BG404))))</f>
        <v>2.6999999999999984</v>
      </c>
      <c r="BK404" s="485">
        <f t="shared" si="468"/>
        <v>40.571680263507901</v>
      </c>
      <c r="BL404" s="486">
        <f t="shared" si="469"/>
        <v>4523915.8972758809</v>
      </c>
      <c r="BM404" s="484">
        <f t="shared" si="470"/>
        <v>39.214512237157109</v>
      </c>
      <c r="BN404" s="586">
        <f t="shared" si="471"/>
        <v>27</v>
      </c>
      <c r="BO404" s="478">
        <v>1</v>
      </c>
      <c r="BP404" s="487">
        <v>1200</v>
      </c>
      <c r="BQ404" s="470">
        <f>Inputs!$D$41</f>
        <v>4</v>
      </c>
      <c r="BR404" s="486">
        <f>_xlfn.MINIFS($DE$70:$DE$149,$DL$70:$DL$149,"&gt;"&amp;Inputs!$H$76)</f>
        <v>2.9999999999999982</v>
      </c>
      <c r="BS404" s="486">
        <f>_xlfn.MINIFS($DE$156:$DE$235,$DL$156:$DL$235,"&gt;"&amp;Inputs!$H$76)</f>
        <v>0</v>
      </c>
      <c r="BT404" s="484">
        <f>_xlfn.MINIFS($DE$242:$DE$321,$DL$242:$DL$321,"&gt;"&amp;Inputs!$H$76)</f>
        <v>2.6999999999999984</v>
      </c>
      <c r="BU404" s="485">
        <f>IF(Inputs!$F$76&gt;MAX(Pile!$DL$70:$DL$149),999999,IF(Pile!BR404/(Pile!BP404/1000)&gt;50,999999,IF(Pile!BR404&lt;2,999999,Pile!BR404)))</f>
        <v>2.9999999999999982</v>
      </c>
      <c r="BV404" s="486">
        <f>IF(Inputs!BR36="Yes",999999,IF(Pile!BS404/(Pile!BP404/1000)&gt;50,999999,IF(Pile!BS404&lt;2,999999,Pile!BS404)))</f>
        <v>999999</v>
      </c>
      <c r="BW404" s="486">
        <f>IF(Inputs!$F$76&gt;MAX(Pile!$DL$242:$DL$321),999999,IF(Pile!BT404/(Pile!BP404/1000)&gt;50,999999,IF(Pile!BT404&lt;2,999999,IF(BT404&gt;25,999999,Pile!BT404))))</f>
        <v>2.6999999999999984</v>
      </c>
      <c r="BX404" s="485">
        <f t="shared" si="472"/>
        <v>40.571680263507901</v>
      </c>
      <c r="BY404" s="486">
        <f t="shared" si="473"/>
        <v>4523915.8972758809</v>
      </c>
      <c r="BZ404" s="484">
        <f t="shared" si="474"/>
        <v>39.214512237157109</v>
      </c>
      <c r="CA404" s="586">
        <f t="shared" si="475"/>
        <v>27</v>
      </c>
      <c r="CB404" s="478">
        <v>1</v>
      </c>
      <c r="CC404" s="487">
        <v>1200</v>
      </c>
      <c r="CD404" s="470">
        <f>Inputs!$D$41</f>
        <v>4</v>
      </c>
      <c r="CE404" s="486">
        <f>_xlfn.MINIFS($DE$70:$DE$149,$DL$70:$DL$149,"&gt;"&amp;Inputs!$H$83)</f>
        <v>2.0999999999999988</v>
      </c>
      <c r="CF404" s="486">
        <f>_xlfn.MINIFS($DE$156:$DE$235,$DL$156:$DL$235,"&gt;"&amp;Inputs!$H$83)</f>
        <v>0</v>
      </c>
      <c r="CG404" s="484">
        <f>_xlfn.MINIFS($DE$242:$DE$321,$DL$242:$DL$321,"&gt;"&amp;Inputs!$H$83)</f>
        <v>2.0999999999999988</v>
      </c>
      <c r="CH404" s="485">
        <f>IF(Inputs!$F$83&gt;MAX(Pile!$DL$70:$DL$149),999999,IF(Pile!CE404/(Pile!CC404/1000)&gt;50,999999,IF(Pile!CE404&lt;2,999999,Pile!CE404)))</f>
        <v>2.0999999999999988</v>
      </c>
      <c r="CI404" s="486">
        <f>IF(Inputs!CE36="Yes",999999,IF(Pile!CF404/(Pile!CC404/1000)&gt;50,999999,IF(Pile!CF404&lt;2,999999,Pile!CF404)))</f>
        <v>999999</v>
      </c>
      <c r="CJ404" s="486">
        <f>IF(Inputs!$F$83&gt;MAX(Pile!$DL$242:$DL$321),999999,IF(Pile!CG404/(Pile!CC404/1000)&gt;50,999999,IF(Pile!CG404&lt;2,999999,IF(CG404&gt;25,999999,Pile!CG404))))</f>
        <v>2.0999999999999988</v>
      </c>
      <c r="CK404" s="485">
        <f t="shared" si="476"/>
        <v>36.500176184455526</v>
      </c>
      <c r="CL404" s="486">
        <f t="shared" si="477"/>
        <v>4523915.8972758809</v>
      </c>
      <c r="CM404" s="484">
        <f t="shared" si="478"/>
        <v>36.500176184455526</v>
      </c>
      <c r="CN404" s="586">
        <f t="shared" si="479"/>
        <v>27</v>
      </c>
      <c r="CO404" s="478">
        <v>1</v>
      </c>
      <c r="CP404" s="487">
        <v>1200</v>
      </c>
      <c r="CQ404" s="470">
        <f>Inputs!$D$41</f>
        <v>4</v>
      </c>
      <c r="CR404" s="486">
        <f>_xlfn.MINIFS($DE$70:$DE$149,$DL$70:$DL$149,"&gt;"&amp;Inputs!$H$90)</f>
        <v>1.7999999999999989</v>
      </c>
      <c r="CS404" s="486">
        <f>_xlfn.MINIFS($DE$156:$DE$235,$DL$156:$DL$235,"&gt;"&amp;Inputs!$H$90)</f>
        <v>0</v>
      </c>
      <c r="CT404" s="484">
        <f>_xlfn.MINIFS($DE$242:$DE$321,$DL$242:$DL$321,"&gt;"&amp;Inputs!$H$90)</f>
        <v>1.7999999999999989</v>
      </c>
      <c r="CU404" s="485">
        <f>IF(Inputs!$F$90&gt;MAX(Pile!$DL$70:$DL$149),999999,IF(Pile!CR404/(Pile!CP404/1000)&gt;50,999999,IF(Pile!CR404&lt;2,999999,Pile!CR404)))</f>
        <v>999999</v>
      </c>
      <c r="CV404" s="486">
        <f>IF(Inputs!CR36="Yes",999999,IF(Pile!CS404/(Pile!CP404/1000)&gt;50,999999,IF(Pile!CS404&lt;2,999999,Pile!CS404)))</f>
        <v>999999</v>
      </c>
      <c r="CW404" s="486">
        <f>IF(Inputs!$F$90&gt;MAX(Pile!$DL$242:$DL$321),999999,IF(Pile!CT404/(Pile!CP404/1000)&gt;50,999999,IF(Pile!CT404&lt;2,999999,IF(CT404&gt;25,999999,Pile!CT404))))</f>
        <v>999999</v>
      </c>
      <c r="CX404" s="485">
        <f t="shared" si="480"/>
        <v>4523915.8972758809</v>
      </c>
      <c r="CY404" s="486">
        <f t="shared" si="481"/>
        <v>4523915.8972758809</v>
      </c>
      <c r="CZ404" s="484">
        <f t="shared" si="482"/>
        <v>4523915.8972758809</v>
      </c>
      <c r="DA404" s="586">
        <f t="shared" si="483"/>
        <v>27</v>
      </c>
      <c r="DB404" s="478">
        <v>1</v>
      </c>
      <c r="DC404" s="487">
        <v>1200</v>
      </c>
      <c r="DD404" s="470">
        <f>Inputs!$D$41</f>
        <v>4</v>
      </c>
      <c r="DE404" s="486">
        <f>_xlfn.MINIFS($DE$70:$DE$149,$DL$70:$DL$149,"&gt;"&amp;Inputs!$H$97)</f>
        <v>2.0999999999999988</v>
      </c>
      <c r="DF404" s="486">
        <f>_xlfn.MINIFS($DE$156:$DE$235,$DL$156:$DL$235,"&gt;"&amp;Inputs!$H$97)</f>
        <v>0</v>
      </c>
      <c r="DG404" s="484">
        <f>_xlfn.MINIFS($DE$242:$DE$321,$DL$242:$DL$321,"&gt;"&amp;Inputs!$H$97)</f>
        <v>1.7999999999999989</v>
      </c>
      <c r="DH404" s="485">
        <f>IF(Inputs!$F$97&gt;MAX(Pile!$DL$70:$DL$149),999999,IF(Pile!DE404/(Pile!DC404/1000)&gt;50,999999,IF(Pile!DE404&lt;2,999999,Pile!DE404)))</f>
        <v>2.0999999999999988</v>
      </c>
      <c r="DI404" s="486">
        <f>IF(Inputs!DE36="Yes",999999,IF(Pile!DF404/(Pile!DC404/1000)&gt;50,999999,IF(Pile!DF404&lt;2,999999,Pile!DF404)))</f>
        <v>999999</v>
      </c>
      <c r="DJ404" s="486">
        <f>IF(Inputs!$F$97&gt;MAX(Pile!$DL$242:$DL$321),999999,IF(Pile!DG404/(Pile!DC404/1000)&gt;50,999999,IF(Pile!DG404&lt;2,999999,IF(DG404&gt;25,999999,Pile!DG404))))</f>
        <v>999999</v>
      </c>
      <c r="DK404" s="485">
        <f t="shared" si="484"/>
        <v>36.500176184455526</v>
      </c>
      <c r="DL404" s="486">
        <f t="shared" si="485"/>
        <v>4523915.8972758809</v>
      </c>
      <c r="DM404" s="484">
        <f t="shared" si="486"/>
        <v>4523915.8972758809</v>
      </c>
      <c r="DN404" s="586">
        <f t="shared" si="487"/>
        <v>27</v>
      </c>
      <c r="DO404" s="478">
        <v>1</v>
      </c>
      <c r="DP404" s="487">
        <v>1200</v>
      </c>
      <c r="DQ404" s="470">
        <f>Inputs!$D$41</f>
        <v>4</v>
      </c>
      <c r="DR404" s="486">
        <f>_xlfn.MINIFS($DE$70:$DE$149,$DL$70:$DL$149,"&gt;"&amp;Inputs!$H$104)</f>
        <v>1.4999999999999991</v>
      </c>
      <c r="DS404" s="486">
        <f>_xlfn.MINIFS($DE$156:$DE$235,$DL$156:$DL$235,"&gt;"&amp;Inputs!$H$104)</f>
        <v>0</v>
      </c>
      <c r="DT404" s="484">
        <f>_xlfn.MINIFS($DE$242:$DE$321,$DL$242:$DL$321,"&gt;"&amp;Inputs!$H$104)</f>
        <v>1.4999999999999991</v>
      </c>
      <c r="DU404" s="485">
        <f>IF(Inputs!$F$104&gt;MAX(Pile!$DL$70:$DL$149),999999,IF(Pile!DR404/(Pile!DP404/1000)&gt;50,999999,IF(Pile!DR404&lt;2,999999,Pile!DR404)))</f>
        <v>999999</v>
      </c>
      <c r="DV404" s="486">
        <f>IF(Inputs!DR36="Yes",999999,IF(Pile!DS404/(Pile!DP404/1000)&gt;50,999999,IF(Pile!DS404&lt;2,999999,Pile!DS404)))</f>
        <v>999999</v>
      </c>
      <c r="DW404" s="486">
        <f>IF(Inputs!$F$104&gt;MAX(Pile!$DL$242:$DL$321),999999,IF(Pile!DT404/(Pile!DP404/1000)&gt;50,999999,IF(Pile!DT404&lt;2,999999,IF(DT404&gt;25,999999,Pile!DT404))))</f>
        <v>999999</v>
      </c>
      <c r="DX404" s="485">
        <f t="shared" si="488"/>
        <v>4523915.8972758809</v>
      </c>
      <c r="DY404" s="486">
        <f t="shared" si="489"/>
        <v>4523915.8972758809</v>
      </c>
      <c r="DZ404" s="484">
        <f t="shared" si="490"/>
        <v>4523915.8972758809</v>
      </c>
      <c r="EA404" s="586">
        <f t="shared" si="491"/>
        <v>27</v>
      </c>
      <c r="EB404" s="478">
        <v>1</v>
      </c>
      <c r="EC404" s="487">
        <v>1200</v>
      </c>
      <c r="ED404" s="470">
        <f>Inputs!$D$41</f>
        <v>4</v>
      </c>
      <c r="EE404" s="486">
        <f>_xlfn.MINIFS($DE$70:$DE$149,$DL$70:$DL$149,"&gt;"&amp;Inputs!$H$111)</f>
        <v>1.4999999999999991</v>
      </c>
      <c r="EF404" s="486">
        <f>_xlfn.MINIFS($DE$156:$DE$235,$DL$156:$DL$235,"&gt;"&amp;Inputs!$H$111)</f>
        <v>0</v>
      </c>
      <c r="EG404" s="484">
        <f>_xlfn.MINIFS($DE$242:$DE$321,$DL$242:$DL$321,"&gt;"&amp;Inputs!$H$111)</f>
        <v>1.4999999999999991</v>
      </c>
      <c r="EH404" s="485">
        <f>IF(Inputs!$F$111&gt;MAX(Pile!$DL$70:$DL$149),999999,IF(Pile!EE404/(Pile!EC404/1000)&gt;50,999999,IF(Pile!EE404&lt;2,999999,Pile!EE404)))</f>
        <v>999999</v>
      </c>
      <c r="EI404" s="486">
        <f>IF(Inputs!EE36="Yes",999999,IF(Pile!EF404/(Pile!EC404/1000)&gt;50,999999,IF(Pile!EF404&lt;2,999999,Pile!EF404)))</f>
        <v>999999</v>
      </c>
      <c r="EJ404" s="486">
        <f>IF(Inputs!$F$111&gt;MAX(Pile!$DL$242:$DL$321),999999,IF(Pile!EG404/(Pile!EC404/1000)&gt;50,999999,IF(Pile!EG404&lt;2,999999,IF(EG404&gt;25,999999,Pile!EG404))))</f>
        <v>999999</v>
      </c>
      <c r="EK404" s="485">
        <f t="shared" si="492"/>
        <v>4523915.8972758809</v>
      </c>
      <c r="EL404" s="486">
        <f t="shared" si="493"/>
        <v>4523915.8972758809</v>
      </c>
      <c r="EM404" s="484">
        <f t="shared" si="494"/>
        <v>4523915.8972758809</v>
      </c>
      <c r="EN404" s="586">
        <f t="shared" si="495"/>
        <v>27</v>
      </c>
      <c r="EO404" s="478">
        <v>1</v>
      </c>
      <c r="EP404" s="487">
        <v>1200</v>
      </c>
      <c r="EQ404" s="470">
        <f>Inputs!$D$41</f>
        <v>4</v>
      </c>
      <c r="ER404" s="486">
        <f>_xlfn.MINIFS($DE$70:$DE$149,$DL$70:$DL$149,"&gt;"&amp;Inputs!$H$118)</f>
        <v>0.29999999999999982</v>
      </c>
      <c r="ES404" s="486">
        <f>_xlfn.MINIFS($DE$156:$DE$235,$DL$156:$DL$235,"&gt;"&amp;Inputs!$H$118)</f>
        <v>0</v>
      </c>
      <c r="ET404" s="484">
        <f>_xlfn.MINIFS($DE$242:$DE$321,$DL$242:$DL$321,"&gt;"&amp;Inputs!$H$118)</f>
        <v>0.29999999999999982</v>
      </c>
      <c r="EU404" s="485">
        <f>IF(Inputs!$F$118&gt;MAX(Pile!$DL$70:$DL$149),999999,IF(Pile!ER404/(Pile!EP404/1000)&gt;50,999999,IF(Pile!ER404&lt;2,999999,Pile!ER404)))</f>
        <v>999999</v>
      </c>
      <c r="EV404" s="486">
        <f>IF(Inputs!ER36="Yes",999999,IF(Inputs!$F$118&gt;MAX(Pile!$DG$156:$DG$235),999999,IF(Pile!ES404/(Pile!EP404/1000)&gt;50,999999,IF(Pile!ES404&lt;2,999999,Pile!ES404))))</f>
        <v>999999</v>
      </c>
      <c r="EW404" s="486">
        <f>IF(Inputs!$F$118&gt;MAX(Pile!$DL$242:$DL$321),999999,IF(Pile!ET404/(Pile!EP404/1000)&gt;50,999999,IF(Pile!ET404&lt;2,999999,IF(ET404&gt;25,999999,Pile!ET404))))</f>
        <v>999999</v>
      </c>
      <c r="EX404" s="485">
        <f t="shared" si="451"/>
        <v>4523888.8972758809</v>
      </c>
      <c r="EY404" s="486">
        <f t="shared" si="452"/>
        <v>4523888.8972758809</v>
      </c>
      <c r="EZ404" s="484">
        <f t="shared" si="453"/>
        <v>4523888.8972758809</v>
      </c>
      <c r="FA404" s="585"/>
      <c r="FB404" s="585"/>
    </row>
    <row r="405" spans="2:158" ht="15">
      <c r="B405" s="491">
        <v>2</v>
      </c>
      <c r="C405" s="492">
        <v>450</v>
      </c>
      <c r="D405" s="493">
        <f>Inputs!$D$41*2</f>
        <v>8</v>
      </c>
      <c r="E405" s="494">
        <f>_xlfn.MINIFS($DE$70:$DE$149,$DG$70:$DG$149,"&gt;"&amp;Inputs!$I$41)</f>
        <v>13.499999999999996</v>
      </c>
      <c r="F405" s="494">
        <f>_xlfn.MINIFS($DE$156:$DE$235,$DG$156:$DG$235,"&gt;"&amp;Inputs!$I$41)</f>
        <v>5.9999999999999982</v>
      </c>
      <c r="G405" s="495">
        <f>_xlfn.MINIFS($DE$242:$DE$321,$DG$242:$DG$321,"&gt;"&amp;Inputs!$I$41)</f>
        <v>5.9999999999999982</v>
      </c>
      <c r="H405" s="496">
        <f>IF(Inputs!$F$41/2&gt;MAX(Pile!$DG$70:$DG$149),999999,IF(Pile!E405/(Pile!C405/1000)&gt;50,999999,IF(Pile!E405&lt;2,999999,Pile!E405)))</f>
        <v>13.499999999999996</v>
      </c>
      <c r="I405" s="494">
        <f>IF(Inputs!E37="Yes",999999,IF(Pile!F405/(Pile!C405/1000)&gt;50,999999,IF(Pile!F405&lt;2,999999,Pile!F405)))</f>
        <v>5.9999999999999982</v>
      </c>
      <c r="J405" s="494">
        <f>IF(Inputs!$F$41/2&gt;MAX(Pile!$DG$242:$DG$321),999999,IF(Pile!G405/(Pile!C405/1000)&gt;50,999999,IF(Pile!G405&lt;2,999999,IF(G405&gt;25,999999,Pile!G405))))</f>
        <v>5.9999999999999982</v>
      </c>
      <c r="K405" s="496">
        <f t="shared" si="454"/>
        <v>23.476657833502191</v>
      </c>
      <c r="L405" s="494">
        <f t="shared" si="455"/>
        <v>13.934070148223196</v>
      </c>
      <c r="M405" s="495">
        <f t="shared" si="456"/>
        <v>13.934070148223196</v>
      </c>
      <c r="N405" s="585">
        <f>Inputs!$D$41*E459</f>
        <v>6.3000000000000007</v>
      </c>
      <c r="O405" s="491">
        <v>2</v>
      </c>
      <c r="P405" s="492">
        <v>450</v>
      </c>
      <c r="Q405" s="493">
        <f>Inputs!$D$41*2</f>
        <v>8</v>
      </c>
      <c r="R405" s="494">
        <f>_xlfn.MINIFS($DE$70:$DE$149,$DG$70:$DG$149,"&gt;"&amp;Inputs!$I$48)</f>
        <v>13.499999999999996</v>
      </c>
      <c r="S405" s="494">
        <f>_xlfn.MINIFS($DE$156:$DE$235,$DG$156:$DG$235,"&gt;"&amp;Inputs!$I$48)</f>
        <v>5.6999999999999975</v>
      </c>
      <c r="T405" s="495">
        <f>_xlfn.MINIFS($DE$242:$DE$321,$DG$242:$DG$321,"&gt;"&amp;Inputs!$I$48)</f>
        <v>5.9999999999999982</v>
      </c>
      <c r="U405" s="496">
        <f>IF(Inputs!$F$48/2&gt;MAX(Pile!$DG$70:$DG$149),999999,IF(Pile!R405/(Pile!P405/1000)&gt;50,999999,IF(Pile!R405&lt;2,999999,Pile!R405)))</f>
        <v>13.499999999999996</v>
      </c>
      <c r="V405" s="494">
        <f>IF(Inputs!R37="Yes",999999,IF(Pile!S405/(Pile!P405/1000)&gt;50,999999,IF(Pile!S405&lt;2,999999,Pile!S405)))</f>
        <v>5.6999999999999975</v>
      </c>
      <c r="W405" s="494">
        <f>IF(Inputs!$F$48/2&gt;MAX(Pile!$DG$242:$DG$321),999999,IF(Pile!T405/(Pile!P405/1000)&gt;50,999999,IF(Pile!T405&lt;2,999999,IF(T405&gt;25,999999,Pile!T405))))</f>
        <v>5.9999999999999982</v>
      </c>
      <c r="X405" s="496">
        <f t="shared" si="457"/>
        <v>23.476657833502191</v>
      </c>
      <c r="Y405" s="494">
        <f t="shared" si="458"/>
        <v>13.552366640812036</v>
      </c>
      <c r="Z405" s="495">
        <f t="shared" si="459"/>
        <v>13.934070148223196</v>
      </c>
      <c r="AA405" s="467">
        <f t="shared" si="496"/>
        <v>6.3000000000000007</v>
      </c>
      <c r="AB405" s="497">
        <v>2</v>
      </c>
      <c r="AC405" s="498">
        <v>450</v>
      </c>
      <c r="AD405" s="499">
        <f>Inputs!$D$41*2</f>
        <v>8</v>
      </c>
      <c r="AE405" s="494">
        <f>_xlfn.MINIFS($DE$70:$DE$149,$DG$70:$DG$149,"&gt;"&amp;Inputs!$I$55)</f>
        <v>13.499999999999996</v>
      </c>
      <c r="AF405" s="494">
        <f>_xlfn.MINIFS($DE$156:$DE$235,$DG$156:$DG$235,"&gt;"&amp;Inputs!$I$55)</f>
        <v>5.6999999999999975</v>
      </c>
      <c r="AG405" s="495">
        <f>_xlfn.MINIFS($DE$242:$DE$321,$DG$242:$DG$321,"&gt;"&amp;Inputs!$I$55)</f>
        <v>5.9999999999999982</v>
      </c>
      <c r="AH405" s="496">
        <f>IF(Inputs!$F$55/2&gt;MAX(Pile!$DG$70:$DG$149),999999,IF(Pile!AE405/(Pile!AC405/1000)&gt;50,999999,IF(Pile!AE405&lt;2,999999,Pile!AE405)))</f>
        <v>13.499999999999996</v>
      </c>
      <c r="AI405" s="494">
        <f>IF(Inputs!AE37="Yes",999999,IF(Pile!AF405/(Pile!AC405/1000)&gt;50,999999,IF(Pile!AF405&lt;2,999999,Pile!AF405)))</f>
        <v>5.6999999999999975</v>
      </c>
      <c r="AJ405" s="494">
        <f>IF(Inputs!$F$55/2&gt;MAX(Pile!$DG$242:$DG$321),999999,IF(Pile!AG405/(Pile!AC405/1000)&gt;50,999999,IF(Pile!AG405&lt;2,999999,IF(AG405&gt;25,999999,Pile!AG405))))</f>
        <v>5.9999999999999982</v>
      </c>
      <c r="AK405" s="496">
        <f t="shared" si="460"/>
        <v>23.476657833502191</v>
      </c>
      <c r="AL405" s="494">
        <f t="shared" si="461"/>
        <v>13.552366640812036</v>
      </c>
      <c r="AM405" s="495">
        <f t="shared" si="462"/>
        <v>13.934070148223196</v>
      </c>
      <c r="AN405" s="586">
        <f t="shared" si="463"/>
        <v>6.3000000000000007</v>
      </c>
      <c r="AO405" s="497">
        <v>2</v>
      </c>
      <c r="AP405" s="498">
        <v>450</v>
      </c>
      <c r="AQ405" s="499">
        <f>Inputs!$D$41*2</f>
        <v>8</v>
      </c>
      <c r="AR405" s="494">
        <f>_xlfn.MINIFS($DE$70:$DE$149,$DG$70:$DG$149,"&gt;"&amp;Inputs!$I$62)</f>
        <v>13.499999999999996</v>
      </c>
      <c r="AS405" s="494">
        <f>_xlfn.MINIFS($DE$156:$DE$235,$DG$156:$DG$235,"&gt;"&amp;Inputs!$I$62)</f>
        <v>5.9999999999999982</v>
      </c>
      <c r="AT405" s="495">
        <f>_xlfn.MINIFS($DE$242:$DE$321,$DG$242:$DG$321,"&gt;"&amp;Inputs!$I$62)</f>
        <v>5.9999999999999982</v>
      </c>
      <c r="AU405" s="496">
        <f>IF(Inputs!$F$62/2&gt;MAX(Pile!$DG$70:$DG$149),999999,IF(Pile!AR405/(Pile!AP405/1000)&gt;50,999999,IF(Pile!AR405&lt;2,999999,Pile!AR405)))</f>
        <v>13.499999999999996</v>
      </c>
      <c r="AV405" s="494">
        <f>IF(Inputs!AR37="Yes",999999,IF(Pile!AS405/(Pile!AP405/1000)&gt;50,999999,IF(Pile!AS405&lt;2,999999,Pile!AS405)))</f>
        <v>5.9999999999999982</v>
      </c>
      <c r="AW405" s="494">
        <f>IF(Inputs!$F$62/2&gt;MAX(Pile!$DG$242:$DG$321),999999,IF(Pile!AT405/(Pile!AP405/1000)&gt;50,999999,IF(Pile!AT405&lt;2,999999,IF(AT405&gt;25,999999,Pile!AT405))))</f>
        <v>5.9999999999999982</v>
      </c>
      <c r="AX405" s="496">
        <f t="shared" si="464"/>
        <v>23.476657833502191</v>
      </c>
      <c r="AY405" s="494">
        <f t="shared" si="465"/>
        <v>13.934070148223196</v>
      </c>
      <c r="AZ405" s="495">
        <f t="shared" si="466"/>
        <v>13.934070148223196</v>
      </c>
      <c r="BA405" s="586">
        <f t="shared" si="467"/>
        <v>6.3000000000000007</v>
      </c>
      <c r="BB405" s="497">
        <v>2</v>
      </c>
      <c r="BC405" s="498">
        <v>450</v>
      </c>
      <c r="BD405" s="499">
        <f>Inputs!$D$41*2</f>
        <v>8</v>
      </c>
      <c r="BE405" s="494">
        <f>_xlfn.MINIFS($DE$70:$DE$149,$DG$70:$DG$149,"&gt;"&amp;Inputs!$I$69)</f>
        <v>13.499999999999996</v>
      </c>
      <c r="BF405" s="494">
        <f>_xlfn.MINIFS($DE$156:$DE$235,$DG$156:$DG$235,"&gt;"&amp;Inputs!$I$69)</f>
        <v>5.9999999999999982</v>
      </c>
      <c r="BG405" s="495">
        <f>_xlfn.MINIFS($DE$242:$DE$321,$DG$242:$DG$321,"&gt;"&amp;Inputs!$I$69)</f>
        <v>5.9999999999999982</v>
      </c>
      <c r="BH405" s="496">
        <f>IF(Inputs!$F$69/2&gt;MAX(Pile!$DG$70:$DG$149),999999,IF(Pile!BE405/(Pile!BC405/1000)&gt;50,999999,IF(Pile!BE405&lt;2,999999,Pile!BE405)))</f>
        <v>13.499999999999996</v>
      </c>
      <c r="BI405" s="494">
        <f>IF(Inputs!BE37="Yes",999999,IF(Pile!BF405/(Pile!BC405/1000)&gt;50,999999,IF(Pile!BF405&lt;2,999999,Pile!BF405)))</f>
        <v>5.9999999999999982</v>
      </c>
      <c r="BJ405" s="494">
        <f>IF(Inputs!$F$69/2&gt;MAX(Pile!$DG$242:$DG$321),999999,IF(Pile!BG405/(Pile!BC405/1000)&gt;50,999999,IF(Pile!BG405&lt;2,999999,IF(BG405&gt;25,999999,Pile!BG405))))</f>
        <v>5.9999999999999982</v>
      </c>
      <c r="BK405" s="496">
        <f t="shared" si="468"/>
        <v>23.476657833502191</v>
      </c>
      <c r="BL405" s="494">
        <f t="shared" si="469"/>
        <v>13.934070148223196</v>
      </c>
      <c r="BM405" s="495">
        <f t="shared" si="470"/>
        <v>13.934070148223196</v>
      </c>
      <c r="BN405" s="586">
        <f t="shared" si="471"/>
        <v>6.3000000000000007</v>
      </c>
      <c r="BO405" s="497">
        <v>2</v>
      </c>
      <c r="BP405" s="498">
        <v>450</v>
      </c>
      <c r="BQ405" s="499">
        <f>Inputs!$D$41*2</f>
        <v>8</v>
      </c>
      <c r="BR405" s="494">
        <f>_xlfn.MINIFS($DE$70:$DE$149,$DG$70:$DG$149,"&gt;"&amp;Inputs!$I$76)</f>
        <v>13.499999999999996</v>
      </c>
      <c r="BS405" s="494">
        <f>_xlfn.MINIFS($DE$156:$DE$235,$DG$156:$DG$235,"&gt;"&amp;Inputs!$I$76)</f>
        <v>5.9999999999999982</v>
      </c>
      <c r="BT405" s="495">
        <f>_xlfn.MINIFS($DE$242:$DE$321,$DG$242:$DG$321,"&gt;"&amp;Inputs!$I$76)</f>
        <v>5.9999999999999982</v>
      </c>
      <c r="BU405" s="496">
        <f>IF(Inputs!$F$76/2&gt;MAX(Pile!$DG$70:$DG$149),999999,IF(Pile!BR405/(Pile!BP405/1000)&gt;50,999999,IF(Pile!BR405&lt;2,999999,Pile!BR405)))</f>
        <v>13.499999999999996</v>
      </c>
      <c r="BV405" s="494">
        <f>IF(Inputs!BR37="Yes",999999,IF(Pile!BS405/(Pile!BP405/1000)&gt;50,999999,IF(Pile!BS405&lt;2,999999,Pile!BS405)))</f>
        <v>5.9999999999999982</v>
      </c>
      <c r="BW405" s="494">
        <f>IF(Inputs!$F$76/2&gt;MAX(Pile!$DG$242:$DG$321),999999,IF(Pile!BT405/(Pile!BP405/1000)&gt;50,999999,IF(Pile!BT405&lt;2,999999,IF(BT405&gt;25,999999,Pile!BT405))))</f>
        <v>5.9999999999999982</v>
      </c>
      <c r="BX405" s="496">
        <f t="shared" si="472"/>
        <v>23.476657833502191</v>
      </c>
      <c r="BY405" s="494">
        <f t="shared" si="473"/>
        <v>13.934070148223196</v>
      </c>
      <c r="BZ405" s="495">
        <f t="shared" si="474"/>
        <v>13.934070148223196</v>
      </c>
      <c r="CA405" s="586">
        <f t="shared" si="475"/>
        <v>6.3000000000000007</v>
      </c>
      <c r="CB405" s="497">
        <v>2</v>
      </c>
      <c r="CC405" s="498">
        <v>450</v>
      </c>
      <c r="CD405" s="499">
        <f>Inputs!$D$41*2</f>
        <v>8</v>
      </c>
      <c r="CE405" s="494">
        <f>_xlfn.MINIFS($DE$70:$DE$149,$DG$70:$DG$149,"&gt;"&amp;Inputs!$I$83)</f>
        <v>4.799999999999998</v>
      </c>
      <c r="CF405" s="494">
        <f>_xlfn.MINIFS($DE$156:$DE$235,$DG$156:$DG$235,"&gt;"&amp;Inputs!$I$83)</f>
        <v>4.4999999999999982</v>
      </c>
      <c r="CG405" s="495">
        <f>_xlfn.MINIFS($DE$242:$DE$321,$DG$242:$DG$321,"&gt;"&amp;Inputs!$I$83)</f>
        <v>4.4999999999999982</v>
      </c>
      <c r="CH405" s="496">
        <f>IF(Inputs!$F$83/2&gt;MAX(Pile!$DG$70:$DG$149),999999,IF(Pile!CE405/(Pile!CC405/1000)&gt;50,999999,IF(Pile!CE405&lt;2,999999,Pile!CE405)))</f>
        <v>4.799999999999998</v>
      </c>
      <c r="CI405" s="494">
        <f>IF(Inputs!CE37="Yes",999999,IF(Pile!CF405/(Pile!CC405/1000)&gt;50,999999,IF(Pile!CF405&lt;2,999999,Pile!CF405)))</f>
        <v>4.4999999999999982</v>
      </c>
      <c r="CJ405" s="494">
        <f>IF(Inputs!$F$83/2&gt;MAX(Pile!$DG$242:$DG$321),999999,IF(Pile!CG405/(Pile!CC405/1000)&gt;50,999999,IF(Pile!CG405&lt;2,999999,IF(CG405&gt;25,999999,Pile!CG405))))</f>
        <v>4.4999999999999982</v>
      </c>
      <c r="CK405" s="496">
        <f t="shared" si="476"/>
        <v>12.407256118578557</v>
      </c>
      <c r="CL405" s="494">
        <f t="shared" si="477"/>
        <v>12.025552611167397</v>
      </c>
      <c r="CM405" s="495">
        <f t="shared" si="478"/>
        <v>12.025552611167397</v>
      </c>
      <c r="CN405" s="586">
        <f t="shared" si="479"/>
        <v>6.3000000000000007</v>
      </c>
      <c r="CO405" s="497">
        <v>2</v>
      </c>
      <c r="CP405" s="498">
        <v>450</v>
      </c>
      <c r="CQ405" s="499">
        <f>Inputs!$D$41*2</f>
        <v>8</v>
      </c>
      <c r="CR405" s="494">
        <f>_xlfn.MINIFS($DE$70:$DE$149,$DG$70:$DG$149,"&gt;"&amp;Inputs!$I$90)</f>
        <v>4.4999999999999982</v>
      </c>
      <c r="CS405" s="494">
        <f>_xlfn.MINIFS($DE$156:$DE$235,$DG$156:$DG$235,"&gt;"&amp;Inputs!$I$90)</f>
        <v>4.1999999999999975</v>
      </c>
      <c r="CT405" s="495">
        <f>_xlfn.MINIFS($DE$242:$DE$321,$DG$242:$DG$321,"&gt;"&amp;Inputs!$I$90)</f>
        <v>4.1999999999999975</v>
      </c>
      <c r="CU405" s="496">
        <f>IF(Inputs!$F$90/2&gt;MAX(Pile!$DG$70:$DG$149),999999,IF(Pile!CR405/(Pile!CP405/1000)&gt;50,999999,IF(Pile!CR405&lt;2,999999,Pile!CR405)))</f>
        <v>4.4999999999999982</v>
      </c>
      <c r="CV405" s="494">
        <f>IF(Inputs!CR37="Yes",999999,IF(Pile!CS405/(Pile!CP405/1000)&gt;50,999999,IF(Pile!CS405&lt;2,999999,Pile!CS405)))</f>
        <v>4.1999999999999975</v>
      </c>
      <c r="CW405" s="494">
        <f>IF(Inputs!$F$90/2&gt;MAX(Pile!$DG$242:$DG$321),999999,IF(Pile!CT405/(Pile!CP405/1000)&gt;50,999999,IF(Pile!CT405&lt;2,999999,IF(CT405&gt;25,999999,Pile!CT405))))</f>
        <v>4.1999999999999975</v>
      </c>
      <c r="CX405" s="496">
        <f t="shared" si="480"/>
        <v>12.025552611167397</v>
      </c>
      <c r="CY405" s="494">
        <f t="shared" si="481"/>
        <v>11.643849103756235</v>
      </c>
      <c r="CZ405" s="495">
        <f t="shared" si="482"/>
        <v>11.643849103756235</v>
      </c>
      <c r="DA405" s="586">
        <f t="shared" si="483"/>
        <v>6.3000000000000007</v>
      </c>
      <c r="DB405" s="497">
        <v>2</v>
      </c>
      <c r="DC405" s="498">
        <v>450</v>
      </c>
      <c r="DD405" s="499">
        <f>Inputs!$D$41*2</f>
        <v>8</v>
      </c>
      <c r="DE405" s="494">
        <f>_xlfn.MINIFS($DE$70:$DE$149,$DG$70:$DG$149,"&gt;"&amp;Inputs!$I$97)</f>
        <v>4.4999999999999982</v>
      </c>
      <c r="DF405" s="494">
        <f>_xlfn.MINIFS($DE$156:$DE$235,$DG$156:$DG$235,"&gt;"&amp;Inputs!$I$97)</f>
        <v>4.1999999999999975</v>
      </c>
      <c r="DG405" s="495">
        <f>_xlfn.MINIFS($DE$242:$DE$321,$DG$242:$DG$321,"&gt;"&amp;Inputs!$I$97)</f>
        <v>4.1999999999999975</v>
      </c>
      <c r="DH405" s="496">
        <f>IF(Inputs!$F$97/2&gt;MAX(Pile!$DG$70:$DG$149),999999,IF(Pile!DE405/(Pile!DC405/1000)&gt;50,999999,IF(Pile!DE405&lt;2,999999,Pile!DE405)))</f>
        <v>4.4999999999999982</v>
      </c>
      <c r="DI405" s="494">
        <f>IF(Inputs!DE37="Yes",999999,IF(Pile!DF405/(Pile!DC405/1000)&gt;50,999999,IF(Pile!DF405&lt;2,999999,Pile!DF405)))</f>
        <v>4.1999999999999975</v>
      </c>
      <c r="DJ405" s="494">
        <f>IF(Inputs!$F$97/2&gt;MAX(Pile!$DG$242:$DG$321),999999,IF(Pile!DG405/(Pile!DC405/1000)&gt;50,999999,IF(Pile!DG405&lt;2,999999,IF(DG405&gt;25,999999,Pile!DG405))))</f>
        <v>4.1999999999999975</v>
      </c>
      <c r="DK405" s="496">
        <f t="shared" si="484"/>
        <v>12.025552611167397</v>
      </c>
      <c r="DL405" s="494">
        <f t="shared" si="485"/>
        <v>11.643849103756235</v>
      </c>
      <c r="DM405" s="495">
        <f t="shared" si="486"/>
        <v>11.643849103756235</v>
      </c>
      <c r="DN405" s="586">
        <f t="shared" si="487"/>
        <v>6.3000000000000007</v>
      </c>
      <c r="DO405" s="497">
        <v>2</v>
      </c>
      <c r="DP405" s="498">
        <v>450</v>
      </c>
      <c r="DQ405" s="499">
        <f>Inputs!$D$41*2</f>
        <v>8</v>
      </c>
      <c r="DR405" s="494">
        <f>_xlfn.MINIFS($DE$70:$DE$149,$DG$70:$DG$149,"&gt;"&amp;Inputs!$I$104)</f>
        <v>3.8999999999999977</v>
      </c>
      <c r="DS405" s="494">
        <f>_xlfn.MINIFS($DE$156:$DE$235,$DG$156:$DG$235,"&gt;"&amp;Inputs!$I$104)</f>
        <v>3.5999999999999979</v>
      </c>
      <c r="DT405" s="495">
        <f>_xlfn.MINIFS($DE$242:$DE$321,$DG$242:$DG$321,"&gt;"&amp;Inputs!$I$104)</f>
        <v>3.5999999999999979</v>
      </c>
      <c r="DU405" s="496">
        <f>IF(Inputs!$F$104/2&gt;MAX(Pile!$DG$70:$DG$149),999999,IF(Pile!DR405/(Pile!DP405/1000)&gt;50,999999,IF(Pile!DR405&lt;2,999999,Pile!DR405)))</f>
        <v>3.8999999999999977</v>
      </c>
      <c r="DV405" s="494">
        <f>IF(Inputs!DR37="Yes",999999,IF(Pile!DS405/(Pile!DP405/1000)&gt;50,999999,IF(Pile!DS405&lt;2,999999,Pile!DS405)))</f>
        <v>3.5999999999999979</v>
      </c>
      <c r="DW405" s="494">
        <f>IF(Inputs!$F$104/2&gt;MAX(Pile!$DG$242:$DG$321),999999,IF(Pile!DT405/(Pile!DP405/1000)&gt;50,999999,IF(Pile!DT405&lt;2,999999,IF(DT405&gt;25,999999,Pile!DT405))))</f>
        <v>3.5999999999999979</v>
      </c>
      <c r="DX405" s="496">
        <f t="shared" si="488"/>
        <v>11.262145596345077</v>
      </c>
      <c r="DY405" s="494">
        <f t="shared" si="489"/>
        <v>10.880442088933917</v>
      </c>
      <c r="DZ405" s="495">
        <f t="shared" si="490"/>
        <v>10.880442088933917</v>
      </c>
      <c r="EA405" s="586">
        <f t="shared" si="491"/>
        <v>6.3000000000000007</v>
      </c>
      <c r="EB405" s="497">
        <v>2</v>
      </c>
      <c r="EC405" s="498">
        <v>450</v>
      </c>
      <c r="ED405" s="499">
        <f>Inputs!$D$41*2</f>
        <v>8</v>
      </c>
      <c r="EE405" s="494">
        <f>_xlfn.MINIFS($DE$70:$DE$149,$DG$70:$DG$149,"&gt;"&amp;Inputs!$I$111)</f>
        <v>3.8999999999999977</v>
      </c>
      <c r="EF405" s="494">
        <f>_xlfn.MINIFS($DE$156:$DE$235,$DG$156:$DG$235,"&gt;"&amp;Inputs!$I$111)</f>
        <v>3.5999999999999979</v>
      </c>
      <c r="EG405" s="495">
        <f>_xlfn.MINIFS($DE$242:$DE$321,$DG$242:$DG$321,"&gt;"&amp;Inputs!$I$111)</f>
        <v>3.8999999999999977</v>
      </c>
      <c r="EH405" s="496">
        <f>IF(Inputs!$F$111/2&gt;MAX(Pile!$DG$70:$DG$149),999999,IF(Pile!EE405/(Pile!EC405/1000)&gt;50,999999,IF(Pile!EE405&lt;2,999999,Pile!EE405)))</f>
        <v>3.8999999999999977</v>
      </c>
      <c r="EI405" s="494">
        <f>IF(Inputs!EE37="Yes",999999,IF(Pile!EF405/(Pile!EC405/1000)&gt;50,999999,IF(Pile!EF405&lt;2,999999,Pile!EF405)))</f>
        <v>3.5999999999999979</v>
      </c>
      <c r="EJ405" s="494">
        <f>IF(Inputs!$F$111/2&gt;MAX(Pile!$DG$242:$DG$321),999999,IF(Pile!EG405/(Pile!EC405/1000)&gt;50,999999,IF(Pile!EG405&lt;2,999999,IF(EG405&gt;25,999999,Pile!EG405))))</f>
        <v>3.8999999999999977</v>
      </c>
      <c r="EK405" s="496">
        <f t="shared" si="492"/>
        <v>11.262145596345077</v>
      </c>
      <c r="EL405" s="494">
        <f t="shared" si="493"/>
        <v>10.880442088933917</v>
      </c>
      <c r="EM405" s="495">
        <f t="shared" si="494"/>
        <v>11.262145596345077</v>
      </c>
      <c r="EN405" s="586">
        <f t="shared" si="495"/>
        <v>6.3000000000000007</v>
      </c>
      <c r="EO405" s="497">
        <v>2</v>
      </c>
      <c r="EP405" s="498">
        <v>450</v>
      </c>
      <c r="EQ405" s="499">
        <f>Inputs!$D$41*2</f>
        <v>8</v>
      </c>
      <c r="ER405" s="494">
        <f>_xlfn.MINIFS($DE$70:$DE$149,$DG$70:$DG$149,"&gt;"&amp;Inputs!$I$118)</f>
        <v>0.29999999999999982</v>
      </c>
      <c r="ES405" s="494">
        <f>_xlfn.MINIFS($DE$156:$DE$235,$DG$156:$DG$235,"&gt;"&amp;Inputs!$I$118)</f>
        <v>0.29999999999999982</v>
      </c>
      <c r="ET405" s="495">
        <f>_xlfn.MINIFS($DE$242:$DE$321,$DG$242:$DG$321,"&gt;"&amp;Inputs!$I$118)</f>
        <v>0.29999999999999982</v>
      </c>
      <c r="EU405" s="496">
        <f>IF(Inputs!$F$118/2&gt;MAX(Pile!$DG$70:$DG$149),999999,IF(Pile!ER405/(Pile!EP405/1000)&gt;50,999999,IF(Pile!ER405&lt;2,999999,Pile!ER405)))</f>
        <v>999999</v>
      </c>
      <c r="EV405" s="494">
        <f>IF(Inputs!ER37="Yes",999999,IF(Inputs!$F$118&gt;MAX(Pile!$DG$156:$DG$235),999999,IF(Pile!ES405/(Pile!EP405/1000)&gt;50,999999,IF(Pile!ES405&lt;2,999999,Pile!ES405))))</f>
        <v>999999</v>
      </c>
      <c r="EW405" s="494">
        <f>IF(Inputs!$F$118/2&gt;MAX(Pile!$DG$242:$DG$321),999999,IF(Pile!ET405/(Pile!EP405/1000)&gt;50,999999,IF(Pile!ET405&lt;2,999999,IF(ET405&gt;25,999999,Pile!ET405))))</f>
        <v>999999</v>
      </c>
      <c r="EX405" s="496">
        <f t="shared" si="451"/>
        <v>1272343.7523588417</v>
      </c>
      <c r="EY405" s="494">
        <f t="shared" si="452"/>
        <v>1272343.7523588417</v>
      </c>
      <c r="EZ405" s="495">
        <f t="shared" si="453"/>
        <v>1272343.7523588417</v>
      </c>
      <c r="FA405" s="585"/>
      <c r="FB405" s="585"/>
    </row>
    <row r="406" spans="2:158" ht="15">
      <c r="B406" s="491">
        <v>2</v>
      </c>
      <c r="C406" s="476">
        <v>600</v>
      </c>
      <c r="D406" s="503">
        <f>Inputs!$D$41*2</f>
        <v>8</v>
      </c>
      <c r="E406" s="504">
        <f>_xlfn.MINIFS($DE$70:$DE$149,$DH$70:$DH$149,"&gt;"&amp;Inputs!$I$41)</f>
        <v>4.4999999999999982</v>
      </c>
      <c r="F406" s="504">
        <f>_xlfn.MINIFS($DE$156:$DE$235,$DH$156:$DH$235,"&gt;"&amp;Inputs!$I$41)</f>
        <v>4.1999999999999975</v>
      </c>
      <c r="G406" s="505">
        <f>_xlfn.MINIFS($DE$242:$DE$321,$DH$242:$DH$321,"&gt;"&amp;Inputs!$I$41)</f>
        <v>4.1999999999999975</v>
      </c>
      <c r="H406" s="506">
        <f>IF(Inputs!$F$41/2&gt;MAX(Pile!$DH$70:$DH$149),999999,IF(Pile!E406/(Pile!C406/1000)&gt;50,999999,IF(Pile!E406&lt;2,999999,Pile!E406)))</f>
        <v>4.4999999999999982</v>
      </c>
      <c r="I406" s="504">
        <f>IF(Inputs!E38="Yes",999999,IF(Pile!F406/(Pile!C406/1000)&gt;50,999999,IF(Pile!F406&lt;2,999999,Pile!F406)))</f>
        <v>4.1999999999999975</v>
      </c>
      <c r="J406" s="504">
        <f>IF(Inputs!$F$41/2&gt;MAX(Pile!$DH$242:$DH$321),999999,IF(Pile!G406/(Pile!C406/1000)&gt;50,999999,IF(Pile!G406&lt;2,999999,IF(G406&gt;25,999999,Pile!G406))))</f>
        <v>4.1999999999999975</v>
      </c>
      <c r="K406" s="506">
        <f t="shared" si="454"/>
        <v>23.786760197630926</v>
      </c>
      <c r="L406" s="504">
        <f t="shared" si="455"/>
        <v>23.10817618445553</v>
      </c>
      <c r="M406" s="505">
        <f t="shared" si="456"/>
        <v>23.10817618445553</v>
      </c>
      <c r="N406" s="585">
        <f>Inputs!$D$41*E460</f>
        <v>13.607999999999999</v>
      </c>
      <c r="O406" s="491">
        <v>2</v>
      </c>
      <c r="P406" s="476">
        <v>600</v>
      </c>
      <c r="Q406" s="503">
        <f>Inputs!$D$41*2</f>
        <v>8</v>
      </c>
      <c r="R406" s="504">
        <f>_xlfn.MINIFS($DE$70:$DE$149,$DH$70:$DH$149,"&gt;"&amp;Inputs!$I$48)</f>
        <v>4.4999999999999982</v>
      </c>
      <c r="S406" s="504">
        <f>_xlfn.MINIFS($DE$156:$DE$235,$DH$156:$DH$235,"&gt;"&amp;Inputs!$I$48)</f>
        <v>4.1999999999999975</v>
      </c>
      <c r="T406" s="505">
        <f>_xlfn.MINIFS($DE$242:$DE$321,$DH$242:$DH$321,"&gt;"&amp;Inputs!$I$48)</f>
        <v>4.1999999999999975</v>
      </c>
      <c r="U406" s="506">
        <f>IF(Inputs!$F$48/2&gt;MAX(Pile!$DH$70:$DH$149),999999,IF(Pile!R406/(Pile!P406/1000)&gt;50,999999,IF(Pile!R406&lt;2,999999,Pile!R406)))</f>
        <v>4.4999999999999982</v>
      </c>
      <c r="V406" s="504">
        <f>IF(Inputs!R38="Yes",999999,IF(Pile!S406/(Pile!P406/1000)&gt;50,999999,IF(Pile!S406&lt;2,999999,Pile!S406)))</f>
        <v>4.1999999999999975</v>
      </c>
      <c r="W406" s="504">
        <f>IF(Inputs!$F$48/2&gt;MAX(Pile!$DH$242:$DH$321),999999,IF(Pile!T406/(Pile!P406/1000)&gt;50,999999,IF(Pile!T406&lt;2,999999,IF(T406&gt;25,999999,Pile!T406))))</f>
        <v>4.1999999999999975</v>
      </c>
      <c r="X406" s="506">
        <f t="shared" si="457"/>
        <v>23.786760197630926</v>
      </c>
      <c r="Y406" s="504">
        <f t="shared" si="458"/>
        <v>23.10817618445553</v>
      </c>
      <c r="Z406" s="505">
        <f t="shared" si="459"/>
        <v>23.10817618445553</v>
      </c>
      <c r="AA406" s="467">
        <f t="shared" si="496"/>
        <v>13.607999999999999</v>
      </c>
      <c r="AB406" s="497">
        <v>2</v>
      </c>
      <c r="AC406" s="479">
        <v>600</v>
      </c>
      <c r="AD406" s="507">
        <f>Inputs!$D$41*2</f>
        <v>8</v>
      </c>
      <c r="AE406" s="504">
        <f>_xlfn.MINIFS($DE$70:$DE$149,$DH$70:$DH$149,"&gt;"&amp;Inputs!$I$55)</f>
        <v>4.4999999999999982</v>
      </c>
      <c r="AF406" s="504">
        <f>_xlfn.MINIFS($DE$156:$DE$235,$DH$156:$DH$235,"&gt;"&amp;Inputs!$I$55)</f>
        <v>4.1999999999999975</v>
      </c>
      <c r="AG406" s="505">
        <f>_xlfn.MINIFS($DE$242:$DE$321,$DH$242:$DH$321,"&gt;"&amp;Inputs!$I$55)</f>
        <v>4.1999999999999975</v>
      </c>
      <c r="AH406" s="506">
        <f>IF(Inputs!$F$55/2&gt;MAX(Pile!$DH$70:$DH$149),999999,IF(Pile!AE406/(Pile!AC406/1000)&gt;50,999999,IF(Pile!AE406&lt;2,999999,Pile!AE406)))</f>
        <v>4.4999999999999982</v>
      </c>
      <c r="AI406" s="504">
        <f>IF(Inputs!AE38="Yes",999999,IF(Pile!AF406/(Pile!AC406/1000)&gt;50,999999,IF(Pile!AF406&lt;2,999999,Pile!AF406)))</f>
        <v>4.1999999999999975</v>
      </c>
      <c r="AJ406" s="504">
        <f>IF(Inputs!$F$55/2&gt;MAX(Pile!$DH$242:$DH$321),999999,IF(Pile!AG406/(Pile!AC406/1000)&gt;50,999999,IF(Pile!AG406&lt;2,999999,IF(AG406&gt;25,999999,Pile!AG406))))</f>
        <v>4.1999999999999975</v>
      </c>
      <c r="AK406" s="506">
        <f t="shared" si="460"/>
        <v>23.786760197630926</v>
      </c>
      <c r="AL406" s="504">
        <f t="shared" si="461"/>
        <v>23.10817618445553</v>
      </c>
      <c r="AM406" s="505">
        <f t="shared" si="462"/>
        <v>23.10817618445553</v>
      </c>
      <c r="AN406" s="586">
        <f t="shared" si="463"/>
        <v>13.607999999999999</v>
      </c>
      <c r="AO406" s="497">
        <v>2</v>
      </c>
      <c r="AP406" s="479">
        <v>600</v>
      </c>
      <c r="AQ406" s="507">
        <f>Inputs!$D$41*2</f>
        <v>8</v>
      </c>
      <c r="AR406" s="504">
        <f>_xlfn.MINIFS($DE$70:$DE$149,$DH$70:$DH$149,"&gt;"&amp;Inputs!$I$62)</f>
        <v>4.4999999999999982</v>
      </c>
      <c r="AS406" s="504">
        <f>_xlfn.MINIFS($DE$156:$DE$235,$DH$156:$DH$235,"&gt;"&amp;Inputs!$I$62)</f>
        <v>4.1999999999999975</v>
      </c>
      <c r="AT406" s="505">
        <f>_xlfn.MINIFS($DE$242:$DE$321,$DH$242:$DH$321,"&gt;"&amp;Inputs!$I$62)</f>
        <v>4.1999999999999975</v>
      </c>
      <c r="AU406" s="506">
        <f>IF(Inputs!$F$62/2&gt;MAX(Pile!$DH$70:$DH$149),999999,IF(Pile!AR406/(Pile!AP406/1000)&gt;50,999999,IF(Pile!AR406&lt;2,999999,Pile!AR406)))</f>
        <v>4.4999999999999982</v>
      </c>
      <c r="AV406" s="504">
        <f>IF(Inputs!AR38="Yes",999999,IF(Pile!AS406/(Pile!AP406/1000)&gt;50,999999,IF(Pile!AS406&lt;2,999999,Pile!AS406)))</f>
        <v>4.1999999999999975</v>
      </c>
      <c r="AW406" s="504">
        <f>IF(Inputs!$F$62/2&gt;MAX(Pile!$DH$242:$DH$321),999999,IF(Pile!AT406/(Pile!AP406/1000)&gt;50,999999,IF(Pile!AT406&lt;2,999999,IF(AT406&gt;25,999999,Pile!AT406))))</f>
        <v>4.1999999999999975</v>
      </c>
      <c r="AX406" s="506">
        <f t="shared" si="464"/>
        <v>23.786760197630926</v>
      </c>
      <c r="AY406" s="504">
        <f t="shared" si="465"/>
        <v>23.10817618445553</v>
      </c>
      <c r="AZ406" s="505">
        <f t="shared" si="466"/>
        <v>23.10817618445553</v>
      </c>
      <c r="BA406" s="586">
        <f t="shared" si="467"/>
        <v>13.607999999999999</v>
      </c>
      <c r="BB406" s="497">
        <v>2</v>
      </c>
      <c r="BC406" s="479">
        <v>600</v>
      </c>
      <c r="BD406" s="507">
        <f>Inputs!$D$41*2</f>
        <v>8</v>
      </c>
      <c r="BE406" s="504">
        <f>_xlfn.MINIFS($DE$70:$DE$149,$DH$70:$DH$149,"&gt;"&amp;Inputs!$I$69)</f>
        <v>4.4999999999999982</v>
      </c>
      <c r="BF406" s="504">
        <f>_xlfn.MINIFS($DE$156:$DE$235,$DH$156:$DH$235,"&gt;"&amp;Inputs!$I$69)</f>
        <v>4.1999999999999975</v>
      </c>
      <c r="BG406" s="505">
        <f>_xlfn.MINIFS($DE$242:$DE$321,$DH$242:$DH$321,"&gt;"&amp;Inputs!$I$69)</f>
        <v>4.1999999999999975</v>
      </c>
      <c r="BH406" s="506">
        <f>IF(Inputs!$F$69/2&gt;MAX(Pile!$DH$70:$DH$149),999999,IF(Pile!BE406/(Pile!BC406/1000)&gt;50,999999,IF(Pile!BE406&lt;2,999999,Pile!BE406)))</f>
        <v>4.4999999999999982</v>
      </c>
      <c r="BI406" s="504">
        <f>IF(Inputs!BE38="Yes",999999,IF(Pile!BF406/(Pile!BC406/1000)&gt;50,999999,IF(Pile!BF406&lt;2,999999,Pile!BF406)))</f>
        <v>4.1999999999999975</v>
      </c>
      <c r="BJ406" s="504">
        <f>IF(Inputs!$F$69/2&gt;MAX(Pile!$DH$242:$DH$321),999999,IF(Pile!BG406/(Pile!BC406/1000)&gt;50,999999,IF(Pile!BG406&lt;2,999999,IF(BG406&gt;25,999999,Pile!BG406))))</f>
        <v>4.1999999999999975</v>
      </c>
      <c r="BK406" s="506">
        <f t="shared" si="468"/>
        <v>23.786760197630926</v>
      </c>
      <c r="BL406" s="504">
        <f t="shared" si="469"/>
        <v>23.10817618445553</v>
      </c>
      <c r="BM406" s="505">
        <f t="shared" si="470"/>
        <v>23.10817618445553</v>
      </c>
      <c r="BN406" s="586">
        <f t="shared" si="471"/>
        <v>13.607999999999999</v>
      </c>
      <c r="BO406" s="497">
        <v>2</v>
      </c>
      <c r="BP406" s="479">
        <v>600</v>
      </c>
      <c r="BQ406" s="507">
        <f>Inputs!$D$41*2</f>
        <v>8</v>
      </c>
      <c r="BR406" s="504">
        <f>_xlfn.MINIFS($DE$70:$DE$149,$DH$70:$DH$149,"&gt;"&amp;Inputs!$I$76)</f>
        <v>4.4999999999999982</v>
      </c>
      <c r="BS406" s="504">
        <f>_xlfn.MINIFS($DE$156:$DE$235,$DH$156:$DH$235,"&gt;"&amp;Inputs!$I$76)</f>
        <v>4.1999999999999975</v>
      </c>
      <c r="BT406" s="505">
        <f>_xlfn.MINIFS($DE$242:$DE$321,$DH$242:$DH$321,"&gt;"&amp;Inputs!$I$76)</f>
        <v>4.1999999999999975</v>
      </c>
      <c r="BU406" s="506">
        <f>IF(Inputs!$F$76/2&gt;MAX(Pile!$DH$70:$DH$149),999999,IF(Pile!BR406/(Pile!BP406/1000)&gt;50,999999,IF(Pile!BR406&lt;2,999999,Pile!BR406)))</f>
        <v>4.4999999999999982</v>
      </c>
      <c r="BV406" s="504">
        <f>IF(Inputs!BR38="Yes",999999,IF(Pile!BS406/(Pile!BP406/1000)&gt;50,999999,IF(Pile!BS406&lt;2,999999,Pile!BS406)))</f>
        <v>4.1999999999999975</v>
      </c>
      <c r="BW406" s="504">
        <f>IF(Inputs!$F$76/2&gt;MAX(Pile!$DH$242:$DH$321),999999,IF(Pile!BT406/(Pile!BP406/1000)&gt;50,999999,IF(Pile!BT406&lt;2,999999,IF(BT406&gt;25,999999,Pile!BT406))))</f>
        <v>4.1999999999999975</v>
      </c>
      <c r="BX406" s="506">
        <f t="shared" si="472"/>
        <v>23.786760197630926</v>
      </c>
      <c r="BY406" s="504">
        <f t="shared" si="473"/>
        <v>23.10817618445553</v>
      </c>
      <c r="BZ406" s="505">
        <f t="shared" si="474"/>
        <v>23.10817618445553</v>
      </c>
      <c r="CA406" s="586">
        <f t="shared" si="475"/>
        <v>13.607999999999999</v>
      </c>
      <c r="CB406" s="497">
        <v>2</v>
      </c>
      <c r="CC406" s="479">
        <v>600</v>
      </c>
      <c r="CD406" s="507">
        <f>Inputs!$D$41*2</f>
        <v>8</v>
      </c>
      <c r="CE406" s="504">
        <f>_xlfn.MINIFS($DE$70:$DE$149,$DH$70:$DH$149,"&gt;"&amp;Inputs!$I$83)</f>
        <v>3.299999999999998</v>
      </c>
      <c r="CF406" s="504">
        <f>_xlfn.MINIFS($DE$156:$DE$235,$DH$156:$DH$235,"&gt;"&amp;Inputs!$I$83)</f>
        <v>2.9999999999999982</v>
      </c>
      <c r="CG406" s="505">
        <f>_xlfn.MINIFS($DE$242:$DE$321,$DH$242:$DH$321,"&gt;"&amp;Inputs!$I$83)</f>
        <v>3.299999999999998</v>
      </c>
      <c r="CH406" s="506">
        <f>IF(Inputs!$F$83/2&gt;MAX(Pile!$DH$70:$DH$149),999999,IF(Pile!CE406/(Pile!CC406/1000)&gt;50,999999,IF(Pile!CE406&lt;2,999999,Pile!CE406)))</f>
        <v>3.299999999999998</v>
      </c>
      <c r="CI406" s="504">
        <f>IF(Inputs!CE38="Yes",999999,IF(Pile!CF406/(Pile!CC406/1000)&gt;50,999999,IF(Pile!CF406&lt;2,999999,Pile!CF406)))</f>
        <v>2.9999999999999982</v>
      </c>
      <c r="CJ406" s="504">
        <f>IF(Inputs!$F$83/2&gt;MAX(Pile!$DH$242:$DH$321),999999,IF(Pile!CG406/(Pile!CC406/1000)&gt;50,999999,IF(Pile!CG406&lt;2,999999,IF(CG406&gt;25,999999,Pile!CG406))))</f>
        <v>3.299999999999998</v>
      </c>
      <c r="CK406" s="506">
        <f t="shared" si="476"/>
        <v>21.072424144929343</v>
      </c>
      <c r="CL406" s="504">
        <f t="shared" si="477"/>
        <v>20.393840131753947</v>
      </c>
      <c r="CM406" s="505">
        <f t="shared" si="478"/>
        <v>21.072424144929343</v>
      </c>
      <c r="CN406" s="586">
        <f t="shared" si="479"/>
        <v>13.607999999999999</v>
      </c>
      <c r="CO406" s="497">
        <v>2</v>
      </c>
      <c r="CP406" s="479">
        <v>600</v>
      </c>
      <c r="CQ406" s="507">
        <f>Inputs!$D$41*2</f>
        <v>8</v>
      </c>
      <c r="CR406" s="504">
        <f>_xlfn.MINIFS($DE$70:$DE$149,$DH$70:$DH$149,"&gt;"&amp;Inputs!$I$90)</f>
        <v>3.299999999999998</v>
      </c>
      <c r="CS406" s="504">
        <f>_xlfn.MINIFS($DE$156:$DE$235,$DH$156:$DH$235,"&gt;"&amp;Inputs!$I$90)</f>
        <v>2.6999999999999984</v>
      </c>
      <c r="CT406" s="505">
        <f>_xlfn.MINIFS($DE$242:$DE$321,$DH$242:$DH$321,"&gt;"&amp;Inputs!$I$90)</f>
        <v>2.9999999999999982</v>
      </c>
      <c r="CU406" s="506">
        <f>IF(Inputs!$F$90/2&gt;MAX(Pile!$DH$70:$DH$149),999999,IF(Pile!CR406/(Pile!CP406/1000)&gt;50,999999,IF(Pile!CR406&lt;2,999999,Pile!CR406)))</f>
        <v>3.299999999999998</v>
      </c>
      <c r="CV406" s="504">
        <f>IF(Inputs!CR38="Yes",999999,IF(Pile!CS406/(Pile!CP406/1000)&gt;50,999999,IF(Pile!CS406&lt;2,999999,Pile!CS406)))</f>
        <v>2.6999999999999984</v>
      </c>
      <c r="CW406" s="504">
        <f>IF(Inputs!$F$90/2&gt;MAX(Pile!$DH$242:$DH$321),999999,IF(Pile!CT406/(Pile!CP406/1000)&gt;50,999999,IF(Pile!CT406&lt;2,999999,IF(CT406&gt;25,999999,Pile!CT406))))</f>
        <v>2.9999999999999982</v>
      </c>
      <c r="CX406" s="506">
        <f t="shared" si="480"/>
        <v>21.072424144929343</v>
      </c>
      <c r="CY406" s="504">
        <f t="shared" si="481"/>
        <v>19.715256118578552</v>
      </c>
      <c r="CZ406" s="505">
        <f t="shared" si="482"/>
        <v>20.393840131753947</v>
      </c>
      <c r="DA406" s="586">
        <f t="shared" si="483"/>
        <v>13.607999999999999</v>
      </c>
      <c r="DB406" s="497">
        <v>2</v>
      </c>
      <c r="DC406" s="479">
        <v>600</v>
      </c>
      <c r="DD406" s="507">
        <f>Inputs!$D$41*2</f>
        <v>8</v>
      </c>
      <c r="DE406" s="504">
        <f>_xlfn.MINIFS($DE$70:$DE$149,$DH$70:$DH$149,"&gt;"&amp;Inputs!$I$97)</f>
        <v>3.299999999999998</v>
      </c>
      <c r="DF406" s="504">
        <f>_xlfn.MINIFS($DE$156:$DE$235,$DH$156:$DH$235,"&gt;"&amp;Inputs!$I$97)</f>
        <v>2.9999999999999982</v>
      </c>
      <c r="DG406" s="505">
        <f>_xlfn.MINIFS($DE$242:$DE$321,$DH$242:$DH$321,"&gt;"&amp;Inputs!$I$97)</f>
        <v>2.9999999999999982</v>
      </c>
      <c r="DH406" s="506">
        <f>IF(Inputs!$F$97/2&gt;MAX(Pile!$DH$70:$DH$149),999999,IF(Pile!DE406/(Pile!DC406/1000)&gt;50,999999,IF(Pile!DE406&lt;2,999999,Pile!DE406)))</f>
        <v>3.299999999999998</v>
      </c>
      <c r="DI406" s="504">
        <f>IF(Inputs!DE38="Yes",999999,IF(Pile!DF406/(Pile!DC406/1000)&gt;50,999999,IF(Pile!DF406&lt;2,999999,Pile!DF406)))</f>
        <v>2.9999999999999982</v>
      </c>
      <c r="DJ406" s="504">
        <f>IF(Inputs!$F$97/2&gt;MAX(Pile!$DH$242:$DH$321),999999,IF(Pile!DG406/(Pile!DC406/1000)&gt;50,999999,IF(Pile!DG406&lt;2,999999,IF(DG406&gt;25,999999,Pile!DG406))))</f>
        <v>2.9999999999999982</v>
      </c>
      <c r="DK406" s="506">
        <f t="shared" si="484"/>
        <v>21.072424144929343</v>
      </c>
      <c r="DL406" s="504">
        <f t="shared" si="485"/>
        <v>20.393840131753947</v>
      </c>
      <c r="DM406" s="505">
        <f t="shared" si="486"/>
        <v>20.393840131753947</v>
      </c>
      <c r="DN406" s="586">
        <f t="shared" si="487"/>
        <v>13.607999999999999</v>
      </c>
      <c r="DO406" s="497">
        <v>2</v>
      </c>
      <c r="DP406" s="479">
        <v>600</v>
      </c>
      <c r="DQ406" s="507">
        <f>Inputs!$D$41*2</f>
        <v>8</v>
      </c>
      <c r="DR406" s="504">
        <f>_xlfn.MINIFS($DE$70:$DE$149,$DH$70:$DH$149,"&gt;"&amp;Inputs!$I$104)</f>
        <v>2.6999999999999984</v>
      </c>
      <c r="DS406" s="504">
        <f>_xlfn.MINIFS($DE$156:$DE$235,$DH$156:$DH$235,"&gt;"&amp;Inputs!$I$104)</f>
        <v>2.3999999999999986</v>
      </c>
      <c r="DT406" s="505">
        <f>_xlfn.MINIFS($DE$242:$DE$321,$DH$242:$DH$321,"&gt;"&amp;Inputs!$I$104)</f>
        <v>2.6999999999999984</v>
      </c>
      <c r="DU406" s="506">
        <f>IF(Inputs!$F$104/2&gt;MAX(Pile!$DH$70:$DH$149),999999,IF(Pile!DR406/(Pile!DP406/1000)&gt;50,999999,IF(Pile!DR406&lt;2,999999,Pile!DR406)))</f>
        <v>2.6999999999999984</v>
      </c>
      <c r="DV406" s="504">
        <f>IF(Inputs!DR38="Yes",999999,IF(Pile!DS406/(Pile!DP406/1000)&gt;50,999999,IF(Pile!DS406&lt;2,999999,Pile!DS406)))</f>
        <v>2.3999999999999986</v>
      </c>
      <c r="DW406" s="504">
        <f>IF(Inputs!$F$104/2&gt;MAX(Pile!$DH$242:$DH$321),999999,IF(Pile!DT406/(Pile!DP406/1000)&gt;50,999999,IF(Pile!DT406&lt;2,999999,IF(DT406&gt;25,999999,Pile!DT406))))</f>
        <v>2.6999999999999984</v>
      </c>
      <c r="DX406" s="506">
        <f t="shared" si="488"/>
        <v>19.715256118578552</v>
      </c>
      <c r="DY406" s="504">
        <f t="shared" si="489"/>
        <v>19.036672105403159</v>
      </c>
      <c r="DZ406" s="505">
        <f t="shared" si="490"/>
        <v>19.715256118578552</v>
      </c>
      <c r="EA406" s="586">
        <f t="shared" si="491"/>
        <v>13.607999999999999</v>
      </c>
      <c r="EB406" s="497">
        <v>2</v>
      </c>
      <c r="EC406" s="479">
        <v>600</v>
      </c>
      <c r="ED406" s="507">
        <f>Inputs!$D$41*2</f>
        <v>8</v>
      </c>
      <c r="EE406" s="504">
        <f>_xlfn.MINIFS($DE$70:$DE$149,$DH$70:$DH$149,"&gt;"&amp;Inputs!$I$111)</f>
        <v>2.6999999999999984</v>
      </c>
      <c r="EF406" s="504">
        <f>_xlfn.MINIFS($DE$156:$DE$235,$DH$156:$DH$235,"&gt;"&amp;Inputs!$I$111)</f>
        <v>2.3999999999999986</v>
      </c>
      <c r="EG406" s="505">
        <f>_xlfn.MINIFS($DE$242:$DE$321,$DH$242:$DH$321,"&gt;"&amp;Inputs!$I$111)</f>
        <v>2.6999999999999984</v>
      </c>
      <c r="EH406" s="506">
        <f>IF(Inputs!$F$111/2&gt;MAX(Pile!$DH$70:$DH$149),999999,IF(Pile!EE406/(Pile!EC406/1000)&gt;50,999999,IF(Pile!EE406&lt;2,999999,Pile!EE406)))</f>
        <v>2.6999999999999984</v>
      </c>
      <c r="EI406" s="504">
        <f>IF(Inputs!EE38="Yes",999999,IF(Pile!EF406/(Pile!EC406/1000)&gt;50,999999,IF(Pile!EF406&lt;2,999999,Pile!EF406)))</f>
        <v>2.3999999999999986</v>
      </c>
      <c r="EJ406" s="504">
        <f>IF(Inputs!$F$111/2&gt;MAX(Pile!$DH$242:$DH$321),999999,IF(Pile!EG406/(Pile!EC406/1000)&gt;50,999999,IF(Pile!EG406&lt;2,999999,IF(EG406&gt;25,999999,Pile!EG406))))</f>
        <v>2.6999999999999984</v>
      </c>
      <c r="EK406" s="506">
        <f t="shared" si="492"/>
        <v>19.715256118578552</v>
      </c>
      <c r="EL406" s="504">
        <f t="shared" si="493"/>
        <v>19.036672105403159</v>
      </c>
      <c r="EM406" s="505">
        <f t="shared" si="494"/>
        <v>19.715256118578552</v>
      </c>
      <c r="EN406" s="586">
        <f t="shared" si="495"/>
        <v>13.607999999999999</v>
      </c>
      <c r="EO406" s="497">
        <v>2</v>
      </c>
      <c r="EP406" s="479">
        <v>600</v>
      </c>
      <c r="EQ406" s="507">
        <f>Inputs!$D$41*2</f>
        <v>8</v>
      </c>
      <c r="ER406" s="504">
        <f>_xlfn.MINIFS($DE$70:$DE$149,$DH$70:$DH$149,"&gt;"&amp;Inputs!$I$118)</f>
        <v>0.29999999999999982</v>
      </c>
      <c r="ES406" s="504">
        <f>_xlfn.MINIFS($DE$156:$DE$235,$DH$156:$DH$235,"&gt;"&amp;Inputs!$I$118)</f>
        <v>0.29999999999999982</v>
      </c>
      <c r="ET406" s="505">
        <f>_xlfn.MINIFS($DE$242:$DE$321,$DH$242:$DH$321,"&gt;"&amp;Inputs!$I$118)</f>
        <v>0.29999999999999982</v>
      </c>
      <c r="EU406" s="506">
        <f>IF(Inputs!$F$118/2&gt;MAX(Pile!$DH$70:$DH$149),999999,IF(Pile!ER406/(Pile!EP406/1000)&gt;50,999999,IF(Pile!ER406&lt;2,999999,Pile!ER406)))</f>
        <v>999999</v>
      </c>
      <c r="EV406" s="504">
        <f>IF(Inputs!ER38="Yes",999999,IF(Inputs!$F$118&gt;MAX(Pile!$DG$156:$DG$235),999999,IF(Pile!ES406/(Pile!EP406/1000)&gt;50,999999,IF(Pile!ES406&lt;2,999999,Pile!ES406))))</f>
        <v>999999</v>
      </c>
      <c r="EW406" s="504">
        <f>IF(Inputs!$F$118/2&gt;MAX(Pile!$DH$242:$DH$321),999999,IF(Pile!ET406/(Pile!EP406/1000)&gt;50,999999,IF(Pile!ET406&lt;2,999999,IF(ET406&gt;25,999999,Pile!ET406))))</f>
        <v>999999</v>
      </c>
      <c r="EX406" s="506">
        <f t="shared" si="451"/>
        <v>2261944.4486379405</v>
      </c>
      <c r="EY406" s="504">
        <f t="shared" si="452"/>
        <v>2261944.4486379405</v>
      </c>
      <c r="EZ406" s="505">
        <f t="shared" si="453"/>
        <v>2261944.4486379405</v>
      </c>
      <c r="FA406" s="585"/>
      <c r="FB406" s="585"/>
    </row>
    <row r="407" spans="2:158" ht="15">
      <c r="B407" s="491">
        <v>2</v>
      </c>
      <c r="C407" s="476">
        <v>750</v>
      </c>
      <c r="D407" s="503">
        <f>Inputs!$D$41*2</f>
        <v>8</v>
      </c>
      <c r="E407" s="504">
        <f>_xlfn.MINIFS($DE$70:$DE$149,$DI$70:$DI$149,"&gt;"&amp;Inputs!$I$41)</f>
        <v>3.299999999999998</v>
      </c>
      <c r="F407" s="504">
        <f>_xlfn.MINIFS($DE$156:$DE$235,$DI$156:$DI$235,"&gt;"&amp;Inputs!$I$41)</f>
        <v>2.9999999999999982</v>
      </c>
      <c r="G407" s="505">
        <f>_xlfn.MINIFS($DE$242:$DE$321,$DI$242:$DI$321,"&gt;"&amp;Inputs!$I$41)</f>
        <v>3.299999999999998</v>
      </c>
      <c r="H407" s="506">
        <f>IF(Inputs!$F$41/2&gt;MAX(Pile!$DI$70:$DI$149),999999,IF(Pile!E407/(Pile!C407/1000)&gt;50,999999,IF(Pile!E407&lt;2,999999,Pile!E407)))</f>
        <v>3.299999999999998</v>
      </c>
      <c r="I407" s="504">
        <f>IF(Inputs!E39="Yes",999999,IF(Pile!F407/(Pile!C407/1000)&gt;50,999999,IF(Pile!F407&lt;2,999999,Pile!F407)))</f>
        <v>2.9999999999999982</v>
      </c>
      <c r="J407" s="504">
        <f>IF(Inputs!$F$41/2&gt;MAX(Pile!$DI$242:$DI$321),999999,IF(Pile!G407/(Pile!C407/1000)&gt;50,999999,IF(Pile!G407&lt;2,999999,IF(G407&gt;25,999999,Pile!G407))))</f>
        <v>3.299999999999998</v>
      </c>
      <c r="K407" s="506">
        <f t="shared" si="454"/>
        <v>36.6111627264521</v>
      </c>
      <c r="L407" s="504">
        <f t="shared" si="455"/>
        <v>35.550875205865545</v>
      </c>
      <c r="M407" s="505">
        <f t="shared" si="456"/>
        <v>36.6111627264521</v>
      </c>
      <c r="N407" s="585">
        <f>Inputs!$D$41*E461</f>
        <v>24.948</v>
      </c>
      <c r="O407" s="491">
        <v>2</v>
      </c>
      <c r="P407" s="476">
        <v>750</v>
      </c>
      <c r="Q407" s="503">
        <f>Inputs!$D$41*2</f>
        <v>8</v>
      </c>
      <c r="R407" s="504">
        <f>_xlfn.MINIFS($DE$70:$DE$149,$DI$70:$DI$149,"&gt;"&amp;Inputs!$I$48)</f>
        <v>3.299999999999998</v>
      </c>
      <c r="S407" s="504">
        <f>_xlfn.MINIFS($DE$156:$DE$235,$DI$156:$DI$235,"&gt;"&amp;Inputs!$I$48)</f>
        <v>2.9999999999999982</v>
      </c>
      <c r="T407" s="505">
        <f>_xlfn.MINIFS($DE$242:$DE$321,$DI$242:$DI$321,"&gt;"&amp;Inputs!$I$48)</f>
        <v>3.299999999999998</v>
      </c>
      <c r="U407" s="506">
        <f>IF(Inputs!$F$48/2&gt;MAX(Pile!$DI$70:$DI$149),999999,IF(Pile!R407/(Pile!P407/1000)&gt;50,999999,IF(Pile!R407&lt;2,999999,Pile!R407)))</f>
        <v>3.299999999999998</v>
      </c>
      <c r="V407" s="504">
        <f>IF(Inputs!R39="Yes",999999,IF(Pile!S407/(Pile!P407/1000)&gt;50,999999,IF(Pile!S407&lt;2,999999,Pile!S407)))</f>
        <v>2.9999999999999982</v>
      </c>
      <c r="W407" s="504">
        <f>IF(Inputs!$F$48/2&gt;MAX(Pile!$DI$242:$DI$321),999999,IF(Pile!T407/(Pile!P407/1000)&gt;50,999999,IF(Pile!T407&lt;2,999999,IF(T407&gt;25,999999,Pile!T407))))</f>
        <v>3.299999999999998</v>
      </c>
      <c r="X407" s="506">
        <f t="shared" si="457"/>
        <v>36.6111627264521</v>
      </c>
      <c r="Y407" s="504">
        <f t="shared" si="458"/>
        <v>35.550875205865545</v>
      </c>
      <c r="Z407" s="505">
        <f t="shared" si="459"/>
        <v>36.6111627264521</v>
      </c>
      <c r="AA407" s="467">
        <f t="shared" si="496"/>
        <v>24.948</v>
      </c>
      <c r="AB407" s="497">
        <v>2</v>
      </c>
      <c r="AC407" s="479">
        <v>750</v>
      </c>
      <c r="AD407" s="507">
        <f>Inputs!$D$41*2</f>
        <v>8</v>
      </c>
      <c r="AE407" s="504">
        <f>_xlfn.MINIFS($DE$70:$DE$149,$DI$70:$DI$149,"&gt;"&amp;Inputs!$I$55)</f>
        <v>3.299999999999998</v>
      </c>
      <c r="AF407" s="504">
        <f>_xlfn.MINIFS($DE$156:$DE$235,$DI$156:$DI$235,"&gt;"&amp;Inputs!$I$55)</f>
        <v>2.9999999999999982</v>
      </c>
      <c r="AG407" s="505">
        <f>_xlfn.MINIFS($DE$242:$DE$321,$DI$242:$DI$321,"&gt;"&amp;Inputs!$I$55)</f>
        <v>3.299999999999998</v>
      </c>
      <c r="AH407" s="506">
        <f>IF(Inputs!$F$55/2&gt;MAX(Pile!$DI$70:$DI$149),999999,IF(Pile!AE407/(Pile!AC407/1000)&gt;50,999999,IF(Pile!AE407&lt;2,999999,Pile!AE407)))</f>
        <v>3.299999999999998</v>
      </c>
      <c r="AI407" s="504">
        <f>IF(Inputs!AE39="Yes",999999,IF(Pile!AF407/(Pile!AC407/1000)&gt;50,999999,IF(Pile!AF407&lt;2,999999,Pile!AF407)))</f>
        <v>2.9999999999999982</v>
      </c>
      <c r="AJ407" s="504">
        <f>IF(Inputs!$F$55/2&gt;MAX(Pile!$DI$242:$DI$321),999999,IF(Pile!AG407/(Pile!AC407/1000)&gt;50,999999,IF(Pile!AG407&lt;2,999999,IF(AG407&gt;25,999999,Pile!AG407))))</f>
        <v>3.299999999999998</v>
      </c>
      <c r="AK407" s="506">
        <f t="shared" si="460"/>
        <v>36.6111627264521</v>
      </c>
      <c r="AL407" s="504">
        <f t="shared" si="461"/>
        <v>35.550875205865545</v>
      </c>
      <c r="AM407" s="505">
        <f t="shared" si="462"/>
        <v>36.6111627264521</v>
      </c>
      <c r="AN407" s="586">
        <f t="shared" si="463"/>
        <v>24.948</v>
      </c>
      <c r="AO407" s="497">
        <v>2</v>
      </c>
      <c r="AP407" s="479">
        <v>750</v>
      </c>
      <c r="AQ407" s="507">
        <f>Inputs!$D$41*2</f>
        <v>8</v>
      </c>
      <c r="AR407" s="504">
        <f>_xlfn.MINIFS($DE$70:$DE$149,$DI$70:$DI$149,"&gt;"&amp;Inputs!$I$62)</f>
        <v>3.299999999999998</v>
      </c>
      <c r="AS407" s="504">
        <f>_xlfn.MINIFS($DE$156:$DE$235,$DI$156:$DI$235,"&gt;"&amp;Inputs!$I$62)</f>
        <v>2.9999999999999982</v>
      </c>
      <c r="AT407" s="505">
        <f>_xlfn.MINIFS($DE$242:$DE$321,$DI$242:$DI$321,"&gt;"&amp;Inputs!$I$62)</f>
        <v>3.299999999999998</v>
      </c>
      <c r="AU407" s="506">
        <f>IF(Inputs!$F$62/2&gt;MAX(Pile!$DI$70:$DI$149),999999,IF(Pile!AR407/(Pile!AP407/1000)&gt;50,999999,IF(Pile!AR407&lt;2,999999,Pile!AR407)))</f>
        <v>3.299999999999998</v>
      </c>
      <c r="AV407" s="504">
        <f>IF(Inputs!AR39="Yes",999999,IF(Pile!AS407/(Pile!AP407/1000)&gt;50,999999,IF(Pile!AS407&lt;2,999999,Pile!AS407)))</f>
        <v>2.9999999999999982</v>
      </c>
      <c r="AW407" s="504">
        <f>IF(Inputs!$F$62/2&gt;MAX(Pile!$DI$242:$DI$321),999999,IF(Pile!AT407/(Pile!AP407/1000)&gt;50,999999,IF(Pile!AT407&lt;2,999999,IF(AT407&gt;25,999999,Pile!AT407))))</f>
        <v>3.299999999999998</v>
      </c>
      <c r="AX407" s="506">
        <f t="shared" si="464"/>
        <v>36.6111627264521</v>
      </c>
      <c r="AY407" s="504">
        <f t="shared" si="465"/>
        <v>35.550875205865545</v>
      </c>
      <c r="AZ407" s="505">
        <f t="shared" si="466"/>
        <v>36.6111627264521</v>
      </c>
      <c r="BA407" s="586">
        <f t="shared" si="467"/>
        <v>24.948</v>
      </c>
      <c r="BB407" s="497">
        <v>2</v>
      </c>
      <c r="BC407" s="479">
        <v>750</v>
      </c>
      <c r="BD407" s="507">
        <f>Inputs!$D$41*2</f>
        <v>8</v>
      </c>
      <c r="BE407" s="504">
        <f>_xlfn.MINIFS($DE$70:$DE$149,$DI$70:$DI$149,"&gt;"&amp;Inputs!$I$69)</f>
        <v>3.299999999999998</v>
      </c>
      <c r="BF407" s="504">
        <f>_xlfn.MINIFS($DE$156:$DE$235,$DI$156:$DI$235,"&gt;"&amp;Inputs!$I$69)</f>
        <v>2.9999999999999982</v>
      </c>
      <c r="BG407" s="505">
        <f>_xlfn.MINIFS($DE$242:$DE$321,$DI$242:$DI$321,"&gt;"&amp;Inputs!$I$69)</f>
        <v>3.299999999999998</v>
      </c>
      <c r="BH407" s="506">
        <f>IF(Inputs!$F$69/2&gt;MAX(Pile!$DI$70:$DI$149),999999,IF(Pile!BE407/(Pile!BC407/1000)&gt;50,999999,IF(Pile!BE407&lt;2,999999,Pile!BE407)))</f>
        <v>3.299999999999998</v>
      </c>
      <c r="BI407" s="504">
        <f>IF(Inputs!BE39="Yes",999999,IF(Pile!BF407/(Pile!BC407/1000)&gt;50,999999,IF(Pile!BF407&lt;2,999999,Pile!BF407)))</f>
        <v>2.9999999999999982</v>
      </c>
      <c r="BJ407" s="504">
        <f>IF(Inputs!$F$69/2&gt;MAX(Pile!$DI$242:$DI$321),999999,IF(Pile!BG407/(Pile!BC407/1000)&gt;50,999999,IF(Pile!BG407&lt;2,999999,IF(BG407&gt;25,999999,Pile!BG407))))</f>
        <v>3.299999999999998</v>
      </c>
      <c r="BK407" s="506">
        <f t="shared" si="468"/>
        <v>36.6111627264521</v>
      </c>
      <c r="BL407" s="504">
        <f t="shared" si="469"/>
        <v>35.550875205865545</v>
      </c>
      <c r="BM407" s="505">
        <f t="shared" si="470"/>
        <v>36.6111627264521</v>
      </c>
      <c r="BN407" s="586">
        <f t="shared" si="471"/>
        <v>24.948</v>
      </c>
      <c r="BO407" s="497">
        <v>2</v>
      </c>
      <c r="BP407" s="479">
        <v>750</v>
      </c>
      <c r="BQ407" s="507">
        <f>Inputs!$D$41*2</f>
        <v>8</v>
      </c>
      <c r="BR407" s="504">
        <f>_xlfn.MINIFS($DE$70:$DE$149,$DI$70:$DI$149,"&gt;"&amp;Inputs!$I$76)</f>
        <v>3.299999999999998</v>
      </c>
      <c r="BS407" s="504">
        <f>_xlfn.MINIFS($DE$156:$DE$235,$DI$156:$DI$235,"&gt;"&amp;Inputs!$I$76)</f>
        <v>2.9999999999999982</v>
      </c>
      <c r="BT407" s="505">
        <f>_xlfn.MINIFS($DE$242:$DE$321,$DI$242:$DI$321,"&gt;"&amp;Inputs!$I$76)</f>
        <v>3.299999999999998</v>
      </c>
      <c r="BU407" s="506">
        <f>IF(Inputs!$F$76/2&gt;MAX(Pile!$DI$70:$DI$149),999999,IF(Pile!BR407/(Pile!BP407/1000)&gt;50,999999,IF(Pile!BR407&lt;2,999999,Pile!BR407)))</f>
        <v>3.299999999999998</v>
      </c>
      <c r="BV407" s="504">
        <f>IF(Inputs!BR39="Yes",999999,IF(Pile!BS407/(Pile!BP407/1000)&gt;50,999999,IF(Pile!BS407&lt;2,999999,Pile!BS407)))</f>
        <v>2.9999999999999982</v>
      </c>
      <c r="BW407" s="504">
        <f>IF(Inputs!$F$76/2&gt;MAX(Pile!$DI$242:$DI$321),999999,IF(Pile!BT407/(Pile!BP407/1000)&gt;50,999999,IF(Pile!BT407&lt;2,999999,IF(BT407&gt;25,999999,Pile!BT407))))</f>
        <v>3.299999999999998</v>
      </c>
      <c r="BX407" s="506">
        <f t="shared" si="472"/>
        <v>36.6111627264521</v>
      </c>
      <c r="BY407" s="504">
        <f t="shared" si="473"/>
        <v>35.550875205865545</v>
      </c>
      <c r="BZ407" s="505">
        <f t="shared" si="474"/>
        <v>36.6111627264521</v>
      </c>
      <c r="CA407" s="586">
        <f t="shared" si="475"/>
        <v>24.948</v>
      </c>
      <c r="CB407" s="497">
        <v>2</v>
      </c>
      <c r="CC407" s="479">
        <v>750</v>
      </c>
      <c r="CD407" s="507">
        <f>Inputs!$D$41*2</f>
        <v>8</v>
      </c>
      <c r="CE407" s="504">
        <f>_xlfn.MINIFS($DE$70:$DE$149,$DI$70:$DI$149,"&gt;"&amp;Inputs!$I$83)</f>
        <v>2.3999999999999986</v>
      </c>
      <c r="CF407" s="504">
        <f>_xlfn.MINIFS($DE$156:$DE$235,$DI$156:$DI$235,"&gt;"&amp;Inputs!$I$83)</f>
        <v>2.0999999999999988</v>
      </c>
      <c r="CG407" s="505">
        <f>_xlfn.MINIFS($DE$242:$DE$321,$DI$242:$DI$321,"&gt;"&amp;Inputs!$I$83)</f>
        <v>2.3999999999999986</v>
      </c>
      <c r="CH407" s="506">
        <f>IF(Inputs!$F$83/2&gt;MAX(Pile!$DI$70:$DI$149),999999,IF(Pile!CE407/(Pile!CC407/1000)&gt;50,999999,IF(Pile!CE407&lt;2,999999,Pile!CE407)))</f>
        <v>2.3999999999999986</v>
      </c>
      <c r="CI407" s="504">
        <f>IF(Inputs!CE39="Yes",999999,IF(Pile!CF407/(Pile!CC407/1000)&gt;50,999999,IF(Pile!CF407&lt;2,999999,Pile!CF407)))</f>
        <v>2.0999999999999988</v>
      </c>
      <c r="CJ407" s="504">
        <f>IF(Inputs!$F$83/2&gt;MAX(Pile!$DI$242:$DI$321),999999,IF(Pile!CG407/(Pile!CC407/1000)&gt;50,999999,IF(Pile!CG407&lt;2,999999,IF(CG407&gt;25,999999,Pile!CG407))))</f>
        <v>2.3999999999999986</v>
      </c>
      <c r="CK407" s="506">
        <f t="shared" si="476"/>
        <v>33.43030016469244</v>
      </c>
      <c r="CL407" s="504">
        <f t="shared" si="477"/>
        <v>32.370012644105884</v>
      </c>
      <c r="CM407" s="505">
        <f t="shared" si="478"/>
        <v>33.43030016469244</v>
      </c>
      <c r="CN407" s="586">
        <f t="shared" si="479"/>
        <v>24.948</v>
      </c>
      <c r="CO407" s="497">
        <v>2</v>
      </c>
      <c r="CP407" s="479">
        <v>750</v>
      </c>
      <c r="CQ407" s="507">
        <f>Inputs!$D$41*2</f>
        <v>8</v>
      </c>
      <c r="CR407" s="504">
        <f>_xlfn.MINIFS($DE$70:$DE$149,$DI$70:$DI$149,"&gt;"&amp;Inputs!$I$90)</f>
        <v>2.3999999999999986</v>
      </c>
      <c r="CS407" s="504">
        <f>_xlfn.MINIFS($DE$156:$DE$235,$DI$156:$DI$235,"&gt;"&amp;Inputs!$I$90)</f>
        <v>2.0999999999999988</v>
      </c>
      <c r="CT407" s="505">
        <f>_xlfn.MINIFS($DE$242:$DE$321,$DI$242:$DI$321,"&gt;"&amp;Inputs!$I$90)</f>
        <v>2.0999999999999988</v>
      </c>
      <c r="CU407" s="506">
        <f>IF(Inputs!$F$90/2&gt;MAX(Pile!$DI$70:$DI$149),999999,IF(Pile!CR407/(Pile!CP407/1000)&gt;50,999999,IF(Pile!CR407&lt;2,999999,Pile!CR407)))</f>
        <v>2.3999999999999986</v>
      </c>
      <c r="CV407" s="504">
        <f>IF(Inputs!CR39="Yes",999999,IF(Pile!CS407/(Pile!CP407/1000)&gt;50,999999,IF(Pile!CS407&lt;2,999999,Pile!CS407)))</f>
        <v>2.0999999999999988</v>
      </c>
      <c r="CW407" s="504">
        <f>IF(Inputs!$F$90/2&gt;MAX(Pile!$DI$242:$DI$321),999999,IF(Pile!CT407/(Pile!CP407/1000)&gt;50,999999,IF(Pile!CT407&lt;2,999999,IF(CT407&gt;25,999999,Pile!CT407))))</f>
        <v>2.0999999999999988</v>
      </c>
      <c r="CX407" s="506">
        <f t="shared" si="480"/>
        <v>33.43030016469244</v>
      </c>
      <c r="CY407" s="504">
        <f t="shared" si="481"/>
        <v>32.370012644105884</v>
      </c>
      <c r="CZ407" s="505">
        <f t="shared" si="482"/>
        <v>32.370012644105884</v>
      </c>
      <c r="DA407" s="586">
        <f t="shared" si="483"/>
        <v>24.948</v>
      </c>
      <c r="DB407" s="497">
        <v>2</v>
      </c>
      <c r="DC407" s="479">
        <v>750</v>
      </c>
      <c r="DD407" s="507">
        <f>Inputs!$D$41*2</f>
        <v>8</v>
      </c>
      <c r="DE407" s="504">
        <f>_xlfn.MINIFS($DE$70:$DE$149,$DI$70:$DI$149,"&gt;"&amp;Inputs!$I$97)</f>
        <v>2.3999999999999986</v>
      </c>
      <c r="DF407" s="504">
        <f>_xlfn.MINIFS($DE$156:$DE$235,$DI$156:$DI$235,"&gt;"&amp;Inputs!$I$97)</f>
        <v>2.0999999999999988</v>
      </c>
      <c r="DG407" s="505">
        <f>_xlfn.MINIFS($DE$242:$DE$321,$DI$242:$DI$321,"&gt;"&amp;Inputs!$I$97)</f>
        <v>2.0999999999999988</v>
      </c>
      <c r="DH407" s="506">
        <f>IF(Inputs!$F$97/2&gt;MAX(Pile!$DI$70:$DI$149),999999,IF(Pile!DE407/(Pile!DC407/1000)&gt;50,999999,IF(Pile!DE407&lt;2,999999,Pile!DE407)))</f>
        <v>2.3999999999999986</v>
      </c>
      <c r="DI407" s="504">
        <f>IF(Inputs!DE39="Yes",999999,IF(Pile!DF407/(Pile!DC407/1000)&gt;50,999999,IF(Pile!DF407&lt;2,999999,Pile!DF407)))</f>
        <v>2.0999999999999988</v>
      </c>
      <c r="DJ407" s="504">
        <f>IF(Inputs!$F$97/2&gt;MAX(Pile!$DI$242:$DI$321),999999,IF(Pile!DG407/(Pile!DC407/1000)&gt;50,999999,IF(Pile!DG407&lt;2,999999,IF(DG407&gt;25,999999,Pile!DG407))))</f>
        <v>2.0999999999999988</v>
      </c>
      <c r="DK407" s="506">
        <f t="shared" si="484"/>
        <v>33.43030016469244</v>
      </c>
      <c r="DL407" s="504">
        <f t="shared" si="485"/>
        <v>32.370012644105884</v>
      </c>
      <c r="DM407" s="505">
        <f t="shared" si="486"/>
        <v>32.370012644105884</v>
      </c>
      <c r="DN407" s="586">
        <f t="shared" si="487"/>
        <v>24.948</v>
      </c>
      <c r="DO407" s="497">
        <v>2</v>
      </c>
      <c r="DP407" s="479">
        <v>750</v>
      </c>
      <c r="DQ407" s="507">
        <f>Inputs!$D$41*2</f>
        <v>8</v>
      </c>
      <c r="DR407" s="504">
        <f>_xlfn.MINIFS($DE$70:$DE$149,$DI$70:$DI$149,"&gt;"&amp;Inputs!$I$104)</f>
        <v>1.7999999999999989</v>
      </c>
      <c r="DS407" s="504">
        <f>_xlfn.MINIFS($DE$156:$DE$235,$DI$156:$DI$235,"&gt;"&amp;Inputs!$I$104)</f>
        <v>1.7999999999999989</v>
      </c>
      <c r="DT407" s="505">
        <f>_xlfn.MINIFS($DE$242:$DE$321,$DI$242:$DI$321,"&gt;"&amp;Inputs!$I$104)</f>
        <v>1.7999999999999989</v>
      </c>
      <c r="DU407" s="506">
        <f>IF(Inputs!$F$104/2&gt;MAX(Pile!$DI$70:$DI$149),999999,IF(Pile!DR407/(Pile!DP407/1000)&gt;50,999999,IF(Pile!DR407&lt;2,999999,Pile!DR407)))</f>
        <v>999999</v>
      </c>
      <c r="DV407" s="504">
        <f>IF(Inputs!DR39="Yes",999999,IF(Pile!DS407/(Pile!DP407/1000)&gt;50,999999,IF(Pile!DS407&lt;2,999999,Pile!DS407)))</f>
        <v>999999</v>
      </c>
      <c r="DW407" s="504">
        <f>IF(Inputs!$F$104/2&gt;MAX(Pile!$DI$242:$DI$321),999999,IF(Pile!DT407/(Pile!DP407/1000)&gt;50,999999,IF(Pile!DT407&lt;2,999999,IF(DT407&gt;25,999999,Pile!DT407))))</f>
        <v>999999</v>
      </c>
      <c r="DX407" s="506">
        <f t="shared" si="488"/>
        <v>3534313.148996782</v>
      </c>
      <c r="DY407" s="504">
        <f t="shared" si="489"/>
        <v>3534313.148996782</v>
      </c>
      <c r="DZ407" s="505">
        <f t="shared" si="490"/>
        <v>3534313.148996782</v>
      </c>
      <c r="EA407" s="586">
        <f t="shared" si="491"/>
        <v>24.948</v>
      </c>
      <c r="EB407" s="497">
        <v>2</v>
      </c>
      <c r="EC407" s="479">
        <v>750</v>
      </c>
      <c r="ED407" s="507">
        <f>Inputs!$D$41*2</f>
        <v>8</v>
      </c>
      <c r="EE407" s="504">
        <f>_xlfn.MINIFS($DE$70:$DE$149,$DI$70:$DI$149,"&gt;"&amp;Inputs!$I$111)</f>
        <v>2.0999999999999988</v>
      </c>
      <c r="EF407" s="504">
        <f>_xlfn.MINIFS($DE$156:$DE$235,$DI$156:$DI$235,"&gt;"&amp;Inputs!$I$111)</f>
        <v>1.7999999999999989</v>
      </c>
      <c r="EG407" s="505">
        <f>_xlfn.MINIFS($DE$242:$DE$321,$DI$242:$DI$321,"&gt;"&amp;Inputs!$I$111)</f>
        <v>1.7999999999999989</v>
      </c>
      <c r="EH407" s="506">
        <f>IF(Inputs!$F$111/2&gt;MAX(Pile!$DI$70:$DI$149),999999,IF(Pile!EE407/(Pile!EC407/1000)&gt;50,999999,IF(Pile!EE407&lt;2,999999,Pile!EE407)))</f>
        <v>2.0999999999999988</v>
      </c>
      <c r="EI407" s="504">
        <f>IF(Inputs!EE39="Yes",999999,IF(Pile!EF407/(Pile!EC407/1000)&gt;50,999999,IF(Pile!EF407&lt;2,999999,Pile!EF407)))</f>
        <v>999999</v>
      </c>
      <c r="EJ407" s="504">
        <f>IF(Inputs!$F$111/2&gt;MAX(Pile!$DI$242:$DI$321),999999,IF(Pile!EG407/(Pile!EC407/1000)&gt;50,999999,IF(Pile!EG407&lt;2,999999,IF(EG407&gt;25,999999,Pile!EG407))))</f>
        <v>999999</v>
      </c>
      <c r="EK407" s="506">
        <f t="shared" si="492"/>
        <v>32.370012644105884</v>
      </c>
      <c r="EL407" s="504">
        <f t="shared" si="493"/>
        <v>3534313.148996782</v>
      </c>
      <c r="EM407" s="505">
        <f t="shared" si="494"/>
        <v>3534313.148996782</v>
      </c>
      <c r="EN407" s="586">
        <f t="shared" si="495"/>
        <v>24.948</v>
      </c>
      <c r="EO407" s="497">
        <v>2</v>
      </c>
      <c r="EP407" s="479">
        <v>750</v>
      </c>
      <c r="EQ407" s="507">
        <f>Inputs!$D$41*2</f>
        <v>8</v>
      </c>
      <c r="ER407" s="504">
        <f>_xlfn.MINIFS($DE$70:$DE$149,$DI$70:$DI$149,"&gt;"&amp;Inputs!$I$118)</f>
        <v>0.29999999999999982</v>
      </c>
      <c r="ES407" s="504">
        <f>_xlfn.MINIFS($DE$156:$DE$235,$DI$156:$DI$235,"&gt;"&amp;Inputs!$I$118)</f>
        <v>0.29999999999999982</v>
      </c>
      <c r="ET407" s="505">
        <f>_xlfn.MINIFS($DE$242:$DE$321,$DI$242:$DI$321,"&gt;"&amp;Inputs!$I$118)</f>
        <v>0.29999999999999982</v>
      </c>
      <c r="EU407" s="506">
        <f>IF(Inputs!$F$118/2&gt;MAX(Pile!$DI$70:$DI$149),999999,IF(Pile!ER407/(Pile!EP407/1000)&gt;50,999999,IF(Pile!ER407&lt;2,999999,Pile!ER407)))</f>
        <v>999999</v>
      </c>
      <c r="EV407" s="504">
        <f>IF(Inputs!ER39="Yes",999999,IF(Inputs!$F$118&gt;MAX(Pile!$DG$156:$DG$235),999999,IF(Pile!ES407/(Pile!EP407/1000)&gt;50,999999,IF(Pile!ES407&lt;2,999999,Pile!ES407))))</f>
        <v>999999</v>
      </c>
      <c r="EW407" s="504">
        <f>IF(Inputs!$F$118/2&gt;MAX(Pile!$DI$242:$DI$321),999999,IF(Pile!ET407/(Pile!EP407/1000)&gt;50,999999,IF(Pile!ET407&lt;2,999999,IF(ET407&gt;25,999999,Pile!ET407))))</f>
        <v>999999</v>
      </c>
      <c r="EX407" s="506">
        <f t="shared" si="451"/>
        <v>3534288.2009967822</v>
      </c>
      <c r="EY407" s="504">
        <f t="shared" si="452"/>
        <v>3534288.2009967822</v>
      </c>
      <c r="EZ407" s="505">
        <f t="shared" si="453"/>
        <v>3534288.2009967822</v>
      </c>
      <c r="FA407" s="585"/>
      <c r="FB407" s="585"/>
    </row>
    <row r="408" spans="2:158" ht="15">
      <c r="B408" s="491">
        <v>2</v>
      </c>
      <c r="C408" s="476">
        <v>900</v>
      </c>
      <c r="D408" s="503">
        <f>Inputs!$D$41*2</f>
        <v>8</v>
      </c>
      <c r="E408" s="504">
        <f>_xlfn.MINIFS($DE$70:$DE$149,$DJ$70:$DJ$149,"&gt;"&amp;Inputs!$I$41)</f>
        <v>2.6999999999999984</v>
      </c>
      <c r="F408" s="504">
        <f>_xlfn.MINIFS($DE$156:$DE$235,$DJ$156:$DJ$235,"&gt;"&amp;Inputs!$I$41)</f>
        <v>0</v>
      </c>
      <c r="G408" s="505">
        <f>_xlfn.MINIFS($DE$242:$DE$321,$DJ$242:$DJ$321,"&gt;"&amp;Inputs!$I$41)</f>
        <v>2.3999999999999986</v>
      </c>
      <c r="H408" s="506">
        <f>IF(Inputs!$F$41/2&gt;MAX(Pile!$DJ$70:$DJ$149),999999,IF(Pile!E408/(Pile!C408/1000)&gt;50,999999,IF(Pile!E408&lt;2,999999,Pile!E408)))</f>
        <v>2.6999999999999984</v>
      </c>
      <c r="I408" s="504">
        <f>IF(Inputs!E40="Yes",999999,IF(Pile!F408/(Pile!C408/1000)&gt;50,999999,IF(Pile!F408&lt;2,999999,Pile!F408)))</f>
        <v>999999</v>
      </c>
      <c r="J408" s="504">
        <f>IF(Inputs!$F$41/2&gt;MAX(Pile!$DJ$242:$DJ$321),999999,IF(Pile!G408/(Pile!C408/1000)&gt;50,999999,IF(Pile!G408&lt;2,999999,IF(G408&gt;25,999999,Pile!G408))))</f>
        <v>2.3999999999999986</v>
      </c>
      <c r="K408" s="506">
        <f t="shared" si="454"/>
        <v>54.925326266801747</v>
      </c>
      <c r="L408" s="504">
        <f t="shared" si="455"/>
        <v>5089416.1934353672</v>
      </c>
      <c r="M408" s="505">
        <f t="shared" si="456"/>
        <v>53.398512237157107</v>
      </c>
      <c r="N408" s="585">
        <f>Inputs!$D$41*E462</f>
        <v>41.183999999999997</v>
      </c>
      <c r="O408" s="491">
        <v>2</v>
      </c>
      <c r="P408" s="476">
        <v>900</v>
      </c>
      <c r="Q408" s="503">
        <f>Inputs!$D$41*2</f>
        <v>8</v>
      </c>
      <c r="R408" s="504">
        <f>_xlfn.MINIFS($DE$70:$DE$149,$DJ$70:$DJ$149,"&gt;"&amp;Inputs!$I$48)</f>
        <v>2.3999999999999986</v>
      </c>
      <c r="S408" s="504">
        <f>_xlfn.MINIFS($DE$156:$DE$235,$DJ$156:$DJ$235,"&gt;"&amp;Inputs!$I$48)</f>
        <v>0</v>
      </c>
      <c r="T408" s="505">
        <f>_xlfn.MINIFS($DE$242:$DE$321,$DJ$242:$DJ$321,"&gt;"&amp;Inputs!$I$48)</f>
        <v>2.3999999999999986</v>
      </c>
      <c r="U408" s="506">
        <f>IF(Inputs!$F$48/2&gt;MAX(Pile!$DJ$70:$DJ$149),999999,IF(Pile!R408/(Pile!P408/1000)&gt;50,999999,IF(Pile!R408&lt;2,999999,Pile!R408)))</f>
        <v>2.3999999999999986</v>
      </c>
      <c r="V408" s="504">
        <f>IF(Inputs!R40="Yes",999999,IF(Pile!S408/(Pile!P408/1000)&gt;50,999999,IF(Pile!S408&lt;2,999999,Pile!S408)))</f>
        <v>999999</v>
      </c>
      <c r="W408" s="504">
        <f>IF(Inputs!$F$48/2&gt;MAX(Pile!$DJ$242:$DJ$321),999999,IF(Pile!T408/(Pile!P408/1000)&gt;50,999999,IF(Pile!T408&lt;2,999999,IF(T408&gt;25,999999,Pile!T408))))</f>
        <v>2.3999999999999986</v>
      </c>
      <c r="X408" s="506">
        <f t="shared" si="457"/>
        <v>53.398512237157107</v>
      </c>
      <c r="Y408" s="504">
        <f t="shared" si="458"/>
        <v>5089416.1934353672</v>
      </c>
      <c r="Z408" s="505">
        <f t="shared" si="459"/>
        <v>53.398512237157107</v>
      </c>
      <c r="AA408" s="467">
        <f t="shared" si="496"/>
        <v>41.183999999999997</v>
      </c>
      <c r="AB408" s="497">
        <v>2</v>
      </c>
      <c r="AC408" s="479">
        <v>900</v>
      </c>
      <c r="AD408" s="507">
        <f>Inputs!$D$41*2</f>
        <v>8</v>
      </c>
      <c r="AE408" s="504">
        <f>_xlfn.MINIFS($DE$70:$DE$149,$DJ$70:$DJ$149,"&gt;"&amp;Inputs!$I$55)</f>
        <v>2.3999999999999986</v>
      </c>
      <c r="AF408" s="504">
        <f>_xlfn.MINIFS($DE$156:$DE$235,$DJ$156:$DJ$235,"&gt;"&amp;Inputs!$I$55)</f>
        <v>0</v>
      </c>
      <c r="AG408" s="505">
        <f>_xlfn.MINIFS($DE$242:$DE$321,$DJ$242:$DJ$321,"&gt;"&amp;Inputs!$I$55)</f>
        <v>2.3999999999999986</v>
      </c>
      <c r="AH408" s="506">
        <f>IF(Inputs!$F$55/2&gt;MAX(Pile!$DJ$70:$DJ$149),999999,IF(Pile!AE408/(Pile!AC408/1000)&gt;50,999999,IF(Pile!AE408&lt;2,999999,Pile!AE408)))</f>
        <v>2.3999999999999986</v>
      </c>
      <c r="AI408" s="504">
        <f>IF(Inputs!AE40="Yes",999999,IF(Pile!AF408/(Pile!AC408/1000)&gt;50,999999,IF(Pile!AF408&lt;2,999999,Pile!AF408)))</f>
        <v>999999</v>
      </c>
      <c r="AJ408" s="504">
        <f>IF(Inputs!$F$55/2&gt;MAX(Pile!$DJ$242:$DJ$321),999999,IF(Pile!AG408/(Pile!AC408/1000)&gt;50,999999,IF(Pile!AG408&lt;2,999999,IF(AG408&gt;25,999999,Pile!AG408))))</f>
        <v>2.3999999999999986</v>
      </c>
      <c r="AK408" s="506">
        <f t="shared" si="460"/>
        <v>53.398512237157107</v>
      </c>
      <c r="AL408" s="504">
        <f t="shared" si="461"/>
        <v>5089416.1934353672</v>
      </c>
      <c r="AM408" s="505">
        <f t="shared" si="462"/>
        <v>53.398512237157107</v>
      </c>
      <c r="AN408" s="586">
        <f t="shared" si="463"/>
        <v>41.183999999999997</v>
      </c>
      <c r="AO408" s="497">
        <v>2</v>
      </c>
      <c r="AP408" s="479">
        <v>900</v>
      </c>
      <c r="AQ408" s="507">
        <f>Inputs!$D$41*2</f>
        <v>8</v>
      </c>
      <c r="AR408" s="504">
        <f>_xlfn.MINIFS($DE$70:$DE$149,$DJ$70:$DJ$149,"&gt;"&amp;Inputs!$I$62)</f>
        <v>2.3999999999999986</v>
      </c>
      <c r="AS408" s="504">
        <f>_xlfn.MINIFS($DE$156:$DE$235,$DJ$156:$DJ$235,"&gt;"&amp;Inputs!$I$62)</f>
        <v>0</v>
      </c>
      <c r="AT408" s="505">
        <f>_xlfn.MINIFS($DE$242:$DE$321,$DJ$242:$DJ$321,"&gt;"&amp;Inputs!$I$62)</f>
        <v>2.3999999999999986</v>
      </c>
      <c r="AU408" s="506">
        <f>IF(Inputs!$F$62/2&gt;MAX(Pile!$DJ$70:$DJ$149),999999,IF(Pile!AR408/(Pile!AP408/1000)&gt;50,999999,IF(Pile!AR408&lt;2,999999,Pile!AR408)))</f>
        <v>2.3999999999999986</v>
      </c>
      <c r="AV408" s="504">
        <f>IF(Inputs!AR40="Yes",999999,IF(Pile!AS408/(Pile!AP408/1000)&gt;50,999999,IF(Pile!AS408&lt;2,999999,Pile!AS408)))</f>
        <v>999999</v>
      </c>
      <c r="AW408" s="504">
        <f>IF(Inputs!$F$62/2&gt;MAX(Pile!$DJ$242:$DJ$321),999999,IF(Pile!AT408/(Pile!AP408/1000)&gt;50,999999,IF(Pile!AT408&lt;2,999999,IF(AT408&gt;25,999999,Pile!AT408))))</f>
        <v>2.3999999999999986</v>
      </c>
      <c r="AX408" s="506">
        <f t="shared" si="464"/>
        <v>53.398512237157107</v>
      </c>
      <c r="AY408" s="504">
        <f t="shared" si="465"/>
        <v>5089416.1934353672</v>
      </c>
      <c r="AZ408" s="505">
        <f t="shared" si="466"/>
        <v>53.398512237157107</v>
      </c>
      <c r="BA408" s="586">
        <f t="shared" si="467"/>
        <v>41.183999999999997</v>
      </c>
      <c r="BB408" s="497">
        <v>2</v>
      </c>
      <c r="BC408" s="479">
        <v>900</v>
      </c>
      <c r="BD408" s="507">
        <f>Inputs!$D$41*2</f>
        <v>8</v>
      </c>
      <c r="BE408" s="504">
        <f>_xlfn.MINIFS($DE$70:$DE$149,$DJ$70:$DJ$149,"&gt;"&amp;Inputs!$I$69)</f>
        <v>2.3999999999999986</v>
      </c>
      <c r="BF408" s="504">
        <f>_xlfn.MINIFS($DE$156:$DE$235,$DJ$156:$DJ$235,"&gt;"&amp;Inputs!$I$69)</f>
        <v>0</v>
      </c>
      <c r="BG408" s="505">
        <f>_xlfn.MINIFS($DE$242:$DE$321,$DJ$242:$DJ$321,"&gt;"&amp;Inputs!$I$69)</f>
        <v>2.3999999999999986</v>
      </c>
      <c r="BH408" s="506">
        <f>IF(Inputs!$F$69/2&gt;MAX(Pile!$DJ$70:$DJ$149),999999,IF(Pile!BE408/(Pile!BC408/1000)&gt;50,999999,IF(Pile!BE408&lt;2,999999,Pile!BE408)))</f>
        <v>2.3999999999999986</v>
      </c>
      <c r="BI408" s="504">
        <f>IF(Inputs!BE40="Yes",999999,IF(Pile!BF408/(Pile!BC408/1000)&gt;50,999999,IF(Pile!BF408&lt;2,999999,Pile!BF408)))</f>
        <v>999999</v>
      </c>
      <c r="BJ408" s="504">
        <f>IF(Inputs!$F$69/2&gt;MAX(Pile!$DJ$242:$DJ$321),999999,IF(Pile!BG408/(Pile!BC408/1000)&gt;50,999999,IF(Pile!BG408&lt;2,999999,IF(BG408&gt;25,999999,Pile!BG408))))</f>
        <v>2.3999999999999986</v>
      </c>
      <c r="BK408" s="506">
        <f t="shared" si="468"/>
        <v>53.398512237157107</v>
      </c>
      <c r="BL408" s="504">
        <f t="shared" si="469"/>
        <v>5089416.1934353672</v>
      </c>
      <c r="BM408" s="505">
        <f t="shared" si="470"/>
        <v>53.398512237157107</v>
      </c>
      <c r="BN408" s="586">
        <f t="shared" si="471"/>
        <v>41.183999999999997</v>
      </c>
      <c r="BO408" s="497">
        <v>2</v>
      </c>
      <c r="BP408" s="479">
        <v>900</v>
      </c>
      <c r="BQ408" s="507">
        <f>Inputs!$D$41*2</f>
        <v>8</v>
      </c>
      <c r="BR408" s="504">
        <f>_xlfn.MINIFS($DE$70:$DE$149,$DJ$70:$DJ$149,"&gt;"&amp;Inputs!$I$76)</f>
        <v>2.3999999999999986</v>
      </c>
      <c r="BS408" s="504">
        <f>_xlfn.MINIFS($DE$156:$DE$235,$DJ$156:$DJ$235,"&gt;"&amp;Inputs!$I$76)</f>
        <v>0</v>
      </c>
      <c r="BT408" s="505">
        <f>_xlfn.MINIFS($DE$242:$DE$321,$DJ$242:$DJ$321,"&gt;"&amp;Inputs!$I$76)</f>
        <v>2.3999999999999986</v>
      </c>
      <c r="BU408" s="506">
        <f>IF(Inputs!$F$76/2&gt;MAX(Pile!$DJ$70:$DJ$149),999999,IF(Pile!BR408/(Pile!BP408/1000)&gt;50,999999,IF(Pile!BR408&lt;2,999999,Pile!BR408)))</f>
        <v>2.3999999999999986</v>
      </c>
      <c r="BV408" s="504">
        <f>IF(Inputs!BR40="Yes",999999,IF(Pile!BS408/(Pile!BP408/1000)&gt;50,999999,IF(Pile!BS408&lt;2,999999,Pile!BS408)))</f>
        <v>999999</v>
      </c>
      <c r="BW408" s="504">
        <f>IF(Inputs!$F$76/2&gt;MAX(Pile!$DJ$242:$DJ$321),999999,IF(Pile!BT408/(Pile!BP408/1000)&gt;50,999999,IF(Pile!BT408&lt;2,999999,IF(BT408&gt;25,999999,Pile!BT408))))</f>
        <v>2.3999999999999986</v>
      </c>
      <c r="BX408" s="506">
        <f t="shared" si="472"/>
        <v>53.398512237157107</v>
      </c>
      <c r="BY408" s="504">
        <f t="shared" si="473"/>
        <v>5089416.1934353672</v>
      </c>
      <c r="BZ408" s="505">
        <f t="shared" si="474"/>
        <v>53.398512237157107</v>
      </c>
      <c r="CA408" s="586">
        <f t="shared" si="475"/>
        <v>41.183999999999997</v>
      </c>
      <c r="CB408" s="497">
        <v>2</v>
      </c>
      <c r="CC408" s="479">
        <v>900</v>
      </c>
      <c r="CD408" s="507">
        <f>Inputs!$D$41*2</f>
        <v>8</v>
      </c>
      <c r="CE408" s="504">
        <f>_xlfn.MINIFS($DE$70:$DE$149,$DJ$70:$DJ$149,"&gt;"&amp;Inputs!$I$83)</f>
        <v>1.7999999999999989</v>
      </c>
      <c r="CF408" s="504">
        <f>_xlfn.MINIFS($DE$156:$DE$235,$DJ$156:$DJ$235,"&gt;"&amp;Inputs!$I$83)</f>
        <v>0</v>
      </c>
      <c r="CG408" s="505">
        <f>_xlfn.MINIFS($DE$242:$DE$321,$DJ$242:$DJ$321,"&gt;"&amp;Inputs!$I$83)</f>
        <v>1.7999999999999989</v>
      </c>
      <c r="CH408" s="506">
        <f>IF(Inputs!$F$83/2&gt;MAX(Pile!$DJ$70:$DJ$149),999999,IF(Pile!CE408/(Pile!CC408/1000)&gt;50,999999,IF(Pile!CE408&lt;2,999999,Pile!CE408)))</f>
        <v>999999</v>
      </c>
      <c r="CI408" s="504">
        <f>IF(Inputs!CE40="Yes",999999,IF(Pile!CF408/(Pile!CC408/1000)&gt;50,999999,IF(Pile!CF408&lt;2,999999,Pile!CF408)))</f>
        <v>999999</v>
      </c>
      <c r="CJ408" s="504">
        <f>IF(Inputs!$F$83/2&gt;MAX(Pile!$DJ$242:$DJ$321),999999,IF(Pile!CG408/(Pile!CC408/1000)&gt;50,999999,IF(Pile!CG408&lt;2,999999,IF(CG408&gt;25,999999,Pile!CG408))))</f>
        <v>999999</v>
      </c>
      <c r="CK408" s="506">
        <f t="shared" si="476"/>
        <v>5089416.1934353672</v>
      </c>
      <c r="CL408" s="504">
        <f t="shared" si="477"/>
        <v>5089416.1934353672</v>
      </c>
      <c r="CM408" s="505">
        <f t="shared" si="478"/>
        <v>5089416.1934353672</v>
      </c>
      <c r="CN408" s="586">
        <f t="shared" si="479"/>
        <v>41.183999999999997</v>
      </c>
      <c r="CO408" s="497">
        <v>2</v>
      </c>
      <c r="CP408" s="479">
        <v>900</v>
      </c>
      <c r="CQ408" s="507">
        <f>Inputs!$D$41*2</f>
        <v>8</v>
      </c>
      <c r="CR408" s="504">
        <f>_xlfn.MINIFS($DE$70:$DE$149,$DJ$70:$DJ$149,"&gt;"&amp;Inputs!$I$90)</f>
        <v>1.7999999999999989</v>
      </c>
      <c r="CS408" s="504">
        <f>_xlfn.MINIFS($DE$156:$DE$235,$DJ$156:$DJ$235,"&gt;"&amp;Inputs!$I$90)</f>
        <v>0</v>
      </c>
      <c r="CT408" s="505">
        <f>_xlfn.MINIFS($DE$242:$DE$321,$DJ$242:$DJ$321,"&gt;"&amp;Inputs!$I$90)</f>
        <v>1.7999999999999989</v>
      </c>
      <c r="CU408" s="506">
        <f>IF(Inputs!$F$90/2&gt;MAX(Pile!$DJ$70:$DJ$149),999999,IF(Pile!CR408/(Pile!CP408/1000)&gt;50,999999,IF(Pile!CR408&lt;2,999999,Pile!CR408)))</f>
        <v>999999</v>
      </c>
      <c r="CV408" s="504">
        <f>IF(Inputs!CR40="Yes",999999,IF(Pile!CS408/(Pile!CP408/1000)&gt;50,999999,IF(Pile!CS408&lt;2,999999,Pile!CS408)))</f>
        <v>999999</v>
      </c>
      <c r="CW408" s="504">
        <f>IF(Inputs!$F$90/2&gt;MAX(Pile!$DJ$242:$DJ$321),999999,IF(Pile!CT408/(Pile!CP408/1000)&gt;50,999999,IF(Pile!CT408&lt;2,999999,IF(CT408&gt;25,999999,Pile!CT408))))</f>
        <v>999999</v>
      </c>
      <c r="CX408" s="506">
        <f t="shared" si="480"/>
        <v>5089416.1934353672</v>
      </c>
      <c r="CY408" s="504">
        <f t="shared" si="481"/>
        <v>5089416.1934353672</v>
      </c>
      <c r="CZ408" s="505">
        <f t="shared" si="482"/>
        <v>5089416.1934353672</v>
      </c>
      <c r="DA408" s="586">
        <f t="shared" si="483"/>
        <v>41.183999999999997</v>
      </c>
      <c r="DB408" s="497">
        <v>2</v>
      </c>
      <c r="DC408" s="479">
        <v>900</v>
      </c>
      <c r="DD408" s="507">
        <f>Inputs!$D$41*2</f>
        <v>8</v>
      </c>
      <c r="DE408" s="504">
        <f>_xlfn.MINIFS($DE$70:$DE$149,$DJ$70:$DJ$149,"&gt;"&amp;Inputs!$I$97)</f>
        <v>1.7999999999999989</v>
      </c>
      <c r="DF408" s="504">
        <f>_xlfn.MINIFS($DE$156:$DE$235,$DJ$156:$DJ$235,"&gt;"&amp;Inputs!$I$97)</f>
        <v>0</v>
      </c>
      <c r="DG408" s="505">
        <f>_xlfn.MINIFS($DE$242:$DE$321,$DJ$242:$DJ$321,"&gt;"&amp;Inputs!$I$97)</f>
        <v>1.7999999999999989</v>
      </c>
      <c r="DH408" s="506">
        <f>IF(Inputs!$F$97/2&gt;MAX(Pile!$DJ$70:$DJ$149),999999,IF(Pile!DE408/(Pile!DC408/1000)&gt;50,999999,IF(Pile!DE408&lt;2,999999,Pile!DE408)))</f>
        <v>999999</v>
      </c>
      <c r="DI408" s="504">
        <f>IF(Inputs!DE40="Yes",999999,IF(Pile!DF408/(Pile!DC408/1000)&gt;50,999999,IF(Pile!DF408&lt;2,999999,Pile!DF408)))</f>
        <v>999999</v>
      </c>
      <c r="DJ408" s="504">
        <f>IF(Inputs!$F$97/2&gt;MAX(Pile!$DJ$242:$DJ$321),999999,IF(Pile!DG408/(Pile!DC408/1000)&gt;50,999999,IF(Pile!DG408&lt;2,999999,IF(DG408&gt;25,999999,Pile!DG408))))</f>
        <v>999999</v>
      </c>
      <c r="DK408" s="506">
        <f t="shared" si="484"/>
        <v>5089416.1934353672</v>
      </c>
      <c r="DL408" s="504">
        <f t="shared" si="485"/>
        <v>5089416.1934353672</v>
      </c>
      <c r="DM408" s="505">
        <f t="shared" si="486"/>
        <v>5089416.1934353672</v>
      </c>
      <c r="DN408" s="586">
        <f t="shared" si="487"/>
        <v>41.183999999999997</v>
      </c>
      <c r="DO408" s="497">
        <v>2</v>
      </c>
      <c r="DP408" s="479">
        <v>900</v>
      </c>
      <c r="DQ408" s="507">
        <f>Inputs!$D$41*2</f>
        <v>8</v>
      </c>
      <c r="DR408" s="504">
        <f>_xlfn.MINIFS($DE$70:$DE$149,$DJ$70:$DJ$149,"&gt;"&amp;Inputs!$I$104)</f>
        <v>1.4999999999999991</v>
      </c>
      <c r="DS408" s="504">
        <f>_xlfn.MINIFS($DE$156:$DE$235,$DJ$156:$DJ$235,"&gt;"&amp;Inputs!$I$104)</f>
        <v>0</v>
      </c>
      <c r="DT408" s="505">
        <f>_xlfn.MINIFS($DE$242:$DE$321,$DJ$242:$DJ$321,"&gt;"&amp;Inputs!$I$104)</f>
        <v>1.4999999999999991</v>
      </c>
      <c r="DU408" s="506">
        <f>IF(Inputs!$F$104/2&gt;MAX(Pile!$DJ$70:$DJ$149),999999,IF(Pile!DR408/(Pile!DP408/1000)&gt;50,999999,IF(Pile!DR408&lt;2,999999,Pile!DR408)))</f>
        <v>999999</v>
      </c>
      <c r="DV408" s="504">
        <f>IF(Inputs!DR40="Yes",999999,IF(Pile!DS408/(Pile!DP408/1000)&gt;50,999999,IF(Pile!DS408&lt;2,999999,Pile!DS408)))</f>
        <v>999999</v>
      </c>
      <c r="DW408" s="504">
        <f>IF(Inputs!$F$104/2&gt;MAX(Pile!$DJ$242:$DJ$321),999999,IF(Pile!DT408/(Pile!DP408/1000)&gt;50,999999,IF(Pile!DT408&lt;2,999999,IF(DT408&gt;25,999999,Pile!DT408))))</f>
        <v>999999</v>
      </c>
      <c r="DX408" s="506">
        <f t="shared" si="488"/>
        <v>5089416.1934353672</v>
      </c>
      <c r="DY408" s="504">
        <f t="shared" si="489"/>
        <v>5089416.1934353672</v>
      </c>
      <c r="DZ408" s="505">
        <f t="shared" si="490"/>
        <v>5089416.1934353672</v>
      </c>
      <c r="EA408" s="586">
        <f t="shared" si="491"/>
        <v>41.183999999999997</v>
      </c>
      <c r="EB408" s="497">
        <v>2</v>
      </c>
      <c r="EC408" s="479">
        <v>900</v>
      </c>
      <c r="ED408" s="507">
        <f>Inputs!$D$41*2</f>
        <v>8</v>
      </c>
      <c r="EE408" s="504">
        <f>_xlfn.MINIFS($DE$70:$DE$149,$DJ$70:$DJ$149,"&gt;"&amp;Inputs!$I$111)</f>
        <v>1.4999999999999991</v>
      </c>
      <c r="EF408" s="504">
        <f>_xlfn.MINIFS($DE$156:$DE$235,$DJ$156:$DJ$235,"&gt;"&amp;Inputs!$I$111)</f>
        <v>0</v>
      </c>
      <c r="EG408" s="505">
        <f>_xlfn.MINIFS($DE$242:$DE$321,$DJ$242:$DJ$321,"&gt;"&amp;Inputs!$I$111)</f>
        <v>1.4999999999999991</v>
      </c>
      <c r="EH408" s="506">
        <f>IF(Inputs!$F$111/2&gt;MAX(Pile!$DJ$70:$DJ$149),999999,IF(Pile!EE408/(Pile!EC408/1000)&gt;50,999999,IF(Pile!EE408&lt;2,999999,Pile!EE408)))</f>
        <v>999999</v>
      </c>
      <c r="EI408" s="504">
        <f>IF(Inputs!EE40="Yes",999999,IF(Pile!EF408/(Pile!EC408/1000)&gt;50,999999,IF(Pile!EF408&lt;2,999999,Pile!EF408)))</f>
        <v>999999</v>
      </c>
      <c r="EJ408" s="504">
        <f>IF(Inputs!$F$111/2&gt;MAX(Pile!$DJ$242:$DJ$321),999999,IF(Pile!EG408/(Pile!EC408/1000)&gt;50,999999,IF(Pile!EG408&lt;2,999999,IF(EG408&gt;25,999999,Pile!EG408))))</f>
        <v>999999</v>
      </c>
      <c r="EK408" s="506">
        <f t="shared" si="492"/>
        <v>5089416.1934353672</v>
      </c>
      <c r="EL408" s="504">
        <f t="shared" si="493"/>
        <v>5089416.1934353672</v>
      </c>
      <c r="EM408" s="505">
        <f t="shared" si="494"/>
        <v>5089416.1934353672</v>
      </c>
      <c r="EN408" s="586">
        <f t="shared" si="495"/>
        <v>41.183999999999997</v>
      </c>
      <c r="EO408" s="497">
        <v>2</v>
      </c>
      <c r="EP408" s="479">
        <v>900</v>
      </c>
      <c r="EQ408" s="507">
        <f>Inputs!$D$41*2</f>
        <v>8</v>
      </c>
      <c r="ER408" s="504">
        <f>_xlfn.MINIFS($DE$70:$DE$149,$DJ$70:$DJ$149,"&gt;"&amp;Inputs!$I$118)</f>
        <v>0.29999999999999982</v>
      </c>
      <c r="ES408" s="504">
        <f>_xlfn.MINIFS($DE$156:$DE$235,$DJ$156:$DJ$235,"&gt;"&amp;Inputs!$I$118)</f>
        <v>0</v>
      </c>
      <c r="ET408" s="505">
        <f>_xlfn.MINIFS($DE$242:$DE$321,$DJ$242:$DJ$321,"&gt;"&amp;Inputs!$I$118)</f>
        <v>0.29999999999999982</v>
      </c>
      <c r="EU408" s="506">
        <f>IF(Inputs!$F$118/2&gt;MAX(Pile!$DJ$70:$DJ$149),999999,IF(Pile!ER408/(Pile!EP408/1000)&gt;50,999999,IF(Pile!ER408&lt;2,999999,Pile!ER408)))</f>
        <v>999999</v>
      </c>
      <c r="EV408" s="504">
        <f>IF(Inputs!ER40="Yes",999999,IF(Inputs!$F$118&gt;MAX(Pile!$DG$156:$DG$235),999999,IF(Pile!ES408/(Pile!EP408/1000)&gt;50,999999,IF(Pile!ES408&lt;2,999999,Pile!ES408))))</f>
        <v>999999</v>
      </c>
      <c r="EW408" s="504">
        <f>IF(Inputs!$F$118/2&gt;MAX(Pile!$DJ$242:$DJ$321),999999,IF(Pile!ET408/(Pile!EP408/1000)&gt;50,999999,IF(Pile!ET408&lt;2,999999,IF(ET408&gt;25,999999,Pile!ET408))))</f>
        <v>999999</v>
      </c>
      <c r="EX408" s="506">
        <f t="shared" si="451"/>
        <v>5089375.0094353668</v>
      </c>
      <c r="EY408" s="504">
        <f t="shared" si="452"/>
        <v>5089375.0094353668</v>
      </c>
      <c r="EZ408" s="505">
        <f t="shared" si="453"/>
        <v>5089375.0094353668</v>
      </c>
      <c r="FA408" s="585"/>
      <c r="FB408" s="585"/>
    </row>
    <row r="409" spans="2:158" ht="15">
      <c r="B409" s="491">
        <v>2</v>
      </c>
      <c r="C409" s="476">
        <v>1050</v>
      </c>
      <c r="D409" s="503">
        <f>Inputs!$D$41*2</f>
        <v>8</v>
      </c>
      <c r="E409" s="504">
        <f>_xlfn.MINIFS($DE$70:$DE$149,$DK$70:$DK$149,"&gt;"&amp;Inputs!$I$41)</f>
        <v>2.0999999999999988</v>
      </c>
      <c r="F409" s="504">
        <f>_xlfn.MINIFS($DE$156:$DE$235,$DK$156:$DK$235,"&gt;"&amp;Inputs!$I$41)</f>
        <v>0</v>
      </c>
      <c r="G409" s="505">
        <f>_xlfn.MINIFS($DE$242:$DE$321,$DK$242:$DK$321,"&gt;"&amp;Inputs!$I$41)</f>
        <v>2.0999999999999988</v>
      </c>
      <c r="H409" s="506">
        <f>IF(Inputs!$F$41/2&gt;MAX(Pile!$DK$70:$DK$149),999999,IF(Pile!E409/(Pile!C409/1000)&gt;50,999999,IF(Pile!E409&lt;2,999999,Pile!E409)))</f>
        <v>2.0999999999999988</v>
      </c>
      <c r="I409" s="504">
        <f>IF(Inputs!E41="Yes",999999,IF(Pile!F409/(Pile!C409/1000)&gt;50,999999,IF(Pile!F409&lt;2,999999,Pile!F409)))</f>
        <v>999999</v>
      </c>
      <c r="J409" s="504">
        <f>IF(Inputs!$F$41/2&gt;MAX(Pile!$DK$242:$DK$321),999999,IF(Pile!G409/(Pile!C409/1000)&gt;50,999999,IF(Pile!G409&lt;2,999999,IF(G409&gt;25,999999,Pile!G409))))</f>
        <v>2.0999999999999988</v>
      </c>
      <c r="K409" s="506">
        <f t="shared" si="454"/>
        <v>77.727144782447539</v>
      </c>
      <c r="L409" s="504">
        <f t="shared" si="455"/>
        <v>6927268.0539536923</v>
      </c>
      <c r="M409" s="505">
        <f t="shared" si="456"/>
        <v>77.727144782447539</v>
      </c>
      <c r="N409" s="585">
        <f>Inputs!$D$41*E463</f>
        <v>63.180000000000007</v>
      </c>
      <c r="O409" s="491">
        <v>2</v>
      </c>
      <c r="P409" s="476">
        <v>1050</v>
      </c>
      <c r="Q409" s="503">
        <f>Inputs!$D$41*2</f>
        <v>8</v>
      </c>
      <c r="R409" s="504">
        <f>_xlfn.MINIFS($DE$70:$DE$149,$DK$70:$DK$149,"&gt;"&amp;Inputs!$I$48)</f>
        <v>2.0999999999999988</v>
      </c>
      <c r="S409" s="504">
        <f>_xlfn.MINIFS($DE$156:$DE$235,$DK$156:$DK$235,"&gt;"&amp;Inputs!$I$48)</f>
        <v>0</v>
      </c>
      <c r="T409" s="505">
        <f>_xlfn.MINIFS($DE$242:$DE$321,$DK$242:$DK$321,"&gt;"&amp;Inputs!$I$48)</f>
        <v>1.7999999999999989</v>
      </c>
      <c r="U409" s="506">
        <f>IF(Inputs!$F$48/2&gt;MAX(Pile!$DK$70:$DK$149),999999,IF(Pile!R409/(Pile!P409/1000)&gt;50,999999,IF(Pile!R409&lt;2,999999,Pile!R409)))</f>
        <v>2.0999999999999988</v>
      </c>
      <c r="V409" s="504">
        <f>IF(Inputs!R41="Yes",999999,IF(Pile!S409/(Pile!P409/1000)&gt;50,999999,IF(Pile!S409&lt;2,999999,Pile!S409)))</f>
        <v>999999</v>
      </c>
      <c r="W409" s="504">
        <f>IF(Inputs!$F$48/2&gt;MAX(Pile!$DK$242:$DK$321),999999,IF(Pile!T409/(Pile!P409/1000)&gt;50,999999,IF(Pile!T409&lt;2,999999,IF(T409&gt;25,999999,Pile!T409))))</f>
        <v>999999</v>
      </c>
      <c r="X409" s="506">
        <f t="shared" si="457"/>
        <v>77.727144782447539</v>
      </c>
      <c r="Y409" s="504">
        <f t="shared" si="458"/>
        <v>6927268.0539536923</v>
      </c>
      <c r="Z409" s="505">
        <f t="shared" si="459"/>
        <v>6927268.0539536923</v>
      </c>
      <c r="AA409" s="467">
        <f t="shared" si="496"/>
        <v>63.180000000000007</v>
      </c>
      <c r="AB409" s="497">
        <v>2</v>
      </c>
      <c r="AC409" s="479">
        <v>1050</v>
      </c>
      <c r="AD409" s="507">
        <f>Inputs!$D$41*2</f>
        <v>8</v>
      </c>
      <c r="AE409" s="504">
        <f>_xlfn.MINIFS($DE$70:$DE$149,$DK$70:$DK$149,"&gt;"&amp;Inputs!$I$55)</f>
        <v>2.0999999999999988</v>
      </c>
      <c r="AF409" s="504">
        <f>_xlfn.MINIFS($DE$156:$DE$235,$DK$156:$DK$235,"&gt;"&amp;Inputs!$I$55)</f>
        <v>0</v>
      </c>
      <c r="AG409" s="505">
        <f>_xlfn.MINIFS($DE$242:$DE$321,$DK$242:$DK$321,"&gt;"&amp;Inputs!$I$55)</f>
        <v>1.7999999999999989</v>
      </c>
      <c r="AH409" s="506">
        <f>IF(Inputs!$F$55/2&gt;MAX(Pile!$DK$70:$DK$149),999999,IF(Pile!AE409/(Pile!AC409/1000)&gt;50,999999,IF(Pile!AE409&lt;2,999999,Pile!AE409)))</f>
        <v>2.0999999999999988</v>
      </c>
      <c r="AI409" s="504">
        <f>IF(Inputs!AE41="Yes",999999,IF(Pile!AF409/(Pile!AC409/1000)&gt;50,999999,IF(Pile!AF409&lt;2,999999,Pile!AF409)))</f>
        <v>999999</v>
      </c>
      <c r="AJ409" s="504">
        <f>IF(Inputs!$F$55/2&gt;MAX(Pile!$DK$242:$DK$321),999999,IF(Pile!AG409/(Pile!AC409/1000)&gt;50,999999,IF(Pile!AG409&lt;2,999999,IF(AG409&gt;25,999999,Pile!AG409))))</f>
        <v>999999</v>
      </c>
      <c r="AK409" s="506">
        <f t="shared" si="460"/>
        <v>77.727144782447539</v>
      </c>
      <c r="AL409" s="504">
        <f t="shared" si="461"/>
        <v>6927268.0539536923</v>
      </c>
      <c r="AM409" s="505">
        <f t="shared" si="462"/>
        <v>6927268.0539536923</v>
      </c>
      <c r="AN409" s="586">
        <f t="shared" si="463"/>
        <v>63.180000000000007</v>
      </c>
      <c r="AO409" s="497">
        <v>2</v>
      </c>
      <c r="AP409" s="479">
        <v>1050</v>
      </c>
      <c r="AQ409" s="507">
        <f>Inputs!$D$41*2</f>
        <v>8</v>
      </c>
      <c r="AR409" s="504">
        <f>_xlfn.MINIFS($DE$70:$DE$149,$DK$70:$DK$149,"&gt;"&amp;Inputs!$I$62)</f>
        <v>2.0999999999999988</v>
      </c>
      <c r="AS409" s="504">
        <f>_xlfn.MINIFS($DE$156:$DE$235,$DK$156:$DK$235,"&gt;"&amp;Inputs!$I$62)</f>
        <v>0</v>
      </c>
      <c r="AT409" s="505">
        <f>_xlfn.MINIFS($DE$242:$DE$321,$DK$242:$DK$321,"&gt;"&amp;Inputs!$I$62)</f>
        <v>1.7999999999999989</v>
      </c>
      <c r="AU409" s="506">
        <f>IF(Inputs!$F$62/2&gt;MAX(Pile!$DK$70:$DK$149),999999,IF(Pile!AR409/(Pile!AP409/1000)&gt;50,999999,IF(Pile!AR409&lt;2,999999,Pile!AR409)))</f>
        <v>2.0999999999999988</v>
      </c>
      <c r="AV409" s="504">
        <f>IF(Inputs!AR41="Yes",999999,IF(Pile!AS409/(Pile!AP409/1000)&gt;50,999999,IF(Pile!AS409&lt;2,999999,Pile!AS409)))</f>
        <v>999999</v>
      </c>
      <c r="AW409" s="504">
        <f>IF(Inputs!$F$62/2&gt;MAX(Pile!$DK$242:$DK$321),999999,IF(Pile!AT409/(Pile!AP409/1000)&gt;50,999999,IF(Pile!AT409&lt;2,999999,IF(AT409&gt;25,999999,Pile!AT409))))</f>
        <v>999999</v>
      </c>
      <c r="AX409" s="506">
        <f t="shared" si="464"/>
        <v>77.727144782447539</v>
      </c>
      <c r="AY409" s="504">
        <f t="shared" si="465"/>
        <v>6927268.0539536923</v>
      </c>
      <c r="AZ409" s="505">
        <f t="shared" si="466"/>
        <v>6927268.0539536923</v>
      </c>
      <c r="BA409" s="586">
        <f t="shared" si="467"/>
        <v>63.180000000000007</v>
      </c>
      <c r="BB409" s="497">
        <v>2</v>
      </c>
      <c r="BC409" s="479">
        <v>1050</v>
      </c>
      <c r="BD409" s="507">
        <f>Inputs!$D$41*2</f>
        <v>8</v>
      </c>
      <c r="BE409" s="504">
        <f>_xlfn.MINIFS($DE$70:$DE$149,$DK$70:$DK$149,"&gt;"&amp;Inputs!$I$69)</f>
        <v>2.0999999999999988</v>
      </c>
      <c r="BF409" s="504">
        <f>_xlfn.MINIFS($DE$156:$DE$235,$DK$156:$DK$235,"&gt;"&amp;Inputs!$I$69)</f>
        <v>0</v>
      </c>
      <c r="BG409" s="505">
        <f>_xlfn.MINIFS($DE$242:$DE$321,$DK$242:$DK$321,"&gt;"&amp;Inputs!$I$69)</f>
        <v>1.7999999999999989</v>
      </c>
      <c r="BH409" s="506">
        <f>IF(Inputs!$F$69/2&gt;MAX(Pile!$DK$70:$DK$149),999999,IF(Pile!BE409/(Pile!BC409/1000)&gt;50,999999,IF(Pile!BE409&lt;2,999999,Pile!BE409)))</f>
        <v>2.0999999999999988</v>
      </c>
      <c r="BI409" s="504">
        <f>IF(Inputs!BE41="Yes",999999,IF(Pile!BF409/(Pile!BC409/1000)&gt;50,999999,IF(Pile!BF409&lt;2,999999,Pile!BF409)))</f>
        <v>999999</v>
      </c>
      <c r="BJ409" s="504">
        <f>IF(Inputs!$F$69/2&gt;MAX(Pile!$DK$242:$DK$321),999999,IF(Pile!BG409/(Pile!BC409/1000)&gt;50,999999,IF(Pile!BG409&lt;2,999999,IF(BG409&gt;25,999999,Pile!BG409))))</f>
        <v>999999</v>
      </c>
      <c r="BK409" s="506">
        <f t="shared" si="468"/>
        <v>77.727144782447539</v>
      </c>
      <c r="BL409" s="504">
        <f t="shared" si="469"/>
        <v>6927268.0539536923</v>
      </c>
      <c r="BM409" s="505">
        <f t="shared" si="470"/>
        <v>6927268.0539536923</v>
      </c>
      <c r="BN409" s="586">
        <f t="shared" si="471"/>
        <v>63.180000000000007</v>
      </c>
      <c r="BO409" s="497">
        <v>2</v>
      </c>
      <c r="BP409" s="479">
        <v>1050</v>
      </c>
      <c r="BQ409" s="507">
        <f>Inputs!$D$41*2</f>
        <v>8</v>
      </c>
      <c r="BR409" s="504">
        <f>_xlfn.MINIFS($DE$70:$DE$149,$DK$70:$DK$149,"&gt;"&amp;Inputs!$I$76)</f>
        <v>2.0999999999999988</v>
      </c>
      <c r="BS409" s="504">
        <f>_xlfn.MINIFS($DE$156:$DE$235,$DK$156:$DK$235,"&gt;"&amp;Inputs!$I$76)</f>
        <v>0</v>
      </c>
      <c r="BT409" s="505">
        <f>_xlfn.MINIFS($DE$242:$DE$321,$DK$242:$DK$321,"&gt;"&amp;Inputs!$I$76)</f>
        <v>1.7999999999999989</v>
      </c>
      <c r="BU409" s="506">
        <f>IF(Inputs!$F$76/2&gt;MAX(Pile!$DK$70:$DK$149),999999,IF(Pile!BR409/(Pile!BP409/1000)&gt;50,999999,IF(Pile!BR409&lt;2,999999,Pile!BR409)))</f>
        <v>2.0999999999999988</v>
      </c>
      <c r="BV409" s="504">
        <f>IF(Inputs!BR41="Yes",999999,IF(Pile!BS409/(Pile!BP409/1000)&gt;50,999999,IF(Pile!BS409&lt;2,999999,Pile!BS409)))</f>
        <v>999999</v>
      </c>
      <c r="BW409" s="504">
        <f>IF(Inputs!$F$76/2&gt;MAX(Pile!$DK$242:$DK$321),999999,IF(Pile!BT409/(Pile!BP409/1000)&gt;50,999999,IF(Pile!BT409&lt;2,999999,IF(BT409&gt;25,999999,Pile!BT409))))</f>
        <v>999999</v>
      </c>
      <c r="BX409" s="506">
        <f t="shared" si="472"/>
        <v>77.727144782447539</v>
      </c>
      <c r="BY409" s="504">
        <f t="shared" si="473"/>
        <v>6927268.0539536923</v>
      </c>
      <c r="BZ409" s="505">
        <f t="shared" si="474"/>
        <v>6927268.0539536923</v>
      </c>
      <c r="CA409" s="586">
        <f t="shared" si="475"/>
        <v>63.180000000000007</v>
      </c>
      <c r="CB409" s="497">
        <v>2</v>
      </c>
      <c r="CC409" s="479">
        <v>1050</v>
      </c>
      <c r="CD409" s="507">
        <f>Inputs!$D$41*2</f>
        <v>8</v>
      </c>
      <c r="CE409" s="504">
        <f>_xlfn.MINIFS($DE$70:$DE$149,$DK$70:$DK$149,"&gt;"&amp;Inputs!$I$83)</f>
        <v>1.4999999999999991</v>
      </c>
      <c r="CF409" s="504">
        <f>_xlfn.MINIFS($DE$156:$DE$235,$DK$156:$DK$235,"&gt;"&amp;Inputs!$I$83)</f>
        <v>0</v>
      </c>
      <c r="CG409" s="505">
        <f>_xlfn.MINIFS($DE$242:$DE$321,$DK$242:$DK$321,"&gt;"&amp;Inputs!$I$83)</f>
        <v>1.4999999999999991</v>
      </c>
      <c r="CH409" s="506">
        <f>IF(Inputs!$F$83/2&gt;MAX(Pile!$DK$70:$DK$149),999999,IF(Pile!CE409/(Pile!CC409/1000)&gt;50,999999,IF(Pile!CE409&lt;2,999999,Pile!CE409)))</f>
        <v>999999</v>
      </c>
      <c r="CI409" s="504">
        <f>IF(Inputs!CE41="Yes",999999,IF(Pile!CF409/(Pile!CC409/1000)&gt;50,999999,IF(Pile!CF409&lt;2,999999,Pile!CF409)))</f>
        <v>999999</v>
      </c>
      <c r="CJ409" s="504">
        <f>IF(Inputs!$F$83/2&gt;MAX(Pile!$DK$242:$DK$321),999999,IF(Pile!CG409/(Pile!CC409/1000)&gt;50,999999,IF(Pile!CG409&lt;2,999999,IF(CG409&gt;25,999999,Pile!CG409))))</f>
        <v>999999</v>
      </c>
      <c r="CK409" s="506">
        <f t="shared" si="476"/>
        <v>6927268.0539536923</v>
      </c>
      <c r="CL409" s="504">
        <f t="shared" si="477"/>
        <v>6927268.0539536923</v>
      </c>
      <c r="CM409" s="505">
        <f t="shared" si="478"/>
        <v>6927268.0539536923</v>
      </c>
      <c r="CN409" s="586">
        <f t="shared" si="479"/>
        <v>63.180000000000007</v>
      </c>
      <c r="CO409" s="497">
        <v>2</v>
      </c>
      <c r="CP409" s="479">
        <v>1050</v>
      </c>
      <c r="CQ409" s="507">
        <f>Inputs!$D$41*2</f>
        <v>8</v>
      </c>
      <c r="CR409" s="504">
        <f>_xlfn.MINIFS($DE$70:$DE$149,$DK$70:$DK$149,"&gt;"&amp;Inputs!$I$90)</f>
        <v>1.1999999999999993</v>
      </c>
      <c r="CS409" s="504">
        <f>_xlfn.MINIFS($DE$156:$DE$235,$DK$156:$DK$235,"&gt;"&amp;Inputs!$I$90)</f>
        <v>0</v>
      </c>
      <c r="CT409" s="505">
        <f>_xlfn.MINIFS($DE$242:$DE$321,$DK$242:$DK$321,"&gt;"&amp;Inputs!$I$90)</f>
        <v>1.1999999999999993</v>
      </c>
      <c r="CU409" s="506">
        <f>IF(Inputs!$F$90/2&gt;MAX(Pile!$DK$70:$DK$149),999999,IF(Pile!CR409/(Pile!CP409/1000)&gt;50,999999,IF(Pile!CR409&lt;2,999999,Pile!CR409)))</f>
        <v>999999</v>
      </c>
      <c r="CV409" s="504">
        <f>IF(Inputs!CR41="Yes",999999,IF(Pile!CS409/(Pile!CP409/1000)&gt;50,999999,IF(Pile!CS409&lt;2,999999,Pile!CS409)))</f>
        <v>999999</v>
      </c>
      <c r="CW409" s="504">
        <f>IF(Inputs!$F$90/2&gt;MAX(Pile!$DK$242:$DK$321),999999,IF(Pile!CT409/(Pile!CP409/1000)&gt;50,999999,IF(Pile!CT409&lt;2,999999,IF(CT409&gt;25,999999,Pile!CT409))))</f>
        <v>999999</v>
      </c>
      <c r="CX409" s="506">
        <f t="shared" si="480"/>
        <v>6927268.0539536923</v>
      </c>
      <c r="CY409" s="504">
        <f t="shared" si="481"/>
        <v>6927268.0539536923</v>
      </c>
      <c r="CZ409" s="505">
        <f t="shared" si="482"/>
        <v>6927268.0539536923</v>
      </c>
      <c r="DA409" s="586">
        <f t="shared" si="483"/>
        <v>63.180000000000007</v>
      </c>
      <c r="DB409" s="497">
        <v>2</v>
      </c>
      <c r="DC409" s="479">
        <v>1050</v>
      </c>
      <c r="DD409" s="507">
        <f>Inputs!$D$41*2</f>
        <v>8</v>
      </c>
      <c r="DE409" s="504">
        <f>_xlfn.MINIFS($DE$70:$DE$149,$DK$70:$DK$149,"&gt;"&amp;Inputs!$I$97)</f>
        <v>1.4999999999999991</v>
      </c>
      <c r="DF409" s="504">
        <f>_xlfn.MINIFS($DE$156:$DE$235,$DK$156:$DK$235,"&gt;"&amp;Inputs!$I$97)</f>
        <v>0</v>
      </c>
      <c r="DG409" s="505">
        <f>_xlfn.MINIFS($DE$242:$DE$321,$DK$242:$DK$321,"&gt;"&amp;Inputs!$I$97)</f>
        <v>1.1999999999999993</v>
      </c>
      <c r="DH409" s="506">
        <f>IF(Inputs!$F$97/2&gt;MAX(Pile!$DK$70:$DK$149),999999,IF(Pile!DE409/(Pile!DC409/1000)&gt;50,999999,IF(Pile!DE409&lt;2,999999,Pile!DE409)))</f>
        <v>999999</v>
      </c>
      <c r="DI409" s="504">
        <f>IF(Inputs!DE41="Yes",999999,IF(Pile!DF409/(Pile!DC409/1000)&gt;50,999999,IF(Pile!DF409&lt;2,999999,Pile!DF409)))</f>
        <v>999999</v>
      </c>
      <c r="DJ409" s="504">
        <f>IF(Inputs!$F$97/2&gt;MAX(Pile!$DK$242:$DK$321),999999,IF(Pile!DG409/(Pile!DC409/1000)&gt;50,999999,IF(Pile!DG409&lt;2,999999,IF(DG409&gt;25,999999,Pile!DG409))))</f>
        <v>999999</v>
      </c>
      <c r="DK409" s="506">
        <f t="shared" si="484"/>
        <v>6927268.0539536923</v>
      </c>
      <c r="DL409" s="504">
        <f t="shared" si="485"/>
        <v>6927268.0539536923</v>
      </c>
      <c r="DM409" s="505">
        <f t="shared" si="486"/>
        <v>6927268.0539536923</v>
      </c>
      <c r="DN409" s="586">
        <f t="shared" si="487"/>
        <v>63.180000000000007</v>
      </c>
      <c r="DO409" s="497">
        <v>2</v>
      </c>
      <c r="DP409" s="479">
        <v>1050</v>
      </c>
      <c r="DQ409" s="507">
        <f>Inputs!$D$41*2</f>
        <v>8</v>
      </c>
      <c r="DR409" s="504">
        <f>_xlfn.MINIFS($DE$70:$DE$149,$DK$70:$DK$149,"&gt;"&amp;Inputs!$I$104)</f>
        <v>1.1999999999999993</v>
      </c>
      <c r="DS409" s="504">
        <f>_xlfn.MINIFS($DE$156:$DE$235,$DK$156:$DK$235,"&gt;"&amp;Inputs!$I$104)</f>
        <v>0</v>
      </c>
      <c r="DT409" s="505">
        <f>_xlfn.MINIFS($DE$242:$DE$321,$DK$242:$DK$321,"&gt;"&amp;Inputs!$I$104)</f>
        <v>1.1999999999999993</v>
      </c>
      <c r="DU409" s="506">
        <f>IF(Inputs!$F$104/2&gt;MAX(Pile!$DK$70:$DK$149),999999,IF(Pile!DR409/(Pile!DP409/1000)&gt;50,999999,IF(Pile!DR409&lt;2,999999,Pile!DR409)))</f>
        <v>999999</v>
      </c>
      <c r="DV409" s="504">
        <f>IF(Inputs!DR41="Yes",999999,IF(Pile!DS409/(Pile!DP409/1000)&gt;50,999999,IF(Pile!DS409&lt;2,999999,Pile!DS409)))</f>
        <v>999999</v>
      </c>
      <c r="DW409" s="504">
        <f>IF(Inputs!$F$104/2&gt;MAX(Pile!$DK$242:$DK$321),999999,IF(Pile!DT409/(Pile!DP409/1000)&gt;50,999999,IF(Pile!DT409&lt;2,999999,IF(DT409&gt;25,999999,Pile!DT409))))</f>
        <v>999999</v>
      </c>
      <c r="DX409" s="506">
        <f t="shared" si="488"/>
        <v>6927268.0539536923</v>
      </c>
      <c r="DY409" s="504">
        <f t="shared" si="489"/>
        <v>6927268.0539536923</v>
      </c>
      <c r="DZ409" s="505">
        <f t="shared" si="490"/>
        <v>6927268.0539536923</v>
      </c>
      <c r="EA409" s="586">
        <f t="shared" si="491"/>
        <v>63.180000000000007</v>
      </c>
      <c r="EB409" s="497">
        <v>2</v>
      </c>
      <c r="EC409" s="479">
        <v>1050</v>
      </c>
      <c r="ED409" s="507">
        <f>Inputs!$D$41*2</f>
        <v>8</v>
      </c>
      <c r="EE409" s="504">
        <f>_xlfn.MINIFS($DE$70:$DE$149,$DK$70:$DK$149,"&gt;"&amp;Inputs!$I$111)</f>
        <v>1.1999999999999993</v>
      </c>
      <c r="EF409" s="504">
        <f>_xlfn.MINIFS($DE$156:$DE$235,$DK$156:$DK$235,"&gt;"&amp;Inputs!$I$111)</f>
        <v>0</v>
      </c>
      <c r="EG409" s="505">
        <f>_xlfn.MINIFS($DE$242:$DE$321,$DK$242:$DK$321,"&gt;"&amp;Inputs!$I$111)</f>
        <v>1.1999999999999993</v>
      </c>
      <c r="EH409" s="506">
        <f>IF(Inputs!$F$111/2&gt;MAX(Pile!$DK$70:$DK$149),999999,IF(Pile!EE409/(Pile!EC409/1000)&gt;50,999999,IF(Pile!EE409&lt;2,999999,Pile!EE409)))</f>
        <v>999999</v>
      </c>
      <c r="EI409" s="504">
        <f>IF(Inputs!EE41="Yes",999999,IF(Pile!EF409/(Pile!EC409/1000)&gt;50,999999,IF(Pile!EF409&lt;2,999999,Pile!EF409)))</f>
        <v>999999</v>
      </c>
      <c r="EJ409" s="504">
        <f>IF(Inputs!$F$111/2&gt;MAX(Pile!$DK$242:$DK$321),999999,IF(Pile!EG409/(Pile!EC409/1000)&gt;50,999999,IF(Pile!EG409&lt;2,999999,IF(EG409&gt;25,999999,Pile!EG409))))</f>
        <v>999999</v>
      </c>
      <c r="EK409" s="506">
        <f t="shared" si="492"/>
        <v>6927268.0539536923</v>
      </c>
      <c r="EL409" s="504">
        <f t="shared" si="493"/>
        <v>6927268.0539536923</v>
      </c>
      <c r="EM409" s="505">
        <f t="shared" si="494"/>
        <v>6927268.0539536923</v>
      </c>
      <c r="EN409" s="586">
        <f t="shared" si="495"/>
        <v>63.180000000000007</v>
      </c>
      <c r="EO409" s="497">
        <v>2</v>
      </c>
      <c r="EP409" s="479">
        <v>1050</v>
      </c>
      <c r="EQ409" s="507">
        <f>Inputs!$D$41*2</f>
        <v>8</v>
      </c>
      <c r="ER409" s="504">
        <f>_xlfn.MINIFS($DE$70:$DE$149,$DK$70:$DK$149,"&gt;"&amp;Inputs!$I$118)</f>
        <v>0.29999999999999982</v>
      </c>
      <c r="ES409" s="504">
        <f>_xlfn.MINIFS($DE$156:$DE$235,$DK$156:$DK$235,"&gt;"&amp;Inputs!$I$118)</f>
        <v>0</v>
      </c>
      <c r="ET409" s="505">
        <f>_xlfn.MINIFS($DE$242:$DE$321,$DK$242:$DK$321,"&gt;"&amp;Inputs!$I$118)</f>
        <v>0.29999999999999982</v>
      </c>
      <c r="EU409" s="506">
        <f>IF(Inputs!$F$118/2&gt;MAX(Pile!$DK$70:$DK$149),999999,IF(Pile!ER409/(Pile!EP409/1000)&gt;50,999999,IF(Pile!ER409&lt;2,999999,Pile!ER409)))</f>
        <v>999999</v>
      </c>
      <c r="EV409" s="504">
        <f>IF(Inputs!ER41="Yes",999999,IF(Inputs!$F$118&gt;MAX(Pile!$DG$156:$DG$235),999999,IF(Pile!ES409/(Pile!EP409/1000)&gt;50,999999,IF(Pile!ES409&lt;2,999999,Pile!ES409))))</f>
        <v>999999</v>
      </c>
      <c r="EW409" s="504">
        <f>IF(Inputs!$F$118/2&gt;MAX(Pile!$DK$242:$DK$321),999999,IF(Pile!ET409/(Pile!EP409/1000)&gt;50,999999,IF(Pile!ET409&lt;2,999999,IF(ET409&gt;25,999999,Pile!ET409))))</f>
        <v>999999</v>
      </c>
      <c r="EX409" s="506">
        <f t="shared" si="451"/>
        <v>6927204.8739536926</v>
      </c>
      <c r="EY409" s="504">
        <f t="shared" si="452"/>
        <v>6927204.8739536926</v>
      </c>
      <c r="EZ409" s="505">
        <f t="shared" si="453"/>
        <v>6927204.8739536926</v>
      </c>
      <c r="FA409" s="585"/>
      <c r="FB409" s="585"/>
    </row>
    <row r="410" spans="2:158" ht="15.75" thickBot="1">
      <c r="B410" s="491">
        <v>2</v>
      </c>
      <c r="C410" s="483">
        <v>1200</v>
      </c>
      <c r="D410" s="503">
        <f>Inputs!$D$41*2</f>
        <v>8</v>
      </c>
      <c r="E410" s="511">
        <f>_xlfn.MINIFS($DE$70:$DE$149,$DL$70:$DL$149,"&gt;"&amp;Inputs!$I$41)</f>
        <v>1.4999999999999991</v>
      </c>
      <c r="F410" s="511">
        <f>_xlfn.MINIFS($DE$156:$DE$235,$DL$156:$DL$235,"&gt;"&amp;Inputs!$I$41)</f>
        <v>0</v>
      </c>
      <c r="G410" s="512">
        <f>_xlfn.MINIFS($DE$242:$DE$321,$DL$242:$DL$321,"&gt;"&amp;Inputs!$I$41)</f>
        <v>1.4999999999999991</v>
      </c>
      <c r="H410" s="513">
        <f>IF(Inputs!$F$41/2&gt;MAX(Pile!$DL$70:$DL$149),999999,IF(Pile!E410/(Pile!C410/1000)&gt;50,999999,IF(Pile!E410&lt;2,999999,Pile!E410)))</f>
        <v>999999</v>
      </c>
      <c r="I410" s="511">
        <f>IF(Inputs!E42="Yes",999999,IF(Pile!F410/(Pile!C410/1000)&gt;50,999999,IF(Pile!F410&lt;2,999999,Pile!F410)))</f>
        <v>999999</v>
      </c>
      <c r="J410" s="511">
        <f>IF(Inputs!$F$41/2&gt;MAX(Pile!$DL$242:$DL$321),999999,IF(Pile!G410/(Pile!C410/1000)&gt;50,999999,IF(Pile!G410&lt;2,999999,IF(G410&gt;25,999999,Pile!G410))))</f>
        <v>999999</v>
      </c>
      <c r="K410" s="513">
        <f t="shared" si="454"/>
        <v>9047869.5945517626</v>
      </c>
      <c r="L410" s="511">
        <f t="shared" si="455"/>
        <v>9047869.5945517626</v>
      </c>
      <c r="M410" s="512">
        <f t="shared" si="456"/>
        <v>9047869.5945517626</v>
      </c>
      <c r="N410" s="585">
        <f>Inputs!$D$41*E464</f>
        <v>91.8</v>
      </c>
      <c r="O410" s="491">
        <v>2</v>
      </c>
      <c r="P410" s="483">
        <v>1200</v>
      </c>
      <c r="Q410" s="503">
        <f>Inputs!$D$41*2</f>
        <v>8</v>
      </c>
      <c r="R410" s="511">
        <f>_xlfn.MINIFS($DE$70:$DE$149,$DL$70:$DL$149,"&gt;"&amp;Inputs!$I$48)</f>
        <v>1.4999999999999991</v>
      </c>
      <c r="S410" s="511">
        <f>_xlfn.MINIFS($DE$156:$DE$235,$DL$156:$DL$235,"&gt;"&amp;Inputs!$I$48)</f>
        <v>0</v>
      </c>
      <c r="T410" s="512">
        <f>_xlfn.MINIFS($DE$242:$DE$321,$DL$242:$DL$321,"&gt;"&amp;Inputs!$I$48)</f>
        <v>1.4999999999999991</v>
      </c>
      <c r="U410" s="513">
        <f>IF(Inputs!$F$48/2&gt;MAX(Pile!$DL$70:$DL$149),999999,IF(Pile!R410/(Pile!P410/1000)&gt;50,999999,IF(Pile!R410&lt;2,999999,Pile!R410)))</f>
        <v>999999</v>
      </c>
      <c r="V410" s="511">
        <f>IF(Inputs!R42="Yes",999999,IF(Pile!S410/(Pile!P410/1000)&gt;50,999999,IF(Pile!S410&lt;2,999999,Pile!S410)))</f>
        <v>999999</v>
      </c>
      <c r="W410" s="511">
        <f>IF(Inputs!$F$48/2&gt;MAX(Pile!$DL$242:$DL$321),999999,IF(Pile!T410/(Pile!P410/1000)&gt;50,999999,IF(Pile!T410&lt;2,999999,IF(T410&gt;25,999999,Pile!T410))))</f>
        <v>999999</v>
      </c>
      <c r="X410" s="513">
        <f t="shared" si="457"/>
        <v>9047869.5945517626</v>
      </c>
      <c r="Y410" s="511">
        <f t="shared" si="458"/>
        <v>9047869.5945517626</v>
      </c>
      <c r="Z410" s="512">
        <f t="shared" si="459"/>
        <v>9047869.5945517626</v>
      </c>
      <c r="AA410" s="467">
        <f t="shared" si="496"/>
        <v>91.8</v>
      </c>
      <c r="AB410" s="497">
        <v>2</v>
      </c>
      <c r="AC410" s="487">
        <v>1200</v>
      </c>
      <c r="AD410" s="507">
        <f>Inputs!$D$41*2</f>
        <v>8</v>
      </c>
      <c r="AE410" s="511">
        <f>_xlfn.MINIFS($DE$70:$DE$149,$DL$70:$DL$149,"&gt;"&amp;Inputs!$I$55)</f>
        <v>1.4999999999999991</v>
      </c>
      <c r="AF410" s="511">
        <f>_xlfn.MINIFS($DE$156:$DE$235,$DL$156:$DL$235,"&gt;"&amp;Inputs!$I$55)</f>
        <v>0</v>
      </c>
      <c r="AG410" s="512">
        <f>_xlfn.MINIFS($DE$242:$DE$321,$DL$242:$DL$321,"&gt;"&amp;Inputs!$I$55)</f>
        <v>1.4999999999999991</v>
      </c>
      <c r="AH410" s="513">
        <f>IF(Inputs!$F$55/2&gt;MAX(Pile!$DL$70:$DL$149),999999,IF(Pile!AE410/(Pile!AC410/1000)&gt;50,999999,IF(Pile!AE410&lt;2,999999,Pile!AE410)))</f>
        <v>999999</v>
      </c>
      <c r="AI410" s="511">
        <f>IF(Inputs!AE42="Yes",999999,IF(Pile!AF410/(Pile!AC410/1000)&gt;50,999999,IF(Pile!AF410&lt;2,999999,Pile!AF410)))</f>
        <v>999999</v>
      </c>
      <c r="AJ410" s="511">
        <f>IF(Inputs!$F$55/2&gt;MAX(Pile!$DL$242:$DL$321),999999,IF(Pile!AG410/(Pile!AC410/1000)&gt;50,999999,IF(Pile!AG410&lt;2,999999,IF(AG410&gt;25,999999,Pile!AG410))))</f>
        <v>999999</v>
      </c>
      <c r="AK410" s="513">
        <f t="shared" si="460"/>
        <v>9047869.5945517626</v>
      </c>
      <c r="AL410" s="511">
        <f t="shared" si="461"/>
        <v>9047869.5945517626</v>
      </c>
      <c r="AM410" s="512">
        <f t="shared" si="462"/>
        <v>9047869.5945517626</v>
      </c>
      <c r="AN410" s="586">
        <f t="shared" si="463"/>
        <v>91.8</v>
      </c>
      <c r="AO410" s="497">
        <v>2</v>
      </c>
      <c r="AP410" s="487">
        <v>1200</v>
      </c>
      <c r="AQ410" s="507">
        <f>Inputs!$D$41*2</f>
        <v>8</v>
      </c>
      <c r="AR410" s="511">
        <f>_xlfn.MINIFS($DE$70:$DE$149,$DL$70:$DL$149,"&gt;"&amp;Inputs!$I$62)</f>
        <v>1.4999999999999991</v>
      </c>
      <c r="AS410" s="511">
        <f>_xlfn.MINIFS($DE$156:$DE$235,$DL$156:$DL$235,"&gt;"&amp;Inputs!$I$62)</f>
        <v>0</v>
      </c>
      <c r="AT410" s="512">
        <f>_xlfn.MINIFS($DE$242:$DE$321,$DL$242:$DL$321,"&gt;"&amp;Inputs!$I$62)</f>
        <v>1.4999999999999991</v>
      </c>
      <c r="AU410" s="513">
        <f>IF(Inputs!$F$62/2&gt;MAX(Pile!$DL$70:$DL$149),999999,IF(Pile!AR410/(Pile!AP410/1000)&gt;50,999999,IF(Pile!AR410&lt;2,999999,Pile!AR410)))</f>
        <v>999999</v>
      </c>
      <c r="AV410" s="511">
        <f>IF(Inputs!AR42="Yes",999999,IF(Pile!AS410/(Pile!AP410/1000)&gt;50,999999,IF(Pile!AS410&lt;2,999999,Pile!AS410)))</f>
        <v>999999</v>
      </c>
      <c r="AW410" s="511">
        <f>IF(Inputs!$F$62/2&gt;MAX(Pile!$DL$242:$DL$321),999999,IF(Pile!AT410/(Pile!AP410/1000)&gt;50,999999,IF(Pile!AT410&lt;2,999999,IF(AT410&gt;25,999999,Pile!AT410))))</f>
        <v>999999</v>
      </c>
      <c r="AX410" s="513">
        <f t="shared" si="464"/>
        <v>9047869.5945517626</v>
      </c>
      <c r="AY410" s="511">
        <f t="shared" si="465"/>
        <v>9047869.5945517626</v>
      </c>
      <c r="AZ410" s="512">
        <f t="shared" si="466"/>
        <v>9047869.5945517626</v>
      </c>
      <c r="BA410" s="586">
        <f t="shared" si="467"/>
        <v>91.8</v>
      </c>
      <c r="BB410" s="497">
        <v>2</v>
      </c>
      <c r="BC410" s="487">
        <v>1200</v>
      </c>
      <c r="BD410" s="507">
        <f>Inputs!$D$41*2</f>
        <v>8</v>
      </c>
      <c r="BE410" s="511">
        <f>_xlfn.MINIFS($DE$70:$DE$149,$DL$70:$DL$149,"&gt;"&amp;Inputs!$I$69)</f>
        <v>1.4999999999999991</v>
      </c>
      <c r="BF410" s="511">
        <f>_xlfn.MINIFS($DE$156:$DE$235,$DL$156:$DL$235,"&gt;"&amp;Inputs!$I$69)</f>
        <v>0</v>
      </c>
      <c r="BG410" s="512">
        <f>_xlfn.MINIFS($DE$242:$DE$321,$DL$242:$DL$321,"&gt;"&amp;Inputs!$I$69)</f>
        <v>1.4999999999999991</v>
      </c>
      <c r="BH410" s="513">
        <f>IF(Inputs!$F$69/2&gt;MAX(Pile!$DL$70:$DL$149),999999,IF(Pile!BE410/(Pile!BC410/1000)&gt;50,999999,IF(Pile!BE410&lt;2,999999,Pile!BE410)))</f>
        <v>999999</v>
      </c>
      <c r="BI410" s="511">
        <f>IF(Inputs!BE42="Yes",999999,IF(Pile!BF410/(Pile!BC410/1000)&gt;50,999999,IF(Pile!BF410&lt;2,999999,Pile!BF410)))</f>
        <v>999999</v>
      </c>
      <c r="BJ410" s="511">
        <f>IF(Inputs!$F$69/2&gt;MAX(Pile!$DL$242:$DL$321),999999,IF(Pile!BG410/(Pile!BC410/1000)&gt;50,999999,IF(Pile!BG410&lt;2,999999,IF(BG410&gt;25,999999,Pile!BG410))))</f>
        <v>999999</v>
      </c>
      <c r="BK410" s="513">
        <f t="shared" si="468"/>
        <v>9047869.5945517626</v>
      </c>
      <c r="BL410" s="511">
        <f t="shared" si="469"/>
        <v>9047869.5945517626</v>
      </c>
      <c r="BM410" s="512">
        <f t="shared" si="470"/>
        <v>9047869.5945517626</v>
      </c>
      <c r="BN410" s="586">
        <f t="shared" si="471"/>
        <v>91.8</v>
      </c>
      <c r="BO410" s="497">
        <v>2</v>
      </c>
      <c r="BP410" s="487">
        <v>1200</v>
      </c>
      <c r="BQ410" s="507">
        <f>Inputs!$D$41*2</f>
        <v>8</v>
      </c>
      <c r="BR410" s="511">
        <f>_xlfn.MINIFS($DE$70:$DE$149,$DL$70:$DL$149,"&gt;"&amp;Inputs!$I$76)</f>
        <v>1.4999999999999991</v>
      </c>
      <c r="BS410" s="511">
        <f>_xlfn.MINIFS($DE$156:$DE$235,$DL$156:$DL$235,"&gt;"&amp;Inputs!$I$76)</f>
        <v>0</v>
      </c>
      <c r="BT410" s="512">
        <f>_xlfn.MINIFS($DE$242:$DE$321,$DL$242:$DL$321,"&gt;"&amp;Inputs!$I$76)</f>
        <v>1.4999999999999991</v>
      </c>
      <c r="BU410" s="513">
        <f>IF(Inputs!$F$76/2&gt;MAX(Pile!$DL$70:$DL$149),999999,IF(Pile!BR410/(Pile!BP410/1000)&gt;50,999999,IF(Pile!BR410&lt;2,999999,Pile!BR410)))</f>
        <v>999999</v>
      </c>
      <c r="BV410" s="511">
        <f>IF(Inputs!BR42="Yes",999999,IF(Pile!BS410/(Pile!BP410/1000)&gt;50,999999,IF(Pile!BS410&lt;2,999999,Pile!BS410)))</f>
        <v>999999</v>
      </c>
      <c r="BW410" s="511">
        <f>IF(Inputs!$F$76/2&gt;MAX(Pile!$DL$242:$DL$321),999999,IF(Pile!BT410/(Pile!BP410/1000)&gt;50,999999,IF(Pile!BT410&lt;2,999999,IF(BT410&gt;25,999999,Pile!BT410))))</f>
        <v>999999</v>
      </c>
      <c r="BX410" s="513">
        <f t="shared" si="472"/>
        <v>9047869.5945517626</v>
      </c>
      <c r="BY410" s="511">
        <f t="shared" si="473"/>
        <v>9047869.5945517626</v>
      </c>
      <c r="BZ410" s="512">
        <f t="shared" si="474"/>
        <v>9047869.5945517626</v>
      </c>
      <c r="CA410" s="586">
        <f t="shared" si="475"/>
        <v>91.8</v>
      </c>
      <c r="CB410" s="497">
        <v>2</v>
      </c>
      <c r="CC410" s="487">
        <v>1200</v>
      </c>
      <c r="CD410" s="507">
        <f>Inputs!$D$41*2</f>
        <v>8</v>
      </c>
      <c r="CE410" s="511">
        <f>_xlfn.MINIFS($DE$70:$DE$149,$DL$70:$DL$149,"&gt;"&amp;Inputs!$I$83)</f>
        <v>1.1999999999999993</v>
      </c>
      <c r="CF410" s="511">
        <f>_xlfn.MINIFS($DE$156:$DE$235,$DL$156:$DL$235,"&gt;"&amp;Inputs!$I$83)</f>
        <v>0</v>
      </c>
      <c r="CG410" s="512">
        <f>_xlfn.MINIFS($DE$242:$DE$321,$DL$242:$DL$321,"&gt;"&amp;Inputs!$I$83)</f>
        <v>1.1999999999999993</v>
      </c>
      <c r="CH410" s="513">
        <f>IF(Inputs!$F$83/2&gt;MAX(Pile!$DL$70:$DL$149),999999,IF(Pile!CE410/(Pile!CC410/1000)&gt;50,999999,IF(Pile!CE410&lt;2,999999,Pile!CE410)))</f>
        <v>999999</v>
      </c>
      <c r="CI410" s="511">
        <f>IF(Inputs!CE42="Yes",999999,IF(Pile!CF410/(Pile!CC410/1000)&gt;50,999999,IF(Pile!CF410&lt;2,999999,Pile!CF410)))</f>
        <v>999999</v>
      </c>
      <c r="CJ410" s="511">
        <f>IF(Inputs!$F$83/2&gt;MAX(Pile!$DL$242:$DL$321),999999,IF(Pile!CG410/(Pile!CC410/1000)&gt;50,999999,IF(Pile!CG410&lt;2,999999,IF(CG410&gt;25,999999,Pile!CG410))))</f>
        <v>999999</v>
      </c>
      <c r="CK410" s="513">
        <f t="shared" si="476"/>
        <v>9047869.5945517626</v>
      </c>
      <c r="CL410" s="511">
        <f t="shared" si="477"/>
        <v>9047869.5945517626</v>
      </c>
      <c r="CM410" s="512">
        <f t="shared" si="478"/>
        <v>9047869.5945517626</v>
      </c>
      <c r="CN410" s="586">
        <f t="shared" si="479"/>
        <v>91.8</v>
      </c>
      <c r="CO410" s="497">
        <v>2</v>
      </c>
      <c r="CP410" s="487">
        <v>1200</v>
      </c>
      <c r="CQ410" s="507">
        <f>Inputs!$D$41*2</f>
        <v>8</v>
      </c>
      <c r="CR410" s="511">
        <f>_xlfn.MINIFS($DE$70:$DE$149,$DL$70:$DL$149,"&gt;"&amp;Inputs!$I$90)</f>
        <v>1.1999999999999993</v>
      </c>
      <c r="CS410" s="511">
        <f>_xlfn.MINIFS($DE$156:$DE$235,$DL$156:$DL$235,"&gt;"&amp;Inputs!$I$90)</f>
        <v>0</v>
      </c>
      <c r="CT410" s="512">
        <f>_xlfn.MINIFS($DE$242:$DE$321,$DL$242:$DL$321,"&gt;"&amp;Inputs!$I$90)</f>
        <v>1.1999999999999993</v>
      </c>
      <c r="CU410" s="513">
        <f>IF(Inputs!$F$90/2&gt;MAX(Pile!$DL$70:$DL$149),999999,IF(Pile!CR410/(Pile!CP410/1000)&gt;50,999999,IF(Pile!CR410&lt;2,999999,Pile!CR410)))</f>
        <v>999999</v>
      </c>
      <c r="CV410" s="511">
        <f>IF(Inputs!CR42="Yes",999999,IF(Pile!CS410/(Pile!CP410/1000)&gt;50,999999,IF(Pile!CS410&lt;2,999999,Pile!CS410)))</f>
        <v>999999</v>
      </c>
      <c r="CW410" s="511">
        <f>IF(Inputs!$F$90/2&gt;MAX(Pile!$DL$242:$DL$321),999999,IF(Pile!CT410/(Pile!CP410/1000)&gt;50,999999,IF(Pile!CT410&lt;2,999999,IF(CT410&gt;25,999999,Pile!CT410))))</f>
        <v>999999</v>
      </c>
      <c r="CX410" s="513">
        <f t="shared" si="480"/>
        <v>9047869.5945517626</v>
      </c>
      <c r="CY410" s="511">
        <f t="shared" si="481"/>
        <v>9047869.5945517626</v>
      </c>
      <c r="CZ410" s="512">
        <f t="shared" si="482"/>
        <v>9047869.5945517626</v>
      </c>
      <c r="DA410" s="586">
        <f t="shared" si="483"/>
        <v>91.8</v>
      </c>
      <c r="DB410" s="497">
        <v>2</v>
      </c>
      <c r="DC410" s="487">
        <v>1200</v>
      </c>
      <c r="DD410" s="507">
        <f>Inputs!$D$41*2</f>
        <v>8</v>
      </c>
      <c r="DE410" s="511">
        <f>_xlfn.MINIFS($DE$70:$DE$149,$DL$70:$DL$149,"&gt;"&amp;Inputs!$I$97)</f>
        <v>1.1999999999999993</v>
      </c>
      <c r="DF410" s="511">
        <f>_xlfn.MINIFS($DE$156:$DE$235,$DL$156:$DL$235,"&gt;"&amp;Inputs!$I$97)</f>
        <v>0</v>
      </c>
      <c r="DG410" s="512">
        <f>_xlfn.MINIFS($DE$242:$DE$321,$DL$242:$DL$321,"&gt;"&amp;Inputs!$I$97)</f>
        <v>1.1999999999999993</v>
      </c>
      <c r="DH410" s="513">
        <f>IF(Inputs!$F$97/2&gt;MAX(Pile!$DL$70:$DL$149),999999,IF(Pile!DE410/(Pile!DC410/1000)&gt;50,999999,IF(Pile!DE410&lt;2,999999,Pile!DE410)))</f>
        <v>999999</v>
      </c>
      <c r="DI410" s="511">
        <f>IF(Inputs!DE42="Yes",999999,IF(Pile!DF410/(Pile!DC410/1000)&gt;50,999999,IF(Pile!DF410&lt;2,999999,Pile!DF410)))</f>
        <v>999999</v>
      </c>
      <c r="DJ410" s="511">
        <f>IF(Inputs!$F$97/2&gt;MAX(Pile!$DL$242:$DL$321),999999,IF(Pile!DG410/(Pile!DC410/1000)&gt;50,999999,IF(Pile!DG410&lt;2,999999,IF(DG410&gt;25,999999,Pile!DG410))))</f>
        <v>999999</v>
      </c>
      <c r="DK410" s="513">
        <f t="shared" si="484"/>
        <v>9047869.5945517626</v>
      </c>
      <c r="DL410" s="511">
        <f t="shared" si="485"/>
        <v>9047869.5945517626</v>
      </c>
      <c r="DM410" s="512">
        <f t="shared" si="486"/>
        <v>9047869.5945517626</v>
      </c>
      <c r="DN410" s="586">
        <f t="shared" si="487"/>
        <v>91.8</v>
      </c>
      <c r="DO410" s="497">
        <v>2</v>
      </c>
      <c r="DP410" s="487">
        <v>1200</v>
      </c>
      <c r="DQ410" s="507">
        <f>Inputs!$D$41*2</f>
        <v>8</v>
      </c>
      <c r="DR410" s="511">
        <f>_xlfn.MINIFS($DE$70:$DE$149,$DL$70:$DL$149,"&gt;"&amp;Inputs!$I$104)</f>
        <v>0.89999999999999947</v>
      </c>
      <c r="DS410" s="511">
        <f>_xlfn.MINIFS($DE$156:$DE$235,$DL$156:$DL$235,"&gt;"&amp;Inputs!$I$104)</f>
        <v>0</v>
      </c>
      <c r="DT410" s="512">
        <f>_xlfn.MINIFS($DE$242:$DE$321,$DL$242:$DL$321,"&gt;"&amp;Inputs!$I$104)</f>
        <v>0.89999999999999947</v>
      </c>
      <c r="DU410" s="513">
        <f>IF(Inputs!$F$104/2&gt;MAX(Pile!$DL$70:$DL$149),999999,IF(Pile!DR410/(Pile!DP410/1000)&gt;50,999999,IF(Pile!DR410&lt;2,999999,Pile!DR410)))</f>
        <v>999999</v>
      </c>
      <c r="DV410" s="511">
        <f>IF(Inputs!DR42="Yes",999999,IF(Pile!DS410/(Pile!DP410/1000)&gt;50,999999,IF(Pile!DS410&lt;2,999999,Pile!DS410)))</f>
        <v>999999</v>
      </c>
      <c r="DW410" s="511">
        <f>IF(Inputs!$F$104/2&gt;MAX(Pile!$DL$242:$DL$321),999999,IF(Pile!DT410/(Pile!DP410/1000)&gt;50,999999,IF(Pile!DT410&lt;2,999999,IF(DT410&gt;25,999999,Pile!DT410))))</f>
        <v>999999</v>
      </c>
      <c r="DX410" s="513">
        <f t="shared" si="488"/>
        <v>9047869.5945517626</v>
      </c>
      <c r="DY410" s="511">
        <f t="shared" si="489"/>
        <v>9047869.5945517626</v>
      </c>
      <c r="DZ410" s="512">
        <f t="shared" si="490"/>
        <v>9047869.5945517626</v>
      </c>
      <c r="EA410" s="586">
        <f t="shared" si="491"/>
        <v>91.8</v>
      </c>
      <c r="EB410" s="497">
        <v>2</v>
      </c>
      <c r="EC410" s="487">
        <v>1200</v>
      </c>
      <c r="ED410" s="507">
        <f>Inputs!$D$41*2</f>
        <v>8</v>
      </c>
      <c r="EE410" s="511">
        <f>_xlfn.MINIFS($DE$70:$DE$149,$DL$70:$DL$149,"&gt;"&amp;Inputs!$I$111)</f>
        <v>0.89999999999999947</v>
      </c>
      <c r="EF410" s="511">
        <f>_xlfn.MINIFS($DE$156:$DE$235,$DL$156:$DL$235,"&gt;"&amp;Inputs!$I$111)</f>
        <v>0</v>
      </c>
      <c r="EG410" s="512">
        <f>_xlfn.MINIFS($DE$242:$DE$321,$DL$242:$DL$321,"&gt;"&amp;Inputs!$I$111)</f>
        <v>0.89999999999999947</v>
      </c>
      <c r="EH410" s="513">
        <f>IF(Inputs!$F$111/2&gt;MAX(Pile!$DL$70:$DL$149),999999,IF(Pile!EE410/(Pile!EC410/1000)&gt;50,999999,IF(Pile!EE410&lt;2,999999,Pile!EE410)))</f>
        <v>999999</v>
      </c>
      <c r="EI410" s="511">
        <f>IF(Inputs!EE42="Yes",999999,IF(Pile!EF410/(Pile!EC410/1000)&gt;50,999999,IF(Pile!EF410&lt;2,999999,Pile!EF410)))</f>
        <v>999999</v>
      </c>
      <c r="EJ410" s="511">
        <f>IF(Inputs!$F$111/2&gt;MAX(Pile!$DL$242:$DL$321),999999,IF(Pile!EG410/(Pile!EC410/1000)&gt;50,999999,IF(Pile!EG410&lt;2,999999,IF(EG410&gt;25,999999,Pile!EG410))))</f>
        <v>999999</v>
      </c>
      <c r="EK410" s="513">
        <f t="shared" si="492"/>
        <v>9047869.5945517626</v>
      </c>
      <c r="EL410" s="511">
        <f t="shared" si="493"/>
        <v>9047869.5945517626</v>
      </c>
      <c r="EM410" s="512">
        <f t="shared" si="494"/>
        <v>9047869.5945517626</v>
      </c>
      <c r="EN410" s="586">
        <f t="shared" si="495"/>
        <v>91.8</v>
      </c>
      <c r="EO410" s="497">
        <v>2</v>
      </c>
      <c r="EP410" s="487">
        <v>1200</v>
      </c>
      <c r="EQ410" s="507">
        <f>Inputs!$D$41*2</f>
        <v>8</v>
      </c>
      <c r="ER410" s="511">
        <f>_xlfn.MINIFS($DE$70:$DE$149,$DL$70:$DL$149,"&gt;"&amp;Inputs!$I$118)</f>
        <v>0.29999999999999982</v>
      </c>
      <c r="ES410" s="511">
        <f>_xlfn.MINIFS($DE$156:$DE$235,$DL$156:$DL$235,"&gt;"&amp;Inputs!$I$118)</f>
        <v>0</v>
      </c>
      <c r="ET410" s="512">
        <f>_xlfn.MINIFS($DE$242:$DE$321,$DL$242:$DL$321,"&gt;"&amp;Inputs!$I$118)</f>
        <v>0.29999999999999982</v>
      </c>
      <c r="EU410" s="513">
        <f>IF(Inputs!$F$118/2&gt;MAX(Pile!$DL$70:$DL$149),999999,IF(Pile!ER410/(Pile!EP410/1000)&gt;50,999999,IF(Pile!ER410&lt;2,999999,Pile!ER410)))</f>
        <v>999999</v>
      </c>
      <c r="EV410" s="511">
        <f>IF(Inputs!ER42="Yes",999999,IF(Inputs!$F$118&gt;MAX(Pile!$DG$156:$DG$235),999999,IF(Pile!ES410/(Pile!EP410/1000)&gt;50,999999,IF(Pile!ES410&lt;2,999999,Pile!ES410))))</f>
        <v>999999</v>
      </c>
      <c r="EW410" s="511">
        <f>IF(Inputs!$F$118/2&gt;MAX(Pile!$DL$242:$DL$321),999999,IF(Pile!ET410/(Pile!EP410/1000)&gt;50,999999,IF(Pile!ET410&lt;2,999999,IF(ET410&gt;25,999999,Pile!ET410))))</f>
        <v>999999</v>
      </c>
      <c r="EX410" s="513">
        <f t="shared" si="451"/>
        <v>9047777.7945517618</v>
      </c>
      <c r="EY410" s="511">
        <f t="shared" si="452"/>
        <v>9047777.7945517618</v>
      </c>
      <c r="EZ410" s="512">
        <f t="shared" si="453"/>
        <v>9047777.7945517618</v>
      </c>
      <c r="FA410" s="585"/>
      <c r="FB410" s="585"/>
    </row>
    <row r="411" spans="2:158" ht="15">
      <c r="B411" s="517">
        <v>3</v>
      </c>
      <c r="C411" s="492">
        <v>450</v>
      </c>
      <c r="D411" s="518">
        <f>Inputs!$D$41*3</f>
        <v>12</v>
      </c>
      <c r="E411" s="519">
        <f>_xlfn.MINIFS($DE$70:$DE$149,$DG$70:$DG$149,"&gt;"&amp;Inputs!$J$41)</f>
        <v>4.799999999999998</v>
      </c>
      <c r="F411" s="519">
        <f>_xlfn.MINIFS($DE$156:$DE$235,$DG$156:$DG$235,"&gt;"&amp;Inputs!$J$41)</f>
        <v>4.4999999999999982</v>
      </c>
      <c r="G411" s="520">
        <f>_xlfn.MINIFS($DE$242:$DE$321,$DG$242:$DG$321,"&gt;"&amp;Inputs!$J$41)</f>
        <v>4.4999999999999982</v>
      </c>
      <c r="H411" s="521">
        <f>IF(Inputs!$F$41/3&gt;MAX(Pile!$DG$70:$DG$149),999999,IF(Pile!E411/(Pile!C411/1000)&gt;50,999999,IF(Pile!E411&lt;2,999999,Pile!E411)))</f>
        <v>4.799999999999998</v>
      </c>
      <c r="I411" s="519">
        <f>IF(Inputs!E43="Yes",999999,IF(Pile!F411/(Pile!C411/1000)&gt;50,999999,IF(Pile!F411&lt;2,999999,Pile!F411)))</f>
        <v>4.4999999999999982</v>
      </c>
      <c r="J411" s="519">
        <f>IF(Inputs!$F$41/3&gt;MAX(Pile!$DG$242:$DG$321),999999,IF(Pile!G411/(Pile!C411/1000)&gt;50,999999,IF(Pile!G411&lt;2,999999,IF(G411&gt;25,999999,Pile!G411))))</f>
        <v>4.4999999999999982</v>
      </c>
      <c r="K411" s="521">
        <f t="shared" si="454"/>
        <v>22.120884177867836</v>
      </c>
      <c r="L411" s="519">
        <f t="shared" si="455"/>
        <v>21.548328916751096</v>
      </c>
      <c r="M411" s="520">
        <f t="shared" si="456"/>
        <v>21.548328916751096</v>
      </c>
      <c r="N411" s="585">
        <f>Inputs!$D$41*F459</f>
        <v>12.96</v>
      </c>
      <c r="O411" s="517">
        <v>3</v>
      </c>
      <c r="P411" s="492">
        <v>450</v>
      </c>
      <c r="Q411" s="518">
        <f>Inputs!$D$41*3</f>
        <v>12</v>
      </c>
      <c r="R411" s="519">
        <f>_xlfn.MINIFS($DE$70:$DE$149,$DG$70:$DG$149,"&gt;"&amp;Inputs!$J$48)</f>
        <v>4.799999999999998</v>
      </c>
      <c r="S411" s="519">
        <f>_xlfn.MINIFS($DE$156:$DE$235,$DG$156:$DG$235,"&gt;"&amp;Inputs!$J$48)</f>
        <v>4.4999999999999982</v>
      </c>
      <c r="T411" s="520">
        <f>_xlfn.MINIFS($DE$242:$DE$321,$DG$242:$DG$321,"&gt;"&amp;Inputs!$J$48)</f>
        <v>4.4999999999999982</v>
      </c>
      <c r="U411" s="521">
        <f>IF(Inputs!$F$48/3&gt;MAX(Pile!$DG$70:$DG$149),999999,IF(Pile!R411/(Pile!P411/1000)&gt;50,999999,IF(Pile!R411&lt;2,999999,Pile!R411)))</f>
        <v>4.799999999999998</v>
      </c>
      <c r="V411" s="519">
        <f>IF(Inputs!R43="Yes",999999,IF(Pile!S411/(Pile!P411/1000)&gt;50,999999,IF(Pile!S411&lt;2,999999,Pile!S411)))</f>
        <v>4.4999999999999982</v>
      </c>
      <c r="W411" s="519">
        <f>IF(Inputs!$F$48/3&gt;MAX(Pile!$DG$242:$DG$321),999999,IF(Pile!T411/(Pile!P411/1000)&gt;50,999999,IF(Pile!T411&lt;2,999999,IF(T411&gt;25,999999,Pile!T411))))</f>
        <v>4.4999999999999982</v>
      </c>
      <c r="X411" s="521">
        <f t="shared" si="457"/>
        <v>22.120884177867836</v>
      </c>
      <c r="Y411" s="519">
        <f t="shared" si="458"/>
        <v>21.548328916751096</v>
      </c>
      <c r="Z411" s="520">
        <f t="shared" si="459"/>
        <v>21.548328916751096</v>
      </c>
      <c r="AA411" s="467">
        <f t="shared" si="496"/>
        <v>12.96</v>
      </c>
      <c r="AB411" s="522">
        <v>3</v>
      </c>
      <c r="AC411" s="498">
        <v>450</v>
      </c>
      <c r="AD411" s="523">
        <f>Inputs!$D$41*3</f>
        <v>12</v>
      </c>
      <c r="AE411" s="519">
        <f>_xlfn.MINIFS($DE$70:$DE$149,$DG$70:$DG$149,"&gt;"&amp;Inputs!$J$55)</f>
        <v>4.799999999999998</v>
      </c>
      <c r="AF411" s="519">
        <f>_xlfn.MINIFS($DE$156:$DE$235,$DG$156:$DG$235,"&gt;"&amp;Inputs!$J$55)</f>
        <v>4.4999999999999982</v>
      </c>
      <c r="AG411" s="520">
        <f>_xlfn.MINIFS($DE$242:$DE$321,$DG$242:$DG$321,"&gt;"&amp;Inputs!$J$55)</f>
        <v>4.4999999999999982</v>
      </c>
      <c r="AH411" s="521">
        <f>IF(Inputs!$F$55/3&gt;MAX(Pile!$DG$70:$DG$149),999999,IF(Pile!AE411/(Pile!AC411/1000)&gt;50,999999,IF(Pile!AE411&lt;2,999999,Pile!AE411)))</f>
        <v>4.799999999999998</v>
      </c>
      <c r="AI411" s="519">
        <f>IF(Inputs!AE43="Yes",999999,IF(Pile!AF411/(Pile!AC411/1000)&gt;50,999999,IF(Pile!AF411&lt;2,999999,Pile!AF411)))</f>
        <v>4.4999999999999982</v>
      </c>
      <c r="AJ411" s="519">
        <f>IF(Inputs!$F$55/3&gt;MAX(Pile!$DG$242:$DG$321),999999,IF(Pile!AG411/(Pile!AC411/1000)&gt;50,999999,IF(Pile!AG411&lt;2,999999,IF(AG411&gt;25,999999,Pile!AG411))))</f>
        <v>4.4999999999999982</v>
      </c>
      <c r="AK411" s="521">
        <f t="shared" si="460"/>
        <v>22.120884177867836</v>
      </c>
      <c r="AL411" s="519">
        <f t="shared" si="461"/>
        <v>21.548328916751096</v>
      </c>
      <c r="AM411" s="520">
        <f t="shared" si="462"/>
        <v>21.548328916751096</v>
      </c>
      <c r="AN411" s="586">
        <f t="shared" si="463"/>
        <v>12.96</v>
      </c>
      <c r="AO411" s="522">
        <v>3</v>
      </c>
      <c r="AP411" s="498">
        <v>450</v>
      </c>
      <c r="AQ411" s="523">
        <f>Inputs!$D$41*3</f>
        <v>12</v>
      </c>
      <c r="AR411" s="519">
        <f>_xlfn.MINIFS($DE$70:$DE$149,$DG$70:$DG$149,"&gt;"&amp;Inputs!$J$62)</f>
        <v>4.799999999999998</v>
      </c>
      <c r="AS411" s="519">
        <f>_xlfn.MINIFS($DE$156:$DE$235,$DG$156:$DG$235,"&gt;"&amp;Inputs!$J$62)</f>
        <v>4.4999999999999982</v>
      </c>
      <c r="AT411" s="520">
        <f>_xlfn.MINIFS($DE$242:$DE$321,$DG$242:$DG$321,"&gt;"&amp;Inputs!$J$62)</f>
        <v>4.4999999999999982</v>
      </c>
      <c r="AU411" s="521">
        <f>IF(Inputs!$F$62/3&gt;MAX(Pile!$DG$70:$DG$149),999999,IF(Pile!AR411/(Pile!AP411/1000)&gt;50,999999,IF(Pile!AR411&lt;2,999999,Pile!AR411)))</f>
        <v>4.799999999999998</v>
      </c>
      <c r="AV411" s="519">
        <f>IF(Inputs!AR43="Yes",999999,IF(Pile!AS411/(Pile!AP411/1000)&gt;50,999999,IF(Pile!AS411&lt;2,999999,Pile!AS411)))</f>
        <v>4.4999999999999982</v>
      </c>
      <c r="AW411" s="519">
        <f>IF(Inputs!$F$62/3&gt;MAX(Pile!$DG$242:$DG$321),999999,IF(Pile!AT411/(Pile!AP411/1000)&gt;50,999999,IF(Pile!AT411&lt;2,999999,IF(AT411&gt;25,999999,Pile!AT411))))</f>
        <v>4.4999999999999982</v>
      </c>
      <c r="AX411" s="521">
        <f t="shared" si="464"/>
        <v>22.120884177867836</v>
      </c>
      <c r="AY411" s="519">
        <f t="shared" si="465"/>
        <v>21.548328916751096</v>
      </c>
      <c r="AZ411" s="520">
        <f t="shared" si="466"/>
        <v>21.548328916751096</v>
      </c>
      <c r="BA411" s="586">
        <f t="shared" si="467"/>
        <v>12.96</v>
      </c>
      <c r="BB411" s="522">
        <v>3</v>
      </c>
      <c r="BC411" s="498">
        <v>450</v>
      </c>
      <c r="BD411" s="523">
        <f>Inputs!$D$41*3</f>
        <v>12</v>
      </c>
      <c r="BE411" s="519">
        <f>_xlfn.MINIFS($DE$70:$DE$149,$DG$70:$DG$149,"&gt;"&amp;Inputs!$J$69)</f>
        <v>4.799999999999998</v>
      </c>
      <c r="BF411" s="519">
        <f>_xlfn.MINIFS($DE$156:$DE$235,$DG$156:$DG$235,"&gt;"&amp;Inputs!$J$69)</f>
        <v>4.4999999999999982</v>
      </c>
      <c r="BG411" s="520">
        <f>_xlfn.MINIFS($DE$242:$DE$321,$DG$242:$DG$321,"&gt;"&amp;Inputs!$J$69)</f>
        <v>4.4999999999999982</v>
      </c>
      <c r="BH411" s="521">
        <f>IF(Inputs!$F$69/3&gt;MAX(Pile!$DG$70:$DG$149),999999,IF(Pile!BE411/(Pile!BC411/1000)&gt;50,999999,IF(Pile!BE411&lt;2,999999,Pile!BE411)))</f>
        <v>4.799999999999998</v>
      </c>
      <c r="BI411" s="519">
        <f>IF(Inputs!BE43="Yes",999999,IF(Pile!BF411/(Pile!BC411/1000)&gt;50,999999,IF(Pile!BF411&lt;2,999999,Pile!BF411)))</f>
        <v>4.4999999999999982</v>
      </c>
      <c r="BJ411" s="519">
        <f>IF(Inputs!$F$69/3&gt;MAX(Pile!$DG$242:$DG$321),999999,IF(Pile!BG411/(Pile!BC411/1000)&gt;50,999999,IF(Pile!BG411&lt;2,999999,IF(BG411&gt;25,999999,Pile!BG411))))</f>
        <v>4.4999999999999982</v>
      </c>
      <c r="BK411" s="521">
        <f t="shared" si="468"/>
        <v>22.120884177867836</v>
      </c>
      <c r="BL411" s="519">
        <f t="shared" si="469"/>
        <v>21.548328916751096</v>
      </c>
      <c r="BM411" s="520">
        <f t="shared" si="470"/>
        <v>21.548328916751096</v>
      </c>
      <c r="BN411" s="586">
        <f t="shared" si="471"/>
        <v>12.96</v>
      </c>
      <c r="BO411" s="522">
        <v>3</v>
      </c>
      <c r="BP411" s="498">
        <v>450</v>
      </c>
      <c r="BQ411" s="523">
        <f>Inputs!$D$41*3</f>
        <v>12</v>
      </c>
      <c r="BR411" s="519">
        <f>_xlfn.MINIFS($DE$70:$DE$149,$DG$70:$DG$149,"&gt;"&amp;Inputs!$J$76)</f>
        <v>4.799999999999998</v>
      </c>
      <c r="BS411" s="519">
        <f>_xlfn.MINIFS($DE$156:$DE$235,$DG$156:$DG$235,"&gt;"&amp;Inputs!$J$76)</f>
        <v>4.4999999999999982</v>
      </c>
      <c r="BT411" s="520">
        <f>_xlfn.MINIFS($DE$242:$DE$321,$DG$242:$DG$321,"&gt;"&amp;Inputs!$J$76)</f>
        <v>4.4999999999999982</v>
      </c>
      <c r="BU411" s="521">
        <f>IF(Inputs!$F$76/3&gt;MAX(Pile!$DG$70:$DG$149),999999,IF(Pile!BR411/(Pile!BP411/1000)&gt;50,999999,IF(Pile!BR411&lt;2,999999,Pile!BR411)))</f>
        <v>4.799999999999998</v>
      </c>
      <c r="BV411" s="519">
        <f>IF(Inputs!BR43="Yes",999999,IF(Pile!BS411/(Pile!BP411/1000)&gt;50,999999,IF(Pile!BS411&lt;2,999999,Pile!BS411)))</f>
        <v>4.4999999999999982</v>
      </c>
      <c r="BW411" s="519">
        <f>IF(Inputs!$F$76/3&gt;MAX(Pile!$DG$242:$DG$321),999999,IF(Pile!BT411/(Pile!BP411/1000)&gt;50,999999,IF(Pile!BT411&lt;2,999999,IF(BT411&gt;25,999999,Pile!BT411))))</f>
        <v>4.4999999999999982</v>
      </c>
      <c r="BX411" s="521">
        <f t="shared" si="472"/>
        <v>22.120884177867836</v>
      </c>
      <c r="BY411" s="519">
        <f t="shared" si="473"/>
        <v>21.548328916751096</v>
      </c>
      <c r="BZ411" s="520">
        <f t="shared" si="474"/>
        <v>21.548328916751096</v>
      </c>
      <c r="CA411" s="586">
        <f t="shared" si="475"/>
        <v>12.96</v>
      </c>
      <c r="CB411" s="522">
        <v>3</v>
      </c>
      <c r="CC411" s="498">
        <v>450</v>
      </c>
      <c r="CD411" s="523">
        <f>Inputs!$D$41*3</f>
        <v>12</v>
      </c>
      <c r="CE411" s="519">
        <f>_xlfn.MINIFS($DE$70:$DE$149,$DG$70:$DG$149,"&gt;"&amp;Inputs!$J$83)</f>
        <v>3.5999999999999979</v>
      </c>
      <c r="CF411" s="519">
        <f>_xlfn.MINIFS($DE$156:$DE$235,$DG$156:$DG$235,"&gt;"&amp;Inputs!$J$83)</f>
        <v>3.299999999999998</v>
      </c>
      <c r="CG411" s="520">
        <f>_xlfn.MINIFS($DE$242:$DE$321,$DG$242:$DG$321,"&gt;"&amp;Inputs!$J$83)</f>
        <v>3.299999999999998</v>
      </c>
      <c r="CH411" s="521">
        <f>IF(Inputs!$F$83/3&gt;MAX(Pile!$DG$70:$DG$149),999999,IF(Pile!CE411/(Pile!CC411/1000)&gt;50,999999,IF(Pile!CE411&lt;2,999999,Pile!CE411)))</f>
        <v>3.5999999999999979</v>
      </c>
      <c r="CI411" s="519">
        <f>IF(Inputs!CE43="Yes",999999,IF(Pile!CF411/(Pile!CC411/1000)&gt;50,999999,IF(Pile!CF411&lt;2,999999,Pile!CF411)))</f>
        <v>3.299999999999998</v>
      </c>
      <c r="CJ411" s="519">
        <f>IF(Inputs!$F$83/3&gt;MAX(Pile!$DG$242:$DG$321),999999,IF(Pile!CG411/(Pile!CC411/1000)&gt;50,999999,IF(Pile!CG411&lt;2,999999,IF(CG411&gt;25,999999,Pile!CG411))))</f>
        <v>3.299999999999998</v>
      </c>
      <c r="CK411" s="521">
        <f t="shared" si="476"/>
        <v>19.830663133400876</v>
      </c>
      <c r="CL411" s="519">
        <f t="shared" si="477"/>
        <v>19.258107872284135</v>
      </c>
      <c r="CM411" s="520">
        <f t="shared" si="478"/>
        <v>19.258107872284135</v>
      </c>
      <c r="CN411" s="586">
        <f t="shared" si="479"/>
        <v>12.96</v>
      </c>
      <c r="CO411" s="522">
        <v>3</v>
      </c>
      <c r="CP411" s="498">
        <v>450</v>
      </c>
      <c r="CQ411" s="523">
        <f>Inputs!$D$41*3</f>
        <v>12</v>
      </c>
      <c r="CR411" s="519">
        <f>_xlfn.MINIFS($DE$70:$DE$149,$DG$70:$DG$149,"&gt;"&amp;Inputs!$J$90)</f>
        <v>3.299999999999998</v>
      </c>
      <c r="CS411" s="519">
        <f>_xlfn.MINIFS($DE$156:$DE$235,$DG$156:$DG$235,"&gt;"&amp;Inputs!$J$90)</f>
        <v>2.9999999999999982</v>
      </c>
      <c r="CT411" s="520">
        <f>_xlfn.MINIFS($DE$242:$DE$321,$DG$242:$DG$321,"&gt;"&amp;Inputs!$J$90)</f>
        <v>3.299999999999998</v>
      </c>
      <c r="CU411" s="521">
        <f>IF(Inputs!$F$90/3&gt;MAX(Pile!$DG$70:$DG$149),999999,IF(Pile!CR411/(Pile!CP411/1000)&gt;50,999999,IF(Pile!CR411&lt;2,999999,Pile!CR411)))</f>
        <v>3.299999999999998</v>
      </c>
      <c r="CV411" s="519">
        <f>IF(Inputs!CR43="Yes",999999,IF(Pile!CS411/(Pile!CP411/1000)&gt;50,999999,IF(Pile!CS411&lt;2,999999,Pile!CS411)))</f>
        <v>2.9999999999999982</v>
      </c>
      <c r="CW411" s="519">
        <f>IF(Inputs!$F$90/3&gt;MAX(Pile!$DG$242:$DG$321),999999,IF(Pile!CT411/(Pile!CP411/1000)&gt;50,999999,IF(Pile!CT411&lt;2,999999,IF(CT411&gt;25,999999,Pile!CT411))))</f>
        <v>3.299999999999998</v>
      </c>
      <c r="CX411" s="521">
        <f t="shared" si="480"/>
        <v>19.258107872284135</v>
      </c>
      <c r="CY411" s="519">
        <f t="shared" si="481"/>
        <v>18.685552611167395</v>
      </c>
      <c r="CZ411" s="520">
        <f t="shared" si="482"/>
        <v>19.258107872284135</v>
      </c>
      <c r="DA411" s="586">
        <f t="shared" si="483"/>
        <v>12.96</v>
      </c>
      <c r="DB411" s="522">
        <v>3</v>
      </c>
      <c r="DC411" s="498">
        <v>450</v>
      </c>
      <c r="DD411" s="523">
        <f>Inputs!$D$41*3</f>
        <v>12</v>
      </c>
      <c r="DE411" s="519">
        <f>_xlfn.MINIFS($DE$70:$DE$149,$DG$70:$DG$149,"&gt;"&amp;Inputs!$J$97)</f>
        <v>3.5999999999999979</v>
      </c>
      <c r="DF411" s="519">
        <f>_xlfn.MINIFS($DE$156:$DE$235,$DG$156:$DG$235,"&gt;"&amp;Inputs!$J$97)</f>
        <v>2.9999999999999982</v>
      </c>
      <c r="DG411" s="520">
        <f>_xlfn.MINIFS($DE$242:$DE$321,$DG$242:$DG$321,"&gt;"&amp;Inputs!$J$97)</f>
        <v>3.299999999999998</v>
      </c>
      <c r="DH411" s="521">
        <f>IF(Inputs!$F$97/3&gt;MAX(Pile!$DG$70:$DG$149),999999,IF(Pile!DE411/(Pile!DC411/1000)&gt;50,999999,IF(Pile!DE411&lt;2,999999,Pile!DE411)))</f>
        <v>3.5999999999999979</v>
      </c>
      <c r="DI411" s="519">
        <f>IF(Inputs!DE43="Yes",999999,IF(Pile!DF411/(Pile!DC411/1000)&gt;50,999999,IF(Pile!DF411&lt;2,999999,Pile!DF411)))</f>
        <v>2.9999999999999982</v>
      </c>
      <c r="DJ411" s="519">
        <f>IF(Inputs!$F$97/3&gt;MAX(Pile!$DG$242:$DG$321),999999,IF(Pile!DG411/(Pile!DC411/1000)&gt;50,999999,IF(Pile!DG411&lt;2,999999,IF(DG411&gt;25,999999,Pile!DG411))))</f>
        <v>3.299999999999998</v>
      </c>
      <c r="DK411" s="521">
        <f t="shared" si="484"/>
        <v>19.830663133400876</v>
      </c>
      <c r="DL411" s="519">
        <f t="shared" si="485"/>
        <v>18.685552611167395</v>
      </c>
      <c r="DM411" s="520">
        <f t="shared" si="486"/>
        <v>19.258107872284135</v>
      </c>
      <c r="DN411" s="586">
        <f t="shared" si="487"/>
        <v>12.96</v>
      </c>
      <c r="DO411" s="522">
        <v>3</v>
      </c>
      <c r="DP411" s="498">
        <v>450</v>
      </c>
      <c r="DQ411" s="523">
        <f>Inputs!$D$41*3</f>
        <v>12</v>
      </c>
      <c r="DR411" s="519">
        <f>_xlfn.MINIFS($DE$70:$DE$149,$DG$70:$DG$149,"&gt;"&amp;Inputs!$J$104)</f>
        <v>2.9999999999999982</v>
      </c>
      <c r="DS411" s="519">
        <f>_xlfn.MINIFS($DE$156:$DE$235,$DG$156:$DG$235,"&gt;"&amp;Inputs!$J$104)</f>
        <v>2.6999999999999984</v>
      </c>
      <c r="DT411" s="520">
        <f>_xlfn.MINIFS($DE$242:$DE$321,$DG$242:$DG$321,"&gt;"&amp;Inputs!$J$104)</f>
        <v>2.6999999999999984</v>
      </c>
      <c r="DU411" s="521">
        <f>IF(Inputs!$F$104/3&gt;MAX(Pile!$DG$70:$DG$149),999999,IF(Pile!DR411/(Pile!DP411/1000)&gt;50,999999,IF(Pile!DR411&lt;2,999999,Pile!DR411)))</f>
        <v>2.9999999999999982</v>
      </c>
      <c r="DV411" s="519">
        <f>IF(Inputs!DR43="Yes",999999,IF(Pile!DS411/(Pile!DP411/1000)&gt;50,999999,IF(Pile!DS411&lt;2,999999,Pile!DS411)))</f>
        <v>2.6999999999999984</v>
      </c>
      <c r="DW411" s="519">
        <f>IF(Inputs!$F$104/3&gt;MAX(Pile!$DG$242:$DG$321),999999,IF(Pile!DT411/(Pile!DP411/1000)&gt;50,999999,IF(Pile!DT411&lt;2,999999,IF(DT411&gt;25,999999,Pile!DT411))))</f>
        <v>2.6999999999999984</v>
      </c>
      <c r="DX411" s="521">
        <f t="shared" si="488"/>
        <v>18.685552611167395</v>
      </c>
      <c r="DY411" s="519">
        <f t="shared" si="489"/>
        <v>18.112997350050655</v>
      </c>
      <c r="DZ411" s="520">
        <f t="shared" si="490"/>
        <v>18.112997350050655</v>
      </c>
      <c r="EA411" s="586">
        <f t="shared" si="491"/>
        <v>12.96</v>
      </c>
      <c r="EB411" s="522">
        <v>3</v>
      </c>
      <c r="EC411" s="498">
        <v>450</v>
      </c>
      <c r="ED411" s="523">
        <f>Inputs!$D$41*3</f>
        <v>12</v>
      </c>
      <c r="EE411" s="519">
        <f>_xlfn.MINIFS($DE$70:$DE$149,$DG$70:$DG$149,"&gt;"&amp;Inputs!$J$111)</f>
        <v>2.9999999999999982</v>
      </c>
      <c r="EF411" s="519">
        <f>_xlfn.MINIFS($DE$156:$DE$235,$DG$156:$DG$235,"&gt;"&amp;Inputs!$J$111)</f>
        <v>2.6999999999999984</v>
      </c>
      <c r="EG411" s="520">
        <f>_xlfn.MINIFS($DE$242:$DE$321,$DG$242:$DG$321,"&gt;"&amp;Inputs!$J$111)</f>
        <v>2.6999999999999984</v>
      </c>
      <c r="EH411" s="521">
        <f>IF(Inputs!$F$111/3&gt;MAX(Pile!$DG$70:$DG$149),999999,IF(Pile!EE411/(Pile!EC411/1000)&gt;50,999999,IF(Pile!EE411&lt;2,999999,Pile!EE411)))</f>
        <v>2.9999999999999982</v>
      </c>
      <c r="EI411" s="519">
        <f>IF(Inputs!EE43="Yes",999999,IF(Pile!EF411/(Pile!EC411/1000)&gt;50,999999,IF(Pile!EF411&lt;2,999999,Pile!EF411)))</f>
        <v>2.6999999999999984</v>
      </c>
      <c r="EJ411" s="519">
        <f>IF(Inputs!$F$111/3&gt;MAX(Pile!$DG$242:$DG$321),999999,IF(Pile!EG411/(Pile!EC411/1000)&gt;50,999999,IF(Pile!EG411&lt;2,999999,IF(EG411&gt;25,999999,Pile!EG411))))</f>
        <v>2.6999999999999984</v>
      </c>
      <c r="EK411" s="521">
        <f t="shared" si="492"/>
        <v>18.685552611167395</v>
      </c>
      <c r="EL411" s="519">
        <f t="shared" si="493"/>
        <v>18.112997350050655</v>
      </c>
      <c r="EM411" s="520">
        <f t="shared" si="494"/>
        <v>18.112997350050655</v>
      </c>
      <c r="EN411" s="586">
        <f t="shared" si="495"/>
        <v>12.96</v>
      </c>
      <c r="EO411" s="522">
        <v>3</v>
      </c>
      <c r="EP411" s="498">
        <v>450</v>
      </c>
      <c r="EQ411" s="523">
        <f>Inputs!$D$41*3</f>
        <v>12</v>
      </c>
      <c r="ER411" s="519">
        <f>_xlfn.MINIFS($DE$70:$DE$149,$DG$70:$DG$149,"&gt;"&amp;Inputs!$J$118)</f>
        <v>0.29999999999999982</v>
      </c>
      <c r="ES411" s="519">
        <f>_xlfn.MINIFS($DE$156:$DE$235,$DG$156:$DG$235,"&gt;"&amp;Inputs!$J$118)</f>
        <v>0.29999999999999982</v>
      </c>
      <c r="ET411" s="520">
        <f>_xlfn.MINIFS($DE$242:$DE$321,$DG$242:$DG$321,"&gt;"&amp;Inputs!$J$118)</f>
        <v>0.29999999999999982</v>
      </c>
      <c r="EU411" s="521">
        <f>IF(Inputs!$F$118/3&gt;MAX(Pile!$DG$70:$DG$149),999999,IF(Pile!ER411/(Pile!EP411/1000)&gt;50,999999,IF(Pile!ER411&lt;2,999999,Pile!ER411)))</f>
        <v>999999</v>
      </c>
      <c r="EV411" s="519">
        <f>IF(Inputs!ER43="Yes",999999,IF(Inputs!$F$118&gt;MAX(Pile!$DG$156:$DG$235),999999,IF(Pile!ES411/(Pile!EP411/1000)&gt;50,999999,IF(Pile!ES411&lt;2,999999,Pile!ES411))))</f>
        <v>999999</v>
      </c>
      <c r="EW411" s="519">
        <f>IF(Inputs!$F$118/3&gt;MAX(Pile!$DG$242:$DG$321),999999,IF(Pile!ET411/(Pile!EP411/1000)&gt;50,999999,IF(Pile!ET411&lt;2,999999,IF(ET411&gt;25,999999,Pile!ET411))))</f>
        <v>999999</v>
      </c>
      <c r="EX411" s="521">
        <f t="shared" si="451"/>
        <v>1908515.6285382626</v>
      </c>
      <c r="EY411" s="519">
        <f t="shared" si="452"/>
        <v>1908515.6285382626</v>
      </c>
      <c r="EZ411" s="520">
        <f t="shared" si="453"/>
        <v>1908515.6285382626</v>
      </c>
      <c r="FA411" s="585"/>
      <c r="FB411" s="585"/>
    </row>
    <row r="412" spans="2:158" ht="15">
      <c r="B412" s="517">
        <v>3</v>
      </c>
      <c r="C412" s="476">
        <v>600</v>
      </c>
      <c r="D412" s="527">
        <f>Inputs!$D$41*3</f>
        <v>12</v>
      </c>
      <c r="E412" s="528">
        <f>_xlfn.MINIFS($DE$70:$DE$149,$DH$70:$DH$149,"&gt;"&amp;Inputs!$J$41)</f>
        <v>3.299999999999998</v>
      </c>
      <c r="F412" s="528">
        <f>_xlfn.MINIFS($DE$156:$DE$235,$DH$156:$DH$235,"&gt;"&amp;Inputs!$J$41)</f>
        <v>2.9999999999999982</v>
      </c>
      <c r="G412" s="529">
        <f>_xlfn.MINIFS($DE$242:$DE$321,$DH$242:$DH$321,"&gt;"&amp;Inputs!$J$41)</f>
        <v>3.299999999999998</v>
      </c>
      <c r="H412" s="530">
        <f>IF(Inputs!$F$41/3&gt;MAX(Pile!$DH$70:$DH$149),999999,IF(Pile!E412/(Pile!C412/1000)&gt;50,999999,IF(Pile!E412&lt;2,999999,Pile!E412)))</f>
        <v>3.299999999999998</v>
      </c>
      <c r="I412" s="528">
        <f>IF(Inputs!E44="Yes",999999,IF(Pile!F412/(Pile!C412/1000)&gt;50,999999,IF(Pile!F412&lt;2,999999,Pile!F412)))</f>
        <v>2.9999999999999982</v>
      </c>
      <c r="J412" s="528">
        <f>IF(Inputs!$F$41/3&gt;MAX(Pile!$DH$242:$DH$321),999999,IF(Pile!G412/(Pile!C412/1000)&gt;50,999999,IF(Pile!G412&lt;2,999999,IF(G412&gt;25,999999,Pile!G412))))</f>
        <v>3.299999999999998</v>
      </c>
      <c r="K412" s="530">
        <f t="shared" si="454"/>
        <v>40.540636217394017</v>
      </c>
      <c r="L412" s="528">
        <f t="shared" si="455"/>
        <v>39.522760197630923</v>
      </c>
      <c r="M412" s="529">
        <f t="shared" si="456"/>
        <v>40.540636217394017</v>
      </c>
      <c r="N412" s="585">
        <f>Inputs!$D$41*F460</f>
        <v>29.343999999999998</v>
      </c>
      <c r="O412" s="517">
        <v>3</v>
      </c>
      <c r="P412" s="476">
        <v>600</v>
      </c>
      <c r="Q412" s="527">
        <f>Inputs!$D$41*3</f>
        <v>12</v>
      </c>
      <c r="R412" s="528">
        <f>_xlfn.MINIFS($DE$70:$DE$149,$DH$70:$DH$149,"&gt;"&amp;Inputs!$J$48)</f>
        <v>3.299999999999998</v>
      </c>
      <c r="S412" s="528">
        <f>_xlfn.MINIFS($DE$156:$DE$235,$DH$156:$DH$235,"&gt;"&amp;Inputs!$J$48)</f>
        <v>2.9999999999999982</v>
      </c>
      <c r="T412" s="529">
        <f>_xlfn.MINIFS($DE$242:$DE$321,$DH$242:$DH$321,"&gt;"&amp;Inputs!$J$48)</f>
        <v>3.299999999999998</v>
      </c>
      <c r="U412" s="530">
        <f>IF(Inputs!$F$48/3&gt;MAX(Pile!$DH$70:$DH$149),999999,IF(Pile!R412/(Pile!P412/1000)&gt;50,999999,IF(Pile!R412&lt;2,999999,Pile!R412)))</f>
        <v>3.299999999999998</v>
      </c>
      <c r="V412" s="528">
        <f>IF(Inputs!R44="Yes",999999,IF(Pile!S412/(Pile!P412/1000)&gt;50,999999,IF(Pile!S412&lt;2,999999,Pile!S412)))</f>
        <v>2.9999999999999982</v>
      </c>
      <c r="W412" s="528">
        <f>IF(Inputs!$F$48/3&gt;MAX(Pile!$DH$242:$DH$321),999999,IF(Pile!T412/(Pile!P412/1000)&gt;50,999999,IF(Pile!T412&lt;2,999999,IF(T412&gt;25,999999,Pile!T412))))</f>
        <v>3.299999999999998</v>
      </c>
      <c r="X412" s="530">
        <f t="shared" si="457"/>
        <v>40.540636217394017</v>
      </c>
      <c r="Y412" s="528">
        <f t="shared" si="458"/>
        <v>39.522760197630923</v>
      </c>
      <c r="Z412" s="529">
        <f t="shared" si="459"/>
        <v>40.540636217394017</v>
      </c>
      <c r="AA412" s="467">
        <f t="shared" si="496"/>
        <v>29.343999999999998</v>
      </c>
      <c r="AB412" s="522">
        <v>3</v>
      </c>
      <c r="AC412" s="479">
        <v>600</v>
      </c>
      <c r="AD412" s="531">
        <f>Inputs!$D$41*3</f>
        <v>12</v>
      </c>
      <c r="AE412" s="528">
        <f>_xlfn.MINIFS($DE$70:$DE$149,$DH$70:$DH$149,"&gt;"&amp;Inputs!$J$55)</f>
        <v>3.299999999999998</v>
      </c>
      <c r="AF412" s="528">
        <f>_xlfn.MINIFS($DE$156:$DE$235,$DH$156:$DH$235,"&gt;"&amp;Inputs!$J$55)</f>
        <v>2.9999999999999982</v>
      </c>
      <c r="AG412" s="529">
        <f>_xlfn.MINIFS($DE$242:$DE$321,$DH$242:$DH$321,"&gt;"&amp;Inputs!$J$55)</f>
        <v>3.299999999999998</v>
      </c>
      <c r="AH412" s="530">
        <f>IF(Inputs!$F$55/3&gt;MAX(Pile!$DH$70:$DH$149),999999,IF(Pile!AE412/(Pile!AC412/1000)&gt;50,999999,IF(Pile!AE412&lt;2,999999,Pile!AE412)))</f>
        <v>3.299999999999998</v>
      </c>
      <c r="AI412" s="528">
        <f>IF(Inputs!AE44="Yes",999999,IF(Pile!AF412/(Pile!AC412/1000)&gt;50,999999,IF(Pile!AF412&lt;2,999999,Pile!AF412)))</f>
        <v>2.9999999999999982</v>
      </c>
      <c r="AJ412" s="528">
        <f>IF(Inputs!$F$55/3&gt;MAX(Pile!$DH$242:$DH$321),999999,IF(Pile!AG412/(Pile!AC412/1000)&gt;50,999999,IF(Pile!AG412&lt;2,999999,IF(AG412&gt;25,999999,Pile!AG412))))</f>
        <v>3.299999999999998</v>
      </c>
      <c r="AK412" s="530">
        <f t="shared" si="460"/>
        <v>40.540636217394017</v>
      </c>
      <c r="AL412" s="528">
        <f t="shared" si="461"/>
        <v>39.522760197630923</v>
      </c>
      <c r="AM412" s="529">
        <f t="shared" si="462"/>
        <v>40.540636217394017</v>
      </c>
      <c r="AN412" s="586">
        <f t="shared" si="463"/>
        <v>29.343999999999998</v>
      </c>
      <c r="AO412" s="522">
        <v>3</v>
      </c>
      <c r="AP412" s="479">
        <v>600</v>
      </c>
      <c r="AQ412" s="531">
        <f>Inputs!$D$41*3</f>
        <v>12</v>
      </c>
      <c r="AR412" s="528">
        <f>_xlfn.MINIFS($DE$70:$DE$149,$DH$70:$DH$149,"&gt;"&amp;Inputs!$J$62)</f>
        <v>3.299999999999998</v>
      </c>
      <c r="AS412" s="528">
        <f>_xlfn.MINIFS($DE$156:$DE$235,$DH$156:$DH$235,"&gt;"&amp;Inputs!$J$62)</f>
        <v>2.9999999999999982</v>
      </c>
      <c r="AT412" s="529">
        <f>_xlfn.MINIFS($DE$242:$DE$321,$DH$242:$DH$321,"&gt;"&amp;Inputs!$J$62)</f>
        <v>3.299999999999998</v>
      </c>
      <c r="AU412" s="530">
        <f>IF(Inputs!$F$62/3&gt;MAX(Pile!$DH$70:$DH$149),999999,IF(Pile!AR412/(Pile!AP412/1000)&gt;50,999999,IF(Pile!AR412&lt;2,999999,Pile!AR412)))</f>
        <v>3.299999999999998</v>
      </c>
      <c r="AV412" s="528">
        <f>IF(Inputs!AR44="Yes",999999,IF(Pile!AS412/(Pile!AP412/1000)&gt;50,999999,IF(Pile!AS412&lt;2,999999,Pile!AS412)))</f>
        <v>2.9999999999999982</v>
      </c>
      <c r="AW412" s="528">
        <f>IF(Inputs!$F$62/3&gt;MAX(Pile!$DH$242:$DH$321),999999,IF(Pile!AT412/(Pile!AP412/1000)&gt;50,999999,IF(Pile!AT412&lt;2,999999,IF(AT412&gt;25,999999,Pile!AT412))))</f>
        <v>3.299999999999998</v>
      </c>
      <c r="AX412" s="530">
        <f t="shared" si="464"/>
        <v>40.540636217394017</v>
      </c>
      <c r="AY412" s="528">
        <f t="shared" si="465"/>
        <v>39.522760197630923</v>
      </c>
      <c r="AZ412" s="529">
        <f t="shared" si="466"/>
        <v>40.540636217394017</v>
      </c>
      <c r="BA412" s="586">
        <f t="shared" si="467"/>
        <v>29.343999999999998</v>
      </c>
      <c r="BB412" s="522">
        <v>3</v>
      </c>
      <c r="BC412" s="479">
        <v>600</v>
      </c>
      <c r="BD412" s="531">
        <f>Inputs!$D$41*3</f>
        <v>12</v>
      </c>
      <c r="BE412" s="528">
        <f>_xlfn.MINIFS($DE$70:$DE$149,$DH$70:$DH$149,"&gt;"&amp;Inputs!$J$69)</f>
        <v>3.299999999999998</v>
      </c>
      <c r="BF412" s="528">
        <f>_xlfn.MINIFS($DE$156:$DE$235,$DH$156:$DH$235,"&gt;"&amp;Inputs!$J$69)</f>
        <v>2.9999999999999982</v>
      </c>
      <c r="BG412" s="529">
        <f>_xlfn.MINIFS($DE$242:$DE$321,$DH$242:$DH$321,"&gt;"&amp;Inputs!$J$69)</f>
        <v>3.299999999999998</v>
      </c>
      <c r="BH412" s="530">
        <f>IF(Inputs!$F$69/3&gt;MAX(Pile!$DH$70:$DH$149),999999,IF(Pile!BE412/(Pile!BC412/1000)&gt;50,999999,IF(Pile!BE412&lt;2,999999,Pile!BE412)))</f>
        <v>3.299999999999998</v>
      </c>
      <c r="BI412" s="528">
        <f>IF(Inputs!BE44="Yes",999999,IF(Pile!BF412/(Pile!BC412/1000)&gt;50,999999,IF(Pile!BF412&lt;2,999999,Pile!BF412)))</f>
        <v>2.9999999999999982</v>
      </c>
      <c r="BJ412" s="528">
        <f>IF(Inputs!$F$69/3&gt;MAX(Pile!$DH$242:$DH$321),999999,IF(Pile!BG412/(Pile!BC412/1000)&gt;50,999999,IF(Pile!BG412&lt;2,999999,IF(BG412&gt;25,999999,Pile!BG412))))</f>
        <v>3.299999999999998</v>
      </c>
      <c r="BK412" s="530">
        <f t="shared" si="468"/>
        <v>40.540636217394017</v>
      </c>
      <c r="BL412" s="528">
        <f t="shared" si="469"/>
        <v>39.522760197630923</v>
      </c>
      <c r="BM412" s="529">
        <f t="shared" si="470"/>
        <v>40.540636217394017</v>
      </c>
      <c r="BN412" s="586">
        <f t="shared" si="471"/>
        <v>29.343999999999998</v>
      </c>
      <c r="BO412" s="522">
        <v>3</v>
      </c>
      <c r="BP412" s="479">
        <v>600</v>
      </c>
      <c r="BQ412" s="531">
        <f>Inputs!$D$41*3</f>
        <v>12</v>
      </c>
      <c r="BR412" s="528">
        <f>_xlfn.MINIFS($DE$70:$DE$149,$DH$70:$DH$149,"&gt;"&amp;Inputs!$J$76)</f>
        <v>3.299999999999998</v>
      </c>
      <c r="BS412" s="528">
        <f>_xlfn.MINIFS($DE$156:$DE$235,$DH$156:$DH$235,"&gt;"&amp;Inputs!$J$76)</f>
        <v>2.9999999999999982</v>
      </c>
      <c r="BT412" s="529">
        <f>_xlfn.MINIFS($DE$242:$DE$321,$DH$242:$DH$321,"&gt;"&amp;Inputs!$J$76)</f>
        <v>3.299999999999998</v>
      </c>
      <c r="BU412" s="530">
        <f>IF(Inputs!$F$76/3&gt;MAX(Pile!$DH$70:$DH$149),999999,IF(Pile!BR412/(Pile!BP412/1000)&gt;50,999999,IF(Pile!BR412&lt;2,999999,Pile!BR412)))</f>
        <v>3.299999999999998</v>
      </c>
      <c r="BV412" s="528">
        <f>IF(Inputs!BR44="Yes",999999,IF(Pile!BS412/(Pile!BP412/1000)&gt;50,999999,IF(Pile!BS412&lt;2,999999,Pile!BS412)))</f>
        <v>2.9999999999999982</v>
      </c>
      <c r="BW412" s="528">
        <f>IF(Inputs!$F$76/3&gt;MAX(Pile!$DH$242:$DH$321),999999,IF(Pile!BT412/(Pile!BP412/1000)&gt;50,999999,IF(Pile!BT412&lt;2,999999,IF(BT412&gt;25,999999,Pile!BT412))))</f>
        <v>3.299999999999998</v>
      </c>
      <c r="BX412" s="530">
        <f t="shared" si="472"/>
        <v>40.540636217394017</v>
      </c>
      <c r="BY412" s="528">
        <f t="shared" si="473"/>
        <v>39.522760197630923</v>
      </c>
      <c r="BZ412" s="529">
        <f t="shared" si="474"/>
        <v>40.540636217394017</v>
      </c>
      <c r="CA412" s="586">
        <f t="shared" si="475"/>
        <v>29.343999999999998</v>
      </c>
      <c r="CB412" s="522">
        <v>3</v>
      </c>
      <c r="CC412" s="479">
        <v>600</v>
      </c>
      <c r="CD412" s="531">
        <f>Inputs!$D$41*3</f>
        <v>12</v>
      </c>
      <c r="CE412" s="528">
        <f>_xlfn.MINIFS($DE$70:$DE$149,$DH$70:$DH$149,"&gt;"&amp;Inputs!$J$83)</f>
        <v>2.3999999999999986</v>
      </c>
      <c r="CF412" s="528">
        <f>_xlfn.MINIFS($DE$156:$DE$235,$DH$156:$DH$235,"&gt;"&amp;Inputs!$J$83)</f>
        <v>2.0999999999999988</v>
      </c>
      <c r="CG412" s="529">
        <f>_xlfn.MINIFS($DE$242:$DE$321,$DH$242:$DH$321,"&gt;"&amp;Inputs!$J$83)</f>
        <v>2.3999999999999986</v>
      </c>
      <c r="CH412" s="530">
        <f>IF(Inputs!$F$83/3&gt;MAX(Pile!$DH$70:$DH$149),999999,IF(Pile!CE412/(Pile!CC412/1000)&gt;50,999999,IF(Pile!CE412&lt;2,999999,Pile!CE412)))</f>
        <v>2.3999999999999986</v>
      </c>
      <c r="CI412" s="528">
        <f>IF(Inputs!CE44="Yes",999999,IF(Pile!CF412/(Pile!CC412/1000)&gt;50,999999,IF(Pile!CF412&lt;2,999999,Pile!CF412)))</f>
        <v>2.0999999999999988</v>
      </c>
      <c r="CJ412" s="528">
        <f>IF(Inputs!$F$83/3&gt;MAX(Pile!$DH$242:$DH$321),999999,IF(Pile!CG412/(Pile!CC412/1000)&gt;50,999999,IF(Pile!CG412&lt;2,999999,IF(CG412&gt;25,999999,Pile!CG412))))</f>
        <v>2.3999999999999986</v>
      </c>
      <c r="CK412" s="530">
        <f t="shared" si="476"/>
        <v>37.487008158104736</v>
      </c>
      <c r="CL412" s="528">
        <f t="shared" si="477"/>
        <v>36.469132138341642</v>
      </c>
      <c r="CM412" s="529">
        <f t="shared" si="478"/>
        <v>37.487008158104736</v>
      </c>
      <c r="CN412" s="586">
        <f t="shared" si="479"/>
        <v>29.343999999999998</v>
      </c>
      <c r="CO412" s="522">
        <v>3</v>
      </c>
      <c r="CP412" s="479">
        <v>600</v>
      </c>
      <c r="CQ412" s="531">
        <f>Inputs!$D$41*3</f>
        <v>12</v>
      </c>
      <c r="CR412" s="528">
        <f>_xlfn.MINIFS($DE$70:$DE$149,$DH$70:$DH$149,"&gt;"&amp;Inputs!$J$90)</f>
        <v>2.3999999999999986</v>
      </c>
      <c r="CS412" s="528">
        <f>_xlfn.MINIFS($DE$156:$DE$235,$DH$156:$DH$235,"&gt;"&amp;Inputs!$J$90)</f>
        <v>2.0999999999999988</v>
      </c>
      <c r="CT412" s="529">
        <f>_xlfn.MINIFS($DE$242:$DE$321,$DH$242:$DH$321,"&gt;"&amp;Inputs!$J$90)</f>
        <v>2.0999999999999988</v>
      </c>
      <c r="CU412" s="530">
        <f>IF(Inputs!$F$90/3&gt;MAX(Pile!$DH$70:$DH$149),999999,IF(Pile!CR412/(Pile!CP412/1000)&gt;50,999999,IF(Pile!CR412&lt;2,999999,Pile!CR412)))</f>
        <v>2.3999999999999986</v>
      </c>
      <c r="CV412" s="528">
        <f>IF(Inputs!CR44="Yes",999999,IF(Pile!CS412/(Pile!CP412/1000)&gt;50,999999,IF(Pile!CS412&lt;2,999999,Pile!CS412)))</f>
        <v>2.0999999999999988</v>
      </c>
      <c r="CW412" s="528">
        <f>IF(Inputs!$F$90/3&gt;MAX(Pile!$DH$242:$DH$321),999999,IF(Pile!CT412/(Pile!CP412/1000)&gt;50,999999,IF(Pile!CT412&lt;2,999999,IF(CT412&gt;25,999999,Pile!CT412))))</f>
        <v>2.0999999999999988</v>
      </c>
      <c r="CX412" s="530">
        <f t="shared" si="480"/>
        <v>37.487008158104736</v>
      </c>
      <c r="CY412" s="528">
        <f t="shared" si="481"/>
        <v>36.469132138341642</v>
      </c>
      <c r="CZ412" s="529">
        <f t="shared" si="482"/>
        <v>36.469132138341642</v>
      </c>
      <c r="DA412" s="586">
        <f t="shared" si="483"/>
        <v>29.343999999999998</v>
      </c>
      <c r="DB412" s="522">
        <v>3</v>
      </c>
      <c r="DC412" s="479">
        <v>600</v>
      </c>
      <c r="DD412" s="531">
        <f>Inputs!$D$41*3</f>
        <v>12</v>
      </c>
      <c r="DE412" s="528">
        <f>_xlfn.MINIFS($DE$70:$DE$149,$DH$70:$DH$149,"&gt;"&amp;Inputs!$J$97)</f>
        <v>2.3999999999999986</v>
      </c>
      <c r="DF412" s="528">
        <f>_xlfn.MINIFS($DE$156:$DE$235,$DH$156:$DH$235,"&gt;"&amp;Inputs!$J$97)</f>
        <v>2.0999999999999988</v>
      </c>
      <c r="DG412" s="529">
        <f>_xlfn.MINIFS($DE$242:$DE$321,$DH$242:$DH$321,"&gt;"&amp;Inputs!$J$97)</f>
        <v>2.0999999999999988</v>
      </c>
      <c r="DH412" s="530">
        <f>IF(Inputs!$F$97/3&gt;MAX(Pile!$DH$70:$DH$149),999999,IF(Pile!DE412/(Pile!DC412/1000)&gt;50,999999,IF(Pile!DE412&lt;2,999999,Pile!DE412)))</f>
        <v>2.3999999999999986</v>
      </c>
      <c r="DI412" s="528">
        <f>IF(Inputs!DE44="Yes",999999,IF(Pile!DF412/(Pile!DC412/1000)&gt;50,999999,IF(Pile!DF412&lt;2,999999,Pile!DF412)))</f>
        <v>2.0999999999999988</v>
      </c>
      <c r="DJ412" s="528">
        <f>IF(Inputs!$F$97/3&gt;MAX(Pile!$DH$242:$DH$321),999999,IF(Pile!DG412/(Pile!DC412/1000)&gt;50,999999,IF(Pile!DG412&lt;2,999999,IF(DG412&gt;25,999999,Pile!DG412))))</f>
        <v>2.0999999999999988</v>
      </c>
      <c r="DK412" s="530">
        <f t="shared" si="484"/>
        <v>37.487008158104736</v>
      </c>
      <c r="DL412" s="528">
        <f t="shared" si="485"/>
        <v>36.469132138341642</v>
      </c>
      <c r="DM412" s="529">
        <f t="shared" si="486"/>
        <v>36.469132138341642</v>
      </c>
      <c r="DN412" s="586">
        <f t="shared" si="487"/>
        <v>29.343999999999998</v>
      </c>
      <c r="DO412" s="522">
        <v>3</v>
      </c>
      <c r="DP412" s="479">
        <v>600</v>
      </c>
      <c r="DQ412" s="531">
        <f>Inputs!$D$41*3</f>
        <v>12</v>
      </c>
      <c r="DR412" s="528">
        <f>_xlfn.MINIFS($DE$70:$DE$149,$DH$70:$DH$149,"&gt;"&amp;Inputs!$J$104)</f>
        <v>2.0999999999999988</v>
      </c>
      <c r="DS412" s="528">
        <f>_xlfn.MINIFS($DE$156:$DE$235,$DH$156:$DH$235,"&gt;"&amp;Inputs!$J$104)</f>
        <v>1.7999999999999989</v>
      </c>
      <c r="DT412" s="529">
        <f>_xlfn.MINIFS($DE$242:$DE$321,$DH$242:$DH$321,"&gt;"&amp;Inputs!$J$104)</f>
        <v>1.7999999999999989</v>
      </c>
      <c r="DU412" s="530">
        <f>IF(Inputs!$F$104/3&gt;MAX(Pile!$DH$70:$DH$149),999999,IF(Pile!DR412/(Pile!DP412/1000)&gt;50,999999,IF(Pile!DR412&lt;2,999999,Pile!DR412)))</f>
        <v>2.0999999999999988</v>
      </c>
      <c r="DV412" s="528">
        <f>IF(Inputs!DR44="Yes",999999,IF(Pile!DS412/(Pile!DP412/1000)&gt;50,999999,IF(Pile!DS412&lt;2,999999,Pile!DS412)))</f>
        <v>999999</v>
      </c>
      <c r="DW412" s="528">
        <f>IF(Inputs!$F$104/3&gt;MAX(Pile!$DH$242:$DH$321),999999,IF(Pile!DT412/(Pile!DP412/1000)&gt;50,999999,IF(Pile!DT412&lt;2,999999,IF(DT412&gt;25,999999,Pile!DT412))))</f>
        <v>999999</v>
      </c>
      <c r="DX412" s="530">
        <f t="shared" si="488"/>
        <v>36.469132138341642</v>
      </c>
      <c r="DY412" s="528">
        <f t="shared" si="489"/>
        <v>3392946.016956911</v>
      </c>
      <c r="DZ412" s="529">
        <f t="shared" si="490"/>
        <v>3392946.016956911</v>
      </c>
      <c r="EA412" s="586">
        <f t="shared" si="491"/>
        <v>29.343999999999998</v>
      </c>
      <c r="EB412" s="522">
        <v>3</v>
      </c>
      <c r="EC412" s="479">
        <v>600</v>
      </c>
      <c r="ED412" s="531">
        <f>Inputs!$D$41*3</f>
        <v>12</v>
      </c>
      <c r="EE412" s="528">
        <f>_xlfn.MINIFS($DE$70:$DE$149,$DH$70:$DH$149,"&gt;"&amp;Inputs!$J$111)</f>
        <v>2.0999999999999988</v>
      </c>
      <c r="EF412" s="528">
        <f>_xlfn.MINIFS($DE$156:$DE$235,$DH$156:$DH$235,"&gt;"&amp;Inputs!$J$111)</f>
        <v>1.7999999999999989</v>
      </c>
      <c r="EG412" s="529">
        <f>_xlfn.MINIFS($DE$242:$DE$321,$DH$242:$DH$321,"&gt;"&amp;Inputs!$J$111)</f>
        <v>1.7999999999999989</v>
      </c>
      <c r="EH412" s="530">
        <f>IF(Inputs!$F$111/3&gt;MAX(Pile!$DH$70:$DH$149),999999,IF(Pile!EE412/(Pile!EC412/1000)&gt;50,999999,IF(Pile!EE412&lt;2,999999,Pile!EE412)))</f>
        <v>2.0999999999999988</v>
      </c>
      <c r="EI412" s="528">
        <f>IF(Inputs!EE44="Yes",999999,IF(Pile!EF412/(Pile!EC412/1000)&gt;50,999999,IF(Pile!EF412&lt;2,999999,Pile!EF412)))</f>
        <v>999999</v>
      </c>
      <c r="EJ412" s="528">
        <f>IF(Inputs!$F$111/3&gt;MAX(Pile!$DH$242:$DH$321),999999,IF(Pile!EG412/(Pile!EC412/1000)&gt;50,999999,IF(Pile!EG412&lt;2,999999,IF(EG412&gt;25,999999,Pile!EG412))))</f>
        <v>999999</v>
      </c>
      <c r="EK412" s="530">
        <f t="shared" si="492"/>
        <v>36.469132138341642</v>
      </c>
      <c r="EL412" s="528">
        <f t="shared" si="493"/>
        <v>3392946.016956911</v>
      </c>
      <c r="EM412" s="529">
        <f t="shared" si="494"/>
        <v>3392946.016956911</v>
      </c>
      <c r="EN412" s="586">
        <f t="shared" si="495"/>
        <v>29.343999999999998</v>
      </c>
      <c r="EO412" s="522">
        <v>3</v>
      </c>
      <c r="EP412" s="479">
        <v>600</v>
      </c>
      <c r="EQ412" s="531">
        <f>Inputs!$D$41*3</f>
        <v>12</v>
      </c>
      <c r="ER412" s="528">
        <f>_xlfn.MINIFS($DE$70:$DE$149,$DH$70:$DH$149,"&gt;"&amp;Inputs!$J$118)</f>
        <v>0.29999999999999982</v>
      </c>
      <c r="ES412" s="528">
        <f>_xlfn.MINIFS($DE$156:$DE$235,$DH$156:$DH$235,"&gt;"&amp;Inputs!$J$118)</f>
        <v>0.29999999999999982</v>
      </c>
      <c r="ET412" s="529">
        <f>_xlfn.MINIFS($DE$242:$DE$321,$DH$242:$DH$321,"&gt;"&amp;Inputs!$J$118)</f>
        <v>0.29999999999999982</v>
      </c>
      <c r="EU412" s="530">
        <f>IF(Inputs!$F$118/3&gt;MAX(Pile!$DH$70:$DH$149),999999,IF(Pile!ER412/(Pile!EP412/1000)&gt;50,999999,IF(Pile!ER412&lt;2,999999,Pile!ER412)))</f>
        <v>999999</v>
      </c>
      <c r="EV412" s="528">
        <f>IF(Inputs!ER44="Yes",999999,IF(Inputs!$F$118&gt;MAX(Pile!$DG$156:$DG$235),999999,IF(Pile!ES412/(Pile!EP412/1000)&gt;50,999999,IF(Pile!ES412&lt;2,999999,Pile!ES412))))</f>
        <v>999999</v>
      </c>
      <c r="EW412" s="528">
        <f>IF(Inputs!$F$118/3&gt;MAX(Pile!$DH$242:$DH$321),999999,IF(Pile!ET412/(Pile!EP412/1000)&gt;50,999999,IF(Pile!ET412&lt;2,999999,IF(ET412&gt;25,999999,Pile!ET412))))</f>
        <v>999999</v>
      </c>
      <c r="EX412" s="530">
        <f t="shared" si="451"/>
        <v>3392916.6729569109</v>
      </c>
      <c r="EY412" s="528">
        <f t="shared" si="452"/>
        <v>3392916.6729569109</v>
      </c>
      <c r="EZ412" s="529">
        <f t="shared" si="453"/>
        <v>3392916.6729569109</v>
      </c>
      <c r="FA412" s="585"/>
      <c r="FB412" s="585"/>
    </row>
    <row r="413" spans="2:158" ht="15">
      <c r="B413" s="517">
        <v>3</v>
      </c>
      <c r="C413" s="476">
        <v>750</v>
      </c>
      <c r="D413" s="527">
        <f>Inputs!$D$41*3</f>
        <v>12</v>
      </c>
      <c r="E413" s="528">
        <f>_xlfn.MINIFS($DE$70:$DE$149,$DI$70:$DI$149,"&gt;"&amp;Inputs!$J$41)</f>
        <v>2.3999999999999986</v>
      </c>
      <c r="F413" s="528">
        <f>_xlfn.MINIFS($DE$156:$DE$235,$DI$156:$DI$235,"&gt;"&amp;Inputs!$J$41)</f>
        <v>2.0999999999999988</v>
      </c>
      <c r="G413" s="529">
        <f>_xlfn.MINIFS($DE$242:$DE$321,$DI$242:$DI$321,"&gt;"&amp;Inputs!$J$41)</f>
        <v>2.3999999999999986</v>
      </c>
      <c r="H413" s="530">
        <f>IF(Inputs!$F$41/3&gt;MAX(Pile!$DI$70:$DI$149),999999,IF(Pile!E413/(Pile!C413/1000)&gt;50,999999,IF(Pile!E413&lt;2,999999,Pile!E413)))</f>
        <v>2.3999999999999986</v>
      </c>
      <c r="I413" s="528">
        <f>IF(Inputs!E45="Yes",999999,IF(Pile!F413/(Pile!C413/1000)&gt;50,999999,IF(Pile!F413&lt;2,999999,Pile!F413)))</f>
        <v>2.0999999999999988</v>
      </c>
      <c r="J413" s="528">
        <f>IF(Inputs!$F$41/3&gt;MAX(Pile!$DI$242:$DI$321),999999,IF(Pile!G413/(Pile!C413/1000)&gt;50,999999,IF(Pile!G413&lt;2,999999,IF(G413&gt;25,999999,Pile!G413))))</f>
        <v>2.3999999999999986</v>
      </c>
      <c r="K413" s="530">
        <f t="shared" si="454"/>
        <v>68.163450247038654</v>
      </c>
      <c r="L413" s="528">
        <f t="shared" si="455"/>
        <v>66.573018966158827</v>
      </c>
      <c r="M413" s="529">
        <f t="shared" si="456"/>
        <v>68.163450247038654</v>
      </c>
      <c r="N413" s="585">
        <f>Inputs!$D$41*F461</f>
        <v>55.440000000000005</v>
      </c>
      <c r="O413" s="517">
        <v>3</v>
      </c>
      <c r="P413" s="476">
        <v>750</v>
      </c>
      <c r="Q413" s="527">
        <f>Inputs!$D$41*3</f>
        <v>12</v>
      </c>
      <c r="R413" s="528">
        <f>_xlfn.MINIFS($DE$70:$DE$149,$DI$70:$DI$149,"&gt;"&amp;Inputs!$J$48)</f>
        <v>2.3999999999999986</v>
      </c>
      <c r="S413" s="528">
        <f>_xlfn.MINIFS($DE$156:$DE$235,$DI$156:$DI$235,"&gt;"&amp;Inputs!$J$48)</f>
        <v>2.0999999999999988</v>
      </c>
      <c r="T413" s="529">
        <f>_xlfn.MINIFS($DE$242:$DE$321,$DI$242:$DI$321,"&gt;"&amp;Inputs!$J$48)</f>
        <v>2.3999999999999986</v>
      </c>
      <c r="U413" s="530">
        <f>IF(Inputs!$F$48/3&gt;MAX(Pile!$DI$70:$DI$149),999999,IF(Pile!R413/(Pile!P413/1000)&gt;50,999999,IF(Pile!R413&lt;2,999999,Pile!R413)))</f>
        <v>2.3999999999999986</v>
      </c>
      <c r="V413" s="528">
        <f>IF(Inputs!R45="Yes",999999,IF(Pile!S413/(Pile!P413/1000)&gt;50,999999,IF(Pile!S413&lt;2,999999,Pile!S413)))</f>
        <v>2.0999999999999988</v>
      </c>
      <c r="W413" s="528">
        <f>IF(Inputs!$F$48/3&gt;MAX(Pile!$DI$242:$DI$321),999999,IF(Pile!T413/(Pile!P413/1000)&gt;50,999999,IF(Pile!T413&lt;2,999999,IF(T413&gt;25,999999,Pile!T413))))</f>
        <v>2.3999999999999986</v>
      </c>
      <c r="X413" s="530">
        <f t="shared" si="457"/>
        <v>68.163450247038654</v>
      </c>
      <c r="Y413" s="528">
        <f t="shared" si="458"/>
        <v>66.573018966158827</v>
      </c>
      <c r="Z413" s="529">
        <f t="shared" si="459"/>
        <v>68.163450247038654</v>
      </c>
      <c r="AA413" s="467">
        <f t="shared" si="496"/>
        <v>55.440000000000005</v>
      </c>
      <c r="AB413" s="522">
        <v>3</v>
      </c>
      <c r="AC413" s="479">
        <v>750</v>
      </c>
      <c r="AD413" s="531">
        <f>Inputs!$D$41*3</f>
        <v>12</v>
      </c>
      <c r="AE413" s="528">
        <f>_xlfn.MINIFS($DE$70:$DE$149,$DI$70:$DI$149,"&gt;"&amp;Inputs!$J$55)</f>
        <v>2.3999999999999986</v>
      </c>
      <c r="AF413" s="528">
        <f>_xlfn.MINIFS($DE$156:$DE$235,$DI$156:$DI$235,"&gt;"&amp;Inputs!$J$55)</f>
        <v>2.0999999999999988</v>
      </c>
      <c r="AG413" s="529">
        <f>_xlfn.MINIFS($DE$242:$DE$321,$DI$242:$DI$321,"&gt;"&amp;Inputs!$J$55)</f>
        <v>2.3999999999999986</v>
      </c>
      <c r="AH413" s="530">
        <f>IF(Inputs!$F$55/3&gt;MAX(Pile!$DI$70:$DI$149),999999,IF(Pile!AE413/(Pile!AC413/1000)&gt;50,999999,IF(Pile!AE413&lt;2,999999,Pile!AE413)))</f>
        <v>2.3999999999999986</v>
      </c>
      <c r="AI413" s="528">
        <f>IF(Inputs!AE45="Yes",999999,IF(Pile!AF413/(Pile!AC413/1000)&gt;50,999999,IF(Pile!AF413&lt;2,999999,Pile!AF413)))</f>
        <v>2.0999999999999988</v>
      </c>
      <c r="AJ413" s="528">
        <f>IF(Inputs!$F$55/3&gt;MAX(Pile!$DI$242:$DI$321),999999,IF(Pile!AG413/(Pile!AC413/1000)&gt;50,999999,IF(Pile!AG413&lt;2,999999,IF(AG413&gt;25,999999,Pile!AG413))))</f>
        <v>2.3999999999999986</v>
      </c>
      <c r="AK413" s="530">
        <f t="shared" si="460"/>
        <v>68.163450247038654</v>
      </c>
      <c r="AL413" s="528">
        <f t="shared" si="461"/>
        <v>66.573018966158827</v>
      </c>
      <c r="AM413" s="529">
        <f t="shared" si="462"/>
        <v>68.163450247038654</v>
      </c>
      <c r="AN413" s="586">
        <f t="shared" si="463"/>
        <v>55.440000000000005</v>
      </c>
      <c r="AO413" s="522">
        <v>3</v>
      </c>
      <c r="AP413" s="479">
        <v>750</v>
      </c>
      <c r="AQ413" s="531">
        <f>Inputs!$D$41*3</f>
        <v>12</v>
      </c>
      <c r="AR413" s="528">
        <f>_xlfn.MINIFS($DE$70:$DE$149,$DI$70:$DI$149,"&gt;"&amp;Inputs!$J$62)</f>
        <v>2.3999999999999986</v>
      </c>
      <c r="AS413" s="528">
        <f>_xlfn.MINIFS($DE$156:$DE$235,$DI$156:$DI$235,"&gt;"&amp;Inputs!$J$62)</f>
        <v>2.0999999999999988</v>
      </c>
      <c r="AT413" s="529">
        <f>_xlfn.MINIFS($DE$242:$DE$321,$DI$242:$DI$321,"&gt;"&amp;Inputs!$J$62)</f>
        <v>2.3999999999999986</v>
      </c>
      <c r="AU413" s="530">
        <f>IF(Inputs!$F$62/3&gt;MAX(Pile!$DI$70:$DI$149),999999,IF(Pile!AR413/(Pile!AP413/1000)&gt;50,999999,IF(Pile!AR413&lt;2,999999,Pile!AR413)))</f>
        <v>2.3999999999999986</v>
      </c>
      <c r="AV413" s="528">
        <f>IF(Inputs!AR45="Yes",999999,IF(Pile!AS413/(Pile!AP413/1000)&gt;50,999999,IF(Pile!AS413&lt;2,999999,Pile!AS413)))</f>
        <v>2.0999999999999988</v>
      </c>
      <c r="AW413" s="528">
        <f>IF(Inputs!$F$62/3&gt;MAX(Pile!$DI$242:$DI$321),999999,IF(Pile!AT413/(Pile!AP413/1000)&gt;50,999999,IF(Pile!AT413&lt;2,999999,IF(AT413&gt;25,999999,Pile!AT413))))</f>
        <v>2.3999999999999986</v>
      </c>
      <c r="AX413" s="530">
        <f t="shared" si="464"/>
        <v>68.163450247038654</v>
      </c>
      <c r="AY413" s="528">
        <f t="shared" si="465"/>
        <v>66.573018966158827</v>
      </c>
      <c r="AZ413" s="529">
        <f t="shared" si="466"/>
        <v>68.163450247038654</v>
      </c>
      <c r="BA413" s="586">
        <f t="shared" si="467"/>
        <v>55.440000000000005</v>
      </c>
      <c r="BB413" s="522">
        <v>3</v>
      </c>
      <c r="BC413" s="479">
        <v>750</v>
      </c>
      <c r="BD413" s="531">
        <f>Inputs!$D$41*3</f>
        <v>12</v>
      </c>
      <c r="BE413" s="528">
        <f>_xlfn.MINIFS($DE$70:$DE$149,$DI$70:$DI$149,"&gt;"&amp;Inputs!$J$69)</f>
        <v>2.3999999999999986</v>
      </c>
      <c r="BF413" s="528">
        <f>_xlfn.MINIFS($DE$156:$DE$235,$DI$156:$DI$235,"&gt;"&amp;Inputs!$J$69)</f>
        <v>2.0999999999999988</v>
      </c>
      <c r="BG413" s="529">
        <f>_xlfn.MINIFS($DE$242:$DE$321,$DI$242:$DI$321,"&gt;"&amp;Inputs!$J$69)</f>
        <v>2.3999999999999986</v>
      </c>
      <c r="BH413" s="530">
        <f>IF(Inputs!$F$69/3&gt;MAX(Pile!$DI$70:$DI$149),999999,IF(Pile!BE413/(Pile!BC413/1000)&gt;50,999999,IF(Pile!BE413&lt;2,999999,Pile!BE413)))</f>
        <v>2.3999999999999986</v>
      </c>
      <c r="BI413" s="528">
        <f>IF(Inputs!BE45="Yes",999999,IF(Pile!BF413/(Pile!BC413/1000)&gt;50,999999,IF(Pile!BF413&lt;2,999999,Pile!BF413)))</f>
        <v>2.0999999999999988</v>
      </c>
      <c r="BJ413" s="528">
        <f>IF(Inputs!$F$69/3&gt;MAX(Pile!$DI$242:$DI$321),999999,IF(Pile!BG413/(Pile!BC413/1000)&gt;50,999999,IF(Pile!BG413&lt;2,999999,IF(BG413&gt;25,999999,Pile!BG413))))</f>
        <v>2.3999999999999986</v>
      </c>
      <c r="BK413" s="530">
        <f t="shared" si="468"/>
        <v>68.163450247038654</v>
      </c>
      <c r="BL413" s="528">
        <f t="shared" si="469"/>
        <v>66.573018966158827</v>
      </c>
      <c r="BM413" s="529">
        <f t="shared" si="470"/>
        <v>68.163450247038654</v>
      </c>
      <c r="BN413" s="586">
        <f t="shared" si="471"/>
        <v>55.440000000000005</v>
      </c>
      <c r="BO413" s="522">
        <v>3</v>
      </c>
      <c r="BP413" s="479">
        <v>750</v>
      </c>
      <c r="BQ413" s="531">
        <f>Inputs!$D$41*3</f>
        <v>12</v>
      </c>
      <c r="BR413" s="528">
        <f>_xlfn.MINIFS($DE$70:$DE$149,$DI$70:$DI$149,"&gt;"&amp;Inputs!$J$76)</f>
        <v>2.3999999999999986</v>
      </c>
      <c r="BS413" s="528">
        <f>_xlfn.MINIFS($DE$156:$DE$235,$DI$156:$DI$235,"&gt;"&amp;Inputs!$J$76)</f>
        <v>2.0999999999999988</v>
      </c>
      <c r="BT413" s="529">
        <f>_xlfn.MINIFS($DE$242:$DE$321,$DI$242:$DI$321,"&gt;"&amp;Inputs!$J$76)</f>
        <v>2.3999999999999986</v>
      </c>
      <c r="BU413" s="530">
        <f>IF(Inputs!$F$76/3&gt;MAX(Pile!$DI$70:$DI$149),999999,IF(Pile!BR413/(Pile!BP413/1000)&gt;50,999999,IF(Pile!BR413&lt;2,999999,Pile!BR413)))</f>
        <v>2.3999999999999986</v>
      </c>
      <c r="BV413" s="528">
        <f>IF(Inputs!BR45="Yes",999999,IF(Pile!BS413/(Pile!BP413/1000)&gt;50,999999,IF(Pile!BS413&lt;2,999999,Pile!BS413)))</f>
        <v>2.0999999999999988</v>
      </c>
      <c r="BW413" s="528">
        <f>IF(Inputs!$F$76/3&gt;MAX(Pile!$DI$242:$DI$321),999999,IF(Pile!BT413/(Pile!BP413/1000)&gt;50,999999,IF(Pile!BT413&lt;2,999999,IF(BT413&gt;25,999999,Pile!BT413))))</f>
        <v>2.3999999999999986</v>
      </c>
      <c r="BX413" s="530">
        <f t="shared" si="472"/>
        <v>68.163450247038654</v>
      </c>
      <c r="BY413" s="528">
        <f t="shared" si="473"/>
        <v>66.573018966158827</v>
      </c>
      <c r="BZ413" s="529">
        <f t="shared" si="474"/>
        <v>68.163450247038654</v>
      </c>
      <c r="CA413" s="586">
        <f t="shared" si="475"/>
        <v>55.440000000000005</v>
      </c>
      <c r="CB413" s="522">
        <v>3</v>
      </c>
      <c r="CC413" s="479">
        <v>750</v>
      </c>
      <c r="CD413" s="531">
        <f>Inputs!$D$41*3</f>
        <v>12</v>
      </c>
      <c r="CE413" s="528">
        <f>_xlfn.MINIFS($DE$70:$DE$149,$DI$70:$DI$149,"&gt;"&amp;Inputs!$J$83)</f>
        <v>1.7999999999999989</v>
      </c>
      <c r="CF413" s="528">
        <f>_xlfn.MINIFS($DE$156:$DE$235,$DI$156:$DI$235,"&gt;"&amp;Inputs!$J$83)</f>
        <v>1.4999999999999991</v>
      </c>
      <c r="CG413" s="529">
        <f>_xlfn.MINIFS($DE$242:$DE$321,$DI$242:$DI$321,"&gt;"&amp;Inputs!$J$83)</f>
        <v>1.7999999999999989</v>
      </c>
      <c r="CH413" s="530">
        <f>IF(Inputs!$F$83/3&gt;MAX(Pile!$DI$70:$DI$149),999999,IF(Pile!CE413/(Pile!CC413/1000)&gt;50,999999,IF(Pile!CE413&lt;2,999999,Pile!CE413)))</f>
        <v>999999</v>
      </c>
      <c r="CI413" s="528">
        <f>IF(Inputs!CE45="Yes",999999,IF(Pile!CF413/(Pile!CC413/1000)&gt;50,999999,IF(Pile!CF413&lt;2,999999,Pile!CF413)))</f>
        <v>999999</v>
      </c>
      <c r="CJ413" s="528">
        <f>IF(Inputs!$F$83/3&gt;MAX(Pile!$DI$242:$DI$321),999999,IF(Pile!CG413/(Pile!CC413/1000)&gt;50,999999,IF(Pile!CG413&lt;2,999999,IF(CG413&gt;25,999999,Pile!CG413))))</f>
        <v>999999</v>
      </c>
      <c r="CK413" s="530">
        <f t="shared" si="476"/>
        <v>5301487.7414951734</v>
      </c>
      <c r="CL413" s="528">
        <f t="shared" si="477"/>
        <v>5301487.7414951734</v>
      </c>
      <c r="CM413" s="529">
        <f t="shared" si="478"/>
        <v>5301487.7414951734</v>
      </c>
      <c r="CN413" s="586">
        <f t="shared" si="479"/>
        <v>55.440000000000005</v>
      </c>
      <c r="CO413" s="522">
        <v>3</v>
      </c>
      <c r="CP413" s="479">
        <v>750</v>
      </c>
      <c r="CQ413" s="531">
        <f>Inputs!$D$41*3</f>
        <v>12</v>
      </c>
      <c r="CR413" s="528">
        <f>_xlfn.MINIFS($DE$70:$DE$149,$DI$70:$DI$149,"&gt;"&amp;Inputs!$J$90)</f>
        <v>1.4999999999999991</v>
      </c>
      <c r="CS413" s="528">
        <f>_xlfn.MINIFS($DE$156:$DE$235,$DI$156:$DI$235,"&gt;"&amp;Inputs!$J$90)</f>
        <v>1.4999999999999991</v>
      </c>
      <c r="CT413" s="529">
        <f>_xlfn.MINIFS($DE$242:$DE$321,$DI$242:$DI$321,"&gt;"&amp;Inputs!$J$90)</f>
        <v>1.4999999999999991</v>
      </c>
      <c r="CU413" s="530">
        <f>IF(Inputs!$F$90/3&gt;MAX(Pile!$DI$70:$DI$149),999999,IF(Pile!CR413/(Pile!CP413/1000)&gt;50,999999,IF(Pile!CR413&lt;2,999999,Pile!CR413)))</f>
        <v>999999</v>
      </c>
      <c r="CV413" s="528">
        <f>IF(Inputs!CR45="Yes",999999,IF(Pile!CS413/(Pile!CP413/1000)&gt;50,999999,IF(Pile!CS413&lt;2,999999,Pile!CS413)))</f>
        <v>999999</v>
      </c>
      <c r="CW413" s="528">
        <f>IF(Inputs!$F$90/3&gt;MAX(Pile!$DI$242:$DI$321),999999,IF(Pile!CT413/(Pile!CP413/1000)&gt;50,999999,IF(Pile!CT413&lt;2,999999,IF(CT413&gt;25,999999,Pile!CT413))))</f>
        <v>999999</v>
      </c>
      <c r="CX413" s="530">
        <f t="shared" si="480"/>
        <v>5301487.7414951734</v>
      </c>
      <c r="CY413" s="528">
        <f t="shared" si="481"/>
        <v>5301487.7414951734</v>
      </c>
      <c r="CZ413" s="529">
        <f t="shared" si="482"/>
        <v>5301487.7414951734</v>
      </c>
      <c r="DA413" s="586">
        <f t="shared" si="483"/>
        <v>55.440000000000005</v>
      </c>
      <c r="DB413" s="522">
        <v>3</v>
      </c>
      <c r="DC413" s="479">
        <v>750</v>
      </c>
      <c r="DD413" s="531">
        <f>Inputs!$D$41*3</f>
        <v>12</v>
      </c>
      <c r="DE413" s="528">
        <f>_xlfn.MINIFS($DE$70:$DE$149,$DI$70:$DI$149,"&gt;"&amp;Inputs!$J$97)</f>
        <v>1.7999999999999989</v>
      </c>
      <c r="DF413" s="528">
        <f>_xlfn.MINIFS($DE$156:$DE$235,$DI$156:$DI$235,"&gt;"&amp;Inputs!$J$97)</f>
        <v>1.4999999999999991</v>
      </c>
      <c r="DG413" s="529">
        <f>_xlfn.MINIFS($DE$242:$DE$321,$DI$242:$DI$321,"&gt;"&amp;Inputs!$J$97)</f>
        <v>1.4999999999999991</v>
      </c>
      <c r="DH413" s="530">
        <f>IF(Inputs!$F$97/3&gt;MAX(Pile!$DI$70:$DI$149),999999,IF(Pile!DE413/(Pile!DC413/1000)&gt;50,999999,IF(Pile!DE413&lt;2,999999,Pile!DE413)))</f>
        <v>999999</v>
      </c>
      <c r="DI413" s="528">
        <f>IF(Inputs!DE45="Yes",999999,IF(Pile!DF413/(Pile!DC413/1000)&gt;50,999999,IF(Pile!DF413&lt;2,999999,Pile!DF413)))</f>
        <v>999999</v>
      </c>
      <c r="DJ413" s="528">
        <f>IF(Inputs!$F$97/3&gt;MAX(Pile!$DI$242:$DI$321),999999,IF(Pile!DG413/(Pile!DC413/1000)&gt;50,999999,IF(Pile!DG413&lt;2,999999,IF(DG413&gt;25,999999,Pile!DG413))))</f>
        <v>999999</v>
      </c>
      <c r="DK413" s="530">
        <f t="shared" si="484"/>
        <v>5301487.7414951734</v>
      </c>
      <c r="DL413" s="528">
        <f t="shared" si="485"/>
        <v>5301487.7414951734</v>
      </c>
      <c r="DM413" s="529">
        <f t="shared" si="486"/>
        <v>5301487.7414951734</v>
      </c>
      <c r="DN413" s="586">
        <f t="shared" si="487"/>
        <v>55.440000000000005</v>
      </c>
      <c r="DO413" s="522">
        <v>3</v>
      </c>
      <c r="DP413" s="479">
        <v>750</v>
      </c>
      <c r="DQ413" s="531">
        <f>Inputs!$D$41*3</f>
        <v>12</v>
      </c>
      <c r="DR413" s="528">
        <f>_xlfn.MINIFS($DE$70:$DE$149,$DI$70:$DI$149,"&gt;"&amp;Inputs!$J$104)</f>
        <v>1.4999999999999991</v>
      </c>
      <c r="DS413" s="528">
        <f>_xlfn.MINIFS($DE$156:$DE$235,$DI$156:$DI$235,"&gt;"&amp;Inputs!$J$104)</f>
        <v>1.1999999999999993</v>
      </c>
      <c r="DT413" s="529">
        <f>_xlfn.MINIFS($DE$242:$DE$321,$DI$242:$DI$321,"&gt;"&amp;Inputs!$J$104)</f>
        <v>1.4999999999999991</v>
      </c>
      <c r="DU413" s="530">
        <f>IF(Inputs!$F$104/3&gt;MAX(Pile!$DI$70:$DI$149),999999,IF(Pile!DR413/(Pile!DP413/1000)&gt;50,999999,IF(Pile!DR413&lt;2,999999,Pile!DR413)))</f>
        <v>999999</v>
      </c>
      <c r="DV413" s="528">
        <f>IF(Inputs!DR45="Yes",999999,IF(Pile!DS413/(Pile!DP413/1000)&gt;50,999999,IF(Pile!DS413&lt;2,999999,Pile!DS413)))</f>
        <v>999999</v>
      </c>
      <c r="DW413" s="528">
        <f>IF(Inputs!$F$104/3&gt;MAX(Pile!$DI$242:$DI$321),999999,IF(Pile!DT413/(Pile!DP413/1000)&gt;50,999999,IF(Pile!DT413&lt;2,999999,IF(DT413&gt;25,999999,Pile!DT413))))</f>
        <v>999999</v>
      </c>
      <c r="DX413" s="530">
        <f t="shared" si="488"/>
        <v>5301487.7414951734</v>
      </c>
      <c r="DY413" s="528">
        <f t="shared" si="489"/>
        <v>5301487.7414951734</v>
      </c>
      <c r="DZ413" s="529">
        <f t="shared" si="490"/>
        <v>5301487.7414951734</v>
      </c>
      <c r="EA413" s="586">
        <f t="shared" si="491"/>
        <v>55.440000000000005</v>
      </c>
      <c r="EB413" s="522">
        <v>3</v>
      </c>
      <c r="EC413" s="479">
        <v>750</v>
      </c>
      <c r="ED413" s="531">
        <f>Inputs!$D$41*3</f>
        <v>12</v>
      </c>
      <c r="EE413" s="528">
        <f>_xlfn.MINIFS($DE$70:$DE$149,$DI$70:$DI$149,"&gt;"&amp;Inputs!$J$111)</f>
        <v>1.4999999999999991</v>
      </c>
      <c r="EF413" s="528">
        <f>_xlfn.MINIFS($DE$156:$DE$235,$DI$156:$DI$235,"&gt;"&amp;Inputs!$J$111)</f>
        <v>1.1999999999999993</v>
      </c>
      <c r="EG413" s="529">
        <f>_xlfn.MINIFS($DE$242:$DE$321,$DI$242:$DI$321,"&gt;"&amp;Inputs!$J$111)</f>
        <v>1.4999999999999991</v>
      </c>
      <c r="EH413" s="530">
        <f>IF(Inputs!$F$111/3&gt;MAX(Pile!$DI$70:$DI$149),999999,IF(Pile!EE413/(Pile!EC413/1000)&gt;50,999999,IF(Pile!EE413&lt;2,999999,Pile!EE413)))</f>
        <v>999999</v>
      </c>
      <c r="EI413" s="528">
        <f>IF(Inputs!EE45="Yes",999999,IF(Pile!EF413/(Pile!EC413/1000)&gt;50,999999,IF(Pile!EF413&lt;2,999999,Pile!EF413)))</f>
        <v>999999</v>
      </c>
      <c r="EJ413" s="528">
        <f>IF(Inputs!$F$111/3&gt;MAX(Pile!$DI$242:$DI$321),999999,IF(Pile!EG413/(Pile!EC413/1000)&gt;50,999999,IF(Pile!EG413&lt;2,999999,IF(EG413&gt;25,999999,Pile!EG413))))</f>
        <v>999999</v>
      </c>
      <c r="EK413" s="530">
        <f t="shared" si="492"/>
        <v>5301487.7414951734</v>
      </c>
      <c r="EL413" s="528">
        <f t="shared" si="493"/>
        <v>5301487.7414951734</v>
      </c>
      <c r="EM413" s="529">
        <f t="shared" si="494"/>
        <v>5301487.7414951734</v>
      </c>
      <c r="EN413" s="586">
        <f t="shared" si="495"/>
        <v>55.440000000000005</v>
      </c>
      <c r="EO413" s="522">
        <v>3</v>
      </c>
      <c r="EP413" s="479">
        <v>750</v>
      </c>
      <c r="EQ413" s="531">
        <f>Inputs!$D$41*3</f>
        <v>12</v>
      </c>
      <c r="ER413" s="528">
        <f>_xlfn.MINIFS($DE$70:$DE$149,$DI$70:$DI$149,"&gt;"&amp;Inputs!$J$118)</f>
        <v>0.29999999999999982</v>
      </c>
      <c r="ES413" s="528">
        <f>_xlfn.MINIFS($DE$156:$DE$235,$DI$156:$DI$235,"&gt;"&amp;Inputs!$J$118)</f>
        <v>0.29999999999999982</v>
      </c>
      <c r="ET413" s="529">
        <f>_xlfn.MINIFS($DE$242:$DE$321,$DI$242:$DI$321,"&gt;"&amp;Inputs!$J$118)</f>
        <v>0.29999999999999982</v>
      </c>
      <c r="EU413" s="530">
        <f>IF(Inputs!$F$118/3&gt;MAX(Pile!$DI$70:$DI$149),999999,IF(Pile!ER413/(Pile!EP413/1000)&gt;50,999999,IF(Pile!ER413&lt;2,999999,Pile!ER413)))</f>
        <v>999999</v>
      </c>
      <c r="EV413" s="528">
        <f>IF(Inputs!ER45="Yes",999999,IF(Inputs!$F$118&gt;MAX(Pile!$DG$156:$DG$235),999999,IF(Pile!ES413/(Pile!EP413/1000)&gt;50,999999,IF(Pile!ES413&lt;2,999999,Pile!ES413))))</f>
        <v>999999</v>
      </c>
      <c r="EW413" s="528">
        <f>IF(Inputs!$F$118/3&gt;MAX(Pile!$DI$242:$DI$321),999999,IF(Pile!ET413/(Pile!EP413/1000)&gt;50,999999,IF(Pile!ET413&lt;2,999999,IF(ET413&gt;25,999999,Pile!ET413))))</f>
        <v>999999</v>
      </c>
      <c r="EX413" s="530">
        <f t="shared" si="451"/>
        <v>5301432.301495173</v>
      </c>
      <c r="EY413" s="528">
        <f t="shared" si="452"/>
        <v>5301432.301495173</v>
      </c>
      <c r="EZ413" s="529">
        <f t="shared" si="453"/>
        <v>5301432.301495173</v>
      </c>
      <c r="FA413" s="585"/>
      <c r="FB413" s="585"/>
    </row>
    <row r="414" spans="2:158" ht="15">
      <c r="B414" s="517">
        <v>3</v>
      </c>
      <c r="C414" s="476">
        <v>900</v>
      </c>
      <c r="D414" s="527">
        <f>Inputs!$D$41*3</f>
        <v>12</v>
      </c>
      <c r="E414" s="528">
        <f>_xlfn.MINIFS($DE$70:$DE$149,$DJ$70:$DJ$149,"&gt;"&amp;Inputs!$J$41)</f>
        <v>1.7999999999999989</v>
      </c>
      <c r="F414" s="528">
        <f>_xlfn.MINIFS($DE$156:$DE$235,$DJ$156:$DJ$235,"&gt;"&amp;Inputs!$J$41)</f>
        <v>0</v>
      </c>
      <c r="G414" s="529">
        <f>_xlfn.MINIFS($DE$242:$DE$321,$DJ$242:$DJ$321,"&gt;"&amp;Inputs!$J$41)</f>
        <v>1.7999999999999989</v>
      </c>
      <c r="H414" s="530">
        <f>IF(Inputs!$F$41/3&gt;MAX(Pile!$DJ$70:$DJ$149),999999,IF(Pile!E414/(Pile!C414/1000)&gt;50,999999,IF(Pile!E414&lt;2,999999,Pile!E414)))</f>
        <v>999999</v>
      </c>
      <c r="I414" s="528">
        <f>IF(Inputs!E46="Yes",999999,IF(Pile!F414/(Pile!C414/1000)&gt;50,999999,IF(Pile!F414&lt;2,999999,Pile!F414)))</f>
        <v>999999</v>
      </c>
      <c r="J414" s="528">
        <f>IF(Inputs!$F$41/3&gt;MAX(Pile!$DJ$242:$DJ$321),999999,IF(Pile!G414/(Pile!C414/1000)&gt;50,999999,IF(Pile!G414&lt;2,999999,IF(G414&gt;25,999999,Pile!G414))))</f>
        <v>999999</v>
      </c>
      <c r="K414" s="530">
        <f t="shared" si="454"/>
        <v>7634155.7941530505</v>
      </c>
      <c r="L414" s="528">
        <f t="shared" si="455"/>
        <v>7634155.7941530505</v>
      </c>
      <c r="M414" s="529">
        <f t="shared" si="456"/>
        <v>7634155.7941530505</v>
      </c>
      <c r="N414" s="585">
        <f>Inputs!$D$41*F462</f>
        <v>93.28</v>
      </c>
      <c r="O414" s="517">
        <v>3</v>
      </c>
      <c r="P414" s="476">
        <v>900</v>
      </c>
      <c r="Q414" s="527">
        <f>Inputs!$D$41*3</f>
        <v>12</v>
      </c>
      <c r="R414" s="528">
        <f>_xlfn.MINIFS($DE$70:$DE$149,$DJ$70:$DJ$149,"&gt;"&amp;Inputs!$J$48)</f>
        <v>1.7999999999999989</v>
      </c>
      <c r="S414" s="528">
        <f>_xlfn.MINIFS($DE$156:$DE$235,$DJ$156:$DJ$235,"&gt;"&amp;Inputs!$J$48)</f>
        <v>0</v>
      </c>
      <c r="T414" s="529">
        <f>_xlfn.MINIFS($DE$242:$DE$321,$DJ$242:$DJ$321,"&gt;"&amp;Inputs!$J$48)</f>
        <v>1.7999999999999989</v>
      </c>
      <c r="U414" s="530">
        <f>IF(Inputs!$F$48/3&gt;MAX(Pile!$DJ$70:$DJ$149),999999,IF(Pile!R414/(Pile!P414/1000)&gt;50,999999,IF(Pile!R414&lt;2,999999,Pile!R414)))</f>
        <v>999999</v>
      </c>
      <c r="V414" s="528">
        <f>IF(Inputs!R46="Yes",999999,IF(Pile!S414/(Pile!P414/1000)&gt;50,999999,IF(Pile!S414&lt;2,999999,Pile!S414)))</f>
        <v>999999</v>
      </c>
      <c r="W414" s="528">
        <f>IF(Inputs!$F$48/3&gt;MAX(Pile!$DJ$242:$DJ$321),999999,IF(Pile!T414/(Pile!P414/1000)&gt;50,999999,IF(Pile!T414&lt;2,999999,IF(T414&gt;25,999999,Pile!T414))))</f>
        <v>999999</v>
      </c>
      <c r="X414" s="530">
        <f t="shared" si="457"/>
        <v>7634155.7941530505</v>
      </c>
      <c r="Y414" s="528">
        <f t="shared" si="458"/>
        <v>7634155.7941530505</v>
      </c>
      <c r="Z414" s="529">
        <f t="shared" si="459"/>
        <v>7634155.7941530505</v>
      </c>
      <c r="AA414" s="467">
        <f t="shared" si="496"/>
        <v>93.28</v>
      </c>
      <c r="AB414" s="522">
        <v>3</v>
      </c>
      <c r="AC414" s="479">
        <v>900</v>
      </c>
      <c r="AD414" s="531">
        <f>Inputs!$D$41*3</f>
        <v>12</v>
      </c>
      <c r="AE414" s="528">
        <f>_xlfn.MINIFS($DE$70:$DE$149,$DJ$70:$DJ$149,"&gt;"&amp;Inputs!$J$55)</f>
        <v>1.7999999999999989</v>
      </c>
      <c r="AF414" s="528">
        <f>_xlfn.MINIFS($DE$156:$DE$235,$DJ$156:$DJ$235,"&gt;"&amp;Inputs!$J$55)</f>
        <v>0</v>
      </c>
      <c r="AG414" s="529">
        <f>_xlfn.MINIFS($DE$242:$DE$321,$DJ$242:$DJ$321,"&gt;"&amp;Inputs!$J$55)</f>
        <v>1.7999999999999989</v>
      </c>
      <c r="AH414" s="530">
        <f>IF(Inputs!$F$55/3&gt;MAX(Pile!$DJ$70:$DJ$149),999999,IF(Pile!AE414/(Pile!AC414/1000)&gt;50,999999,IF(Pile!AE414&lt;2,999999,Pile!AE414)))</f>
        <v>999999</v>
      </c>
      <c r="AI414" s="528">
        <f>IF(Inputs!AE46="Yes",999999,IF(Pile!AF414/(Pile!AC414/1000)&gt;50,999999,IF(Pile!AF414&lt;2,999999,Pile!AF414)))</f>
        <v>999999</v>
      </c>
      <c r="AJ414" s="528">
        <f>IF(Inputs!$F$55/3&gt;MAX(Pile!$DJ$242:$DJ$321),999999,IF(Pile!AG414/(Pile!AC414/1000)&gt;50,999999,IF(Pile!AG414&lt;2,999999,IF(AG414&gt;25,999999,Pile!AG414))))</f>
        <v>999999</v>
      </c>
      <c r="AK414" s="530">
        <f t="shared" si="460"/>
        <v>7634155.7941530505</v>
      </c>
      <c r="AL414" s="528">
        <f t="shared" si="461"/>
        <v>7634155.7941530505</v>
      </c>
      <c r="AM414" s="529">
        <f t="shared" si="462"/>
        <v>7634155.7941530505</v>
      </c>
      <c r="AN414" s="586">
        <f t="shared" si="463"/>
        <v>93.28</v>
      </c>
      <c r="AO414" s="522">
        <v>3</v>
      </c>
      <c r="AP414" s="479">
        <v>900</v>
      </c>
      <c r="AQ414" s="531">
        <f>Inputs!$D$41*3</f>
        <v>12</v>
      </c>
      <c r="AR414" s="528">
        <f>_xlfn.MINIFS($DE$70:$DE$149,$DJ$70:$DJ$149,"&gt;"&amp;Inputs!$J$62)</f>
        <v>1.7999999999999989</v>
      </c>
      <c r="AS414" s="528">
        <f>_xlfn.MINIFS($DE$156:$DE$235,$DJ$156:$DJ$235,"&gt;"&amp;Inputs!$J$62)</f>
        <v>0</v>
      </c>
      <c r="AT414" s="529">
        <f>_xlfn.MINIFS($DE$242:$DE$321,$DJ$242:$DJ$321,"&gt;"&amp;Inputs!$J$62)</f>
        <v>1.7999999999999989</v>
      </c>
      <c r="AU414" s="530">
        <f>IF(Inputs!$F$62/3&gt;MAX(Pile!$DJ$70:$DJ$149),999999,IF(Pile!AR414/(Pile!AP414/1000)&gt;50,999999,IF(Pile!AR414&lt;2,999999,Pile!AR414)))</f>
        <v>999999</v>
      </c>
      <c r="AV414" s="528">
        <f>IF(Inputs!AR46="Yes",999999,IF(Pile!AS414/(Pile!AP414/1000)&gt;50,999999,IF(Pile!AS414&lt;2,999999,Pile!AS414)))</f>
        <v>999999</v>
      </c>
      <c r="AW414" s="528">
        <f>IF(Inputs!$F$62/3&gt;MAX(Pile!$DJ$242:$DJ$321),999999,IF(Pile!AT414/(Pile!AP414/1000)&gt;50,999999,IF(Pile!AT414&lt;2,999999,IF(AT414&gt;25,999999,Pile!AT414))))</f>
        <v>999999</v>
      </c>
      <c r="AX414" s="530">
        <f t="shared" si="464"/>
        <v>7634155.7941530505</v>
      </c>
      <c r="AY414" s="528">
        <f t="shared" si="465"/>
        <v>7634155.7941530505</v>
      </c>
      <c r="AZ414" s="529">
        <f t="shared" si="466"/>
        <v>7634155.7941530505</v>
      </c>
      <c r="BA414" s="586">
        <f t="shared" si="467"/>
        <v>93.28</v>
      </c>
      <c r="BB414" s="522">
        <v>3</v>
      </c>
      <c r="BC414" s="479">
        <v>900</v>
      </c>
      <c r="BD414" s="531">
        <f>Inputs!$D$41*3</f>
        <v>12</v>
      </c>
      <c r="BE414" s="528">
        <f>_xlfn.MINIFS($DE$70:$DE$149,$DJ$70:$DJ$149,"&gt;"&amp;Inputs!$J$69)</f>
        <v>1.7999999999999989</v>
      </c>
      <c r="BF414" s="528">
        <f>_xlfn.MINIFS($DE$156:$DE$235,$DJ$156:$DJ$235,"&gt;"&amp;Inputs!$J$69)</f>
        <v>0</v>
      </c>
      <c r="BG414" s="529">
        <f>_xlfn.MINIFS($DE$242:$DE$321,$DJ$242:$DJ$321,"&gt;"&amp;Inputs!$J$69)</f>
        <v>1.7999999999999989</v>
      </c>
      <c r="BH414" s="530">
        <f>IF(Inputs!$F$69/3&gt;MAX(Pile!$DJ$70:$DJ$149),999999,IF(Pile!BE414/(Pile!BC414/1000)&gt;50,999999,IF(Pile!BE414&lt;2,999999,Pile!BE414)))</f>
        <v>999999</v>
      </c>
      <c r="BI414" s="528">
        <f>IF(Inputs!BE46="Yes",999999,IF(Pile!BF414/(Pile!BC414/1000)&gt;50,999999,IF(Pile!BF414&lt;2,999999,Pile!BF414)))</f>
        <v>999999</v>
      </c>
      <c r="BJ414" s="528">
        <f>IF(Inputs!$F$69/3&gt;MAX(Pile!$DJ$242:$DJ$321),999999,IF(Pile!BG414/(Pile!BC414/1000)&gt;50,999999,IF(Pile!BG414&lt;2,999999,IF(BG414&gt;25,999999,Pile!BG414))))</f>
        <v>999999</v>
      </c>
      <c r="BK414" s="530">
        <f t="shared" si="468"/>
        <v>7634155.7941530505</v>
      </c>
      <c r="BL414" s="528">
        <f t="shared" si="469"/>
        <v>7634155.7941530505</v>
      </c>
      <c r="BM414" s="529">
        <f t="shared" si="470"/>
        <v>7634155.7941530505</v>
      </c>
      <c r="BN414" s="586">
        <f t="shared" si="471"/>
        <v>93.28</v>
      </c>
      <c r="BO414" s="522">
        <v>3</v>
      </c>
      <c r="BP414" s="479">
        <v>900</v>
      </c>
      <c r="BQ414" s="531">
        <f>Inputs!$D$41*3</f>
        <v>12</v>
      </c>
      <c r="BR414" s="528">
        <f>_xlfn.MINIFS($DE$70:$DE$149,$DJ$70:$DJ$149,"&gt;"&amp;Inputs!$J$76)</f>
        <v>1.7999999999999989</v>
      </c>
      <c r="BS414" s="528">
        <f>_xlfn.MINIFS($DE$156:$DE$235,$DJ$156:$DJ$235,"&gt;"&amp;Inputs!$J$76)</f>
        <v>0</v>
      </c>
      <c r="BT414" s="529">
        <f>_xlfn.MINIFS($DE$242:$DE$321,$DJ$242:$DJ$321,"&gt;"&amp;Inputs!$J$76)</f>
        <v>1.7999999999999989</v>
      </c>
      <c r="BU414" s="530">
        <f>IF(Inputs!$F$76/3&gt;MAX(Pile!$DJ$70:$DJ$149),999999,IF(Pile!BR414/(Pile!BP414/1000)&gt;50,999999,IF(Pile!BR414&lt;2,999999,Pile!BR414)))</f>
        <v>999999</v>
      </c>
      <c r="BV414" s="528">
        <f>IF(Inputs!BR46="Yes",999999,IF(Pile!BS414/(Pile!BP414/1000)&gt;50,999999,IF(Pile!BS414&lt;2,999999,Pile!BS414)))</f>
        <v>999999</v>
      </c>
      <c r="BW414" s="528">
        <f>IF(Inputs!$F$76/3&gt;MAX(Pile!$DJ$242:$DJ$321),999999,IF(Pile!BT414/(Pile!BP414/1000)&gt;50,999999,IF(Pile!BT414&lt;2,999999,IF(BT414&gt;25,999999,Pile!BT414))))</f>
        <v>999999</v>
      </c>
      <c r="BX414" s="530">
        <f t="shared" si="472"/>
        <v>7634155.7941530505</v>
      </c>
      <c r="BY414" s="528">
        <f t="shared" si="473"/>
        <v>7634155.7941530505</v>
      </c>
      <c r="BZ414" s="529">
        <f t="shared" si="474"/>
        <v>7634155.7941530505</v>
      </c>
      <c r="CA414" s="586">
        <f t="shared" si="475"/>
        <v>93.28</v>
      </c>
      <c r="CB414" s="522">
        <v>3</v>
      </c>
      <c r="CC414" s="479">
        <v>900</v>
      </c>
      <c r="CD414" s="531">
        <f>Inputs!$D$41*3</f>
        <v>12</v>
      </c>
      <c r="CE414" s="528">
        <f>_xlfn.MINIFS($DE$70:$DE$149,$DJ$70:$DJ$149,"&gt;"&amp;Inputs!$J$83)</f>
        <v>1.1999999999999993</v>
      </c>
      <c r="CF414" s="528">
        <f>_xlfn.MINIFS($DE$156:$DE$235,$DJ$156:$DJ$235,"&gt;"&amp;Inputs!$J$83)</f>
        <v>0</v>
      </c>
      <c r="CG414" s="529">
        <f>_xlfn.MINIFS($DE$242:$DE$321,$DJ$242:$DJ$321,"&gt;"&amp;Inputs!$J$83)</f>
        <v>1.1999999999999993</v>
      </c>
      <c r="CH414" s="530">
        <f>IF(Inputs!$F$83/3&gt;MAX(Pile!$DJ$70:$DJ$149),999999,IF(Pile!CE414/(Pile!CC414/1000)&gt;50,999999,IF(Pile!CE414&lt;2,999999,Pile!CE414)))</f>
        <v>999999</v>
      </c>
      <c r="CI414" s="528">
        <f>IF(Inputs!CE46="Yes",999999,IF(Pile!CF414/(Pile!CC414/1000)&gt;50,999999,IF(Pile!CF414&lt;2,999999,Pile!CF414)))</f>
        <v>999999</v>
      </c>
      <c r="CJ414" s="528">
        <f>IF(Inputs!$F$83/3&gt;MAX(Pile!$DJ$242:$DJ$321),999999,IF(Pile!CG414/(Pile!CC414/1000)&gt;50,999999,IF(Pile!CG414&lt;2,999999,IF(CG414&gt;25,999999,Pile!CG414))))</f>
        <v>999999</v>
      </c>
      <c r="CK414" s="530">
        <f t="shared" si="476"/>
        <v>7634155.7941530505</v>
      </c>
      <c r="CL414" s="528">
        <f t="shared" si="477"/>
        <v>7634155.7941530505</v>
      </c>
      <c r="CM414" s="529">
        <f t="shared" si="478"/>
        <v>7634155.7941530505</v>
      </c>
      <c r="CN414" s="586">
        <f t="shared" si="479"/>
        <v>93.28</v>
      </c>
      <c r="CO414" s="522">
        <v>3</v>
      </c>
      <c r="CP414" s="479">
        <v>900</v>
      </c>
      <c r="CQ414" s="531">
        <f>Inputs!$D$41*3</f>
        <v>12</v>
      </c>
      <c r="CR414" s="528">
        <f>_xlfn.MINIFS($DE$70:$DE$149,$DJ$70:$DJ$149,"&gt;"&amp;Inputs!$J$90)</f>
        <v>1.1999999999999993</v>
      </c>
      <c r="CS414" s="528">
        <f>_xlfn.MINIFS($DE$156:$DE$235,$DJ$156:$DJ$235,"&gt;"&amp;Inputs!$J$90)</f>
        <v>0</v>
      </c>
      <c r="CT414" s="529">
        <f>_xlfn.MINIFS($DE$242:$DE$321,$DJ$242:$DJ$321,"&gt;"&amp;Inputs!$J$90)</f>
        <v>1.1999999999999993</v>
      </c>
      <c r="CU414" s="530">
        <f>IF(Inputs!$F$90/3&gt;MAX(Pile!$DJ$70:$DJ$149),999999,IF(Pile!CR414/(Pile!CP414/1000)&gt;50,999999,IF(Pile!CR414&lt;2,999999,Pile!CR414)))</f>
        <v>999999</v>
      </c>
      <c r="CV414" s="528">
        <f>IF(Inputs!CR46="Yes",999999,IF(Pile!CS414/(Pile!CP414/1000)&gt;50,999999,IF(Pile!CS414&lt;2,999999,Pile!CS414)))</f>
        <v>999999</v>
      </c>
      <c r="CW414" s="528">
        <f>IF(Inputs!$F$90/3&gt;MAX(Pile!$DJ$242:$DJ$321),999999,IF(Pile!CT414/(Pile!CP414/1000)&gt;50,999999,IF(Pile!CT414&lt;2,999999,IF(CT414&gt;25,999999,Pile!CT414))))</f>
        <v>999999</v>
      </c>
      <c r="CX414" s="530">
        <f t="shared" si="480"/>
        <v>7634155.7941530505</v>
      </c>
      <c r="CY414" s="528">
        <f t="shared" si="481"/>
        <v>7634155.7941530505</v>
      </c>
      <c r="CZ414" s="529">
        <f t="shared" si="482"/>
        <v>7634155.7941530505</v>
      </c>
      <c r="DA414" s="586">
        <f t="shared" si="483"/>
        <v>93.28</v>
      </c>
      <c r="DB414" s="522">
        <v>3</v>
      </c>
      <c r="DC414" s="479">
        <v>900</v>
      </c>
      <c r="DD414" s="531">
        <f>Inputs!$D$41*3</f>
        <v>12</v>
      </c>
      <c r="DE414" s="528">
        <f>_xlfn.MINIFS($DE$70:$DE$149,$DJ$70:$DJ$149,"&gt;"&amp;Inputs!$J$97)</f>
        <v>1.1999999999999993</v>
      </c>
      <c r="DF414" s="528">
        <f>_xlfn.MINIFS($DE$156:$DE$235,$DJ$156:$DJ$235,"&gt;"&amp;Inputs!$J$97)</f>
        <v>0</v>
      </c>
      <c r="DG414" s="529">
        <f>_xlfn.MINIFS($DE$242:$DE$321,$DJ$242:$DJ$321,"&gt;"&amp;Inputs!$J$97)</f>
        <v>1.1999999999999993</v>
      </c>
      <c r="DH414" s="530">
        <f>IF(Inputs!$F$97/3&gt;MAX(Pile!$DJ$70:$DJ$149),999999,IF(Pile!DE414/(Pile!DC414/1000)&gt;50,999999,IF(Pile!DE414&lt;2,999999,Pile!DE414)))</f>
        <v>999999</v>
      </c>
      <c r="DI414" s="528">
        <f>IF(Inputs!DE46="Yes",999999,IF(Pile!DF414/(Pile!DC414/1000)&gt;50,999999,IF(Pile!DF414&lt;2,999999,Pile!DF414)))</f>
        <v>999999</v>
      </c>
      <c r="DJ414" s="528">
        <f>IF(Inputs!$F$97/3&gt;MAX(Pile!$DJ$242:$DJ$321),999999,IF(Pile!DG414/(Pile!DC414/1000)&gt;50,999999,IF(Pile!DG414&lt;2,999999,IF(DG414&gt;25,999999,Pile!DG414))))</f>
        <v>999999</v>
      </c>
      <c r="DK414" s="530">
        <f t="shared" si="484"/>
        <v>7634155.7941530505</v>
      </c>
      <c r="DL414" s="528">
        <f t="shared" si="485"/>
        <v>7634155.7941530505</v>
      </c>
      <c r="DM414" s="529">
        <f t="shared" si="486"/>
        <v>7634155.7941530505</v>
      </c>
      <c r="DN414" s="586">
        <f t="shared" si="487"/>
        <v>93.28</v>
      </c>
      <c r="DO414" s="522">
        <v>3</v>
      </c>
      <c r="DP414" s="479">
        <v>900</v>
      </c>
      <c r="DQ414" s="531">
        <f>Inputs!$D$41*3</f>
        <v>12</v>
      </c>
      <c r="DR414" s="528">
        <f>_xlfn.MINIFS($DE$70:$DE$149,$DJ$70:$DJ$149,"&gt;"&amp;Inputs!$J$104)</f>
        <v>0.89999999999999947</v>
      </c>
      <c r="DS414" s="528">
        <f>_xlfn.MINIFS($DE$156:$DE$235,$DJ$156:$DJ$235,"&gt;"&amp;Inputs!$J$104)</f>
        <v>0</v>
      </c>
      <c r="DT414" s="529">
        <f>_xlfn.MINIFS($DE$242:$DE$321,$DJ$242:$DJ$321,"&gt;"&amp;Inputs!$J$104)</f>
        <v>0.89999999999999947</v>
      </c>
      <c r="DU414" s="530">
        <f>IF(Inputs!$F$104/3&gt;MAX(Pile!$DJ$70:$DJ$149),999999,IF(Pile!DR414/(Pile!DP414/1000)&gt;50,999999,IF(Pile!DR414&lt;2,999999,Pile!DR414)))</f>
        <v>999999</v>
      </c>
      <c r="DV414" s="528">
        <f>IF(Inputs!DR46="Yes",999999,IF(Pile!DS414/(Pile!DP414/1000)&gt;50,999999,IF(Pile!DS414&lt;2,999999,Pile!DS414)))</f>
        <v>999999</v>
      </c>
      <c r="DW414" s="528">
        <f>IF(Inputs!$F$104/3&gt;MAX(Pile!$DJ$242:$DJ$321),999999,IF(Pile!DT414/(Pile!DP414/1000)&gt;50,999999,IF(Pile!DT414&lt;2,999999,IF(DT414&gt;25,999999,Pile!DT414))))</f>
        <v>999999</v>
      </c>
      <c r="DX414" s="530">
        <f t="shared" si="488"/>
        <v>7634155.7941530505</v>
      </c>
      <c r="DY414" s="528">
        <f t="shared" si="489"/>
        <v>7634155.7941530505</v>
      </c>
      <c r="DZ414" s="529">
        <f t="shared" si="490"/>
        <v>7634155.7941530505</v>
      </c>
      <c r="EA414" s="586">
        <f t="shared" si="491"/>
        <v>93.28</v>
      </c>
      <c r="EB414" s="522">
        <v>3</v>
      </c>
      <c r="EC414" s="479">
        <v>900</v>
      </c>
      <c r="ED414" s="531">
        <f>Inputs!$D$41*3</f>
        <v>12</v>
      </c>
      <c r="EE414" s="528">
        <f>_xlfn.MINIFS($DE$70:$DE$149,$DJ$70:$DJ$149,"&gt;"&amp;Inputs!$J$111)</f>
        <v>0.89999999999999947</v>
      </c>
      <c r="EF414" s="528">
        <f>_xlfn.MINIFS($DE$156:$DE$235,$DJ$156:$DJ$235,"&gt;"&amp;Inputs!$J$111)</f>
        <v>0</v>
      </c>
      <c r="EG414" s="529">
        <f>_xlfn.MINIFS($DE$242:$DE$321,$DJ$242:$DJ$321,"&gt;"&amp;Inputs!$J$111)</f>
        <v>0.89999999999999947</v>
      </c>
      <c r="EH414" s="530">
        <f>IF(Inputs!$F$111/3&gt;MAX(Pile!$DJ$70:$DJ$149),999999,IF(Pile!EE414/(Pile!EC414/1000)&gt;50,999999,IF(Pile!EE414&lt;2,999999,Pile!EE414)))</f>
        <v>999999</v>
      </c>
      <c r="EI414" s="528">
        <f>IF(Inputs!EE46="Yes",999999,IF(Pile!EF414/(Pile!EC414/1000)&gt;50,999999,IF(Pile!EF414&lt;2,999999,Pile!EF414)))</f>
        <v>999999</v>
      </c>
      <c r="EJ414" s="528">
        <f>IF(Inputs!$F$111/3&gt;MAX(Pile!$DJ$242:$DJ$321),999999,IF(Pile!EG414/(Pile!EC414/1000)&gt;50,999999,IF(Pile!EG414&lt;2,999999,IF(EG414&gt;25,999999,Pile!EG414))))</f>
        <v>999999</v>
      </c>
      <c r="EK414" s="530">
        <f t="shared" si="492"/>
        <v>7634155.7941530505</v>
      </c>
      <c r="EL414" s="528">
        <f t="shared" si="493"/>
        <v>7634155.7941530505</v>
      </c>
      <c r="EM414" s="529">
        <f t="shared" si="494"/>
        <v>7634155.7941530505</v>
      </c>
      <c r="EN414" s="586">
        <f t="shared" si="495"/>
        <v>93.28</v>
      </c>
      <c r="EO414" s="522">
        <v>3</v>
      </c>
      <c r="EP414" s="479">
        <v>900</v>
      </c>
      <c r="EQ414" s="531">
        <f>Inputs!$D$41*3</f>
        <v>12</v>
      </c>
      <c r="ER414" s="528">
        <f>_xlfn.MINIFS($DE$70:$DE$149,$DJ$70:$DJ$149,"&gt;"&amp;Inputs!$J$118)</f>
        <v>0.29999999999999982</v>
      </c>
      <c r="ES414" s="528">
        <f>_xlfn.MINIFS($DE$156:$DE$235,$DJ$156:$DJ$235,"&gt;"&amp;Inputs!$J$118)</f>
        <v>0</v>
      </c>
      <c r="ET414" s="529">
        <f>_xlfn.MINIFS($DE$242:$DE$321,$DJ$242:$DJ$321,"&gt;"&amp;Inputs!$J$118)</f>
        <v>0.29999999999999982</v>
      </c>
      <c r="EU414" s="530">
        <f>IF(Inputs!$F$118/3&gt;MAX(Pile!$DJ$70:$DJ$149),999999,IF(Pile!ER414/(Pile!EP414/1000)&gt;50,999999,IF(Pile!ER414&lt;2,999999,Pile!ER414)))</f>
        <v>999999</v>
      </c>
      <c r="EV414" s="528">
        <f>IF(Inputs!ER46="Yes",999999,IF(Inputs!$F$118&gt;MAX(Pile!$DG$156:$DG$235),999999,IF(Pile!ES414/(Pile!EP414/1000)&gt;50,999999,IF(Pile!ES414&lt;2,999999,Pile!ES414))))</f>
        <v>999999</v>
      </c>
      <c r="EW414" s="528">
        <f>IF(Inputs!$F$118/3&gt;MAX(Pile!$DJ$242:$DJ$321),999999,IF(Pile!ET414/(Pile!EP414/1000)&gt;50,999999,IF(Pile!ET414&lt;2,999999,IF(ET414&gt;25,999999,Pile!ET414))))</f>
        <v>999999</v>
      </c>
      <c r="EX414" s="530">
        <f t="shared" si="451"/>
        <v>7634062.5141530503</v>
      </c>
      <c r="EY414" s="528">
        <f t="shared" si="452"/>
        <v>7634062.5141530503</v>
      </c>
      <c r="EZ414" s="529">
        <f t="shared" si="453"/>
        <v>7634062.5141530503</v>
      </c>
      <c r="FA414" s="585"/>
      <c r="FB414" s="585"/>
    </row>
    <row r="415" spans="2:158" ht="15">
      <c r="B415" s="517">
        <v>3</v>
      </c>
      <c r="C415" s="476">
        <v>1050</v>
      </c>
      <c r="D415" s="527">
        <f>Inputs!$D$41*3</f>
        <v>12</v>
      </c>
      <c r="E415" s="528">
        <f>_xlfn.MINIFS($DE$70:$DE$149,$DK$70:$DK$149,"&gt;"&amp;Inputs!$J$41)</f>
        <v>1.4999999999999991</v>
      </c>
      <c r="F415" s="528">
        <f>_xlfn.MINIFS($DE$156:$DE$235,$DK$156:$DK$235,"&gt;"&amp;Inputs!$J$41)</f>
        <v>0</v>
      </c>
      <c r="G415" s="529">
        <f>_xlfn.MINIFS($DE$242:$DE$321,$DK$242:$DK$321,"&gt;"&amp;Inputs!$J$41)</f>
        <v>1.4999999999999991</v>
      </c>
      <c r="H415" s="530">
        <f>IF(Inputs!$F$41/3&gt;MAX(Pile!$DK$70:$DK$149),999999,IF(Pile!E415/(Pile!C415/1000)&gt;50,999999,IF(Pile!E415&lt;2,999999,Pile!E415)))</f>
        <v>999999</v>
      </c>
      <c r="I415" s="528">
        <f>IF(Inputs!E47="Yes",999999,IF(Pile!F415/(Pile!C415/1000)&gt;50,999999,IF(Pile!F415&lt;2,999999,Pile!F415)))</f>
        <v>999999</v>
      </c>
      <c r="J415" s="528">
        <f>IF(Inputs!$F$41/3&gt;MAX(Pile!$DK$242:$DK$321),999999,IF(Pile!G415/(Pile!C415/1000)&gt;50,999999,IF(Pile!G415&lt;2,999999,IF(G415&gt;25,999999,Pile!G415))))</f>
        <v>999999</v>
      </c>
      <c r="K415" s="530">
        <f t="shared" si="454"/>
        <v>10390953.476076938</v>
      </c>
      <c r="L415" s="528">
        <f t="shared" si="455"/>
        <v>10390953.476076938</v>
      </c>
      <c r="M415" s="529">
        <f t="shared" si="456"/>
        <v>10390953.476076938</v>
      </c>
      <c r="N415" s="585">
        <f>Inputs!$D$41*F463</f>
        <v>146.16514640000003</v>
      </c>
      <c r="O415" s="517">
        <v>3</v>
      </c>
      <c r="P415" s="476">
        <v>1050</v>
      </c>
      <c r="Q415" s="527">
        <f>Inputs!$D$41*3</f>
        <v>12</v>
      </c>
      <c r="R415" s="528">
        <f>_xlfn.MINIFS($DE$70:$DE$149,$DK$70:$DK$149,"&gt;"&amp;Inputs!$J$48)</f>
        <v>1.4999999999999991</v>
      </c>
      <c r="S415" s="528">
        <f>_xlfn.MINIFS($DE$156:$DE$235,$DK$156:$DK$235,"&gt;"&amp;Inputs!$J$48)</f>
        <v>0</v>
      </c>
      <c r="T415" s="529">
        <f>_xlfn.MINIFS($DE$242:$DE$321,$DK$242:$DK$321,"&gt;"&amp;Inputs!$J$48)</f>
        <v>1.4999999999999991</v>
      </c>
      <c r="U415" s="530">
        <f>IF(Inputs!$F$48/3&gt;MAX(Pile!$DK$70:$DK$149),999999,IF(Pile!R415/(Pile!P415/1000)&gt;50,999999,IF(Pile!R415&lt;2,999999,Pile!R415)))</f>
        <v>999999</v>
      </c>
      <c r="V415" s="528">
        <f>IF(Inputs!R47="Yes",999999,IF(Pile!S415/(Pile!P415/1000)&gt;50,999999,IF(Pile!S415&lt;2,999999,Pile!S415)))</f>
        <v>999999</v>
      </c>
      <c r="W415" s="528">
        <f>IF(Inputs!$F$48/3&gt;MAX(Pile!$DK$242:$DK$321),999999,IF(Pile!T415/(Pile!P415/1000)&gt;50,999999,IF(Pile!T415&lt;2,999999,IF(T415&gt;25,999999,Pile!T415))))</f>
        <v>999999</v>
      </c>
      <c r="X415" s="530">
        <f t="shared" si="457"/>
        <v>10390953.476076938</v>
      </c>
      <c r="Y415" s="528">
        <f t="shared" si="458"/>
        <v>10390953.476076938</v>
      </c>
      <c r="Z415" s="529">
        <f t="shared" si="459"/>
        <v>10390953.476076938</v>
      </c>
      <c r="AA415" s="467">
        <f t="shared" si="496"/>
        <v>146.16514640000003</v>
      </c>
      <c r="AB415" s="522">
        <v>3</v>
      </c>
      <c r="AC415" s="479">
        <v>1050</v>
      </c>
      <c r="AD415" s="531">
        <f>Inputs!$D$41*3</f>
        <v>12</v>
      </c>
      <c r="AE415" s="528">
        <f>_xlfn.MINIFS($DE$70:$DE$149,$DK$70:$DK$149,"&gt;"&amp;Inputs!$J$55)</f>
        <v>1.4999999999999991</v>
      </c>
      <c r="AF415" s="528">
        <f>_xlfn.MINIFS($DE$156:$DE$235,$DK$156:$DK$235,"&gt;"&amp;Inputs!$J$55)</f>
        <v>0</v>
      </c>
      <c r="AG415" s="529">
        <f>_xlfn.MINIFS($DE$242:$DE$321,$DK$242:$DK$321,"&gt;"&amp;Inputs!$J$55)</f>
        <v>1.4999999999999991</v>
      </c>
      <c r="AH415" s="530">
        <f>IF(Inputs!$F$55/3&gt;MAX(Pile!$DK$70:$DK$149),999999,IF(Pile!AE415/(Pile!AC415/1000)&gt;50,999999,IF(Pile!AE415&lt;2,999999,Pile!AE415)))</f>
        <v>999999</v>
      </c>
      <c r="AI415" s="528">
        <f>IF(Inputs!AE47="Yes",999999,IF(Pile!AF415/(Pile!AC415/1000)&gt;50,999999,IF(Pile!AF415&lt;2,999999,Pile!AF415)))</f>
        <v>999999</v>
      </c>
      <c r="AJ415" s="528">
        <f>IF(Inputs!$F$55/3&gt;MAX(Pile!$DK$242:$DK$321),999999,IF(Pile!AG415/(Pile!AC415/1000)&gt;50,999999,IF(Pile!AG415&lt;2,999999,IF(AG415&gt;25,999999,Pile!AG415))))</f>
        <v>999999</v>
      </c>
      <c r="AK415" s="530">
        <f t="shared" si="460"/>
        <v>10390953.476076938</v>
      </c>
      <c r="AL415" s="528">
        <f t="shared" si="461"/>
        <v>10390953.476076938</v>
      </c>
      <c r="AM415" s="529">
        <f t="shared" si="462"/>
        <v>10390953.476076938</v>
      </c>
      <c r="AN415" s="586">
        <f t="shared" si="463"/>
        <v>146.16514640000003</v>
      </c>
      <c r="AO415" s="522">
        <v>3</v>
      </c>
      <c r="AP415" s="479">
        <v>1050</v>
      </c>
      <c r="AQ415" s="531">
        <f>Inputs!$D$41*3</f>
        <v>12</v>
      </c>
      <c r="AR415" s="528">
        <f>_xlfn.MINIFS($DE$70:$DE$149,$DK$70:$DK$149,"&gt;"&amp;Inputs!$J$62)</f>
        <v>1.4999999999999991</v>
      </c>
      <c r="AS415" s="528">
        <f>_xlfn.MINIFS($DE$156:$DE$235,$DK$156:$DK$235,"&gt;"&amp;Inputs!$J$62)</f>
        <v>0</v>
      </c>
      <c r="AT415" s="529">
        <f>_xlfn.MINIFS($DE$242:$DE$321,$DK$242:$DK$321,"&gt;"&amp;Inputs!$J$62)</f>
        <v>1.4999999999999991</v>
      </c>
      <c r="AU415" s="530">
        <f>IF(Inputs!$F$62/3&gt;MAX(Pile!$DK$70:$DK$149),999999,IF(Pile!AR415/(Pile!AP415/1000)&gt;50,999999,IF(Pile!AR415&lt;2,999999,Pile!AR415)))</f>
        <v>999999</v>
      </c>
      <c r="AV415" s="528">
        <f>IF(Inputs!AR47="Yes",999999,IF(Pile!AS415/(Pile!AP415/1000)&gt;50,999999,IF(Pile!AS415&lt;2,999999,Pile!AS415)))</f>
        <v>999999</v>
      </c>
      <c r="AW415" s="528">
        <f>IF(Inputs!$F$62/3&gt;MAX(Pile!$DK$242:$DK$321),999999,IF(Pile!AT415/(Pile!AP415/1000)&gt;50,999999,IF(Pile!AT415&lt;2,999999,IF(AT415&gt;25,999999,Pile!AT415))))</f>
        <v>999999</v>
      </c>
      <c r="AX415" s="530">
        <f t="shared" si="464"/>
        <v>10390953.476076938</v>
      </c>
      <c r="AY415" s="528">
        <f t="shared" si="465"/>
        <v>10390953.476076938</v>
      </c>
      <c r="AZ415" s="529">
        <f t="shared" si="466"/>
        <v>10390953.476076938</v>
      </c>
      <c r="BA415" s="586">
        <f t="shared" si="467"/>
        <v>146.16514640000003</v>
      </c>
      <c r="BB415" s="522">
        <v>3</v>
      </c>
      <c r="BC415" s="479">
        <v>1050</v>
      </c>
      <c r="BD415" s="531">
        <f>Inputs!$D$41*3</f>
        <v>12</v>
      </c>
      <c r="BE415" s="528">
        <f>_xlfn.MINIFS($DE$70:$DE$149,$DK$70:$DK$149,"&gt;"&amp;Inputs!$J$69)</f>
        <v>1.4999999999999991</v>
      </c>
      <c r="BF415" s="528">
        <f>_xlfn.MINIFS($DE$156:$DE$235,$DK$156:$DK$235,"&gt;"&amp;Inputs!$J$69)</f>
        <v>0</v>
      </c>
      <c r="BG415" s="529">
        <f>_xlfn.MINIFS($DE$242:$DE$321,$DK$242:$DK$321,"&gt;"&amp;Inputs!$J$69)</f>
        <v>1.4999999999999991</v>
      </c>
      <c r="BH415" s="530">
        <f>IF(Inputs!$F$69/3&gt;MAX(Pile!$DK$70:$DK$149),999999,IF(Pile!BE415/(Pile!BC415/1000)&gt;50,999999,IF(Pile!BE415&lt;2,999999,Pile!BE415)))</f>
        <v>999999</v>
      </c>
      <c r="BI415" s="528">
        <f>IF(Inputs!BE47="Yes",999999,IF(Pile!BF415/(Pile!BC415/1000)&gt;50,999999,IF(Pile!BF415&lt;2,999999,Pile!BF415)))</f>
        <v>999999</v>
      </c>
      <c r="BJ415" s="528">
        <f>IF(Inputs!$F$69/3&gt;MAX(Pile!$DK$242:$DK$321),999999,IF(Pile!BG415/(Pile!BC415/1000)&gt;50,999999,IF(Pile!BG415&lt;2,999999,IF(BG415&gt;25,999999,Pile!BG415))))</f>
        <v>999999</v>
      </c>
      <c r="BK415" s="530">
        <f t="shared" si="468"/>
        <v>10390953.476076938</v>
      </c>
      <c r="BL415" s="528">
        <f t="shared" si="469"/>
        <v>10390953.476076938</v>
      </c>
      <c r="BM415" s="529">
        <f t="shared" si="470"/>
        <v>10390953.476076938</v>
      </c>
      <c r="BN415" s="586">
        <f t="shared" si="471"/>
        <v>146.16514640000003</v>
      </c>
      <c r="BO415" s="522">
        <v>3</v>
      </c>
      <c r="BP415" s="479">
        <v>1050</v>
      </c>
      <c r="BQ415" s="531">
        <f>Inputs!$D$41*3</f>
        <v>12</v>
      </c>
      <c r="BR415" s="528">
        <f>_xlfn.MINIFS($DE$70:$DE$149,$DK$70:$DK$149,"&gt;"&amp;Inputs!$J$76)</f>
        <v>1.4999999999999991</v>
      </c>
      <c r="BS415" s="528">
        <f>_xlfn.MINIFS($DE$156:$DE$235,$DK$156:$DK$235,"&gt;"&amp;Inputs!$J$76)</f>
        <v>0</v>
      </c>
      <c r="BT415" s="529">
        <f>_xlfn.MINIFS($DE$242:$DE$321,$DK$242:$DK$321,"&gt;"&amp;Inputs!$J$76)</f>
        <v>1.4999999999999991</v>
      </c>
      <c r="BU415" s="530">
        <f>IF(Inputs!$F$76/3&gt;MAX(Pile!$DK$70:$DK$149),999999,IF(Pile!BR415/(Pile!BP415/1000)&gt;50,999999,IF(Pile!BR415&lt;2,999999,Pile!BR415)))</f>
        <v>999999</v>
      </c>
      <c r="BV415" s="528">
        <f>IF(Inputs!BR47="Yes",999999,IF(Pile!BS415/(Pile!BP415/1000)&gt;50,999999,IF(Pile!BS415&lt;2,999999,Pile!BS415)))</f>
        <v>999999</v>
      </c>
      <c r="BW415" s="528">
        <f>IF(Inputs!$F$76/3&gt;MAX(Pile!$DK$242:$DK$321),999999,IF(Pile!BT415/(Pile!BP415/1000)&gt;50,999999,IF(Pile!BT415&lt;2,999999,IF(BT415&gt;25,999999,Pile!BT415))))</f>
        <v>999999</v>
      </c>
      <c r="BX415" s="530">
        <f t="shared" si="472"/>
        <v>10390953.476076938</v>
      </c>
      <c r="BY415" s="528">
        <f t="shared" si="473"/>
        <v>10390953.476076938</v>
      </c>
      <c r="BZ415" s="529">
        <f t="shared" si="474"/>
        <v>10390953.476076938</v>
      </c>
      <c r="CA415" s="586">
        <f t="shared" si="475"/>
        <v>146.16514640000003</v>
      </c>
      <c r="CB415" s="522">
        <v>3</v>
      </c>
      <c r="CC415" s="479">
        <v>1050</v>
      </c>
      <c r="CD415" s="531">
        <f>Inputs!$D$41*3</f>
        <v>12</v>
      </c>
      <c r="CE415" s="528">
        <f>_xlfn.MINIFS($DE$70:$DE$149,$DK$70:$DK$149,"&gt;"&amp;Inputs!$J$83)</f>
        <v>0.89999999999999947</v>
      </c>
      <c r="CF415" s="528">
        <f>_xlfn.MINIFS($DE$156:$DE$235,$DK$156:$DK$235,"&gt;"&amp;Inputs!$J$83)</f>
        <v>0</v>
      </c>
      <c r="CG415" s="529">
        <f>_xlfn.MINIFS($DE$242:$DE$321,$DK$242:$DK$321,"&gt;"&amp;Inputs!$J$83)</f>
        <v>0.89999999999999947</v>
      </c>
      <c r="CH415" s="530">
        <f>IF(Inputs!$F$83/3&gt;MAX(Pile!$DK$70:$DK$149),999999,IF(Pile!CE415/(Pile!CC415/1000)&gt;50,999999,IF(Pile!CE415&lt;2,999999,Pile!CE415)))</f>
        <v>999999</v>
      </c>
      <c r="CI415" s="528">
        <f>IF(Inputs!CE47="Yes",999999,IF(Pile!CF415/(Pile!CC415/1000)&gt;50,999999,IF(Pile!CF415&lt;2,999999,Pile!CF415)))</f>
        <v>999999</v>
      </c>
      <c r="CJ415" s="528">
        <f>IF(Inputs!$F$83/3&gt;MAX(Pile!$DK$242:$DK$321),999999,IF(Pile!CG415/(Pile!CC415/1000)&gt;50,999999,IF(Pile!CG415&lt;2,999999,IF(CG415&gt;25,999999,Pile!CG415))))</f>
        <v>999999</v>
      </c>
      <c r="CK415" s="530">
        <f t="shared" si="476"/>
        <v>10390953.476076938</v>
      </c>
      <c r="CL415" s="528">
        <f t="shared" si="477"/>
        <v>10390953.476076938</v>
      </c>
      <c r="CM415" s="529">
        <f t="shared" si="478"/>
        <v>10390953.476076938</v>
      </c>
      <c r="CN415" s="586">
        <f t="shared" si="479"/>
        <v>146.16514640000003</v>
      </c>
      <c r="CO415" s="522">
        <v>3</v>
      </c>
      <c r="CP415" s="479">
        <v>1050</v>
      </c>
      <c r="CQ415" s="531">
        <f>Inputs!$D$41*3</f>
        <v>12</v>
      </c>
      <c r="CR415" s="528">
        <f>_xlfn.MINIFS($DE$70:$DE$149,$DK$70:$DK$149,"&gt;"&amp;Inputs!$J$90)</f>
        <v>0.89999999999999947</v>
      </c>
      <c r="CS415" s="528">
        <f>_xlfn.MINIFS($DE$156:$DE$235,$DK$156:$DK$235,"&gt;"&amp;Inputs!$J$90)</f>
        <v>0</v>
      </c>
      <c r="CT415" s="529">
        <f>_xlfn.MINIFS($DE$242:$DE$321,$DK$242:$DK$321,"&gt;"&amp;Inputs!$J$90)</f>
        <v>0.89999999999999947</v>
      </c>
      <c r="CU415" s="530">
        <f>IF(Inputs!$F$90/3&gt;MAX(Pile!$DK$70:$DK$149),999999,IF(Pile!CR415/(Pile!CP415/1000)&gt;50,999999,IF(Pile!CR415&lt;2,999999,Pile!CR415)))</f>
        <v>999999</v>
      </c>
      <c r="CV415" s="528">
        <f>IF(Inputs!CR47="Yes",999999,IF(Pile!CS415/(Pile!CP415/1000)&gt;50,999999,IF(Pile!CS415&lt;2,999999,Pile!CS415)))</f>
        <v>999999</v>
      </c>
      <c r="CW415" s="528">
        <f>IF(Inputs!$F$90/3&gt;MAX(Pile!$DK$242:$DK$321),999999,IF(Pile!CT415/(Pile!CP415/1000)&gt;50,999999,IF(Pile!CT415&lt;2,999999,IF(CT415&gt;25,999999,Pile!CT415))))</f>
        <v>999999</v>
      </c>
      <c r="CX415" s="530">
        <f t="shared" si="480"/>
        <v>10390953.476076938</v>
      </c>
      <c r="CY415" s="528">
        <f t="shared" si="481"/>
        <v>10390953.476076938</v>
      </c>
      <c r="CZ415" s="529">
        <f t="shared" si="482"/>
        <v>10390953.476076938</v>
      </c>
      <c r="DA415" s="586">
        <f t="shared" si="483"/>
        <v>146.16514640000003</v>
      </c>
      <c r="DB415" s="522">
        <v>3</v>
      </c>
      <c r="DC415" s="479">
        <v>1050</v>
      </c>
      <c r="DD415" s="531">
        <f>Inputs!$D$41*3</f>
        <v>12</v>
      </c>
      <c r="DE415" s="528">
        <f>_xlfn.MINIFS($DE$70:$DE$149,$DK$70:$DK$149,"&gt;"&amp;Inputs!$J$97)</f>
        <v>0.89999999999999947</v>
      </c>
      <c r="DF415" s="528">
        <f>_xlfn.MINIFS($DE$156:$DE$235,$DK$156:$DK$235,"&gt;"&amp;Inputs!$J$97)</f>
        <v>0</v>
      </c>
      <c r="DG415" s="529">
        <f>_xlfn.MINIFS($DE$242:$DE$321,$DK$242:$DK$321,"&gt;"&amp;Inputs!$J$97)</f>
        <v>0.89999999999999947</v>
      </c>
      <c r="DH415" s="530">
        <f>IF(Inputs!$F$97/3&gt;MAX(Pile!$DK$70:$DK$149),999999,IF(Pile!DE415/(Pile!DC415/1000)&gt;50,999999,IF(Pile!DE415&lt;2,999999,Pile!DE415)))</f>
        <v>999999</v>
      </c>
      <c r="DI415" s="528">
        <f>IF(Inputs!DE47="Yes",999999,IF(Pile!DF415/(Pile!DC415/1000)&gt;50,999999,IF(Pile!DF415&lt;2,999999,Pile!DF415)))</f>
        <v>999999</v>
      </c>
      <c r="DJ415" s="528">
        <f>IF(Inputs!$F$97/3&gt;MAX(Pile!$DK$242:$DK$321),999999,IF(Pile!DG415/(Pile!DC415/1000)&gt;50,999999,IF(Pile!DG415&lt;2,999999,IF(DG415&gt;25,999999,Pile!DG415))))</f>
        <v>999999</v>
      </c>
      <c r="DK415" s="530">
        <f t="shared" si="484"/>
        <v>10390953.476076938</v>
      </c>
      <c r="DL415" s="528">
        <f t="shared" si="485"/>
        <v>10390953.476076938</v>
      </c>
      <c r="DM415" s="529">
        <f t="shared" si="486"/>
        <v>10390953.476076938</v>
      </c>
      <c r="DN415" s="586">
        <f t="shared" si="487"/>
        <v>146.16514640000003</v>
      </c>
      <c r="DO415" s="522">
        <v>3</v>
      </c>
      <c r="DP415" s="479">
        <v>1050</v>
      </c>
      <c r="DQ415" s="531">
        <f>Inputs!$D$41*3</f>
        <v>12</v>
      </c>
      <c r="DR415" s="528">
        <f>_xlfn.MINIFS($DE$70:$DE$149,$DK$70:$DK$149,"&gt;"&amp;Inputs!$J$104)</f>
        <v>0.89999999999999947</v>
      </c>
      <c r="DS415" s="528">
        <f>_xlfn.MINIFS($DE$156:$DE$235,$DK$156:$DK$235,"&gt;"&amp;Inputs!$J$104)</f>
        <v>0</v>
      </c>
      <c r="DT415" s="529">
        <f>_xlfn.MINIFS($DE$242:$DE$321,$DK$242:$DK$321,"&gt;"&amp;Inputs!$J$104)</f>
        <v>0.89999999999999947</v>
      </c>
      <c r="DU415" s="530">
        <f>IF(Inputs!$F$104/3&gt;MAX(Pile!$DK$70:$DK$149),999999,IF(Pile!DR415/(Pile!DP415/1000)&gt;50,999999,IF(Pile!DR415&lt;2,999999,Pile!DR415)))</f>
        <v>999999</v>
      </c>
      <c r="DV415" s="528">
        <f>IF(Inputs!DR47="Yes",999999,IF(Pile!DS415/(Pile!DP415/1000)&gt;50,999999,IF(Pile!DS415&lt;2,999999,Pile!DS415)))</f>
        <v>999999</v>
      </c>
      <c r="DW415" s="528">
        <f>IF(Inputs!$F$104/3&gt;MAX(Pile!$DK$242:$DK$321),999999,IF(Pile!DT415/(Pile!DP415/1000)&gt;50,999999,IF(Pile!DT415&lt;2,999999,IF(DT415&gt;25,999999,Pile!DT415))))</f>
        <v>999999</v>
      </c>
      <c r="DX415" s="530">
        <f t="shared" si="488"/>
        <v>10390953.476076938</v>
      </c>
      <c r="DY415" s="528">
        <f t="shared" si="489"/>
        <v>10390953.476076938</v>
      </c>
      <c r="DZ415" s="529">
        <f t="shared" si="490"/>
        <v>10390953.476076938</v>
      </c>
      <c r="EA415" s="586">
        <f t="shared" si="491"/>
        <v>146.16514640000003</v>
      </c>
      <c r="EB415" s="522">
        <v>3</v>
      </c>
      <c r="EC415" s="479">
        <v>1050</v>
      </c>
      <c r="ED415" s="531">
        <f>Inputs!$D$41*3</f>
        <v>12</v>
      </c>
      <c r="EE415" s="528">
        <f>_xlfn.MINIFS($DE$70:$DE$149,$DK$70:$DK$149,"&gt;"&amp;Inputs!$J$111)</f>
        <v>0.89999999999999947</v>
      </c>
      <c r="EF415" s="528">
        <f>_xlfn.MINIFS($DE$156:$DE$235,$DK$156:$DK$235,"&gt;"&amp;Inputs!$J$111)</f>
        <v>0</v>
      </c>
      <c r="EG415" s="529">
        <f>_xlfn.MINIFS($DE$242:$DE$321,$DK$242:$DK$321,"&gt;"&amp;Inputs!$J$111)</f>
        <v>0.89999999999999947</v>
      </c>
      <c r="EH415" s="530">
        <f>IF(Inputs!$F$111/3&gt;MAX(Pile!$DK$70:$DK$149),999999,IF(Pile!EE415/(Pile!EC415/1000)&gt;50,999999,IF(Pile!EE415&lt;2,999999,Pile!EE415)))</f>
        <v>999999</v>
      </c>
      <c r="EI415" s="528">
        <f>IF(Inputs!EE47="Yes",999999,IF(Pile!EF415/(Pile!EC415/1000)&gt;50,999999,IF(Pile!EF415&lt;2,999999,Pile!EF415)))</f>
        <v>999999</v>
      </c>
      <c r="EJ415" s="528">
        <f>IF(Inputs!$F$111/3&gt;MAX(Pile!$DK$242:$DK$321),999999,IF(Pile!EG415/(Pile!EC415/1000)&gt;50,999999,IF(Pile!EG415&lt;2,999999,IF(EG415&gt;25,999999,Pile!EG415))))</f>
        <v>999999</v>
      </c>
      <c r="EK415" s="530">
        <f t="shared" si="492"/>
        <v>10390953.476076938</v>
      </c>
      <c r="EL415" s="528">
        <f t="shared" si="493"/>
        <v>10390953.476076938</v>
      </c>
      <c r="EM415" s="529">
        <f t="shared" si="494"/>
        <v>10390953.476076938</v>
      </c>
      <c r="EN415" s="586">
        <f t="shared" si="495"/>
        <v>146.16514640000003</v>
      </c>
      <c r="EO415" s="522">
        <v>3</v>
      </c>
      <c r="EP415" s="479">
        <v>1050</v>
      </c>
      <c r="EQ415" s="531">
        <f>Inputs!$D$41*3</f>
        <v>12</v>
      </c>
      <c r="ER415" s="528">
        <f>_xlfn.MINIFS($DE$70:$DE$149,$DK$70:$DK$149,"&gt;"&amp;Inputs!$J$118)</f>
        <v>0.29999999999999982</v>
      </c>
      <c r="ES415" s="528">
        <f>_xlfn.MINIFS($DE$156:$DE$235,$DK$156:$DK$235,"&gt;"&amp;Inputs!$J$118)</f>
        <v>0</v>
      </c>
      <c r="ET415" s="529">
        <f>_xlfn.MINIFS($DE$242:$DE$321,$DK$242:$DK$321,"&gt;"&amp;Inputs!$J$118)</f>
        <v>0.29999999999999982</v>
      </c>
      <c r="EU415" s="530">
        <f>IF(Inputs!$F$118/3&gt;MAX(Pile!$DK$70:$DK$149),999999,IF(Pile!ER415/(Pile!EP415/1000)&gt;50,999999,IF(Pile!ER415&lt;2,999999,Pile!ER415)))</f>
        <v>999999</v>
      </c>
      <c r="EV415" s="528">
        <f>IF(Inputs!ER47="Yes",999999,IF(Inputs!$F$118&gt;MAX(Pile!$DG$156:$DG$235),999999,IF(Pile!ES415/(Pile!EP415/1000)&gt;50,999999,IF(Pile!ES415&lt;2,999999,Pile!ES415))))</f>
        <v>999999</v>
      </c>
      <c r="EW415" s="528">
        <f>IF(Inputs!$F$118/3&gt;MAX(Pile!$DK$242:$DK$321),999999,IF(Pile!ET415/(Pile!EP415/1000)&gt;50,999999,IF(Pile!ET415&lt;2,999999,IF(ET415&gt;25,999999,Pile!ET415))))</f>
        <v>999999</v>
      </c>
      <c r="EX415" s="530">
        <f t="shared" si="451"/>
        <v>10390807.310930539</v>
      </c>
      <c r="EY415" s="528">
        <f t="shared" si="452"/>
        <v>10390807.310930539</v>
      </c>
      <c r="EZ415" s="529">
        <f t="shared" si="453"/>
        <v>10390807.310930539</v>
      </c>
      <c r="FA415" s="585"/>
      <c r="FB415" s="585"/>
    </row>
    <row r="416" spans="2:158" ht="15.75" thickBot="1">
      <c r="B416" s="517">
        <v>3</v>
      </c>
      <c r="C416" s="483">
        <v>1200</v>
      </c>
      <c r="D416" s="527">
        <f>Inputs!$D$41*3</f>
        <v>12</v>
      </c>
      <c r="E416" s="535">
        <f>_xlfn.MINIFS($DE$70:$DE$149,$DL$70:$DL$149,"&gt;"&amp;Inputs!$J$41)</f>
        <v>1.1999999999999993</v>
      </c>
      <c r="F416" s="535">
        <f>_xlfn.MINIFS($DE$156:$DE$235,$DL$156:$DL$235,"&gt;"&amp;Inputs!$J$41)</f>
        <v>0</v>
      </c>
      <c r="G416" s="536">
        <f>_xlfn.MINIFS($DE$242:$DE$321,$DL$242:$DL$321,"&gt;"&amp;Inputs!$J$41)</f>
        <v>1.1999999999999993</v>
      </c>
      <c r="H416" s="537">
        <f>IF(Inputs!$F$41/3&gt;MAX(Pile!$DL$70:$DL$149),999999,IF(Pile!E416/(Pile!C416/1000)&gt;50,999999,IF(Pile!E416&lt;2,999999,Pile!E416)))</f>
        <v>999999</v>
      </c>
      <c r="I416" s="535">
        <f>IF(Inputs!E48="Yes",999999,IF(Pile!F416/(Pile!C416/1000)&gt;50,999999,IF(Pile!F416&lt;2,999999,Pile!F416)))</f>
        <v>999999</v>
      </c>
      <c r="J416" s="535">
        <f>IF(Inputs!$F$41/3&gt;MAX(Pile!$DL$242:$DL$321),999999,IF(Pile!G416/(Pile!C416/1000)&gt;50,999999,IF(Pile!G416&lt;2,999999,IF(G416&gt;25,999999,Pile!G416))))</f>
        <v>999999</v>
      </c>
      <c r="K416" s="537">
        <f t="shared" si="454"/>
        <v>13571881.491827644</v>
      </c>
      <c r="L416" s="535">
        <f t="shared" si="455"/>
        <v>13571881.491827644</v>
      </c>
      <c r="M416" s="536">
        <f t="shared" si="456"/>
        <v>13571881.491827644</v>
      </c>
      <c r="N416" s="585">
        <f>Inputs!$D$41*F464</f>
        <v>214.79999999999998</v>
      </c>
      <c r="O416" s="517">
        <v>3</v>
      </c>
      <c r="P416" s="483">
        <v>1200</v>
      </c>
      <c r="Q416" s="527">
        <f>Inputs!$D$41*3</f>
        <v>12</v>
      </c>
      <c r="R416" s="535">
        <f>_xlfn.MINIFS($DE$70:$DE$149,$DL$70:$DL$149,"&gt;"&amp;Inputs!$J$48)</f>
        <v>1.1999999999999993</v>
      </c>
      <c r="S416" s="535">
        <f>_xlfn.MINIFS($DE$156:$DE$235,$DL$156:$DL$235,"&gt;"&amp;Inputs!$J$48)</f>
        <v>0</v>
      </c>
      <c r="T416" s="536">
        <f>_xlfn.MINIFS($DE$242:$DE$321,$DL$242:$DL$321,"&gt;"&amp;Inputs!$J$48)</f>
        <v>1.1999999999999993</v>
      </c>
      <c r="U416" s="537">
        <f>IF(Inputs!$F$48/3&gt;MAX(Pile!$DL$70:$DL$149),999999,IF(Pile!R416/(Pile!P416/1000)&gt;50,999999,IF(Pile!R416&lt;2,999999,Pile!R416)))</f>
        <v>999999</v>
      </c>
      <c r="V416" s="535">
        <f>IF(Inputs!R48="Yes",999999,IF(Pile!S416/(Pile!P416/1000)&gt;50,999999,IF(Pile!S416&lt;2,999999,Pile!S416)))</f>
        <v>999999</v>
      </c>
      <c r="W416" s="535">
        <f>IF(Inputs!$F$48/3&gt;MAX(Pile!$DL$242:$DL$321),999999,IF(Pile!T416/(Pile!P416/1000)&gt;50,999999,IF(Pile!T416&lt;2,999999,IF(T416&gt;25,999999,Pile!T416))))</f>
        <v>999999</v>
      </c>
      <c r="X416" s="537">
        <f t="shared" si="457"/>
        <v>13571881.491827644</v>
      </c>
      <c r="Y416" s="535">
        <f t="shared" si="458"/>
        <v>13571881.491827644</v>
      </c>
      <c r="Z416" s="536">
        <f t="shared" si="459"/>
        <v>13571881.491827644</v>
      </c>
      <c r="AA416" s="467">
        <f t="shared" si="496"/>
        <v>214.79999999999998</v>
      </c>
      <c r="AB416" s="522">
        <v>3</v>
      </c>
      <c r="AC416" s="487">
        <v>1200</v>
      </c>
      <c r="AD416" s="531">
        <f>Inputs!$D$41*3</f>
        <v>12</v>
      </c>
      <c r="AE416" s="535">
        <f>_xlfn.MINIFS($DE$70:$DE$149,$DL$70:$DL$149,"&gt;"&amp;Inputs!$J$55)</f>
        <v>1.1999999999999993</v>
      </c>
      <c r="AF416" s="535">
        <f>_xlfn.MINIFS($DE$156:$DE$235,$DL$156:$DL$235,"&gt;"&amp;Inputs!$J$55)</f>
        <v>0</v>
      </c>
      <c r="AG416" s="536">
        <f>_xlfn.MINIFS($DE$242:$DE$321,$DL$242:$DL$321,"&gt;"&amp;Inputs!$J$55)</f>
        <v>1.1999999999999993</v>
      </c>
      <c r="AH416" s="537">
        <f>IF(Inputs!$F$55/3&gt;MAX(Pile!$DL$70:$DL$149),999999,IF(Pile!AE416/(Pile!AC416/1000)&gt;50,999999,IF(Pile!AE416&lt;2,999999,Pile!AE416)))</f>
        <v>999999</v>
      </c>
      <c r="AI416" s="535">
        <f>IF(Inputs!AE48="Yes",999999,IF(Pile!AF416/(Pile!AC416/1000)&gt;50,999999,IF(Pile!AF416&lt;2,999999,Pile!AF416)))</f>
        <v>999999</v>
      </c>
      <c r="AJ416" s="535">
        <f>IF(Inputs!$F$55/3&gt;MAX(Pile!$DL$242:$DL$321),999999,IF(Pile!AG416/(Pile!AC416/1000)&gt;50,999999,IF(Pile!AG416&lt;2,999999,IF(AG416&gt;25,999999,Pile!AG416))))</f>
        <v>999999</v>
      </c>
      <c r="AK416" s="537">
        <f t="shared" si="460"/>
        <v>13571881.491827644</v>
      </c>
      <c r="AL416" s="535">
        <f t="shared" si="461"/>
        <v>13571881.491827644</v>
      </c>
      <c r="AM416" s="536">
        <f t="shared" si="462"/>
        <v>13571881.491827644</v>
      </c>
      <c r="AN416" s="586">
        <f t="shared" si="463"/>
        <v>214.79999999999998</v>
      </c>
      <c r="AO416" s="522">
        <v>3</v>
      </c>
      <c r="AP416" s="487">
        <v>1200</v>
      </c>
      <c r="AQ416" s="531">
        <f>Inputs!$D$41*3</f>
        <v>12</v>
      </c>
      <c r="AR416" s="535">
        <f>_xlfn.MINIFS($DE$70:$DE$149,$DL$70:$DL$149,"&gt;"&amp;Inputs!$J$62)</f>
        <v>1.1999999999999993</v>
      </c>
      <c r="AS416" s="535">
        <f>_xlfn.MINIFS($DE$156:$DE$235,$DL$156:$DL$235,"&gt;"&amp;Inputs!$J$62)</f>
        <v>0</v>
      </c>
      <c r="AT416" s="536">
        <f>_xlfn.MINIFS($DE$242:$DE$321,$DL$242:$DL$321,"&gt;"&amp;Inputs!$J$62)</f>
        <v>1.1999999999999993</v>
      </c>
      <c r="AU416" s="537">
        <f>IF(Inputs!$F$62/3&gt;MAX(Pile!$DL$70:$DL$149),999999,IF(Pile!AR416/(Pile!AP416/1000)&gt;50,999999,IF(Pile!AR416&lt;2,999999,Pile!AR416)))</f>
        <v>999999</v>
      </c>
      <c r="AV416" s="535">
        <f>IF(Inputs!AR48="Yes",999999,IF(Pile!AS416/(Pile!AP416/1000)&gt;50,999999,IF(Pile!AS416&lt;2,999999,Pile!AS416)))</f>
        <v>999999</v>
      </c>
      <c r="AW416" s="535">
        <f>IF(Inputs!$F$62/3&gt;MAX(Pile!$DL$242:$DL$321),999999,IF(Pile!AT416/(Pile!AP416/1000)&gt;50,999999,IF(Pile!AT416&lt;2,999999,IF(AT416&gt;25,999999,Pile!AT416))))</f>
        <v>999999</v>
      </c>
      <c r="AX416" s="537">
        <f t="shared" si="464"/>
        <v>13571881.491827644</v>
      </c>
      <c r="AY416" s="535">
        <f t="shared" si="465"/>
        <v>13571881.491827644</v>
      </c>
      <c r="AZ416" s="536">
        <f t="shared" si="466"/>
        <v>13571881.491827644</v>
      </c>
      <c r="BA416" s="586">
        <f t="shared" si="467"/>
        <v>214.79999999999998</v>
      </c>
      <c r="BB416" s="522">
        <v>3</v>
      </c>
      <c r="BC416" s="487">
        <v>1200</v>
      </c>
      <c r="BD416" s="531">
        <f>Inputs!$D$41*3</f>
        <v>12</v>
      </c>
      <c r="BE416" s="535">
        <f>_xlfn.MINIFS($DE$70:$DE$149,$DL$70:$DL$149,"&gt;"&amp;Inputs!$J$69)</f>
        <v>1.1999999999999993</v>
      </c>
      <c r="BF416" s="535">
        <f>_xlfn.MINIFS($DE$156:$DE$235,$DL$156:$DL$235,"&gt;"&amp;Inputs!$J$69)</f>
        <v>0</v>
      </c>
      <c r="BG416" s="536">
        <f>_xlfn.MINIFS($DE$242:$DE$321,$DL$242:$DL$321,"&gt;"&amp;Inputs!$J$69)</f>
        <v>1.1999999999999993</v>
      </c>
      <c r="BH416" s="537">
        <f>IF(Inputs!$F$69/3&gt;MAX(Pile!$DL$70:$DL$149),999999,IF(Pile!BE416/(Pile!BC416/1000)&gt;50,999999,IF(Pile!BE416&lt;2,999999,Pile!BE416)))</f>
        <v>999999</v>
      </c>
      <c r="BI416" s="535">
        <f>IF(Inputs!BE48="Yes",999999,IF(Pile!BF416/(Pile!BC416/1000)&gt;50,999999,IF(Pile!BF416&lt;2,999999,Pile!BF416)))</f>
        <v>999999</v>
      </c>
      <c r="BJ416" s="535">
        <f>IF(Inputs!$F$69/3&gt;MAX(Pile!$DL$242:$DL$321),999999,IF(Pile!BG416/(Pile!BC416/1000)&gt;50,999999,IF(Pile!BG416&lt;2,999999,IF(BG416&gt;25,999999,Pile!BG416))))</f>
        <v>999999</v>
      </c>
      <c r="BK416" s="537">
        <f t="shared" si="468"/>
        <v>13571881.491827644</v>
      </c>
      <c r="BL416" s="535">
        <f t="shared" si="469"/>
        <v>13571881.491827644</v>
      </c>
      <c r="BM416" s="536">
        <f t="shared" si="470"/>
        <v>13571881.491827644</v>
      </c>
      <c r="BN416" s="586">
        <f t="shared" si="471"/>
        <v>214.79999999999998</v>
      </c>
      <c r="BO416" s="522">
        <v>3</v>
      </c>
      <c r="BP416" s="487">
        <v>1200</v>
      </c>
      <c r="BQ416" s="531">
        <f>Inputs!$D$41*3</f>
        <v>12</v>
      </c>
      <c r="BR416" s="535">
        <f>_xlfn.MINIFS($DE$70:$DE$149,$DL$70:$DL$149,"&gt;"&amp;Inputs!$J$76)</f>
        <v>1.1999999999999993</v>
      </c>
      <c r="BS416" s="535">
        <f>_xlfn.MINIFS($DE$156:$DE$235,$DL$156:$DL$235,"&gt;"&amp;Inputs!$J$76)</f>
        <v>0</v>
      </c>
      <c r="BT416" s="536">
        <f>_xlfn.MINIFS($DE$242:$DE$321,$DL$242:$DL$321,"&gt;"&amp;Inputs!$J$76)</f>
        <v>1.1999999999999993</v>
      </c>
      <c r="BU416" s="537">
        <f>IF(Inputs!$F$76/3&gt;MAX(Pile!$DL$70:$DL$149),999999,IF(Pile!BR416/(Pile!BP416/1000)&gt;50,999999,IF(Pile!BR416&lt;2,999999,Pile!BR416)))</f>
        <v>999999</v>
      </c>
      <c r="BV416" s="535">
        <f>IF(Inputs!BR48="Yes",999999,IF(Pile!BS416/(Pile!BP416/1000)&gt;50,999999,IF(Pile!BS416&lt;2,999999,Pile!BS416)))</f>
        <v>999999</v>
      </c>
      <c r="BW416" s="535">
        <f>IF(Inputs!$F$76/3&gt;MAX(Pile!$DL$242:$DL$321),999999,IF(Pile!BT416/(Pile!BP416/1000)&gt;50,999999,IF(Pile!BT416&lt;2,999999,IF(BT416&gt;25,999999,Pile!BT416))))</f>
        <v>999999</v>
      </c>
      <c r="BX416" s="537">
        <f t="shared" si="472"/>
        <v>13571881.491827644</v>
      </c>
      <c r="BY416" s="535">
        <f t="shared" si="473"/>
        <v>13571881.491827644</v>
      </c>
      <c r="BZ416" s="536">
        <f t="shared" si="474"/>
        <v>13571881.491827644</v>
      </c>
      <c r="CA416" s="586">
        <f t="shared" si="475"/>
        <v>214.79999999999998</v>
      </c>
      <c r="CB416" s="522">
        <v>3</v>
      </c>
      <c r="CC416" s="487">
        <v>1200</v>
      </c>
      <c r="CD416" s="531">
        <f>Inputs!$D$41*3</f>
        <v>12</v>
      </c>
      <c r="CE416" s="535">
        <f>_xlfn.MINIFS($DE$70:$DE$149,$DL$70:$DL$149,"&gt;"&amp;Inputs!$J$83)</f>
        <v>0.89999999999999947</v>
      </c>
      <c r="CF416" s="535">
        <f>_xlfn.MINIFS($DE$156:$DE$235,$DL$156:$DL$235,"&gt;"&amp;Inputs!$J$83)</f>
        <v>0</v>
      </c>
      <c r="CG416" s="536">
        <f>_xlfn.MINIFS($DE$242:$DE$321,$DL$242:$DL$321,"&gt;"&amp;Inputs!$J$83)</f>
        <v>0.89999999999999947</v>
      </c>
      <c r="CH416" s="537">
        <f>IF(Inputs!$F$83/3&gt;MAX(Pile!$DL$70:$DL$149),999999,IF(Pile!CE416/(Pile!CC416/1000)&gt;50,999999,IF(Pile!CE416&lt;2,999999,Pile!CE416)))</f>
        <v>999999</v>
      </c>
      <c r="CI416" s="535">
        <f>IF(Inputs!CE48="Yes",999999,IF(Pile!CF416/(Pile!CC416/1000)&gt;50,999999,IF(Pile!CF416&lt;2,999999,Pile!CF416)))</f>
        <v>999999</v>
      </c>
      <c r="CJ416" s="535">
        <f>IF(Inputs!$F$83/3&gt;MAX(Pile!$DL$242:$DL$321),999999,IF(Pile!CG416/(Pile!CC416/1000)&gt;50,999999,IF(Pile!CG416&lt;2,999999,IF(CG416&gt;25,999999,Pile!CG416))))</f>
        <v>999999</v>
      </c>
      <c r="CK416" s="537">
        <f t="shared" si="476"/>
        <v>13571881.491827644</v>
      </c>
      <c r="CL416" s="535">
        <f t="shared" si="477"/>
        <v>13571881.491827644</v>
      </c>
      <c r="CM416" s="536">
        <f t="shared" si="478"/>
        <v>13571881.491827644</v>
      </c>
      <c r="CN416" s="586">
        <f t="shared" si="479"/>
        <v>214.79999999999998</v>
      </c>
      <c r="CO416" s="522">
        <v>3</v>
      </c>
      <c r="CP416" s="487">
        <v>1200</v>
      </c>
      <c r="CQ416" s="531">
        <f>Inputs!$D$41*3</f>
        <v>12</v>
      </c>
      <c r="CR416" s="535">
        <f>_xlfn.MINIFS($DE$70:$DE$149,$DL$70:$DL$149,"&gt;"&amp;Inputs!$J$90)</f>
        <v>0.89999999999999947</v>
      </c>
      <c r="CS416" s="535">
        <f>_xlfn.MINIFS($DE$156:$DE$235,$DL$156:$DL$235,"&gt;"&amp;Inputs!$J$90)</f>
        <v>0</v>
      </c>
      <c r="CT416" s="536">
        <f>_xlfn.MINIFS($DE$242:$DE$321,$DL$242:$DL$321,"&gt;"&amp;Inputs!$J$90)</f>
        <v>0.89999999999999947</v>
      </c>
      <c r="CU416" s="537">
        <f>IF(Inputs!$F$90/3&gt;MAX(Pile!$DL$70:$DL$149),999999,IF(Pile!CR416/(Pile!CP416/1000)&gt;50,999999,IF(Pile!CR416&lt;2,999999,Pile!CR416)))</f>
        <v>999999</v>
      </c>
      <c r="CV416" s="535">
        <f>IF(Inputs!CR48="Yes",999999,IF(Pile!CS416/(Pile!CP416/1000)&gt;50,999999,IF(Pile!CS416&lt;2,999999,Pile!CS416)))</f>
        <v>999999</v>
      </c>
      <c r="CW416" s="535">
        <f>IF(Inputs!$F$90/3&gt;MAX(Pile!$DL$242:$DL$321),999999,IF(Pile!CT416/(Pile!CP416/1000)&gt;50,999999,IF(Pile!CT416&lt;2,999999,IF(CT416&gt;25,999999,Pile!CT416))))</f>
        <v>999999</v>
      </c>
      <c r="CX416" s="537">
        <f t="shared" si="480"/>
        <v>13571881.491827644</v>
      </c>
      <c r="CY416" s="535">
        <f t="shared" si="481"/>
        <v>13571881.491827644</v>
      </c>
      <c r="CZ416" s="536">
        <f t="shared" si="482"/>
        <v>13571881.491827644</v>
      </c>
      <c r="DA416" s="586">
        <f t="shared" si="483"/>
        <v>214.79999999999998</v>
      </c>
      <c r="DB416" s="522">
        <v>3</v>
      </c>
      <c r="DC416" s="487">
        <v>1200</v>
      </c>
      <c r="DD416" s="531">
        <f>Inputs!$D$41*3</f>
        <v>12</v>
      </c>
      <c r="DE416" s="535">
        <f>_xlfn.MINIFS($DE$70:$DE$149,$DL$70:$DL$149,"&gt;"&amp;Inputs!$J$97)</f>
        <v>0.89999999999999947</v>
      </c>
      <c r="DF416" s="535">
        <f>_xlfn.MINIFS($DE$156:$DE$235,$DL$156:$DL$235,"&gt;"&amp;Inputs!$J$97)</f>
        <v>0</v>
      </c>
      <c r="DG416" s="536">
        <f>_xlfn.MINIFS($DE$242:$DE$321,$DL$242:$DL$321,"&gt;"&amp;Inputs!$J$97)</f>
        <v>0.89999999999999947</v>
      </c>
      <c r="DH416" s="537">
        <f>IF(Inputs!$F$97/3&gt;MAX(Pile!$DL$70:$DL$149),999999,IF(Pile!DE416/(Pile!DC416/1000)&gt;50,999999,IF(Pile!DE416&lt;2,999999,Pile!DE416)))</f>
        <v>999999</v>
      </c>
      <c r="DI416" s="535">
        <f>IF(Inputs!DE48="Yes",999999,IF(Pile!DF416/(Pile!DC416/1000)&gt;50,999999,IF(Pile!DF416&lt;2,999999,Pile!DF416)))</f>
        <v>999999</v>
      </c>
      <c r="DJ416" s="535">
        <f>IF(Inputs!$F$97/3&gt;MAX(Pile!$DL$242:$DL$321),999999,IF(Pile!DG416/(Pile!DC416/1000)&gt;50,999999,IF(Pile!DG416&lt;2,999999,IF(DG416&gt;25,999999,Pile!DG416))))</f>
        <v>999999</v>
      </c>
      <c r="DK416" s="537">
        <f t="shared" si="484"/>
        <v>13571881.491827644</v>
      </c>
      <c r="DL416" s="535">
        <f t="shared" si="485"/>
        <v>13571881.491827644</v>
      </c>
      <c r="DM416" s="536">
        <f t="shared" si="486"/>
        <v>13571881.491827644</v>
      </c>
      <c r="DN416" s="586">
        <f t="shared" si="487"/>
        <v>214.79999999999998</v>
      </c>
      <c r="DO416" s="522">
        <v>3</v>
      </c>
      <c r="DP416" s="487">
        <v>1200</v>
      </c>
      <c r="DQ416" s="531">
        <f>Inputs!$D$41*3</f>
        <v>12</v>
      </c>
      <c r="DR416" s="535">
        <f>_xlfn.MINIFS($DE$70:$DE$149,$DL$70:$DL$149,"&gt;"&amp;Inputs!$J$104)</f>
        <v>0.59999999999999964</v>
      </c>
      <c r="DS416" s="535">
        <f>_xlfn.MINIFS($DE$156:$DE$235,$DL$156:$DL$235,"&gt;"&amp;Inputs!$J$104)</f>
        <v>0</v>
      </c>
      <c r="DT416" s="536">
        <f>_xlfn.MINIFS($DE$242:$DE$321,$DL$242:$DL$321,"&gt;"&amp;Inputs!$J$104)</f>
        <v>0.59999999999999964</v>
      </c>
      <c r="DU416" s="537">
        <f>IF(Inputs!$F$104/3&gt;MAX(Pile!$DL$70:$DL$149),999999,IF(Pile!DR416/(Pile!DP416/1000)&gt;50,999999,IF(Pile!DR416&lt;2,999999,Pile!DR416)))</f>
        <v>999999</v>
      </c>
      <c r="DV416" s="535">
        <f>IF(Inputs!DR48="Yes",999999,IF(Pile!DS416/(Pile!DP416/1000)&gt;50,999999,IF(Pile!DS416&lt;2,999999,Pile!DS416)))</f>
        <v>999999</v>
      </c>
      <c r="DW416" s="535">
        <f>IF(Inputs!$F$104/3&gt;MAX(Pile!$DL$242:$DL$321),999999,IF(Pile!DT416/(Pile!DP416/1000)&gt;50,999999,IF(Pile!DT416&lt;2,999999,IF(DT416&gt;25,999999,Pile!DT416))))</f>
        <v>999999</v>
      </c>
      <c r="DX416" s="537">
        <f t="shared" si="488"/>
        <v>13571881.491827644</v>
      </c>
      <c r="DY416" s="535">
        <f t="shared" si="489"/>
        <v>13571881.491827644</v>
      </c>
      <c r="DZ416" s="536">
        <f t="shared" si="490"/>
        <v>13571881.491827644</v>
      </c>
      <c r="EA416" s="586">
        <f t="shared" si="491"/>
        <v>214.79999999999998</v>
      </c>
      <c r="EB416" s="522">
        <v>3</v>
      </c>
      <c r="EC416" s="487">
        <v>1200</v>
      </c>
      <c r="ED416" s="531">
        <f>Inputs!$D$41*3</f>
        <v>12</v>
      </c>
      <c r="EE416" s="535">
        <f>_xlfn.MINIFS($DE$70:$DE$149,$DL$70:$DL$149,"&gt;"&amp;Inputs!$J$111)</f>
        <v>0.59999999999999964</v>
      </c>
      <c r="EF416" s="535">
        <f>_xlfn.MINIFS($DE$156:$DE$235,$DL$156:$DL$235,"&gt;"&amp;Inputs!$J$111)</f>
        <v>0</v>
      </c>
      <c r="EG416" s="536">
        <f>_xlfn.MINIFS($DE$242:$DE$321,$DL$242:$DL$321,"&gt;"&amp;Inputs!$J$111)</f>
        <v>0.59999999999999964</v>
      </c>
      <c r="EH416" s="537">
        <f>IF(Inputs!$F$111/3&gt;MAX(Pile!$DL$70:$DL$149),999999,IF(Pile!EE416/(Pile!EC416/1000)&gt;50,999999,IF(Pile!EE416&lt;2,999999,Pile!EE416)))</f>
        <v>999999</v>
      </c>
      <c r="EI416" s="535">
        <f>IF(Inputs!EE48="Yes",999999,IF(Pile!EF416/(Pile!EC416/1000)&gt;50,999999,IF(Pile!EF416&lt;2,999999,Pile!EF416)))</f>
        <v>999999</v>
      </c>
      <c r="EJ416" s="535">
        <f>IF(Inputs!$F$111/3&gt;MAX(Pile!$DL$242:$DL$321),999999,IF(Pile!EG416/(Pile!EC416/1000)&gt;50,999999,IF(Pile!EG416&lt;2,999999,IF(EG416&gt;25,999999,Pile!EG416))))</f>
        <v>999999</v>
      </c>
      <c r="EK416" s="537">
        <f t="shared" si="492"/>
        <v>13571881.491827644</v>
      </c>
      <c r="EL416" s="535">
        <f t="shared" si="493"/>
        <v>13571881.491827644</v>
      </c>
      <c r="EM416" s="536">
        <f t="shared" si="494"/>
        <v>13571881.491827644</v>
      </c>
      <c r="EN416" s="586">
        <f t="shared" si="495"/>
        <v>214.79999999999998</v>
      </c>
      <c r="EO416" s="522">
        <v>3</v>
      </c>
      <c r="EP416" s="487">
        <v>1200</v>
      </c>
      <c r="EQ416" s="531">
        <f>Inputs!$D$41*3</f>
        <v>12</v>
      </c>
      <c r="ER416" s="535">
        <f>_xlfn.MINIFS($DE$70:$DE$149,$DL$70:$DL$149,"&gt;"&amp;Inputs!$J$118)</f>
        <v>0.29999999999999982</v>
      </c>
      <c r="ES416" s="535">
        <f>_xlfn.MINIFS($DE$156:$DE$235,$DL$156:$DL$235,"&gt;"&amp;Inputs!$J$118)</f>
        <v>0</v>
      </c>
      <c r="ET416" s="536">
        <f>_xlfn.MINIFS($DE$242:$DE$321,$DL$242:$DL$321,"&gt;"&amp;Inputs!$J$118)</f>
        <v>0.29999999999999982</v>
      </c>
      <c r="EU416" s="537">
        <f>IF(Inputs!$F$118/3&gt;MAX(Pile!$DL$70:$DL$149),999999,IF(Pile!ER416/(Pile!EP416/1000)&gt;50,999999,IF(Pile!ER416&lt;2,999999,Pile!ER416)))</f>
        <v>999999</v>
      </c>
      <c r="EV416" s="535">
        <f>IF(Inputs!ER48="Yes",999999,IF(Inputs!$F$118&gt;MAX(Pile!$DG$156:$DG$235),999999,IF(Pile!ES416/(Pile!EP416/1000)&gt;50,999999,IF(Pile!ES416&lt;2,999999,Pile!ES416))))</f>
        <v>999999</v>
      </c>
      <c r="EW416" s="535">
        <f>IF(Inputs!$F$118/3&gt;MAX(Pile!$DL$242:$DL$321),999999,IF(Pile!ET416/(Pile!EP416/1000)&gt;50,999999,IF(Pile!ET416&lt;2,999999,IF(ET416&gt;25,999999,Pile!ET416))))</f>
        <v>999999</v>
      </c>
      <c r="EX416" s="537">
        <f t="shared" si="451"/>
        <v>13571666.691827644</v>
      </c>
      <c r="EY416" s="535">
        <f t="shared" si="452"/>
        <v>13571666.691827644</v>
      </c>
      <c r="EZ416" s="536">
        <f t="shared" si="453"/>
        <v>13571666.691827644</v>
      </c>
      <c r="FA416" s="437"/>
      <c r="FB416" s="437"/>
    </row>
    <row r="417" spans="2:157" ht="15">
      <c r="B417" s="541">
        <v>4</v>
      </c>
      <c r="C417" s="492">
        <v>450</v>
      </c>
      <c r="D417" s="542">
        <f>Inputs!$D$41*4</f>
        <v>16</v>
      </c>
      <c r="E417" s="543">
        <f>_xlfn.MINIFS($DE$70:$DE$149,$DG$70:$DG$149,"&gt;"&amp;Inputs!$K$41)</f>
        <v>3.8999999999999977</v>
      </c>
      <c r="F417" s="543">
        <f>_xlfn.MINIFS($DE$156:$DE$235,$DG$156:$DG$235,"&gt;"&amp;Inputs!$K$41)</f>
        <v>3.5999999999999979</v>
      </c>
      <c r="G417" s="544">
        <f>_xlfn.MINIFS($DE$242:$DE$321,$DG$242:$DG$321,"&gt;"&amp;Inputs!$K$41)</f>
        <v>3.5999999999999979</v>
      </c>
      <c r="H417" s="545">
        <f>IF(Inputs!$F$41/4&gt;MAX(Pile!$DG$70:$DG$149),999999,IF(Pile!E417/(Pile!C417/1000)&gt;50,999999,IF(Pile!E417&lt;2,999999,Pile!E417)))</f>
        <v>3.8999999999999977</v>
      </c>
      <c r="I417" s="543">
        <f>IF(Inputs!E49="Yes",999999,IF(Pile!F417/(Pile!C417/1000)&gt;50,999999,IF(Pile!F417&lt;2,999999,Pile!F417)))</f>
        <v>3.5999999999999979</v>
      </c>
      <c r="J417" s="543">
        <f>IF(Inputs!$F$41/4&gt;MAX(Pile!$DG$242:$DG$321),999999,IF(Pile!G417/(Pile!C417/1000)&gt;50,999999,IF(Pile!G417&lt;2,999999,IF(G417&gt;25,999999,Pile!G417))))</f>
        <v>3.5999999999999979</v>
      </c>
      <c r="K417" s="545">
        <f t="shared" si="454"/>
        <v>27.564291192690153</v>
      </c>
      <c r="L417" s="543">
        <f t="shared" si="455"/>
        <v>26.800884177867832</v>
      </c>
      <c r="M417" s="544">
        <f t="shared" si="456"/>
        <v>26.800884177867832</v>
      </c>
      <c r="N417" s="585">
        <f>Inputs!$D$41*G459</f>
        <v>17.64</v>
      </c>
      <c r="O417" s="541">
        <v>4</v>
      </c>
      <c r="P417" s="492">
        <v>450</v>
      </c>
      <c r="Q417" s="542">
        <f>Inputs!$D$41*4</f>
        <v>16</v>
      </c>
      <c r="R417" s="543">
        <f>_xlfn.MINIFS($DE$70:$DE$149,$DG$70:$DG$149,"&gt;"&amp;Inputs!$K$48)</f>
        <v>3.8999999999999977</v>
      </c>
      <c r="S417" s="543">
        <f>_xlfn.MINIFS($DE$156:$DE$235,$DG$156:$DG$235,"&gt;"&amp;Inputs!$K$48)</f>
        <v>3.5999999999999979</v>
      </c>
      <c r="T417" s="544">
        <f>_xlfn.MINIFS($DE$242:$DE$321,$DG$242:$DG$321,"&gt;"&amp;Inputs!$K$48)</f>
        <v>3.5999999999999979</v>
      </c>
      <c r="U417" s="545">
        <f>IF(Inputs!$F$48/4&gt;MAX(Pile!$DG$70:$DG$149),999999,IF(Pile!R417/(Pile!P417/1000)&gt;50,999999,IF(Pile!R417&lt;2,999999,Pile!R417)))</f>
        <v>3.8999999999999977</v>
      </c>
      <c r="V417" s="543">
        <f>IF(Inputs!R49="Yes",999999,IF(Pile!S417/(Pile!P417/1000)&gt;50,999999,IF(Pile!S417&lt;2,999999,Pile!S417)))</f>
        <v>3.5999999999999979</v>
      </c>
      <c r="W417" s="543">
        <f>IF(Inputs!$F$48/4&gt;MAX(Pile!$DG$242:$DG$321),999999,IF(Pile!T417/(Pile!P417/1000)&gt;50,999999,IF(Pile!T417&lt;2,999999,IF(T417&gt;25,999999,Pile!T417))))</f>
        <v>3.5999999999999979</v>
      </c>
      <c r="X417" s="545">
        <f t="shared" si="457"/>
        <v>27.564291192690153</v>
      </c>
      <c r="Y417" s="543">
        <f t="shared" si="458"/>
        <v>26.800884177867832</v>
      </c>
      <c r="Z417" s="544">
        <f t="shared" si="459"/>
        <v>26.800884177867832</v>
      </c>
      <c r="AA417" s="467">
        <f t="shared" si="496"/>
        <v>17.64</v>
      </c>
      <c r="AB417" s="546">
        <v>4</v>
      </c>
      <c r="AC417" s="498">
        <v>450</v>
      </c>
      <c r="AD417" s="547">
        <f>Inputs!$D$41*4</f>
        <v>16</v>
      </c>
      <c r="AE417" s="543">
        <f>_xlfn.MINIFS($DE$70:$DE$149,$DG$70:$DG$149,"&gt;"&amp;Inputs!$K$55)</f>
        <v>3.8999999999999977</v>
      </c>
      <c r="AF417" s="543">
        <f>_xlfn.MINIFS($DE$156:$DE$235,$DG$156:$DG$235,"&gt;"&amp;Inputs!$K$55)</f>
        <v>3.5999999999999979</v>
      </c>
      <c r="AG417" s="544">
        <f>_xlfn.MINIFS($DE$242:$DE$321,$DG$242:$DG$321,"&gt;"&amp;Inputs!$K$55)</f>
        <v>3.5999999999999979</v>
      </c>
      <c r="AH417" s="545">
        <f>IF(Inputs!$F$55/4&gt;MAX(Pile!$DG$70:$DG$149),999999,IF(Pile!AE417/(Pile!AC417/1000)&gt;50,999999,IF(Pile!AE417&lt;2,999999,Pile!AE417)))</f>
        <v>3.8999999999999977</v>
      </c>
      <c r="AI417" s="543">
        <f>IF(Inputs!AE49="Yes",999999,IF(Pile!AF417/(Pile!AC417/1000)&gt;50,999999,IF(Pile!AF417&lt;2,999999,Pile!AF417)))</f>
        <v>3.5999999999999979</v>
      </c>
      <c r="AJ417" s="543">
        <f>IF(Inputs!$F$55/4&gt;MAX(Pile!$DG$242:$DG$321),999999,IF(Pile!AG417/(Pile!AC417/1000)&gt;50,999999,IF(Pile!AG417&lt;2,999999,IF(AG417&gt;25,999999,Pile!AG417))))</f>
        <v>3.5999999999999979</v>
      </c>
      <c r="AK417" s="545">
        <f t="shared" si="460"/>
        <v>27.564291192690153</v>
      </c>
      <c r="AL417" s="543">
        <f t="shared" si="461"/>
        <v>26.800884177867832</v>
      </c>
      <c r="AM417" s="544">
        <f t="shared" si="462"/>
        <v>26.800884177867832</v>
      </c>
      <c r="AN417" s="586">
        <f t="shared" si="463"/>
        <v>17.64</v>
      </c>
      <c r="AO417" s="546">
        <v>4</v>
      </c>
      <c r="AP417" s="498">
        <v>450</v>
      </c>
      <c r="AQ417" s="547">
        <f>Inputs!$D$41*4</f>
        <v>16</v>
      </c>
      <c r="AR417" s="543">
        <f>_xlfn.MINIFS($DE$70:$DE$149,$DG$70:$DG$149,"&gt;"&amp;Inputs!$K$62)</f>
        <v>3.8999999999999977</v>
      </c>
      <c r="AS417" s="543">
        <f>_xlfn.MINIFS($DE$156:$DE$235,$DG$156:$DG$235,"&gt;"&amp;Inputs!$K$62)</f>
        <v>3.5999999999999979</v>
      </c>
      <c r="AT417" s="544">
        <f>_xlfn.MINIFS($DE$242:$DE$321,$DG$242:$DG$321,"&gt;"&amp;Inputs!$K$62)</f>
        <v>3.5999999999999979</v>
      </c>
      <c r="AU417" s="545">
        <f>IF(Inputs!$F$62/4&gt;MAX(Pile!$DG$70:$DG$149),999999,IF(Pile!AR417/(Pile!AP417/1000)&gt;50,999999,IF(Pile!AR417&lt;2,999999,Pile!AR417)))</f>
        <v>3.8999999999999977</v>
      </c>
      <c r="AV417" s="543">
        <f>IF(Inputs!AR49="Yes",999999,IF(Pile!AS417/(Pile!AP417/1000)&gt;50,999999,IF(Pile!AS417&lt;2,999999,Pile!AS417)))</f>
        <v>3.5999999999999979</v>
      </c>
      <c r="AW417" s="543">
        <f>IF(Inputs!$F$62/4&gt;MAX(Pile!$DG$242:$DG$321),999999,IF(Pile!AT417/(Pile!AP417/1000)&gt;50,999999,IF(Pile!AT417&lt;2,999999,IF(AT417&gt;25,999999,Pile!AT417))))</f>
        <v>3.5999999999999979</v>
      </c>
      <c r="AX417" s="545">
        <f t="shared" si="464"/>
        <v>27.564291192690153</v>
      </c>
      <c r="AY417" s="543">
        <f t="shared" si="465"/>
        <v>26.800884177867832</v>
      </c>
      <c r="AZ417" s="544">
        <f t="shared" si="466"/>
        <v>26.800884177867832</v>
      </c>
      <c r="BA417" s="586">
        <f t="shared" si="467"/>
        <v>17.64</v>
      </c>
      <c r="BB417" s="546">
        <v>4</v>
      </c>
      <c r="BC417" s="498">
        <v>450</v>
      </c>
      <c r="BD417" s="547">
        <f>Inputs!$D$41*4</f>
        <v>16</v>
      </c>
      <c r="BE417" s="543">
        <f>_xlfn.MINIFS($DE$70:$DE$149,$DG$70:$DG$149,"&gt;"&amp;Inputs!$K$69)</f>
        <v>3.8999999999999977</v>
      </c>
      <c r="BF417" s="543">
        <f>_xlfn.MINIFS($DE$156:$DE$235,$DG$156:$DG$235,"&gt;"&amp;Inputs!$K$69)</f>
        <v>3.5999999999999979</v>
      </c>
      <c r="BG417" s="544">
        <f>_xlfn.MINIFS($DE$242:$DE$321,$DG$242:$DG$321,"&gt;"&amp;Inputs!$K$69)</f>
        <v>3.5999999999999979</v>
      </c>
      <c r="BH417" s="545">
        <f>IF(Inputs!$F$69/4&gt;MAX(Pile!$DG$70:$DG$149),999999,IF(Pile!BE417/(Pile!BC417/1000)&gt;50,999999,IF(Pile!BE417&lt;2,999999,Pile!BE417)))</f>
        <v>3.8999999999999977</v>
      </c>
      <c r="BI417" s="543">
        <f>IF(Inputs!BE49="Yes",999999,IF(Pile!BF417/(Pile!BC417/1000)&gt;50,999999,IF(Pile!BF417&lt;2,999999,Pile!BF417)))</f>
        <v>3.5999999999999979</v>
      </c>
      <c r="BJ417" s="543">
        <f>IF(Inputs!$F$69/4&gt;MAX(Pile!$DG$242:$DG$321),999999,IF(Pile!BG417/(Pile!BC417/1000)&gt;50,999999,IF(Pile!BG417&lt;2,999999,IF(BG417&gt;25,999999,Pile!BG417))))</f>
        <v>3.5999999999999979</v>
      </c>
      <c r="BK417" s="545">
        <f t="shared" si="468"/>
        <v>27.564291192690153</v>
      </c>
      <c r="BL417" s="543">
        <f t="shared" si="469"/>
        <v>26.800884177867832</v>
      </c>
      <c r="BM417" s="544">
        <f t="shared" si="470"/>
        <v>26.800884177867832</v>
      </c>
      <c r="BN417" s="586">
        <f t="shared" si="471"/>
        <v>17.64</v>
      </c>
      <c r="BO417" s="546">
        <v>4</v>
      </c>
      <c r="BP417" s="498">
        <v>450</v>
      </c>
      <c r="BQ417" s="547">
        <f>Inputs!$D$41*4</f>
        <v>16</v>
      </c>
      <c r="BR417" s="543">
        <f>_xlfn.MINIFS($DE$70:$DE$149,$DG$70:$DG$149,"&gt;"&amp;Inputs!$K$76)</f>
        <v>3.8999999999999977</v>
      </c>
      <c r="BS417" s="543">
        <f>_xlfn.MINIFS($DE$156:$DE$235,$DG$156:$DG$235,"&gt;"&amp;Inputs!$K$76)</f>
        <v>3.5999999999999979</v>
      </c>
      <c r="BT417" s="544">
        <f>_xlfn.MINIFS($DE$242:$DE$321,$DG$242:$DG$321,"&gt;"&amp;Inputs!$K$76)</f>
        <v>3.5999999999999979</v>
      </c>
      <c r="BU417" s="545">
        <f>IF(Inputs!$F$76/4&gt;MAX(Pile!$DG$70:$DG$149),999999,IF(Pile!BR417/(Pile!BP417/1000)&gt;50,999999,IF(Pile!BR417&lt;2,999999,Pile!BR417)))</f>
        <v>3.8999999999999977</v>
      </c>
      <c r="BV417" s="543">
        <f>IF(Inputs!BR49="Yes",999999,IF(Pile!BS417/(Pile!BP417/1000)&gt;50,999999,IF(Pile!BS417&lt;2,999999,Pile!BS417)))</f>
        <v>3.5999999999999979</v>
      </c>
      <c r="BW417" s="543">
        <f>IF(Inputs!$F$76/4&gt;MAX(Pile!$DG$242:$DG$321),999999,IF(Pile!BT417/(Pile!BP417/1000)&gt;50,999999,IF(Pile!BT417&lt;2,999999,IF(BT417&gt;25,999999,Pile!BT417))))</f>
        <v>3.5999999999999979</v>
      </c>
      <c r="BX417" s="545">
        <f t="shared" si="472"/>
        <v>27.564291192690153</v>
      </c>
      <c r="BY417" s="543">
        <f t="shared" si="473"/>
        <v>26.800884177867832</v>
      </c>
      <c r="BZ417" s="544">
        <f t="shared" si="474"/>
        <v>26.800884177867832</v>
      </c>
      <c r="CA417" s="586">
        <f t="shared" si="475"/>
        <v>17.64</v>
      </c>
      <c r="CB417" s="546">
        <v>4</v>
      </c>
      <c r="CC417" s="498">
        <v>450</v>
      </c>
      <c r="CD417" s="547">
        <f>Inputs!$D$41*4</f>
        <v>16</v>
      </c>
      <c r="CE417" s="543">
        <f>_xlfn.MINIFS($DE$70:$DE$149,$DG$70:$DG$149,"&gt;"&amp;Inputs!$K$83)</f>
        <v>2.9999999999999982</v>
      </c>
      <c r="CF417" s="543">
        <f>_xlfn.MINIFS($DE$156:$DE$235,$DG$156:$DG$235,"&gt;"&amp;Inputs!$K$83)</f>
        <v>2.6999999999999984</v>
      </c>
      <c r="CG417" s="544">
        <f>_xlfn.MINIFS($DE$242:$DE$321,$DG$242:$DG$321,"&gt;"&amp;Inputs!$K$83)</f>
        <v>2.6999999999999984</v>
      </c>
      <c r="CH417" s="545">
        <f>IF(Inputs!$F$83/4&gt;MAX(Pile!$DG$70:$DG$149),999999,IF(Pile!CE417/(Pile!CC417/1000)&gt;50,999999,IF(Pile!CE417&lt;2,999999,Pile!CE417)))</f>
        <v>2.9999999999999982</v>
      </c>
      <c r="CI417" s="543">
        <f>IF(Inputs!CE49="Yes",999999,IF(Pile!CF417/(Pile!CC417/1000)&gt;50,999999,IF(Pile!CF417&lt;2,999999,Pile!CF417)))</f>
        <v>2.6999999999999984</v>
      </c>
      <c r="CJ417" s="543">
        <f>IF(Inputs!$F$83/4&gt;MAX(Pile!$DG$242:$DG$321),999999,IF(Pile!CG417/(Pile!CC417/1000)&gt;50,999999,IF(Pile!CG417&lt;2,999999,IF(CG417&gt;25,999999,Pile!CG417))))</f>
        <v>2.6999999999999984</v>
      </c>
      <c r="CK417" s="545">
        <f t="shared" si="476"/>
        <v>25.274070148223196</v>
      </c>
      <c r="CL417" s="543">
        <f t="shared" si="477"/>
        <v>24.510663133400875</v>
      </c>
      <c r="CM417" s="544">
        <f t="shared" si="478"/>
        <v>24.510663133400875</v>
      </c>
      <c r="CN417" s="586">
        <f t="shared" si="479"/>
        <v>17.64</v>
      </c>
      <c r="CO417" s="546">
        <v>4</v>
      </c>
      <c r="CP417" s="498">
        <v>450</v>
      </c>
      <c r="CQ417" s="547">
        <f>Inputs!$D$41*4</f>
        <v>16</v>
      </c>
      <c r="CR417" s="543">
        <f>_xlfn.MINIFS($DE$70:$DE$149,$DG$70:$DG$149,"&gt;"&amp;Inputs!$K$90)</f>
        <v>2.6999999999999984</v>
      </c>
      <c r="CS417" s="543">
        <f>_xlfn.MINIFS($DE$156:$DE$235,$DG$156:$DG$235,"&gt;"&amp;Inputs!$K$90)</f>
        <v>2.3999999999999986</v>
      </c>
      <c r="CT417" s="544">
        <f>_xlfn.MINIFS($DE$242:$DE$321,$DG$242:$DG$321,"&gt;"&amp;Inputs!$K$90)</f>
        <v>2.6999999999999984</v>
      </c>
      <c r="CU417" s="545">
        <f>IF(Inputs!$F$90/4&gt;MAX(Pile!$DG$70:$DG$149),999999,IF(Pile!CR417/(Pile!CP417/1000)&gt;50,999999,IF(Pile!CR417&lt;2,999999,Pile!CR417)))</f>
        <v>2.6999999999999984</v>
      </c>
      <c r="CV417" s="543">
        <f>IF(Inputs!CR49="Yes",999999,IF(Pile!CS417/(Pile!CP417/1000)&gt;50,999999,IF(Pile!CS417&lt;2,999999,Pile!CS417)))</f>
        <v>2.3999999999999986</v>
      </c>
      <c r="CW417" s="543">
        <f>IF(Inputs!$F$90/4&gt;MAX(Pile!$DG$242:$DG$321),999999,IF(Pile!CT417/(Pile!CP417/1000)&gt;50,999999,IF(Pile!CT417&lt;2,999999,IF(CT417&gt;25,999999,Pile!CT417))))</f>
        <v>2.6999999999999984</v>
      </c>
      <c r="CX417" s="545">
        <f t="shared" si="480"/>
        <v>24.510663133400875</v>
      </c>
      <c r="CY417" s="543">
        <f t="shared" si="481"/>
        <v>23.747256118578555</v>
      </c>
      <c r="CZ417" s="544">
        <f t="shared" si="482"/>
        <v>24.510663133400875</v>
      </c>
      <c r="DA417" s="586">
        <f t="shared" si="483"/>
        <v>17.64</v>
      </c>
      <c r="DB417" s="546">
        <v>4</v>
      </c>
      <c r="DC417" s="498">
        <v>450</v>
      </c>
      <c r="DD417" s="547">
        <f>Inputs!$D$41*4</f>
        <v>16</v>
      </c>
      <c r="DE417" s="543">
        <f>_xlfn.MINIFS($DE$70:$DE$149,$DG$70:$DG$149,"&gt;"&amp;Inputs!$K$97)</f>
        <v>2.6999999999999984</v>
      </c>
      <c r="DF417" s="543">
        <f>_xlfn.MINIFS($DE$156:$DE$235,$DG$156:$DG$235,"&gt;"&amp;Inputs!$K$97)</f>
        <v>2.3999999999999986</v>
      </c>
      <c r="DG417" s="544">
        <f>_xlfn.MINIFS($DE$242:$DE$321,$DG$242:$DG$321,"&gt;"&amp;Inputs!$K$97)</f>
        <v>2.6999999999999984</v>
      </c>
      <c r="DH417" s="545">
        <f>IF(Inputs!$F$97/4&gt;MAX(Pile!$DG$70:$DG$149),999999,IF(Pile!DE417/(Pile!DC417/1000)&gt;50,999999,IF(Pile!DE417&lt;2,999999,Pile!DE417)))</f>
        <v>2.6999999999999984</v>
      </c>
      <c r="DI417" s="543">
        <f>IF(Inputs!DE49="Yes",999999,IF(Pile!DF417/(Pile!DC417/1000)&gt;50,999999,IF(Pile!DF417&lt;2,999999,Pile!DF417)))</f>
        <v>2.3999999999999986</v>
      </c>
      <c r="DJ417" s="543">
        <f>IF(Inputs!$F$97/4&gt;MAX(Pile!$DG$242:$DG$321),999999,IF(Pile!DG417/(Pile!DC417/1000)&gt;50,999999,IF(Pile!DG417&lt;2,999999,IF(DG417&gt;25,999999,Pile!DG417))))</f>
        <v>2.6999999999999984</v>
      </c>
      <c r="DK417" s="545">
        <f t="shared" si="484"/>
        <v>24.510663133400875</v>
      </c>
      <c r="DL417" s="543">
        <f t="shared" si="485"/>
        <v>23.747256118578555</v>
      </c>
      <c r="DM417" s="544">
        <f t="shared" si="486"/>
        <v>24.510663133400875</v>
      </c>
      <c r="DN417" s="586">
        <f t="shared" si="487"/>
        <v>17.64</v>
      </c>
      <c r="DO417" s="546">
        <v>4</v>
      </c>
      <c r="DP417" s="498">
        <v>450</v>
      </c>
      <c r="DQ417" s="547">
        <f>Inputs!$D$41*4</f>
        <v>16</v>
      </c>
      <c r="DR417" s="543">
        <f>_xlfn.MINIFS($DE$70:$DE$149,$DG$70:$DG$149,"&gt;"&amp;Inputs!$K$104)</f>
        <v>2.3999999999999986</v>
      </c>
      <c r="DS417" s="543">
        <f>_xlfn.MINIFS($DE$156:$DE$235,$DG$156:$DG$235,"&gt;"&amp;Inputs!$K$104)</f>
        <v>2.0999999999999988</v>
      </c>
      <c r="DT417" s="544">
        <f>_xlfn.MINIFS($DE$242:$DE$321,$DG$242:$DG$321,"&gt;"&amp;Inputs!$K$104)</f>
        <v>2.3999999999999986</v>
      </c>
      <c r="DU417" s="545">
        <f>IF(Inputs!$F$104/4&gt;MAX(Pile!$DG$70:$DG$149),999999,IF(Pile!DR417/(Pile!DP417/1000)&gt;50,999999,IF(Pile!DR417&lt;2,999999,Pile!DR417)))</f>
        <v>2.3999999999999986</v>
      </c>
      <c r="DV417" s="543">
        <f>IF(Inputs!DR49="Yes",999999,IF(Pile!DS417/(Pile!DP417/1000)&gt;50,999999,IF(Pile!DS417&lt;2,999999,Pile!DS417)))</f>
        <v>2.0999999999999988</v>
      </c>
      <c r="DW417" s="543">
        <f>IF(Inputs!$F$104/4&gt;MAX(Pile!$DG$242:$DG$321),999999,IF(Pile!DT417/(Pile!DP417/1000)&gt;50,999999,IF(Pile!DT417&lt;2,999999,IF(DT417&gt;25,999999,Pile!DT417))))</f>
        <v>2.3999999999999986</v>
      </c>
      <c r="DX417" s="545">
        <f t="shared" si="488"/>
        <v>23.747256118578555</v>
      </c>
      <c r="DY417" s="543">
        <f t="shared" si="489"/>
        <v>22.983849103756235</v>
      </c>
      <c r="DZ417" s="544">
        <f t="shared" si="490"/>
        <v>23.747256118578555</v>
      </c>
      <c r="EA417" s="586">
        <f t="shared" si="491"/>
        <v>17.64</v>
      </c>
      <c r="EB417" s="546">
        <v>4</v>
      </c>
      <c r="EC417" s="498">
        <v>450</v>
      </c>
      <c r="ED417" s="547">
        <f>Inputs!$D$41*4</f>
        <v>16</v>
      </c>
      <c r="EE417" s="543">
        <f>_xlfn.MINIFS($DE$70:$DE$149,$DG$70:$DG$149,"&gt;"&amp;Inputs!$K$111)</f>
        <v>2.3999999999999986</v>
      </c>
      <c r="EF417" s="543">
        <f>_xlfn.MINIFS($DE$156:$DE$235,$DG$156:$DG$235,"&gt;"&amp;Inputs!$K$111)</f>
        <v>2.0999999999999988</v>
      </c>
      <c r="EG417" s="544">
        <f>_xlfn.MINIFS($DE$242:$DE$321,$DG$242:$DG$321,"&gt;"&amp;Inputs!$K$111)</f>
        <v>2.3999999999999986</v>
      </c>
      <c r="EH417" s="545">
        <f>IF(Inputs!$F$111/4&gt;MAX(Pile!$DG$70:$DG$149),999999,IF(Pile!EE417/(Pile!EC417/1000)&gt;50,999999,IF(Pile!EE417&lt;2,999999,Pile!EE417)))</f>
        <v>2.3999999999999986</v>
      </c>
      <c r="EI417" s="543">
        <f>IF(Inputs!EE49="Yes",999999,IF(Pile!EF417/(Pile!EC417/1000)&gt;50,999999,IF(Pile!EF417&lt;2,999999,Pile!EF417)))</f>
        <v>2.0999999999999988</v>
      </c>
      <c r="EJ417" s="543">
        <f>IF(Inputs!$F$111/4&gt;MAX(Pile!$DG$242:$DG$321),999999,IF(Pile!EG417/(Pile!EC417/1000)&gt;50,999999,IF(Pile!EG417&lt;2,999999,IF(EG417&gt;25,999999,Pile!EG417))))</f>
        <v>2.3999999999999986</v>
      </c>
      <c r="EK417" s="545">
        <f t="shared" si="492"/>
        <v>23.747256118578555</v>
      </c>
      <c r="EL417" s="543">
        <f t="shared" si="493"/>
        <v>22.983849103756235</v>
      </c>
      <c r="EM417" s="544">
        <f t="shared" si="494"/>
        <v>23.747256118578555</v>
      </c>
      <c r="EN417" s="586">
        <f t="shared" si="495"/>
        <v>17.64</v>
      </c>
      <c r="EO417" s="546">
        <v>4</v>
      </c>
      <c r="EP417" s="498">
        <v>450</v>
      </c>
      <c r="EQ417" s="547">
        <f>Inputs!$D$41*4</f>
        <v>16</v>
      </c>
      <c r="ER417" s="543">
        <f>_xlfn.MINIFS($DE$70:$DE$149,$DG$70:$DG$149,"&gt;"&amp;Inputs!$K$118)</f>
        <v>0.29999999999999982</v>
      </c>
      <c r="ES417" s="543">
        <f>_xlfn.MINIFS($DE$156:$DE$235,$DG$156:$DG$235,"&gt;"&amp;Inputs!$K$118)</f>
        <v>0.29999999999999982</v>
      </c>
      <c r="ET417" s="544">
        <f>_xlfn.MINIFS($DE$242:$DE$321,$DG$242:$DG$321,"&gt;"&amp;Inputs!$K$118)</f>
        <v>0.29999999999999982</v>
      </c>
      <c r="EU417" s="545">
        <f>IF(Inputs!$F$118/4&gt;MAX(Pile!$DG$70:$DG$149),999999,IF(Pile!ER417/(Pile!EP417/1000)&gt;50,999999,IF(Pile!ER417&lt;2,999999,Pile!ER417)))</f>
        <v>999999</v>
      </c>
      <c r="EV417" s="543">
        <f>IF(Inputs!ER49="Yes",999999,IF(Inputs!$F$118&gt;MAX(Pile!$DG$156:$DG$235),999999,IF(Pile!ES417/(Pile!EP417/1000)&gt;50,999999,IF(Pile!ES417&lt;2,999999,Pile!ES417))))</f>
        <v>999999</v>
      </c>
      <c r="EW417" s="543">
        <f>IF(Inputs!$F$118/4&gt;MAX(Pile!$DG$242:$DG$321),999999,IF(Pile!ET417/(Pile!EP417/1000)&gt;50,999999,IF(Pile!ET417&lt;2,999999,IF(ET417&gt;25,999999,Pile!ET417))))</f>
        <v>999999</v>
      </c>
      <c r="EX417" s="545">
        <f t="shared" si="451"/>
        <v>2544687.5047176834</v>
      </c>
      <c r="EY417" s="543">
        <f t="shared" si="452"/>
        <v>2544687.5047176834</v>
      </c>
      <c r="EZ417" s="544">
        <f t="shared" si="453"/>
        <v>2544687.5047176834</v>
      </c>
    </row>
    <row r="418" spans="2:157" ht="15">
      <c r="B418" s="541">
        <v>4</v>
      </c>
      <c r="C418" s="476">
        <v>600</v>
      </c>
      <c r="D418" s="551">
        <f>Inputs!$D$41*4</f>
        <v>16</v>
      </c>
      <c r="E418" s="552">
        <f>_xlfn.MINIFS($DE$70:$DE$149,$DH$70:$DH$149,"&gt;"&amp;Inputs!$K$41)</f>
        <v>2.6999999999999984</v>
      </c>
      <c r="F418" s="552">
        <f>_xlfn.MINIFS($DE$156:$DE$235,$DH$156:$DH$235,"&gt;"&amp;Inputs!$K$41)</f>
        <v>2.3999999999999986</v>
      </c>
      <c r="G418" s="553">
        <f>_xlfn.MINIFS($DE$242:$DE$321,$DH$242:$DH$321,"&gt;"&amp;Inputs!$K$41)</f>
        <v>2.6999999999999984</v>
      </c>
      <c r="H418" s="554">
        <f>IF(Inputs!$F$41/4&gt;MAX(Pile!$DH$70:$DH$149),999999,IF(Pile!E418/(Pile!C418/1000)&gt;50,999999,IF(Pile!E418&lt;2,999999,Pile!E418)))</f>
        <v>2.6999999999999984</v>
      </c>
      <c r="I418" s="552">
        <f>IF(Inputs!E50="Yes",999999,IF(Pile!F418/(Pile!C418/1000)&gt;50,999999,IF(Pile!F418&lt;2,999999,Pile!F418)))</f>
        <v>2.3999999999999986</v>
      </c>
      <c r="J418" s="552">
        <f>IF(Inputs!$F$41/4&gt;MAX(Pile!$DH$242:$DH$321),999999,IF(Pile!G418/(Pile!C418/1000)&gt;50,999999,IF(Pile!G418&lt;2,999999,IF(G418&gt;25,999999,Pile!G418))))</f>
        <v>2.6999999999999984</v>
      </c>
      <c r="K418" s="554">
        <f t="shared" si="454"/>
        <v>53.038512237157107</v>
      </c>
      <c r="L418" s="552">
        <f t="shared" si="455"/>
        <v>51.681344210806316</v>
      </c>
      <c r="M418" s="553">
        <f t="shared" si="456"/>
        <v>53.038512237157107</v>
      </c>
      <c r="N418" s="585">
        <f>Inputs!$D$41*G460</f>
        <v>40.823999999999998</v>
      </c>
      <c r="O418" s="541">
        <v>4</v>
      </c>
      <c r="P418" s="476">
        <v>600</v>
      </c>
      <c r="Q418" s="551">
        <f>Inputs!$D$41*4</f>
        <v>16</v>
      </c>
      <c r="R418" s="552">
        <f>_xlfn.MINIFS($DE$70:$DE$149,$DH$70:$DH$149,"&gt;"&amp;Inputs!$K$48)</f>
        <v>2.6999999999999984</v>
      </c>
      <c r="S418" s="552">
        <f>_xlfn.MINIFS($DE$156:$DE$235,$DH$156:$DH$235,"&gt;"&amp;Inputs!$K$48)</f>
        <v>2.3999999999999986</v>
      </c>
      <c r="T418" s="553">
        <f>_xlfn.MINIFS($DE$242:$DE$321,$DH$242:$DH$321,"&gt;"&amp;Inputs!$K$48)</f>
        <v>2.3999999999999986</v>
      </c>
      <c r="U418" s="554">
        <f>IF(Inputs!$F$48/4&gt;MAX(Pile!$DH$70:$DH$149),999999,IF(Pile!R418/(Pile!P418/1000)&gt;50,999999,IF(Pile!R418&lt;2,999999,Pile!R418)))</f>
        <v>2.6999999999999984</v>
      </c>
      <c r="V418" s="552">
        <f>IF(Inputs!R50="Yes",999999,IF(Pile!S418/(Pile!P418/1000)&gt;50,999999,IF(Pile!S418&lt;2,999999,Pile!S418)))</f>
        <v>2.3999999999999986</v>
      </c>
      <c r="W418" s="552">
        <f>IF(Inputs!$F$48/4&gt;MAX(Pile!$DH$242:$DH$321),999999,IF(Pile!T418/(Pile!P418/1000)&gt;50,999999,IF(Pile!T418&lt;2,999999,IF(T418&gt;25,999999,Pile!T418))))</f>
        <v>2.3999999999999986</v>
      </c>
      <c r="X418" s="554">
        <f t="shared" si="457"/>
        <v>53.038512237157107</v>
      </c>
      <c r="Y418" s="552">
        <f t="shared" si="458"/>
        <v>51.681344210806316</v>
      </c>
      <c r="Z418" s="553">
        <f t="shared" si="459"/>
        <v>51.681344210806316</v>
      </c>
      <c r="AA418" s="467">
        <f t="shared" si="496"/>
        <v>40.823999999999998</v>
      </c>
      <c r="AB418" s="546">
        <v>4</v>
      </c>
      <c r="AC418" s="479">
        <v>600</v>
      </c>
      <c r="AD418" s="555">
        <f>Inputs!$D$41*4</f>
        <v>16</v>
      </c>
      <c r="AE418" s="552">
        <f>_xlfn.MINIFS($DE$70:$DE$149,$DH$70:$DH$149,"&gt;"&amp;Inputs!$K$55)</f>
        <v>2.6999999999999984</v>
      </c>
      <c r="AF418" s="552">
        <f>_xlfn.MINIFS($DE$156:$DE$235,$DH$156:$DH$235,"&gt;"&amp;Inputs!$K$55)</f>
        <v>2.3999999999999986</v>
      </c>
      <c r="AG418" s="553">
        <f>_xlfn.MINIFS($DE$242:$DE$321,$DH$242:$DH$321,"&gt;"&amp;Inputs!$K$55)</f>
        <v>2.3999999999999986</v>
      </c>
      <c r="AH418" s="554">
        <f>IF(Inputs!$F$55/4&gt;MAX(Pile!$DH$70:$DH$149),999999,IF(Pile!AE418/(Pile!AC418/1000)&gt;50,999999,IF(Pile!AE418&lt;2,999999,Pile!AE418)))</f>
        <v>2.6999999999999984</v>
      </c>
      <c r="AI418" s="552">
        <f>IF(Inputs!AE50="Yes",999999,IF(Pile!AF418/(Pile!AC418/1000)&gt;50,999999,IF(Pile!AF418&lt;2,999999,Pile!AF418)))</f>
        <v>2.3999999999999986</v>
      </c>
      <c r="AJ418" s="552">
        <f>IF(Inputs!$F$55/4&gt;MAX(Pile!$DH$242:$DH$321),999999,IF(Pile!AG418/(Pile!AC418/1000)&gt;50,999999,IF(Pile!AG418&lt;2,999999,IF(AG418&gt;25,999999,Pile!AG418))))</f>
        <v>2.3999999999999986</v>
      </c>
      <c r="AK418" s="554">
        <f t="shared" si="460"/>
        <v>53.038512237157107</v>
      </c>
      <c r="AL418" s="552">
        <f t="shared" si="461"/>
        <v>51.681344210806316</v>
      </c>
      <c r="AM418" s="553">
        <f t="shared" si="462"/>
        <v>51.681344210806316</v>
      </c>
      <c r="AN418" s="586">
        <f t="shared" si="463"/>
        <v>40.823999999999998</v>
      </c>
      <c r="AO418" s="546">
        <v>4</v>
      </c>
      <c r="AP418" s="479">
        <v>600</v>
      </c>
      <c r="AQ418" s="555">
        <f>Inputs!$D$41*4</f>
        <v>16</v>
      </c>
      <c r="AR418" s="552">
        <f>_xlfn.MINIFS($DE$70:$DE$149,$DH$70:$DH$149,"&gt;"&amp;Inputs!$K$62)</f>
        <v>2.6999999999999984</v>
      </c>
      <c r="AS418" s="552">
        <f>_xlfn.MINIFS($DE$156:$DE$235,$DH$156:$DH$235,"&gt;"&amp;Inputs!$K$62)</f>
        <v>2.3999999999999986</v>
      </c>
      <c r="AT418" s="553">
        <f>_xlfn.MINIFS($DE$242:$DE$321,$DH$242:$DH$321,"&gt;"&amp;Inputs!$K$62)</f>
        <v>2.3999999999999986</v>
      </c>
      <c r="AU418" s="554">
        <f>IF(Inputs!$F$62/4&gt;MAX(Pile!$DH$70:$DH$149),999999,IF(Pile!AR418/(Pile!AP418/1000)&gt;50,999999,IF(Pile!AR418&lt;2,999999,Pile!AR418)))</f>
        <v>2.6999999999999984</v>
      </c>
      <c r="AV418" s="552">
        <f>IF(Inputs!AR50="Yes",999999,IF(Pile!AS418/(Pile!AP418/1000)&gt;50,999999,IF(Pile!AS418&lt;2,999999,Pile!AS418)))</f>
        <v>2.3999999999999986</v>
      </c>
      <c r="AW418" s="552">
        <f>IF(Inputs!$F$62/4&gt;MAX(Pile!$DH$242:$DH$321),999999,IF(Pile!AT418/(Pile!AP418/1000)&gt;50,999999,IF(Pile!AT418&lt;2,999999,IF(AT418&gt;25,999999,Pile!AT418))))</f>
        <v>2.3999999999999986</v>
      </c>
      <c r="AX418" s="554">
        <f t="shared" si="464"/>
        <v>53.038512237157107</v>
      </c>
      <c r="AY418" s="552">
        <f t="shared" si="465"/>
        <v>51.681344210806316</v>
      </c>
      <c r="AZ418" s="553">
        <f t="shared" si="466"/>
        <v>51.681344210806316</v>
      </c>
      <c r="BA418" s="586">
        <f t="shared" si="467"/>
        <v>40.823999999999998</v>
      </c>
      <c r="BB418" s="546">
        <v>4</v>
      </c>
      <c r="BC418" s="479">
        <v>600</v>
      </c>
      <c r="BD418" s="555">
        <f>Inputs!$D$41*4</f>
        <v>16</v>
      </c>
      <c r="BE418" s="552">
        <f>_xlfn.MINIFS($DE$70:$DE$149,$DH$70:$DH$149,"&gt;"&amp;Inputs!$K$69)</f>
        <v>2.6999999999999984</v>
      </c>
      <c r="BF418" s="552">
        <f>_xlfn.MINIFS($DE$156:$DE$235,$DH$156:$DH$235,"&gt;"&amp;Inputs!$K$69)</f>
        <v>2.3999999999999986</v>
      </c>
      <c r="BG418" s="553">
        <f>_xlfn.MINIFS($DE$242:$DE$321,$DH$242:$DH$321,"&gt;"&amp;Inputs!$K$69)</f>
        <v>2.3999999999999986</v>
      </c>
      <c r="BH418" s="554">
        <f>IF(Inputs!$F$69/4&gt;MAX(Pile!$DH$70:$DH$149),999999,IF(Pile!BE418/(Pile!BC418/1000)&gt;50,999999,IF(Pile!BE418&lt;2,999999,Pile!BE418)))</f>
        <v>2.6999999999999984</v>
      </c>
      <c r="BI418" s="552">
        <f>IF(Inputs!BE50="Yes",999999,IF(Pile!BF418/(Pile!BC418/1000)&gt;50,999999,IF(Pile!BF418&lt;2,999999,Pile!BF418)))</f>
        <v>2.3999999999999986</v>
      </c>
      <c r="BJ418" s="552">
        <f>IF(Inputs!$F$69/4&gt;MAX(Pile!$DH$242:$DH$321),999999,IF(Pile!BG418/(Pile!BC418/1000)&gt;50,999999,IF(Pile!BG418&lt;2,999999,IF(BG418&gt;25,999999,Pile!BG418))))</f>
        <v>2.3999999999999986</v>
      </c>
      <c r="BK418" s="554">
        <f t="shared" si="468"/>
        <v>53.038512237157107</v>
      </c>
      <c r="BL418" s="552">
        <f t="shared" si="469"/>
        <v>51.681344210806316</v>
      </c>
      <c r="BM418" s="553">
        <f t="shared" si="470"/>
        <v>51.681344210806316</v>
      </c>
      <c r="BN418" s="586">
        <f t="shared" si="471"/>
        <v>40.823999999999998</v>
      </c>
      <c r="BO418" s="546">
        <v>4</v>
      </c>
      <c r="BP418" s="479">
        <v>600</v>
      </c>
      <c r="BQ418" s="555">
        <f>Inputs!$D$41*4</f>
        <v>16</v>
      </c>
      <c r="BR418" s="552">
        <f>_xlfn.MINIFS($DE$70:$DE$149,$DH$70:$DH$149,"&gt;"&amp;Inputs!$K$76)</f>
        <v>2.6999999999999984</v>
      </c>
      <c r="BS418" s="552">
        <f>_xlfn.MINIFS($DE$156:$DE$235,$DH$156:$DH$235,"&gt;"&amp;Inputs!$K$76)</f>
        <v>2.3999999999999986</v>
      </c>
      <c r="BT418" s="553">
        <f>_xlfn.MINIFS($DE$242:$DE$321,$DH$242:$DH$321,"&gt;"&amp;Inputs!$K$76)</f>
        <v>2.6999999999999984</v>
      </c>
      <c r="BU418" s="554">
        <f>IF(Inputs!$F$76/4&gt;MAX(Pile!$DH$70:$DH$149),999999,IF(Pile!BR418/(Pile!BP418/1000)&gt;50,999999,IF(Pile!BR418&lt;2,999999,Pile!BR418)))</f>
        <v>2.6999999999999984</v>
      </c>
      <c r="BV418" s="552">
        <f>IF(Inputs!BR50="Yes",999999,IF(Pile!BS418/(Pile!BP418/1000)&gt;50,999999,IF(Pile!BS418&lt;2,999999,Pile!BS418)))</f>
        <v>2.3999999999999986</v>
      </c>
      <c r="BW418" s="552">
        <f>IF(Inputs!$F$76/4&gt;MAX(Pile!$DH$242:$DH$321),999999,IF(Pile!BT418/(Pile!BP418/1000)&gt;50,999999,IF(Pile!BT418&lt;2,999999,IF(BT418&gt;25,999999,Pile!BT418))))</f>
        <v>2.6999999999999984</v>
      </c>
      <c r="BX418" s="554">
        <f t="shared" si="472"/>
        <v>53.038512237157107</v>
      </c>
      <c r="BY418" s="552">
        <f t="shared" si="473"/>
        <v>51.681344210806316</v>
      </c>
      <c r="BZ418" s="553">
        <f t="shared" si="474"/>
        <v>53.038512237157107</v>
      </c>
      <c r="CA418" s="586">
        <f t="shared" si="475"/>
        <v>40.823999999999998</v>
      </c>
      <c r="CB418" s="546">
        <v>4</v>
      </c>
      <c r="CC418" s="479">
        <v>600</v>
      </c>
      <c r="CD418" s="555">
        <f>Inputs!$D$41*4</f>
        <v>16</v>
      </c>
      <c r="CE418" s="552">
        <f>_xlfn.MINIFS($DE$70:$DE$149,$DH$70:$DH$149,"&gt;"&amp;Inputs!$K$83)</f>
        <v>2.0999999999999988</v>
      </c>
      <c r="CF418" s="552">
        <f>_xlfn.MINIFS($DE$156:$DE$235,$DH$156:$DH$235,"&gt;"&amp;Inputs!$K$83)</f>
        <v>1.7999999999999989</v>
      </c>
      <c r="CG418" s="553">
        <f>_xlfn.MINIFS($DE$242:$DE$321,$DH$242:$DH$321,"&gt;"&amp;Inputs!$K$83)</f>
        <v>1.7999999999999989</v>
      </c>
      <c r="CH418" s="554">
        <f>IF(Inputs!$F$83/4&gt;MAX(Pile!$DH$70:$DH$149),999999,IF(Pile!CE418/(Pile!CC418/1000)&gt;50,999999,IF(Pile!CE418&lt;2,999999,Pile!CE418)))</f>
        <v>2.0999999999999988</v>
      </c>
      <c r="CI418" s="552">
        <f>IF(Inputs!CE50="Yes",999999,IF(Pile!CF418/(Pile!CC418/1000)&gt;50,999999,IF(Pile!CF418&lt;2,999999,Pile!CF418)))</f>
        <v>999999</v>
      </c>
      <c r="CJ418" s="552">
        <f>IF(Inputs!$F$83/4&gt;MAX(Pile!$DH$242:$DH$321),999999,IF(Pile!CG418/(Pile!CC418/1000)&gt;50,999999,IF(Pile!CG418&lt;2,999999,IF(CG418&gt;25,999999,Pile!CG418))))</f>
        <v>999999</v>
      </c>
      <c r="CK418" s="554">
        <f t="shared" si="476"/>
        <v>50.324176184455524</v>
      </c>
      <c r="CL418" s="552">
        <f t="shared" si="477"/>
        <v>4523929.7212758809</v>
      </c>
      <c r="CM418" s="553">
        <f t="shared" si="478"/>
        <v>4523929.7212758809</v>
      </c>
      <c r="CN418" s="586">
        <f t="shared" si="479"/>
        <v>40.823999999999998</v>
      </c>
      <c r="CO418" s="546">
        <v>4</v>
      </c>
      <c r="CP418" s="479">
        <v>600</v>
      </c>
      <c r="CQ418" s="555">
        <f>Inputs!$D$41*4</f>
        <v>16</v>
      </c>
      <c r="CR418" s="552">
        <f>_xlfn.MINIFS($DE$70:$DE$149,$DH$70:$DH$149,"&gt;"&amp;Inputs!$K$90)</f>
        <v>1.7999999999999989</v>
      </c>
      <c r="CS418" s="552">
        <f>_xlfn.MINIFS($DE$156:$DE$235,$DH$156:$DH$235,"&gt;"&amp;Inputs!$K$90)</f>
        <v>1.4999999999999991</v>
      </c>
      <c r="CT418" s="553">
        <f>_xlfn.MINIFS($DE$242:$DE$321,$DH$242:$DH$321,"&gt;"&amp;Inputs!$K$90)</f>
        <v>1.7999999999999989</v>
      </c>
      <c r="CU418" s="554">
        <f>IF(Inputs!$F$90/4&gt;MAX(Pile!$DH$70:$DH$149),999999,IF(Pile!CR418/(Pile!CP418/1000)&gt;50,999999,IF(Pile!CR418&lt;2,999999,Pile!CR418)))</f>
        <v>999999</v>
      </c>
      <c r="CV418" s="552">
        <f>IF(Inputs!CR50="Yes",999999,IF(Pile!CS418/(Pile!CP418/1000)&gt;50,999999,IF(Pile!CS418&lt;2,999999,Pile!CS418)))</f>
        <v>999999</v>
      </c>
      <c r="CW418" s="552">
        <f>IF(Inputs!$F$90/4&gt;MAX(Pile!$DH$242:$DH$321),999999,IF(Pile!CT418/(Pile!CP418/1000)&gt;50,999999,IF(Pile!CT418&lt;2,999999,IF(CT418&gt;25,999999,Pile!CT418))))</f>
        <v>999999</v>
      </c>
      <c r="CX418" s="554">
        <f t="shared" si="480"/>
        <v>4523929.7212758809</v>
      </c>
      <c r="CY418" s="552">
        <f t="shared" si="481"/>
        <v>4523929.7212758809</v>
      </c>
      <c r="CZ418" s="553">
        <f t="shared" si="482"/>
        <v>4523929.7212758809</v>
      </c>
      <c r="DA418" s="586">
        <f t="shared" si="483"/>
        <v>40.823999999999998</v>
      </c>
      <c r="DB418" s="546">
        <v>4</v>
      </c>
      <c r="DC418" s="479">
        <v>600</v>
      </c>
      <c r="DD418" s="555">
        <f>Inputs!$D$41*4</f>
        <v>16</v>
      </c>
      <c r="DE418" s="552">
        <f>_xlfn.MINIFS($DE$70:$DE$149,$DH$70:$DH$149,"&gt;"&amp;Inputs!$K$97)</f>
        <v>1.7999999999999989</v>
      </c>
      <c r="DF418" s="552">
        <f>_xlfn.MINIFS($DE$156:$DE$235,$DH$156:$DH$235,"&gt;"&amp;Inputs!$K$97)</f>
        <v>1.4999999999999991</v>
      </c>
      <c r="DG418" s="553">
        <f>_xlfn.MINIFS($DE$242:$DE$321,$DH$242:$DH$321,"&gt;"&amp;Inputs!$K$97)</f>
        <v>1.7999999999999989</v>
      </c>
      <c r="DH418" s="554">
        <f>IF(Inputs!$F$97/4&gt;MAX(Pile!$DH$70:$DH$149),999999,IF(Pile!DE418/(Pile!DC418/1000)&gt;50,999999,IF(Pile!DE418&lt;2,999999,Pile!DE418)))</f>
        <v>999999</v>
      </c>
      <c r="DI418" s="552">
        <f>IF(Inputs!DE50="Yes",999999,IF(Pile!DF418/(Pile!DC418/1000)&gt;50,999999,IF(Pile!DF418&lt;2,999999,Pile!DF418)))</f>
        <v>999999</v>
      </c>
      <c r="DJ418" s="552">
        <f>IF(Inputs!$F$97/4&gt;MAX(Pile!$DH$242:$DH$321),999999,IF(Pile!DG418/(Pile!DC418/1000)&gt;50,999999,IF(Pile!DG418&lt;2,999999,IF(DG418&gt;25,999999,Pile!DG418))))</f>
        <v>999999</v>
      </c>
      <c r="DK418" s="554">
        <f t="shared" si="484"/>
        <v>4523929.7212758809</v>
      </c>
      <c r="DL418" s="552">
        <f t="shared" si="485"/>
        <v>4523929.7212758809</v>
      </c>
      <c r="DM418" s="553">
        <f t="shared" si="486"/>
        <v>4523929.7212758809</v>
      </c>
      <c r="DN418" s="586">
        <f t="shared" si="487"/>
        <v>40.823999999999998</v>
      </c>
      <c r="DO418" s="546">
        <v>4</v>
      </c>
      <c r="DP418" s="479">
        <v>600</v>
      </c>
      <c r="DQ418" s="555">
        <f>Inputs!$D$41*4</f>
        <v>16</v>
      </c>
      <c r="DR418" s="552">
        <f>_xlfn.MINIFS($DE$70:$DE$149,$DH$70:$DH$149,"&gt;"&amp;Inputs!$K$104)</f>
        <v>1.4999999999999991</v>
      </c>
      <c r="DS418" s="552">
        <f>_xlfn.MINIFS($DE$156:$DE$235,$DH$156:$DH$235,"&gt;"&amp;Inputs!$K$104)</f>
        <v>1.4999999999999991</v>
      </c>
      <c r="DT418" s="553">
        <f>_xlfn.MINIFS($DE$242:$DE$321,$DH$242:$DH$321,"&gt;"&amp;Inputs!$K$104)</f>
        <v>1.4999999999999991</v>
      </c>
      <c r="DU418" s="554">
        <f>IF(Inputs!$F$104/4&gt;MAX(Pile!$DH$70:$DH$149),999999,IF(Pile!DR418/(Pile!DP418/1000)&gt;50,999999,IF(Pile!DR418&lt;2,999999,Pile!DR418)))</f>
        <v>999999</v>
      </c>
      <c r="DV418" s="552">
        <f>IF(Inputs!DR50="Yes",999999,IF(Pile!DS418/(Pile!DP418/1000)&gt;50,999999,IF(Pile!DS418&lt;2,999999,Pile!DS418)))</f>
        <v>999999</v>
      </c>
      <c r="DW418" s="552">
        <f>IF(Inputs!$F$104/4&gt;MAX(Pile!$DH$242:$DH$321),999999,IF(Pile!DT418/(Pile!DP418/1000)&gt;50,999999,IF(Pile!DT418&lt;2,999999,IF(DT418&gt;25,999999,Pile!DT418))))</f>
        <v>999999</v>
      </c>
      <c r="DX418" s="554">
        <f t="shared" si="488"/>
        <v>4523929.7212758809</v>
      </c>
      <c r="DY418" s="552">
        <f t="shared" si="489"/>
        <v>4523929.7212758809</v>
      </c>
      <c r="DZ418" s="553">
        <f t="shared" si="490"/>
        <v>4523929.7212758809</v>
      </c>
      <c r="EA418" s="586">
        <f t="shared" si="491"/>
        <v>40.823999999999998</v>
      </c>
      <c r="EB418" s="546">
        <v>4</v>
      </c>
      <c r="EC418" s="479">
        <v>600</v>
      </c>
      <c r="ED418" s="555">
        <f>Inputs!$D$41*4</f>
        <v>16</v>
      </c>
      <c r="EE418" s="552">
        <f>_xlfn.MINIFS($DE$70:$DE$149,$DH$70:$DH$149,"&gt;"&amp;Inputs!$K$111)</f>
        <v>1.4999999999999991</v>
      </c>
      <c r="EF418" s="552">
        <f>_xlfn.MINIFS($DE$156:$DE$235,$DH$156:$DH$235,"&gt;"&amp;Inputs!$K$111)</f>
        <v>1.4999999999999991</v>
      </c>
      <c r="EG418" s="553">
        <f>_xlfn.MINIFS($DE$242:$DE$321,$DH$242:$DH$321,"&gt;"&amp;Inputs!$K$111)</f>
        <v>1.4999999999999991</v>
      </c>
      <c r="EH418" s="554">
        <f>IF(Inputs!$F$111/4&gt;MAX(Pile!$DH$70:$DH$149),999999,IF(Pile!EE418/(Pile!EC418/1000)&gt;50,999999,IF(Pile!EE418&lt;2,999999,Pile!EE418)))</f>
        <v>999999</v>
      </c>
      <c r="EI418" s="552">
        <f>IF(Inputs!EE50="Yes",999999,IF(Pile!EF418/(Pile!EC418/1000)&gt;50,999999,IF(Pile!EF418&lt;2,999999,Pile!EF418)))</f>
        <v>999999</v>
      </c>
      <c r="EJ418" s="552">
        <f>IF(Inputs!$F$111/4&gt;MAX(Pile!$DH$242:$DH$321),999999,IF(Pile!EG418/(Pile!EC418/1000)&gt;50,999999,IF(Pile!EG418&lt;2,999999,IF(EG418&gt;25,999999,Pile!EG418))))</f>
        <v>999999</v>
      </c>
      <c r="EK418" s="554">
        <f t="shared" si="492"/>
        <v>4523929.7212758809</v>
      </c>
      <c r="EL418" s="552">
        <f t="shared" si="493"/>
        <v>4523929.7212758809</v>
      </c>
      <c r="EM418" s="553">
        <f t="shared" si="494"/>
        <v>4523929.7212758809</v>
      </c>
      <c r="EN418" s="586">
        <f t="shared" si="495"/>
        <v>40.823999999999998</v>
      </c>
      <c r="EO418" s="546">
        <v>4</v>
      </c>
      <c r="EP418" s="479">
        <v>600</v>
      </c>
      <c r="EQ418" s="555">
        <f>Inputs!$D$41*4</f>
        <v>16</v>
      </c>
      <c r="ER418" s="552">
        <f>_xlfn.MINIFS($DE$70:$DE$149,$DH$70:$DH$149,"&gt;"&amp;Inputs!$K$118)</f>
        <v>0.29999999999999982</v>
      </c>
      <c r="ES418" s="552">
        <f>_xlfn.MINIFS($DE$156:$DE$235,$DH$156:$DH$235,"&gt;"&amp;Inputs!$K$118)</f>
        <v>0.29999999999999982</v>
      </c>
      <c r="ET418" s="553">
        <f>_xlfn.MINIFS($DE$242:$DE$321,$DH$242:$DH$321,"&gt;"&amp;Inputs!$K$118)</f>
        <v>0.29999999999999982</v>
      </c>
      <c r="EU418" s="554">
        <f>IF(Inputs!$F$118/4&gt;MAX(Pile!$DH$70:$DH$149),999999,IF(Pile!ER418/(Pile!EP418/1000)&gt;50,999999,IF(Pile!ER418&lt;2,999999,Pile!ER418)))</f>
        <v>999999</v>
      </c>
      <c r="EV418" s="552">
        <f>IF(Inputs!ER50="Yes",999999,IF(Inputs!$F$118&gt;MAX(Pile!$DG$156:$DG$235),999999,IF(Pile!ES418/(Pile!EP418/1000)&gt;50,999999,IF(Pile!ES418&lt;2,999999,Pile!ES418))))</f>
        <v>999999</v>
      </c>
      <c r="EW418" s="552">
        <f>IF(Inputs!$F$118/4&gt;MAX(Pile!$DH$242:$DH$321),999999,IF(Pile!ET418/(Pile!EP418/1000)&gt;50,999999,IF(Pile!ET418&lt;2,999999,IF(ET418&gt;25,999999,Pile!ET418))))</f>
        <v>999999</v>
      </c>
      <c r="EX418" s="554">
        <f t="shared" si="451"/>
        <v>4523888.8972758809</v>
      </c>
      <c r="EY418" s="552">
        <f t="shared" si="452"/>
        <v>4523888.8972758809</v>
      </c>
      <c r="EZ418" s="553">
        <f t="shared" si="453"/>
        <v>4523888.8972758809</v>
      </c>
    </row>
    <row r="419" spans="2:157" ht="15">
      <c r="B419" s="541">
        <v>4</v>
      </c>
      <c r="C419" s="476">
        <v>750</v>
      </c>
      <c r="D419" s="551">
        <f>Inputs!$D$41*4</f>
        <v>16</v>
      </c>
      <c r="E419" s="552">
        <f>_xlfn.MINIFS($DE$70:$DE$149,$DI$70:$DI$149,"&gt;"&amp;Inputs!$K$41)</f>
        <v>1.7999999999999989</v>
      </c>
      <c r="F419" s="552">
        <f>_xlfn.MINIFS($DE$156:$DE$235,$DI$156:$DI$235,"&gt;"&amp;Inputs!$K$41)</f>
        <v>1.7999999999999989</v>
      </c>
      <c r="G419" s="553">
        <f>_xlfn.MINIFS($DE$242:$DE$321,$DI$242:$DI$321,"&gt;"&amp;Inputs!$K$41)</f>
        <v>1.7999999999999989</v>
      </c>
      <c r="H419" s="554">
        <f>IF(Inputs!$F$41/4&gt;MAX(Pile!$DI$70:$DI$149),999999,IF(Pile!E419/(Pile!C419/1000)&gt;50,999999,IF(Pile!E419&lt;2,999999,Pile!E419)))</f>
        <v>999999</v>
      </c>
      <c r="I419" s="552">
        <f>IF(Inputs!E51="Yes",999999,IF(Pile!F419/(Pile!C419/1000)&gt;50,999999,IF(Pile!F419&lt;2,999999,Pile!F419)))</f>
        <v>999999</v>
      </c>
      <c r="J419" s="552">
        <f>IF(Inputs!$F$41/4&gt;MAX(Pile!$DI$242:$DI$321),999999,IF(Pile!G419/(Pile!C419/1000)&gt;50,999999,IF(Pile!G419&lt;2,999999,IF(G419&gt;25,999999,Pile!G419))))</f>
        <v>999999</v>
      </c>
      <c r="K419" s="554">
        <f t="shared" si="454"/>
        <v>7068654.8099935642</v>
      </c>
      <c r="L419" s="552">
        <f t="shared" si="455"/>
        <v>7068654.8099935642</v>
      </c>
      <c r="M419" s="553">
        <f t="shared" si="456"/>
        <v>7068654.8099935642</v>
      </c>
      <c r="N419" s="585">
        <f>Inputs!$D$41*G461</f>
        <v>78.407999999999987</v>
      </c>
      <c r="O419" s="541">
        <v>4</v>
      </c>
      <c r="P419" s="476">
        <v>750</v>
      </c>
      <c r="Q419" s="551">
        <f>Inputs!$D$41*4</f>
        <v>16</v>
      </c>
      <c r="R419" s="552">
        <f>_xlfn.MINIFS($DE$70:$DE$149,$DI$70:$DI$149,"&gt;"&amp;Inputs!$K$48)</f>
        <v>1.7999999999999989</v>
      </c>
      <c r="S419" s="552">
        <f>_xlfn.MINIFS($DE$156:$DE$235,$DI$156:$DI$235,"&gt;"&amp;Inputs!$K$48)</f>
        <v>1.7999999999999989</v>
      </c>
      <c r="T419" s="553">
        <f>_xlfn.MINIFS($DE$242:$DE$321,$DI$242:$DI$321,"&gt;"&amp;Inputs!$K$48)</f>
        <v>1.7999999999999989</v>
      </c>
      <c r="U419" s="554">
        <f>IF(Inputs!$F$48/4&gt;MAX(Pile!$DI$70:$DI$149),999999,IF(Pile!R419/(Pile!P419/1000)&gt;50,999999,IF(Pile!R419&lt;2,999999,Pile!R419)))</f>
        <v>999999</v>
      </c>
      <c r="V419" s="552">
        <f>IF(Inputs!R51="Yes",999999,IF(Pile!S419/(Pile!P419/1000)&gt;50,999999,IF(Pile!S419&lt;2,999999,Pile!S419)))</f>
        <v>999999</v>
      </c>
      <c r="W419" s="552">
        <f>IF(Inputs!$F$48/4&gt;MAX(Pile!$DI$242:$DI$321),999999,IF(Pile!T419/(Pile!P419/1000)&gt;50,999999,IF(Pile!T419&lt;2,999999,IF(T419&gt;25,999999,Pile!T419))))</f>
        <v>999999</v>
      </c>
      <c r="X419" s="554">
        <f t="shared" si="457"/>
        <v>7068654.8099935642</v>
      </c>
      <c r="Y419" s="552">
        <f t="shared" si="458"/>
        <v>7068654.8099935642</v>
      </c>
      <c r="Z419" s="553">
        <f t="shared" si="459"/>
        <v>7068654.8099935642</v>
      </c>
      <c r="AA419" s="467">
        <f t="shared" si="496"/>
        <v>78.407999999999987</v>
      </c>
      <c r="AB419" s="546">
        <v>4</v>
      </c>
      <c r="AC419" s="479">
        <v>750</v>
      </c>
      <c r="AD419" s="555">
        <f>Inputs!$D$41*4</f>
        <v>16</v>
      </c>
      <c r="AE419" s="552">
        <f>_xlfn.MINIFS($DE$70:$DE$149,$DI$70:$DI$149,"&gt;"&amp;Inputs!$K$55)</f>
        <v>1.7999999999999989</v>
      </c>
      <c r="AF419" s="552">
        <f>_xlfn.MINIFS($DE$156:$DE$235,$DI$156:$DI$235,"&gt;"&amp;Inputs!$K$55)</f>
        <v>1.7999999999999989</v>
      </c>
      <c r="AG419" s="553">
        <f>_xlfn.MINIFS($DE$242:$DE$321,$DI$242:$DI$321,"&gt;"&amp;Inputs!$K$55)</f>
        <v>1.7999999999999989</v>
      </c>
      <c r="AH419" s="554">
        <f>IF(Inputs!$F$55/4&gt;MAX(Pile!$DI$70:$DI$149),999999,IF(Pile!AE419/(Pile!AC419/1000)&gt;50,999999,IF(Pile!AE419&lt;2,999999,Pile!AE419)))</f>
        <v>999999</v>
      </c>
      <c r="AI419" s="552">
        <f>IF(Inputs!AE51="Yes",999999,IF(Pile!AF419/(Pile!AC419/1000)&gt;50,999999,IF(Pile!AF419&lt;2,999999,Pile!AF419)))</f>
        <v>999999</v>
      </c>
      <c r="AJ419" s="552">
        <f>IF(Inputs!$F$55/4&gt;MAX(Pile!$DI$242:$DI$321),999999,IF(Pile!AG419/(Pile!AC419/1000)&gt;50,999999,IF(Pile!AG419&lt;2,999999,IF(AG419&gt;25,999999,Pile!AG419))))</f>
        <v>999999</v>
      </c>
      <c r="AK419" s="554">
        <f t="shared" si="460"/>
        <v>7068654.8099935642</v>
      </c>
      <c r="AL419" s="552">
        <f t="shared" si="461"/>
        <v>7068654.8099935642</v>
      </c>
      <c r="AM419" s="553">
        <f t="shared" si="462"/>
        <v>7068654.8099935642</v>
      </c>
      <c r="AN419" s="586">
        <f t="shared" si="463"/>
        <v>78.407999999999987</v>
      </c>
      <c r="AO419" s="546">
        <v>4</v>
      </c>
      <c r="AP419" s="479">
        <v>750</v>
      </c>
      <c r="AQ419" s="555">
        <f>Inputs!$D$41*4</f>
        <v>16</v>
      </c>
      <c r="AR419" s="552">
        <f>_xlfn.MINIFS($DE$70:$DE$149,$DI$70:$DI$149,"&gt;"&amp;Inputs!$K$62)</f>
        <v>1.7999999999999989</v>
      </c>
      <c r="AS419" s="552">
        <f>_xlfn.MINIFS($DE$156:$DE$235,$DI$156:$DI$235,"&gt;"&amp;Inputs!$K$62)</f>
        <v>1.7999999999999989</v>
      </c>
      <c r="AT419" s="553">
        <f>_xlfn.MINIFS($DE$242:$DE$321,$DI$242:$DI$321,"&gt;"&amp;Inputs!$K$62)</f>
        <v>1.7999999999999989</v>
      </c>
      <c r="AU419" s="554">
        <f>IF(Inputs!$F$62/4&gt;MAX(Pile!$DI$70:$DI$149),999999,IF(Pile!AR419/(Pile!AP419/1000)&gt;50,999999,IF(Pile!AR419&lt;2,999999,Pile!AR419)))</f>
        <v>999999</v>
      </c>
      <c r="AV419" s="552">
        <f>IF(Inputs!AR51="Yes",999999,IF(Pile!AS419/(Pile!AP419/1000)&gt;50,999999,IF(Pile!AS419&lt;2,999999,Pile!AS419)))</f>
        <v>999999</v>
      </c>
      <c r="AW419" s="552">
        <f>IF(Inputs!$F$62/4&gt;MAX(Pile!$DI$242:$DI$321),999999,IF(Pile!AT419/(Pile!AP419/1000)&gt;50,999999,IF(Pile!AT419&lt;2,999999,IF(AT419&gt;25,999999,Pile!AT419))))</f>
        <v>999999</v>
      </c>
      <c r="AX419" s="554">
        <f t="shared" si="464"/>
        <v>7068654.8099935642</v>
      </c>
      <c r="AY419" s="552">
        <f t="shared" si="465"/>
        <v>7068654.8099935642</v>
      </c>
      <c r="AZ419" s="553">
        <f t="shared" si="466"/>
        <v>7068654.8099935642</v>
      </c>
      <c r="BA419" s="586">
        <f t="shared" si="467"/>
        <v>78.407999999999987</v>
      </c>
      <c r="BB419" s="546">
        <v>4</v>
      </c>
      <c r="BC419" s="479">
        <v>750</v>
      </c>
      <c r="BD419" s="555">
        <f>Inputs!$D$41*4</f>
        <v>16</v>
      </c>
      <c r="BE419" s="552">
        <f>_xlfn.MINIFS($DE$70:$DE$149,$DI$70:$DI$149,"&gt;"&amp;Inputs!$K$69)</f>
        <v>1.7999999999999989</v>
      </c>
      <c r="BF419" s="552">
        <f>_xlfn.MINIFS($DE$156:$DE$235,$DI$156:$DI$235,"&gt;"&amp;Inputs!$K$69)</f>
        <v>1.7999999999999989</v>
      </c>
      <c r="BG419" s="553">
        <f>_xlfn.MINIFS($DE$242:$DE$321,$DI$242:$DI$321,"&gt;"&amp;Inputs!$K$69)</f>
        <v>1.7999999999999989</v>
      </c>
      <c r="BH419" s="554">
        <f>IF(Inputs!$F$69/4&gt;MAX(Pile!$DI$70:$DI$149),999999,IF(Pile!BE419/(Pile!BC419/1000)&gt;50,999999,IF(Pile!BE419&lt;2,999999,Pile!BE419)))</f>
        <v>999999</v>
      </c>
      <c r="BI419" s="552">
        <f>IF(Inputs!BE51="Yes",999999,IF(Pile!BF419/(Pile!BC419/1000)&gt;50,999999,IF(Pile!BF419&lt;2,999999,Pile!BF419)))</f>
        <v>999999</v>
      </c>
      <c r="BJ419" s="552">
        <f>IF(Inputs!$F$69/4&gt;MAX(Pile!$DI$242:$DI$321),999999,IF(Pile!BG419/(Pile!BC419/1000)&gt;50,999999,IF(Pile!BG419&lt;2,999999,IF(BG419&gt;25,999999,Pile!BG419))))</f>
        <v>999999</v>
      </c>
      <c r="BK419" s="554">
        <f t="shared" si="468"/>
        <v>7068654.8099935642</v>
      </c>
      <c r="BL419" s="552">
        <f t="shared" si="469"/>
        <v>7068654.8099935642</v>
      </c>
      <c r="BM419" s="553">
        <f t="shared" si="470"/>
        <v>7068654.8099935642</v>
      </c>
      <c r="BN419" s="586">
        <f t="shared" si="471"/>
        <v>78.407999999999987</v>
      </c>
      <c r="BO419" s="546">
        <v>4</v>
      </c>
      <c r="BP419" s="479">
        <v>750</v>
      </c>
      <c r="BQ419" s="555">
        <f>Inputs!$D$41*4</f>
        <v>16</v>
      </c>
      <c r="BR419" s="552">
        <f>_xlfn.MINIFS($DE$70:$DE$149,$DI$70:$DI$149,"&gt;"&amp;Inputs!$K$76)</f>
        <v>1.7999999999999989</v>
      </c>
      <c r="BS419" s="552">
        <f>_xlfn.MINIFS($DE$156:$DE$235,$DI$156:$DI$235,"&gt;"&amp;Inputs!$K$76)</f>
        <v>1.7999999999999989</v>
      </c>
      <c r="BT419" s="553">
        <f>_xlfn.MINIFS($DE$242:$DE$321,$DI$242:$DI$321,"&gt;"&amp;Inputs!$K$76)</f>
        <v>1.7999999999999989</v>
      </c>
      <c r="BU419" s="554">
        <f>IF(Inputs!$F$76/4&gt;MAX(Pile!$DI$70:$DI$149),999999,IF(Pile!BR419/(Pile!BP419/1000)&gt;50,999999,IF(Pile!BR419&lt;2,999999,Pile!BR419)))</f>
        <v>999999</v>
      </c>
      <c r="BV419" s="552">
        <f>IF(Inputs!BR51="Yes",999999,IF(Pile!BS419/(Pile!BP419/1000)&gt;50,999999,IF(Pile!BS419&lt;2,999999,Pile!BS419)))</f>
        <v>999999</v>
      </c>
      <c r="BW419" s="552">
        <f>IF(Inputs!$F$76/4&gt;MAX(Pile!$DI$242:$DI$321),999999,IF(Pile!BT419/(Pile!BP419/1000)&gt;50,999999,IF(Pile!BT419&lt;2,999999,IF(BT419&gt;25,999999,Pile!BT419))))</f>
        <v>999999</v>
      </c>
      <c r="BX419" s="554">
        <f t="shared" si="472"/>
        <v>7068654.8099935642</v>
      </c>
      <c r="BY419" s="552">
        <f t="shared" si="473"/>
        <v>7068654.8099935642</v>
      </c>
      <c r="BZ419" s="553">
        <f t="shared" si="474"/>
        <v>7068654.8099935642</v>
      </c>
      <c r="CA419" s="586">
        <f t="shared" si="475"/>
        <v>78.407999999999987</v>
      </c>
      <c r="CB419" s="546">
        <v>4</v>
      </c>
      <c r="CC419" s="479">
        <v>750</v>
      </c>
      <c r="CD419" s="555">
        <f>Inputs!$D$41*4</f>
        <v>16</v>
      </c>
      <c r="CE419" s="552">
        <f>_xlfn.MINIFS($DE$70:$DE$149,$DI$70:$DI$149,"&gt;"&amp;Inputs!$K$83)</f>
        <v>1.4999999999999991</v>
      </c>
      <c r="CF419" s="552">
        <f>_xlfn.MINIFS($DE$156:$DE$235,$DI$156:$DI$235,"&gt;"&amp;Inputs!$K$83)</f>
        <v>1.1999999999999993</v>
      </c>
      <c r="CG419" s="553">
        <f>_xlfn.MINIFS($DE$242:$DE$321,$DI$242:$DI$321,"&gt;"&amp;Inputs!$K$83)</f>
        <v>1.4999999999999991</v>
      </c>
      <c r="CH419" s="554">
        <f>IF(Inputs!$F$83/4&gt;MAX(Pile!$DI$70:$DI$149),999999,IF(Pile!CE419/(Pile!CC419/1000)&gt;50,999999,IF(Pile!CE419&lt;2,999999,Pile!CE419)))</f>
        <v>999999</v>
      </c>
      <c r="CI419" s="552">
        <f>IF(Inputs!CE51="Yes",999999,IF(Pile!CF419/(Pile!CC419/1000)&gt;50,999999,IF(Pile!CF419&lt;2,999999,Pile!CF419)))</f>
        <v>999999</v>
      </c>
      <c r="CJ419" s="552">
        <f>IF(Inputs!$F$83/4&gt;MAX(Pile!$DI$242:$DI$321),999999,IF(Pile!CG419/(Pile!CC419/1000)&gt;50,999999,IF(Pile!CG419&lt;2,999999,IF(CG419&gt;25,999999,Pile!CG419))))</f>
        <v>999999</v>
      </c>
      <c r="CK419" s="554">
        <f t="shared" si="476"/>
        <v>7068654.8099935642</v>
      </c>
      <c r="CL419" s="552">
        <f t="shared" si="477"/>
        <v>7068654.8099935642</v>
      </c>
      <c r="CM419" s="553">
        <f t="shared" si="478"/>
        <v>7068654.8099935642</v>
      </c>
      <c r="CN419" s="586">
        <f t="shared" si="479"/>
        <v>78.407999999999987</v>
      </c>
      <c r="CO419" s="546">
        <v>4</v>
      </c>
      <c r="CP419" s="479">
        <v>750</v>
      </c>
      <c r="CQ419" s="555">
        <f>Inputs!$D$41*4</f>
        <v>16</v>
      </c>
      <c r="CR419" s="552">
        <f>_xlfn.MINIFS($DE$70:$DE$149,$DI$70:$DI$149,"&gt;"&amp;Inputs!$K$90)</f>
        <v>1.1999999999999993</v>
      </c>
      <c r="CS419" s="552">
        <f>_xlfn.MINIFS($DE$156:$DE$235,$DI$156:$DI$235,"&gt;"&amp;Inputs!$K$90)</f>
        <v>1.1999999999999993</v>
      </c>
      <c r="CT419" s="553">
        <f>_xlfn.MINIFS($DE$242:$DE$321,$DI$242:$DI$321,"&gt;"&amp;Inputs!$K$90)</f>
        <v>1.1999999999999993</v>
      </c>
      <c r="CU419" s="554">
        <f>IF(Inputs!$F$90/4&gt;MAX(Pile!$DI$70:$DI$149),999999,IF(Pile!CR419/(Pile!CP419/1000)&gt;50,999999,IF(Pile!CR419&lt;2,999999,Pile!CR419)))</f>
        <v>999999</v>
      </c>
      <c r="CV419" s="552">
        <f>IF(Inputs!CR51="Yes",999999,IF(Pile!CS419/(Pile!CP419/1000)&gt;50,999999,IF(Pile!CS419&lt;2,999999,Pile!CS419)))</f>
        <v>999999</v>
      </c>
      <c r="CW419" s="552">
        <f>IF(Inputs!$F$90/4&gt;MAX(Pile!$DI$242:$DI$321),999999,IF(Pile!CT419/(Pile!CP419/1000)&gt;50,999999,IF(Pile!CT419&lt;2,999999,IF(CT419&gt;25,999999,Pile!CT419))))</f>
        <v>999999</v>
      </c>
      <c r="CX419" s="554">
        <f t="shared" si="480"/>
        <v>7068654.8099935642</v>
      </c>
      <c r="CY419" s="552">
        <f t="shared" si="481"/>
        <v>7068654.8099935642</v>
      </c>
      <c r="CZ419" s="553">
        <f t="shared" si="482"/>
        <v>7068654.8099935642</v>
      </c>
      <c r="DA419" s="586">
        <f t="shared" si="483"/>
        <v>78.407999999999987</v>
      </c>
      <c r="DB419" s="546">
        <v>4</v>
      </c>
      <c r="DC419" s="479">
        <v>750</v>
      </c>
      <c r="DD419" s="555">
        <f>Inputs!$D$41*4</f>
        <v>16</v>
      </c>
      <c r="DE419" s="552">
        <f>_xlfn.MINIFS($DE$70:$DE$149,$DI$70:$DI$149,"&gt;"&amp;Inputs!$K$97)</f>
        <v>1.1999999999999993</v>
      </c>
      <c r="DF419" s="552">
        <f>_xlfn.MINIFS($DE$156:$DE$235,$DI$156:$DI$235,"&gt;"&amp;Inputs!$K$97)</f>
        <v>1.1999999999999993</v>
      </c>
      <c r="DG419" s="553">
        <f>_xlfn.MINIFS($DE$242:$DE$321,$DI$242:$DI$321,"&gt;"&amp;Inputs!$K$97)</f>
        <v>1.1999999999999993</v>
      </c>
      <c r="DH419" s="554">
        <f>IF(Inputs!$F$97/4&gt;MAX(Pile!$DI$70:$DI$149),999999,IF(Pile!DE419/(Pile!DC419/1000)&gt;50,999999,IF(Pile!DE419&lt;2,999999,Pile!DE419)))</f>
        <v>999999</v>
      </c>
      <c r="DI419" s="552">
        <f>IF(Inputs!DE51="Yes",999999,IF(Pile!DF419/(Pile!DC419/1000)&gt;50,999999,IF(Pile!DF419&lt;2,999999,Pile!DF419)))</f>
        <v>999999</v>
      </c>
      <c r="DJ419" s="552">
        <f>IF(Inputs!$F$97/4&gt;MAX(Pile!$DI$242:$DI$321),999999,IF(Pile!DG419/(Pile!DC419/1000)&gt;50,999999,IF(Pile!DG419&lt;2,999999,IF(DG419&gt;25,999999,Pile!DG419))))</f>
        <v>999999</v>
      </c>
      <c r="DK419" s="554">
        <f t="shared" si="484"/>
        <v>7068654.8099935642</v>
      </c>
      <c r="DL419" s="552">
        <f t="shared" si="485"/>
        <v>7068654.8099935642</v>
      </c>
      <c r="DM419" s="553">
        <f t="shared" si="486"/>
        <v>7068654.8099935642</v>
      </c>
      <c r="DN419" s="586">
        <f t="shared" si="487"/>
        <v>78.407999999999987</v>
      </c>
      <c r="DO419" s="546">
        <v>4</v>
      </c>
      <c r="DP419" s="479">
        <v>750</v>
      </c>
      <c r="DQ419" s="555">
        <f>Inputs!$D$41*4</f>
        <v>16</v>
      </c>
      <c r="DR419" s="552">
        <f>_xlfn.MINIFS($DE$70:$DE$149,$DI$70:$DI$149,"&gt;"&amp;Inputs!$K$104)</f>
        <v>1.1999999999999993</v>
      </c>
      <c r="DS419" s="552">
        <f>_xlfn.MINIFS($DE$156:$DE$235,$DI$156:$DI$235,"&gt;"&amp;Inputs!$K$104)</f>
        <v>0.89999999999999947</v>
      </c>
      <c r="DT419" s="553">
        <f>_xlfn.MINIFS($DE$242:$DE$321,$DI$242:$DI$321,"&gt;"&amp;Inputs!$K$104)</f>
        <v>1.1999999999999993</v>
      </c>
      <c r="DU419" s="554">
        <f>IF(Inputs!$F$104/4&gt;MAX(Pile!$DI$70:$DI$149),999999,IF(Pile!DR419/(Pile!DP419/1000)&gt;50,999999,IF(Pile!DR419&lt;2,999999,Pile!DR419)))</f>
        <v>999999</v>
      </c>
      <c r="DV419" s="552">
        <f>IF(Inputs!DR51="Yes",999999,IF(Pile!DS419/(Pile!DP419/1000)&gt;50,999999,IF(Pile!DS419&lt;2,999999,Pile!DS419)))</f>
        <v>999999</v>
      </c>
      <c r="DW419" s="552">
        <f>IF(Inputs!$F$104/4&gt;MAX(Pile!$DI$242:$DI$321),999999,IF(Pile!DT419/(Pile!DP419/1000)&gt;50,999999,IF(Pile!DT419&lt;2,999999,IF(DT419&gt;25,999999,Pile!DT419))))</f>
        <v>999999</v>
      </c>
      <c r="DX419" s="554">
        <f t="shared" si="488"/>
        <v>7068654.8099935642</v>
      </c>
      <c r="DY419" s="552">
        <f t="shared" si="489"/>
        <v>7068654.8099935642</v>
      </c>
      <c r="DZ419" s="553">
        <f t="shared" si="490"/>
        <v>7068654.8099935642</v>
      </c>
      <c r="EA419" s="586">
        <f t="shared" si="491"/>
        <v>78.407999999999987</v>
      </c>
      <c r="EB419" s="546">
        <v>4</v>
      </c>
      <c r="EC419" s="479">
        <v>750</v>
      </c>
      <c r="ED419" s="555">
        <f>Inputs!$D$41*4</f>
        <v>16</v>
      </c>
      <c r="EE419" s="552">
        <f>_xlfn.MINIFS($DE$70:$DE$149,$DI$70:$DI$149,"&gt;"&amp;Inputs!$K$111)</f>
        <v>1.1999999999999993</v>
      </c>
      <c r="EF419" s="552">
        <f>_xlfn.MINIFS($DE$156:$DE$235,$DI$156:$DI$235,"&gt;"&amp;Inputs!$K$111)</f>
        <v>0.89999999999999947</v>
      </c>
      <c r="EG419" s="553">
        <f>_xlfn.MINIFS($DE$242:$DE$321,$DI$242:$DI$321,"&gt;"&amp;Inputs!$K$111)</f>
        <v>1.1999999999999993</v>
      </c>
      <c r="EH419" s="554">
        <f>IF(Inputs!$F$111/4&gt;MAX(Pile!$DI$70:$DI$149),999999,IF(Pile!EE419/(Pile!EC419/1000)&gt;50,999999,IF(Pile!EE419&lt;2,999999,Pile!EE419)))</f>
        <v>999999</v>
      </c>
      <c r="EI419" s="552">
        <f>IF(Inputs!EE51="Yes",999999,IF(Pile!EF419/(Pile!EC419/1000)&gt;50,999999,IF(Pile!EF419&lt;2,999999,Pile!EF419)))</f>
        <v>999999</v>
      </c>
      <c r="EJ419" s="552">
        <f>IF(Inputs!$F$111/4&gt;MAX(Pile!$DI$242:$DI$321),999999,IF(Pile!EG419/(Pile!EC419/1000)&gt;50,999999,IF(Pile!EG419&lt;2,999999,IF(EG419&gt;25,999999,Pile!EG419))))</f>
        <v>999999</v>
      </c>
      <c r="EK419" s="554">
        <f t="shared" si="492"/>
        <v>7068654.8099935642</v>
      </c>
      <c r="EL419" s="552">
        <f t="shared" si="493"/>
        <v>7068654.8099935642</v>
      </c>
      <c r="EM419" s="553">
        <f t="shared" si="494"/>
        <v>7068654.8099935642</v>
      </c>
      <c r="EN419" s="586">
        <f t="shared" si="495"/>
        <v>78.407999999999987</v>
      </c>
      <c r="EO419" s="546">
        <v>4</v>
      </c>
      <c r="EP419" s="479">
        <v>750</v>
      </c>
      <c r="EQ419" s="555">
        <f>Inputs!$D$41*4</f>
        <v>16</v>
      </c>
      <c r="ER419" s="552">
        <f>_xlfn.MINIFS($DE$70:$DE$149,$DI$70:$DI$149,"&gt;"&amp;Inputs!$K$118)</f>
        <v>0.29999999999999982</v>
      </c>
      <c r="ES419" s="552">
        <f>_xlfn.MINIFS($DE$156:$DE$235,$DI$156:$DI$235,"&gt;"&amp;Inputs!$K$118)</f>
        <v>0.29999999999999982</v>
      </c>
      <c r="ET419" s="553">
        <f>_xlfn.MINIFS($DE$242:$DE$321,$DI$242:$DI$321,"&gt;"&amp;Inputs!$K$118)</f>
        <v>0.29999999999999982</v>
      </c>
      <c r="EU419" s="554">
        <f>IF(Inputs!$F$118/4&gt;MAX(Pile!$DI$70:$DI$149),999999,IF(Pile!ER419/(Pile!EP419/1000)&gt;50,999999,IF(Pile!ER419&lt;2,999999,Pile!ER419)))</f>
        <v>999999</v>
      </c>
      <c r="EV419" s="552">
        <f>IF(Inputs!ER51="Yes",999999,IF(Inputs!$F$118&gt;MAX(Pile!$DG$156:$DG$235),999999,IF(Pile!ES419/(Pile!EP419/1000)&gt;50,999999,IF(Pile!ES419&lt;2,999999,Pile!ES419))))</f>
        <v>999999</v>
      </c>
      <c r="EW419" s="552">
        <f>IF(Inputs!$F$118/4&gt;MAX(Pile!$DI$242:$DI$321),999999,IF(Pile!ET419/(Pile!EP419/1000)&gt;50,999999,IF(Pile!ET419&lt;2,999999,IF(ET419&gt;25,999999,Pile!ET419))))</f>
        <v>999999</v>
      </c>
      <c r="EX419" s="554">
        <f t="shared" si="451"/>
        <v>7068576.4019935643</v>
      </c>
      <c r="EY419" s="552">
        <f t="shared" si="452"/>
        <v>7068576.4019935643</v>
      </c>
      <c r="EZ419" s="553">
        <f t="shared" si="453"/>
        <v>7068576.4019935643</v>
      </c>
    </row>
    <row r="420" spans="2:157" ht="15">
      <c r="B420" s="541">
        <v>4</v>
      </c>
      <c r="C420" s="476">
        <v>900</v>
      </c>
      <c r="D420" s="551">
        <f>Inputs!$D$41*4</f>
        <v>16</v>
      </c>
      <c r="E420" s="552">
        <f>_xlfn.MINIFS($DE$70:$DE$149,$DJ$70:$DJ$149,"&gt;"&amp;Inputs!$K$41)</f>
        <v>1.4999999999999991</v>
      </c>
      <c r="F420" s="552">
        <f>_xlfn.MINIFS($DE$156:$DE$235,$DJ$156:$DJ$235,"&gt;"&amp;Inputs!$K$41)</f>
        <v>0</v>
      </c>
      <c r="G420" s="553">
        <f>_xlfn.MINIFS($DE$242:$DE$321,$DJ$242:$DJ$321,"&gt;"&amp;Inputs!$K$41)</f>
        <v>1.4999999999999991</v>
      </c>
      <c r="H420" s="554">
        <f>IF(Inputs!$F$41/4&gt;MAX(Pile!$DJ$70:$DJ$149),999999,IF(Pile!E420/(Pile!C420/1000)&gt;50,999999,IF(Pile!E420&lt;2,999999,Pile!E420)))</f>
        <v>999999</v>
      </c>
      <c r="I420" s="552">
        <f>IF(Inputs!E52="Yes",999999,IF(Pile!F420/(Pile!C420/1000)&gt;50,999999,IF(Pile!F420&lt;2,999999,Pile!F420)))</f>
        <v>999999</v>
      </c>
      <c r="J420" s="552">
        <f>IF(Inputs!$F$41/4&gt;MAX(Pile!$DJ$242:$DJ$321),999999,IF(Pile!G420/(Pile!C420/1000)&gt;50,999999,IF(Pile!G420&lt;2,999999,IF(G420&gt;25,999999,Pile!G420))))</f>
        <v>999999</v>
      </c>
      <c r="K420" s="554">
        <f t="shared" si="454"/>
        <v>10178883.866870733</v>
      </c>
      <c r="L420" s="552">
        <f t="shared" si="455"/>
        <v>10178883.866870733</v>
      </c>
      <c r="M420" s="553">
        <f t="shared" si="456"/>
        <v>10178883.866870733</v>
      </c>
      <c r="N420" s="585">
        <f>Inputs!$D$41*G462</f>
        <v>133.84799999999998</v>
      </c>
      <c r="O420" s="541">
        <v>4</v>
      </c>
      <c r="P420" s="476">
        <v>900</v>
      </c>
      <c r="Q420" s="551">
        <f>Inputs!$D$41*4</f>
        <v>16</v>
      </c>
      <c r="R420" s="552">
        <f>_xlfn.MINIFS($DE$70:$DE$149,$DJ$70:$DJ$149,"&gt;"&amp;Inputs!$K$48)</f>
        <v>1.4999999999999991</v>
      </c>
      <c r="S420" s="552">
        <f>_xlfn.MINIFS($DE$156:$DE$235,$DJ$156:$DJ$235,"&gt;"&amp;Inputs!$K$48)</f>
        <v>0</v>
      </c>
      <c r="T420" s="553">
        <f>_xlfn.MINIFS($DE$242:$DE$321,$DJ$242:$DJ$321,"&gt;"&amp;Inputs!$K$48)</f>
        <v>1.4999999999999991</v>
      </c>
      <c r="U420" s="554">
        <f>IF(Inputs!$F$48/4&gt;MAX(Pile!$DJ$70:$DJ$149),999999,IF(Pile!R420/(Pile!P420/1000)&gt;50,999999,IF(Pile!R420&lt;2,999999,Pile!R420)))</f>
        <v>999999</v>
      </c>
      <c r="V420" s="552">
        <f>IF(Inputs!R52="Yes",999999,IF(Pile!S420/(Pile!P420/1000)&gt;50,999999,IF(Pile!S420&lt;2,999999,Pile!S420)))</f>
        <v>999999</v>
      </c>
      <c r="W420" s="552">
        <f>IF(Inputs!$F$48/4&gt;MAX(Pile!$DJ$242:$DJ$321),999999,IF(Pile!T420/(Pile!P420/1000)&gt;50,999999,IF(Pile!T420&lt;2,999999,IF(T420&gt;25,999999,Pile!T420))))</f>
        <v>999999</v>
      </c>
      <c r="X420" s="554">
        <f t="shared" si="457"/>
        <v>10178883.866870733</v>
      </c>
      <c r="Y420" s="552">
        <f t="shared" si="458"/>
        <v>10178883.866870733</v>
      </c>
      <c r="Z420" s="553">
        <f t="shared" si="459"/>
        <v>10178883.866870733</v>
      </c>
      <c r="AA420" s="467">
        <f t="shared" si="496"/>
        <v>133.84799999999998</v>
      </c>
      <c r="AB420" s="546">
        <v>4</v>
      </c>
      <c r="AC420" s="479">
        <v>900</v>
      </c>
      <c r="AD420" s="555">
        <f>Inputs!$D$41*4</f>
        <v>16</v>
      </c>
      <c r="AE420" s="552">
        <f>_xlfn.MINIFS($DE$70:$DE$149,$DJ$70:$DJ$149,"&gt;"&amp;Inputs!$K$55)</f>
        <v>1.4999999999999991</v>
      </c>
      <c r="AF420" s="552">
        <f>_xlfn.MINIFS($DE$156:$DE$235,$DJ$156:$DJ$235,"&gt;"&amp;Inputs!$K$55)</f>
        <v>0</v>
      </c>
      <c r="AG420" s="553">
        <f>_xlfn.MINIFS($DE$242:$DE$321,$DJ$242:$DJ$321,"&gt;"&amp;Inputs!$K$55)</f>
        <v>1.4999999999999991</v>
      </c>
      <c r="AH420" s="554">
        <f>IF(Inputs!$F$55/4&gt;MAX(Pile!$DJ$70:$DJ$149),999999,IF(Pile!AE420/(Pile!AC420/1000)&gt;50,999999,IF(Pile!AE420&lt;2,999999,Pile!AE420)))</f>
        <v>999999</v>
      </c>
      <c r="AI420" s="552">
        <f>IF(Inputs!AE52="Yes",999999,IF(Pile!AF420/(Pile!AC420/1000)&gt;50,999999,IF(Pile!AF420&lt;2,999999,Pile!AF420)))</f>
        <v>999999</v>
      </c>
      <c r="AJ420" s="552">
        <f>IF(Inputs!$F$55/4&gt;MAX(Pile!$DJ$242:$DJ$321),999999,IF(Pile!AG420/(Pile!AC420/1000)&gt;50,999999,IF(Pile!AG420&lt;2,999999,IF(AG420&gt;25,999999,Pile!AG420))))</f>
        <v>999999</v>
      </c>
      <c r="AK420" s="554">
        <f t="shared" si="460"/>
        <v>10178883.866870733</v>
      </c>
      <c r="AL420" s="552">
        <f t="shared" si="461"/>
        <v>10178883.866870733</v>
      </c>
      <c r="AM420" s="553">
        <f t="shared" si="462"/>
        <v>10178883.866870733</v>
      </c>
      <c r="AN420" s="586">
        <f t="shared" si="463"/>
        <v>133.84799999999998</v>
      </c>
      <c r="AO420" s="546">
        <v>4</v>
      </c>
      <c r="AP420" s="479">
        <v>900</v>
      </c>
      <c r="AQ420" s="555">
        <f>Inputs!$D$41*4</f>
        <v>16</v>
      </c>
      <c r="AR420" s="552">
        <f>_xlfn.MINIFS($DE$70:$DE$149,$DJ$70:$DJ$149,"&gt;"&amp;Inputs!$K$62)</f>
        <v>1.4999999999999991</v>
      </c>
      <c r="AS420" s="552">
        <f>_xlfn.MINIFS($DE$156:$DE$235,$DJ$156:$DJ$235,"&gt;"&amp;Inputs!$K$62)</f>
        <v>0</v>
      </c>
      <c r="AT420" s="553">
        <f>_xlfn.MINIFS($DE$242:$DE$321,$DJ$242:$DJ$321,"&gt;"&amp;Inputs!$K$62)</f>
        <v>1.4999999999999991</v>
      </c>
      <c r="AU420" s="554">
        <f>IF(Inputs!$F$62/4&gt;MAX(Pile!$DJ$70:$DJ$149),999999,IF(Pile!AR420/(Pile!AP420/1000)&gt;50,999999,IF(Pile!AR420&lt;2,999999,Pile!AR420)))</f>
        <v>999999</v>
      </c>
      <c r="AV420" s="552">
        <f>IF(Inputs!AR52="Yes",999999,IF(Pile!AS420/(Pile!AP420/1000)&gt;50,999999,IF(Pile!AS420&lt;2,999999,Pile!AS420)))</f>
        <v>999999</v>
      </c>
      <c r="AW420" s="552">
        <f>IF(Inputs!$F$62/4&gt;MAX(Pile!$DJ$242:$DJ$321),999999,IF(Pile!AT420/(Pile!AP420/1000)&gt;50,999999,IF(Pile!AT420&lt;2,999999,IF(AT420&gt;25,999999,Pile!AT420))))</f>
        <v>999999</v>
      </c>
      <c r="AX420" s="554">
        <f t="shared" si="464"/>
        <v>10178883.866870733</v>
      </c>
      <c r="AY420" s="552">
        <f t="shared" si="465"/>
        <v>10178883.866870733</v>
      </c>
      <c r="AZ420" s="553">
        <f t="shared" si="466"/>
        <v>10178883.866870733</v>
      </c>
      <c r="BA420" s="586">
        <f t="shared" si="467"/>
        <v>133.84799999999998</v>
      </c>
      <c r="BB420" s="546">
        <v>4</v>
      </c>
      <c r="BC420" s="479">
        <v>900</v>
      </c>
      <c r="BD420" s="555">
        <f>Inputs!$D$41*4</f>
        <v>16</v>
      </c>
      <c r="BE420" s="552">
        <f>_xlfn.MINIFS($DE$70:$DE$149,$DJ$70:$DJ$149,"&gt;"&amp;Inputs!$K$69)</f>
        <v>1.4999999999999991</v>
      </c>
      <c r="BF420" s="552">
        <f>_xlfn.MINIFS($DE$156:$DE$235,$DJ$156:$DJ$235,"&gt;"&amp;Inputs!$K$69)</f>
        <v>0</v>
      </c>
      <c r="BG420" s="553">
        <f>_xlfn.MINIFS($DE$242:$DE$321,$DJ$242:$DJ$321,"&gt;"&amp;Inputs!$K$69)</f>
        <v>1.4999999999999991</v>
      </c>
      <c r="BH420" s="554">
        <f>IF(Inputs!$F$69/4&gt;MAX(Pile!$DJ$70:$DJ$149),999999,IF(Pile!BE420/(Pile!BC420/1000)&gt;50,999999,IF(Pile!BE420&lt;2,999999,Pile!BE420)))</f>
        <v>999999</v>
      </c>
      <c r="BI420" s="552">
        <f>IF(Inputs!BE52="Yes",999999,IF(Pile!BF420/(Pile!BC420/1000)&gt;50,999999,IF(Pile!BF420&lt;2,999999,Pile!BF420)))</f>
        <v>999999</v>
      </c>
      <c r="BJ420" s="552">
        <f>IF(Inputs!$F$69/4&gt;MAX(Pile!$DJ$242:$DJ$321),999999,IF(Pile!BG420/(Pile!BC420/1000)&gt;50,999999,IF(Pile!BG420&lt;2,999999,IF(BG420&gt;25,999999,Pile!BG420))))</f>
        <v>999999</v>
      </c>
      <c r="BK420" s="554">
        <f t="shared" si="468"/>
        <v>10178883.866870733</v>
      </c>
      <c r="BL420" s="552">
        <f t="shared" si="469"/>
        <v>10178883.866870733</v>
      </c>
      <c r="BM420" s="553">
        <f t="shared" si="470"/>
        <v>10178883.866870733</v>
      </c>
      <c r="BN420" s="586">
        <f t="shared" si="471"/>
        <v>133.84799999999998</v>
      </c>
      <c r="BO420" s="546">
        <v>4</v>
      </c>
      <c r="BP420" s="479">
        <v>900</v>
      </c>
      <c r="BQ420" s="555">
        <f>Inputs!$D$41*4</f>
        <v>16</v>
      </c>
      <c r="BR420" s="552">
        <f>_xlfn.MINIFS($DE$70:$DE$149,$DJ$70:$DJ$149,"&gt;"&amp;Inputs!$K$76)</f>
        <v>1.4999999999999991</v>
      </c>
      <c r="BS420" s="552">
        <f>_xlfn.MINIFS($DE$156:$DE$235,$DJ$156:$DJ$235,"&gt;"&amp;Inputs!$K$76)</f>
        <v>0</v>
      </c>
      <c r="BT420" s="553">
        <f>_xlfn.MINIFS($DE$242:$DE$321,$DJ$242:$DJ$321,"&gt;"&amp;Inputs!$K$76)</f>
        <v>1.4999999999999991</v>
      </c>
      <c r="BU420" s="554">
        <f>IF(Inputs!$F$76/4&gt;MAX(Pile!$DJ$70:$DJ$149),999999,IF(Pile!BR420/(Pile!BP420/1000)&gt;50,999999,IF(Pile!BR420&lt;2,999999,Pile!BR420)))</f>
        <v>999999</v>
      </c>
      <c r="BV420" s="552">
        <f>IF(Inputs!BR52="Yes",999999,IF(Pile!BS420/(Pile!BP420/1000)&gt;50,999999,IF(Pile!BS420&lt;2,999999,Pile!BS420)))</f>
        <v>999999</v>
      </c>
      <c r="BW420" s="552">
        <f>IF(Inputs!$F$76/4&gt;MAX(Pile!$DJ$242:$DJ$321),999999,IF(Pile!BT420/(Pile!BP420/1000)&gt;50,999999,IF(Pile!BT420&lt;2,999999,IF(BT420&gt;25,999999,Pile!BT420))))</f>
        <v>999999</v>
      </c>
      <c r="BX420" s="554">
        <f t="shared" si="472"/>
        <v>10178883.866870733</v>
      </c>
      <c r="BY420" s="552">
        <f t="shared" si="473"/>
        <v>10178883.866870733</v>
      </c>
      <c r="BZ420" s="553">
        <f t="shared" si="474"/>
        <v>10178883.866870733</v>
      </c>
      <c r="CA420" s="586">
        <f t="shared" si="475"/>
        <v>133.84799999999998</v>
      </c>
      <c r="CB420" s="546">
        <v>4</v>
      </c>
      <c r="CC420" s="479">
        <v>900</v>
      </c>
      <c r="CD420" s="555">
        <f>Inputs!$D$41*4</f>
        <v>16</v>
      </c>
      <c r="CE420" s="552">
        <f>_xlfn.MINIFS($DE$70:$DE$149,$DJ$70:$DJ$149,"&gt;"&amp;Inputs!$K$83)</f>
        <v>0.89999999999999947</v>
      </c>
      <c r="CF420" s="552">
        <f>_xlfn.MINIFS($DE$156:$DE$235,$DJ$156:$DJ$235,"&gt;"&amp;Inputs!$K$83)</f>
        <v>0</v>
      </c>
      <c r="CG420" s="553">
        <f>_xlfn.MINIFS($DE$242:$DE$321,$DJ$242:$DJ$321,"&gt;"&amp;Inputs!$K$83)</f>
        <v>0.89999999999999947</v>
      </c>
      <c r="CH420" s="554">
        <f>IF(Inputs!$F$83/4&gt;MAX(Pile!$DJ$70:$DJ$149),999999,IF(Pile!CE420/(Pile!CC420/1000)&gt;50,999999,IF(Pile!CE420&lt;2,999999,Pile!CE420)))</f>
        <v>999999</v>
      </c>
      <c r="CI420" s="552">
        <f>IF(Inputs!CE52="Yes",999999,IF(Pile!CF420/(Pile!CC420/1000)&gt;50,999999,IF(Pile!CF420&lt;2,999999,Pile!CF420)))</f>
        <v>999999</v>
      </c>
      <c r="CJ420" s="552">
        <f>IF(Inputs!$F$83/4&gt;MAX(Pile!$DJ$242:$DJ$321),999999,IF(Pile!CG420/(Pile!CC420/1000)&gt;50,999999,IF(Pile!CG420&lt;2,999999,IF(CG420&gt;25,999999,Pile!CG420))))</f>
        <v>999999</v>
      </c>
      <c r="CK420" s="554">
        <f t="shared" si="476"/>
        <v>10178883.866870733</v>
      </c>
      <c r="CL420" s="552">
        <f t="shared" si="477"/>
        <v>10178883.866870733</v>
      </c>
      <c r="CM420" s="553">
        <f t="shared" si="478"/>
        <v>10178883.866870733</v>
      </c>
      <c r="CN420" s="586">
        <f t="shared" si="479"/>
        <v>133.84799999999998</v>
      </c>
      <c r="CO420" s="546">
        <v>4</v>
      </c>
      <c r="CP420" s="479">
        <v>900</v>
      </c>
      <c r="CQ420" s="555">
        <f>Inputs!$D$41*4</f>
        <v>16</v>
      </c>
      <c r="CR420" s="552">
        <f>_xlfn.MINIFS($DE$70:$DE$149,$DJ$70:$DJ$149,"&gt;"&amp;Inputs!$K$90)</f>
        <v>0.89999999999999947</v>
      </c>
      <c r="CS420" s="552">
        <f>_xlfn.MINIFS($DE$156:$DE$235,$DJ$156:$DJ$235,"&gt;"&amp;Inputs!$K$90)</f>
        <v>0</v>
      </c>
      <c r="CT420" s="553">
        <f>_xlfn.MINIFS($DE$242:$DE$321,$DJ$242:$DJ$321,"&gt;"&amp;Inputs!$K$90)</f>
        <v>0.89999999999999947</v>
      </c>
      <c r="CU420" s="554">
        <f>IF(Inputs!$F$90/4&gt;MAX(Pile!$DJ$70:$DJ$149),999999,IF(Pile!CR420/(Pile!CP420/1000)&gt;50,999999,IF(Pile!CR420&lt;2,999999,Pile!CR420)))</f>
        <v>999999</v>
      </c>
      <c r="CV420" s="552">
        <f>IF(Inputs!CR52="Yes",999999,IF(Pile!CS420/(Pile!CP420/1000)&gt;50,999999,IF(Pile!CS420&lt;2,999999,Pile!CS420)))</f>
        <v>999999</v>
      </c>
      <c r="CW420" s="552">
        <f>IF(Inputs!$F$90/4&gt;MAX(Pile!$DJ$242:$DJ$321),999999,IF(Pile!CT420/(Pile!CP420/1000)&gt;50,999999,IF(Pile!CT420&lt;2,999999,IF(CT420&gt;25,999999,Pile!CT420))))</f>
        <v>999999</v>
      </c>
      <c r="CX420" s="554">
        <f t="shared" si="480"/>
        <v>10178883.866870733</v>
      </c>
      <c r="CY420" s="552">
        <f t="shared" si="481"/>
        <v>10178883.866870733</v>
      </c>
      <c r="CZ420" s="553">
        <f t="shared" si="482"/>
        <v>10178883.866870733</v>
      </c>
      <c r="DA420" s="586">
        <f t="shared" si="483"/>
        <v>133.84799999999998</v>
      </c>
      <c r="DB420" s="546">
        <v>4</v>
      </c>
      <c r="DC420" s="479">
        <v>900</v>
      </c>
      <c r="DD420" s="555">
        <f>Inputs!$D$41*4</f>
        <v>16</v>
      </c>
      <c r="DE420" s="552">
        <f>_xlfn.MINIFS($DE$70:$DE$149,$DJ$70:$DJ$149,"&gt;"&amp;Inputs!$K$97)</f>
        <v>0.89999999999999947</v>
      </c>
      <c r="DF420" s="552">
        <f>_xlfn.MINIFS($DE$156:$DE$235,$DJ$156:$DJ$235,"&gt;"&amp;Inputs!$K$97)</f>
        <v>0</v>
      </c>
      <c r="DG420" s="553">
        <f>_xlfn.MINIFS($DE$242:$DE$321,$DJ$242:$DJ$321,"&gt;"&amp;Inputs!$K$97)</f>
        <v>0.89999999999999947</v>
      </c>
      <c r="DH420" s="554">
        <f>IF(Inputs!$F$97/4&gt;MAX(Pile!$DJ$70:$DJ$149),999999,IF(Pile!DE420/(Pile!DC420/1000)&gt;50,999999,IF(Pile!DE420&lt;2,999999,Pile!DE420)))</f>
        <v>999999</v>
      </c>
      <c r="DI420" s="552">
        <f>IF(Inputs!DE52="Yes",999999,IF(Pile!DF420/(Pile!DC420/1000)&gt;50,999999,IF(Pile!DF420&lt;2,999999,Pile!DF420)))</f>
        <v>999999</v>
      </c>
      <c r="DJ420" s="552">
        <f>IF(Inputs!$F$97/4&gt;MAX(Pile!$DJ$242:$DJ$321),999999,IF(Pile!DG420/(Pile!DC420/1000)&gt;50,999999,IF(Pile!DG420&lt;2,999999,IF(DG420&gt;25,999999,Pile!DG420))))</f>
        <v>999999</v>
      </c>
      <c r="DK420" s="554">
        <f t="shared" si="484"/>
        <v>10178883.866870733</v>
      </c>
      <c r="DL420" s="552">
        <f t="shared" si="485"/>
        <v>10178883.866870733</v>
      </c>
      <c r="DM420" s="553">
        <f t="shared" si="486"/>
        <v>10178883.866870733</v>
      </c>
      <c r="DN420" s="586">
        <f t="shared" si="487"/>
        <v>133.84799999999998</v>
      </c>
      <c r="DO420" s="546">
        <v>4</v>
      </c>
      <c r="DP420" s="479">
        <v>900</v>
      </c>
      <c r="DQ420" s="555">
        <f>Inputs!$D$41*4</f>
        <v>16</v>
      </c>
      <c r="DR420" s="552">
        <f>_xlfn.MINIFS($DE$70:$DE$149,$DJ$70:$DJ$149,"&gt;"&amp;Inputs!$K$104)</f>
        <v>0.89999999999999947</v>
      </c>
      <c r="DS420" s="552">
        <f>_xlfn.MINIFS($DE$156:$DE$235,$DJ$156:$DJ$235,"&gt;"&amp;Inputs!$K$104)</f>
        <v>0</v>
      </c>
      <c r="DT420" s="553">
        <f>_xlfn.MINIFS($DE$242:$DE$321,$DJ$242:$DJ$321,"&gt;"&amp;Inputs!$K$104)</f>
        <v>0.89999999999999947</v>
      </c>
      <c r="DU420" s="554">
        <f>IF(Inputs!$F$104/4&gt;MAX(Pile!$DJ$70:$DJ$149),999999,IF(Pile!DR420/(Pile!DP420/1000)&gt;50,999999,IF(Pile!DR420&lt;2,999999,Pile!DR420)))</f>
        <v>999999</v>
      </c>
      <c r="DV420" s="552">
        <f>IF(Inputs!DR52="Yes",999999,IF(Pile!DS420/(Pile!DP420/1000)&gt;50,999999,IF(Pile!DS420&lt;2,999999,Pile!DS420)))</f>
        <v>999999</v>
      </c>
      <c r="DW420" s="552">
        <f>IF(Inputs!$F$104/4&gt;MAX(Pile!$DJ$242:$DJ$321),999999,IF(Pile!DT420/(Pile!DP420/1000)&gt;50,999999,IF(Pile!DT420&lt;2,999999,IF(DT420&gt;25,999999,Pile!DT420))))</f>
        <v>999999</v>
      </c>
      <c r="DX420" s="554">
        <f t="shared" si="488"/>
        <v>10178883.866870733</v>
      </c>
      <c r="DY420" s="552">
        <f t="shared" si="489"/>
        <v>10178883.866870733</v>
      </c>
      <c r="DZ420" s="553">
        <f t="shared" si="490"/>
        <v>10178883.866870733</v>
      </c>
      <c r="EA420" s="586">
        <f t="shared" si="491"/>
        <v>133.84799999999998</v>
      </c>
      <c r="EB420" s="546">
        <v>4</v>
      </c>
      <c r="EC420" s="479">
        <v>900</v>
      </c>
      <c r="ED420" s="555">
        <f>Inputs!$D$41*4</f>
        <v>16</v>
      </c>
      <c r="EE420" s="552">
        <f>_xlfn.MINIFS($DE$70:$DE$149,$DJ$70:$DJ$149,"&gt;"&amp;Inputs!$K$111)</f>
        <v>0.89999999999999947</v>
      </c>
      <c r="EF420" s="552">
        <f>_xlfn.MINIFS($DE$156:$DE$235,$DJ$156:$DJ$235,"&gt;"&amp;Inputs!$K$111)</f>
        <v>0</v>
      </c>
      <c r="EG420" s="553">
        <f>_xlfn.MINIFS($DE$242:$DE$321,$DJ$242:$DJ$321,"&gt;"&amp;Inputs!$K$111)</f>
        <v>0.89999999999999947</v>
      </c>
      <c r="EH420" s="554">
        <f>IF(Inputs!$F$111/4&gt;MAX(Pile!$DJ$70:$DJ$149),999999,IF(Pile!EE420/(Pile!EC420/1000)&gt;50,999999,IF(Pile!EE420&lt;2,999999,Pile!EE420)))</f>
        <v>999999</v>
      </c>
      <c r="EI420" s="552">
        <f>IF(Inputs!EE52="Yes",999999,IF(Pile!EF420/(Pile!EC420/1000)&gt;50,999999,IF(Pile!EF420&lt;2,999999,Pile!EF420)))</f>
        <v>999999</v>
      </c>
      <c r="EJ420" s="552">
        <f>IF(Inputs!$F$111/4&gt;MAX(Pile!$DJ$242:$DJ$321),999999,IF(Pile!EG420/(Pile!EC420/1000)&gt;50,999999,IF(Pile!EG420&lt;2,999999,IF(EG420&gt;25,999999,Pile!EG420))))</f>
        <v>999999</v>
      </c>
      <c r="EK420" s="554">
        <f t="shared" si="492"/>
        <v>10178883.866870733</v>
      </c>
      <c r="EL420" s="552">
        <f t="shared" si="493"/>
        <v>10178883.866870733</v>
      </c>
      <c r="EM420" s="553">
        <f t="shared" si="494"/>
        <v>10178883.866870733</v>
      </c>
      <c r="EN420" s="586">
        <f t="shared" si="495"/>
        <v>133.84799999999998</v>
      </c>
      <c r="EO420" s="546">
        <v>4</v>
      </c>
      <c r="EP420" s="479">
        <v>900</v>
      </c>
      <c r="EQ420" s="555">
        <f>Inputs!$D$41*4</f>
        <v>16</v>
      </c>
      <c r="ER420" s="552">
        <f>_xlfn.MINIFS($DE$70:$DE$149,$DJ$70:$DJ$149,"&gt;"&amp;Inputs!$K$118)</f>
        <v>0.29999999999999982</v>
      </c>
      <c r="ES420" s="552">
        <f>_xlfn.MINIFS($DE$156:$DE$235,$DJ$156:$DJ$235,"&gt;"&amp;Inputs!$K$118)</f>
        <v>0</v>
      </c>
      <c r="ET420" s="553">
        <f>_xlfn.MINIFS($DE$242:$DE$321,$DJ$242:$DJ$321,"&gt;"&amp;Inputs!$K$118)</f>
        <v>0.29999999999999982</v>
      </c>
      <c r="EU420" s="554">
        <f>IF(Inputs!$F$118/4&gt;MAX(Pile!$DJ$70:$DJ$149),999999,IF(Pile!ER420/(Pile!EP420/1000)&gt;50,999999,IF(Pile!ER420&lt;2,999999,Pile!ER420)))</f>
        <v>999999</v>
      </c>
      <c r="EV420" s="552">
        <f>IF(Inputs!ER52="Yes",999999,IF(Inputs!$F$118&gt;MAX(Pile!$DG$156:$DG$235),999999,IF(Pile!ES420/(Pile!EP420/1000)&gt;50,999999,IF(Pile!ES420&lt;2,999999,Pile!ES420))))</f>
        <v>999999</v>
      </c>
      <c r="EW420" s="552">
        <f>IF(Inputs!$F$118/4&gt;MAX(Pile!$DJ$242:$DJ$321),999999,IF(Pile!ET420/(Pile!EP420/1000)&gt;50,999999,IF(Pile!ET420&lt;2,999999,IF(ET420&gt;25,999999,Pile!ET420))))</f>
        <v>999999</v>
      </c>
      <c r="EX420" s="554">
        <f t="shared" si="451"/>
        <v>10178750.018870734</v>
      </c>
      <c r="EY420" s="552">
        <f t="shared" si="452"/>
        <v>10178750.018870734</v>
      </c>
      <c r="EZ420" s="553">
        <f t="shared" si="453"/>
        <v>10178750.018870734</v>
      </c>
    </row>
    <row r="421" spans="2:157" ht="15">
      <c r="B421" s="541">
        <v>4</v>
      </c>
      <c r="C421" s="476">
        <v>1050</v>
      </c>
      <c r="D421" s="551">
        <f>Inputs!$D$41*4</f>
        <v>16</v>
      </c>
      <c r="E421" s="552">
        <f>_xlfn.MINIFS($DE$70:$DE$149,$DK$70:$DK$149,"&gt;"&amp;Inputs!$K$41)</f>
        <v>1.1999999999999993</v>
      </c>
      <c r="F421" s="552">
        <f>_xlfn.MINIFS($DE$156:$DE$235,$DK$156:$DK$235,"&gt;"&amp;Inputs!$K$41)</f>
        <v>0</v>
      </c>
      <c r="G421" s="553">
        <f>_xlfn.MINIFS($DE$242:$DE$321,$DK$242:$DK$321,"&gt;"&amp;Inputs!$K$41)</f>
        <v>1.1999999999999993</v>
      </c>
      <c r="H421" s="554">
        <f>IF(Inputs!$F$41/4&gt;MAX(Pile!$DK$70:$DK$149),999999,IF(Pile!E421/(Pile!C421/1000)&gt;50,999999,IF(Pile!E421&lt;2,999999,Pile!E421)))</f>
        <v>999999</v>
      </c>
      <c r="I421" s="552">
        <f>IF(Inputs!E53="Yes",999999,IF(Pile!F421/(Pile!C421/1000)&gt;50,999999,IF(Pile!F421&lt;2,999999,Pile!F421)))</f>
        <v>999999</v>
      </c>
      <c r="J421" s="552">
        <f>IF(Inputs!$F$41/4&gt;MAX(Pile!$DK$242:$DK$321),999999,IF(Pile!G421/(Pile!C421/1000)&gt;50,999999,IF(Pile!G421&lt;2,999999,IF(G421&gt;25,999999,Pile!G421))))</f>
        <v>999999</v>
      </c>
      <c r="K421" s="554">
        <f t="shared" si="454"/>
        <v>13854620.347907385</v>
      </c>
      <c r="L421" s="552">
        <f t="shared" si="455"/>
        <v>13854620.347907385</v>
      </c>
      <c r="M421" s="553">
        <f t="shared" si="456"/>
        <v>13854620.347907385</v>
      </c>
      <c r="N421" s="585">
        <f>Inputs!$D$41*G463</f>
        <v>210.6</v>
      </c>
      <c r="O421" s="541">
        <v>4</v>
      </c>
      <c r="P421" s="476">
        <v>1050</v>
      </c>
      <c r="Q421" s="551">
        <f>Inputs!$D$41*4</f>
        <v>16</v>
      </c>
      <c r="R421" s="552">
        <f>_xlfn.MINIFS($DE$70:$DE$149,$DK$70:$DK$149,"&gt;"&amp;Inputs!$K$48)</f>
        <v>1.1999999999999993</v>
      </c>
      <c r="S421" s="552">
        <f>_xlfn.MINIFS($DE$156:$DE$235,$DK$156:$DK$235,"&gt;"&amp;Inputs!$K$48)</f>
        <v>0</v>
      </c>
      <c r="T421" s="553">
        <f>_xlfn.MINIFS($DE$242:$DE$321,$DK$242:$DK$321,"&gt;"&amp;Inputs!$K$48)</f>
        <v>1.1999999999999993</v>
      </c>
      <c r="U421" s="554">
        <f>IF(Inputs!$F$48/4&gt;MAX(Pile!$DK$70:$DK$149),999999,IF(Pile!R421/(Pile!P421/1000)&gt;50,999999,IF(Pile!R421&lt;2,999999,Pile!R421)))</f>
        <v>999999</v>
      </c>
      <c r="V421" s="552">
        <f>IF(Inputs!R53="Yes",999999,IF(Pile!S421/(Pile!P421/1000)&gt;50,999999,IF(Pile!S421&lt;2,999999,Pile!S421)))</f>
        <v>999999</v>
      </c>
      <c r="W421" s="552">
        <f>IF(Inputs!$F$48/4&gt;MAX(Pile!$DK$242:$DK$321),999999,IF(Pile!T421/(Pile!P421/1000)&gt;50,999999,IF(Pile!T421&lt;2,999999,IF(T421&gt;25,999999,Pile!T421))))</f>
        <v>999999</v>
      </c>
      <c r="X421" s="554">
        <f t="shared" si="457"/>
        <v>13854620.347907385</v>
      </c>
      <c r="Y421" s="552">
        <f t="shared" si="458"/>
        <v>13854620.347907385</v>
      </c>
      <c r="Z421" s="553">
        <f t="shared" si="459"/>
        <v>13854620.347907385</v>
      </c>
      <c r="AA421" s="467">
        <f t="shared" si="496"/>
        <v>210.6</v>
      </c>
      <c r="AB421" s="546">
        <v>4</v>
      </c>
      <c r="AC421" s="479">
        <v>1050</v>
      </c>
      <c r="AD421" s="555">
        <f>Inputs!$D$41*4</f>
        <v>16</v>
      </c>
      <c r="AE421" s="552">
        <f>_xlfn.MINIFS($DE$70:$DE$149,$DK$70:$DK$149,"&gt;"&amp;Inputs!$K$55)</f>
        <v>1.1999999999999993</v>
      </c>
      <c r="AF421" s="552">
        <f>_xlfn.MINIFS($DE$156:$DE$235,$DK$156:$DK$235,"&gt;"&amp;Inputs!$K$55)</f>
        <v>0</v>
      </c>
      <c r="AG421" s="553">
        <f>_xlfn.MINIFS($DE$242:$DE$321,$DK$242:$DK$321,"&gt;"&amp;Inputs!$K$55)</f>
        <v>1.1999999999999993</v>
      </c>
      <c r="AH421" s="554">
        <f>IF(Inputs!$F$55/4&gt;MAX(Pile!$DK$70:$DK$149),999999,IF(Pile!AE421/(Pile!AC421/1000)&gt;50,999999,IF(Pile!AE421&lt;2,999999,Pile!AE421)))</f>
        <v>999999</v>
      </c>
      <c r="AI421" s="552">
        <f>IF(Inputs!AE53="Yes",999999,IF(Pile!AF421/(Pile!AC421/1000)&gt;50,999999,IF(Pile!AF421&lt;2,999999,Pile!AF421)))</f>
        <v>999999</v>
      </c>
      <c r="AJ421" s="552">
        <f>IF(Inputs!$F$55/4&gt;MAX(Pile!$DK$242:$DK$321),999999,IF(Pile!AG421/(Pile!AC421/1000)&gt;50,999999,IF(Pile!AG421&lt;2,999999,IF(AG421&gt;25,999999,Pile!AG421))))</f>
        <v>999999</v>
      </c>
      <c r="AK421" s="554">
        <f t="shared" si="460"/>
        <v>13854620.347907385</v>
      </c>
      <c r="AL421" s="552">
        <f t="shared" si="461"/>
        <v>13854620.347907385</v>
      </c>
      <c r="AM421" s="553">
        <f t="shared" si="462"/>
        <v>13854620.347907385</v>
      </c>
      <c r="AN421" s="586">
        <f t="shared" si="463"/>
        <v>210.6</v>
      </c>
      <c r="AO421" s="546">
        <v>4</v>
      </c>
      <c r="AP421" s="479">
        <v>1050</v>
      </c>
      <c r="AQ421" s="555">
        <f>Inputs!$D$41*4</f>
        <v>16</v>
      </c>
      <c r="AR421" s="552">
        <f>_xlfn.MINIFS($DE$70:$DE$149,$DK$70:$DK$149,"&gt;"&amp;Inputs!$K$62)</f>
        <v>1.1999999999999993</v>
      </c>
      <c r="AS421" s="552">
        <f>_xlfn.MINIFS($DE$156:$DE$235,$DK$156:$DK$235,"&gt;"&amp;Inputs!$K$62)</f>
        <v>0</v>
      </c>
      <c r="AT421" s="553">
        <f>_xlfn.MINIFS($DE$242:$DE$321,$DK$242:$DK$321,"&gt;"&amp;Inputs!$K$62)</f>
        <v>1.1999999999999993</v>
      </c>
      <c r="AU421" s="554">
        <f>IF(Inputs!$F$62/4&gt;MAX(Pile!$DK$70:$DK$149),999999,IF(Pile!AR421/(Pile!AP421/1000)&gt;50,999999,IF(Pile!AR421&lt;2,999999,Pile!AR421)))</f>
        <v>999999</v>
      </c>
      <c r="AV421" s="552">
        <f>IF(Inputs!AR53="Yes",999999,IF(Pile!AS421/(Pile!AP421/1000)&gt;50,999999,IF(Pile!AS421&lt;2,999999,Pile!AS421)))</f>
        <v>999999</v>
      </c>
      <c r="AW421" s="552">
        <f>IF(Inputs!$F$62/4&gt;MAX(Pile!$DK$242:$DK$321),999999,IF(Pile!AT421/(Pile!AP421/1000)&gt;50,999999,IF(Pile!AT421&lt;2,999999,IF(AT421&gt;25,999999,Pile!AT421))))</f>
        <v>999999</v>
      </c>
      <c r="AX421" s="554">
        <f t="shared" si="464"/>
        <v>13854620.347907385</v>
      </c>
      <c r="AY421" s="552">
        <f t="shared" si="465"/>
        <v>13854620.347907385</v>
      </c>
      <c r="AZ421" s="553">
        <f t="shared" si="466"/>
        <v>13854620.347907385</v>
      </c>
      <c r="BA421" s="586">
        <f t="shared" si="467"/>
        <v>210.6</v>
      </c>
      <c r="BB421" s="546">
        <v>4</v>
      </c>
      <c r="BC421" s="479">
        <v>1050</v>
      </c>
      <c r="BD421" s="555">
        <f>Inputs!$D$41*4</f>
        <v>16</v>
      </c>
      <c r="BE421" s="552">
        <f>_xlfn.MINIFS($DE$70:$DE$149,$DK$70:$DK$149,"&gt;"&amp;Inputs!$K$69)</f>
        <v>1.1999999999999993</v>
      </c>
      <c r="BF421" s="552">
        <f>_xlfn.MINIFS($DE$156:$DE$235,$DK$156:$DK$235,"&gt;"&amp;Inputs!$K$69)</f>
        <v>0</v>
      </c>
      <c r="BG421" s="553">
        <f>_xlfn.MINIFS($DE$242:$DE$321,$DK$242:$DK$321,"&gt;"&amp;Inputs!$K$69)</f>
        <v>1.1999999999999993</v>
      </c>
      <c r="BH421" s="554">
        <f>IF(Inputs!$F$69/4&gt;MAX(Pile!$DK$70:$DK$149),999999,IF(Pile!BE421/(Pile!BC421/1000)&gt;50,999999,IF(Pile!BE421&lt;2,999999,Pile!BE421)))</f>
        <v>999999</v>
      </c>
      <c r="BI421" s="552">
        <f>IF(Inputs!BE53="Yes",999999,IF(Pile!BF421/(Pile!BC421/1000)&gt;50,999999,IF(Pile!BF421&lt;2,999999,Pile!BF421)))</f>
        <v>999999</v>
      </c>
      <c r="BJ421" s="552">
        <f>IF(Inputs!$F$69/4&gt;MAX(Pile!$DK$242:$DK$321),999999,IF(Pile!BG421/(Pile!BC421/1000)&gt;50,999999,IF(Pile!BG421&lt;2,999999,IF(BG421&gt;25,999999,Pile!BG421))))</f>
        <v>999999</v>
      </c>
      <c r="BK421" s="554">
        <f t="shared" si="468"/>
        <v>13854620.347907385</v>
      </c>
      <c r="BL421" s="552">
        <f t="shared" si="469"/>
        <v>13854620.347907385</v>
      </c>
      <c r="BM421" s="553">
        <f t="shared" si="470"/>
        <v>13854620.347907385</v>
      </c>
      <c r="BN421" s="586">
        <f t="shared" si="471"/>
        <v>210.6</v>
      </c>
      <c r="BO421" s="546">
        <v>4</v>
      </c>
      <c r="BP421" s="479">
        <v>1050</v>
      </c>
      <c r="BQ421" s="555">
        <f>Inputs!$D$41*4</f>
        <v>16</v>
      </c>
      <c r="BR421" s="552">
        <f>_xlfn.MINIFS($DE$70:$DE$149,$DK$70:$DK$149,"&gt;"&amp;Inputs!$K$76)</f>
        <v>1.1999999999999993</v>
      </c>
      <c r="BS421" s="552">
        <f>_xlfn.MINIFS($DE$156:$DE$235,$DK$156:$DK$235,"&gt;"&amp;Inputs!$K$76)</f>
        <v>0</v>
      </c>
      <c r="BT421" s="553">
        <f>_xlfn.MINIFS($DE$242:$DE$321,$DK$242:$DK$321,"&gt;"&amp;Inputs!$K$76)</f>
        <v>1.1999999999999993</v>
      </c>
      <c r="BU421" s="554">
        <f>IF(Inputs!$F$76/4&gt;MAX(Pile!$DK$70:$DK$149),999999,IF(Pile!BR421/(Pile!BP421/1000)&gt;50,999999,IF(Pile!BR421&lt;2,999999,Pile!BR421)))</f>
        <v>999999</v>
      </c>
      <c r="BV421" s="552">
        <f>IF(Inputs!BR53="Yes",999999,IF(Pile!BS421/(Pile!BP421/1000)&gt;50,999999,IF(Pile!BS421&lt;2,999999,Pile!BS421)))</f>
        <v>999999</v>
      </c>
      <c r="BW421" s="552">
        <f>IF(Inputs!$F$76/4&gt;MAX(Pile!$DK$242:$DK$321),999999,IF(Pile!BT421/(Pile!BP421/1000)&gt;50,999999,IF(Pile!BT421&lt;2,999999,IF(BT421&gt;25,999999,Pile!BT421))))</f>
        <v>999999</v>
      </c>
      <c r="BX421" s="554">
        <f t="shared" si="472"/>
        <v>13854620.347907385</v>
      </c>
      <c r="BY421" s="552">
        <f t="shared" si="473"/>
        <v>13854620.347907385</v>
      </c>
      <c r="BZ421" s="553">
        <f t="shared" si="474"/>
        <v>13854620.347907385</v>
      </c>
      <c r="CA421" s="586">
        <f t="shared" si="475"/>
        <v>210.6</v>
      </c>
      <c r="CB421" s="546">
        <v>4</v>
      </c>
      <c r="CC421" s="479">
        <v>1050</v>
      </c>
      <c r="CD421" s="555">
        <f>Inputs!$D$41*4</f>
        <v>16</v>
      </c>
      <c r="CE421" s="552">
        <f>_xlfn.MINIFS($DE$70:$DE$149,$DK$70:$DK$149,"&gt;"&amp;Inputs!$K$83)</f>
        <v>0.89999999999999947</v>
      </c>
      <c r="CF421" s="552">
        <f>_xlfn.MINIFS($DE$156:$DE$235,$DK$156:$DK$235,"&gt;"&amp;Inputs!$K$83)</f>
        <v>0</v>
      </c>
      <c r="CG421" s="553">
        <f>_xlfn.MINIFS($DE$242:$DE$321,$DK$242:$DK$321,"&gt;"&amp;Inputs!$K$83)</f>
        <v>0.89999999999999947</v>
      </c>
      <c r="CH421" s="554">
        <f>IF(Inputs!$F$83/4&gt;MAX(Pile!$DK$70:$DK$149),999999,IF(Pile!CE421/(Pile!CC421/1000)&gt;50,999999,IF(Pile!CE421&lt;2,999999,Pile!CE421)))</f>
        <v>999999</v>
      </c>
      <c r="CI421" s="552">
        <f>IF(Inputs!CE53="Yes",999999,IF(Pile!CF421/(Pile!CC421/1000)&gt;50,999999,IF(Pile!CF421&lt;2,999999,Pile!CF421)))</f>
        <v>999999</v>
      </c>
      <c r="CJ421" s="552">
        <f>IF(Inputs!$F$83/4&gt;MAX(Pile!$DK$242:$DK$321),999999,IF(Pile!CG421/(Pile!CC421/1000)&gt;50,999999,IF(Pile!CG421&lt;2,999999,IF(CG421&gt;25,999999,Pile!CG421))))</f>
        <v>999999</v>
      </c>
      <c r="CK421" s="554">
        <f t="shared" si="476"/>
        <v>13854620.347907385</v>
      </c>
      <c r="CL421" s="552">
        <f t="shared" si="477"/>
        <v>13854620.347907385</v>
      </c>
      <c r="CM421" s="553">
        <f t="shared" si="478"/>
        <v>13854620.347907385</v>
      </c>
      <c r="CN421" s="586">
        <f t="shared" si="479"/>
        <v>210.6</v>
      </c>
      <c r="CO421" s="546">
        <v>4</v>
      </c>
      <c r="CP421" s="479">
        <v>1050</v>
      </c>
      <c r="CQ421" s="555">
        <f>Inputs!$D$41*4</f>
        <v>16</v>
      </c>
      <c r="CR421" s="552">
        <f>_xlfn.MINIFS($DE$70:$DE$149,$DK$70:$DK$149,"&gt;"&amp;Inputs!$K$90)</f>
        <v>0.89999999999999947</v>
      </c>
      <c r="CS421" s="552">
        <f>_xlfn.MINIFS($DE$156:$DE$235,$DK$156:$DK$235,"&gt;"&amp;Inputs!$K$90)</f>
        <v>0</v>
      </c>
      <c r="CT421" s="553">
        <f>_xlfn.MINIFS($DE$242:$DE$321,$DK$242:$DK$321,"&gt;"&amp;Inputs!$K$90)</f>
        <v>0.89999999999999947</v>
      </c>
      <c r="CU421" s="554">
        <f>IF(Inputs!$F$90/4&gt;MAX(Pile!$DK$70:$DK$149),999999,IF(Pile!CR421/(Pile!CP421/1000)&gt;50,999999,IF(Pile!CR421&lt;2,999999,Pile!CR421)))</f>
        <v>999999</v>
      </c>
      <c r="CV421" s="552">
        <f>IF(Inputs!CR53="Yes",999999,IF(Pile!CS421/(Pile!CP421/1000)&gt;50,999999,IF(Pile!CS421&lt;2,999999,Pile!CS421)))</f>
        <v>999999</v>
      </c>
      <c r="CW421" s="552">
        <f>IF(Inputs!$F$90/4&gt;MAX(Pile!$DK$242:$DK$321),999999,IF(Pile!CT421/(Pile!CP421/1000)&gt;50,999999,IF(Pile!CT421&lt;2,999999,IF(CT421&gt;25,999999,Pile!CT421))))</f>
        <v>999999</v>
      </c>
      <c r="CX421" s="554">
        <f t="shared" si="480"/>
        <v>13854620.347907385</v>
      </c>
      <c r="CY421" s="552">
        <f t="shared" si="481"/>
        <v>13854620.347907385</v>
      </c>
      <c r="CZ421" s="553">
        <f t="shared" si="482"/>
        <v>13854620.347907385</v>
      </c>
      <c r="DA421" s="586">
        <f t="shared" si="483"/>
        <v>210.6</v>
      </c>
      <c r="DB421" s="546">
        <v>4</v>
      </c>
      <c r="DC421" s="479">
        <v>1050</v>
      </c>
      <c r="DD421" s="555">
        <f>Inputs!$D$41*4</f>
        <v>16</v>
      </c>
      <c r="DE421" s="552">
        <f>_xlfn.MINIFS($DE$70:$DE$149,$DK$70:$DK$149,"&gt;"&amp;Inputs!$K$97)</f>
        <v>0.89999999999999947</v>
      </c>
      <c r="DF421" s="552">
        <f>_xlfn.MINIFS($DE$156:$DE$235,$DK$156:$DK$235,"&gt;"&amp;Inputs!$K$97)</f>
        <v>0</v>
      </c>
      <c r="DG421" s="553">
        <f>_xlfn.MINIFS($DE$242:$DE$321,$DK$242:$DK$321,"&gt;"&amp;Inputs!$K$97)</f>
        <v>0.89999999999999947</v>
      </c>
      <c r="DH421" s="554">
        <f>IF(Inputs!$F$97/4&gt;MAX(Pile!$DK$70:$DK$149),999999,IF(Pile!DE421/(Pile!DC421/1000)&gt;50,999999,IF(Pile!DE421&lt;2,999999,Pile!DE421)))</f>
        <v>999999</v>
      </c>
      <c r="DI421" s="552">
        <f>IF(Inputs!DE53="Yes",999999,IF(Pile!DF421/(Pile!DC421/1000)&gt;50,999999,IF(Pile!DF421&lt;2,999999,Pile!DF421)))</f>
        <v>999999</v>
      </c>
      <c r="DJ421" s="552">
        <f>IF(Inputs!$F$97/4&gt;MAX(Pile!$DK$242:$DK$321),999999,IF(Pile!DG421/(Pile!DC421/1000)&gt;50,999999,IF(Pile!DG421&lt;2,999999,IF(DG421&gt;25,999999,Pile!DG421))))</f>
        <v>999999</v>
      </c>
      <c r="DK421" s="554">
        <f t="shared" si="484"/>
        <v>13854620.347907385</v>
      </c>
      <c r="DL421" s="552">
        <f t="shared" si="485"/>
        <v>13854620.347907385</v>
      </c>
      <c r="DM421" s="553">
        <f t="shared" si="486"/>
        <v>13854620.347907385</v>
      </c>
      <c r="DN421" s="586">
        <f t="shared" si="487"/>
        <v>210.6</v>
      </c>
      <c r="DO421" s="546">
        <v>4</v>
      </c>
      <c r="DP421" s="479">
        <v>1050</v>
      </c>
      <c r="DQ421" s="555">
        <f>Inputs!$D$41*4</f>
        <v>16</v>
      </c>
      <c r="DR421" s="552">
        <f>_xlfn.MINIFS($DE$70:$DE$149,$DK$70:$DK$149,"&gt;"&amp;Inputs!$K$104)</f>
        <v>0.59999999999999964</v>
      </c>
      <c r="DS421" s="552">
        <f>_xlfn.MINIFS($DE$156:$DE$235,$DK$156:$DK$235,"&gt;"&amp;Inputs!$K$104)</f>
        <v>0</v>
      </c>
      <c r="DT421" s="553">
        <f>_xlfn.MINIFS($DE$242:$DE$321,$DK$242:$DK$321,"&gt;"&amp;Inputs!$K$104)</f>
        <v>0.59999999999999964</v>
      </c>
      <c r="DU421" s="554">
        <f>IF(Inputs!$F$104/4&gt;MAX(Pile!$DK$70:$DK$149),999999,IF(Pile!DR421/(Pile!DP421/1000)&gt;50,999999,IF(Pile!DR421&lt;2,999999,Pile!DR421)))</f>
        <v>999999</v>
      </c>
      <c r="DV421" s="552">
        <f>IF(Inputs!DR53="Yes",999999,IF(Pile!DS421/(Pile!DP421/1000)&gt;50,999999,IF(Pile!DS421&lt;2,999999,Pile!DS421)))</f>
        <v>999999</v>
      </c>
      <c r="DW421" s="552">
        <f>IF(Inputs!$F$104/4&gt;MAX(Pile!$DK$242:$DK$321),999999,IF(Pile!DT421/(Pile!DP421/1000)&gt;50,999999,IF(Pile!DT421&lt;2,999999,IF(DT421&gt;25,999999,Pile!DT421))))</f>
        <v>999999</v>
      </c>
      <c r="DX421" s="554">
        <f t="shared" si="488"/>
        <v>13854620.347907385</v>
      </c>
      <c r="DY421" s="552">
        <f t="shared" si="489"/>
        <v>13854620.347907385</v>
      </c>
      <c r="DZ421" s="553">
        <f t="shared" si="490"/>
        <v>13854620.347907385</v>
      </c>
      <c r="EA421" s="586">
        <f t="shared" si="491"/>
        <v>210.6</v>
      </c>
      <c r="EB421" s="546">
        <v>4</v>
      </c>
      <c r="EC421" s="479">
        <v>1050</v>
      </c>
      <c r="ED421" s="555">
        <f>Inputs!$D$41*4</f>
        <v>16</v>
      </c>
      <c r="EE421" s="552">
        <f>_xlfn.MINIFS($DE$70:$DE$149,$DK$70:$DK$149,"&gt;"&amp;Inputs!$K$111)</f>
        <v>0.59999999999999964</v>
      </c>
      <c r="EF421" s="552">
        <f>_xlfn.MINIFS($DE$156:$DE$235,$DK$156:$DK$235,"&gt;"&amp;Inputs!$K$111)</f>
        <v>0</v>
      </c>
      <c r="EG421" s="553">
        <f>_xlfn.MINIFS($DE$242:$DE$321,$DK$242:$DK$321,"&gt;"&amp;Inputs!$K$111)</f>
        <v>0.59999999999999964</v>
      </c>
      <c r="EH421" s="554">
        <f>IF(Inputs!$F$111/4&gt;MAX(Pile!$DK$70:$DK$149),999999,IF(Pile!EE421/(Pile!EC421/1000)&gt;50,999999,IF(Pile!EE421&lt;2,999999,Pile!EE421)))</f>
        <v>999999</v>
      </c>
      <c r="EI421" s="552">
        <f>IF(Inputs!EE53="Yes",999999,IF(Pile!EF421/(Pile!EC421/1000)&gt;50,999999,IF(Pile!EF421&lt;2,999999,Pile!EF421)))</f>
        <v>999999</v>
      </c>
      <c r="EJ421" s="552">
        <f>IF(Inputs!$F$111/4&gt;MAX(Pile!$DK$242:$DK$321),999999,IF(Pile!EG421/(Pile!EC421/1000)&gt;50,999999,IF(Pile!EG421&lt;2,999999,IF(EG421&gt;25,999999,Pile!EG421))))</f>
        <v>999999</v>
      </c>
      <c r="EK421" s="554">
        <f t="shared" si="492"/>
        <v>13854620.347907385</v>
      </c>
      <c r="EL421" s="552">
        <f t="shared" si="493"/>
        <v>13854620.347907385</v>
      </c>
      <c r="EM421" s="553">
        <f t="shared" si="494"/>
        <v>13854620.347907385</v>
      </c>
      <c r="EN421" s="586">
        <f t="shared" si="495"/>
        <v>210.6</v>
      </c>
      <c r="EO421" s="546">
        <v>4</v>
      </c>
      <c r="EP421" s="479">
        <v>1050</v>
      </c>
      <c r="EQ421" s="555">
        <f>Inputs!$D$41*4</f>
        <v>16</v>
      </c>
      <c r="ER421" s="552">
        <f>_xlfn.MINIFS($DE$70:$DE$149,$DK$70:$DK$149,"&gt;"&amp;Inputs!$K$118)</f>
        <v>0.29999999999999982</v>
      </c>
      <c r="ES421" s="552">
        <f>_xlfn.MINIFS($DE$156:$DE$235,$DK$156:$DK$235,"&gt;"&amp;Inputs!$K$118)</f>
        <v>0</v>
      </c>
      <c r="ET421" s="553">
        <f>_xlfn.MINIFS($DE$242:$DE$321,$DK$242:$DK$321,"&gt;"&amp;Inputs!$K$118)</f>
        <v>0.29999999999999982</v>
      </c>
      <c r="EU421" s="554">
        <f>IF(Inputs!$F$118/4&gt;MAX(Pile!$DK$70:$DK$149),999999,IF(Pile!ER421/(Pile!EP421/1000)&gt;50,999999,IF(Pile!ER421&lt;2,999999,Pile!ER421)))</f>
        <v>999999</v>
      </c>
      <c r="EV421" s="552">
        <f>IF(Inputs!ER53="Yes",999999,IF(Inputs!$F$118&gt;MAX(Pile!$DG$156:$DG$235),999999,IF(Pile!ES421/(Pile!EP421/1000)&gt;50,999999,IF(Pile!ES421&lt;2,999999,Pile!ES421))))</f>
        <v>999999</v>
      </c>
      <c r="EW421" s="552">
        <f>IF(Inputs!$F$118/4&gt;MAX(Pile!$DK$242:$DK$321),999999,IF(Pile!ET421/(Pile!EP421/1000)&gt;50,999999,IF(Pile!ET421&lt;2,999999,IF(ET421&gt;25,999999,Pile!ET421))))</f>
        <v>999999</v>
      </c>
      <c r="EX421" s="554">
        <f t="shared" si="451"/>
        <v>13854409.747907385</v>
      </c>
      <c r="EY421" s="552">
        <f t="shared" si="452"/>
        <v>13854409.747907385</v>
      </c>
      <c r="EZ421" s="553">
        <f t="shared" si="453"/>
        <v>13854409.747907385</v>
      </c>
    </row>
    <row r="422" spans="2:157" ht="15.75" thickBot="1">
      <c r="B422" s="559">
        <v>4</v>
      </c>
      <c r="C422" s="483">
        <v>1200</v>
      </c>
      <c r="D422" s="560">
        <f>Inputs!$D$41*4</f>
        <v>16</v>
      </c>
      <c r="E422" s="561">
        <f>_xlfn.MINIFS($DE$70:$DE$149,$DL$70:$DL$149,"&gt;"&amp;Inputs!$K$41)</f>
        <v>0.89999999999999947</v>
      </c>
      <c r="F422" s="561">
        <f>_xlfn.MINIFS($DE$156:$DE$235,$DL$156:$DL$235,"&gt;"&amp;Inputs!$K$41)</f>
        <v>0</v>
      </c>
      <c r="G422" s="562">
        <f>_xlfn.MINIFS($DE$242:$DE$321,$DL$242:$DL$321,"&gt;"&amp;Inputs!$K$41)</f>
        <v>0.89999999999999947</v>
      </c>
      <c r="H422" s="563">
        <f>IF(Inputs!$F$41/4&gt;MAX(Pile!$DL$70:$DL$149),999999,IF(Pile!E422/(Pile!C422/1000)&gt;50,999999,IF(Pile!E422&lt;2,999999,Pile!E422)))</f>
        <v>999999</v>
      </c>
      <c r="I422" s="561">
        <f>IF(Inputs!E54="Yes",999999,IF(Pile!F422/(Pile!C422/1000)&gt;50,999999,IF(Pile!F422&lt;2,999999,Pile!F422)))</f>
        <v>999999</v>
      </c>
      <c r="J422" s="561">
        <f>IF(Inputs!$F$41/4&gt;MAX(Pile!$DL$242:$DL$321),999999,IF(Pile!G422/(Pile!C422/1000)&gt;50,999999,IF(Pile!G422&lt;2,999999,IF(G422&gt;25,999999,Pile!G422))))</f>
        <v>999999</v>
      </c>
      <c r="K422" s="563">
        <f t="shared" si="454"/>
        <v>18095867.709103525</v>
      </c>
      <c r="L422" s="561">
        <f t="shared" si="455"/>
        <v>18095867.709103525</v>
      </c>
      <c r="M422" s="562">
        <f t="shared" si="456"/>
        <v>18095867.709103525</v>
      </c>
      <c r="N422" s="585">
        <f>Inputs!$D$41*G464</f>
        <v>312.11999999999995</v>
      </c>
      <c r="O422" s="559">
        <v>4</v>
      </c>
      <c r="P422" s="483">
        <v>1200</v>
      </c>
      <c r="Q422" s="560">
        <f>Inputs!$D$41*4</f>
        <v>16</v>
      </c>
      <c r="R422" s="561">
        <f>_xlfn.MINIFS($DE$70:$DE$149,$DL$70:$DL$149,"&gt;"&amp;Inputs!$K$48)</f>
        <v>0.89999999999999947</v>
      </c>
      <c r="S422" s="561">
        <f>_xlfn.MINIFS($DE$156:$DE$235,$DL$156:$DL$235,"&gt;"&amp;Inputs!$K$48)</f>
        <v>0</v>
      </c>
      <c r="T422" s="562">
        <f>_xlfn.MINIFS($DE$242:$DE$321,$DL$242:$DL$321,"&gt;"&amp;Inputs!$K$48)</f>
        <v>0.89999999999999947</v>
      </c>
      <c r="U422" s="563">
        <f>IF(Inputs!$F$48/4&gt;MAX(Pile!$DL$70:$DL$149),999999,IF(Pile!R422/(Pile!P422/1000)&gt;50,999999,IF(Pile!R422&lt;2,999999,Pile!R422)))</f>
        <v>999999</v>
      </c>
      <c r="V422" s="561">
        <f>IF(Inputs!R54="Yes",999999,IF(Pile!S422/(Pile!P422/1000)&gt;50,999999,IF(Pile!S422&lt;2,999999,Pile!S422)))</f>
        <v>999999</v>
      </c>
      <c r="W422" s="561">
        <f>IF(Inputs!$F$48/4&gt;MAX(Pile!$DL$242:$DL$321),999999,IF(Pile!T422/(Pile!P422/1000)&gt;50,999999,IF(Pile!T422&lt;2,999999,IF(T422&gt;25,999999,Pile!T422))))</f>
        <v>999999</v>
      </c>
      <c r="X422" s="563">
        <f t="shared" si="457"/>
        <v>18095867.709103525</v>
      </c>
      <c r="Y422" s="561">
        <f t="shared" si="458"/>
        <v>18095867.709103525</v>
      </c>
      <c r="Z422" s="562">
        <f t="shared" si="459"/>
        <v>18095867.709103525</v>
      </c>
      <c r="AA422" s="467">
        <f t="shared" si="496"/>
        <v>312.11999999999995</v>
      </c>
      <c r="AB422" s="564">
        <v>4</v>
      </c>
      <c r="AC422" s="487">
        <v>1200</v>
      </c>
      <c r="AD422" s="565">
        <f>Inputs!$D$41*4</f>
        <v>16</v>
      </c>
      <c r="AE422" s="561">
        <f>_xlfn.MINIFS($DE$70:$DE$149,$DL$70:$DL$149,"&gt;"&amp;Inputs!$K$55)</f>
        <v>0.89999999999999947</v>
      </c>
      <c r="AF422" s="561">
        <f>_xlfn.MINIFS($DE$156:$DE$235,$DL$156:$DL$235,"&gt;"&amp;Inputs!$K$55)</f>
        <v>0</v>
      </c>
      <c r="AG422" s="562">
        <f>_xlfn.MINIFS($DE$242:$DE$321,$DL$242:$DL$321,"&gt;"&amp;Inputs!$K$55)</f>
        <v>0.89999999999999947</v>
      </c>
      <c r="AH422" s="563">
        <f>IF(Inputs!$F$55/4&gt;MAX(Pile!$DL$70:$DL$149),999999,IF(Pile!AE422/(Pile!AC422/1000)&gt;50,999999,IF(Pile!AE422&lt;2,999999,Pile!AE422)))</f>
        <v>999999</v>
      </c>
      <c r="AI422" s="561">
        <f>IF(Inputs!AE54="Yes",999999,IF(Pile!AF422/(Pile!AC422/1000)&gt;50,999999,IF(Pile!AF422&lt;2,999999,Pile!AF422)))</f>
        <v>999999</v>
      </c>
      <c r="AJ422" s="561">
        <f>IF(Inputs!$F$55/4&gt;MAX(Pile!$DL$242:$DL$321),999999,IF(Pile!AG422/(Pile!AC422/1000)&gt;50,999999,IF(Pile!AG422&lt;2,999999,IF(AG422&gt;25,999999,Pile!AG422))))</f>
        <v>999999</v>
      </c>
      <c r="AK422" s="563">
        <f t="shared" si="460"/>
        <v>18095867.709103525</v>
      </c>
      <c r="AL422" s="561">
        <f t="shared" si="461"/>
        <v>18095867.709103525</v>
      </c>
      <c r="AM422" s="562">
        <f t="shared" si="462"/>
        <v>18095867.709103525</v>
      </c>
      <c r="AN422" s="586">
        <f t="shared" si="463"/>
        <v>312.11999999999995</v>
      </c>
      <c r="AO422" s="564">
        <v>4</v>
      </c>
      <c r="AP422" s="487">
        <v>1200</v>
      </c>
      <c r="AQ422" s="565">
        <f>Inputs!$D$41*4</f>
        <v>16</v>
      </c>
      <c r="AR422" s="561">
        <f>_xlfn.MINIFS($DE$70:$DE$149,$DL$70:$DL$149,"&gt;"&amp;Inputs!$K$62)</f>
        <v>0.89999999999999947</v>
      </c>
      <c r="AS422" s="561">
        <f>_xlfn.MINIFS($DE$156:$DE$235,$DL$156:$DL$235,"&gt;"&amp;Inputs!$K$62)</f>
        <v>0</v>
      </c>
      <c r="AT422" s="562">
        <f>_xlfn.MINIFS($DE$242:$DE$321,$DL$242:$DL$321,"&gt;"&amp;Inputs!$K$62)</f>
        <v>0.89999999999999947</v>
      </c>
      <c r="AU422" s="563">
        <f>IF(Inputs!$F$62/4&gt;MAX(Pile!$DL$70:$DL$149),999999,IF(Pile!AR422/(Pile!AP422/1000)&gt;50,999999,IF(Pile!AR422&lt;2,999999,Pile!AR422)))</f>
        <v>999999</v>
      </c>
      <c r="AV422" s="561">
        <f>IF(Inputs!AR54="Yes",999999,IF(Pile!AS422/(Pile!AP422/1000)&gt;50,999999,IF(Pile!AS422&lt;2,999999,Pile!AS422)))</f>
        <v>999999</v>
      </c>
      <c r="AW422" s="561">
        <f>IF(Inputs!$F$62/4&gt;MAX(Pile!$DL$242:$DL$321),999999,IF(Pile!AT422/(Pile!AP422/1000)&gt;50,999999,IF(Pile!AT422&lt;2,999999,IF(AT422&gt;25,999999,Pile!AT422))))</f>
        <v>999999</v>
      </c>
      <c r="AX422" s="563">
        <f t="shared" si="464"/>
        <v>18095867.709103525</v>
      </c>
      <c r="AY422" s="561">
        <f t="shared" si="465"/>
        <v>18095867.709103525</v>
      </c>
      <c r="AZ422" s="562">
        <f t="shared" si="466"/>
        <v>18095867.709103525</v>
      </c>
      <c r="BA422" s="586">
        <f t="shared" si="467"/>
        <v>312.11999999999995</v>
      </c>
      <c r="BB422" s="564">
        <v>4</v>
      </c>
      <c r="BC422" s="487">
        <v>1200</v>
      </c>
      <c r="BD422" s="565">
        <f>Inputs!$D$41*4</f>
        <v>16</v>
      </c>
      <c r="BE422" s="561">
        <f>_xlfn.MINIFS($DE$70:$DE$149,$DL$70:$DL$149,"&gt;"&amp;Inputs!$K$69)</f>
        <v>0.89999999999999947</v>
      </c>
      <c r="BF422" s="561">
        <f>_xlfn.MINIFS($DE$156:$DE$235,$DL$156:$DL$235,"&gt;"&amp;Inputs!$K$69)</f>
        <v>0</v>
      </c>
      <c r="BG422" s="562">
        <f>_xlfn.MINIFS($DE$242:$DE$321,$DL$242:$DL$321,"&gt;"&amp;Inputs!$K$69)</f>
        <v>0.89999999999999947</v>
      </c>
      <c r="BH422" s="563">
        <f>IF(Inputs!$F$69/4&gt;MAX(Pile!$DL$70:$DL$149),999999,IF(Pile!BE422/(Pile!BC422/1000)&gt;50,999999,IF(Pile!BE422&lt;2,999999,Pile!BE422)))</f>
        <v>999999</v>
      </c>
      <c r="BI422" s="561">
        <f>IF(Inputs!BE54="Yes",999999,IF(Pile!BF422/(Pile!BC422/1000)&gt;50,999999,IF(Pile!BF422&lt;2,999999,Pile!BF422)))</f>
        <v>999999</v>
      </c>
      <c r="BJ422" s="561">
        <f>IF(Inputs!$F$69/4&gt;MAX(Pile!$DL$242:$DL$321),999999,IF(Pile!BG422/(Pile!BC422/1000)&gt;50,999999,IF(Pile!BG422&lt;2,999999,IF(BG422&gt;25,999999,Pile!BG422))))</f>
        <v>999999</v>
      </c>
      <c r="BK422" s="563">
        <f t="shared" si="468"/>
        <v>18095867.709103525</v>
      </c>
      <c r="BL422" s="561">
        <f t="shared" si="469"/>
        <v>18095867.709103525</v>
      </c>
      <c r="BM422" s="562">
        <f t="shared" si="470"/>
        <v>18095867.709103525</v>
      </c>
      <c r="BN422" s="586">
        <f t="shared" si="471"/>
        <v>312.11999999999995</v>
      </c>
      <c r="BO422" s="564">
        <v>4</v>
      </c>
      <c r="BP422" s="487">
        <v>1200</v>
      </c>
      <c r="BQ422" s="565">
        <f>Inputs!$D$41*4</f>
        <v>16</v>
      </c>
      <c r="BR422" s="561">
        <f>_xlfn.MINIFS($DE$70:$DE$149,$DL$70:$DL$149,"&gt;"&amp;Inputs!$K$76)</f>
        <v>0.89999999999999947</v>
      </c>
      <c r="BS422" s="561">
        <f>_xlfn.MINIFS($DE$156:$DE$235,$DL$156:$DL$235,"&gt;"&amp;Inputs!$K$76)</f>
        <v>0</v>
      </c>
      <c r="BT422" s="562">
        <f>_xlfn.MINIFS($DE$242:$DE$321,$DL$242:$DL$321,"&gt;"&amp;Inputs!$K$76)</f>
        <v>0.89999999999999947</v>
      </c>
      <c r="BU422" s="563">
        <f>IF(Inputs!$F$76/4&gt;MAX(Pile!$DL$70:$DL$149),999999,IF(Pile!BR422/(Pile!BP422/1000)&gt;50,999999,IF(Pile!BR422&lt;2,999999,Pile!BR422)))</f>
        <v>999999</v>
      </c>
      <c r="BV422" s="561">
        <f>IF(Inputs!BR54="Yes",999999,IF(Pile!BS422/(Pile!BP422/1000)&gt;50,999999,IF(Pile!BS422&lt;2,999999,Pile!BS422)))</f>
        <v>999999</v>
      </c>
      <c r="BW422" s="561">
        <f>IF(Inputs!$F$76/4&gt;MAX(Pile!$DL$242:$DL$321),999999,IF(Pile!BT422/(Pile!BP422/1000)&gt;50,999999,IF(Pile!BT422&lt;2,999999,IF(BT422&gt;25,999999,Pile!BT422))))</f>
        <v>999999</v>
      </c>
      <c r="BX422" s="563">
        <f t="shared" si="472"/>
        <v>18095867.709103525</v>
      </c>
      <c r="BY422" s="561">
        <f t="shared" si="473"/>
        <v>18095867.709103525</v>
      </c>
      <c r="BZ422" s="562">
        <f t="shared" si="474"/>
        <v>18095867.709103525</v>
      </c>
      <c r="CA422" s="586">
        <f t="shared" si="475"/>
        <v>312.11999999999995</v>
      </c>
      <c r="CB422" s="564">
        <v>4</v>
      </c>
      <c r="CC422" s="487">
        <v>1200</v>
      </c>
      <c r="CD422" s="565">
        <f>Inputs!$D$41*4</f>
        <v>16</v>
      </c>
      <c r="CE422" s="561">
        <f>_xlfn.MINIFS($DE$70:$DE$149,$DL$70:$DL$149,"&gt;"&amp;Inputs!$K$83)</f>
        <v>0.59999999999999964</v>
      </c>
      <c r="CF422" s="561">
        <f>_xlfn.MINIFS($DE$156:$DE$235,$DL$156:$DL$235,"&gt;"&amp;Inputs!$K$83)</f>
        <v>0</v>
      </c>
      <c r="CG422" s="562">
        <f>_xlfn.MINIFS($DE$242:$DE$321,$DL$242:$DL$321,"&gt;"&amp;Inputs!$K$83)</f>
        <v>0.59999999999999964</v>
      </c>
      <c r="CH422" s="563">
        <f>IF(Inputs!$F$83/4&gt;MAX(Pile!$DL$70:$DL$149),999999,IF(Pile!CE422/(Pile!CC422/1000)&gt;50,999999,IF(Pile!CE422&lt;2,999999,Pile!CE422)))</f>
        <v>999999</v>
      </c>
      <c r="CI422" s="561">
        <f>IF(Inputs!CE54="Yes",999999,IF(Pile!CF422/(Pile!CC422/1000)&gt;50,999999,IF(Pile!CF422&lt;2,999999,Pile!CF422)))</f>
        <v>999999</v>
      </c>
      <c r="CJ422" s="561">
        <f>IF(Inputs!$F$83/4&gt;MAX(Pile!$DL$242:$DL$321),999999,IF(Pile!CG422/(Pile!CC422/1000)&gt;50,999999,IF(Pile!CG422&lt;2,999999,IF(CG422&gt;25,999999,Pile!CG422))))</f>
        <v>999999</v>
      </c>
      <c r="CK422" s="563">
        <f t="shared" si="476"/>
        <v>18095867.709103525</v>
      </c>
      <c r="CL422" s="561">
        <f t="shared" si="477"/>
        <v>18095867.709103525</v>
      </c>
      <c r="CM422" s="562">
        <f t="shared" si="478"/>
        <v>18095867.709103525</v>
      </c>
      <c r="CN422" s="586">
        <f t="shared" si="479"/>
        <v>312.11999999999995</v>
      </c>
      <c r="CO422" s="564">
        <v>4</v>
      </c>
      <c r="CP422" s="487">
        <v>1200</v>
      </c>
      <c r="CQ422" s="565">
        <f>Inputs!$D$41*4</f>
        <v>16</v>
      </c>
      <c r="CR422" s="561">
        <f>_xlfn.MINIFS($DE$70:$DE$149,$DL$70:$DL$149,"&gt;"&amp;Inputs!$K$90)</f>
        <v>0.59999999999999964</v>
      </c>
      <c r="CS422" s="561">
        <f>_xlfn.MINIFS($DE$156:$DE$235,$DL$156:$DL$235,"&gt;"&amp;Inputs!$K$90)</f>
        <v>0</v>
      </c>
      <c r="CT422" s="562">
        <f>_xlfn.MINIFS($DE$242:$DE$321,$DL$242:$DL$321,"&gt;"&amp;Inputs!$K$90)</f>
        <v>0.59999999999999964</v>
      </c>
      <c r="CU422" s="563">
        <f>IF(Inputs!$F$90/4&gt;MAX(Pile!$DL$70:$DL$149),999999,IF(Pile!CR422/(Pile!CP422/1000)&gt;50,999999,IF(Pile!CR422&lt;2,999999,Pile!CR422)))</f>
        <v>999999</v>
      </c>
      <c r="CV422" s="561">
        <f>IF(Inputs!CR54="Yes",999999,IF(Pile!CS422/(Pile!CP422/1000)&gt;50,999999,IF(Pile!CS422&lt;2,999999,Pile!CS422)))</f>
        <v>999999</v>
      </c>
      <c r="CW422" s="561">
        <f>IF(Inputs!$F$90/4&gt;MAX(Pile!$DL$242:$DL$321),999999,IF(Pile!CT422/(Pile!CP422/1000)&gt;50,999999,IF(Pile!CT422&lt;2,999999,IF(CT422&gt;25,999999,Pile!CT422))))</f>
        <v>999999</v>
      </c>
      <c r="CX422" s="563">
        <f t="shared" si="480"/>
        <v>18095867.709103525</v>
      </c>
      <c r="CY422" s="561">
        <f t="shared" si="481"/>
        <v>18095867.709103525</v>
      </c>
      <c r="CZ422" s="562">
        <f t="shared" si="482"/>
        <v>18095867.709103525</v>
      </c>
      <c r="DA422" s="586">
        <f t="shared" si="483"/>
        <v>312.11999999999995</v>
      </c>
      <c r="DB422" s="564">
        <v>4</v>
      </c>
      <c r="DC422" s="487">
        <v>1200</v>
      </c>
      <c r="DD422" s="565">
        <f>Inputs!$D$41*4</f>
        <v>16</v>
      </c>
      <c r="DE422" s="561">
        <f>_xlfn.MINIFS($DE$70:$DE$149,$DL$70:$DL$149,"&gt;"&amp;Inputs!$K$97)</f>
        <v>0.59999999999999964</v>
      </c>
      <c r="DF422" s="561">
        <f>_xlfn.MINIFS($DE$156:$DE$235,$DL$156:$DL$235,"&gt;"&amp;Inputs!$K$97)</f>
        <v>0</v>
      </c>
      <c r="DG422" s="562">
        <f>_xlfn.MINIFS($DE$242:$DE$321,$DL$242:$DL$321,"&gt;"&amp;Inputs!$K$97)</f>
        <v>0.59999999999999964</v>
      </c>
      <c r="DH422" s="563">
        <f>IF(Inputs!$F$97/4&gt;MAX(Pile!$DL$70:$DL$149),999999,IF(Pile!DE422/(Pile!DC422/1000)&gt;50,999999,IF(Pile!DE422&lt;2,999999,Pile!DE422)))</f>
        <v>999999</v>
      </c>
      <c r="DI422" s="561">
        <f>IF(Inputs!DE54="Yes",999999,IF(Pile!DF422/(Pile!DC422/1000)&gt;50,999999,IF(Pile!DF422&lt;2,999999,Pile!DF422)))</f>
        <v>999999</v>
      </c>
      <c r="DJ422" s="561">
        <f>IF(Inputs!$F$97/4&gt;MAX(Pile!$DL$242:$DL$321),999999,IF(Pile!DG422/(Pile!DC422/1000)&gt;50,999999,IF(Pile!DG422&lt;2,999999,IF(DG422&gt;25,999999,Pile!DG422))))</f>
        <v>999999</v>
      </c>
      <c r="DK422" s="563">
        <f t="shared" si="484"/>
        <v>18095867.709103525</v>
      </c>
      <c r="DL422" s="561">
        <f t="shared" si="485"/>
        <v>18095867.709103525</v>
      </c>
      <c r="DM422" s="562">
        <f t="shared" si="486"/>
        <v>18095867.709103525</v>
      </c>
      <c r="DN422" s="586">
        <f t="shared" si="487"/>
        <v>312.11999999999995</v>
      </c>
      <c r="DO422" s="564">
        <v>4</v>
      </c>
      <c r="DP422" s="487">
        <v>1200</v>
      </c>
      <c r="DQ422" s="565">
        <f>Inputs!$D$41*4</f>
        <v>16</v>
      </c>
      <c r="DR422" s="561">
        <f>_xlfn.MINIFS($DE$70:$DE$149,$DL$70:$DL$149,"&gt;"&amp;Inputs!$K$104)</f>
        <v>0.59999999999999964</v>
      </c>
      <c r="DS422" s="561">
        <f>_xlfn.MINIFS($DE$156:$DE$235,$DL$156:$DL$235,"&gt;"&amp;Inputs!$K$104)</f>
        <v>0</v>
      </c>
      <c r="DT422" s="562">
        <f>_xlfn.MINIFS($DE$242:$DE$321,$DL$242:$DL$321,"&gt;"&amp;Inputs!$K$104)</f>
        <v>0.59999999999999964</v>
      </c>
      <c r="DU422" s="563">
        <f>IF(Inputs!$F$104/4&gt;MAX(Pile!$DL$70:$DL$149),999999,IF(Pile!DR422/(Pile!DP422/1000)&gt;50,999999,IF(Pile!DR422&lt;2,999999,Pile!DR422)))</f>
        <v>999999</v>
      </c>
      <c r="DV422" s="561">
        <f>IF(Inputs!DR54="Yes",999999,IF(Pile!DS422/(Pile!DP422/1000)&gt;50,999999,IF(Pile!DS422&lt;2,999999,Pile!DS422)))</f>
        <v>999999</v>
      </c>
      <c r="DW422" s="561">
        <f>IF(Inputs!$F$104/4&gt;MAX(Pile!$DL$242:$DL$321),999999,IF(Pile!DT422/(Pile!DP422/1000)&gt;50,999999,IF(Pile!DT422&lt;2,999999,IF(DT422&gt;25,999999,Pile!DT422))))</f>
        <v>999999</v>
      </c>
      <c r="DX422" s="563">
        <f t="shared" si="488"/>
        <v>18095867.709103525</v>
      </c>
      <c r="DY422" s="561">
        <f t="shared" si="489"/>
        <v>18095867.709103525</v>
      </c>
      <c r="DZ422" s="562">
        <f t="shared" si="490"/>
        <v>18095867.709103525</v>
      </c>
      <c r="EA422" s="586">
        <f t="shared" si="491"/>
        <v>312.11999999999995</v>
      </c>
      <c r="EB422" s="564">
        <v>4</v>
      </c>
      <c r="EC422" s="487">
        <v>1200</v>
      </c>
      <c r="ED422" s="565">
        <f>Inputs!$D$41*4</f>
        <v>16</v>
      </c>
      <c r="EE422" s="561">
        <f>_xlfn.MINIFS($DE$70:$DE$149,$DL$70:$DL$149,"&gt;"&amp;Inputs!$K$111)</f>
        <v>0.59999999999999964</v>
      </c>
      <c r="EF422" s="561">
        <f>_xlfn.MINIFS($DE$156:$DE$235,$DL$156:$DL$235,"&gt;"&amp;Inputs!$K$111)</f>
        <v>0</v>
      </c>
      <c r="EG422" s="562">
        <f>_xlfn.MINIFS($DE$242:$DE$321,$DL$242:$DL$321,"&gt;"&amp;Inputs!$K$111)</f>
        <v>0.59999999999999964</v>
      </c>
      <c r="EH422" s="563">
        <f>IF(Inputs!$F$111/4&gt;MAX(Pile!$DL$70:$DL$149),999999,IF(Pile!EE422/(Pile!EC422/1000)&gt;50,999999,IF(Pile!EE422&lt;2,999999,Pile!EE422)))</f>
        <v>999999</v>
      </c>
      <c r="EI422" s="561">
        <f>IF(Inputs!EE54="Yes",999999,IF(Pile!EF422/(Pile!EC422/1000)&gt;50,999999,IF(Pile!EF422&lt;2,999999,Pile!EF422)))</f>
        <v>999999</v>
      </c>
      <c r="EJ422" s="561">
        <f>IF(Inputs!$F$111/4&gt;MAX(Pile!$DL$242:$DL$321),999999,IF(Pile!EG422/(Pile!EC422/1000)&gt;50,999999,IF(Pile!EG422&lt;2,999999,IF(EG422&gt;25,999999,Pile!EG422))))</f>
        <v>999999</v>
      </c>
      <c r="EK422" s="563">
        <f t="shared" si="492"/>
        <v>18095867.709103525</v>
      </c>
      <c r="EL422" s="561">
        <f t="shared" si="493"/>
        <v>18095867.709103525</v>
      </c>
      <c r="EM422" s="562">
        <f t="shared" si="494"/>
        <v>18095867.709103525</v>
      </c>
      <c r="EN422" s="586">
        <f t="shared" si="495"/>
        <v>312.11999999999995</v>
      </c>
      <c r="EO422" s="564">
        <v>4</v>
      </c>
      <c r="EP422" s="487">
        <v>1200</v>
      </c>
      <c r="EQ422" s="565">
        <f>Inputs!$D$41*4</f>
        <v>16</v>
      </c>
      <c r="ER422" s="561">
        <f>_xlfn.MINIFS($DE$70:$DE$149,$DL$70:$DL$149,"&gt;"&amp;Inputs!$K$118)</f>
        <v>0.29999999999999982</v>
      </c>
      <c r="ES422" s="561">
        <f>_xlfn.MINIFS($DE$156:$DE$235,$DL$156:$DL$235,"&gt;"&amp;Inputs!$K$118)</f>
        <v>0</v>
      </c>
      <c r="ET422" s="562">
        <f>_xlfn.MINIFS($DE$242:$DE$321,$DL$242:$DL$321,"&gt;"&amp;Inputs!$K$118)</f>
        <v>0.29999999999999982</v>
      </c>
      <c r="EU422" s="563">
        <f>IF(Inputs!$F$118/4&gt;MAX(Pile!$DL$70:$DL$149),999999,IF(Pile!ER422/(Pile!EP422/1000)&gt;50,999999,IF(Pile!ER422&lt;2,999999,Pile!ER422)))</f>
        <v>999999</v>
      </c>
      <c r="EV422" s="561">
        <f>IF(Inputs!ER54="Yes",999999,IF(Inputs!$F$118&gt;MAX(Pile!$DG$156:$DG$235),999999,IF(Pile!ES422/(Pile!EP422/1000)&gt;50,999999,IF(Pile!ES422&lt;2,999999,Pile!ES422))))</f>
        <v>999999</v>
      </c>
      <c r="EW422" s="561">
        <f>IF(Inputs!$F$118/4&gt;MAX(Pile!$DL$242:$DL$321),999999,IF(Pile!ET422/(Pile!EP422/1000)&gt;50,999999,IF(Pile!ET422&lt;2,999999,IF(ET422&gt;25,999999,Pile!ET422))))</f>
        <v>999999</v>
      </c>
      <c r="EX422" s="563">
        <f t="shared" si="451"/>
        <v>18095555.589103524</v>
      </c>
      <c r="EY422" s="561">
        <f t="shared" si="452"/>
        <v>18095555.589103524</v>
      </c>
      <c r="EZ422" s="562">
        <f t="shared" si="453"/>
        <v>18095555.589103524</v>
      </c>
    </row>
    <row r="424" spans="2:157">
      <c r="K424" s="437">
        <f>MIN(K399:M422)</f>
        <v>10.838328916751095</v>
      </c>
      <c r="X424" s="437">
        <f>MIN(X399:Z422)</f>
        <v>10.838328916751095</v>
      </c>
    </row>
    <row r="427" spans="2:157" ht="23.25">
      <c r="B427" s="446" t="s">
        <v>86</v>
      </c>
      <c r="O427" s="446" t="s">
        <v>876</v>
      </c>
      <c r="AB427" s="446" t="s">
        <v>158</v>
      </c>
      <c r="AO427" s="446" t="s">
        <v>877</v>
      </c>
      <c r="BB427" s="446" t="s">
        <v>878</v>
      </c>
      <c r="BO427" s="599" t="e">
        <f>Summary!#REF!</f>
        <v>#REF!</v>
      </c>
      <c r="CB427" s="446" t="s">
        <v>162</v>
      </c>
      <c r="CO427" s="446" t="s">
        <v>163</v>
      </c>
      <c r="DB427" s="446" t="s">
        <v>164</v>
      </c>
      <c r="DO427" s="446" t="s">
        <v>879</v>
      </c>
      <c r="EB427" s="446" t="s">
        <v>880</v>
      </c>
      <c r="EO427" s="446" t="s">
        <v>881</v>
      </c>
    </row>
    <row r="429" spans="2:157" ht="15">
      <c r="B429" s="600"/>
      <c r="D429" s="601"/>
      <c r="O429" s="600"/>
      <c r="Q429" s="601"/>
      <c r="AB429" s="600"/>
      <c r="AD429" s="601"/>
      <c r="AO429" s="600"/>
      <c r="AQ429" s="601"/>
      <c r="BB429" s="600"/>
      <c r="BD429" s="601"/>
      <c r="BO429" s="600"/>
      <c r="BQ429" s="601"/>
      <c r="CB429" s="600"/>
      <c r="CD429" s="601"/>
      <c r="CO429" s="600"/>
      <c r="CQ429" s="601"/>
      <c r="DB429" s="600"/>
      <c r="DD429" s="601"/>
      <c r="DO429" s="600"/>
      <c r="DQ429" s="601"/>
      <c r="EB429" s="600"/>
      <c r="ED429" s="601"/>
      <c r="EO429" s="600"/>
      <c r="EQ429" s="601"/>
    </row>
    <row r="430" spans="2:157" ht="15.75" thickBot="1">
      <c r="C430" s="602" t="s">
        <v>882</v>
      </c>
      <c r="I430" s="300"/>
      <c r="J430" s="603"/>
      <c r="K430" s="300"/>
      <c r="L430" s="300"/>
      <c r="M430" s="300"/>
      <c r="N430" s="300"/>
      <c r="P430" s="602" t="s">
        <v>882</v>
      </c>
      <c r="W430" s="602"/>
      <c r="AC430" s="602" t="s">
        <v>882</v>
      </c>
      <c r="AJ430" s="602"/>
      <c r="AP430" s="602" t="s">
        <v>882</v>
      </c>
      <c r="AW430" s="602"/>
      <c r="BC430" s="602" t="s">
        <v>882</v>
      </c>
      <c r="BJ430" s="602" t="s">
        <v>882</v>
      </c>
      <c r="BP430" s="602" t="s">
        <v>882</v>
      </c>
      <c r="BW430" s="602"/>
      <c r="CC430" s="602" t="s">
        <v>882</v>
      </c>
      <c r="CJ430" s="602" t="s">
        <v>882</v>
      </c>
      <c r="CP430" s="602" t="s">
        <v>882</v>
      </c>
      <c r="CW430" s="602" t="s">
        <v>882</v>
      </c>
      <c r="DC430" s="602" t="s">
        <v>882</v>
      </c>
      <c r="DJ430" s="602" t="s">
        <v>882</v>
      </c>
      <c r="DP430" s="602" t="s">
        <v>882</v>
      </c>
      <c r="DW430" s="602" t="s">
        <v>882</v>
      </c>
      <c r="EC430" s="602" t="s">
        <v>882</v>
      </c>
      <c r="EJ430" s="602" t="s">
        <v>882</v>
      </c>
      <c r="EP430" s="602" t="s">
        <v>882</v>
      </c>
      <c r="EW430" s="602" t="s">
        <v>882</v>
      </c>
    </row>
    <row r="431" spans="2:157" ht="15">
      <c r="B431" s="600"/>
      <c r="C431" s="604" t="s">
        <v>821</v>
      </c>
      <c r="D431" s="605" t="s">
        <v>847</v>
      </c>
      <c r="E431" s="606" t="s">
        <v>883</v>
      </c>
      <c r="F431" s="606" t="s">
        <v>884</v>
      </c>
      <c r="G431" s="607" t="s">
        <v>885</v>
      </c>
      <c r="I431" s="583"/>
      <c r="J431" s="300"/>
      <c r="K431" s="608"/>
      <c r="L431" s="300"/>
      <c r="M431" s="300"/>
      <c r="N431" s="300"/>
      <c r="O431" s="600"/>
      <c r="P431" s="604" t="s">
        <v>821</v>
      </c>
      <c r="Q431" s="605" t="s">
        <v>847</v>
      </c>
      <c r="R431" s="606" t="s">
        <v>883</v>
      </c>
      <c r="S431" s="606" t="s">
        <v>884</v>
      </c>
      <c r="T431" s="607" t="s">
        <v>885</v>
      </c>
      <c r="V431" s="600"/>
      <c r="X431" s="608"/>
      <c r="AB431" s="600"/>
      <c r="AC431" s="604" t="s">
        <v>821</v>
      </c>
      <c r="AD431" s="605" t="s">
        <v>847</v>
      </c>
      <c r="AE431" s="606" t="s">
        <v>883</v>
      </c>
      <c r="AF431" s="606" t="s">
        <v>884</v>
      </c>
      <c r="AG431" s="607" t="s">
        <v>885</v>
      </c>
      <c r="AI431" s="600"/>
      <c r="AK431" s="608"/>
      <c r="AO431" s="600"/>
      <c r="AP431" s="604" t="s">
        <v>821</v>
      </c>
      <c r="AQ431" s="605" t="s">
        <v>847</v>
      </c>
      <c r="AR431" s="606" t="s">
        <v>883</v>
      </c>
      <c r="AS431" s="606" t="s">
        <v>884</v>
      </c>
      <c r="AT431" s="607" t="s">
        <v>885</v>
      </c>
      <c r="AV431" s="600"/>
      <c r="AX431" s="608"/>
      <c r="BB431" s="600"/>
      <c r="BC431" s="604" t="s">
        <v>821</v>
      </c>
      <c r="BD431" s="605" t="s">
        <v>847</v>
      </c>
      <c r="BE431" s="606" t="s">
        <v>883</v>
      </c>
      <c r="BF431" s="606" t="s">
        <v>884</v>
      </c>
      <c r="BG431" s="607" t="s">
        <v>885</v>
      </c>
      <c r="BI431" s="600"/>
      <c r="BJ431" s="604" t="s">
        <v>821</v>
      </c>
      <c r="BK431" s="605" t="s">
        <v>847</v>
      </c>
      <c r="BL431" s="606" t="s">
        <v>883</v>
      </c>
      <c r="BM431" s="606" t="s">
        <v>884</v>
      </c>
      <c r="BN431" s="607" t="s">
        <v>885</v>
      </c>
      <c r="BO431" s="600"/>
      <c r="BP431" s="604" t="s">
        <v>821</v>
      </c>
      <c r="BQ431" s="605" t="s">
        <v>847</v>
      </c>
      <c r="BR431" s="606" t="s">
        <v>883</v>
      </c>
      <c r="BS431" s="606" t="s">
        <v>884</v>
      </c>
      <c r="BT431" s="607" t="s">
        <v>885</v>
      </c>
      <c r="BV431" s="600"/>
      <c r="BW431" s="600"/>
      <c r="BX431" s="600"/>
      <c r="BY431" s="600"/>
      <c r="BZ431" s="600"/>
      <c r="CA431" s="600"/>
      <c r="CB431" s="600"/>
      <c r="CC431" s="604" t="s">
        <v>821</v>
      </c>
      <c r="CD431" s="605" t="s">
        <v>847</v>
      </c>
      <c r="CE431" s="606" t="s">
        <v>883</v>
      </c>
      <c r="CF431" s="606" t="s">
        <v>884</v>
      </c>
      <c r="CG431" s="607" t="s">
        <v>885</v>
      </c>
      <c r="CI431" s="600"/>
      <c r="CJ431" s="604" t="s">
        <v>821</v>
      </c>
      <c r="CK431" s="605" t="s">
        <v>847</v>
      </c>
      <c r="CL431" s="606" t="s">
        <v>883</v>
      </c>
      <c r="CM431" s="606" t="s">
        <v>884</v>
      </c>
      <c r="CN431" s="607" t="s">
        <v>885</v>
      </c>
      <c r="CO431" s="600"/>
      <c r="CP431" s="604" t="s">
        <v>821</v>
      </c>
      <c r="CQ431" s="605" t="s">
        <v>847</v>
      </c>
      <c r="CR431" s="606" t="s">
        <v>883</v>
      </c>
      <c r="CS431" s="606" t="s">
        <v>884</v>
      </c>
      <c r="CT431" s="607" t="s">
        <v>885</v>
      </c>
      <c r="CV431" s="600"/>
      <c r="CW431" s="604" t="s">
        <v>821</v>
      </c>
      <c r="CX431" s="605" t="s">
        <v>847</v>
      </c>
      <c r="CY431" s="606" t="s">
        <v>883</v>
      </c>
      <c r="CZ431" s="606" t="s">
        <v>884</v>
      </c>
      <c r="DA431" s="607" t="s">
        <v>885</v>
      </c>
      <c r="DB431" s="600"/>
      <c r="DC431" s="604" t="s">
        <v>821</v>
      </c>
      <c r="DD431" s="605" t="s">
        <v>847</v>
      </c>
      <c r="DE431" s="606" t="s">
        <v>883</v>
      </c>
      <c r="DF431" s="606" t="s">
        <v>884</v>
      </c>
      <c r="DG431" s="607" t="s">
        <v>885</v>
      </c>
      <c r="DI431" s="600"/>
      <c r="DJ431" s="604" t="s">
        <v>821</v>
      </c>
      <c r="DK431" s="605" t="s">
        <v>847</v>
      </c>
      <c r="DL431" s="606" t="s">
        <v>883</v>
      </c>
      <c r="DM431" s="606" t="s">
        <v>884</v>
      </c>
      <c r="DN431" s="607" t="s">
        <v>885</v>
      </c>
      <c r="DO431" s="600"/>
      <c r="DP431" s="604" t="s">
        <v>821</v>
      </c>
      <c r="DQ431" s="605" t="s">
        <v>847</v>
      </c>
      <c r="DR431" s="606" t="s">
        <v>883</v>
      </c>
      <c r="DS431" s="606" t="s">
        <v>884</v>
      </c>
      <c r="DT431" s="607" t="s">
        <v>885</v>
      </c>
      <c r="DV431" s="600"/>
      <c r="DW431" s="604" t="s">
        <v>821</v>
      </c>
      <c r="DX431" s="605" t="s">
        <v>847</v>
      </c>
      <c r="DY431" s="606" t="s">
        <v>883</v>
      </c>
      <c r="DZ431" s="606" t="s">
        <v>884</v>
      </c>
      <c r="EA431" s="607" t="s">
        <v>885</v>
      </c>
      <c r="EB431" s="600"/>
      <c r="EC431" s="604" t="s">
        <v>821</v>
      </c>
      <c r="ED431" s="605" t="s">
        <v>847</v>
      </c>
      <c r="EE431" s="606" t="s">
        <v>883</v>
      </c>
      <c r="EF431" s="606" t="s">
        <v>884</v>
      </c>
      <c r="EG431" s="607" t="s">
        <v>885</v>
      </c>
      <c r="EI431" s="600"/>
      <c r="EJ431" s="604" t="s">
        <v>821</v>
      </c>
      <c r="EK431" s="605" t="s">
        <v>847</v>
      </c>
      <c r="EL431" s="606" t="s">
        <v>883</v>
      </c>
      <c r="EM431" s="606" t="s">
        <v>884</v>
      </c>
      <c r="EN431" s="607" t="s">
        <v>885</v>
      </c>
      <c r="EO431" s="600"/>
      <c r="EP431" s="604" t="s">
        <v>821</v>
      </c>
      <c r="EQ431" s="605" t="s">
        <v>847</v>
      </c>
      <c r="ER431" s="606" t="s">
        <v>883</v>
      </c>
      <c r="ES431" s="606" t="s">
        <v>884</v>
      </c>
      <c r="ET431" s="607" t="s">
        <v>885</v>
      </c>
      <c r="EV431" s="600"/>
      <c r="EW431" s="604" t="s">
        <v>821</v>
      </c>
      <c r="EX431" s="605" t="s">
        <v>847</v>
      </c>
      <c r="EY431" s="606" t="s">
        <v>883</v>
      </c>
      <c r="EZ431" s="606" t="s">
        <v>884</v>
      </c>
      <c r="FA431" s="607" t="s">
        <v>885</v>
      </c>
    </row>
    <row r="432" spans="2:157" ht="15" thickBot="1">
      <c r="B432" s="609" t="s">
        <v>886</v>
      </c>
      <c r="C432" s="610"/>
      <c r="G432" s="611"/>
      <c r="I432" s="300"/>
      <c r="J432" s="300"/>
      <c r="K432" s="300"/>
      <c r="L432" s="300"/>
      <c r="M432" s="300"/>
      <c r="N432" s="300"/>
      <c r="O432" s="609" t="s">
        <v>886</v>
      </c>
      <c r="P432" s="610"/>
      <c r="T432" s="611"/>
      <c r="V432" s="609"/>
      <c r="W432" s="300"/>
      <c r="AB432" s="609" t="s">
        <v>886</v>
      </c>
      <c r="AC432" s="610"/>
      <c r="AG432" s="611"/>
      <c r="AI432" s="609"/>
      <c r="AJ432" s="300"/>
      <c r="AO432" s="609" t="s">
        <v>886</v>
      </c>
      <c r="AP432" s="610"/>
      <c r="AT432" s="611"/>
      <c r="AV432" s="609"/>
      <c r="AW432" s="300"/>
      <c r="BB432" s="609" t="s">
        <v>886</v>
      </c>
      <c r="BC432" s="610"/>
      <c r="BG432" s="611"/>
      <c r="BI432" s="609" t="s">
        <v>886</v>
      </c>
      <c r="BJ432" s="299">
        <f>BC433</f>
        <v>450</v>
      </c>
      <c r="BN432" s="611"/>
      <c r="BO432" s="609" t="s">
        <v>886</v>
      </c>
      <c r="BP432" s="610"/>
      <c r="BT432" s="611"/>
      <c r="BV432" s="609"/>
      <c r="BW432" s="609"/>
      <c r="BX432" s="609"/>
      <c r="BY432" s="609"/>
      <c r="BZ432" s="609"/>
      <c r="CA432" s="609"/>
      <c r="CB432" s="609" t="s">
        <v>886</v>
      </c>
      <c r="CC432" s="610"/>
      <c r="CG432" s="611"/>
      <c r="CI432" s="609" t="s">
        <v>886</v>
      </c>
      <c r="CJ432" s="299">
        <f>CC433</f>
        <v>450</v>
      </c>
      <c r="CN432" s="611"/>
      <c r="CO432" s="609" t="s">
        <v>886</v>
      </c>
      <c r="CP432" s="610"/>
      <c r="CT432" s="611"/>
      <c r="CV432" s="609" t="s">
        <v>886</v>
      </c>
      <c r="CW432" s="299">
        <f>MAX(CP433:CP435)</f>
        <v>600</v>
      </c>
      <c r="DA432" s="611"/>
      <c r="DB432" s="609" t="s">
        <v>886</v>
      </c>
      <c r="DC432" s="610"/>
      <c r="DG432" s="611"/>
      <c r="DI432" s="609" t="s">
        <v>886</v>
      </c>
      <c r="DJ432" s="299">
        <f>DC433</f>
        <v>450</v>
      </c>
      <c r="DN432" s="611"/>
      <c r="DO432" s="609" t="s">
        <v>886</v>
      </c>
      <c r="DP432" s="610"/>
      <c r="DT432" s="611"/>
      <c r="DV432" s="609" t="s">
        <v>886</v>
      </c>
      <c r="DW432" s="299">
        <f>DP433</f>
        <v>450</v>
      </c>
      <c r="EA432" s="611"/>
      <c r="EB432" s="609" t="s">
        <v>886</v>
      </c>
      <c r="EC432" s="610"/>
      <c r="EG432" s="611"/>
      <c r="EI432" s="609" t="s">
        <v>886</v>
      </c>
      <c r="EJ432" s="299">
        <f>EC433</f>
        <v>450</v>
      </c>
      <c r="EN432" s="611"/>
      <c r="EO432" s="609" t="s">
        <v>886</v>
      </c>
      <c r="EP432" s="610"/>
      <c r="ET432" s="611"/>
      <c r="EV432" s="609" t="s">
        <v>886</v>
      </c>
      <c r="EW432" s="299">
        <f>MAX(EP433:EP435)</f>
        <v>450</v>
      </c>
      <c r="FA432" s="611"/>
    </row>
    <row r="433" spans="2:158" ht="15">
      <c r="B433" s="609" t="s">
        <v>183</v>
      </c>
      <c r="C433" s="612">
        <f>INDEX(C336:C359,MATCH(G433,M336:M359,0))</f>
        <v>450</v>
      </c>
      <c r="D433" s="613">
        <f>INDEX(J336:J359,MATCH(G433,M336:M359,0))</f>
        <v>14.999999999999996</v>
      </c>
      <c r="E433" s="614">
        <f>INDEX(B336:B359,MATCH(G433,M336:M359,0))</f>
        <v>1</v>
      </c>
      <c r="F433" s="615">
        <f>INDEX(D336:D359,MATCH(G433,M336:M359,0))</f>
        <v>63</v>
      </c>
      <c r="G433" s="616">
        <f>IF(MIN(Pile!M$336:M$359)&gt;0,MIN(Pile!M$336:M$359), 999999)</f>
        <v>185.73325604314417</v>
      </c>
      <c r="H433" s="617"/>
      <c r="I433" s="300"/>
      <c r="J433" s="618"/>
      <c r="K433" s="618"/>
      <c r="L433" s="618"/>
      <c r="M433" s="618"/>
      <c r="N433" s="618"/>
      <c r="O433" s="609"/>
      <c r="P433" s="612">
        <f>INDEX(P336:P359,MATCH(T433,Z336:Z359,0))</f>
        <v>450</v>
      </c>
      <c r="Q433" s="613">
        <f>INDEX(W336:W359,MATCH(T433,Z336:Z359,0))</f>
        <v>14.999999999999996</v>
      </c>
      <c r="R433" s="614">
        <f>INDEX(O336:O359,MATCH(T433,Z336:Z359,0))</f>
        <v>1</v>
      </c>
      <c r="S433" s="615">
        <f>INDEX(Q336:Q359,MATCH(T433,Z336:Z359,0))</f>
        <v>63</v>
      </c>
      <c r="T433" s="616">
        <f>IF(MIN(Pile!Z$336:Z$359)&gt;0,MIN(Pile!Z$336:Z$359), 999999)</f>
        <v>185.73325604314417</v>
      </c>
      <c r="U433" s="617"/>
      <c r="V433" s="609"/>
      <c r="W433" s="618"/>
      <c r="X433" s="618"/>
      <c r="Y433" s="618"/>
      <c r="Z433" s="618"/>
      <c r="AA433" s="618"/>
      <c r="AB433" s="609"/>
      <c r="AC433" s="612">
        <f>INDEX(AC336:AC359,MATCH(AG433,AM336:AM359,0))</f>
        <v>450</v>
      </c>
      <c r="AD433" s="613">
        <f>INDEX(AJ336:AJ359,MATCH(AG433,AM336:AM359,0))</f>
        <v>13.499999999999996</v>
      </c>
      <c r="AE433" s="614">
        <f>INDEX(AB336:AB359,MATCH(AG433,AM336:AM359,0))</f>
        <v>1</v>
      </c>
      <c r="AF433" s="615">
        <f>INDEX(AD336:AD359,MATCH(AG433,AM336:AM359,0))</f>
        <v>63</v>
      </c>
      <c r="AG433" s="616">
        <f>IF(MIN(Pile!AM$336:AM$359)&gt;0,MIN(Pile!AM$336:AM$359), 999999)</f>
        <v>170.70368043882976</v>
      </c>
      <c r="AH433" s="617">
        <f>AG433-(INDEX(AN336:AN359,MATCH(AG433,AM336:AM359,0)))</f>
        <v>135.26618043882976</v>
      </c>
      <c r="AI433" s="609"/>
      <c r="AJ433" s="618"/>
      <c r="AK433" s="618"/>
      <c r="AL433" s="618"/>
      <c r="AM433" s="618"/>
      <c r="AN433" s="618"/>
      <c r="AO433" s="609"/>
      <c r="AP433" s="612">
        <f>INDEX(AP336:AP359,MATCH(AT433,AZ336:AZ359,0))</f>
        <v>450</v>
      </c>
      <c r="AQ433" s="613">
        <f>INDEX(AW336:AW359,MATCH(AT433,AZ336:AZ359,0))</f>
        <v>13.499999999999996</v>
      </c>
      <c r="AR433" s="614">
        <f>INDEX(AO336:AO359,MATCH(AT433,AZ336:AZ359,0))</f>
        <v>1</v>
      </c>
      <c r="AS433" s="615">
        <f>INDEX(AQ336:AQ359,MATCH(AT433,AZ336:AZ359,0))</f>
        <v>63</v>
      </c>
      <c r="AT433" s="616">
        <f>IF(MIN(Pile!AZ$336:AZ$359)&gt;0,MIN(Pile!AZ$336:AZ$359), 999999)</f>
        <v>170.70368043882976</v>
      </c>
      <c r="AU433" s="617"/>
      <c r="AV433" s="609"/>
      <c r="AW433" s="619"/>
      <c r="AX433" s="619"/>
      <c r="AY433" s="619"/>
      <c r="AZ433" s="619"/>
      <c r="BA433" s="608"/>
      <c r="BB433" s="609"/>
      <c r="BC433" s="612">
        <f>INDEX(BC336:BC359,MATCH(BG433,BM336:BM359,0))</f>
        <v>450</v>
      </c>
      <c r="BD433" s="613">
        <f>INDEX(BJ336:BJ359,MATCH(BG433,BM336:BM359,0))</f>
        <v>14.999999999999996</v>
      </c>
      <c r="BE433" s="614">
        <f>INDEX(BB336:BB359,MATCH(BG433,BM336:BM359,0))</f>
        <v>1</v>
      </c>
      <c r="BF433" s="615">
        <f>INDEX(BD336:BD359,MATCH(BG433,BM336:BM359,0))</f>
        <v>63</v>
      </c>
      <c r="BG433" s="616">
        <f>IF(MIN(Pile!BM$336:BM$359)&gt;0,MIN(Pile!BM$336:BM$359), 999999)</f>
        <v>185.73325604314417</v>
      </c>
      <c r="BH433" s="617">
        <f>BG433-(INDEX(BN336:BN359,MATCH(BG433,BM336:BM359,0)))</f>
        <v>150.29575604314417</v>
      </c>
      <c r="BI433" s="609" t="s">
        <v>183</v>
      </c>
      <c r="BJ433" s="620">
        <f>INDEX(BC336:BC359,MATCH(BG433,BM336:BM359,0))</f>
        <v>450</v>
      </c>
      <c r="BK433" s="621">
        <f>INDEX(BJ336:BJ359,MATCH(BG433,BM336:BM359,0))</f>
        <v>14.999999999999996</v>
      </c>
      <c r="BL433" s="621">
        <f>INDEX(BB336:BB359,MATCH(BG433,BM336:BM359,0))</f>
        <v>1</v>
      </c>
      <c r="BM433" s="621">
        <f>INDEX(BD336:BD359,MATCH(BG433,BM336:BM359,0))</f>
        <v>63</v>
      </c>
      <c r="BN433" s="622">
        <f>BH433</f>
        <v>150.29575604314417</v>
      </c>
      <c r="BO433" s="609"/>
      <c r="BP433" s="612">
        <f>INDEX(BP336:BP359,MATCH(BT433,BZ336:BZ359,0))</f>
        <v>450</v>
      </c>
      <c r="BQ433" s="613">
        <f>INDEX(BW336:BW359,MATCH(BT433,BZ336:BZ359,0))</f>
        <v>14.999999999999996</v>
      </c>
      <c r="BR433" s="614">
        <f>INDEX(BO336:BO359,MATCH(BT433,BZ336:BZ359,0))</f>
        <v>1</v>
      </c>
      <c r="BS433" s="615">
        <f>INDEX(BQ336:BQ359,MATCH(BT433,BZ336:BZ359,0))</f>
        <v>63</v>
      </c>
      <c r="BT433" s="616">
        <f>IF(MIN(Pile!BZ$336:BZ$359)&gt;0,MIN(Pile!BZ$336:BZ$359), 999999)</f>
        <v>185.73325604314417</v>
      </c>
      <c r="BU433" s="617">
        <f>BT433-(INDEX(CA336:CA359,MATCH(BT433,BZ336:BZ359,0)))</f>
        <v>150.29575604314417</v>
      </c>
      <c r="BV433" s="609"/>
      <c r="BW433" s="609"/>
      <c r="BX433" s="609"/>
      <c r="BY433" s="609"/>
      <c r="BZ433" s="609"/>
      <c r="CA433" s="609"/>
      <c r="CB433" s="609"/>
      <c r="CC433" s="612">
        <f>INDEX(CC336:CC359,MATCH(CG433,CM336:CM359,0))</f>
        <v>450</v>
      </c>
      <c r="CD433" s="613">
        <f>INDEX(CJ336:CJ359,MATCH(CG433,CM336:CM359,0))</f>
        <v>13.499999999999996</v>
      </c>
      <c r="CE433" s="614">
        <f>INDEX(CB336:CB359,MATCH(CG433,CM336:CM359,0))</f>
        <v>1</v>
      </c>
      <c r="CF433" s="615">
        <f>INDEX(CD336:CD359,MATCH(CG433,CM336:CM359,0))</f>
        <v>63</v>
      </c>
      <c r="CG433" s="616">
        <f>IF(MIN(Pile!CM$336:CM$359)&gt;0,MIN(Pile!CM$336:CM$359), 999999)</f>
        <v>170.70368043882976</v>
      </c>
      <c r="CH433" s="617">
        <f>CG433-(INDEX(CN336:CN359,MATCH(CG433,CM336:CM359,0)))</f>
        <v>135.26618043882976</v>
      </c>
      <c r="CI433" s="609" t="s">
        <v>183</v>
      </c>
      <c r="CJ433" s="623">
        <f>INDEX(CC336:CC359,MATCH(CG433,CM336:CM359,0))</f>
        <v>450</v>
      </c>
      <c r="CK433" s="624">
        <f>INDEX(CJ336:CJ359,MATCH(CG433,CM336:CM359,0))</f>
        <v>13.499999999999996</v>
      </c>
      <c r="CL433" s="624">
        <f>INDEX(CB336:CB359,MATCH(CG433,CM336:CM359,0))</f>
        <v>1</v>
      </c>
      <c r="CM433" s="624">
        <f>INDEX(CD336:CD359,MATCH(CG433,CM336:CM359,0))</f>
        <v>63</v>
      </c>
      <c r="CN433" s="625">
        <f>CH433</f>
        <v>135.26618043882976</v>
      </c>
      <c r="CO433" s="609"/>
      <c r="CP433" s="612">
        <f>INDEX(CP336:CP359,MATCH(CT433,CZ336:CZ359,0))</f>
        <v>450</v>
      </c>
      <c r="CQ433" s="613">
        <f>INDEX(CW336:CW359,MATCH(CT433,CZ336:CZ359,0))</f>
        <v>13.499999999999996</v>
      </c>
      <c r="CR433" s="614">
        <f>INDEX(CO336:CO359,MATCH(CT433,CZ336:CZ359,0))</f>
        <v>1</v>
      </c>
      <c r="CS433" s="615">
        <f>INDEX(CQ336:CQ359,MATCH(CT433,CZ336:CZ359,0))</f>
        <v>63</v>
      </c>
      <c r="CT433" s="616">
        <f>IF(MIN(Pile!CZ$336:CZ$359)&gt;0,MIN(Pile!CZ$336:CZ$359), 999999)</f>
        <v>170.70368043882976</v>
      </c>
      <c r="CU433" s="617">
        <f>CT433-(INDEX(DA336:DA359,MATCH(CT433,CZ336:CZ359,0)))</f>
        <v>135.26618043882976</v>
      </c>
      <c r="CV433" s="609" t="s">
        <v>183</v>
      </c>
      <c r="CW433" s="623">
        <f>INDEX(CP336:CP359,MATCH(CT433,CZ336:CZ359,0))</f>
        <v>450</v>
      </c>
      <c r="CX433" s="624">
        <f>INDEX(CW336:CW359,MATCH(CT433,CZ336:CZ359,0))</f>
        <v>13.499999999999996</v>
      </c>
      <c r="CY433" s="624">
        <f>INDEX(CO336:CO359,MATCH(CT433,CZ336:CZ359,0))</f>
        <v>1</v>
      </c>
      <c r="CZ433" s="624">
        <f>INDEX(CQ336:CQ359,MATCH(CT433,CZ336:CZ359,0))</f>
        <v>63</v>
      </c>
      <c r="DA433" s="625">
        <f>CU433</f>
        <v>135.26618043882976</v>
      </c>
      <c r="DB433" s="609"/>
      <c r="DC433" s="612">
        <f>INDEX(DC336:DC359,MATCH(DG433,DM336:DM359,0))</f>
        <v>450</v>
      </c>
      <c r="DD433" s="613">
        <f>INDEX(DJ336:DJ359,MATCH(DG433,DM336:DM359,0))</f>
        <v>13.499999999999996</v>
      </c>
      <c r="DE433" s="614">
        <f>INDEX(DB336:DB359,MATCH(DG433,DM336:DM359,0))</f>
        <v>1</v>
      </c>
      <c r="DF433" s="615">
        <f>INDEX(DD336:DD359,MATCH(DG433,DM336:DM359,0))</f>
        <v>63</v>
      </c>
      <c r="DG433" s="616">
        <f>IF(MIN(Pile!DM$336:DM$359)&gt;0,MIN(Pile!DM$336:DM$359), 999999)</f>
        <v>170.70368043882976</v>
      </c>
      <c r="DH433" s="617">
        <f>DG433-(INDEX(DN336:DN359,MATCH(DG433,DM336:DM359,0)))</f>
        <v>135.26618043882976</v>
      </c>
      <c r="DI433" s="609" t="s">
        <v>183</v>
      </c>
      <c r="DJ433" s="623">
        <f>INDEX(DC336:DC359,MATCH(DG433,DM336:DM359,0))</f>
        <v>450</v>
      </c>
      <c r="DK433" s="624">
        <f>INDEX(DJ336:DJ359,MATCH(DG433,DM336:DM359,0))</f>
        <v>13.499999999999996</v>
      </c>
      <c r="DL433" s="624">
        <f>INDEX(DB336:DB359,MATCH(DG433,DM336:DM359,0))</f>
        <v>1</v>
      </c>
      <c r="DM433" s="624">
        <f>INDEX(DD336:DD359,MATCH(DG433,DM336:DM359,0))</f>
        <v>63</v>
      </c>
      <c r="DN433" s="625">
        <f>DH433</f>
        <v>135.26618043882976</v>
      </c>
      <c r="DO433" s="609"/>
      <c r="DP433" s="612">
        <f>INDEX(DP336:DP359,MATCH(DT433,DZ336:DZ359,0))</f>
        <v>450</v>
      </c>
      <c r="DQ433" s="613">
        <f>INDEX(DW336:DW359,MATCH(DT433,DZ336:DZ359,0))</f>
        <v>13.499999999999996</v>
      </c>
      <c r="DR433" s="614">
        <f>INDEX(DO336:DO359,MATCH(DT433,DZ336:DZ359,0))</f>
        <v>1</v>
      </c>
      <c r="DS433" s="615">
        <f>INDEX(DQ336:DQ359,MATCH(DT433,DZ336:DZ359,0))</f>
        <v>63</v>
      </c>
      <c r="DT433" s="616">
        <f>IF(MIN(Pile!DZ$336:DZ$359)&gt;0,MIN(Pile!DZ$336:DZ$359), 999999)</f>
        <v>170.70368043882976</v>
      </c>
      <c r="DU433" s="617">
        <f>DT433-(INDEX(EA336:EA359,MATCH(DT433,DZ336:DZ359,0)))</f>
        <v>135.26618043882976</v>
      </c>
      <c r="DV433" s="609" t="s">
        <v>183</v>
      </c>
      <c r="DW433" s="623">
        <f>INDEX(DP336:DP359,MATCH(DT433,DZ336:DZ359,0))</f>
        <v>450</v>
      </c>
      <c r="DX433" s="624">
        <f>INDEX(DW336:DW359,MATCH(DT433,DZ336:DZ359,0))</f>
        <v>13.499999999999996</v>
      </c>
      <c r="DY433" s="624">
        <f>INDEX(DO336:DO359,MATCH(DT433,DZ336:DZ359,0))</f>
        <v>1</v>
      </c>
      <c r="DZ433" s="624">
        <f>INDEX(DQ336:DQ359,MATCH(DT433,DZ336:DZ359,0))</f>
        <v>63</v>
      </c>
      <c r="EA433" s="625">
        <f>DU433</f>
        <v>135.26618043882976</v>
      </c>
      <c r="EB433" s="609"/>
      <c r="EC433" s="612">
        <f>INDEX(EC336:EC359,MATCH(EG433,EM336:EM359,0))</f>
        <v>450</v>
      </c>
      <c r="ED433" s="613">
        <f>INDEX(EJ336:EJ359,MATCH(EG433,EM336:EM359,0))</f>
        <v>13.499999999999996</v>
      </c>
      <c r="EE433" s="614">
        <f>INDEX(EB336:EB359,MATCH(EG433,EM336:EM359,0))</f>
        <v>1</v>
      </c>
      <c r="EF433" s="615">
        <f>INDEX(ED336:ED359,MATCH(EG433,EM336:EM359,0))</f>
        <v>63</v>
      </c>
      <c r="EG433" s="616">
        <f>IF(MIN(Pile!EM$336:EM$359)&gt;0,MIN(Pile!EM$336:EM$359), 999999)</f>
        <v>170.70368043882976</v>
      </c>
      <c r="EH433" s="617">
        <f>EG433-(INDEX(EN336:EN359,MATCH(EG433,EM336:EM359,0)))</f>
        <v>135.26618043882976</v>
      </c>
      <c r="EI433" s="609" t="s">
        <v>183</v>
      </c>
      <c r="EJ433" s="623">
        <f>INDEX(EC336:EC359,MATCH(EG433,EM336:EM359,0))</f>
        <v>450</v>
      </c>
      <c r="EK433" s="624">
        <f>INDEX(EJ336:EJ359,MATCH(EG433,EM336:EM359,0))</f>
        <v>13.499999999999996</v>
      </c>
      <c r="EL433" s="624">
        <f>INDEX(EB336:EB359,MATCH(EG433,EM336:EM359,0))</f>
        <v>1</v>
      </c>
      <c r="EM433" s="624">
        <f>INDEX(ED336:ED359,MATCH(EG433,EM336:EM359,0))</f>
        <v>63</v>
      </c>
      <c r="EN433" s="625">
        <f>EH433</f>
        <v>135.26618043882976</v>
      </c>
      <c r="EO433" s="609"/>
      <c r="EP433" s="612">
        <f t="array" ref="EP433">IFERROR((INDEX(Pile!EP$336:EP$359,_xlfn.AGGREGATE(15,3,((Pile!EZ$336:EZ$359=ET433)/(Pile!EZ$336:EZ$359=ET433)*ROW(Pile!EZ$336:EZ$359))-ROW(Pile!EP$335),ROWS(EO433)))),999999)</f>
        <v>450</v>
      </c>
      <c r="EQ433" s="613">
        <f>IF(ISNUMBER(ET433/(ES433*PI()*(EP433/2000)^2)),ET433/(ES433*PI()*(EP433/2000)^2),999999)</f>
        <v>999998.99999999988</v>
      </c>
      <c r="ER433" s="614">
        <f t="array" ref="ER433">IFERROR((INDEX(Pile!EO$336:EO$359,_xlfn.AGGREGATE(15,3,((Pile!EZ$336:EZ$359=ET433)/(Pile!EZ$336:EZ$359=ET433)*ROW(Pile!EZ$336:EZ$359))-ROW(Pile!EP$335),ROWS(EO433)))),999999)</f>
        <v>1</v>
      </c>
      <c r="ES433" s="615">
        <f t="array" ref="ES433">IFERROR((INDEX(Pile!EQ$336:EQ$359,_xlfn.AGGREGATE(15,3,((Pile!EZ$336:EZ$359=ET433)/(Pile!EZ$336:EZ$359=ET433)*ROW(Pile!EZ$336:EZ$359))-ROW(Pile!EP$335),ROWS(EO433)))),999999)</f>
        <v>63</v>
      </c>
      <c r="ET433" s="626">
        <f>IF(MIN(Pile!EZ$336:EZ$359)&gt;0,MIN(Pile!EZ$336:EZ$359), 999999)</f>
        <v>10019707.049825877</v>
      </c>
      <c r="EU433" s="627"/>
      <c r="EV433" s="609" t="s">
        <v>183</v>
      </c>
      <c r="EW433" s="620">
        <f>INDEX(EP336:EP359,MATCH(FA433,EZ336:EZ359,0))</f>
        <v>450</v>
      </c>
      <c r="EX433" s="621">
        <f>INDEX(EW336:EW359,MATCH(FA433,EZ336:EZ359,0))</f>
        <v>999999</v>
      </c>
      <c r="EY433" s="621">
        <f>INDEX(EO336:EO359,MATCH(FA433,EZ336:EZ359,0))</f>
        <v>1</v>
      </c>
      <c r="EZ433" s="621">
        <f>INDEX(EQ336:EQ359,MATCH(FA433,EZ336:EZ359,0))</f>
        <v>63</v>
      </c>
      <c r="FA433" s="622">
        <f>MIN((VLOOKUP(EW432,EP342:EZ347,11)),(VLOOKUP(EW432,EP336:EZ341,11)),(VLOOKUP(EW432,EP348:EZ353,11)),(VLOOKUP(EW432,EP354:EZ359,11)))</f>
        <v>10019707.049825877</v>
      </c>
    </row>
    <row r="434" spans="2:158">
      <c r="B434" s="609"/>
      <c r="C434" s="628">
        <f>INDEX(C368:C391,MATCH(G434,M368:M391,0))</f>
        <v>450</v>
      </c>
      <c r="D434" s="613">
        <f>INDEX(J368:J391,MATCH(G434,M368:M391,0))</f>
        <v>13.499999999999996</v>
      </c>
      <c r="E434" s="615">
        <f>INDEX(B368:B391,MATCH(G434,M368:M391,0))</f>
        <v>1</v>
      </c>
      <c r="F434" s="615">
        <f>INDEX(D368:D391,MATCH(G434,M368:M391,0))</f>
        <v>32</v>
      </c>
      <c r="G434" s="629">
        <f>IF(MIN(Pile!M$368:M$391)&gt;0,MIN(Pile!M$368:M$391), 999999)</f>
        <v>86.706631334008762</v>
      </c>
      <c r="H434" s="630"/>
      <c r="I434" s="300"/>
      <c r="J434" s="631"/>
      <c r="K434" s="618"/>
      <c r="L434" s="631"/>
      <c r="M434" s="631"/>
      <c r="N434" s="631"/>
      <c r="O434" s="609"/>
      <c r="P434" s="628">
        <f>INDEX(P368:P391,MATCH(T434,Z368:Z391,0))</f>
        <v>450</v>
      </c>
      <c r="Q434" s="613">
        <f>INDEX(W368:W391,MATCH(T434,Z368:Z391,0))</f>
        <v>13.499999999999996</v>
      </c>
      <c r="R434" s="615">
        <f>INDEX(O368:O391,MATCH(T434,Z368:Z391,0))</f>
        <v>1</v>
      </c>
      <c r="S434" s="615">
        <f>INDEX(Q368:Q391,MATCH(T434,Z368:Z391,0))</f>
        <v>32</v>
      </c>
      <c r="T434" s="629">
        <f>IF(MIN(Pile!Z$368:Z$391)&gt;0,MIN(Pile!Z$368:Z$391), 999999)</f>
        <v>86.706631334008762</v>
      </c>
      <c r="U434" s="630"/>
      <c r="V434" s="609"/>
      <c r="W434" s="631"/>
      <c r="X434" s="618"/>
      <c r="Y434" s="631"/>
      <c r="Z434" s="631"/>
      <c r="AA434" s="631"/>
      <c r="AB434" s="609"/>
      <c r="AC434" s="628">
        <f>INDEX(AC368:AC391,MATCH(AG434,AM368:AM391,0))</f>
        <v>450</v>
      </c>
      <c r="AD434" s="613">
        <f>INDEX(AJ368:AJ391,MATCH(AG434,AM368:AM391,0))</f>
        <v>13.499999999999996</v>
      </c>
      <c r="AE434" s="615">
        <f>INDEX(AB368:AB391,MATCH(AG434,AM368:AM391,0))</f>
        <v>1</v>
      </c>
      <c r="AF434" s="615">
        <f>INDEX(AD368:AD391,MATCH(AG434,AM368:AM391,0))</f>
        <v>32</v>
      </c>
      <c r="AG434" s="629">
        <f>IF(MIN(Pile!AM$368:AM$391)&gt;0,MIN(Pile!AM$368:AM$391), 999999)</f>
        <v>86.706631334008762</v>
      </c>
      <c r="AH434" s="630"/>
      <c r="AI434" s="609"/>
      <c r="AJ434" s="631"/>
      <c r="AK434" s="618"/>
      <c r="AL434" s="631"/>
      <c r="AM434" s="631"/>
      <c r="AN434" s="631"/>
      <c r="AO434" s="609"/>
      <c r="AP434" s="628">
        <f>INDEX(AP368:AP391,MATCH(AT434,AZ368:AZ391,0))</f>
        <v>450</v>
      </c>
      <c r="AQ434" s="613">
        <f>INDEX(AW368:AW391,MATCH(AT434,AZ368:AZ391,0))</f>
        <v>13.499999999999996</v>
      </c>
      <c r="AR434" s="615">
        <f>INDEX(AO368:AO391,MATCH(AT434,AZ368:AZ391,0))</f>
        <v>1</v>
      </c>
      <c r="AS434" s="615">
        <f>INDEX(AQ368:AQ391,MATCH(AT434,AZ368:AZ391,0))</f>
        <v>32</v>
      </c>
      <c r="AT434" s="629">
        <f>IF(MIN(Pile!AZ$368:AZ$391)&gt;0,MIN(Pile!AZ$368:AZ$391), 999999)</f>
        <v>86.706631334008762</v>
      </c>
      <c r="AU434" s="630"/>
      <c r="AV434" s="609"/>
      <c r="AW434" s="300"/>
      <c r="AX434" s="608"/>
      <c r="AY434" s="300"/>
      <c r="AZ434" s="300"/>
      <c r="BA434" s="632"/>
      <c r="BB434" s="609"/>
      <c r="BC434" s="628">
        <f>INDEX(BC368:BC391,MATCH(BG434,BM368:BM391,0))</f>
        <v>450</v>
      </c>
      <c r="BD434" s="613">
        <f>INDEX(BJ368:BJ391,MATCH(BG434,BM368:BM391,0))</f>
        <v>13.499999999999996</v>
      </c>
      <c r="BE434" s="615">
        <f>INDEX(BB368:BB391,MATCH(BG434,BM368:BM391,0))</f>
        <v>1</v>
      </c>
      <c r="BF434" s="615">
        <f>INDEX(BD368:BD391,MATCH(BG434,BM368:BM391,0))</f>
        <v>32</v>
      </c>
      <c r="BG434" s="629">
        <f>IF(MIN(Pile!BM$368:BM$391)&gt;0,MIN(Pile!BM$368:BM$391), 999999)</f>
        <v>86.706631334008762</v>
      </c>
      <c r="BH434" s="630"/>
      <c r="BI434" s="609" t="s">
        <v>887</v>
      </c>
      <c r="BJ434" s="628">
        <f>INDEX(BC368:BC391,MATCH(BN434,BM368:BM391,0))</f>
        <v>450</v>
      </c>
      <c r="BK434" s="613">
        <f>INDEX(BJ368:BJ391,MATCH(BN434,BM368:BM391,0))</f>
        <v>13.499999999999996</v>
      </c>
      <c r="BL434" s="615">
        <f>INDEX(BB368:BB391,MATCH(BN434,BM368:BM391,0))</f>
        <v>1</v>
      </c>
      <c r="BM434" s="615">
        <f>INDEX(BD368:BD391,MATCH(BN434,BM368:BM391,0))</f>
        <v>32</v>
      </c>
      <c r="BN434" s="633">
        <f>MIN((VLOOKUP(BJ432,BC374:BM379,11)),(VLOOKUP(BJ432,BC368:BM373,11)),(VLOOKUP(BJ432,BC380:BM385,11)),(VLOOKUP(BJ432,BC386:BM391,11)))</f>
        <v>86.706631334008762</v>
      </c>
      <c r="BO434" s="609"/>
      <c r="BP434" s="628">
        <f>INDEX(BP368:BP391,MATCH(BT434,BZ368:BZ391,0))</f>
        <v>450</v>
      </c>
      <c r="BQ434" s="613">
        <f>INDEX(BW368:BW391,MATCH(BT434,BZ368:BZ391,0))</f>
        <v>14.999999999999996</v>
      </c>
      <c r="BR434" s="615">
        <f>INDEX(BO368:BO391,MATCH(BT434,BZ368:BZ391,0))</f>
        <v>1</v>
      </c>
      <c r="BS434" s="615">
        <f>INDEX(BQ368:BQ391,MATCH(BT434,BZ368:BZ391,0))</f>
        <v>32</v>
      </c>
      <c r="BT434" s="629">
        <f>IF(MIN(Pile!BZ$368:BZ$391)&gt;0,MIN(Pile!BZ$368:BZ$391), 999999)</f>
        <v>94.340701482231964</v>
      </c>
      <c r="BU434" s="630"/>
      <c r="BV434" s="609"/>
      <c r="BW434" s="609"/>
      <c r="BX434" s="609"/>
      <c r="BY434" s="609"/>
      <c r="BZ434" s="609"/>
      <c r="CA434" s="609"/>
      <c r="CB434" s="609"/>
      <c r="CC434" s="628">
        <f>INDEX(CC368:CC391,MATCH(CG434,CM368:CM391,0))</f>
        <v>450</v>
      </c>
      <c r="CD434" s="613">
        <f>INDEX(CJ368:CJ391,MATCH(CG434,CM368:CM391,0))</f>
        <v>13.499999999999996</v>
      </c>
      <c r="CE434" s="615">
        <f>INDEX(CB368:CB391,MATCH(CG434,CM368:CM391,0))</f>
        <v>1</v>
      </c>
      <c r="CF434" s="615">
        <f>INDEX(CD368:CD391,MATCH(CG434,CM368:CM391,0))</f>
        <v>32</v>
      </c>
      <c r="CG434" s="629">
        <f>IF(MIN(Pile!CM$368:CM$391)&gt;0,MIN(Pile!CM$368:CM$391), 999999)</f>
        <v>86.706631334008762</v>
      </c>
      <c r="CH434" s="630"/>
      <c r="CI434" s="609" t="s">
        <v>887</v>
      </c>
      <c r="CJ434" s="634">
        <f>INDEX(CC368:CC391,MATCH(CN434,CM368:CM391,0))</f>
        <v>450</v>
      </c>
      <c r="CK434" s="635">
        <f>INDEX(CJ368:CJ391,MATCH(CN434,CM368:CM391,0))</f>
        <v>13.499999999999996</v>
      </c>
      <c r="CL434" s="636">
        <f>INDEX(CB368:CB391,MATCH(CN434,CM368:CM391,0))</f>
        <v>1</v>
      </c>
      <c r="CM434" s="636">
        <f>INDEX(CD368:CD391,MATCH(CN434,CM368:CM391,0))</f>
        <v>32</v>
      </c>
      <c r="CN434" s="637">
        <f>MIN((VLOOKUP(CJ432,CC374:CM379,11)),(VLOOKUP(CJ432,CC368:CM373,11)),(VLOOKUP(CJ432,CC380:CM385,11)),(VLOOKUP(CJ432,CC386:CM391,11)))</f>
        <v>86.706631334008762</v>
      </c>
      <c r="CO434" s="609"/>
      <c r="CP434" s="628">
        <f>INDEX(CP368:CP391,MATCH(CT434,CZ368:CZ391,0))</f>
        <v>450</v>
      </c>
      <c r="CQ434" s="613">
        <f>INDEX(CW368:CW391,MATCH(CT434,CZ368:CZ391,0))</f>
        <v>13.499999999999996</v>
      </c>
      <c r="CR434" s="615">
        <f>INDEX(CO368:CO391,MATCH(CT434,CZ368:CZ391,0))</f>
        <v>1</v>
      </c>
      <c r="CS434" s="615">
        <f>INDEX(CQ368:CQ391,MATCH(CT434,CZ368:CZ391,0))</f>
        <v>32</v>
      </c>
      <c r="CT434" s="629">
        <f>IF(MIN(Pile!CZ$368:CZ$391)&gt;0,MIN(Pile!CZ$368:CZ$391), 999999)</f>
        <v>86.706631334008762</v>
      </c>
      <c r="CU434" s="630"/>
      <c r="CV434" s="609" t="s">
        <v>887</v>
      </c>
      <c r="CW434" s="634">
        <f>INDEX(CP368:CP391,MATCH(DA434,CZ368:CZ391,0))</f>
        <v>600</v>
      </c>
      <c r="CX434" s="635">
        <f>INDEX(CW368:CW391,MATCH(DA434,CZ368:CZ391,0))</f>
        <v>13.499999999999996</v>
      </c>
      <c r="CY434" s="636">
        <f>INDEX(CO368:CO391,MATCH(DA434,CZ368:CZ391,0))</f>
        <v>1</v>
      </c>
      <c r="CZ434" s="636">
        <f>INDEX(CQ368:CQ391,MATCH(DA434,CZ368:CZ391,0))</f>
        <v>32</v>
      </c>
      <c r="DA434" s="637">
        <f>MIN((VLOOKUP(CW432,CP374:CZ379,11)),(VLOOKUP(CW432,CP368:CZ373,11)),(VLOOKUP(CW432,CP380:CZ385,11)),(VLOOKUP(CW432,CP386:CZ391,11)))</f>
        <v>158.43312237157113</v>
      </c>
      <c r="DB434" s="609"/>
      <c r="DC434" s="628">
        <f>INDEX(DC368:DC391,MATCH(DG434,DM368:DM391,0))</f>
        <v>450</v>
      </c>
      <c r="DD434" s="613">
        <f>INDEX(DJ368:DJ391,MATCH(DG434,DM368:DM391,0))</f>
        <v>13.499999999999996</v>
      </c>
      <c r="DE434" s="615">
        <f>INDEX(DB368:DB391,MATCH(DG434,DM368:DM391,0))</f>
        <v>1</v>
      </c>
      <c r="DF434" s="615">
        <f>INDEX(DD368:DD391,MATCH(DG434,DM368:DM391,0))</f>
        <v>32</v>
      </c>
      <c r="DG434" s="629">
        <f>IF(MIN(Pile!DM$368:DM$391)&gt;0,MIN(Pile!DM$368:DM$391), 999999)</f>
        <v>86.706631334008762</v>
      </c>
      <c r="DH434" s="630"/>
      <c r="DI434" s="609" t="s">
        <v>887</v>
      </c>
      <c r="DJ434" s="634">
        <f>INDEX(DC368:DC391,MATCH(DN434,DM368:DM391,0))</f>
        <v>450</v>
      </c>
      <c r="DK434" s="635">
        <f>INDEX(DJ368:DJ391,MATCH(DN434,DM368:DM391,0))</f>
        <v>13.499999999999996</v>
      </c>
      <c r="DL434" s="636">
        <f>INDEX(DB368:DB391,MATCH(DN434,DM368:DM391,0))</f>
        <v>1</v>
      </c>
      <c r="DM434" s="636">
        <f>INDEX(DD368:DD391,MATCH(DN434,DM368:DM391,0))</f>
        <v>32</v>
      </c>
      <c r="DN434" s="637">
        <f>MIN((VLOOKUP(DJ432,DC374:DM379,11)),(VLOOKUP(DJ432,DC368:DM373,11)),(VLOOKUP(DJ432,DC380:DM385,11)),(VLOOKUP(DJ432,DC386:DM391,11)))</f>
        <v>86.706631334008762</v>
      </c>
      <c r="DO434" s="609"/>
      <c r="DP434" s="628">
        <f>INDEX(DP368:DP391,MATCH(DT434,DZ368:DZ391,0))</f>
        <v>450</v>
      </c>
      <c r="DQ434" s="613">
        <f>INDEX(DW368:DW391,MATCH(DT434,DZ368:DZ391,0))</f>
        <v>13.499999999999996</v>
      </c>
      <c r="DR434" s="615">
        <f>INDEX(DO368:DO391,MATCH(DT434,DZ368:DZ391,0))</f>
        <v>1</v>
      </c>
      <c r="DS434" s="615">
        <f>INDEX(DQ368:DQ391,MATCH(DT434,DZ368:DZ391,0))</f>
        <v>32</v>
      </c>
      <c r="DT434" s="629">
        <f>IF(MIN(Pile!DZ$368:DZ$391)&gt;0,MIN(Pile!DZ$368:DZ$391), 999999)</f>
        <v>86.706631334008762</v>
      </c>
      <c r="DU434" s="630"/>
      <c r="DV434" s="609" t="s">
        <v>887</v>
      </c>
      <c r="DW434" s="634">
        <f>INDEX(DP368:DP391,MATCH(EA434,DZ368:DZ391,0))</f>
        <v>450</v>
      </c>
      <c r="DX434" s="635">
        <f>INDEX(DW368:DW391,MATCH(EA434,DZ368:DZ391,0))</f>
        <v>13.499999999999996</v>
      </c>
      <c r="DY434" s="636">
        <f>INDEX(DO368:DO391,MATCH(EA434,DZ368:DZ391,0))</f>
        <v>1</v>
      </c>
      <c r="DZ434" s="636">
        <f>INDEX(DQ368:DQ391,MATCH(EA434,DZ368:DZ391,0))</f>
        <v>32</v>
      </c>
      <c r="EA434" s="637">
        <f>MIN((VLOOKUP(DW432,DP374:DZ379,11)),(VLOOKUP(DW432,DP368:DZ373,11)),(VLOOKUP(DW432,DP380:DZ385,11)),(VLOOKUP(DW432,DP386:DZ391,11)))</f>
        <v>86.706631334008762</v>
      </c>
      <c r="EB434" s="609"/>
      <c r="EC434" s="628">
        <f>INDEX(EC368:EC391,MATCH(EG434,EM368:EM391,0))</f>
        <v>450</v>
      </c>
      <c r="ED434" s="613">
        <f>INDEX(EJ368:EJ391,MATCH(EG434,EM368:EM391,0))</f>
        <v>13.499999999999996</v>
      </c>
      <c r="EE434" s="615">
        <f>INDEX(EB368:EB391,MATCH(EG434,EM368:EM391,0))</f>
        <v>1</v>
      </c>
      <c r="EF434" s="615">
        <f>INDEX(ED368:ED391,MATCH(EG434,EM368:EM391,0))</f>
        <v>32</v>
      </c>
      <c r="EG434" s="629">
        <f>IF(MIN(Pile!EM$368:EM$391)&gt;0,MIN(Pile!EM$368:EM$391), 999999)</f>
        <v>86.706631334008762</v>
      </c>
      <c r="EH434" s="630"/>
      <c r="EI434" s="609" t="s">
        <v>887</v>
      </c>
      <c r="EJ434" s="634">
        <f>INDEX(EC368:EC391,MATCH(EN434,EM368:EM391,0))</f>
        <v>450</v>
      </c>
      <c r="EK434" s="635">
        <f>INDEX(EJ368:EJ391,MATCH(EN434,EM368:EM391,0))</f>
        <v>13.499999999999996</v>
      </c>
      <c r="EL434" s="636">
        <f>INDEX(EB368:EB391,MATCH(EN434,EM368:EM391,0))</f>
        <v>1</v>
      </c>
      <c r="EM434" s="636">
        <f>INDEX(ED368:ED391,MATCH(EN434,EM368:EM391,0))</f>
        <v>32</v>
      </c>
      <c r="EN434" s="637">
        <f>MIN((VLOOKUP(EJ432,EC374:EM379,11)),(VLOOKUP(EJ432,EC368:EM373,11)),(VLOOKUP(EJ432,EC380:EM385,11)),(VLOOKUP(EJ432,EC386:EM391,11)))</f>
        <v>86.706631334008762</v>
      </c>
      <c r="EO434" s="609"/>
      <c r="EP434" s="628">
        <f t="array" ref="EP434">IFERROR((INDEX(Pile!EP$368:EP$391,_xlfn.AGGREGATE(15,3,((Pile!EZ$368:EZ$391=ET434)/(Pile!EZ$368:EZ$391=ET434)*ROW(Pile!EZ$368:EZ$391))-ROW(Pile!EP$367),ROWS(EO434)))),999999)</f>
        <v>450</v>
      </c>
      <c r="EQ434" s="613">
        <f>IF(ISNUMBER(ET434/(ES434*PI()*(EP434/2000)^2)),ET434/(ES434*PI()*(EP434/2000)^2),999999)</f>
        <v>999999</v>
      </c>
      <c r="ER434" s="615">
        <f t="array" ref="ER434">IFERROR((INDEX(Pile!EO$368:EO$391,_xlfn.AGGREGATE(15,3,((Pile!EZ$368:EZ$391=ET434)/(Pile!EZ$368:EZ$391=ET434)*ROW(Pile!EZ$368:EZ$391))-ROW(Pile!EP$367),ROWS(EO434)))),999999)</f>
        <v>1</v>
      </c>
      <c r="ES434" s="615">
        <f t="array" ref="ES434">IFERROR((INDEX(Pile!EQ$368:EQ$391,_xlfn.AGGREGATE(15,3,((Pile!EZ$368:EZ$391=ET434)/(Pile!EZ$368:EZ$391=ET434)*ROW(Pile!EZ$368:EZ$391))-ROW(Pile!EP$367),ROWS(EO434)))),999999)</f>
        <v>32</v>
      </c>
      <c r="ET434" s="633">
        <f>IF(MIN(Pile!EZ$368:EZ$391)&gt;0,MIN(Pile!EZ$368:EZ$391), 999999)</f>
        <v>5089375.0094353668</v>
      </c>
      <c r="EU434" s="630"/>
      <c r="EV434" s="609" t="s">
        <v>887</v>
      </c>
      <c r="EW434" s="628">
        <f>INDEX(EP368:EP391,MATCH(FA434,EZ368:EZ391,0))</f>
        <v>450</v>
      </c>
      <c r="EX434" s="613">
        <f>INDEX(EW368:EW391,MATCH(FA434,EZ368:EZ391,0))</f>
        <v>999999</v>
      </c>
      <c r="EY434" s="615">
        <f>INDEX(EO368:EO391,MATCH(FA434,EZ368:EZ391,0))</f>
        <v>1</v>
      </c>
      <c r="EZ434" s="615">
        <f>INDEX(EQ368:EQ391,MATCH(FA434,EZ368:EZ391,0))</f>
        <v>32</v>
      </c>
      <c r="FA434" s="633">
        <f>MIN((VLOOKUP(EW432,EP374:EZ379,11)),(VLOOKUP(EW432,EP368:EZ373,11)),(VLOOKUP(EW432,EP380:EZ385,11)),(VLOOKUP(EW432,EP386:EZ391,11)))</f>
        <v>5089375.0094353668</v>
      </c>
    </row>
    <row r="435" spans="2:158">
      <c r="B435" s="609"/>
      <c r="C435" s="628">
        <f>INDEX(C399:C422,MATCH(G435,M399:M422,0))</f>
        <v>450</v>
      </c>
      <c r="D435" s="613">
        <f>INDEX(J399:J422,MATCH(G435,M399:M422,0))</f>
        <v>13.499999999999996</v>
      </c>
      <c r="E435" s="615">
        <f>INDEX(B399:B422,MATCH(G435,M399:M422,0))</f>
        <v>1</v>
      </c>
      <c r="F435" s="615">
        <f>INDEX(D399:D422,MATCH(G435,M399:M422,0))</f>
        <v>4</v>
      </c>
      <c r="G435" s="629">
        <f>IF(MIN(Pile!M$399:M$422)&gt;0,MIN(Pile!M$399:M$422), 999999)</f>
        <v>10.838328916751095</v>
      </c>
      <c r="H435" s="630"/>
      <c r="I435" s="300"/>
      <c r="J435" s="631"/>
      <c r="K435" s="618"/>
      <c r="L435" s="631"/>
      <c r="M435" s="631"/>
      <c r="N435" s="631"/>
      <c r="O435" s="609"/>
      <c r="P435" s="628">
        <f>INDEX(P399:P422,MATCH(T435,Z399:Z422,0))</f>
        <v>450</v>
      </c>
      <c r="Q435" s="613">
        <f>INDEX(W399:W422,MATCH(T435,Z399:Z422,0))</f>
        <v>13.499999999999996</v>
      </c>
      <c r="R435" s="615">
        <f>INDEX(O399:O422,MATCH(T435,Z399:Z422,0))</f>
        <v>1</v>
      </c>
      <c r="S435" s="615">
        <f>INDEX(Q399:Q422,MATCH(T435,Z399:Z422,0))</f>
        <v>4</v>
      </c>
      <c r="T435" s="629">
        <f>IF(MIN(Pile!Z$399:Z$422)&gt;0,MIN(Pile!Z$399:Z$422), 999999)</f>
        <v>10.838328916751095</v>
      </c>
      <c r="U435" s="630"/>
      <c r="V435" s="609"/>
      <c r="W435" s="631"/>
      <c r="X435" s="618"/>
      <c r="Y435" s="631"/>
      <c r="Z435" s="631"/>
      <c r="AA435" s="631"/>
      <c r="AB435" s="609"/>
      <c r="AC435" s="628">
        <f>INDEX(AC399:AC422,MATCH(AG435,AM399:AM422,0))</f>
        <v>450</v>
      </c>
      <c r="AD435" s="613">
        <f>INDEX(AJ399:AJ422,MATCH(AG435,AM399:AM422,0))</f>
        <v>13.499999999999996</v>
      </c>
      <c r="AE435" s="615">
        <f>INDEX(AB399:AB422,MATCH(AG435,AM399:AM422,0))</f>
        <v>1</v>
      </c>
      <c r="AF435" s="615">
        <f>INDEX(AD399:AD422,MATCH(AG435,AM399:AM422,0))</f>
        <v>4</v>
      </c>
      <c r="AG435" s="629">
        <f>IF(MIN(Pile!AM$399:AM$422)&gt;0,MIN(Pile!AM$399:AM$422), 999999)</f>
        <v>10.838328916751095</v>
      </c>
      <c r="AH435" s="630"/>
      <c r="AI435" s="609"/>
      <c r="AJ435" s="631"/>
      <c r="AK435" s="618"/>
      <c r="AL435" s="631"/>
      <c r="AM435" s="631"/>
      <c r="AN435" s="631"/>
      <c r="AO435" s="609"/>
      <c r="AP435" s="628">
        <f>INDEX(AP399:AP422,MATCH(AT435,AZ399:AZ422,0))</f>
        <v>450</v>
      </c>
      <c r="AQ435" s="613">
        <f>INDEX(AW399:AW422,MATCH(AT435,AZ399:AZ422,0))</f>
        <v>13.499999999999996</v>
      </c>
      <c r="AR435" s="615">
        <f>INDEX(AO399:AO422,MATCH(AT435,AZ399:AZ422,0))</f>
        <v>1</v>
      </c>
      <c r="AS435" s="615">
        <f>INDEX(AQ399:AQ422,MATCH(AT435,AZ399:AZ422,0))</f>
        <v>4</v>
      </c>
      <c r="AT435" s="629">
        <f>IF(MIN(Pile!AZ$399:AZ$422)&gt;0,MIN(Pile!AZ$399:AZ$422), 999999)</f>
        <v>10.838328916751095</v>
      </c>
      <c r="AU435" s="630"/>
      <c r="AV435" s="609"/>
      <c r="AW435" s="300"/>
      <c r="AX435" s="608"/>
      <c r="AY435" s="300"/>
      <c r="AZ435" s="300"/>
      <c r="BA435" s="632"/>
      <c r="BB435" s="609"/>
      <c r="BC435" s="628">
        <f>INDEX(BC399:BC422,MATCH(BG435,BM399:BM422,0))</f>
        <v>450</v>
      </c>
      <c r="BD435" s="613">
        <f>INDEX(BJ399:BJ422,MATCH(BG435,BM399:BM422,0))</f>
        <v>13.499999999999996</v>
      </c>
      <c r="BE435" s="615">
        <f>INDEX(BB399:BB422,MATCH(BG435,BM399:BM422,0))</f>
        <v>1</v>
      </c>
      <c r="BF435" s="615">
        <f>INDEX(BD399:BD422,MATCH(BG435,BM399:BM422,0))</f>
        <v>4</v>
      </c>
      <c r="BG435" s="629">
        <f>IF(MIN(Pile!BM$399:BM$422)&gt;0,MIN(Pile!BM$399:BM$422), 999999)</f>
        <v>10.838328916751095</v>
      </c>
      <c r="BH435" s="630"/>
      <c r="BI435" s="609"/>
      <c r="BJ435" s="628">
        <f>INDEX(BC399:BC422,MATCH(BN435,BM399:BM422,0))</f>
        <v>450</v>
      </c>
      <c r="BK435" s="613">
        <f>INDEX(BJ399:BJ422,MATCH(BN435,BM399:BM422,0))</f>
        <v>13.499999999999996</v>
      </c>
      <c r="BL435" s="615">
        <f>INDEX(BB399:BB422,MATCH(BN435,BM399:BM422,0))</f>
        <v>1</v>
      </c>
      <c r="BM435" s="615">
        <f>INDEX(BD399:BD422,MATCH(BN435,BM399:BM422,0))</f>
        <v>4</v>
      </c>
      <c r="BN435" s="633">
        <f>MIN((VLOOKUP(BJ432,BC405:BM410,11)),(VLOOKUP(BJ432,BC399:BM404,11)),(VLOOKUP(BJ432,BC411:BM416,11)),(VLOOKUP(BJ432,BC417:BM422,11)))</f>
        <v>10.838328916751095</v>
      </c>
      <c r="BO435" s="609"/>
      <c r="BP435" s="628">
        <f>INDEX(BP399:BP422,MATCH(BT435,BZ399:BZ422,0))</f>
        <v>450</v>
      </c>
      <c r="BQ435" s="613">
        <f>INDEX(BW399:BW422,MATCH(BT435,BZ399:BZ422,0))</f>
        <v>13.499999999999996</v>
      </c>
      <c r="BR435" s="615">
        <f>INDEX(BO399:BO422,MATCH(BT435,BZ399:BZ422,0))</f>
        <v>1</v>
      </c>
      <c r="BS435" s="615">
        <f>INDEX(BQ399:BQ422,MATCH(BT435,BZ399:BZ422,0))</f>
        <v>4</v>
      </c>
      <c r="BT435" s="629">
        <f>IF(MIN(Pile!BZ$399:BZ$422)&gt;0,MIN(Pile!BZ$399:BZ$422), 999999)</f>
        <v>10.838328916751095</v>
      </c>
      <c r="BU435" s="630"/>
      <c r="BV435" s="609"/>
      <c r="BW435" s="609"/>
      <c r="BX435" s="609"/>
      <c r="BY435" s="609"/>
      <c r="BZ435" s="609"/>
      <c r="CA435" s="609"/>
      <c r="CB435" s="609"/>
      <c r="CC435" s="628">
        <f>INDEX(CC399:CC422,MATCH(CG435,CM399:CM422,0))</f>
        <v>600</v>
      </c>
      <c r="CD435" s="613">
        <f>INDEX(CJ399:CJ422,MATCH(CG435,CM399:CM422,0))</f>
        <v>5.3999999999999977</v>
      </c>
      <c r="CE435" s="615">
        <f>INDEX(CB399:CB422,MATCH(CG435,CM399:CM422,0))</f>
        <v>1</v>
      </c>
      <c r="CF435" s="615">
        <f>INDEX(CD399:CD422,MATCH(CG435,CM399:CM422,0))</f>
        <v>4</v>
      </c>
      <c r="CG435" s="629">
        <f>IF(MIN(Pile!CM$399:CM$422)&gt;0,MIN(Pile!CM$399:CM$422), 999999)</f>
        <v>10.643256118578556</v>
      </c>
      <c r="CH435" s="630"/>
      <c r="CI435" s="609"/>
      <c r="CJ435" s="634">
        <f>INDEX(CC399:CC422,MATCH(CN435,CM399:CM422,0))</f>
        <v>450</v>
      </c>
      <c r="CK435" s="635">
        <f>INDEX(CJ399:CJ422,MATCH(CN435,CM399:CM422,0))</f>
        <v>13.499999999999996</v>
      </c>
      <c r="CL435" s="636">
        <f>INDEX(CB399:CB422,MATCH(CN435,CM399:CM422,0))</f>
        <v>1</v>
      </c>
      <c r="CM435" s="636">
        <f>INDEX(CD399:CD422,MATCH(CN435,CM399:CM422,0))</f>
        <v>4</v>
      </c>
      <c r="CN435" s="637">
        <f>MIN((VLOOKUP(CJ432,CC405:CM410,11)),(VLOOKUP(CJ432,CC399:CM404,11)),(VLOOKUP(CJ432,CC411:CM416,11)),(VLOOKUP(CJ432,CC417:CM422,11)))</f>
        <v>10.838328916751095</v>
      </c>
      <c r="CO435" s="609"/>
      <c r="CP435" s="628">
        <f>INDEX(CP399:CP422,MATCH(CT435,CZ399:CZ422,0))</f>
        <v>600</v>
      </c>
      <c r="CQ435" s="613">
        <f>INDEX(CW399:CW422,MATCH(CT435,CZ399:CZ422,0))</f>
        <v>5.0999999999999979</v>
      </c>
      <c r="CR435" s="615">
        <f>INDEX(CO399:CO422,MATCH(CT435,CZ399:CZ422,0))</f>
        <v>1</v>
      </c>
      <c r="CS435" s="615">
        <f>INDEX(CQ399:CQ422,MATCH(CT435,CZ399:CZ422,0))</f>
        <v>4</v>
      </c>
      <c r="CT435" s="629">
        <f>IF(MIN(Pile!CZ$399:CZ$422)&gt;0,MIN(Pile!CZ$399:CZ$422), 999999)</f>
        <v>10.303964111990858</v>
      </c>
      <c r="CU435" s="630"/>
      <c r="CV435" s="609"/>
      <c r="CW435" s="634">
        <f>INDEX(CP399:CP422,MATCH(DA435,CZ399:CZ422,0))</f>
        <v>600</v>
      </c>
      <c r="CX435" s="635">
        <f>INDEX(CW399:CW422,MATCH(DA435,CZ399:CZ422,0))</f>
        <v>5.0999999999999979</v>
      </c>
      <c r="CY435" s="636">
        <f>INDEX(CO399:CO422,MATCH(DA435,CZ399:CZ422,0))</f>
        <v>1</v>
      </c>
      <c r="CZ435" s="636">
        <f>INDEX(CQ399:CQ422,MATCH(DA435,CZ399:CZ422,0))</f>
        <v>4</v>
      </c>
      <c r="DA435" s="637">
        <f>MIN((VLOOKUP(CW432,CP405:CZ410,11)),(VLOOKUP(CW432,CP399:CZ404,11)),(VLOOKUP(CW432,CP411:CZ416,11)),(VLOOKUP(CW432,CP417:CZ422,11)))</f>
        <v>10.303964111990858</v>
      </c>
      <c r="DB435" s="609"/>
      <c r="DC435" s="628">
        <f>INDEX(DC399:DC422,MATCH(DG435,DM399:DM422,0))</f>
        <v>600</v>
      </c>
      <c r="DD435" s="613">
        <f>INDEX(DJ399:DJ422,MATCH(DG435,DM399:DM422,0))</f>
        <v>5.0999999999999979</v>
      </c>
      <c r="DE435" s="615">
        <f>INDEX(DB399:DB422,MATCH(DG435,DM399:DM422,0))</f>
        <v>1</v>
      </c>
      <c r="DF435" s="615">
        <f>INDEX(DD399:DD422,MATCH(DG435,DM399:DM422,0))</f>
        <v>4</v>
      </c>
      <c r="DG435" s="629">
        <f>IF(MIN(Pile!DM$399:DM$422)&gt;0,MIN(Pile!DM$399:DM$422), 999999)</f>
        <v>10.303964111990858</v>
      </c>
      <c r="DH435" s="630"/>
      <c r="DI435" s="609"/>
      <c r="DJ435" s="634">
        <f>INDEX(DC399:DC422,MATCH(DN435,DM399:DM422,0))</f>
        <v>450</v>
      </c>
      <c r="DK435" s="635">
        <f>INDEX(DJ399:DJ422,MATCH(DN435,DM399:DM422,0))</f>
        <v>13.499999999999996</v>
      </c>
      <c r="DL435" s="636">
        <f>INDEX(DB399:DB422,MATCH(DN435,DM399:DM422,0))</f>
        <v>1</v>
      </c>
      <c r="DM435" s="636">
        <f>INDEX(DD399:DD422,MATCH(DN435,DM399:DM422,0))</f>
        <v>4</v>
      </c>
      <c r="DN435" s="637">
        <f>MIN((VLOOKUP(DJ432,DC405:DM410,11)),(VLOOKUP(DJ432,DC399:DM404,11)),(VLOOKUP(DJ432,DC411:DM416,11)),(VLOOKUP(DJ432,DC417:DM422,11)))</f>
        <v>10.838328916751095</v>
      </c>
      <c r="DO435" s="609"/>
      <c r="DP435" s="628">
        <f>INDEX(DP399:DP422,MATCH(DT435,DZ399:DZ422,0))</f>
        <v>450</v>
      </c>
      <c r="DQ435" s="613">
        <f>INDEX(DW399:DW422,MATCH(DT435,DZ399:DZ422,0))</f>
        <v>5.9999999999999982</v>
      </c>
      <c r="DR435" s="615">
        <f>INDEX(DO399:DO422,MATCH(DT435,DZ399:DZ422,0))</f>
        <v>1</v>
      </c>
      <c r="DS435" s="615">
        <f>INDEX(DQ399:DQ422,MATCH(DT435,DZ399:DZ422,0))</f>
        <v>4</v>
      </c>
      <c r="DT435" s="629">
        <f>IF(MIN(Pile!DZ$399:DZ$422)&gt;0,MIN(Pile!DZ$399:DZ$422), 999999)</f>
        <v>6.0670350741115975</v>
      </c>
      <c r="DU435" s="630"/>
      <c r="DV435" s="609"/>
      <c r="DW435" s="634">
        <f>INDEX(DP399:DP422,MATCH(EA435,DZ399:DZ422,0))</f>
        <v>450</v>
      </c>
      <c r="DX435" s="635">
        <f>INDEX(DW399:DW422,MATCH(EA435,DZ399:DZ422,0))</f>
        <v>5.9999999999999982</v>
      </c>
      <c r="DY435" s="636">
        <f>INDEX(DO399:DO422,MATCH(EA435,DZ399:DZ422,0))</f>
        <v>1</v>
      </c>
      <c r="DZ435" s="636">
        <f>INDEX(DQ399:DQ422,MATCH(EA435,DZ399:DZ422,0))</f>
        <v>4</v>
      </c>
      <c r="EA435" s="637">
        <f>MIN((VLOOKUP(DW432,DP405:DZ410,11)),(VLOOKUP(DW432,DP399:DZ404,11)),(VLOOKUP(DW432,DP411:DZ416,11)),(VLOOKUP(DW432,DP417:DZ422,11)))</f>
        <v>6.0670350741115975</v>
      </c>
      <c r="EB435" s="609"/>
      <c r="EC435" s="628">
        <f>INDEX(EC399:EC422,MATCH(EG435,EM399:EM422,0))</f>
        <v>450</v>
      </c>
      <c r="ED435" s="613">
        <f>INDEX(EJ399:EJ422,MATCH(EG435,EM399:EM422,0))</f>
        <v>5.9999999999999982</v>
      </c>
      <c r="EE435" s="615">
        <f>INDEX(EB399:EB422,MATCH(EG435,EM399:EM422,0))</f>
        <v>1</v>
      </c>
      <c r="EF435" s="615">
        <f>INDEX(ED399:ED422,MATCH(EG435,EM399:EM422,0))</f>
        <v>4</v>
      </c>
      <c r="EG435" s="629">
        <f>IF(MIN(Pile!EM$399:EM$422)&gt;0,MIN(Pile!EM$399:EM$422), 999999)</f>
        <v>6.0670350741115975</v>
      </c>
      <c r="EH435" s="630"/>
      <c r="EI435" s="609"/>
      <c r="EJ435" s="634">
        <f>INDEX(EC399:EC422,MATCH(EN435,EM399:EM422,0))</f>
        <v>450</v>
      </c>
      <c r="EK435" s="635">
        <f>INDEX(EJ399:EJ422,MATCH(EN435,EM399:EM422,0))</f>
        <v>5.9999999999999982</v>
      </c>
      <c r="EL435" s="636">
        <f>INDEX(EB399:EB422,MATCH(EN435,EM399:EM422,0))</f>
        <v>1</v>
      </c>
      <c r="EM435" s="636">
        <f>INDEX(ED399:ED422,MATCH(EN435,EM399:EM422,0))</f>
        <v>4</v>
      </c>
      <c r="EN435" s="637">
        <f>MIN((VLOOKUP(EJ432,EC405:EM410,11)),(VLOOKUP(EJ432,EC399:EM404,11)),(VLOOKUP(EJ432,EC411:EM416,11)),(VLOOKUP(EJ432,EC417:EM422,11)))</f>
        <v>6.0670350741115975</v>
      </c>
      <c r="EO435" s="609"/>
      <c r="EP435" s="628">
        <f t="array" ref="EP435">IFERROR((INDEX(Pile!EP$399:EP$422,_xlfn.AGGREGATE(15,3,((Pile!EZ$399:EZ$422=ET435)/(Pile!EZ$399:EZ$422=ET435)*ROW(Pile!EZ$399:EZ$422))-ROW(Pile!EP$398),ROWS(EO435)))),999999)</f>
        <v>450</v>
      </c>
      <c r="EQ435" s="613">
        <f>IF(ISNUMBER(ET435/(ES435*PI()*(EP435/2000)^2)),ET435/(ES435*PI()*(EP435/2000)^2),999999)</f>
        <v>999999</v>
      </c>
      <c r="ER435" s="615">
        <f t="array" ref="ER435">IFERROR((INDEX(Pile!EO$399:EO$422,_xlfn.AGGREGATE(15,3,((Pile!EZ$399:EZ$422=ET435)/(Pile!EZ$399:EZ$422=ET435)*ROW(Pile!EZ$399:EZ$422))-ROW(Pile!EP$398),ROWS(EO435)))),999999)</f>
        <v>1</v>
      </c>
      <c r="ES435" s="615">
        <f t="array" ref="ES435">IFERROR((INDEX(Pile!EQ$399:EQ$422,_xlfn.AGGREGATE(15,3,((Pile!EZ$399:EZ$422=ET435)/(Pile!EZ$399:EZ$422=ET435)*ROW(Pile!EZ$399:EZ$422))-ROW(Pile!EP$398),ROWS(EO435)))),999999)</f>
        <v>4</v>
      </c>
      <c r="ET435" s="633">
        <f>IF(MIN(Pile!EZ$399:EZ$422)&gt;0,MIN(Pile!EZ$399:EZ$422), 999999)</f>
        <v>636171.87617942085</v>
      </c>
      <c r="EU435" s="630"/>
      <c r="EV435" s="609"/>
      <c r="EW435" s="628">
        <f>INDEX(EP399:EP422,MATCH(FA435,EZ399:EZ422,0))</f>
        <v>450</v>
      </c>
      <c r="EX435" s="613">
        <f>INDEX(EW399:EW422,MATCH(FA435,EZ399:EZ422,0))</f>
        <v>999999</v>
      </c>
      <c r="EY435" s="615">
        <f>INDEX(EO399:EO422,MATCH(FA435,EZ399:EZ422,0))</f>
        <v>1</v>
      </c>
      <c r="EZ435" s="615">
        <f>INDEX(EQ399:EQ422,MATCH(FA435,EZ399:EZ422,0))</f>
        <v>4</v>
      </c>
      <c r="FA435" s="633">
        <f>MIN((VLOOKUP(EW432,EP405:EZ410,11)),(VLOOKUP(EW432,EP399:EZ404,11)),(VLOOKUP(EW432,EP411:EZ416,11)),(VLOOKUP(EW432,EP417:EZ422,11)))</f>
        <v>636171.87617942085</v>
      </c>
    </row>
    <row r="436" spans="2:158">
      <c r="B436" s="609" t="s">
        <v>888</v>
      </c>
      <c r="C436" s="610"/>
      <c r="D436" s="608"/>
      <c r="G436" s="611"/>
      <c r="H436" s="630"/>
      <c r="I436" s="300">
        <f>75+40*16+50</f>
        <v>765</v>
      </c>
      <c r="J436" s="631"/>
      <c r="K436" s="618"/>
      <c r="L436" s="631"/>
      <c r="M436" s="631"/>
      <c r="N436" s="631"/>
      <c r="O436" s="609" t="s">
        <v>888</v>
      </c>
      <c r="P436" s="610"/>
      <c r="Q436" s="608"/>
      <c r="T436" s="611"/>
      <c r="U436" s="630"/>
      <c r="V436" s="609"/>
      <c r="W436" s="631"/>
      <c r="X436" s="618"/>
      <c r="Y436" s="631"/>
      <c r="Z436" s="631"/>
      <c r="AA436" s="631"/>
      <c r="AB436" s="609" t="s">
        <v>888</v>
      </c>
      <c r="AC436" s="610"/>
      <c r="AD436" s="608"/>
      <c r="AG436" s="611"/>
      <c r="AH436" s="630"/>
      <c r="AI436" s="609"/>
      <c r="AJ436" s="631"/>
      <c r="AK436" s="618"/>
      <c r="AL436" s="631"/>
      <c r="AM436" s="631"/>
      <c r="AN436" s="631"/>
      <c r="AO436" s="609" t="s">
        <v>888</v>
      </c>
      <c r="AP436" s="610"/>
      <c r="AQ436" s="608"/>
      <c r="AT436" s="611"/>
      <c r="AU436" s="630"/>
      <c r="AV436" s="609"/>
      <c r="AW436" s="300"/>
      <c r="AX436" s="608"/>
      <c r="AY436" s="300"/>
      <c r="AZ436" s="300"/>
      <c r="BA436" s="300"/>
      <c r="BB436" s="609" t="s">
        <v>888</v>
      </c>
      <c r="BC436" s="610"/>
      <c r="BD436" s="608"/>
      <c r="BG436" s="611"/>
      <c r="BH436" s="630"/>
      <c r="BI436" s="609" t="s">
        <v>888</v>
      </c>
      <c r="BJ436" s="299">
        <f>BC437</f>
        <v>450</v>
      </c>
      <c r="BK436" s="608"/>
      <c r="BL436" s="300"/>
      <c r="BM436" s="300"/>
      <c r="BN436" s="301"/>
      <c r="BO436" s="609" t="s">
        <v>888</v>
      </c>
      <c r="BP436" s="610"/>
      <c r="BQ436" s="608"/>
      <c r="BT436" s="611"/>
      <c r="BU436" s="630"/>
      <c r="BV436" s="609"/>
      <c r="BW436" s="609"/>
      <c r="BX436" s="609"/>
      <c r="BY436" s="609"/>
      <c r="BZ436" s="609"/>
      <c r="CA436" s="609"/>
      <c r="CB436" s="609" t="s">
        <v>888</v>
      </c>
      <c r="CC436" s="610"/>
      <c r="CD436" s="608"/>
      <c r="CG436" s="611"/>
      <c r="CH436" s="630"/>
      <c r="CI436" s="609" t="s">
        <v>888</v>
      </c>
      <c r="CJ436" s="638">
        <f>CC437</f>
        <v>450</v>
      </c>
      <c r="CK436" s="618"/>
      <c r="CL436" s="631"/>
      <c r="CM436" s="631"/>
      <c r="CN436" s="639"/>
      <c r="CO436" s="609" t="s">
        <v>888</v>
      </c>
      <c r="CP436" s="610"/>
      <c r="CQ436" s="608"/>
      <c r="CT436" s="611"/>
      <c r="CU436" s="630"/>
      <c r="CV436" s="609" t="s">
        <v>888</v>
      </c>
      <c r="CW436" s="638">
        <f>MAX(CP437:CP439)</f>
        <v>450</v>
      </c>
      <c r="CX436" s="618"/>
      <c r="CY436" s="631"/>
      <c r="CZ436" s="631"/>
      <c r="DA436" s="639"/>
      <c r="DB436" s="609" t="s">
        <v>888</v>
      </c>
      <c r="DC436" s="610"/>
      <c r="DD436" s="608"/>
      <c r="DG436" s="611"/>
      <c r="DH436" s="630"/>
      <c r="DI436" s="609" t="s">
        <v>888</v>
      </c>
      <c r="DJ436" s="638">
        <f>DC437</f>
        <v>450</v>
      </c>
      <c r="DK436" s="618"/>
      <c r="DL436" s="631"/>
      <c r="DM436" s="631"/>
      <c r="DN436" s="639"/>
      <c r="DO436" s="609" t="s">
        <v>888</v>
      </c>
      <c r="DP436" s="610"/>
      <c r="DQ436" s="608"/>
      <c r="DT436" s="611"/>
      <c r="DU436" s="630"/>
      <c r="DV436" s="609" t="s">
        <v>888</v>
      </c>
      <c r="DW436" s="638">
        <f>DP437</f>
        <v>450</v>
      </c>
      <c r="DX436" s="618"/>
      <c r="DY436" s="631"/>
      <c r="DZ436" s="631"/>
      <c r="EA436" s="639"/>
      <c r="EB436" s="609" t="s">
        <v>888</v>
      </c>
      <c r="EC436" s="610"/>
      <c r="ED436" s="608"/>
      <c r="EG436" s="611"/>
      <c r="EH436" s="630"/>
      <c r="EI436" s="609" t="s">
        <v>888</v>
      </c>
      <c r="EJ436" s="638">
        <f>EC437</f>
        <v>450</v>
      </c>
      <c r="EK436" s="618"/>
      <c r="EL436" s="631"/>
      <c r="EM436" s="631"/>
      <c r="EN436" s="639"/>
      <c r="EO436" s="609" t="s">
        <v>888</v>
      </c>
      <c r="EP436" s="610"/>
      <c r="EQ436" s="608"/>
      <c r="ET436" s="611"/>
      <c r="EU436" s="630"/>
      <c r="EV436" s="609" t="s">
        <v>888</v>
      </c>
      <c r="EW436" s="299">
        <f>MAX(EP437:EP439)</f>
        <v>450</v>
      </c>
      <c r="EX436" s="608"/>
      <c r="EY436" s="300"/>
      <c r="EZ436" s="300"/>
      <c r="FA436" s="301"/>
    </row>
    <row r="437" spans="2:158" ht="15">
      <c r="B437" s="609"/>
      <c r="C437" s="612">
        <f>INDEX(C336:C359,MATCH(G437,L336:L359,0))</f>
        <v>450</v>
      </c>
      <c r="D437" s="613">
        <f>INDEX(I336:I359,MATCH(G437,L336:L359,0))</f>
        <v>13.499999999999996</v>
      </c>
      <c r="E437" s="614">
        <f>INDEX(B336:B359,MATCH(G437,L336:L359,0))</f>
        <v>1</v>
      </c>
      <c r="F437" s="615">
        <f>INDEX(D336:D359,MATCH(G437,L336:L359,0))</f>
        <v>63</v>
      </c>
      <c r="G437" s="616">
        <f>IF(MIN(Pile!L$336:L$359)&gt;0,MIN(Pile!L$336:L$359), 999999)</f>
        <v>170.70368043882976</v>
      </c>
      <c r="H437" s="627"/>
      <c r="I437" s="300"/>
      <c r="J437" s="618"/>
      <c r="K437" s="618"/>
      <c r="L437" s="618"/>
      <c r="M437" s="631"/>
      <c r="N437" s="618"/>
      <c r="O437" s="609"/>
      <c r="P437" s="612">
        <f>INDEX(P336:P359,MATCH(T437,Y336:Y359,0))</f>
        <v>450</v>
      </c>
      <c r="Q437" s="613">
        <f>INDEX(V336:V359,MATCH(T437,Y336:Y359,0))</f>
        <v>13.499999999999996</v>
      </c>
      <c r="R437" s="614">
        <f>INDEX(O336:O359,MATCH(T437,Y336:Y359,0))</f>
        <v>1</v>
      </c>
      <c r="S437" s="615">
        <f>INDEX(Q336:Q359,MATCH(T437,Y336:Y359,0))</f>
        <v>63</v>
      </c>
      <c r="T437" s="616">
        <f>IF(MIN(Pile!Y$336:Y$359)&gt;0,MIN(Pile!Y$336:Y$359), 999999)</f>
        <v>170.70368043882976</v>
      </c>
      <c r="U437" s="627"/>
      <c r="V437" s="609"/>
      <c r="W437" s="618"/>
      <c r="X437" s="618"/>
      <c r="Y437" s="618"/>
      <c r="Z437" s="631"/>
      <c r="AA437" s="618"/>
      <c r="AB437" s="609"/>
      <c r="AC437" s="612">
        <f>INDEX(AC336:AC359,MATCH(AG437,AL336:AL359,0))</f>
        <v>450</v>
      </c>
      <c r="AD437" s="613">
        <f>INDEX(AI336:AI359,MATCH(AG437,AL336:AL359,0))</f>
        <v>13.499999999999996</v>
      </c>
      <c r="AE437" s="614">
        <f>INDEX(AB336:AB359,MATCH(AG437,AL336:AL359,0))</f>
        <v>1</v>
      </c>
      <c r="AF437" s="615">
        <f>INDEX(AD336:AD359,MATCH(AG437,AL336:AL359,0))</f>
        <v>63</v>
      </c>
      <c r="AG437" s="616">
        <f>IF(MIN(Pile!AL$336:AL$359)&gt;0,MIN(Pile!AL$336:AL$359), 999999)</f>
        <v>170.70368043882976</v>
      </c>
      <c r="AH437" s="627"/>
      <c r="AI437" s="609"/>
      <c r="AJ437" s="618"/>
      <c r="AK437" s="618"/>
      <c r="AL437" s="618"/>
      <c r="AM437" s="631"/>
      <c r="AN437" s="618"/>
      <c r="AO437" s="609"/>
      <c r="AP437" s="612">
        <f>INDEX(AP336:AP359,MATCH(AT437,AY336:AY359,0))</f>
        <v>450</v>
      </c>
      <c r="AQ437" s="613">
        <f>INDEX(AV336:AV359,MATCH(AT437,AY336:AY359,0))</f>
        <v>13.499999999999996</v>
      </c>
      <c r="AR437" s="614">
        <f>INDEX(AO336:AO359,MATCH(AT437,AY336:AY359,0))</f>
        <v>1</v>
      </c>
      <c r="AS437" s="615">
        <f>INDEX(AQ336:AQ359,MATCH(AT437,AY336:AY359,0))</f>
        <v>63</v>
      </c>
      <c r="AT437" s="616">
        <f>IF(MIN(Pile!AY$336:AY$359)&gt;0,MIN(Pile!AY$336:AY$359), 999999)</f>
        <v>170.70368043882976</v>
      </c>
      <c r="AU437" s="627"/>
      <c r="AV437" s="609"/>
      <c r="AW437" s="619"/>
      <c r="AX437" s="608"/>
      <c r="AY437" s="619"/>
      <c r="AZ437" s="300"/>
      <c r="BA437" s="608"/>
      <c r="BB437" s="609"/>
      <c r="BC437" s="612">
        <f>INDEX(BC336:BC359,MATCH(BG437,BL336:BL359,0))</f>
        <v>450</v>
      </c>
      <c r="BD437" s="613">
        <f>INDEX(BI336:BI359,MATCH(BG437,BL336:BL359,0))</f>
        <v>13.499999999999996</v>
      </c>
      <c r="BE437" s="614">
        <f>INDEX(BB336:BB359,MATCH(BG437,BL336:BL359,0))</f>
        <v>1</v>
      </c>
      <c r="BF437" s="615">
        <f>INDEX(BD336:BD359,MATCH(BG437,BL336:BL359,0))</f>
        <v>63</v>
      </c>
      <c r="BG437" s="616">
        <f>IF(MIN(Pile!BL$336:BL$359)&gt;0,MIN(Pile!BL$336:BL$359), 999999)</f>
        <v>170.70368043882976</v>
      </c>
      <c r="BH437" s="627"/>
      <c r="BI437" s="609"/>
      <c r="BJ437" s="612">
        <f>INDEX(BC336:BC359,MATCH(BN437,BL336:BL359,0))</f>
        <v>450</v>
      </c>
      <c r="BK437" s="613">
        <f>INDEX(BI336:BI359,MATCH(BN437,BL336:BL359,0))</f>
        <v>13.499999999999996</v>
      </c>
      <c r="BL437" s="614">
        <f>INDEX(BB336:BB359,MATCH(BN437,BL336:BL359,0))</f>
        <v>1</v>
      </c>
      <c r="BM437" s="615">
        <f>INDEX(BD336:BD359,MATCH(BN437,BL336:BL359,0))</f>
        <v>63</v>
      </c>
      <c r="BN437" s="626">
        <f>MIN((VLOOKUP(BJ436,BC342:BM347,10)),(VLOOKUP(BJ436,BC336:BM341,10)),(VLOOKUP(BJ436,BC348:BM353,10)),(VLOOKUP(BJ436,BC354:BM359,10)))</f>
        <v>170.70368043882976</v>
      </c>
      <c r="BO437" s="609"/>
      <c r="BP437" s="612">
        <f>INDEX(BP336:BP359,MATCH(BT437,BY336:BY359,0))</f>
        <v>450</v>
      </c>
      <c r="BQ437" s="613">
        <f>INDEX(BV336:BV359,MATCH(BT437,BY336:BY359,0))</f>
        <v>14.999999999999996</v>
      </c>
      <c r="BR437" s="614">
        <f>INDEX(BO336:BO359,MATCH(BT437,BY336:BY359,0))</f>
        <v>1</v>
      </c>
      <c r="BS437" s="615">
        <f>INDEX(BQ336:BQ359,MATCH(BT437,BY336:BY359,0))</f>
        <v>63</v>
      </c>
      <c r="BT437" s="616">
        <f>IF(MIN(Pile!BY$336:BY$359)&gt;0,MIN(Pile!BY$336:BY$359), 999999)</f>
        <v>185.73325604314417</v>
      </c>
      <c r="BU437" s="627"/>
      <c r="BV437" s="609"/>
      <c r="BW437" s="609"/>
      <c r="BX437" s="609"/>
      <c r="BY437" s="609"/>
      <c r="BZ437" s="609"/>
      <c r="CA437" s="609"/>
      <c r="CB437" s="609"/>
      <c r="CC437" s="612">
        <f>INDEX(CC336:CC359,MATCH(CG437,CL336:CL359,0))</f>
        <v>450</v>
      </c>
      <c r="CD437" s="613">
        <f>INDEX(CI336:CI359,MATCH(CG437,CL336:CL359,0))</f>
        <v>13.499999999999996</v>
      </c>
      <c r="CE437" s="614">
        <f>INDEX(CB336:CB359,MATCH(CG437,CL336:CL359,0))</f>
        <v>1</v>
      </c>
      <c r="CF437" s="615">
        <f>INDEX(CD336:CD359,MATCH(CG437,CL336:CL359,0))</f>
        <v>63</v>
      </c>
      <c r="CG437" s="616">
        <f>IF(MIN(Pile!CL$336:CL$359)&gt;0,MIN(Pile!CL$336:CL$359), 999999)</f>
        <v>170.70368043882976</v>
      </c>
      <c r="CH437" s="627"/>
      <c r="CI437" s="609"/>
      <c r="CJ437" s="640">
        <f>INDEX(CC336:CC359,MATCH(CN437,CL336:CL359,0))</f>
        <v>450</v>
      </c>
      <c r="CK437" s="635">
        <f>INDEX(CI336:CI359,MATCH(CN437,CL336:CL359,0))</f>
        <v>13.499999999999996</v>
      </c>
      <c r="CL437" s="635">
        <f>INDEX(CB336:CB359,MATCH(CN437,CL336:CL359,0))</f>
        <v>1</v>
      </c>
      <c r="CM437" s="636">
        <f>INDEX(CD336:CD359,MATCH(CN437,CL336:CL359,0))</f>
        <v>63</v>
      </c>
      <c r="CN437" s="641">
        <f>MIN((VLOOKUP(CJ436,CC342:CM347,10)),(VLOOKUP(CJ436,CC336:CM341,10)),(VLOOKUP(CJ436,CC348:CM353,10)),(VLOOKUP(CJ436,CC354:CM359,10)))</f>
        <v>170.70368043882976</v>
      </c>
      <c r="CO437" s="609"/>
      <c r="CP437" s="612">
        <f>INDEX(CP336:CP359,MATCH(CT437,CY336:CY359,0))</f>
        <v>450</v>
      </c>
      <c r="CQ437" s="613">
        <f>INDEX(CV336:CV359,MATCH(CT437,CY336:CY359,0))</f>
        <v>13.499999999999996</v>
      </c>
      <c r="CR437" s="614">
        <f>INDEX(CO336:CO359,MATCH(CT437,CY336:CY359,0))</f>
        <v>1</v>
      </c>
      <c r="CS437" s="615">
        <f>INDEX(CQ336:CQ359,MATCH(CT437,CY336:CY359,0))</f>
        <v>63</v>
      </c>
      <c r="CT437" s="616">
        <f>IF(MIN(Pile!CY$336:CY$359)&gt;0,MIN(Pile!CY$336:CY$359), 999999)</f>
        <v>170.70368043882976</v>
      </c>
      <c r="CU437" s="627"/>
      <c r="CV437" s="609"/>
      <c r="CW437" s="640">
        <f>INDEX(CP336:CP359,MATCH(DA437,CY336:CY359,0))</f>
        <v>450</v>
      </c>
      <c r="CX437" s="635">
        <f>INDEX(CV336:CV359,MATCH(DA437,CY336:CY359,0))</f>
        <v>13.499999999999996</v>
      </c>
      <c r="CY437" s="635">
        <f>INDEX(CO336:CO359,MATCH(DA437,CY336:CY359,0))</f>
        <v>1</v>
      </c>
      <c r="CZ437" s="636">
        <f>INDEX(CQ336:CQ359,MATCH(DA437,CY336:CY359,0))</f>
        <v>63</v>
      </c>
      <c r="DA437" s="641">
        <f>MIN((VLOOKUP(CW436,CP342:CZ347,10)),(VLOOKUP(CW436,CP336:CZ341,10)),(VLOOKUP(CW436,CP348:CZ353,10)),(VLOOKUP(CW436,CP354:CZ359,10)))</f>
        <v>170.70368043882976</v>
      </c>
      <c r="DB437" s="609"/>
      <c r="DC437" s="612">
        <f>INDEX(DC336:DC359,MATCH(DG437,DL336:DL359,0))</f>
        <v>450</v>
      </c>
      <c r="DD437" s="613">
        <f>INDEX(DI336:DI359,MATCH(DG437,DL336:DL359,0))</f>
        <v>13.499999999999996</v>
      </c>
      <c r="DE437" s="614">
        <f>INDEX(DB336:DB359,MATCH(DG437,DL336:DL359,0))</f>
        <v>1</v>
      </c>
      <c r="DF437" s="615">
        <f>INDEX(DD336:DD359,MATCH(DG437,DL336:DL359,0))</f>
        <v>63</v>
      </c>
      <c r="DG437" s="616">
        <f>IF(MIN(Pile!DL$336:DL$359)&gt;0,MIN(Pile!DL$336:DL$359), 999999)</f>
        <v>170.70368043882976</v>
      </c>
      <c r="DH437" s="627"/>
      <c r="DI437" s="609"/>
      <c r="DJ437" s="640">
        <f>INDEX(DC336:DC359,MATCH(DN437,DL336:DL359,0))</f>
        <v>450</v>
      </c>
      <c r="DK437" s="635">
        <f>INDEX(DI336:DI359,MATCH(DN437,DL336:DL359,0))</f>
        <v>13.499999999999996</v>
      </c>
      <c r="DL437" s="635">
        <f>INDEX(DB336:DB359,MATCH(DN437,DL336:DL359,0))</f>
        <v>1</v>
      </c>
      <c r="DM437" s="636">
        <f>INDEX(DD336:DD359,MATCH(DN437,DL336:DL359,0))</f>
        <v>63</v>
      </c>
      <c r="DN437" s="641">
        <f>MIN((VLOOKUP(DJ436,DC342:DM347,10)),(VLOOKUP(DJ436,DC336:DM341,10)),(VLOOKUP(DJ436,DC348:DM353,10)),(VLOOKUP(DJ436,DC354:DM359,10)))</f>
        <v>170.70368043882976</v>
      </c>
      <c r="DO437" s="609"/>
      <c r="DP437" s="612">
        <f>INDEX(DP336:DP359,MATCH(DT437,DY336:DY359,0))</f>
        <v>450</v>
      </c>
      <c r="DQ437" s="613">
        <f>INDEX(DV336:DV359,MATCH(DT437,DY336:DY359,0))</f>
        <v>13.499999999999996</v>
      </c>
      <c r="DR437" s="614">
        <f>INDEX(DO336:DO359,MATCH(DT437,DY336:DY359,0))</f>
        <v>1</v>
      </c>
      <c r="DS437" s="615">
        <f>INDEX(DQ336:DQ359,MATCH(DT437,DY336:DY359,0))</f>
        <v>63</v>
      </c>
      <c r="DT437" s="616">
        <f>IF(MIN(Pile!DY$336:DY$359)&gt;0,MIN(Pile!DY$336:DY$359), 999999)</f>
        <v>170.70368043882976</v>
      </c>
      <c r="DU437" s="627"/>
      <c r="DV437" s="609"/>
      <c r="DW437" s="640">
        <f>INDEX(DP336:DP359,MATCH(EA437,DY336:DY359,0))</f>
        <v>450</v>
      </c>
      <c r="DX437" s="635">
        <f>INDEX(DV336:DV359,MATCH(EA437,DY336:DY359,0))</f>
        <v>13.499999999999996</v>
      </c>
      <c r="DY437" s="635">
        <f>INDEX(DO336:DO359,MATCH(EA437,DY336:DY359,0))</f>
        <v>1</v>
      </c>
      <c r="DZ437" s="636">
        <f>INDEX(DQ336:DQ359,MATCH(EA437,DY336:DY359,0))</f>
        <v>63</v>
      </c>
      <c r="EA437" s="641">
        <f>MIN((VLOOKUP(DW436,DP342:DZ347,10)),(VLOOKUP(DW436,DP336:DZ341,10)),(VLOOKUP(DW436,DP348:DZ353,10)),(VLOOKUP(DW436,DP354:DZ359,10)))</f>
        <v>170.70368043882976</v>
      </c>
      <c r="EB437" s="609"/>
      <c r="EC437" s="612">
        <f>INDEX(EC336:EC359,MATCH(EG437,EL336:EL359,0))</f>
        <v>450</v>
      </c>
      <c r="ED437" s="613">
        <f>INDEX(EI336:EI359,MATCH(EG437,EL336:EL359,0))</f>
        <v>13.499999999999996</v>
      </c>
      <c r="EE437" s="614">
        <f>INDEX(EB336:EB359,MATCH(EG437,EL336:EL359,0))</f>
        <v>1</v>
      </c>
      <c r="EF437" s="615">
        <f>INDEX(ED336:ED359,MATCH(EG437,EL336:EL359,0))</f>
        <v>63</v>
      </c>
      <c r="EG437" s="616">
        <f>IF(MIN(Pile!EL$336:EL$359)&gt;0,MIN(Pile!EL$336:EL$359), 999999)</f>
        <v>170.70368043882976</v>
      </c>
      <c r="EH437" s="627"/>
      <c r="EI437" s="609"/>
      <c r="EJ437" s="640">
        <f>INDEX(EC336:EC359,MATCH(EN437,EL336:EL359,0))</f>
        <v>450</v>
      </c>
      <c r="EK437" s="635">
        <f>INDEX(EI336:EI359,MATCH(EN437,EL336:EL359,0))</f>
        <v>13.499999999999996</v>
      </c>
      <c r="EL437" s="635">
        <f>INDEX(EB336:EB359,MATCH(EN437,EL336:EL359,0))</f>
        <v>1</v>
      </c>
      <c r="EM437" s="636">
        <f>INDEX(ED336:ED359,MATCH(EN437,EL336:EL359,0))</f>
        <v>63</v>
      </c>
      <c r="EN437" s="641">
        <f>MIN((VLOOKUP(EJ436,EC342:EM347,10)),(VLOOKUP(EJ436,EC336:EM341,10)),(VLOOKUP(EJ436,EC348:EM353,10)),(VLOOKUP(EJ436,EC354:EM359,10)))</f>
        <v>170.70368043882976</v>
      </c>
      <c r="EO437" s="609"/>
      <c r="EP437" s="612">
        <f t="array" ref="EP437">IFERROR((INDEX(Pile!EP$336:EP$359,_xlfn.AGGREGATE(15,3,((Pile!EY$336:EY$359=ET437)/(Pile!EY$336:EY$359=ET437)*ROW(Pile!EY$336:EY$359))-ROW(Pile!EP$335),ROWS(EO437)))),999999)</f>
        <v>450</v>
      </c>
      <c r="EQ437" s="613">
        <f>IF(ISNUMBER(ET437/(ES437*PI()*(EP437/2000)^2)),ET437/(ES437*PI()*(EP437/2000)^2),999999)</f>
        <v>999998.99999999988</v>
      </c>
      <c r="ER437" s="614">
        <f t="array" ref="ER437">IFERROR((INDEX(Pile!EO$336:EO$359,_xlfn.AGGREGATE(15,3,((Pile!EY$336:EY$359=ET437)/(Pile!EY$336:EY$359=ET437)*ROW(Pile!EY$336:EY$359))-ROW(Pile!EP$335),ROWS(EO437)))),999999)</f>
        <v>1</v>
      </c>
      <c r="ES437" s="615">
        <f t="array" ref="ES437">IFERROR((INDEX(Pile!EQ$336:EQ$359,_xlfn.AGGREGATE(15,3,((Pile!EY$336:EY$359=ET437)/(Pile!EY$336:EY$359=ET437)*ROW(Pile!EY$336:EY$359))-ROW(Pile!EP$335),ROWS(EO437)))),999999)</f>
        <v>63</v>
      </c>
      <c r="ET437" s="626">
        <f>IF(MIN(Pile!EY$336:EY$359)&gt;0,MIN(Pile!EY$336:EY$359), 999999)</f>
        <v>10019707.049825877</v>
      </c>
      <c r="EU437" s="627"/>
      <c r="EV437" s="609"/>
      <c r="EW437" s="612">
        <f>INDEX(EP336:EP359,MATCH(FA437,EY336:EY359,0))</f>
        <v>450</v>
      </c>
      <c r="EX437" s="613">
        <f>INDEX(EV336:EV359,MATCH(FA437,EY336:EY359,0))</f>
        <v>999999</v>
      </c>
      <c r="EY437" s="614">
        <f>INDEX(EO336:EO359,MATCH(FA437,EY336:EY359,0))</f>
        <v>1</v>
      </c>
      <c r="EZ437" s="615">
        <f>INDEX(EQ336:EQ359,MATCH(FA437,EY336:EY359,0))</f>
        <v>63</v>
      </c>
      <c r="FA437" s="626">
        <f>MIN((VLOOKUP(EW436,EP342:EZ347,10)),(VLOOKUP(EW436,EP336:EZ341,10)),(VLOOKUP(EW436,EP348:EZ353,10)),(VLOOKUP(EW436,EP354:EZ359,10)))</f>
        <v>10019707.049825877</v>
      </c>
    </row>
    <row r="438" spans="2:158">
      <c r="B438" s="609"/>
      <c r="C438" s="628">
        <f>INDEX(C368:C391,MATCH(G438,L368:L391,0))</f>
        <v>450</v>
      </c>
      <c r="D438" s="613">
        <f>INDEX(I368:I391,MATCH(G438,L368:L391,0))</f>
        <v>13.499999999999996</v>
      </c>
      <c r="E438" s="615">
        <f>INDEX(B368:B391,MATCH(G438,L368:L391,0))</f>
        <v>1</v>
      </c>
      <c r="F438" s="615">
        <f>INDEX(D368:D391,MATCH(G438,L368:L391,0))</f>
        <v>32</v>
      </c>
      <c r="G438" s="629">
        <f>IF(MIN(Pile!L$368:L$391)&gt;0,MIN(Pile!L$368:L$391), 999999)</f>
        <v>86.706631334008762</v>
      </c>
      <c r="H438" s="630"/>
      <c r="I438" s="300"/>
      <c r="J438" s="631"/>
      <c r="K438" s="618"/>
      <c r="L438" s="631"/>
      <c r="M438" s="631"/>
      <c r="N438" s="631"/>
      <c r="O438" s="609"/>
      <c r="P438" s="628">
        <f>INDEX(P368:P391,MATCH(T438,Y368:Y391,0))</f>
        <v>450</v>
      </c>
      <c r="Q438" s="613">
        <f>INDEX(V368:V391,MATCH(T438,Y368:Y391,0))</f>
        <v>13.499999999999996</v>
      </c>
      <c r="R438" s="615">
        <f>INDEX(O368:O391,MATCH(T438,Y368:Y391,0))</f>
        <v>1</v>
      </c>
      <c r="S438" s="615">
        <f>INDEX(Q368:Q391,MATCH(T438,Y368:Y391,0))</f>
        <v>32</v>
      </c>
      <c r="T438" s="629">
        <f>IF(MIN(Pile!Y$368:Y$391)&gt;0,MIN(Pile!Y$368:Y$391), 999999)</f>
        <v>86.706631334008762</v>
      </c>
      <c r="U438" s="630"/>
      <c r="V438" s="609"/>
      <c r="W438" s="631"/>
      <c r="X438" s="618"/>
      <c r="Y438" s="631"/>
      <c r="Z438" s="631"/>
      <c r="AA438" s="631"/>
      <c r="AB438" s="609"/>
      <c r="AC438" s="628">
        <f>INDEX(AC368:AC391,MATCH(AG438,AL368:AL391,0))</f>
        <v>450</v>
      </c>
      <c r="AD438" s="613">
        <f>INDEX(AI368:AI391,MATCH(AG438,AL368:AL391,0))</f>
        <v>13.499999999999996</v>
      </c>
      <c r="AE438" s="615">
        <f>INDEX(AB368:AB391,MATCH(AG438,AL368:AL391,0))</f>
        <v>1</v>
      </c>
      <c r="AF438" s="615">
        <f>INDEX(AD368:AD391,MATCH(AG438,AL368:AL391,0))</f>
        <v>32</v>
      </c>
      <c r="AG438" s="629">
        <f>IF(MIN(Pile!AL$368:AL$391)&gt;0,MIN(Pile!AL$368:AL$391), 999999)</f>
        <v>86.706631334008762</v>
      </c>
      <c r="AH438" s="630"/>
      <c r="AI438" s="609"/>
      <c r="AJ438" s="631"/>
      <c r="AK438" s="618"/>
      <c r="AL438" s="631"/>
      <c r="AM438" s="631"/>
      <c r="AN438" s="631"/>
      <c r="AO438" s="609"/>
      <c r="AP438" s="628">
        <f>INDEX(AP368:AP391,MATCH(AT438,AY368:AY391,0))</f>
        <v>450</v>
      </c>
      <c r="AQ438" s="613">
        <f>INDEX(AV368:AV391,MATCH(AT438,AY368:AY391,0))</f>
        <v>13.499999999999996</v>
      </c>
      <c r="AR438" s="615">
        <f>INDEX(AO368:AO391,MATCH(AT438,AY368:AY391,0))</f>
        <v>1</v>
      </c>
      <c r="AS438" s="615">
        <f>INDEX(AQ368:AQ391,MATCH(AT438,AY368:AY391,0))</f>
        <v>32</v>
      </c>
      <c r="AT438" s="629">
        <f>IF(MIN(Pile!AY$368:AY$391)&gt;0,MIN(Pile!AY$368:AY$391), 999999)</f>
        <v>86.706631334008762</v>
      </c>
      <c r="AU438" s="630"/>
      <c r="AV438" s="609"/>
      <c r="AW438" s="300"/>
      <c r="AX438" s="608"/>
      <c r="AY438" s="300"/>
      <c r="AZ438" s="300"/>
      <c r="BA438" s="632"/>
      <c r="BB438" s="609"/>
      <c r="BC438" s="628">
        <f>INDEX(BC368:BC391,MATCH(BG438,BL368:BL391,0))</f>
        <v>450</v>
      </c>
      <c r="BD438" s="613">
        <f>INDEX(BI368:BI391,MATCH(BG438,BL368:BL391,0))</f>
        <v>13.499999999999996</v>
      </c>
      <c r="BE438" s="615">
        <f>INDEX(BB368:BB391,MATCH(BG438,BL368:BL391,0))</f>
        <v>1</v>
      </c>
      <c r="BF438" s="615">
        <f>INDEX(BD368:BD391,MATCH(BG438,BL368:BL391,0))</f>
        <v>32</v>
      </c>
      <c r="BG438" s="629">
        <f>IF(MIN(Pile!BL$368:BL$391)&gt;0,MIN(Pile!BL$368:BL$391), 999999)</f>
        <v>86.706631334008762</v>
      </c>
      <c r="BH438" s="630"/>
      <c r="BI438" s="609"/>
      <c r="BJ438" s="628">
        <f>INDEX(BC368:BC391,MATCH(BN438,BL368:BL391,0))</f>
        <v>450</v>
      </c>
      <c r="BK438" s="613">
        <f>INDEX(BI368:BI391,MATCH(BN438,BL368:BL391,0))</f>
        <v>13.499999999999996</v>
      </c>
      <c r="BL438" s="615">
        <f>INDEX(BB368:BB391,MATCH(BN438,BL368:BL391,0))</f>
        <v>1</v>
      </c>
      <c r="BM438" s="615">
        <f>INDEX(BD368:BD391,MATCH(BN438,BL368:BL391,0))</f>
        <v>32</v>
      </c>
      <c r="BN438" s="633">
        <f>MIN((VLOOKUP(BJ436,BC374:BM379,10)),(VLOOKUP(BJ436,BC368:BM373,10)),(VLOOKUP(BJ436,BC380:BM385,10)),(VLOOKUP(BJ436,BC386:BM391,10)))</f>
        <v>86.706631334008762</v>
      </c>
      <c r="BO438" s="609"/>
      <c r="BP438" s="628">
        <f>INDEX(BP368:BP391,MATCH(BT438,BY368:BY391,0))</f>
        <v>450</v>
      </c>
      <c r="BQ438" s="613">
        <f>INDEX(BV368:BV391,MATCH(BT438,BY368:BY391,0))</f>
        <v>13.499999999999996</v>
      </c>
      <c r="BR438" s="615">
        <f>INDEX(BO368:BO391,MATCH(BT438,BY368:BY391,0))</f>
        <v>1</v>
      </c>
      <c r="BS438" s="615">
        <f>INDEX(BQ368:BQ391,MATCH(BT438,BY368:BY391,0))</f>
        <v>32</v>
      </c>
      <c r="BT438" s="629">
        <f>IF(MIN(Pile!BY$368:BY$391)&gt;0,MIN(Pile!BY$368:BY$391), 999999)</f>
        <v>86.706631334008762</v>
      </c>
      <c r="BU438" s="630"/>
      <c r="BV438" s="609"/>
      <c r="BW438" s="609"/>
      <c r="BX438" s="609"/>
      <c r="BY438" s="609"/>
      <c r="BZ438" s="609"/>
      <c r="CA438" s="609"/>
      <c r="CB438" s="609"/>
      <c r="CC438" s="628">
        <f>INDEX(CC368:CC391,MATCH(CG438,CL368:CL391,0))</f>
        <v>450</v>
      </c>
      <c r="CD438" s="613">
        <f>INDEX(CI368:CI391,MATCH(CG438,CL368:CL391,0))</f>
        <v>13.499999999999996</v>
      </c>
      <c r="CE438" s="615">
        <f>INDEX(CB368:CB391,MATCH(CG438,CL368:CL391,0))</f>
        <v>1</v>
      </c>
      <c r="CF438" s="615">
        <f>INDEX(CD368:CD391,MATCH(CG438,CL368:CL391,0))</f>
        <v>32</v>
      </c>
      <c r="CG438" s="629">
        <f>IF(MIN(Pile!CL$368:CL$391)&gt;0,MIN(Pile!CL$368:CL$391), 999999)</f>
        <v>86.706631334008762</v>
      </c>
      <c r="CH438" s="630"/>
      <c r="CI438" s="609"/>
      <c r="CJ438" s="634">
        <f>INDEX(CC368:CC391,MATCH(CN438,CL368:CL391,0))</f>
        <v>450</v>
      </c>
      <c r="CK438" s="635">
        <f>INDEX(CI368:CI391,MATCH(CN438,CL368:CL391,0))</f>
        <v>13.499999999999996</v>
      </c>
      <c r="CL438" s="636">
        <f>INDEX(CB368:CB391,MATCH(CN438,CL368:CL391,0))</f>
        <v>1</v>
      </c>
      <c r="CM438" s="636">
        <f>INDEX(CD368:CD391,MATCH(CN438,CL368:CL391,0))</f>
        <v>32</v>
      </c>
      <c r="CN438" s="637">
        <f>MIN((VLOOKUP(CJ436,CC374:CM379,10)),(VLOOKUP(CJ436,CC368:CM373,10)),(VLOOKUP(CJ436,CC380:CM385,10)),(VLOOKUP(CJ436,CC386:CM391,10)))</f>
        <v>86.706631334008762</v>
      </c>
      <c r="CO438" s="609"/>
      <c r="CP438" s="628">
        <f>INDEX(CP368:CP391,MATCH(CT438,CY368:CY391,0))</f>
        <v>450</v>
      </c>
      <c r="CQ438" s="613">
        <f>INDEX(CV368:CV391,MATCH(CT438,CY368:CY391,0))</f>
        <v>13.499999999999996</v>
      </c>
      <c r="CR438" s="615">
        <f>INDEX(CO368:CO391,MATCH(CT438,CY368:CY391,0))</f>
        <v>1</v>
      </c>
      <c r="CS438" s="615">
        <f>INDEX(CQ368:CQ391,MATCH(CT438,CY368:CY391,0))</f>
        <v>32</v>
      </c>
      <c r="CT438" s="629">
        <f>IF(MIN(Pile!CY$368:CY$391)&gt;0,MIN(Pile!CY$368:CY$391), 999999)</f>
        <v>86.706631334008762</v>
      </c>
      <c r="CU438" s="630"/>
      <c r="CV438" s="609"/>
      <c r="CW438" s="634">
        <f>INDEX(CP368:CP391,MATCH(DA438,CY368:CY391,0))</f>
        <v>450</v>
      </c>
      <c r="CX438" s="635">
        <f>INDEX(CV368:CV391,MATCH(DA438,CY368:CY391,0))</f>
        <v>13.499999999999996</v>
      </c>
      <c r="CY438" s="636">
        <f>INDEX(CO368:CO391,MATCH(DA438,CY368:CY391,0))</f>
        <v>1</v>
      </c>
      <c r="CZ438" s="636">
        <f>INDEX(CQ368:CQ391,MATCH(DA438,CY368:CY391,0))</f>
        <v>32</v>
      </c>
      <c r="DA438" s="637">
        <f>MIN((VLOOKUP(CW436,CP374:CZ379,10)),(VLOOKUP(CW436,CP368:CZ373,10)),(VLOOKUP(CW436,CP380:CZ385,10)),(VLOOKUP(CW436,CP386:CZ391,10)))</f>
        <v>86.706631334008762</v>
      </c>
      <c r="DB438" s="609"/>
      <c r="DC438" s="628">
        <f>INDEX(DC368:DC391,MATCH(DG438,DL368:DL391,0))</f>
        <v>450</v>
      </c>
      <c r="DD438" s="613">
        <f>INDEX(DI368:DI391,MATCH(DG438,DL368:DL391,0))</f>
        <v>13.499999999999996</v>
      </c>
      <c r="DE438" s="615">
        <f>INDEX(DB368:DB391,MATCH(DG438,DL368:DL391,0))</f>
        <v>1</v>
      </c>
      <c r="DF438" s="615">
        <f>INDEX(DD368:DD391,MATCH(DG438,DL368:DL391,0))</f>
        <v>32</v>
      </c>
      <c r="DG438" s="629">
        <f>IF(MIN(Pile!DL$368:DL$391)&gt;0,MIN(Pile!DL$368:DL$391), 999999)</f>
        <v>86.706631334008762</v>
      </c>
      <c r="DH438" s="630"/>
      <c r="DI438" s="609"/>
      <c r="DJ438" s="634">
        <f>INDEX(DC368:DC391,MATCH(DN438,DL368:DL391,0))</f>
        <v>450</v>
      </c>
      <c r="DK438" s="635">
        <f>INDEX(DI368:DI391,MATCH(DN438,DL368:DL391,0))</f>
        <v>13.499999999999996</v>
      </c>
      <c r="DL438" s="636">
        <f>INDEX(DB368:DB391,MATCH(DN438,DL368:DL391,0))</f>
        <v>1</v>
      </c>
      <c r="DM438" s="636">
        <f>INDEX(DD368:DD391,MATCH(DN438,DL368:DL391,0))</f>
        <v>32</v>
      </c>
      <c r="DN438" s="637">
        <f>MIN((VLOOKUP(DJ436,DC374:DM379,10)),(VLOOKUP(DJ436,DC368:DM373,10)),(VLOOKUP(DJ436,DC380:DM385,10)),(VLOOKUP(DJ436,DC386:DM391,10)))</f>
        <v>86.706631334008762</v>
      </c>
      <c r="DO438" s="609"/>
      <c r="DP438" s="628">
        <f>INDEX(DP368:DP391,MATCH(DT438,DY368:DY391,0))</f>
        <v>450</v>
      </c>
      <c r="DQ438" s="613">
        <f>INDEX(DV368:DV391,MATCH(DT438,DY368:DY391,0))</f>
        <v>13.499999999999996</v>
      </c>
      <c r="DR438" s="615">
        <f>INDEX(DO368:DO391,MATCH(DT438,DY368:DY391,0))</f>
        <v>1</v>
      </c>
      <c r="DS438" s="615">
        <f>INDEX(DQ368:DQ391,MATCH(DT438,DY368:DY391,0))</f>
        <v>32</v>
      </c>
      <c r="DT438" s="629">
        <f>IF(MIN(Pile!DY$368:DY$391)&gt;0,MIN(Pile!DY$368:DY$391), 999999)</f>
        <v>86.706631334008762</v>
      </c>
      <c r="DU438" s="630"/>
      <c r="DV438" s="609"/>
      <c r="DW438" s="634">
        <f>INDEX(DP368:DP391,MATCH(EA438,DY368:DY391,0))</f>
        <v>450</v>
      </c>
      <c r="DX438" s="635">
        <f>INDEX(DV368:DV391,MATCH(EA438,DY368:DY391,0))</f>
        <v>13.499999999999996</v>
      </c>
      <c r="DY438" s="636">
        <f>INDEX(DO368:DO391,MATCH(EA438,DY368:DY391,0))</f>
        <v>1</v>
      </c>
      <c r="DZ438" s="636">
        <f>INDEX(DQ368:DQ391,MATCH(EA438,DY368:DY391,0))</f>
        <v>32</v>
      </c>
      <c r="EA438" s="637">
        <f>MIN((VLOOKUP(DW436,DP374:DZ379,10)),(VLOOKUP(DW436,DP368:DZ373,10)),(VLOOKUP(DW436,DP380:DZ385,10)),(VLOOKUP(DW436,DP386:DZ391,10)))</f>
        <v>86.706631334008762</v>
      </c>
      <c r="EB438" s="609"/>
      <c r="EC438" s="628">
        <f>INDEX(EC368:EC391,MATCH(EG438,EL368:EL391,0))</f>
        <v>450</v>
      </c>
      <c r="ED438" s="613">
        <f>INDEX(EI368:EI391,MATCH(EG438,EL368:EL391,0))</f>
        <v>13.499999999999996</v>
      </c>
      <c r="EE438" s="615">
        <f>INDEX(EB368:EB391,MATCH(EG438,EL368:EL391,0))</f>
        <v>1</v>
      </c>
      <c r="EF438" s="615">
        <f>INDEX(ED368:ED391,MATCH(EG438,EL368:EL391,0))</f>
        <v>32</v>
      </c>
      <c r="EG438" s="629">
        <f>IF(MIN(Pile!EL$368:EL$391)&gt;0,MIN(Pile!EL$368:EL$391), 999999)</f>
        <v>86.706631334008762</v>
      </c>
      <c r="EH438" s="630"/>
      <c r="EI438" s="609"/>
      <c r="EJ438" s="634">
        <f>INDEX(EC368:EC391,MATCH(EN438,EL368:EL391,0))</f>
        <v>450</v>
      </c>
      <c r="EK438" s="635">
        <f>INDEX(EI368:EI391,MATCH(EN438,EL368:EL391,0))</f>
        <v>13.499999999999996</v>
      </c>
      <c r="EL438" s="636">
        <f>INDEX(EB368:EB391,MATCH(EN438,EL368:EL391,0))</f>
        <v>1</v>
      </c>
      <c r="EM438" s="636">
        <f>INDEX(ED368:ED391,MATCH(EN438,EL368:EL391,0))</f>
        <v>32</v>
      </c>
      <c r="EN438" s="637">
        <f>MIN((VLOOKUP(EJ436,EC374:EM379,10)),(VLOOKUP(EJ436,EC368:EM373,10)),(VLOOKUP(EJ436,EC380:EM385,10)),(VLOOKUP(EJ436,EC386:EM391,10)))</f>
        <v>86.706631334008762</v>
      </c>
      <c r="EO438" s="609"/>
      <c r="EP438" s="628">
        <f t="array" ref="EP438">IFERROR((INDEX(Pile!EP$368:EP$391,_xlfn.AGGREGATE(15,3,((Pile!EY$368:EY$391=ET438)/(Pile!EY$368:EY$391=ET438)*ROW(Pile!EY$368:EY$391))-ROW(Pile!EP$367),ROWS(EO438)))),999999)</f>
        <v>450</v>
      </c>
      <c r="EQ438" s="613">
        <f>IF(ISNUMBER(ET438/(ES438*PI()*(EP438/2000)^2)),ET438/(ES438*PI()*(EP438/2000)^2),999999)</f>
        <v>999999</v>
      </c>
      <c r="ER438" s="615">
        <f t="array" ref="ER438">IFERROR((INDEX(Pile!EO$368:EO$391,_xlfn.AGGREGATE(15,3,((Pile!EY$368:EY$391=ET438)/(Pile!EY$368:EY$391=ET438)*ROW(Pile!EY$368:EY$391))-ROW(Pile!EP$367),ROWS(EO438)))),999999)</f>
        <v>1</v>
      </c>
      <c r="ES438" s="615">
        <f t="array" ref="ES438">IFERROR((INDEX(Pile!EQ$368:EQ$391,_xlfn.AGGREGATE(15,3,((Pile!EY$368:EY$391=ET438)/(Pile!EY$368:EY$391=ET438)*ROW(Pile!EY$368:EY$391))-ROW(Pile!EP$367),ROWS(EO438)))),999999)</f>
        <v>32</v>
      </c>
      <c r="ET438" s="633">
        <f>IF(MIN(Pile!EY$368:EY$391)&gt;0,MIN(Pile!EY$368:EY$391), 999999)</f>
        <v>5089375.0094353668</v>
      </c>
      <c r="EU438" s="630"/>
      <c r="EV438" s="609"/>
      <c r="EW438" s="628">
        <f>INDEX(EP368:EP391,MATCH(FA438,EY368:EY391,0))</f>
        <v>450</v>
      </c>
      <c r="EX438" s="613">
        <f>INDEX(EV368:EV391,MATCH(FA438,EY368:EY391,0))</f>
        <v>999999</v>
      </c>
      <c r="EY438" s="615">
        <f>INDEX(EO368:EO391,MATCH(FA438,EY368:EY391,0))</f>
        <v>1</v>
      </c>
      <c r="EZ438" s="615">
        <f>INDEX(EQ368:EQ391,MATCH(FA438,EY368:EY391,0))</f>
        <v>32</v>
      </c>
      <c r="FA438" s="633">
        <f>MIN((VLOOKUP(EW436,EP374:EZ379,10)),(VLOOKUP(EW436,EP368:EZ373,10)),(VLOOKUP(EW436,EP380:EZ385,10)),(VLOOKUP(EW436,EP386:EZ391,10)))</f>
        <v>5089375.0094353668</v>
      </c>
    </row>
    <row r="439" spans="2:158">
      <c r="B439" s="609"/>
      <c r="C439" s="628">
        <f>INDEX(C399:C422,MATCH(G439,L399:L422,0))</f>
        <v>450</v>
      </c>
      <c r="D439" s="613">
        <f>INDEX(I399:I422,MATCH(G439,L399:L422,0))</f>
        <v>13.499999999999996</v>
      </c>
      <c r="E439" s="615">
        <f>INDEX(B399:B422,MATCH(G439,L399:L422,0))</f>
        <v>1</v>
      </c>
      <c r="F439" s="615">
        <f>INDEX(D399:D422,MATCH(G439,L399:L422,0))</f>
        <v>4</v>
      </c>
      <c r="G439" s="629">
        <f>IF(MIN(Pile!L$399:L$422)&gt;0,MIN(Pile!L$399:L$422), 999999)</f>
        <v>10.838328916751095</v>
      </c>
      <c r="H439" s="630"/>
      <c r="I439" s="300"/>
      <c r="J439" s="631"/>
      <c r="K439" s="618"/>
      <c r="L439" s="631"/>
      <c r="M439" s="631"/>
      <c r="N439" s="631"/>
      <c r="O439" s="609"/>
      <c r="P439" s="628">
        <f>INDEX(P399:P422,MATCH(T439,Y399:Y422,0))</f>
        <v>450</v>
      </c>
      <c r="Q439" s="613">
        <f>INDEX(V399:V422,MATCH(T439,Y399:Y422,0))</f>
        <v>13.499999999999996</v>
      </c>
      <c r="R439" s="615">
        <f>INDEX(O399:O422,MATCH(T439,Y399:Y422,0))</f>
        <v>1</v>
      </c>
      <c r="S439" s="615">
        <f>INDEX(Q399:Q422,MATCH(T439,Y399:Y422,0))</f>
        <v>4</v>
      </c>
      <c r="T439" s="629">
        <f>IF(MIN(Pile!Y$399:Y$422)&gt;0,MIN(Pile!Y$399:Y$422), 999999)</f>
        <v>10.838328916751095</v>
      </c>
      <c r="U439" s="630"/>
      <c r="V439" s="609"/>
      <c r="W439" s="631"/>
      <c r="X439" s="618"/>
      <c r="Y439" s="631"/>
      <c r="Z439" s="631"/>
      <c r="AA439" s="631"/>
      <c r="AB439" s="609"/>
      <c r="AC439" s="628">
        <f>INDEX(AC399:AC422,MATCH(AG439,AL399:AL422,0))</f>
        <v>450</v>
      </c>
      <c r="AD439" s="613">
        <f>INDEX(AI399:AI422,MATCH(AG439,AL399:AL422,0))</f>
        <v>13.499999999999996</v>
      </c>
      <c r="AE439" s="615">
        <f>INDEX(AB399:AB422,MATCH(AG439,AL399:AL422,0))</f>
        <v>1</v>
      </c>
      <c r="AF439" s="615">
        <f>INDEX(AD399:AD422,MATCH(AG439,AL399:AL422,0))</f>
        <v>4</v>
      </c>
      <c r="AG439" s="629">
        <f>IF(MIN(Pile!AL$399:AL$422)&gt;0,MIN(Pile!AL$399:AL$422), 999999)</f>
        <v>10.838328916751095</v>
      </c>
      <c r="AH439" s="630"/>
      <c r="AI439" s="609"/>
      <c r="AJ439" s="631"/>
      <c r="AK439" s="618"/>
      <c r="AL439" s="631"/>
      <c r="AM439" s="631"/>
      <c r="AN439" s="631"/>
      <c r="AO439" s="609"/>
      <c r="AP439" s="628">
        <f>INDEX(AP399:AP422,MATCH(AT439,AY399:AY422,0))</f>
        <v>450</v>
      </c>
      <c r="AQ439" s="613">
        <f>INDEX(AV399:AV422,MATCH(AT439,AY399:AY422,0))</f>
        <v>13.499999999999996</v>
      </c>
      <c r="AR439" s="615">
        <f>INDEX(AO399:AO422,MATCH(AT439,AY399:AY422,0))</f>
        <v>1</v>
      </c>
      <c r="AS439" s="615">
        <f>INDEX(AQ399:AQ422,MATCH(AT439,AY399:AY422,0))</f>
        <v>4</v>
      </c>
      <c r="AT439" s="629">
        <f>IF(MIN(Pile!AY$399:AY$422)&gt;0,MIN(Pile!AY$399:AY$422), 999999)</f>
        <v>10.838328916751095</v>
      </c>
      <c r="AU439" s="630"/>
      <c r="AV439" s="609"/>
      <c r="AW439" s="300"/>
      <c r="AX439" s="608"/>
      <c r="AY439" s="300"/>
      <c r="AZ439" s="300"/>
      <c r="BA439" s="632"/>
      <c r="BB439" s="609"/>
      <c r="BC439" s="628">
        <f>INDEX(BC399:BC422,MATCH(BG439,BL399:BL422,0))</f>
        <v>450</v>
      </c>
      <c r="BD439" s="613">
        <f>INDEX(BI399:BI422,MATCH(BG439,BL399:BL422,0))</f>
        <v>13.499999999999996</v>
      </c>
      <c r="BE439" s="615">
        <f>INDEX(BB399:BB422,MATCH(BG439,BL399:BL422,0))</f>
        <v>1</v>
      </c>
      <c r="BF439" s="615">
        <f>INDEX(BD399:BD422,MATCH(BG439,BL399:BL422,0))</f>
        <v>4</v>
      </c>
      <c r="BG439" s="629">
        <f>IF(MIN(Pile!BL$399:BL$422)&gt;0,MIN(Pile!BL$399:BL$422), 999999)</f>
        <v>10.838328916751095</v>
      </c>
      <c r="BH439" s="630"/>
      <c r="BI439" s="609"/>
      <c r="BJ439" s="628">
        <f>INDEX(BC399:BC422,MATCH(BN439,BL399:BL422,0))</f>
        <v>450</v>
      </c>
      <c r="BK439" s="613">
        <f>INDEX(BI399:BI422,MATCH(BN439,BL399:BL422,0))</f>
        <v>13.499999999999996</v>
      </c>
      <c r="BL439" s="615">
        <f>INDEX(BB399:BB422,MATCH(BN439,BL399:BL422,0))</f>
        <v>1</v>
      </c>
      <c r="BM439" s="615">
        <f>INDEX(BD399:BD422,MATCH(BN439,BL399:BL422,0))</f>
        <v>4</v>
      </c>
      <c r="BN439" s="633">
        <f>MIN((VLOOKUP(BJ436,BC405:BM410,10)),(VLOOKUP(BJ436,BC399:BM404,10)),(VLOOKUP(BJ436,BC411:BM416,10)),(VLOOKUP(BJ436,BC417:BM422,10)))</f>
        <v>10.838328916751095</v>
      </c>
      <c r="BO439" s="609"/>
      <c r="BP439" s="628">
        <f>INDEX(BP399:BP422,MATCH(BT439,BY399:BY422,0))</f>
        <v>450</v>
      </c>
      <c r="BQ439" s="613">
        <f>INDEX(BV399:BV422,MATCH(BT439,BY399:BY422,0))</f>
        <v>13.499999999999996</v>
      </c>
      <c r="BR439" s="615">
        <f>INDEX(BO399:BO422,MATCH(BT439,BY399:BY422,0))</f>
        <v>1</v>
      </c>
      <c r="BS439" s="615">
        <f>INDEX(BQ399:BQ422,MATCH(BT439,BY399:BY422,0))</f>
        <v>4</v>
      </c>
      <c r="BT439" s="629">
        <f>IF(MIN(Pile!BY$399:BY$422)&gt;0,MIN(Pile!BY$399:BY$422), 999999)</f>
        <v>10.838328916751095</v>
      </c>
      <c r="BU439" s="630"/>
      <c r="BV439" s="609"/>
      <c r="BW439" s="609"/>
      <c r="BX439" s="609"/>
      <c r="BY439" s="609"/>
      <c r="BZ439" s="609"/>
      <c r="CA439" s="609"/>
      <c r="CB439" s="609"/>
      <c r="CC439" s="628">
        <f>INDEX(CC399:CC422,MATCH(CG439,CL399:CL422,0))</f>
        <v>450</v>
      </c>
      <c r="CD439" s="613">
        <f>INDEX(CI399:CI422,MATCH(CG439,CL399:CL422,0))</f>
        <v>11.999999999999996</v>
      </c>
      <c r="CE439" s="615">
        <f>INDEX(CB399:CB422,MATCH(CG439,CL399:CL422,0))</f>
        <v>1</v>
      </c>
      <c r="CF439" s="615">
        <f>INDEX(CD399:CD422,MATCH(CG439,CL399:CL422,0))</f>
        <v>4</v>
      </c>
      <c r="CG439" s="629">
        <f>IF(MIN(Pile!CL$399:CL$422)&gt;0,MIN(Pile!CL$399:CL$422), 999999)</f>
        <v>9.884070148223195</v>
      </c>
      <c r="CH439" s="630"/>
      <c r="CI439" s="609"/>
      <c r="CJ439" s="634">
        <f>INDEX(CC399:CC422,MATCH(CN439,CL399:CL422,0))</f>
        <v>450</v>
      </c>
      <c r="CK439" s="635">
        <f>INDEX(CI399:CI422,MATCH(CN439,CL399:CL422,0))</f>
        <v>11.999999999999996</v>
      </c>
      <c r="CL439" s="636">
        <f>INDEX(CB399:CB422,MATCH(CN439,CL399:CL422,0))</f>
        <v>1</v>
      </c>
      <c r="CM439" s="636">
        <f>INDEX(CD399:CD422,MATCH(CN439,CL399:CL422,0))</f>
        <v>4</v>
      </c>
      <c r="CN439" s="637">
        <f>MIN((VLOOKUP(CJ436,CC405:CM410,10)),(VLOOKUP(CJ436,CC399:CM404,10)),(VLOOKUP(CJ436,CC411:CM416,10)),(VLOOKUP(CJ436,CC417:CM422,10)))</f>
        <v>9.884070148223195</v>
      </c>
      <c r="CO439" s="609"/>
      <c r="CP439" s="628">
        <f>INDEX(CP399:CP422,MATCH(CT439,CY399:CY422,0))</f>
        <v>450</v>
      </c>
      <c r="CQ439" s="613">
        <f>INDEX(CV399:CV422,MATCH(CT439,CY399:CY422,0))</f>
        <v>11.099999999999996</v>
      </c>
      <c r="CR439" s="615">
        <f>INDEX(CO399:CO422,MATCH(CT439,CY399:CY422,0))</f>
        <v>1</v>
      </c>
      <c r="CS439" s="615">
        <f>INDEX(CQ399:CQ422,MATCH(CT439,CY399:CY422,0))</f>
        <v>4</v>
      </c>
      <c r="CT439" s="629">
        <f>IF(MIN(Pile!CY$399:CY$422)&gt;0,MIN(Pile!CY$399:CY$422), 999999)</f>
        <v>9.3115148871064548</v>
      </c>
      <c r="CU439" s="630"/>
      <c r="CV439" s="609"/>
      <c r="CW439" s="634">
        <f>INDEX(CP399:CP422,MATCH(DA439,CY399:CY422,0))</f>
        <v>450</v>
      </c>
      <c r="CX439" s="635">
        <f>INDEX(CV399:CV422,MATCH(DA439,CY399:CY422,0))</f>
        <v>11.099999999999996</v>
      </c>
      <c r="CY439" s="636">
        <f>INDEX(CO399:CO422,MATCH(DA439,CY399:CY422,0))</f>
        <v>1</v>
      </c>
      <c r="CZ439" s="636">
        <f>INDEX(CQ399:CQ422,MATCH(DA439,CY399:CY422,0))</f>
        <v>4</v>
      </c>
      <c r="DA439" s="637">
        <f>MIN((VLOOKUP(CW436,CP405:CZ410,10)),(VLOOKUP(CW436,CP399:CZ404,10)),(VLOOKUP(CW436,CP411:CZ416,10)),(VLOOKUP(CW436,CP417:CZ422,10)))</f>
        <v>9.3115148871064548</v>
      </c>
      <c r="DB439" s="609"/>
      <c r="DC439" s="628">
        <f>INDEX(DC399:DC422,MATCH(DG439,DL399:DL422,0))</f>
        <v>450</v>
      </c>
      <c r="DD439" s="613">
        <f>INDEX(DI399:DI422,MATCH(DG439,DL399:DL422,0))</f>
        <v>11.099999999999996</v>
      </c>
      <c r="DE439" s="615">
        <f>INDEX(DB399:DB422,MATCH(DG439,DL399:DL422,0))</f>
        <v>1</v>
      </c>
      <c r="DF439" s="615">
        <f>INDEX(DD399:DD422,MATCH(DG439,DL399:DL422,0))</f>
        <v>4</v>
      </c>
      <c r="DG439" s="629">
        <f>IF(MIN(Pile!DL$399:DL$422)&gt;0,MIN(Pile!DL$399:DL$422), 999999)</f>
        <v>9.3115148871064548</v>
      </c>
      <c r="DH439" s="630"/>
      <c r="DI439" s="609"/>
      <c r="DJ439" s="634">
        <f>INDEX(DC399:DC422,MATCH(DN439,DL399:DL422,0))</f>
        <v>450</v>
      </c>
      <c r="DK439" s="635">
        <f>INDEX(DI399:DI422,MATCH(DN439,DL399:DL422,0))</f>
        <v>11.099999999999996</v>
      </c>
      <c r="DL439" s="636">
        <f>INDEX(DB399:DB422,MATCH(DN439,DL399:DL422,0))</f>
        <v>1</v>
      </c>
      <c r="DM439" s="636">
        <f>INDEX(DD399:DD422,MATCH(DN439,DL399:DL422,0))</f>
        <v>4</v>
      </c>
      <c r="DN439" s="637">
        <f>MIN((VLOOKUP(DJ436,DC405:DM410,10)),(VLOOKUP(DJ436,DC399:DM404,10)),(VLOOKUP(DJ436,DC411:DM416,10)),(VLOOKUP(DJ436,DC417:DM422,10)))</f>
        <v>9.3115148871064548</v>
      </c>
      <c r="DO439" s="609"/>
      <c r="DP439" s="628">
        <f>INDEX(DP399:DP422,MATCH(DT439,DY399:DY422,0))</f>
        <v>450</v>
      </c>
      <c r="DQ439" s="613">
        <f>INDEX(DV399:DV422,MATCH(DT439,DY399:DY422,0))</f>
        <v>5.9999999999999982</v>
      </c>
      <c r="DR439" s="615">
        <f>INDEX(DO399:DO422,MATCH(DT439,DY399:DY422,0))</f>
        <v>1</v>
      </c>
      <c r="DS439" s="615">
        <f>INDEX(DQ399:DQ422,MATCH(DT439,DY399:DY422,0))</f>
        <v>4</v>
      </c>
      <c r="DT439" s="629">
        <f>IF(MIN(Pile!DY$399:DY$422)&gt;0,MIN(Pile!DY$399:DY$422), 999999)</f>
        <v>6.0670350741115975</v>
      </c>
      <c r="DU439" s="630"/>
      <c r="DV439" s="609"/>
      <c r="DW439" s="634">
        <f>INDEX(DP399:DP422,MATCH(EA439,DY399:DY422,0))</f>
        <v>450</v>
      </c>
      <c r="DX439" s="635">
        <f>INDEX(DV399:DV422,MATCH(EA439,DY399:DY422,0))</f>
        <v>5.9999999999999982</v>
      </c>
      <c r="DY439" s="636">
        <f>INDEX(DO399:DO422,MATCH(EA439,DY399:DY422,0))</f>
        <v>1</v>
      </c>
      <c r="DZ439" s="636">
        <f>INDEX(DQ399:DQ422,MATCH(EA439,DY399:DY422,0))</f>
        <v>4</v>
      </c>
      <c r="EA439" s="637">
        <f>MIN((VLOOKUP(DW436,DP405:DZ410,10)),(VLOOKUP(DW436,DP399:DZ404,10)),(VLOOKUP(DW436,DP411:DZ416,10)),(VLOOKUP(DW436,DP417:DZ422,10)))</f>
        <v>6.0670350741115975</v>
      </c>
      <c r="EB439" s="609"/>
      <c r="EC439" s="628">
        <f>INDEX(EC399:EC422,MATCH(EG439,EL399:EL422,0))</f>
        <v>450</v>
      </c>
      <c r="ED439" s="613">
        <f>INDEX(EI399:EI422,MATCH(EG439,EL399:EL422,0))</f>
        <v>5.9999999999999982</v>
      </c>
      <c r="EE439" s="615">
        <f>INDEX(EB399:EB422,MATCH(EG439,EL399:EL422,0))</f>
        <v>1</v>
      </c>
      <c r="EF439" s="615">
        <f>INDEX(ED399:ED422,MATCH(EG439,EL399:EL422,0))</f>
        <v>4</v>
      </c>
      <c r="EG439" s="629">
        <f>IF(MIN(Pile!EL$399:EL$422)&gt;0,MIN(Pile!EL$399:EL$422), 999999)</f>
        <v>6.0670350741115975</v>
      </c>
      <c r="EH439" s="630"/>
      <c r="EI439" s="609"/>
      <c r="EJ439" s="634">
        <f>INDEX(EC399:EC422,MATCH(EN439,EL399:EL422,0))</f>
        <v>450</v>
      </c>
      <c r="EK439" s="635">
        <f>INDEX(EI399:EI422,MATCH(EN439,EL399:EL422,0))</f>
        <v>5.9999999999999982</v>
      </c>
      <c r="EL439" s="636">
        <f>INDEX(EB399:EB422,MATCH(EN439,EL399:EL422,0))</f>
        <v>1</v>
      </c>
      <c r="EM439" s="636">
        <f>INDEX(ED399:ED422,MATCH(EN439,EL399:EL422,0))</f>
        <v>4</v>
      </c>
      <c r="EN439" s="637">
        <f>MIN((VLOOKUP(EJ436,EC405:EM410,10)),(VLOOKUP(EJ436,EC399:EM404,10)),(VLOOKUP(EJ436,EC411:EM416,10)),(VLOOKUP(EJ436,EC417:EM422,10)))</f>
        <v>6.0670350741115975</v>
      </c>
      <c r="EO439" s="609"/>
      <c r="EP439" s="628">
        <f t="array" ref="EP439">IFERROR((INDEX(Pile!EP$399:EP$422,_xlfn.AGGREGATE(15,3,((Pile!EY$399:EY$422=ET439)/(Pile!EY$399:EY$422=ET439)*ROW(Pile!EY$399:EY$422))-ROW(Pile!EP$398),ROWS(EO439)))),999999)</f>
        <v>450</v>
      </c>
      <c r="EQ439" s="613">
        <f>IF(ISNUMBER(ET439/(ES439*PI()*(EP439/2000)^2)),ET439/(ES439*PI()*(EP439/2000)^2),999999)</f>
        <v>999999</v>
      </c>
      <c r="ER439" s="615">
        <f t="array" ref="ER439">IFERROR((INDEX(Pile!EO$399:EO$422,_xlfn.AGGREGATE(15,3,((Pile!EY$399:EY$422=ET439)/(Pile!EY$399:EY$422=ET439)*ROW(Pile!EY$399:EY$422))-ROW(Pile!EP$398),ROWS(EO439)))),999999)</f>
        <v>1</v>
      </c>
      <c r="ES439" s="615">
        <f t="array" ref="ES439">IFERROR((INDEX(Pile!EQ$399:EQ$422,_xlfn.AGGREGATE(15,3,((Pile!EY$399:EY$422=ET439)/(Pile!EY$399:EY$422=ET439)*ROW(Pile!EY$399:EY$422))-ROW(Pile!EP$398),ROWS(EO439)))),999999)</f>
        <v>4</v>
      </c>
      <c r="ET439" s="633">
        <f>IF(MIN(Pile!EY$399:EY$422)&gt;0,MIN(Pile!EY$399:EY$422), 999999)</f>
        <v>636171.87617942085</v>
      </c>
      <c r="EU439" s="630"/>
      <c r="EV439" s="609"/>
      <c r="EW439" s="628">
        <f>INDEX(EP399:EP422,MATCH(FA439,EY399:EY422,0))</f>
        <v>450</v>
      </c>
      <c r="EX439" s="613">
        <f>INDEX(EV399:EV422,MATCH(FA439,EY399:EY422,0))</f>
        <v>999999</v>
      </c>
      <c r="EY439" s="615">
        <f>INDEX(EO399:EO422,MATCH(FA439,EY399:EY422,0))</f>
        <v>1</v>
      </c>
      <c r="EZ439" s="615">
        <f>INDEX(EQ399:EQ422,MATCH(FA439,EY399:EY422,0))</f>
        <v>4</v>
      </c>
      <c r="FA439" s="633">
        <f>MIN((VLOOKUP(EW436,EP405:EZ410,10)),(VLOOKUP(EW436,EP399:EZ404,10)),(VLOOKUP(EW436,EP411:EZ416,10)),(VLOOKUP(EW436,EP417:EZ422,10)))</f>
        <v>636171.87617942085</v>
      </c>
    </row>
    <row r="440" spans="2:158">
      <c r="B440" s="609" t="s">
        <v>889</v>
      </c>
      <c r="C440" s="610"/>
      <c r="D440" s="608"/>
      <c r="G440" s="611"/>
      <c r="H440" s="630"/>
      <c r="I440" s="300"/>
      <c r="J440" s="631"/>
      <c r="K440" s="618"/>
      <c r="L440" s="631"/>
      <c r="M440" s="631"/>
      <c r="N440" s="631"/>
      <c r="O440" s="609" t="s">
        <v>889</v>
      </c>
      <c r="P440" s="610"/>
      <c r="Q440" s="608"/>
      <c r="T440" s="611"/>
      <c r="U440" s="630"/>
      <c r="V440" s="609"/>
      <c r="W440" s="631"/>
      <c r="X440" s="618"/>
      <c r="Y440" s="631"/>
      <c r="Z440" s="631"/>
      <c r="AA440" s="631"/>
      <c r="AB440" s="609" t="s">
        <v>889</v>
      </c>
      <c r="AC440" s="610"/>
      <c r="AD440" s="608"/>
      <c r="AG440" s="611"/>
      <c r="AH440" s="630"/>
      <c r="AI440" s="609"/>
      <c r="AJ440" s="631"/>
      <c r="AK440" s="618"/>
      <c r="AL440" s="631"/>
      <c r="AM440" s="631"/>
      <c r="AN440" s="631"/>
      <c r="AO440" s="609" t="s">
        <v>889</v>
      </c>
      <c r="AP440" s="610"/>
      <c r="AQ440" s="608"/>
      <c r="AT440" s="611"/>
      <c r="AU440" s="630"/>
      <c r="AV440" s="609"/>
      <c r="AW440" s="300"/>
      <c r="AX440" s="608"/>
      <c r="AY440" s="300"/>
      <c r="AZ440" s="300"/>
      <c r="BA440" s="300"/>
      <c r="BB440" s="609" t="s">
        <v>889</v>
      </c>
      <c r="BC440" s="610"/>
      <c r="BD440" s="608"/>
      <c r="BG440" s="611"/>
      <c r="BH440" s="630"/>
      <c r="BI440" s="609" t="s">
        <v>889</v>
      </c>
      <c r="BJ440" s="299">
        <f>BC441</f>
        <v>450</v>
      </c>
      <c r="BK440" s="608"/>
      <c r="BL440" s="300"/>
      <c r="BM440" s="300"/>
      <c r="BN440" s="301"/>
      <c r="BO440" s="609" t="s">
        <v>889</v>
      </c>
      <c r="BP440" s="610"/>
      <c r="BQ440" s="608"/>
      <c r="BT440" s="611"/>
      <c r="BU440" s="630"/>
      <c r="BV440" s="609"/>
      <c r="BW440" s="609"/>
      <c r="BX440" s="609"/>
      <c r="BY440" s="609"/>
      <c r="BZ440" s="609"/>
      <c r="CA440" s="609"/>
      <c r="CB440" s="609" t="s">
        <v>889</v>
      </c>
      <c r="CC440" s="610"/>
      <c r="CD440" s="608"/>
      <c r="CG440" s="611"/>
      <c r="CH440" s="630"/>
      <c r="CI440" s="609" t="s">
        <v>889</v>
      </c>
      <c r="CJ440" s="638">
        <f>CC441</f>
        <v>450</v>
      </c>
      <c r="CK440" s="618"/>
      <c r="CL440" s="631"/>
      <c r="CM440" s="631"/>
      <c r="CN440" s="639"/>
      <c r="CO440" s="609" t="s">
        <v>889</v>
      </c>
      <c r="CP440" s="610"/>
      <c r="CQ440" s="608"/>
      <c r="CT440" s="611"/>
      <c r="CU440" s="630"/>
      <c r="CV440" s="609" t="s">
        <v>889</v>
      </c>
      <c r="CW440" s="638">
        <f>MAX(CP441:CP443)</f>
        <v>600</v>
      </c>
      <c r="CX440" s="618"/>
      <c r="CY440" s="631"/>
      <c r="CZ440" s="631"/>
      <c r="DA440" s="639"/>
      <c r="DB440" s="609" t="s">
        <v>889</v>
      </c>
      <c r="DC440" s="610"/>
      <c r="DD440" s="608"/>
      <c r="DG440" s="611"/>
      <c r="DH440" s="630"/>
      <c r="DI440" s="609" t="s">
        <v>889</v>
      </c>
      <c r="DJ440" s="638">
        <f>DC441</f>
        <v>450</v>
      </c>
      <c r="DK440" s="618"/>
      <c r="DL440" s="631"/>
      <c r="DM440" s="631"/>
      <c r="DN440" s="639"/>
      <c r="DO440" s="609" t="s">
        <v>889</v>
      </c>
      <c r="DP440" s="610"/>
      <c r="DQ440" s="608"/>
      <c r="DT440" s="611"/>
      <c r="DU440" s="630"/>
      <c r="DV440" s="609" t="s">
        <v>889</v>
      </c>
      <c r="DW440" s="638">
        <f>DP441</f>
        <v>450</v>
      </c>
      <c r="DX440" s="618"/>
      <c r="DY440" s="631"/>
      <c r="DZ440" s="631"/>
      <c r="EA440" s="639"/>
      <c r="EB440" s="609" t="s">
        <v>889</v>
      </c>
      <c r="EC440" s="610"/>
      <c r="ED440" s="608"/>
      <c r="EG440" s="611"/>
      <c r="EH440" s="630"/>
      <c r="EI440" s="609" t="s">
        <v>889</v>
      </c>
      <c r="EJ440" s="638">
        <f>EC441</f>
        <v>450</v>
      </c>
      <c r="EK440" s="618"/>
      <c r="EL440" s="631"/>
      <c r="EM440" s="631"/>
      <c r="EN440" s="639"/>
      <c r="EO440" s="609" t="s">
        <v>889</v>
      </c>
      <c r="EP440" s="610"/>
      <c r="EQ440" s="608"/>
      <c r="ET440" s="611"/>
      <c r="EU440" s="630"/>
      <c r="EV440" s="609" t="s">
        <v>889</v>
      </c>
      <c r="EW440" s="299">
        <f>MAX(EP441:EP443)</f>
        <v>450</v>
      </c>
      <c r="EX440" s="608"/>
      <c r="EY440" s="300"/>
      <c r="EZ440" s="300"/>
      <c r="FA440" s="301"/>
    </row>
    <row r="441" spans="2:158" ht="15">
      <c r="C441" s="612">
        <f>INDEX(C336:C359,MATCH(G441,K336:K359,0))</f>
        <v>450</v>
      </c>
      <c r="D441" s="613">
        <f>INDEX(H336:H359,MATCH(G441,K336:K359,0))</f>
        <v>14.999999999999996</v>
      </c>
      <c r="E441" s="614">
        <f>INDEX(B336:B359,MATCH(G441,K336:K359,0))</f>
        <v>1</v>
      </c>
      <c r="F441" s="615">
        <f>INDEX(D336:D359,MATCH(G441,K336:K359,0))</f>
        <v>63</v>
      </c>
      <c r="G441" s="616">
        <f>IF(MIN(Pile!K$336:K$359)&gt;0,MIN(Pile!K$336:K$359), 999999)</f>
        <v>185.73325604314417</v>
      </c>
      <c r="H441" s="627"/>
      <c r="I441" s="300"/>
      <c r="J441" s="618"/>
      <c r="K441" s="618"/>
      <c r="L441" s="618"/>
      <c r="M441" s="631"/>
      <c r="N441" s="618"/>
      <c r="P441" s="612">
        <f>INDEX(P336:P359,MATCH(T441,X336:X359,0))</f>
        <v>450</v>
      </c>
      <c r="Q441" s="613">
        <f>INDEX(U336:U359,MATCH(T441,X336:X359,0))</f>
        <v>14.999999999999996</v>
      </c>
      <c r="R441" s="614">
        <f>INDEX(O336:O359,MATCH(T441,X336:X359,0))</f>
        <v>1</v>
      </c>
      <c r="S441" s="615">
        <f>INDEX(Q336:Q359,MATCH(T441,X336:X359,0))</f>
        <v>63</v>
      </c>
      <c r="T441" s="616">
        <f>IF(MIN(Pile!X$336:X$359)&gt;0,MIN(Pile!X$336:X$359), 999999)</f>
        <v>185.73325604314417</v>
      </c>
      <c r="U441" s="627"/>
      <c r="W441" s="618"/>
      <c r="X441" s="618"/>
      <c r="Y441" s="618"/>
      <c r="Z441" s="631"/>
      <c r="AA441" s="618"/>
      <c r="AC441" s="612">
        <f>INDEX(AC336:AC359,MATCH(AG441,AK336:AK359,0))</f>
        <v>450</v>
      </c>
      <c r="AD441" s="613">
        <f>INDEX(AH336:AH359,MATCH(AG441,AK336:AK359,0))</f>
        <v>14.999999999999996</v>
      </c>
      <c r="AE441" s="614">
        <f>INDEX(AB336:AB359,MATCH(AG441,AK336:AK359,0))</f>
        <v>1</v>
      </c>
      <c r="AF441" s="615">
        <f>INDEX(AD336:AD359,MATCH(AG441,AK336:AK359,0))</f>
        <v>63</v>
      </c>
      <c r="AG441" s="616">
        <f>IF(MIN(Pile!AK$336:AK$359)&gt;0,MIN(Pile!AK$336:AK$359), 999999)</f>
        <v>185.73325604314417</v>
      </c>
      <c r="AH441" s="627"/>
      <c r="AJ441" s="618"/>
      <c r="AK441" s="618"/>
      <c r="AL441" s="618"/>
      <c r="AM441" s="631"/>
      <c r="AN441" s="618"/>
      <c r="AP441" s="612">
        <f>INDEX(AP336:AP359,MATCH(AT441,AX336:AX359,0))</f>
        <v>450</v>
      </c>
      <c r="AQ441" s="613">
        <f>INDEX(AU336:AU359,MATCH(AT441,AX336:AX359,0))</f>
        <v>13.499999999999996</v>
      </c>
      <c r="AR441" s="614">
        <f>INDEX(AO336:AO359,MATCH(AT441,AX336:AX359,0))</f>
        <v>1</v>
      </c>
      <c r="AS441" s="615">
        <f>INDEX(AQ336:AQ359,MATCH(AT441,AX336:AX359,0))</f>
        <v>63</v>
      </c>
      <c r="AT441" s="616">
        <f>IF(MIN(Pile!AX$336:AX$359)&gt;0,MIN(Pile!AX$336:AX$359), 999999)</f>
        <v>170.70368043882976</v>
      </c>
      <c r="AU441" s="627"/>
      <c r="AW441" s="619"/>
      <c r="AX441" s="608"/>
      <c r="AY441" s="619"/>
      <c r="AZ441" s="300"/>
      <c r="BA441" s="608"/>
      <c r="BC441" s="612">
        <f>INDEX(BC336:BC359,MATCH(BG441,BK336:BK359,0))</f>
        <v>450</v>
      </c>
      <c r="BD441" s="613">
        <f>INDEX(BH336:BH359,MATCH(BG441,BK336:BK359,0))</f>
        <v>14.999999999999996</v>
      </c>
      <c r="BE441" s="614">
        <f>INDEX(BB336:BB359,MATCH(BG441,BK336:BK359,0))</f>
        <v>1</v>
      </c>
      <c r="BF441" s="615">
        <f>INDEX(BD336:BD359,MATCH(BG441,BK336:BK359,0))</f>
        <v>63</v>
      </c>
      <c r="BG441" s="616">
        <f>IF(MIN(Pile!BK$336:BK$359)&gt;0,MIN(Pile!BK$336:BK$359), 999999)</f>
        <v>185.73325604314417</v>
      </c>
      <c r="BH441" s="627"/>
      <c r="BJ441" s="612">
        <f>INDEX(BC336:BC359,MATCH(BN441,BK336:BK359,0))</f>
        <v>450</v>
      </c>
      <c r="BK441" s="613">
        <f>INDEX(BH336:BH359,MATCH(BN441,BK336:BK359,0))</f>
        <v>14.999999999999996</v>
      </c>
      <c r="BL441" s="614">
        <f>INDEX(BB336:BB359,MATCH(BN441,BK336:BK359,0))</f>
        <v>1</v>
      </c>
      <c r="BM441" s="615">
        <f>INDEX(BD336:BD359,MATCH(BN441,BK336:BK359,0))</f>
        <v>63</v>
      </c>
      <c r="BN441" s="626">
        <f>MIN((VLOOKUP(BJ440,BC342:BM347,9)),(VLOOKUP(BJ440,BC336:BM341,9)),(VLOOKUP(BJ440,BC348:BM353,9)),(VLOOKUP(BJ440,BC354:BM359,9)))</f>
        <v>185.73325604314417</v>
      </c>
      <c r="BP441" s="612">
        <f>INDEX(BP336:BP359,MATCH(BT441,BX336:BX359,0))</f>
        <v>450</v>
      </c>
      <c r="BQ441" s="613">
        <f>INDEX(BU336:BU359,MATCH(BT441,BX336:BX359,0))</f>
        <v>16.499999999999996</v>
      </c>
      <c r="BR441" s="614">
        <f>INDEX(BO336:BO359,MATCH(BT441,BX336:BX359,0))</f>
        <v>1</v>
      </c>
      <c r="BS441" s="615">
        <f>INDEX(BQ336:BQ359,MATCH(BT441,BX336:BX359,0))</f>
        <v>63</v>
      </c>
      <c r="BT441" s="616">
        <f>IF(MIN(Pile!BX$336:BX$359)&gt;0,MIN(Pile!BX$336:BX$359), 999999)</f>
        <v>200.7628316474586</v>
      </c>
      <c r="BU441" s="627"/>
      <c r="CC441" s="612">
        <f>INDEX(CC336:CC359,MATCH(CG441,CK336:CK359,0))</f>
        <v>450</v>
      </c>
      <c r="CD441" s="613">
        <f>INDEX(CH336:CH359,MATCH(CG441,CK336:CK359,0))</f>
        <v>13.499999999999996</v>
      </c>
      <c r="CE441" s="614">
        <f>INDEX(CB336:CB359,MATCH(CG441,CK336:CK359,0))</f>
        <v>1</v>
      </c>
      <c r="CF441" s="615">
        <f>INDEX(CD336:CD359,MATCH(CG441,CK336:CK359,0))</f>
        <v>63</v>
      </c>
      <c r="CG441" s="616">
        <f>IF(MIN(Pile!CK$336:CK$359)&gt;0,MIN(Pile!CK$336:CK$359), 999999)</f>
        <v>170.70368043882976</v>
      </c>
      <c r="CH441" s="627"/>
      <c r="CJ441" s="640">
        <f>INDEX(CC336:CC359,MATCH(CN441,CK336:CK359,0))</f>
        <v>450</v>
      </c>
      <c r="CK441" s="635">
        <f>INDEX(CH336:CH359,MATCH(CN441,CK336:CK359,0))</f>
        <v>13.499999999999996</v>
      </c>
      <c r="CL441" s="635">
        <f>INDEX(CB336:CB359,MATCH(CN441,CK336:CK359,0))</f>
        <v>1</v>
      </c>
      <c r="CM441" s="636">
        <f>INDEX(CD336:CD359,MATCH(CN441,CK336:CK359,0))</f>
        <v>63</v>
      </c>
      <c r="CN441" s="641">
        <f>MIN((VLOOKUP(CJ440,CC342:CM347,9)),(VLOOKUP(CJ440,CC336:CM341,9)),(VLOOKUP(CJ440,CC348:CM353,9)),(VLOOKUP(CJ440,CC354:CM359,9)))</f>
        <v>170.70368043882976</v>
      </c>
      <c r="CP441" s="612">
        <f>INDEX(CP336:CP359,MATCH(CT441,CX336:CX359,0))</f>
        <v>450</v>
      </c>
      <c r="CQ441" s="613">
        <f>INDEX(CU336:CU359,MATCH(CT441,CX336:CX359,0))</f>
        <v>13.499999999999996</v>
      </c>
      <c r="CR441" s="614">
        <f>INDEX(CO336:CO359,MATCH(CT441,CX336:CX359,0))</f>
        <v>1</v>
      </c>
      <c r="CS441" s="615">
        <f>INDEX(CQ336:CQ359,MATCH(CT441,CX336:CX359,0))</f>
        <v>63</v>
      </c>
      <c r="CT441" s="616">
        <f>IF(MIN(Pile!CX$336:CX$359)&gt;0,MIN(Pile!CX$336:CX$359), 999999)</f>
        <v>170.70368043882976</v>
      </c>
      <c r="CU441" s="627"/>
      <c r="CW441" s="640">
        <f>INDEX(CP336:CP359,MATCH(DA441,CX336:CX359,0))</f>
        <v>600</v>
      </c>
      <c r="CX441" s="635">
        <f>INDEX(CU336:CU359,MATCH(DA441,CX336:CX359,0))</f>
        <v>13.499999999999996</v>
      </c>
      <c r="CY441" s="635">
        <f>INDEX(CO336:CO359,MATCH(DA441,CX336:CX359,0))</f>
        <v>1</v>
      </c>
      <c r="CZ441" s="636">
        <f>INDEX(CQ336:CQ359,MATCH(DA441,CX336:CX359,0))</f>
        <v>63</v>
      </c>
      <c r="DA441" s="641">
        <f>MIN((VLOOKUP(CW440,CP342:CZ347,9)),(VLOOKUP(CW440,CP336:CZ341,9)),(VLOOKUP(CW440,CP348:CZ353,9)),(VLOOKUP(CW440,CP354:CZ359,9)))</f>
        <v>311.91520966903067</v>
      </c>
      <c r="DC441" s="612">
        <f>INDEX(DC336:DC359,MATCH(DG441,DK336:DK359,0))</f>
        <v>450</v>
      </c>
      <c r="DD441" s="613">
        <f>INDEX(DH336:DH359,MATCH(DG441,DK336:DK359,0))</f>
        <v>13.499999999999996</v>
      </c>
      <c r="DE441" s="614">
        <f>INDEX(DB336:DB359,MATCH(DG441,DK336:DK359,0))</f>
        <v>1</v>
      </c>
      <c r="DF441" s="615">
        <f>INDEX(DD336:DD359,MATCH(DG441,DK336:DK359,0))</f>
        <v>63</v>
      </c>
      <c r="DG441" s="616">
        <f>IF(MIN(Pile!DK$336:DK$359)&gt;0,MIN(Pile!DK$336:DK$359), 999999)</f>
        <v>170.70368043882976</v>
      </c>
      <c r="DH441" s="627"/>
      <c r="DJ441" s="640">
        <f>INDEX(DC336:DC359,MATCH(DN441,DK336:DK359,0))</f>
        <v>450</v>
      </c>
      <c r="DK441" s="635">
        <f>INDEX(DH336:DH359,MATCH(DN441,DK336:DK359,0))</f>
        <v>13.499999999999996</v>
      </c>
      <c r="DL441" s="635">
        <f>INDEX(DB336:DB359,MATCH(DN441,DK336:DK359,0))</f>
        <v>1</v>
      </c>
      <c r="DM441" s="636">
        <f>INDEX(DD336:DD359,MATCH(DN441,DK336:DK359,0))</f>
        <v>63</v>
      </c>
      <c r="DN441" s="641">
        <f>MIN((VLOOKUP(DJ440,DC342:DM347,9)),(VLOOKUP(DJ440,DC336:DM341,9)),(VLOOKUP(DJ440,DC348:DM353,9)),(VLOOKUP(DJ440,DC354:DM359,9)))</f>
        <v>170.70368043882976</v>
      </c>
      <c r="DP441" s="612">
        <f>INDEX(DP336:DP359,MATCH(DT441,DX336:DX359,0))</f>
        <v>450</v>
      </c>
      <c r="DQ441" s="613">
        <f>INDEX(DU336:DU359,MATCH(DT441,DX336:DX359,0))</f>
        <v>13.499999999999996</v>
      </c>
      <c r="DR441" s="614">
        <f>INDEX(DO336:DO359,MATCH(DT441,DX336:DX359,0))</f>
        <v>1</v>
      </c>
      <c r="DS441" s="615">
        <f>INDEX(DQ336:DQ359,MATCH(DT441,DX336:DX359,0))</f>
        <v>63</v>
      </c>
      <c r="DT441" s="616">
        <f>IF(MIN(Pile!DX$336:DX$359)&gt;0,MIN(Pile!DX$336:DX$359), 999999)</f>
        <v>170.70368043882976</v>
      </c>
      <c r="DU441" s="627"/>
      <c r="DW441" s="640">
        <f>INDEX(DP336:DP359,MATCH(EA441,DX336:DX359,0))</f>
        <v>450</v>
      </c>
      <c r="DX441" s="635">
        <f>INDEX(DU336:DU359,MATCH(EA441,DX336:DX359,0))</f>
        <v>13.499999999999996</v>
      </c>
      <c r="DY441" s="635">
        <f>INDEX(DO336:DO359,MATCH(EA441,DX336:DX359,0))</f>
        <v>1</v>
      </c>
      <c r="DZ441" s="636">
        <f>INDEX(DQ336:DQ359,MATCH(EA441,DX336:DX359,0))</f>
        <v>63</v>
      </c>
      <c r="EA441" s="641">
        <f>MIN((VLOOKUP(DW440,DP342:DZ347,9)),(VLOOKUP(DW440,DP336:DZ341,9)),(VLOOKUP(DW440,DP348:DZ353,9)),(VLOOKUP(DW440,DP354:DZ359,9)))</f>
        <v>170.70368043882976</v>
      </c>
      <c r="EC441" s="612">
        <f>INDEX(EC336:EC359,MATCH(EG441,EK336:EK359,0))</f>
        <v>450</v>
      </c>
      <c r="ED441" s="613">
        <f>INDEX(EH336:EH359,MATCH(EG441,EK336:EK359,0))</f>
        <v>13.499999999999996</v>
      </c>
      <c r="EE441" s="614">
        <f>INDEX(EB336:EB359,MATCH(EG441,EK336:EK359,0))</f>
        <v>1</v>
      </c>
      <c r="EF441" s="615">
        <f>INDEX(ED336:ED359,MATCH(EG441,EK336:EK359,0))</f>
        <v>63</v>
      </c>
      <c r="EG441" s="616">
        <f>IF(MIN(Pile!EK$336:EK$359)&gt;0,MIN(Pile!EK$336:EK$359), 999999)</f>
        <v>170.70368043882976</v>
      </c>
      <c r="EH441" s="627"/>
      <c r="EJ441" s="640">
        <f>INDEX(EC336:EC359,MATCH(EN441,EK336:EK359,0))</f>
        <v>450</v>
      </c>
      <c r="EK441" s="635">
        <f>INDEX(EH336:EH359,MATCH(EN441,EK336:EK359,0))</f>
        <v>13.499999999999996</v>
      </c>
      <c r="EL441" s="635">
        <f>INDEX(EB336:EB359,MATCH(EN441,EK336:EK359,0))</f>
        <v>1</v>
      </c>
      <c r="EM441" s="636">
        <f>INDEX(ED336:ED359,MATCH(EN441,EK336:EK359,0))</f>
        <v>63</v>
      </c>
      <c r="EN441" s="641">
        <f>MIN((VLOOKUP(EJ440,EC342:EM347,9)),(VLOOKUP(EJ440,EC336:EM341,9)),(VLOOKUP(EJ440,EC348:EM353,9)),(VLOOKUP(EJ440,EC354:EM359,9)))</f>
        <v>170.70368043882976</v>
      </c>
      <c r="EP441" s="612">
        <f t="array" ref="EP441">IFERROR((INDEX(Pile!EP$336:EP$359,_xlfn.AGGREGATE(15,3,((Pile!EX$336:EX$359=ET441)/(Pile!EX$336:EX$359=ET441)*ROW(Pile!EX$336:EX$359))-ROW(Pile!EP$335),ROWS(EO441)))),999999)</f>
        <v>450</v>
      </c>
      <c r="EQ441" s="613">
        <f>IF(ISNUMBER(ET441/(ES441*PI()*(EP441/2000)^2)),ET441/(ES441*PI()*(EP441/2000)^2),999999)</f>
        <v>999998.99999999988</v>
      </c>
      <c r="ER441" s="614">
        <f t="array" ref="ER441">IFERROR((INDEX(Pile!EO$336:EO$359,_xlfn.AGGREGATE(15,3,((Pile!EX$336:EX$359=ET441)/(Pile!EX$336:EX$359=ET441)*ROW(Pile!EX$336:EX$359))-ROW(Pile!EP$335),ROWS(EO441)))),999999)</f>
        <v>1</v>
      </c>
      <c r="ES441" s="615">
        <f t="array" ref="ES441">IFERROR((INDEX(Pile!EQ$336:EQ$359,_xlfn.AGGREGATE(15,3,((Pile!EX$336:EX$359=ET441)/(Pile!EX$336:EX$359=ET441)*ROW(Pile!EX$336:EX$359))-ROW(Pile!EP$335),ROWS(EO441)))),999999)</f>
        <v>63</v>
      </c>
      <c r="ET441" s="626">
        <f>IF(MIN(Pile!EX$336:EX$359)&gt;0,MIN(Pile!EX$336:EX$359), 999999)</f>
        <v>10019707.049825877</v>
      </c>
      <c r="EU441" s="627"/>
      <c r="EW441" s="612">
        <f>INDEX(EP336:EP359,MATCH(FA441,EX336:EX359,0))</f>
        <v>450</v>
      </c>
      <c r="EX441" s="613">
        <f>INDEX(EU336:EU359,MATCH(FA441,EX336:EX359,0))</f>
        <v>999999</v>
      </c>
      <c r="EY441" s="614">
        <f>INDEX(EO336:EO359,MATCH(FA441,EX336:EX359,0))</f>
        <v>1</v>
      </c>
      <c r="EZ441" s="615">
        <f>INDEX(EQ336:EQ359,MATCH(FA441,EX336:EX359,0))</f>
        <v>63</v>
      </c>
      <c r="FA441" s="626">
        <f>MIN((VLOOKUP(EW440,EP342:EZ347,9)),(VLOOKUP(EW440,EP336:EZ341,9)),(VLOOKUP(EW440,EP348:EZ353,9)),(VLOOKUP(EW440,EP354:EZ359,9)))</f>
        <v>10019707.049825877</v>
      </c>
    </row>
    <row r="442" spans="2:158">
      <c r="C442" s="628">
        <f>INDEX(C368:C391,MATCH(G442,K368:K391,0))</f>
        <v>450</v>
      </c>
      <c r="D442" s="613">
        <f>INDEX(H368:H391,MATCH(G442,K368:K391,0))</f>
        <v>14.999999999999996</v>
      </c>
      <c r="E442" s="615">
        <f>INDEX(B368:B391,MATCH(G442,K368:K391,0))</f>
        <v>1</v>
      </c>
      <c r="F442" s="615">
        <f>INDEX(D368:D391,MATCH(G442,K368:K391,0))</f>
        <v>32</v>
      </c>
      <c r="G442" s="629">
        <f>IF(MIN(Pile!K$368:K$391)&gt;0,MIN(Pile!K$368:K$391), 999999)</f>
        <v>94.340701482231964</v>
      </c>
      <c r="H442" s="630"/>
      <c r="I442" s="300"/>
      <c r="J442" s="631"/>
      <c r="K442" s="618"/>
      <c r="L442" s="631"/>
      <c r="M442" s="631"/>
      <c r="N442" s="631"/>
      <c r="P442" s="628">
        <f>INDEX(P368:P391,MATCH(T442,X368:X391,0))</f>
        <v>450</v>
      </c>
      <c r="Q442" s="613">
        <f>INDEX(U368:U391,MATCH(T442,X368:X391,0))</f>
        <v>14.999999999999996</v>
      </c>
      <c r="R442" s="615">
        <f>INDEX(O368:O391,MATCH(T442,X368:X391,0))</f>
        <v>1</v>
      </c>
      <c r="S442" s="615">
        <f>INDEX(Q368:Q391,MATCH(T442,X368:X391,0))</f>
        <v>32</v>
      </c>
      <c r="T442" s="629">
        <f>IF(MIN(Pile!X$368:X$391)&gt;0,MIN(Pile!X$368:X$391), 999999)</f>
        <v>94.340701482231964</v>
      </c>
      <c r="U442" s="630"/>
      <c r="W442" s="631"/>
      <c r="X442" s="618"/>
      <c r="Y442" s="631"/>
      <c r="Z442" s="631"/>
      <c r="AA442" s="631"/>
      <c r="AC442" s="628">
        <f>INDEX(AC368:AC391,MATCH(AG442,AK368:AK391,0))</f>
        <v>450</v>
      </c>
      <c r="AD442" s="613">
        <f>INDEX(AH368:AH391,MATCH(AG442,AK368:AK391,0))</f>
        <v>13.499999999999996</v>
      </c>
      <c r="AE442" s="615">
        <f>INDEX(AB368:AB391,MATCH(AG442,AK368:AK391,0))</f>
        <v>1</v>
      </c>
      <c r="AF442" s="615">
        <f>INDEX(AD368:AD391,MATCH(AG442,AK368:AK391,0))</f>
        <v>32</v>
      </c>
      <c r="AG442" s="629">
        <f>IF(MIN(Pile!AK$368:AK$391)&gt;0,MIN(Pile!AK$368:AK$391), 999999)</f>
        <v>86.706631334008762</v>
      </c>
      <c r="AH442" s="630"/>
      <c r="AJ442" s="631"/>
      <c r="AK442" s="618"/>
      <c r="AL442" s="631"/>
      <c r="AM442" s="631"/>
      <c r="AN442" s="631"/>
      <c r="AP442" s="628">
        <f>INDEX(AP368:AP391,MATCH(AT442,AX368:AX391,0))</f>
        <v>450</v>
      </c>
      <c r="AQ442" s="613">
        <f>INDEX(AU368:AU391,MATCH(AT442,AX368:AX391,0))</f>
        <v>13.499999999999996</v>
      </c>
      <c r="AR442" s="615">
        <f>INDEX(AO368:AO391,MATCH(AT442,AX368:AX391,0))</f>
        <v>1</v>
      </c>
      <c r="AS442" s="615">
        <f>INDEX(AQ368:AQ391,MATCH(AT442,AX368:AX391,0))</f>
        <v>32</v>
      </c>
      <c r="AT442" s="629">
        <f>IF(MIN(Pile!AX$368:AX$391)&gt;0,MIN(Pile!AX$368:AX$391), 999999)</f>
        <v>86.706631334008762</v>
      </c>
      <c r="AU442" s="630"/>
      <c r="AW442" s="300"/>
      <c r="AX442" s="608"/>
      <c r="AY442" s="300"/>
      <c r="AZ442" s="300"/>
      <c r="BA442" s="632"/>
      <c r="BC442" s="628">
        <f>INDEX(BC368:BC391,MATCH(BG442,BK368:BK391,0))</f>
        <v>450</v>
      </c>
      <c r="BD442" s="613">
        <f>INDEX(BH368:BH391,MATCH(BG442,BK368:BK391,0))</f>
        <v>13.499999999999996</v>
      </c>
      <c r="BE442" s="615">
        <f>INDEX(BB368:BB391,MATCH(BG442,BK368:BK391,0))</f>
        <v>1</v>
      </c>
      <c r="BF442" s="615">
        <f>INDEX(BD368:BD391,MATCH(BG442,BK368:BK391,0))</f>
        <v>32</v>
      </c>
      <c r="BG442" s="629">
        <f>IF(MIN(Pile!BK$368:BK$391)&gt;0,MIN(Pile!BK$368:BK$391), 999999)</f>
        <v>86.706631334008762</v>
      </c>
      <c r="BH442" s="630"/>
      <c r="BJ442" s="628">
        <f>INDEX(BC368:BC391,MATCH(BN442,BK368:BK391,0))</f>
        <v>450</v>
      </c>
      <c r="BK442" s="613">
        <f>INDEX(BH368:BH391,MATCH(BN442,BK368:BK391,0))</f>
        <v>13.499999999999996</v>
      </c>
      <c r="BL442" s="615">
        <f>INDEX(BB368:BB391,MATCH(BN442,BK368:BK391,0))</f>
        <v>1</v>
      </c>
      <c r="BM442" s="615">
        <f>INDEX(BD368:BD391,MATCH(BN442,BK368:BK391,0))</f>
        <v>32</v>
      </c>
      <c r="BN442" s="633">
        <f>MIN((VLOOKUP(BJ440,BC374:BM379,9)),(VLOOKUP(BJ440,BC368:BM373,9)),(VLOOKUP(BJ440,BC380:BM385,9)),(VLOOKUP(BJ440,BC386:BM391,9)))</f>
        <v>86.706631334008762</v>
      </c>
      <c r="BP442" s="628">
        <f>INDEX(BP368:BP391,MATCH(BT442,BX368:BX391,0))</f>
        <v>450</v>
      </c>
      <c r="BQ442" s="613">
        <f>INDEX(BU368:BU391,MATCH(BT442,BX368:BX391,0))</f>
        <v>14.999999999999996</v>
      </c>
      <c r="BR442" s="615">
        <f>INDEX(BO368:BO391,MATCH(BT442,BX368:BX391,0))</f>
        <v>1</v>
      </c>
      <c r="BS442" s="615">
        <f>INDEX(BQ368:BQ391,MATCH(BT442,BX368:BX391,0))</f>
        <v>32</v>
      </c>
      <c r="BT442" s="629">
        <f>IF(MIN(Pile!BX$368:BX$391)&gt;0,MIN(Pile!BX$368:BX$391), 999999)</f>
        <v>94.340701482231964</v>
      </c>
      <c r="BU442" s="630"/>
      <c r="CC442" s="628">
        <f>INDEX(CC368:CC391,MATCH(CG442,CK368:CK391,0))</f>
        <v>450</v>
      </c>
      <c r="CD442" s="613">
        <f>INDEX(CH368:CH391,MATCH(CG442,CK368:CK391,0))</f>
        <v>13.499999999999996</v>
      </c>
      <c r="CE442" s="615">
        <f>INDEX(CB368:CB391,MATCH(CG442,CK368:CK391,0))</f>
        <v>1</v>
      </c>
      <c r="CF442" s="615">
        <f>INDEX(CD368:CD391,MATCH(CG442,CK368:CK391,0))</f>
        <v>32</v>
      </c>
      <c r="CG442" s="629">
        <f>IF(MIN(Pile!CK$368:CK$391)&gt;0,MIN(Pile!CK$368:CK$391), 999999)</f>
        <v>86.706631334008762</v>
      </c>
      <c r="CH442" s="630"/>
      <c r="CJ442" s="634">
        <f>INDEX(CC368:CC391,MATCH(CN442,CK368:CK391,0))</f>
        <v>450</v>
      </c>
      <c r="CK442" s="635">
        <f>INDEX(CH368:CH391,MATCH(CN442,CK368:CK391,0))</f>
        <v>13.499999999999996</v>
      </c>
      <c r="CL442" s="636">
        <f>INDEX(CB368:CB391,MATCH(CN442,CK368:CK391,0))</f>
        <v>1</v>
      </c>
      <c r="CM442" s="636">
        <f>INDEX(CD368:CD391,MATCH(CN442,CK368:CK391,0))</f>
        <v>32</v>
      </c>
      <c r="CN442" s="637">
        <f>MIN((VLOOKUP(CJ440,CC374:CM379,9)),(VLOOKUP(CJ440,CC368:CM373,9)),(VLOOKUP(CJ440,CC380:CM385,9)),(VLOOKUP(CJ440,CC386:CM391,9)))</f>
        <v>86.706631334008762</v>
      </c>
      <c r="CP442" s="628">
        <f>INDEX(CP368:CP391,MATCH(CT442,CX368:CX391,0))</f>
        <v>450</v>
      </c>
      <c r="CQ442" s="613">
        <f>INDEX(CU368:CU391,MATCH(CT442,CX368:CX391,0))</f>
        <v>13.499999999999996</v>
      </c>
      <c r="CR442" s="615">
        <f>INDEX(CO368:CO391,MATCH(CT442,CX368:CX391,0))</f>
        <v>1</v>
      </c>
      <c r="CS442" s="615">
        <f>INDEX(CQ368:CQ391,MATCH(CT442,CX368:CX391,0))</f>
        <v>32</v>
      </c>
      <c r="CT442" s="629">
        <f>IF(MIN(Pile!CX$368:CX$391)&gt;0,MIN(Pile!CX$368:CX$391), 999999)</f>
        <v>86.706631334008762</v>
      </c>
      <c r="CU442" s="630"/>
      <c r="CW442" s="634">
        <f>INDEX(CP368:CP391,MATCH(DA442,CX368:CX391,0))</f>
        <v>600</v>
      </c>
      <c r="CX442" s="635">
        <f>INDEX(CU368:CU391,MATCH(DA442,CX368:CX391,0))</f>
        <v>13.499999999999996</v>
      </c>
      <c r="CY442" s="636">
        <f>INDEX(CO368:CO391,MATCH(DA442,CX368:CX391,0))</f>
        <v>1</v>
      </c>
      <c r="CZ442" s="636">
        <f>INDEX(CQ368:CQ391,MATCH(DA442,CX368:CX391,0))</f>
        <v>32</v>
      </c>
      <c r="DA442" s="637">
        <f>MIN((VLOOKUP(CW440,CP374:CZ379,9)),(VLOOKUP(CW440,CP368:CZ373,9)),(VLOOKUP(CW440,CP380:CZ385,9)),(VLOOKUP(CW440,CP386:CZ391,9)))</f>
        <v>158.43312237157113</v>
      </c>
      <c r="DC442" s="628">
        <f>INDEX(DC368:DC391,MATCH(DG442,DK368:DK391,0))</f>
        <v>450</v>
      </c>
      <c r="DD442" s="613">
        <f>INDEX(DH368:DH391,MATCH(DG442,DK368:DK391,0))</f>
        <v>13.499999999999996</v>
      </c>
      <c r="DE442" s="615">
        <f>INDEX(DB368:DB391,MATCH(DG442,DK368:DK391,0))</f>
        <v>1</v>
      </c>
      <c r="DF442" s="615">
        <f>INDEX(DD368:DD391,MATCH(DG442,DK368:DK391,0))</f>
        <v>32</v>
      </c>
      <c r="DG442" s="629">
        <f>IF(MIN(Pile!DK$368:DK$391)&gt;0,MIN(Pile!DK$368:DK$391), 999999)</f>
        <v>86.706631334008762</v>
      </c>
      <c r="DH442" s="630"/>
      <c r="DJ442" s="634">
        <f>INDEX(DC368:DC391,MATCH(DN442,DK368:DK391,0))</f>
        <v>450</v>
      </c>
      <c r="DK442" s="635">
        <f>INDEX(DH368:DH391,MATCH(DN442,DK368:DK391,0))</f>
        <v>13.499999999999996</v>
      </c>
      <c r="DL442" s="636">
        <f>INDEX(DB368:DB391,MATCH(DN442,DK368:DK391,0))</f>
        <v>1</v>
      </c>
      <c r="DM442" s="636">
        <f>INDEX(DD368:DD391,MATCH(DN442,DK368:DK391,0))</f>
        <v>32</v>
      </c>
      <c r="DN442" s="637">
        <f>MIN((VLOOKUP(DJ440,DC374:DM379,9)),(VLOOKUP(DJ440,DC368:DM373,9)),(VLOOKUP(DJ440,DC380:DM385,9)),(VLOOKUP(DJ440,DC386:DM391,9)))</f>
        <v>86.706631334008762</v>
      </c>
      <c r="DP442" s="628">
        <f>INDEX(DP368:DP391,MATCH(DT442,DX368:DX391,0))</f>
        <v>450</v>
      </c>
      <c r="DQ442" s="613">
        <f>INDEX(DU368:DU391,MATCH(DT442,DX368:DX391,0))</f>
        <v>13.499999999999996</v>
      </c>
      <c r="DR442" s="615">
        <f>INDEX(DO368:DO391,MATCH(DT442,DX368:DX391,0))</f>
        <v>1</v>
      </c>
      <c r="DS442" s="615">
        <f>INDEX(DQ368:DQ391,MATCH(DT442,DX368:DX391,0))</f>
        <v>32</v>
      </c>
      <c r="DT442" s="629">
        <f>IF(MIN(Pile!DX$368:DX$391)&gt;0,MIN(Pile!DX$368:DX$391), 999999)</f>
        <v>86.706631334008762</v>
      </c>
      <c r="DU442" s="630"/>
      <c r="DW442" s="634">
        <f>INDEX(DP368:DP391,MATCH(EA442,DX368:DX391,0))</f>
        <v>450</v>
      </c>
      <c r="DX442" s="635">
        <f>INDEX(DU368:DU391,MATCH(EA442,DX368:DX391,0))</f>
        <v>13.499999999999996</v>
      </c>
      <c r="DY442" s="636">
        <f>INDEX(DO368:DO391,MATCH(EA442,DX368:DX391,0))</f>
        <v>1</v>
      </c>
      <c r="DZ442" s="636">
        <f>INDEX(DQ368:DQ391,MATCH(EA442,DX368:DX391,0))</f>
        <v>32</v>
      </c>
      <c r="EA442" s="637">
        <f>MIN((VLOOKUP(DW440,DP374:DZ379,9)),(VLOOKUP(DW440,DP368:DZ373,9)),(VLOOKUP(DW440,DP380:DZ385,9)),(VLOOKUP(DW440,DP386:DZ391,9)))</f>
        <v>86.706631334008762</v>
      </c>
      <c r="EC442" s="628">
        <f>INDEX(EC368:EC391,MATCH(EG442,EK368:EK391,0))</f>
        <v>450</v>
      </c>
      <c r="ED442" s="613">
        <f>INDEX(EH368:EH391,MATCH(EG442,EK368:EK391,0))</f>
        <v>13.499999999999996</v>
      </c>
      <c r="EE442" s="615">
        <f>INDEX(EB368:EB391,MATCH(EG442,EK368:EK391,0))</f>
        <v>1</v>
      </c>
      <c r="EF442" s="615">
        <f>INDEX(ED368:ED391,MATCH(EG442,EK368:EK391,0))</f>
        <v>32</v>
      </c>
      <c r="EG442" s="629">
        <f>IF(MIN(Pile!EK$368:EK$391)&gt;0,MIN(Pile!EK$368:EK$391), 999999)</f>
        <v>86.706631334008762</v>
      </c>
      <c r="EH442" s="630"/>
      <c r="EJ442" s="634">
        <f>INDEX(EC368:EC391,MATCH(EN442,EK368:EK391,0))</f>
        <v>450</v>
      </c>
      <c r="EK442" s="635">
        <f>INDEX(EH368:EH391,MATCH(EN442,EK368:EK391,0))</f>
        <v>13.499999999999996</v>
      </c>
      <c r="EL442" s="636">
        <f>INDEX(EB368:EB391,MATCH(EN442,EK368:EK391,0))</f>
        <v>1</v>
      </c>
      <c r="EM442" s="636">
        <f>INDEX(ED368:ED391,MATCH(EN442,EK368:EK391,0))</f>
        <v>32</v>
      </c>
      <c r="EN442" s="637">
        <f>MIN((VLOOKUP(EJ440,EC374:EM379,9)),(VLOOKUP(EJ440,EC368:EM373,9)),(VLOOKUP(EJ440,EC380:EM385,9)),(VLOOKUP(EJ440,EC386:EM391,9)))</f>
        <v>86.706631334008762</v>
      </c>
      <c r="EP442" s="628">
        <f t="array" ref="EP442">IFERROR((INDEX(Pile!EP$368:EP$391,_xlfn.AGGREGATE(15,3,((Pile!EX$368:EX$391=ET442)/(Pile!EX$368:EX$391=ET442)*ROW(Pile!EX$368:EX$391))-ROW(Pile!EP$367),ROWS(EO442)))),999999)</f>
        <v>450</v>
      </c>
      <c r="EQ442" s="613">
        <f>IF(ISNUMBER(ET442/(ES442*PI()*(EP442/2000)^2)),ET442/(ES442*PI()*(EP442/2000)^2),999999)</f>
        <v>999999</v>
      </c>
      <c r="ER442" s="615">
        <f t="array" ref="ER442">IFERROR((INDEX(Pile!EO$368:EO$391,_xlfn.AGGREGATE(15,3,((Pile!EX$368:EX$391=ET442)/(Pile!EX$368:EX$391=ET442)*ROW(Pile!EX$368:EX$391))-ROW(Pile!EP$367),ROWS(EO442)))),999999)</f>
        <v>1</v>
      </c>
      <c r="ES442" s="615">
        <f t="array" ref="ES442">IFERROR((INDEX(Pile!$EQ$368:$EQ$391,_xlfn.AGGREGATE(15,3,((Pile!$EX$368:$EX$391=ET442)/(Pile!$EX$368:$EX$391=ET442)*ROW(Pile!$EX$368:$EX$391))-ROW(Pile!$EP$367),ROWS(EO442)))),999999)</f>
        <v>32</v>
      </c>
      <c r="ET442" s="633">
        <f>IF(MIN(Pile!EX$368:EX$391)&gt;0,MIN(Pile!EX$368:EX$391), 999999)</f>
        <v>5089375.0094353668</v>
      </c>
      <c r="EU442" s="630"/>
      <c r="EW442" s="628">
        <f>INDEX(EP368:EP391,MATCH(FA442,EX368:EX391,0))</f>
        <v>450</v>
      </c>
      <c r="EX442" s="613">
        <f>INDEX(EU368:EU391,MATCH(FA442,EX368:EX391,0))</f>
        <v>999999</v>
      </c>
      <c r="EY442" s="615">
        <f>INDEX(EO368:EO391,MATCH(FA442,EX368:EX391,0))</f>
        <v>1</v>
      </c>
      <c r="EZ442" s="615">
        <f>INDEX(EQ368:EQ391,MATCH(FA442,EX368:EX391,0))</f>
        <v>32</v>
      </c>
      <c r="FA442" s="633">
        <f>MIN((VLOOKUP(EW440,EP374:EZ379,9)),(VLOOKUP(EW440,EP368:EZ373,9)),(VLOOKUP(EW440,EP380:EZ385,9)),(VLOOKUP(EW440,EP386:EZ391,9)))</f>
        <v>5089375.0094353668</v>
      </c>
    </row>
    <row r="443" spans="2:158" ht="15" thickBot="1">
      <c r="C443" s="642">
        <f>INDEX(C399:C422,MATCH(G443,K399:K422,0))</f>
        <v>450</v>
      </c>
      <c r="D443" s="643">
        <f>INDEX(H399:H422,MATCH(G443,K399:K422,0))</f>
        <v>13.499999999999996</v>
      </c>
      <c r="E443" s="644">
        <f>INDEX(B399:B422,MATCH(G443,K399:K422,0))</f>
        <v>1</v>
      </c>
      <c r="F443" s="644">
        <f>INDEX(D399:D422,MATCH(G443,K399:K422,0))</f>
        <v>4</v>
      </c>
      <c r="G443" s="645">
        <f>IF(MIN(Pile!K$399:K$422)&gt;0,MIN(Pile!K$399:K$422), 999999)</f>
        <v>10.838328916751095</v>
      </c>
      <c r="H443" s="630"/>
      <c r="I443" s="300"/>
      <c r="J443" s="631"/>
      <c r="K443" s="618"/>
      <c r="L443" s="631"/>
      <c r="M443" s="631"/>
      <c r="N443" s="631"/>
      <c r="P443" s="642">
        <f>INDEX(P399:P422,MATCH(T443,X399:X422,0))</f>
        <v>450</v>
      </c>
      <c r="Q443" s="643">
        <f>INDEX(U399:U422,MATCH(T443,X399:X422,0))</f>
        <v>13.499999999999996</v>
      </c>
      <c r="R443" s="644">
        <f>INDEX(O399:O422,MATCH(T443,X399:X422,0))</f>
        <v>1</v>
      </c>
      <c r="S443" s="644">
        <f>INDEX(Q399:Q422,MATCH(T443,X399:X422,0))</f>
        <v>4</v>
      </c>
      <c r="T443" s="645">
        <f>IF(MIN(Pile!X$399:X$422)&gt;0,MIN(Pile!X$399:X$422), 999999)</f>
        <v>10.838328916751095</v>
      </c>
      <c r="U443" s="630"/>
      <c r="W443" s="631"/>
      <c r="X443" s="618"/>
      <c r="Y443" s="631"/>
      <c r="Z443" s="631"/>
      <c r="AA443" s="631"/>
      <c r="AC443" s="642">
        <f>INDEX(AC399:AC422,MATCH(AG443,AK399:AK422,0))</f>
        <v>450</v>
      </c>
      <c r="AD443" s="643">
        <f>INDEX(AH399:AH422,MATCH(AG443,AK399:AK422,0))</f>
        <v>13.499999999999996</v>
      </c>
      <c r="AE443" s="644">
        <f>INDEX(AB399:AB422,MATCH(AG443,AK399:AK422,0))</f>
        <v>1</v>
      </c>
      <c r="AF443" s="644">
        <f>INDEX(AD399:AD422,MATCH(AG443,AK399:AK422,0))</f>
        <v>4</v>
      </c>
      <c r="AG443" s="645">
        <f>IF(MIN(Pile!AK$399:AK$422)&gt;0,MIN(Pile!AK$399:AK$422), 999999)</f>
        <v>10.838328916751095</v>
      </c>
      <c r="AH443" s="630"/>
      <c r="AJ443" s="631"/>
      <c r="AK443" s="618"/>
      <c r="AL443" s="631"/>
      <c r="AM443" s="631"/>
      <c r="AN443" s="631"/>
      <c r="AP443" s="642">
        <f>INDEX(AP399:AP422,MATCH(AT443,AX399:AX422,0))</f>
        <v>450</v>
      </c>
      <c r="AQ443" s="643">
        <f>INDEX(AU399:AU422,MATCH(AT443,AX399:AX422,0))</f>
        <v>13.499999999999996</v>
      </c>
      <c r="AR443" s="644">
        <f>INDEX(AO399:AO422,MATCH(AT443,AX399:AX422,0))</f>
        <v>1</v>
      </c>
      <c r="AS443" s="644">
        <f>INDEX(AQ399:AQ422,MATCH(AT443,AX399:AX422,0))</f>
        <v>4</v>
      </c>
      <c r="AT443" s="645">
        <f>IF(MIN(Pile!AX$399:AX$422)&gt;0,MIN(Pile!AX$399:AX$422), 999999)</f>
        <v>10.838328916751095</v>
      </c>
      <c r="AU443" s="630"/>
      <c r="AW443" s="300"/>
      <c r="AX443" s="608"/>
      <c r="AY443" s="300"/>
      <c r="AZ443" s="300"/>
      <c r="BA443" s="632"/>
      <c r="BC443" s="642">
        <f>INDEX(BC399:BC422,MATCH(BG443,BK399:BK422,0))</f>
        <v>450</v>
      </c>
      <c r="BD443" s="643">
        <f>INDEX(BH399:BH422,MATCH(BG443,BK399:BK422,0))</f>
        <v>13.499999999999996</v>
      </c>
      <c r="BE443" s="644">
        <f>INDEX(BB399:BB422,MATCH(BG443,BK399:BK422,0))</f>
        <v>1</v>
      </c>
      <c r="BF443" s="644">
        <f>INDEX(BD399:BD422,MATCH(BG443,BK399:BK422,0))</f>
        <v>4</v>
      </c>
      <c r="BG443" s="645">
        <f>IF(MIN(Pile!BK$399:BK$422)&gt;0,MIN(Pile!BK$399:BK$422), 999999)</f>
        <v>10.838328916751095</v>
      </c>
      <c r="BH443" s="630"/>
      <c r="BJ443" s="642">
        <f>INDEX(BC399:BC422,MATCH(BN443,BK399:BK422,0))</f>
        <v>450</v>
      </c>
      <c r="BK443" s="643">
        <f>INDEX(BH399:BH422,MATCH(BN443,BK399:BK422,0))</f>
        <v>13.499999999999996</v>
      </c>
      <c r="BL443" s="644">
        <f>INDEX(BB399:BB422,MATCH(BN443,BK399:BK422,0))</f>
        <v>1</v>
      </c>
      <c r="BM443" s="644">
        <f>INDEX(BD399:BD422,MATCH(BN443,BK399:BK422,0))</f>
        <v>4</v>
      </c>
      <c r="BN443" s="646">
        <f>MIN((VLOOKUP(BJ440,BC405:BM410,9)),(VLOOKUP(BJ440,BC399:BM404,9)),(VLOOKUP(BJ440,BC411:BM416,9)),(VLOOKUP(BJ440,BC417:BM422,9)))</f>
        <v>10.838328916751095</v>
      </c>
      <c r="BP443" s="642">
        <f>INDEX(BP399:BP422,MATCH(BT443,BX399:BX422,0))</f>
        <v>450</v>
      </c>
      <c r="BQ443" s="643">
        <f>INDEX(BU399:BU422,MATCH(BT443,BX399:BX422,0))</f>
        <v>13.499999999999996</v>
      </c>
      <c r="BR443" s="644">
        <f>INDEX(BO399:BO422,MATCH(BT443,BX399:BX422,0))</f>
        <v>1</v>
      </c>
      <c r="BS443" s="644">
        <f>INDEX(BQ399:BQ422,MATCH(BT443,BX399:BX422,0))</f>
        <v>4</v>
      </c>
      <c r="BT443" s="645">
        <f>IF(MIN(Pile!BX$399:BX$422)&gt;0,MIN(Pile!BX$399:BX$422), 999999)</f>
        <v>10.838328916751095</v>
      </c>
      <c r="BU443" s="630"/>
      <c r="CC443" s="642">
        <f>INDEX(CC399:CC422,MATCH(CG443,CK399:CK422,0))</f>
        <v>450</v>
      </c>
      <c r="CD443" s="643">
        <f>INDEX(CH399:CH422,MATCH(CG443,CK399:CK422,0))</f>
        <v>13.499999999999996</v>
      </c>
      <c r="CE443" s="644">
        <f>INDEX(CB399:CB422,MATCH(CG443,CK399:CK422,0))</f>
        <v>1</v>
      </c>
      <c r="CF443" s="644">
        <f>INDEX(CD399:CD422,MATCH(CG443,CK399:CK422,0))</f>
        <v>4</v>
      </c>
      <c r="CG443" s="645">
        <f>IF(MIN(Pile!CK$399:CK$422)&gt;0,MIN(Pile!CK$399:CK$422), 999999)</f>
        <v>10.838328916751095</v>
      </c>
      <c r="CH443" s="630"/>
      <c r="CJ443" s="647">
        <f>INDEX(CC399:CC422,MATCH(CN443,CK399:CK422,0))</f>
        <v>450</v>
      </c>
      <c r="CK443" s="648">
        <f>INDEX(CH399:CH422,MATCH(CN443,CK399:CK422,0))</f>
        <v>13.499999999999996</v>
      </c>
      <c r="CL443" s="649">
        <f>INDEX(CB399:CB422,MATCH(CN443,CK399:CK422,0))</f>
        <v>1</v>
      </c>
      <c r="CM443" s="649">
        <f>INDEX(CD399:CD422,MATCH(CN443,CK399:CK422,0))</f>
        <v>4</v>
      </c>
      <c r="CN443" s="650">
        <f>MIN((VLOOKUP(CJ440,CC405:CM410,9)),(VLOOKUP(CJ440,CC399:CM404,9)),(VLOOKUP(CJ440,CC411:CM416,9)),(VLOOKUP(CJ440,CC417:CM422,9)))</f>
        <v>10.838328916751095</v>
      </c>
      <c r="CP443" s="642">
        <f>INDEX(CP399:CP422,MATCH(CT443,CX399:CX422,0))</f>
        <v>600</v>
      </c>
      <c r="CQ443" s="643">
        <f>INDEX(CU399:CU422,MATCH(CT443,CX399:CX422,0))</f>
        <v>5.3999999999999977</v>
      </c>
      <c r="CR443" s="644">
        <f>INDEX(CO399:CO422,MATCH(CT443,CX399:CX422,0))</f>
        <v>1</v>
      </c>
      <c r="CS443" s="644">
        <f>INDEX(CQ399:CQ422,MATCH(CT443,CX399:CX422,0))</f>
        <v>4</v>
      </c>
      <c r="CT443" s="645">
        <f>IF(MIN(Pile!CX$399:CX$422)&gt;0,MIN(Pile!CX$399:CX$422), 999999)</f>
        <v>10.643256118578556</v>
      </c>
      <c r="CU443" s="630"/>
      <c r="CW443" s="647">
        <f>INDEX(CP399:CP422,MATCH(DA443,CX399:CX422,0))</f>
        <v>600</v>
      </c>
      <c r="CX443" s="648">
        <f>INDEX(CU399:CU422,MATCH(DA443,CX399:CX422,0))</f>
        <v>5.3999999999999977</v>
      </c>
      <c r="CY443" s="649">
        <f>INDEX(CO399:CO422,MATCH(DA443,CX399:CX422,0))</f>
        <v>1</v>
      </c>
      <c r="CZ443" s="649">
        <f>INDEX(CQ399:CQ422,MATCH(DA443,CX399:CX422,0))</f>
        <v>4</v>
      </c>
      <c r="DA443" s="650">
        <f>MIN((VLOOKUP(CW440,CP405:CZ410,9)),(VLOOKUP(CW440,CP399:CZ404,9)),(VLOOKUP(CW440,CP411:CZ416,9)),(VLOOKUP(CW440,CP417:CZ422,9)))</f>
        <v>10.643256118578556</v>
      </c>
      <c r="DC443" s="642">
        <f>INDEX(DC399:DC422,MATCH(DG443,DK399:DK422,0))</f>
        <v>600</v>
      </c>
      <c r="DD443" s="643">
        <f>INDEX(DH399:DH422,MATCH(DG443,DK399:DK422,0))</f>
        <v>5.3999999999999977</v>
      </c>
      <c r="DE443" s="644">
        <f>INDEX(DB399:DB422,MATCH(DG443,DK399:DK422,0))</f>
        <v>1</v>
      </c>
      <c r="DF443" s="644">
        <f>INDEX(DD399:DD422,MATCH(DG443,DK399:DK422,0))</f>
        <v>4</v>
      </c>
      <c r="DG443" s="645">
        <f>IF(MIN(Pile!DK$399:DK$422)&gt;0,MIN(Pile!DK$399:DK$422), 999999)</f>
        <v>10.643256118578556</v>
      </c>
      <c r="DH443" s="630"/>
      <c r="DJ443" s="647">
        <f>INDEX(DC399:DC422,MATCH(DN443,DK399:DK422,0))</f>
        <v>450</v>
      </c>
      <c r="DK443" s="648">
        <f>INDEX(DH399:DH422,MATCH(DN443,DK399:DK422,0))</f>
        <v>13.499999999999996</v>
      </c>
      <c r="DL443" s="649">
        <f>INDEX(DB399:DB422,MATCH(DN443,DK399:DK422,0))</f>
        <v>1</v>
      </c>
      <c r="DM443" s="649">
        <f>INDEX(DD399:DD422,MATCH(DN443,DK399:DK422,0))</f>
        <v>4</v>
      </c>
      <c r="DN443" s="650">
        <f>MIN((VLOOKUP(DJ440,DC405:DM410,9)),(VLOOKUP(DJ440,DC399:DM404,9)),(VLOOKUP(DJ440,DC411:DM416,9)),(VLOOKUP(DJ440,DC417:DM422,9)))</f>
        <v>10.838328916751095</v>
      </c>
      <c r="DP443" s="642">
        <f>INDEX(DP399:DP422,MATCH(DT443,DX399:DX422,0))</f>
        <v>600</v>
      </c>
      <c r="DQ443" s="643">
        <f>INDEX(DU399:DU422,MATCH(DT443,DX399:DX422,0))</f>
        <v>4.4999999999999982</v>
      </c>
      <c r="DR443" s="644">
        <f>INDEX(DO399:DO422,MATCH(DT443,DX399:DX422,0))</f>
        <v>1</v>
      </c>
      <c r="DS443" s="644">
        <f>INDEX(DQ399:DQ422,MATCH(DT443,DX399:DX422,0))</f>
        <v>4</v>
      </c>
      <c r="DT443" s="645">
        <f>IF(MIN(Pile!DX$399:DX$422)&gt;0,MIN(Pile!DX$399:DX$422), 999999)</f>
        <v>9.6253800988154623</v>
      </c>
      <c r="DU443" s="630"/>
      <c r="DW443" s="647">
        <f>INDEX(DP399:DP422,MATCH(EA443,DX399:DX422,0))</f>
        <v>450</v>
      </c>
      <c r="DX443" s="648">
        <f>INDEX(DU399:DU422,MATCH(EA443,DX399:DX422,0))</f>
        <v>13.499999999999996</v>
      </c>
      <c r="DY443" s="649">
        <f>INDEX(DO399:DO422,MATCH(EA443,DX399:DX422,0))</f>
        <v>1</v>
      </c>
      <c r="DZ443" s="649">
        <f>INDEX(DQ399:DQ422,MATCH(EA443,DX399:DX422,0))</f>
        <v>4</v>
      </c>
      <c r="EA443" s="650">
        <f>MIN((VLOOKUP(DW440,DP405:DZ410,9)),(VLOOKUP(DW440,DP399:DZ404,9)),(VLOOKUP(DW440,DP411:DZ416,9)),(VLOOKUP(DW440,DP417:DZ422,9)))</f>
        <v>10.838328916751095</v>
      </c>
      <c r="EC443" s="642">
        <f>INDEX(EC399:EC422,MATCH(EG443,EK399:EK422,0))</f>
        <v>600</v>
      </c>
      <c r="ED443" s="643">
        <f>INDEX(EH399:EH422,MATCH(EG443,EK399:EK422,0))</f>
        <v>4.799999999999998</v>
      </c>
      <c r="EE443" s="644">
        <f>INDEX(EB399:EB422,MATCH(EG443,EK399:EK422,0))</f>
        <v>1</v>
      </c>
      <c r="EF443" s="644">
        <f>INDEX(ED399:ED422,MATCH(EG443,EK399:EK422,0))</f>
        <v>4</v>
      </c>
      <c r="EG443" s="645">
        <f>IF(MIN(Pile!EK$399:EK$422)&gt;0,MIN(Pile!EK$399:EK$422), 999999)</f>
        <v>9.9646721054031602</v>
      </c>
      <c r="EH443" s="630"/>
      <c r="EJ443" s="647">
        <f>INDEX(EC399:EC422,MATCH(EN443,EK399:EK422,0))</f>
        <v>450</v>
      </c>
      <c r="EK443" s="648">
        <f>INDEX(EH399:EH422,MATCH(EN443,EK399:EK422,0))</f>
        <v>13.499999999999996</v>
      </c>
      <c r="EL443" s="649">
        <f>INDEX(EB399:EB422,MATCH(EN443,EK399:EK422,0))</f>
        <v>1</v>
      </c>
      <c r="EM443" s="649">
        <f>INDEX(ED399:ED422,MATCH(EN443,EK399:EK422,0))</f>
        <v>4</v>
      </c>
      <c r="EN443" s="650">
        <f>MIN((VLOOKUP(EJ440,EC405:EM410,9)),(VLOOKUP(EJ440,EC399:EM404,9)),(VLOOKUP(EJ440,EC411:EM416,9)),(VLOOKUP(EJ440,EC417:EM422,9)))</f>
        <v>10.838328916751095</v>
      </c>
      <c r="EP443" s="642">
        <f t="array" ref="EP443">IFERROR((INDEX(Pile!EP$399:EP$422,_xlfn.AGGREGATE(15,3,((Pile!EX$399:EX$422=ET443)/(Pile!EX$399:EX$422=ET443)*ROW(Pile!EX$399:EX$422))-ROW(Pile!EP$398),ROWS(EO443)))),999999)</f>
        <v>450</v>
      </c>
      <c r="EQ443" s="643">
        <f>IF(ISNUMBER(ET443/(ES443*PI()*(EP443/2000)^2)),ET443/(ES443*PI()*(EP443/2000)^2),999999)</f>
        <v>999999</v>
      </c>
      <c r="ER443" s="644">
        <f t="array" ref="ER443">IFERROR((INDEX(Pile!EO$399:EO$422,_xlfn.AGGREGATE(15,3,((Pile!EX$399:EX$422=ET443)/(Pile!EX$399:EX$422=ET443)*ROW(Pile!EX$399:EX$422))-ROW(Pile!EP$398),ROWS(EO443)))),999999)</f>
        <v>1</v>
      </c>
      <c r="ES443" s="644">
        <f t="array" ref="ES443">IFERROR((INDEX(Pile!EQ$399:EQ$422,_xlfn.AGGREGATE(15,3,((Pile!EX$399:EX$422=ET443)/(Pile!EX$399:EX$422=ET443)*ROW(Pile!EX$399:EX$422))-ROW(Pile!EP$398),ROWS(EO443)))),999999)</f>
        <v>4</v>
      </c>
      <c r="ET443" s="646">
        <f>IF(MIN(Pile!EX$399:EX$422)&gt;0,MIN(Pile!EX$399:EX$422), 999999)</f>
        <v>636171.87617942085</v>
      </c>
      <c r="EU443" s="630"/>
      <c r="EW443" s="642">
        <f>INDEX(EP399:EP422,MATCH(FA443,EX399:EX422,0))</f>
        <v>450</v>
      </c>
      <c r="EX443" s="643">
        <f>INDEX(EU399:EU422,MATCH(FA443,EX399:EX422,0))</f>
        <v>999999</v>
      </c>
      <c r="EY443" s="644">
        <f>INDEX(EO399:EO422,MATCH(FA443,EX399:EX422,0))</f>
        <v>1</v>
      </c>
      <c r="EZ443" s="644">
        <f>INDEX(EQ399:EQ422,MATCH(FA443,EX399:EX422,0))</f>
        <v>4</v>
      </c>
      <c r="FA443" s="646">
        <f>MIN((VLOOKUP(EW440,EP405:EZ410,9)),(VLOOKUP(EW440,EP399:EZ404,9)),(VLOOKUP(EW440,EP411:EZ416,9)),(VLOOKUP(EW440,EP417:EZ422,9)))</f>
        <v>636171.87617942085</v>
      </c>
    </row>
    <row r="444" spans="2:158">
      <c r="H444" s="630"/>
      <c r="I444" s="300"/>
      <c r="J444" s="300"/>
      <c r="K444" s="300"/>
      <c r="L444" s="300"/>
      <c r="M444" s="300"/>
      <c r="N444" s="300"/>
      <c r="U444" s="630"/>
      <c r="AH444" s="630"/>
      <c r="AU444" s="630"/>
      <c r="BH444" s="630"/>
      <c r="BU444" s="630"/>
      <c r="CH444" s="630"/>
      <c r="CU444" s="630"/>
      <c r="DH444" s="630"/>
      <c r="DU444" s="630"/>
      <c r="EH444" s="630"/>
      <c r="EU444" s="630"/>
    </row>
    <row r="445" spans="2:158">
      <c r="H445" s="630"/>
      <c r="I445" s="300"/>
      <c r="J445" s="300"/>
      <c r="K445" s="300"/>
      <c r="L445" s="300"/>
      <c r="M445" s="300">
        <f>9*324*PI()*(0.6^2)</f>
        <v>3297.918304032421</v>
      </c>
      <c r="N445" s="300">
        <f>24*324*PI()*(0.45^2)</f>
        <v>4946.8774560486327</v>
      </c>
      <c r="U445" s="630"/>
      <c r="AH445" s="630"/>
      <c r="AU445" s="630"/>
      <c r="BH445" s="630"/>
      <c r="BU445" s="630"/>
      <c r="CH445" s="630"/>
      <c r="CU445" s="630"/>
      <c r="DH445" s="630"/>
      <c r="DU445" s="630"/>
      <c r="EH445" s="630"/>
      <c r="EU445" s="630"/>
    </row>
    <row r="446" spans="2:158" ht="15">
      <c r="H446" s="627"/>
      <c r="I446" s="300"/>
      <c r="J446" s="300"/>
      <c r="K446" s="300"/>
      <c r="L446" s="300"/>
      <c r="M446" s="300"/>
      <c r="N446" s="300"/>
      <c r="U446" s="627"/>
      <c r="AH446" s="627"/>
      <c r="AU446" s="627"/>
      <c r="BH446" s="627"/>
      <c r="BI446" s="627"/>
      <c r="BU446" s="627"/>
      <c r="BV446" s="627"/>
      <c r="CH446" s="627"/>
      <c r="CI446" s="627"/>
      <c r="CU446" s="627"/>
      <c r="CV446" s="627"/>
      <c r="DH446" s="627"/>
      <c r="DI446" s="627"/>
      <c r="DU446" s="627"/>
      <c r="DV446" s="627"/>
      <c r="EH446" s="627"/>
      <c r="EI446" s="627"/>
      <c r="EU446" s="627"/>
      <c r="EV446" s="627"/>
    </row>
    <row r="447" spans="2:158" ht="15" thickBot="1">
      <c r="H447" s="434"/>
      <c r="I447" s="436" t="str">
        <f>Summary!F8</f>
        <v>All Types</v>
      </c>
      <c r="K447" s="434"/>
      <c r="L447" s="434"/>
      <c r="M447" s="434"/>
      <c r="N447" s="434"/>
      <c r="O447" s="436"/>
      <c r="U447" s="434"/>
      <c r="V447" s="436" t="str">
        <f>Summary!F8</f>
        <v>All Types</v>
      </c>
      <c r="W447" s="651" t="s">
        <v>876</v>
      </c>
      <c r="X447" s="434"/>
      <c r="Y447" s="434"/>
      <c r="Z447" s="434"/>
      <c r="AA447" s="434"/>
      <c r="AB447" s="436"/>
      <c r="AH447" s="434"/>
      <c r="AI447" s="436" t="str">
        <f>Summary!F8</f>
        <v>All Types</v>
      </c>
      <c r="AJ447" s="651" t="s">
        <v>158</v>
      </c>
      <c r="AK447" s="434"/>
      <c r="AL447" s="434"/>
      <c r="AM447" s="434"/>
      <c r="AN447" s="434"/>
      <c r="AO447" s="436"/>
      <c r="AU447" s="434"/>
      <c r="AV447" s="436" t="str">
        <f>Summary!F8</f>
        <v>All Types</v>
      </c>
      <c r="AW447" s="651" t="s">
        <v>877</v>
      </c>
      <c r="AX447" s="434"/>
      <c r="AY447" s="434"/>
      <c r="AZ447" s="434"/>
      <c r="BA447" s="434"/>
      <c r="BB447" s="436"/>
      <c r="BH447" s="434"/>
      <c r="BI447" s="436" t="str">
        <f>Summary!F8</f>
        <v>All Types</v>
      </c>
      <c r="BJ447" s="652" t="s">
        <v>878</v>
      </c>
      <c r="BK447" s="434"/>
      <c r="BL447" s="434"/>
      <c r="BM447" s="434"/>
      <c r="BN447" s="434"/>
      <c r="BO447" s="436"/>
      <c r="BU447" s="434"/>
      <c r="BV447" s="436" t="str">
        <f>Summary!F8</f>
        <v>All Types</v>
      </c>
      <c r="BW447" s="284" t="s">
        <v>161</v>
      </c>
      <c r="BX447" s="434"/>
      <c r="BY447" s="434"/>
      <c r="BZ447" s="434"/>
      <c r="CA447" s="434"/>
      <c r="CB447" s="436"/>
      <c r="CH447" s="434"/>
      <c r="CI447" s="436" t="str">
        <f>Summary!F8</f>
        <v>All Types</v>
      </c>
      <c r="CJ447" s="651" t="s">
        <v>162</v>
      </c>
      <c r="CK447" s="434"/>
      <c r="CL447" s="434"/>
      <c r="CM447" s="434"/>
      <c r="CN447" s="434"/>
      <c r="CO447" s="436"/>
      <c r="CU447" s="434"/>
      <c r="CV447" s="436" t="str">
        <f>Summary!F8</f>
        <v>All Types</v>
      </c>
      <c r="CW447" s="651" t="s">
        <v>163</v>
      </c>
      <c r="CX447" s="434"/>
      <c r="CY447" s="434"/>
      <c r="CZ447" s="434"/>
      <c r="DA447" s="434"/>
      <c r="DB447" s="436"/>
      <c r="DH447" s="434"/>
      <c r="DI447" s="436" t="str">
        <f>Summary!F8</f>
        <v>All Types</v>
      </c>
      <c r="DJ447" s="651" t="s">
        <v>164</v>
      </c>
      <c r="DK447" s="434"/>
      <c r="DL447" s="434"/>
      <c r="DM447" s="434"/>
      <c r="DN447" s="434"/>
      <c r="DO447" s="436"/>
      <c r="DU447" s="434"/>
      <c r="DV447" s="436" t="str">
        <f>Summary!F8</f>
        <v>All Types</v>
      </c>
      <c r="DW447" s="651" t="s">
        <v>879</v>
      </c>
      <c r="DX447" s="434"/>
      <c r="DY447" s="434"/>
      <c r="DZ447" s="434"/>
      <c r="EA447" s="434"/>
      <c r="EB447" s="436"/>
      <c r="EH447" s="434"/>
      <c r="EI447" s="436" t="str">
        <f>Summary!F8</f>
        <v>All Types</v>
      </c>
      <c r="EJ447" s="651" t="s">
        <v>880</v>
      </c>
      <c r="EK447" s="434"/>
      <c r="EL447" s="434"/>
      <c r="EM447" s="434"/>
      <c r="EN447" s="434"/>
      <c r="EO447" s="436"/>
      <c r="EU447" s="434"/>
      <c r="EV447" s="436" t="str">
        <f>Summary!F8</f>
        <v>All Types</v>
      </c>
      <c r="EW447" s="434"/>
      <c r="EX447" s="434"/>
      <c r="EY447" s="434"/>
      <c r="EZ447" s="434"/>
      <c r="FA447" s="434"/>
      <c r="FB447" s="436"/>
    </row>
    <row r="448" spans="2:158" ht="16.5" thickBot="1">
      <c r="C448" s="653" t="s">
        <v>821</v>
      </c>
      <c r="D448" s="654" t="s">
        <v>890</v>
      </c>
      <c r="E448" s="653" t="s">
        <v>891</v>
      </c>
      <c r="F448" s="653" t="s">
        <v>892</v>
      </c>
      <c r="G448" s="654" t="s">
        <v>893</v>
      </c>
      <c r="H448" s="436"/>
      <c r="I448" s="434"/>
      <c r="J448" s="655" t="s">
        <v>882</v>
      </c>
      <c r="K448" s="434"/>
      <c r="L448" s="434"/>
      <c r="M448" s="434"/>
      <c r="N448" s="434"/>
      <c r="O448" s="436"/>
      <c r="P448" s="653" t="s">
        <v>821</v>
      </c>
      <c r="Q448" s="654" t="s">
        <v>890</v>
      </c>
      <c r="R448" s="653" t="s">
        <v>891</v>
      </c>
      <c r="S448" s="653" t="s">
        <v>892</v>
      </c>
      <c r="T448" s="654" t="s">
        <v>893</v>
      </c>
      <c r="U448" s="436"/>
      <c r="V448" s="434"/>
      <c r="W448" s="655" t="s">
        <v>882</v>
      </c>
      <c r="X448" s="434"/>
      <c r="Y448" s="434"/>
      <c r="Z448" s="434"/>
      <c r="AA448" s="434"/>
      <c r="AB448" s="436"/>
      <c r="AC448" s="653" t="s">
        <v>821</v>
      </c>
      <c r="AD448" s="654" t="s">
        <v>890</v>
      </c>
      <c r="AE448" s="653" t="s">
        <v>891</v>
      </c>
      <c r="AF448" s="653" t="s">
        <v>892</v>
      </c>
      <c r="AG448" s="654" t="s">
        <v>893</v>
      </c>
      <c r="AH448" s="436"/>
      <c r="AI448" s="434"/>
      <c r="AJ448" s="655" t="s">
        <v>882</v>
      </c>
      <c r="AK448" s="434"/>
      <c r="AL448" s="434"/>
      <c r="AM448" s="434"/>
      <c r="AN448" s="434"/>
      <c r="AO448" s="436"/>
      <c r="AP448" s="653" t="s">
        <v>821</v>
      </c>
      <c r="AQ448" s="654" t="s">
        <v>890</v>
      </c>
      <c r="AR448" s="653" t="s">
        <v>891</v>
      </c>
      <c r="AS448" s="653" t="s">
        <v>892</v>
      </c>
      <c r="AT448" s="654" t="s">
        <v>893</v>
      </c>
      <c r="AU448" s="436"/>
      <c r="AV448" s="434"/>
      <c r="AW448" s="655" t="s">
        <v>882</v>
      </c>
      <c r="AX448" s="434"/>
      <c r="AY448" s="434"/>
      <c r="AZ448" s="434"/>
      <c r="BA448" s="434"/>
      <c r="BB448" s="436"/>
      <c r="BC448" s="653" t="s">
        <v>821</v>
      </c>
      <c r="BD448" s="654" t="s">
        <v>890</v>
      </c>
      <c r="BE448" s="653" t="s">
        <v>891</v>
      </c>
      <c r="BF448" s="653" t="s">
        <v>892</v>
      </c>
      <c r="BG448" s="654" t="s">
        <v>893</v>
      </c>
      <c r="BH448" s="436"/>
      <c r="BI448" s="434"/>
      <c r="BJ448" s="655" t="s">
        <v>882</v>
      </c>
      <c r="BK448" s="434"/>
      <c r="BL448" s="434"/>
      <c r="BM448" s="434"/>
      <c r="BN448" s="434"/>
      <c r="BO448" s="436"/>
      <c r="BP448" s="653" t="s">
        <v>821</v>
      </c>
      <c r="BQ448" s="654" t="s">
        <v>890</v>
      </c>
      <c r="BR448" s="653" t="s">
        <v>891</v>
      </c>
      <c r="BS448" s="653" t="s">
        <v>892</v>
      </c>
      <c r="BT448" s="654" t="s">
        <v>893</v>
      </c>
      <c r="BU448" s="436"/>
      <c r="BV448" s="434"/>
      <c r="BW448" s="655" t="s">
        <v>882</v>
      </c>
      <c r="BX448" s="434"/>
      <c r="BY448" s="434"/>
      <c r="BZ448" s="434"/>
      <c r="CA448" s="434"/>
      <c r="CB448" s="436"/>
      <c r="CC448" s="653" t="s">
        <v>821</v>
      </c>
      <c r="CD448" s="654" t="s">
        <v>890</v>
      </c>
      <c r="CE448" s="653" t="s">
        <v>891</v>
      </c>
      <c r="CF448" s="653" t="s">
        <v>892</v>
      </c>
      <c r="CG448" s="654" t="s">
        <v>893</v>
      </c>
      <c r="CH448" s="436"/>
      <c r="CI448" s="434"/>
      <c r="CJ448" s="655" t="s">
        <v>882</v>
      </c>
      <c r="CK448" s="434"/>
      <c r="CL448" s="434"/>
      <c r="CM448" s="434"/>
      <c r="CN448" s="434"/>
      <c r="CO448" s="436"/>
      <c r="CP448" s="653" t="s">
        <v>821</v>
      </c>
      <c r="CQ448" s="654" t="s">
        <v>890</v>
      </c>
      <c r="CR448" s="653" t="s">
        <v>891</v>
      </c>
      <c r="CS448" s="653" t="s">
        <v>892</v>
      </c>
      <c r="CT448" s="654" t="s">
        <v>893</v>
      </c>
      <c r="CU448" s="436"/>
      <c r="CV448" s="434"/>
      <c r="CW448" s="655" t="s">
        <v>882</v>
      </c>
      <c r="CX448" s="434"/>
      <c r="CY448" s="434"/>
      <c r="CZ448" s="434"/>
      <c r="DA448" s="434"/>
      <c r="DB448" s="436"/>
      <c r="DC448" s="653" t="s">
        <v>821</v>
      </c>
      <c r="DD448" s="654" t="s">
        <v>890</v>
      </c>
      <c r="DE448" s="653" t="s">
        <v>891</v>
      </c>
      <c r="DF448" s="653" t="s">
        <v>892</v>
      </c>
      <c r="DG448" s="654" t="s">
        <v>893</v>
      </c>
      <c r="DH448" s="436"/>
      <c r="DI448" s="434"/>
      <c r="DJ448" s="655" t="s">
        <v>882</v>
      </c>
      <c r="DK448" s="434"/>
      <c r="DL448" s="434"/>
      <c r="DM448" s="434"/>
      <c r="DN448" s="434"/>
      <c r="DO448" s="436"/>
      <c r="DP448" s="653" t="s">
        <v>821</v>
      </c>
      <c r="DQ448" s="654" t="s">
        <v>890</v>
      </c>
      <c r="DR448" s="653" t="s">
        <v>891</v>
      </c>
      <c r="DS448" s="653" t="s">
        <v>892</v>
      </c>
      <c r="DT448" s="654" t="s">
        <v>893</v>
      </c>
      <c r="DU448" s="436"/>
      <c r="DV448" s="434"/>
      <c r="DW448" s="655" t="s">
        <v>882</v>
      </c>
      <c r="DX448" s="434"/>
      <c r="DY448" s="434"/>
      <c r="DZ448" s="434"/>
      <c r="EA448" s="434"/>
      <c r="EB448" s="436"/>
      <c r="EC448" s="653" t="s">
        <v>821</v>
      </c>
      <c r="ED448" s="654" t="s">
        <v>890</v>
      </c>
      <c r="EE448" s="653" t="s">
        <v>891</v>
      </c>
      <c r="EF448" s="653" t="s">
        <v>892</v>
      </c>
      <c r="EG448" s="654" t="s">
        <v>893</v>
      </c>
      <c r="EH448" s="436"/>
      <c r="EI448" s="434"/>
      <c r="EJ448" s="655" t="s">
        <v>882</v>
      </c>
      <c r="EK448" s="434"/>
      <c r="EL448" s="434"/>
      <c r="EM448" s="434"/>
      <c r="EN448" s="434"/>
      <c r="EO448" s="436"/>
      <c r="EP448" s="653" t="s">
        <v>821</v>
      </c>
      <c r="EQ448" s="654" t="s">
        <v>890</v>
      </c>
      <c r="ER448" s="653" t="s">
        <v>891</v>
      </c>
      <c r="ES448" s="653" t="s">
        <v>892</v>
      </c>
      <c r="ET448" s="654" t="s">
        <v>893</v>
      </c>
      <c r="EU448" s="436"/>
      <c r="EV448" s="434"/>
      <c r="EW448" s="655" t="s">
        <v>882</v>
      </c>
      <c r="EX448" s="434"/>
      <c r="EY448" s="434"/>
      <c r="EZ448" s="434"/>
      <c r="FA448" s="434"/>
      <c r="FB448" s="436"/>
    </row>
    <row r="449" spans="2:158" ht="15.75" thickBot="1">
      <c r="C449" s="656" t="s">
        <v>58</v>
      </c>
      <c r="D449" s="657" t="s">
        <v>894</v>
      </c>
      <c r="E449" s="656" t="s">
        <v>617</v>
      </c>
      <c r="F449" s="656" t="s">
        <v>617</v>
      </c>
      <c r="G449" s="657" t="s">
        <v>895</v>
      </c>
      <c r="H449" s="436"/>
      <c r="I449" s="652"/>
      <c r="J449" s="658" t="s">
        <v>821</v>
      </c>
      <c r="K449" s="659" t="s">
        <v>847</v>
      </c>
      <c r="L449" s="658" t="s">
        <v>883</v>
      </c>
      <c r="M449" s="658" t="s">
        <v>884</v>
      </c>
      <c r="N449" s="658" t="s">
        <v>885</v>
      </c>
      <c r="O449" s="436"/>
      <c r="P449" s="656" t="s">
        <v>58</v>
      </c>
      <c r="Q449" s="657" t="s">
        <v>894</v>
      </c>
      <c r="R449" s="656" t="s">
        <v>617</v>
      </c>
      <c r="S449" s="656" t="s">
        <v>617</v>
      </c>
      <c r="T449" s="657" t="s">
        <v>895</v>
      </c>
      <c r="U449" s="436"/>
      <c r="V449" s="652"/>
      <c r="W449" s="658" t="s">
        <v>821</v>
      </c>
      <c r="X449" s="659" t="s">
        <v>847</v>
      </c>
      <c r="Y449" s="658" t="s">
        <v>883</v>
      </c>
      <c r="Z449" s="658" t="s">
        <v>884</v>
      </c>
      <c r="AA449" s="658" t="s">
        <v>885</v>
      </c>
      <c r="AB449" s="436"/>
      <c r="AC449" s="656" t="s">
        <v>58</v>
      </c>
      <c r="AD449" s="657" t="s">
        <v>894</v>
      </c>
      <c r="AE449" s="656" t="s">
        <v>617</v>
      </c>
      <c r="AF449" s="656" t="s">
        <v>617</v>
      </c>
      <c r="AG449" s="657" t="s">
        <v>895</v>
      </c>
      <c r="AH449" s="436"/>
      <c r="AI449" s="652"/>
      <c r="AJ449" s="658" t="s">
        <v>821</v>
      </c>
      <c r="AK449" s="659" t="s">
        <v>847</v>
      </c>
      <c r="AL449" s="658" t="s">
        <v>883</v>
      </c>
      <c r="AM449" s="658" t="s">
        <v>884</v>
      </c>
      <c r="AN449" s="658" t="s">
        <v>885</v>
      </c>
      <c r="AO449" s="436"/>
      <c r="AP449" s="656" t="s">
        <v>58</v>
      </c>
      <c r="AQ449" s="657" t="s">
        <v>894</v>
      </c>
      <c r="AR449" s="656" t="s">
        <v>617</v>
      </c>
      <c r="AS449" s="656" t="s">
        <v>617</v>
      </c>
      <c r="AT449" s="657" t="s">
        <v>895</v>
      </c>
      <c r="AU449" s="436"/>
      <c r="AV449" s="652"/>
      <c r="AW449" s="658" t="s">
        <v>821</v>
      </c>
      <c r="AX449" s="659" t="s">
        <v>847</v>
      </c>
      <c r="AY449" s="658" t="s">
        <v>883</v>
      </c>
      <c r="AZ449" s="658" t="s">
        <v>884</v>
      </c>
      <c r="BA449" s="658" t="s">
        <v>885</v>
      </c>
      <c r="BB449" s="436"/>
      <c r="BC449" s="656" t="s">
        <v>58</v>
      </c>
      <c r="BD449" s="657" t="s">
        <v>894</v>
      </c>
      <c r="BE449" s="656" t="s">
        <v>617</v>
      </c>
      <c r="BF449" s="656" t="s">
        <v>617</v>
      </c>
      <c r="BG449" s="657" t="s">
        <v>895</v>
      </c>
      <c r="BH449" s="436"/>
      <c r="BI449" s="652"/>
      <c r="BJ449" s="658" t="s">
        <v>821</v>
      </c>
      <c r="BK449" s="659" t="s">
        <v>847</v>
      </c>
      <c r="BL449" s="658" t="s">
        <v>883</v>
      </c>
      <c r="BM449" s="658" t="s">
        <v>884</v>
      </c>
      <c r="BN449" s="658" t="s">
        <v>885</v>
      </c>
      <c r="BO449" s="436"/>
      <c r="BP449" s="656" t="s">
        <v>58</v>
      </c>
      <c r="BQ449" s="657" t="s">
        <v>894</v>
      </c>
      <c r="BR449" s="656" t="s">
        <v>617</v>
      </c>
      <c r="BS449" s="656" t="s">
        <v>617</v>
      </c>
      <c r="BT449" s="657" t="s">
        <v>895</v>
      </c>
      <c r="BU449" s="436"/>
      <c r="BV449" s="652"/>
      <c r="BW449" s="658" t="s">
        <v>821</v>
      </c>
      <c r="BX449" s="659" t="s">
        <v>847</v>
      </c>
      <c r="BY449" s="658" t="s">
        <v>883</v>
      </c>
      <c r="BZ449" s="658" t="s">
        <v>884</v>
      </c>
      <c r="CA449" s="658" t="s">
        <v>885</v>
      </c>
      <c r="CB449" s="436"/>
      <c r="CC449" s="656" t="s">
        <v>58</v>
      </c>
      <c r="CD449" s="657" t="s">
        <v>894</v>
      </c>
      <c r="CE449" s="656" t="s">
        <v>617</v>
      </c>
      <c r="CF449" s="656" t="s">
        <v>617</v>
      </c>
      <c r="CG449" s="657" t="s">
        <v>895</v>
      </c>
      <c r="CH449" s="436"/>
      <c r="CI449" s="652"/>
      <c r="CJ449" s="658" t="s">
        <v>821</v>
      </c>
      <c r="CK449" s="659" t="s">
        <v>847</v>
      </c>
      <c r="CL449" s="658" t="s">
        <v>883</v>
      </c>
      <c r="CM449" s="658" t="s">
        <v>884</v>
      </c>
      <c r="CN449" s="658" t="s">
        <v>885</v>
      </c>
      <c r="CO449" s="436"/>
      <c r="CP449" s="656" t="s">
        <v>58</v>
      </c>
      <c r="CQ449" s="657" t="s">
        <v>894</v>
      </c>
      <c r="CR449" s="656" t="s">
        <v>617</v>
      </c>
      <c r="CS449" s="656" t="s">
        <v>617</v>
      </c>
      <c r="CT449" s="657" t="s">
        <v>895</v>
      </c>
      <c r="CU449" s="436"/>
      <c r="CV449" s="652"/>
      <c r="CW449" s="658" t="s">
        <v>821</v>
      </c>
      <c r="CX449" s="659" t="s">
        <v>847</v>
      </c>
      <c r="CY449" s="658" t="s">
        <v>883</v>
      </c>
      <c r="CZ449" s="658" t="s">
        <v>884</v>
      </c>
      <c r="DA449" s="658" t="s">
        <v>885</v>
      </c>
      <c r="DB449" s="436"/>
      <c r="DC449" s="656" t="s">
        <v>58</v>
      </c>
      <c r="DD449" s="657" t="s">
        <v>894</v>
      </c>
      <c r="DE449" s="656" t="s">
        <v>617</v>
      </c>
      <c r="DF449" s="656" t="s">
        <v>617</v>
      </c>
      <c r="DG449" s="657" t="s">
        <v>895</v>
      </c>
      <c r="DH449" s="436"/>
      <c r="DI449" s="652"/>
      <c r="DJ449" s="658" t="s">
        <v>821</v>
      </c>
      <c r="DK449" s="659" t="s">
        <v>847</v>
      </c>
      <c r="DL449" s="658" t="s">
        <v>883</v>
      </c>
      <c r="DM449" s="658" t="s">
        <v>884</v>
      </c>
      <c r="DN449" s="658" t="s">
        <v>885</v>
      </c>
      <c r="DO449" s="436"/>
      <c r="DP449" s="656" t="s">
        <v>58</v>
      </c>
      <c r="DQ449" s="657" t="s">
        <v>894</v>
      </c>
      <c r="DR449" s="656" t="s">
        <v>617</v>
      </c>
      <c r="DS449" s="656" t="s">
        <v>617</v>
      </c>
      <c r="DT449" s="657" t="s">
        <v>895</v>
      </c>
      <c r="DU449" s="436"/>
      <c r="DV449" s="652"/>
      <c r="DW449" s="658" t="s">
        <v>821</v>
      </c>
      <c r="DX449" s="659" t="s">
        <v>847</v>
      </c>
      <c r="DY449" s="658" t="s">
        <v>883</v>
      </c>
      <c r="DZ449" s="658" t="s">
        <v>884</v>
      </c>
      <c r="EA449" s="658" t="s">
        <v>885</v>
      </c>
      <c r="EB449" s="436"/>
      <c r="EC449" s="656" t="s">
        <v>58</v>
      </c>
      <c r="ED449" s="657" t="s">
        <v>894</v>
      </c>
      <c r="EE449" s="656" t="s">
        <v>617</v>
      </c>
      <c r="EF449" s="656" t="s">
        <v>617</v>
      </c>
      <c r="EG449" s="657" t="s">
        <v>895</v>
      </c>
      <c r="EH449" s="436"/>
      <c r="EI449" s="652"/>
      <c r="EJ449" s="658" t="s">
        <v>821</v>
      </c>
      <c r="EK449" s="659" t="s">
        <v>847</v>
      </c>
      <c r="EL449" s="658" t="s">
        <v>883</v>
      </c>
      <c r="EM449" s="658" t="s">
        <v>884</v>
      </c>
      <c r="EN449" s="658" t="s">
        <v>885</v>
      </c>
      <c r="EO449" s="436"/>
      <c r="EP449" s="656" t="s">
        <v>58</v>
      </c>
      <c r="EQ449" s="657" t="s">
        <v>894</v>
      </c>
      <c r="ER449" s="656" t="s">
        <v>617</v>
      </c>
      <c r="ES449" s="656" t="s">
        <v>617</v>
      </c>
      <c r="ET449" s="657" t="s">
        <v>895</v>
      </c>
      <c r="EU449" s="436"/>
      <c r="EV449" s="652"/>
      <c r="EW449" s="658" t="s">
        <v>821</v>
      </c>
      <c r="EX449" s="659" t="s">
        <v>847</v>
      </c>
      <c r="EY449" s="658" t="s">
        <v>883</v>
      </c>
      <c r="EZ449" s="658" t="s">
        <v>884</v>
      </c>
      <c r="FA449" s="658" t="s">
        <v>885</v>
      </c>
      <c r="FB449" s="436"/>
    </row>
    <row r="450" spans="2:158">
      <c r="C450" s="660">
        <v>450</v>
      </c>
      <c r="D450" s="660">
        <f>PI()*(C450/2000)^2</f>
        <v>0.15904312808798329</v>
      </c>
      <c r="E450" s="660">
        <f t="shared" ref="E450:E455" si="497">(ROUNDUP((PI()*C450/1000)/0.2,0))*201</f>
        <v>1608</v>
      </c>
      <c r="F450" s="660">
        <f>1000000*(IF(D450&lt;0.5,0.005*D450,IF(D450&gt;1,(0.0025*D450),0.0025)))</f>
        <v>795.21564043991657</v>
      </c>
      <c r="G450" s="660">
        <f>MAX(E450:F450)</f>
        <v>1608</v>
      </c>
      <c r="H450" s="436">
        <f>IF(OR(I447="All Types",I447="Continuous Flight Auger"),1,999999)</f>
        <v>1</v>
      </c>
      <c r="I450" s="434" t="s">
        <v>886</v>
      </c>
      <c r="J450" s="661"/>
      <c r="K450" s="661"/>
      <c r="L450" s="661"/>
      <c r="M450" s="661"/>
      <c r="N450" s="661"/>
      <c r="O450" s="662">
        <f>SUM(N451:N453)</f>
        <v>227.59071629390402</v>
      </c>
      <c r="P450" s="660">
        <v>450</v>
      </c>
      <c r="Q450" s="660">
        <f>PI()*(P450/2000)^2</f>
        <v>0.15904312808798329</v>
      </c>
      <c r="R450" s="660">
        <f t="shared" ref="R450:R455" si="498">(ROUNDUP((PI()*P450/1000)/0.2,0))*201</f>
        <v>1608</v>
      </c>
      <c r="S450" s="660">
        <f>1000000*(IF(Q450&lt;0.5,0.005*Q450,IF(Q450&gt;1,(0.0025*Q450),0.0025)))</f>
        <v>795.21564043991657</v>
      </c>
      <c r="T450" s="660">
        <f>MAX(R450:S450)</f>
        <v>1608</v>
      </c>
      <c r="U450" s="436">
        <f>IF(OR(V447="All Types",V447="Continuous Flight Auger"),1,999999)</f>
        <v>1</v>
      </c>
      <c r="V450" s="434" t="s">
        <v>886</v>
      </c>
      <c r="W450" s="661"/>
      <c r="X450" s="661"/>
      <c r="Y450" s="661"/>
      <c r="Z450" s="661"/>
      <c r="AA450" s="663"/>
      <c r="AB450" s="662">
        <f>SUM(AA451:AA453)</f>
        <v>227.59071629390402</v>
      </c>
      <c r="AC450" s="660">
        <v>450</v>
      </c>
      <c r="AD450" s="660">
        <f>PI()*(AC450/2000)^2</f>
        <v>0.15904312808798329</v>
      </c>
      <c r="AE450" s="660">
        <f t="shared" ref="AE450:AE455" si="499">(ROUNDUP((PI()*AC450/1000)/0.2,0))*201</f>
        <v>1608</v>
      </c>
      <c r="AF450" s="660">
        <f>1000000*(IF(AD450&lt;0.5,0.005*AD450,IF(AD450&gt;1,(0.0025*AD450),0.0025)))</f>
        <v>795.21564043991657</v>
      </c>
      <c r="AG450" s="660">
        <f>MAX(AE450:AF450)</f>
        <v>1608</v>
      </c>
      <c r="AH450" s="436">
        <f>IF(OR(AI447="All Types",AI447="Continuous Flight Auger"),1,999999)</f>
        <v>1</v>
      </c>
      <c r="AI450" s="434" t="s">
        <v>886</v>
      </c>
      <c r="AJ450" s="661"/>
      <c r="AK450" s="661"/>
      <c r="AL450" s="661"/>
      <c r="AM450" s="661"/>
      <c r="AN450" s="661"/>
      <c r="AO450" s="662">
        <f>SUM(AN451:AN453)</f>
        <v>212.56114068958959</v>
      </c>
      <c r="AP450" s="660">
        <v>450</v>
      </c>
      <c r="AQ450" s="660">
        <f>PI()*(AP450/2000)^2</f>
        <v>0.15904312808798329</v>
      </c>
      <c r="AR450" s="660">
        <f t="shared" ref="AR450:AR455" si="500">(ROUNDUP((PI()*AP450/1000)/0.2,0))*201</f>
        <v>1608</v>
      </c>
      <c r="AS450" s="660">
        <f>1000000*(IF(AQ450&lt;0.5,0.005*AQ450,IF(AQ450&gt;1,(0.0025*AQ450),0.0025)))</f>
        <v>795.21564043991657</v>
      </c>
      <c r="AT450" s="660">
        <f>MAX(AR450:AS450)</f>
        <v>1608</v>
      </c>
      <c r="AU450" s="436">
        <f>IF(OR(AV447="All Types",AV447="Continuous Flight Auger"),1,999999)</f>
        <v>1</v>
      </c>
      <c r="AV450" s="434" t="s">
        <v>886</v>
      </c>
      <c r="AW450" s="661"/>
      <c r="AX450" s="661"/>
      <c r="AY450" s="661"/>
      <c r="AZ450" s="661"/>
      <c r="BA450" s="663"/>
      <c r="BB450" s="662">
        <f>SUM(BA451:BA453)</f>
        <v>212.56114068958959</v>
      </c>
      <c r="BC450" s="660">
        <v>450</v>
      </c>
      <c r="BD450" s="660">
        <f>PI()*(BC450/2000)^2</f>
        <v>0.15904312808798329</v>
      </c>
      <c r="BE450" s="660">
        <f t="shared" ref="BE450:BE455" si="501">(ROUNDUP((PI()*BC450/1000)/0.2,0))*201</f>
        <v>1608</v>
      </c>
      <c r="BF450" s="660">
        <f>1000000*(IF(BD450&lt;0.5,0.005*BD450,IF(BD450&gt;1,(0.0025*BD450),0.0025)))</f>
        <v>795.21564043991657</v>
      </c>
      <c r="BG450" s="660">
        <f>MAX(BE450:BF450)</f>
        <v>1608</v>
      </c>
      <c r="BH450" s="436">
        <f>IF(OR(BI447="All Types",BI447="Continuous Flight Auger"),1,999999)</f>
        <v>1</v>
      </c>
      <c r="BI450" s="434" t="s">
        <v>886</v>
      </c>
      <c r="BJ450" s="661"/>
      <c r="BK450" s="661"/>
      <c r="BL450" s="661"/>
      <c r="BM450" s="661"/>
      <c r="BN450" s="661"/>
      <c r="BO450" s="662">
        <f>SUM(BN451:BN453)</f>
        <v>227.59071629390402</v>
      </c>
      <c r="BP450" s="660">
        <v>450</v>
      </c>
      <c r="BQ450" s="660">
        <f>PI()*(BP450/2000)^2</f>
        <v>0.15904312808798329</v>
      </c>
      <c r="BR450" s="660">
        <f t="shared" ref="BR450:BR455" si="502">(ROUNDUP((PI()*BP450/1000)/0.2,0))*201</f>
        <v>1608</v>
      </c>
      <c r="BS450" s="660">
        <f>1000000*(IF(BQ450&lt;0.5,0.005*BQ450,IF(BQ450&gt;1,(0.0025*BQ450),0.0025)))</f>
        <v>795.21564043991657</v>
      </c>
      <c r="BT450" s="660">
        <f>MAX(BR450:BS450)</f>
        <v>1608</v>
      </c>
      <c r="BU450" s="436">
        <f>IF(OR(BV447="All Types",BV447="Continuous Flight Auger"),1,999999)</f>
        <v>1</v>
      </c>
      <c r="BV450" s="434" t="s">
        <v>886</v>
      </c>
      <c r="BW450" s="661"/>
      <c r="BX450" s="661"/>
      <c r="BY450" s="661"/>
      <c r="BZ450" s="661"/>
      <c r="CA450" s="661"/>
      <c r="CB450" s="662">
        <f>SUM(CA451:CA453)</f>
        <v>235.22478644212723</v>
      </c>
      <c r="CC450" s="660">
        <v>450</v>
      </c>
      <c r="CD450" s="660">
        <f>PI()*(CC450/2000)^2</f>
        <v>0.15904312808798329</v>
      </c>
      <c r="CE450" s="660">
        <f t="shared" ref="CE450:CE455" si="503">(ROUNDUP((PI()*CC450/1000)/0.2,0))*201</f>
        <v>1608</v>
      </c>
      <c r="CF450" s="660">
        <f>1000000*(IF(CD450&lt;0.5,0.005*CD450,IF(CD450&gt;1,(0.0025*CD450),0.0025)))</f>
        <v>795.21564043991657</v>
      </c>
      <c r="CG450" s="660">
        <f>MAX(CE450:CF450)</f>
        <v>1608</v>
      </c>
      <c r="CH450" s="436">
        <f>IF(OR(CI447="All Types",CI447="Continuous Flight Auger"),1,999999)</f>
        <v>1</v>
      </c>
      <c r="CI450" s="434" t="s">
        <v>886</v>
      </c>
      <c r="CJ450" s="661"/>
      <c r="CK450" s="661"/>
      <c r="CL450" s="661"/>
      <c r="CM450" s="661"/>
      <c r="CN450" s="661"/>
      <c r="CO450" s="662">
        <f>SUM(CN451:CN453)</f>
        <v>210.08006789141706</v>
      </c>
      <c r="CP450" s="660">
        <v>450</v>
      </c>
      <c r="CQ450" s="660">
        <f>PI()*(CP450/2000)^2</f>
        <v>0.15904312808798329</v>
      </c>
      <c r="CR450" s="660">
        <f t="shared" ref="CR450:CR455" si="504">(ROUNDUP((PI()*CP450/1000)/0.2,0))*201</f>
        <v>1608</v>
      </c>
      <c r="CS450" s="660">
        <f>1000000*(IF(CQ450&lt;0.5,0.005*CQ450,IF(CQ450&gt;1,(0.0025*CQ450),0.0025)))</f>
        <v>795.21564043991657</v>
      </c>
      <c r="CT450" s="660">
        <f>MAX(CR450:CS450)</f>
        <v>1608</v>
      </c>
      <c r="CU450" s="436">
        <f>IF(OR(CV447="All Types",CV447="Continuous Flight Auger"),1,999999)</f>
        <v>1</v>
      </c>
      <c r="CV450" s="434" t="s">
        <v>886</v>
      </c>
      <c r="CW450" s="661"/>
      <c r="CX450" s="661"/>
      <c r="CY450" s="661"/>
      <c r="CZ450" s="661"/>
      <c r="DA450" s="661"/>
      <c r="DB450" s="662">
        <f>SUM(DA451:DA453)</f>
        <v>209.74077588482936</v>
      </c>
      <c r="DC450" s="660">
        <v>450</v>
      </c>
      <c r="DD450" s="660">
        <f>PI()*(DC450/2000)^2</f>
        <v>0.15904312808798329</v>
      </c>
      <c r="DE450" s="660">
        <f t="shared" ref="DE450:DE455" si="505">(ROUNDUP((PI()*DC450/1000)/0.2,0))*201</f>
        <v>1608</v>
      </c>
      <c r="DF450" s="660">
        <f>1000000*(IF(DD450&lt;0.5,0.005*DD450,IF(DD450&gt;1,(0.0025*DD450),0.0025)))</f>
        <v>795.21564043991657</v>
      </c>
      <c r="DG450" s="660">
        <f>MAX(DE450:DF450)</f>
        <v>1608</v>
      </c>
      <c r="DH450" s="436">
        <f>IF(OR(DI447="All Types",DI447="Continuous Flight Auger"),1,999999)</f>
        <v>1</v>
      </c>
      <c r="DI450" s="434" t="s">
        <v>886</v>
      </c>
      <c r="DJ450" s="661"/>
      <c r="DK450" s="661"/>
      <c r="DL450" s="661"/>
      <c r="DM450" s="661"/>
      <c r="DN450" s="661"/>
      <c r="DO450" s="662">
        <f>SUM(DN451:DN453)</f>
        <v>209.74077588482936</v>
      </c>
      <c r="DP450" s="660">
        <v>450</v>
      </c>
      <c r="DQ450" s="660">
        <f>PI()*(DP450/2000)^2</f>
        <v>0.15904312808798329</v>
      </c>
      <c r="DR450" s="660">
        <f t="shared" ref="DR450:DR455" si="506">(ROUNDUP((PI()*DP450/1000)/0.2,0))*201</f>
        <v>1608</v>
      </c>
      <c r="DS450" s="660">
        <f>1000000*(IF(DQ450&lt;0.5,0.005*DQ450,IF(DQ450&gt;1,(0.0025*DQ450),0.0025)))</f>
        <v>795.21564043991657</v>
      </c>
      <c r="DT450" s="660">
        <f>MAX(DR450:DS450)</f>
        <v>1608</v>
      </c>
      <c r="DU450" s="436">
        <f>IF(OR(DV447="All Types",DV447="Continuous Flight Auger"),1,999999)</f>
        <v>1</v>
      </c>
      <c r="DV450" s="434" t="s">
        <v>886</v>
      </c>
      <c r="DW450" s="661"/>
      <c r="DX450" s="661"/>
      <c r="DY450" s="661"/>
      <c r="DZ450" s="661"/>
      <c r="EA450" s="661"/>
      <c r="EB450" s="662">
        <f>SUM(EA451:EA453)</f>
        <v>207.7898468469501</v>
      </c>
      <c r="EC450" s="660">
        <v>450</v>
      </c>
      <c r="ED450" s="660">
        <f>PI()*(EC450/2000)^2</f>
        <v>0.15904312808798329</v>
      </c>
      <c r="EE450" s="660">
        <f t="shared" ref="EE450:EE455" si="507">(ROUNDUP((PI()*EC450/1000)/0.2,0))*201</f>
        <v>1608</v>
      </c>
      <c r="EF450" s="660">
        <f>1000000*(IF(ED450&lt;0.5,0.005*ED450,IF(ED450&gt;1,(0.0025*ED450),0.0025)))</f>
        <v>795.21564043991657</v>
      </c>
      <c r="EG450" s="660">
        <f>MAX(EE450:EF450)</f>
        <v>1608</v>
      </c>
      <c r="EH450" s="436">
        <f>IF(OR(EI447="All Types",EI447="Continuous Flight Auger"),1,999999)</f>
        <v>1</v>
      </c>
      <c r="EI450" s="434" t="s">
        <v>886</v>
      </c>
      <c r="EJ450" s="661"/>
      <c r="EK450" s="661"/>
      <c r="EL450" s="661"/>
      <c r="EM450" s="661"/>
      <c r="EN450" s="661"/>
      <c r="EO450" s="662">
        <f>SUM(EN451:EN453)</f>
        <v>207.7898468469501</v>
      </c>
      <c r="EP450" s="660">
        <v>450</v>
      </c>
      <c r="EQ450" s="660">
        <f>PI()*(EP450/2000)^2</f>
        <v>0.15904312808798329</v>
      </c>
      <c r="ER450" s="660">
        <f t="shared" ref="ER450:ER455" si="508">(ROUNDUP((PI()*EP450/1000)/0.2,0))*201</f>
        <v>1608</v>
      </c>
      <c r="ES450" s="660">
        <f>1000000*(IF(EQ450&lt;0.5,0.005*EQ450,IF(EQ450&gt;1,(0.0025*EQ450),0.0025)))</f>
        <v>795.21564043991657</v>
      </c>
      <c r="ET450" s="660">
        <f>MAX(ER450:ES450)</f>
        <v>1608</v>
      </c>
      <c r="EU450" s="436">
        <f>IF(OR(EV447="All Types",EV447="Continuous Flight Auger"),1,999999)</f>
        <v>1</v>
      </c>
      <c r="EV450" s="434" t="s">
        <v>886</v>
      </c>
      <c r="EW450" s="661"/>
      <c r="EX450" s="661"/>
      <c r="EY450" s="661"/>
      <c r="EZ450" s="661"/>
      <c r="FA450" s="661"/>
      <c r="FB450" s="662">
        <f>SUM(FA451:FA453)</f>
        <v>15745253.935440665</v>
      </c>
    </row>
    <row r="451" spans="2:158">
      <c r="B451" s="436"/>
      <c r="C451" s="660">
        <v>600</v>
      </c>
      <c r="D451" s="660">
        <f t="shared" ref="D451:D455" si="509">PI()*(C451/2000)^2</f>
        <v>0.28274333882308139</v>
      </c>
      <c r="E451" s="660">
        <f t="shared" si="497"/>
        <v>2010</v>
      </c>
      <c r="F451" s="660">
        <f t="shared" ref="F451:F455" si="510">1000000*(IF(D451&lt;0.5,0.005*D451,IF(D451&gt;1,(0.0025*D451),0.0025)))</f>
        <v>1413.7166941154071</v>
      </c>
      <c r="G451" s="660">
        <f t="shared" ref="G451:G455" si="511">MAX(E451:F451)</f>
        <v>2010</v>
      </c>
      <c r="I451" s="434" t="s">
        <v>183</v>
      </c>
      <c r="J451" s="664">
        <f>$H$450*C433</f>
        <v>450</v>
      </c>
      <c r="K451" s="664">
        <f t="shared" ref="K451:M451" si="512">$H$450*D433</f>
        <v>14.999999999999996</v>
      </c>
      <c r="L451" s="664">
        <f t="shared" si="512"/>
        <v>1</v>
      </c>
      <c r="M451" s="664">
        <f t="shared" si="512"/>
        <v>63</v>
      </c>
      <c r="N451" s="665">
        <f>PI()*((J451/2000)^2)*K451*M451</f>
        <v>150.29575604314417</v>
      </c>
      <c r="O451" s="666"/>
      <c r="P451" s="660">
        <v>600</v>
      </c>
      <c r="Q451" s="660">
        <f t="shared" ref="Q451:Q455" si="513">PI()*(P451/2000)^2</f>
        <v>0.28274333882308139</v>
      </c>
      <c r="R451" s="660">
        <f t="shared" si="498"/>
        <v>2010</v>
      </c>
      <c r="S451" s="660">
        <f t="shared" ref="S451:S455" si="514">1000000*(IF(Q451&lt;0.5,0.005*Q451,IF(Q451&gt;1,(0.0025*Q451),0.0025)))</f>
        <v>1413.7166941154071</v>
      </c>
      <c r="T451" s="660">
        <f t="shared" ref="T451:T455" si="515">MAX(R451:S451)</f>
        <v>2010</v>
      </c>
      <c r="U451" s="436"/>
      <c r="V451" s="434" t="s">
        <v>183</v>
      </c>
      <c r="W451" s="664">
        <f>$H$450*P433</f>
        <v>450</v>
      </c>
      <c r="X451" s="664">
        <f>$U$450*Q433</f>
        <v>14.999999999999996</v>
      </c>
      <c r="Y451" s="664">
        <f t="shared" ref="Y451:Z451" si="516">$H$450*R433</f>
        <v>1</v>
      </c>
      <c r="Z451" s="664">
        <f t="shared" si="516"/>
        <v>63</v>
      </c>
      <c r="AA451" s="665">
        <f>PI()*((W451/2000)^2)*X451*Z451</f>
        <v>150.29575604314417</v>
      </c>
      <c r="AB451" s="666"/>
      <c r="AC451" s="660">
        <v>600</v>
      </c>
      <c r="AD451" s="660">
        <f t="shared" ref="AD451:AD455" si="517">PI()*(AC451/2000)^2</f>
        <v>0.28274333882308139</v>
      </c>
      <c r="AE451" s="660">
        <f t="shared" si="499"/>
        <v>2010</v>
      </c>
      <c r="AF451" s="660">
        <f t="shared" ref="AF451:AF455" si="518">1000000*(IF(AD451&lt;0.5,0.005*AD451,IF(AD451&gt;1,(0.0025*AD451),0.0025)))</f>
        <v>1413.7166941154071</v>
      </c>
      <c r="AG451" s="660">
        <f t="shared" ref="AG451:AG455" si="519">MAX(AE451:AF451)</f>
        <v>2010</v>
      </c>
      <c r="AH451" s="436"/>
      <c r="AI451" s="434" t="s">
        <v>183</v>
      </c>
      <c r="AJ451" s="664">
        <f>$H$450*AC433</f>
        <v>450</v>
      </c>
      <c r="AK451" s="664">
        <f t="shared" ref="AK451:AM451" si="520">$H$450*AD433</f>
        <v>13.499999999999996</v>
      </c>
      <c r="AL451" s="664">
        <f t="shared" si="520"/>
        <v>1</v>
      </c>
      <c r="AM451" s="664">
        <f t="shared" si="520"/>
        <v>63</v>
      </c>
      <c r="AN451" s="664">
        <f>PI()*((AJ451/2000)^2)*AK451*AM451</f>
        <v>135.26618043882974</v>
      </c>
      <c r="AO451" s="666"/>
      <c r="AP451" s="660">
        <v>600</v>
      </c>
      <c r="AQ451" s="660">
        <f t="shared" ref="AQ451:AQ455" si="521">PI()*(AP451/2000)^2</f>
        <v>0.28274333882308139</v>
      </c>
      <c r="AR451" s="660">
        <f t="shared" si="500"/>
        <v>2010</v>
      </c>
      <c r="AS451" s="660">
        <f t="shared" ref="AS451:AS455" si="522">1000000*(IF(AQ451&lt;0.5,0.005*AQ451,IF(AQ451&gt;1,(0.0025*AQ451),0.0025)))</f>
        <v>1413.7166941154071</v>
      </c>
      <c r="AT451" s="660">
        <f t="shared" ref="AT451:AT455" si="523">MAX(AR451:AS451)</f>
        <v>2010</v>
      </c>
      <c r="AU451" s="436"/>
      <c r="AV451" s="434" t="s">
        <v>183</v>
      </c>
      <c r="AW451" s="664">
        <f>H450*AP433</f>
        <v>450</v>
      </c>
      <c r="AX451" s="664">
        <f>H450*AQ433</f>
        <v>13.499999999999996</v>
      </c>
      <c r="AY451" s="664">
        <f>H450*AR433</f>
        <v>1</v>
      </c>
      <c r="AZ451" s="664">
        <f>H450*AS433</f>
        <v>63</v>
      </c>
      <c r="BA451" s="665">
        <f>PI()*((AW451/2000)^2)*AX451*AZ451</f>
        <v>135.26618043882974</v>
      </c>
      <c r="BB451" s="666"/>
      <c r="BC451" s="660">
        <v>600</v>
      </c>
      <c r="BD451" s="660">
        <f t="shared" ref="BD451:BD455" si="524">PI()*(BC451/2000)^2</f>
        <v>0.28274333882308139</v>
      </c>
      <c r="BE451" s="660">
        <f t="shared" si="501"/>
        <v>2010</v>
      </c>
      <c r="BF451" s="660">
        <f t="shared" ref="BF451:BF455" si="525">1000000*(IF(BD451&lt;0.5,0.005*BD451,IF(BD451&gt;1,(0.0025*BD451),0.0025)))</f>
        <v>1413.7166941154071</v>
      </c>
      <c r="BG451" s="660">
        <f t="shared" ref="BG451:BG455" si="526">MAX(BE451:BF451)</f>
        <v>2010</v>
      </c>
      <c r="BH451" s="436"/>
      <c r="BI451" s="434" t="s">
        <v>183</v>
      </c>
      <c r="BJ451" s="664">
        <f>U450*BC433</f>
        <v>450</v>
      </c>
      <c r="BK451" s="664">
        <f>U450*BD433</f>
        <v>14.999999999999996</v>
      </c>
      <c r="BL451" s="664">
        <f>U450*BE433</f>
        <v>1</v>
      </c>
      <c r="BM451" s="664">
        <f>U450*BF433</f>
        <v>63</v>
      </c>
      <c r="BN451" s="665">
        <f>PI()*((BJ451/2000)^2)*BK451*BM451</f>
        <v>150.29575604314417</v>
      </c>
      <c r="BO451" s="666"/>
      <c r="BP451" s="660">
        <v>600</v>
      </c>
      <c r="BQ451" s="660">
        <f t="shared" ref="BQ451:BQ455" si="527">PI()*(BP451/2000)^2</f>
        <v>0.28274333882308139</v>
      </c>
      <c r="BR451" s="660">
        <f t="shared" si="502"/>
        <v>2010</v>
      </c>
      <c r="BS451" s="660">
        <f t="shared" ref="BS451:BS455" si="528">1000000*(IF(BQ451&lt;0.5,0.005*BQ451,IF(BQ451&gt;1,(0.0025*BQ451),0.0025)))</f>
        <v>1413.7166941154071</v>
      </c>
      <c r="BT451" s="660">
        <f t="shared" ref="BT451:BT455" si="529">MAX(BR451:BS451)</f>
        <v>2010</v>
      </c>
      <c r="BU451" s="436"/>
      <c r="BV451" s="434" t="s">
        <v>183</v>
      </c>
      <c r="BW451" s="664">
        <f>AH450*BP433</f>
        <v>450</v>
      </c>
      <c r="BX451" s="664">
        <f>AH450*BQ433</f>
        <v>14.999999999999996</v>
      </c>
      <c r="BY451" s="664">
        <f>AH450*BR433</f>
        <v>1</v>
      </c>
      <c r="BZ451" s="664">
        <f>AH450*BS433</f>
        <v>63</v>
      </c>
      <c r="CA451" s="665">
        <f>PI()*((BW451/2000)^2)*BX451*BZ451</f>
        <v>150.29575604314417</v>
      </c>
      <c r="CB451" s="666"/>
      <c r="CC451" s="660">
        <v>600</v>
      </c>
      <c r="CD451" s="660">
        <f t="shared" ref="CD451:CD455" si="530">PI()*(CC451/2000)^2</f>
        <v>0.28274333882308139</v>
      </c>
      <c r="CE451" s="660">
        <f t="shared" si="503"/>
        <v>2010</v>
      </c>
      <c r="CF451" s="660">
        <f t="shared" ref="CF451:CF455" si="531">1000000*(IF(CD451&lt;0.5,0.005*CD451,IF(CD451&gt;1,(0.0025*CD451),0.0025)))</f>
        <v>1413.7166941154071</v>
      </c>
      <c r="CG451" s="660">
        <f t="shared" ref="CG451:CG455" si="532">MAX(CE451:CF451)</f>
        <v>2010</v>
      </c>
      <c r="CH451" s="436"/>
      <c r="CI451" s="434" t="s">
        <v>183</v>
      </c>
      <c r="CJ451" s="664">
        <f>AU450*CC433</f>
        <v>450</v>
      </c>
      <c r="CK451" s="664">
        <f>AU450*CD433</f>
        <v>13.499999999999996</v>
      </c>
      <c r="CL451" s="664">
        <f>AU450*CE433</f>
        <v>1</v>
      </c>
      <c r="CM451" s="664">
        <f>AU450*CF433</f>
        <v>63</v>
      </c>
      <c r="CN451" s="665">
        <f>PI()*((CJ451/2000)^2)*CK451*CM451</f>
        <v>135.26618043882974</v>
      </c>
      <c r="CO451" s="666"/>
      <c r="CP451" s="660">
        <v>600</v>
      </c>
      <c r="CQ451" s="660">
        <f t="shared" ref="CQ451:CQ455" si="533">PI()*(CP451/2000)^2</f>
        <v>0.28274333882308139</v>
      </c>
      <c r="CR451" s="660">
        <f t="shared" si="504"/>
        <v>2010</v>
      </c>
      <c r="CS451" s="660">
        <f t="shared" ref="CS451:CS455" si="534">1000000*(IF(CQ451&lt;0.5,0.005*CQ451,IF(CQ451&gt;1,(0.0025*CQ451),0.0025)))</f>
        <v>1413.7166941154071</v>
      </c>
      <c r="CT451" s="660">
        <f t="shared" ref="CT451:CT455" si="535">MAX(CR451:CS451)</f>
        <v>2010</v>
      </c>
      <c r="CU451" s="436"/>
      <c r="CV451" s="434" t="s">
        <v>183</v>
      </c>
      <c r="CW451" s="664">
        <f>BH450*CP433</f>
        <v>450</v>
      </c>
      <c r="CX451" s="664">
        <f>BH450*CQ433</f>
        <v>13.499999999999996</v>
      </c>
      <c r="CY451" s="664">
        <f>BH450*CR433</f>
        <v>1</v>
      </c>
      <c r="CZ451" s="664">
        <f>BH450*CS433</f>
        <v>63</v>
      </c>
      <c r="DA451" s="665">
        <f>PI()*((CW451/2000)^2)*CX451*CZ451</f>
        <v>135.26618043882974</v>
      </c>
      <c r="DB451" s="666"/>
      <c r="DC451" s="660">
        <v>600</v>
      </c>
      <c r="DD451" s="660">
        <f t="shared" ref="DD451:DD455" si="536">PI()*(DC451/2000)^2</f>
        <v>0.28274333882308139</v>
      </c>
      <c r="DE451" s="660">
        <f t="shared" si="505"/>
        <v>2010</v>
      </c>
      <c r="DF451" s="660">
        <f t="shared" ref="DF451:DF455" si="537">1000000*(IF(DD451&lt;0.5,0.005*DD451,IF(DD451&gt;1,(0.0025*DD451),0.0025)))</f>
        <v>1413.7166941154071</v>
      </c>
      <c r="DG451" s="660">
        <f t="shared" ref="DG451:DG455" si="538">MAX(DE451:DF451)</f>
        <v>2010</v>
      </c>
      <c r="DH451" s="436"/>
      <c r="DI451" s="434" t="s">
        <v>183</v>
      </c>
      <c r="DJ451" s="664">
        <f>BU450*DC433</f>
        <v>450</v>
      </c>
      <c r="DK451" s="664">
        <f>BU450*DD433</f>
        <v>13.499999999999996</v>
      </c>
      <c r="DL451" s="664">
        <f>BU450*DE433</f>
        <v>1</v>
      </c>
      <c r="DM451" s="664">
        <f>BU450*DF433</f>
        <v>63</v>
      </c>
      <c r="DN451" s="665">
        <f>PI()*((DJ451/2000)^2)*DK451*DM451</f>
        <v>135.26618043882974</v>
      </c>
      <c r="DO451" s="666"/>
      <c r="DP451" s="660">
        <v>600</v>
      </c>
      <c r="DQ451" s="660">
        <f t="shared" ref="DQ451:DQ455" si="539">PI()*(DP451/2000)^2</f>
        <v>0.28274333882308139</v>
      </c>
      <c r="DR451" s="660">
        <f t="shared" si="506"/>
        <v>2010</v>
      </c>
      <c r="DS451" s="660">
        <f t="shared" ref="DS451:DS455" si="540">1000000*(IF(DQ451&lt;0.5,0.005*DQ451,IF(DQ451&gt;1,(0.0025*DQ451),0.0025)))</f>
        <v>1413.7166941154071</v>
      </c>
      <c r="DT451" s="660">
        <f t="shared" ref="DT451:DT455" si="541">MAX(DR451:DS451)</f>
        <v>2010</v>
      </c>
      <c r="DU451" s="436"/>
      <c r="DV451" s="434" t="s">
        <v>183</v>
      </c>
      <c r="DW451" s="664">
        <f>CH450*DP433</f>
        <v>450</v>
      </c>
      <c r="DX451" s="664">
        <f>CH450*DQ433</f>
        <v>13.499999999999996</v>
      </c>
      <c r="DY451" s="664">
        <f>CH450*DR433</f>
        <v>1</v>
      </c>
      <c r="DZ451" s="664">
        <f>CH450*DS433</f>
        <v>63</v>
      </c>
      <c r="EA451" s="665">
        <f>PI()*((DW451/2000)^2)*DX451*DZ451</f>
        <v>135.26618043882974</v>
      </c>
      <c r="EB451" s="666"/>
      <c r="EC451" s="660">
        <v>600</v>
      </c>
      <c r="ED451" s="660">
        <f t="shared" ref="ED451:ED455" si="542">PI()*(EC451/2000)^2</f>
        <v>0.28274333882308139</v>
      </c>
      <c r="EE451" s="660">
        <f t="shared" si="507"/>
        <v>2010</v>
      </c>
      <c r="EF451" s="660">
        <f t="shared" ref="EF451:EF455" si="543">1000000*(IF(ED451&lt;0.5,0.005*ED451,IF(ED451&gt;1,(0.0025*ED451),0.0025)))</f>
        <v>1413.7166941154071</v>
      </c>
      <c r="EG451" s="660">
        <f t="shared" ref="EG451:EG455" si="544">MAX(EE451:EF451)</f>
        <v>2010</v>
      </c>
      <c r="EH451" s="436"/>
      <c r="EI451" s="434" t="s">
        <v>183</v>
      </c>
      <c r="EJ451" s="664">
        <f>CU450*EC433</f>
        <v>450</v>
      </c>
      <c r="EK451" s="664">
        <f>CU450*ED433</f>
        <v>13.499999999999996</v>
      </c>
      <c r="EL451" s="664">
        <f>CU450*EE433</f>
        <v>1</v>
      </c>
      <c r="EM451" s="664">
        <f>CU450*EF433</f>
        <v>63</v>
      </c>
      <c r="EN451" s="665">
        <f>PI()*((EJ451/2000)^2)*EK451*EM451</f>
        <v>135.26618043882974</v>
      </c>
      <c r="EO451" s="666"/>
      <c r="EP451" s="660">
        <v>600</v>
      </c>
      <c r="EQ451" s="660">
        <f t="shared" ref="EQ451:EQ455" si="545">PI()*(EP451/2000)^2</f>
        <v>0.28274333882308139</v>
      </c>
      <c r="ER451" s="660">
        <f t="shared" si="508"/>
        <v>2010</v>
      </c>
      <c r="ES451" s="660">
        <f t="shared" ref="ES451:ES455" si="546">1000000*(IF(EQ451&lt;0.5,0.005*EQ451,IF(EQ451&gt;1,(0.0025*EQ451),0.0025)))</f>
        <v>1413.7166941154071</v>
      </c>
      <c r="ET451" s="660">
        <f t="shared" ref="ET451:ET455" si="547">MAX(ER451:ES451)</f>
        <v>2010</v>
      </c>
      <c r="EU451" s="436"/>
      <c r="EV451" s="434" t="s">
        <v>183</v>
      </c>
      <c r="EW451" s="664">
        <f t="shared" ref="EW451:FA453" si="548">$H$450*EW433</f>
        <v>450</v>
      </c>
      <c r="EX451" s="664">
        <f t="shared" si="548"/>
        <v>999999</v>
      </c>
      <c r="EY451" s="664">
        <f t="shared" si="548"/>
        <v>1</v>
      </c>
      <c r="EZ451" s="664">
        <f t="shared" si="548"/>
        <v>63</v>
      </c>
      <c r="FA451" s="664">
        <f t="shared" si="548"/>
        <v>10019707.049825877</v>
      </c>
      <c r="FB451" s="666"/>
    </row>
    <row r="452" spans="2:158">
      <c r="C452" s="660">
        <v>750</v>
      </c>
      <c r="D452" s="660">
        <f t="shared" si="509"/>
        <v>0.44178646691106466</v>
      </c>
      <c r="E452" s="660">
        <f t="shared" si="497"/>
        <v>2412</v>
      </c>
      <c r="F452" s="660">
        <f t="shared" si="510"/>
        <v>2208.9323345553235</v>
      </c>
      <c r="G452" s="660">
        <f t="shared" si="511"/>
        <v>2412</v>
      </c>
      <c r="H452" s="436"/>
      <c r="I452" s="434" t="s">
        <v>896</v>
      </c>
      <c r="J452" s="664">
        <f>$H$450*C434</f>
        <v>450</v>
      </c>
      <c r="K452" s="664">
        <f t="shared" ref="K452:M452" si="549">$H$450*D434</f>
        <v>13.499999999999996</v>
      </c>
      <c r="L452" s="664">
        <f t="shared" si="549"/>
        <v>1</v>
      </c>
      <c r="M452" s="664">
        <f t="shared" si="549"/>
        <v>32</v>
      </c>
      <c r="N452" s="665">
        <f t="shared" ref="N452:N461" si="550">PI()*((J452/2000)^2)*K452*M452</f>
        <v>68.706631334008762</v>
      </c>
      <c r="O452" s="666"/>
      <c r="P452" s="660">
        <v>750</v>
      </c>
      <c r="Q452" s="660">
        <f t="shared" si="513"/>
        <v>0.44178646691106466</v>
      </c>
      <c r="R452" s="660">
        <f t="shared" si="498"/>
        <v>2412</v>
      </c>
      <c r="S452" s="660">
        <f t="shared" si="514"/>
        <v>2208.9323345553235</v>
      </c>
      <c r="T452" s="660">
        <f t="shared" si="515"/>
        <v>2412</v>
      </c>
      <c r="U452" s="436"/>
      <c r="V452" s="434" t="s">
        <v>896</v>
      </c>
      <c r="W452" s="664">
        <f>$H$450*P434</f>
        <v>450</v>
      </c>
      <c r="X452" s="664">
        <f>$U$450*Q434</f>
        <v>13.499999999999996</v>
      </c>
      <c r="Y452" s="664">
        <f t="shared" ref="Y452:Z452" si="551">$H$450*R434</f>
        <v>1</v>
      </c>
      <c r="Z452" s="664">
        <f t="shared" si="551"/>
        <v>32</v>
      </c>
      <c r="AA452" s="665">
        <f t="shared" ref="AA452:AA461" si="552">PI()*((W452/2000)^2)*X452*Z452</f>
        <v>68.706631334008762</v>
      </c>
      <c r="AB452" s="666"/>
      <c r="AC452" s="660">
        <v>750</v>
      </c>
      <c r="AD452" s="660">
        <f t="shared" si="517"/>
        <v>0.44178646691106466</v>
      </c>
      <c r="AE452" s="660">
        <f t="shared" si="499"/>
        <v>2412</v>
      </c>
      <c r="AF452" s="660">
        <f t="shared" si="518"/>
        <v>2208.9323345553235</v>
      </c>
      <c r="AG452" s="660">
        <f t="shared" si="519"/>
        <v>2412</v>
      </c>
      <c r="AH452" s="436"/>
      <c r="AI452" s="434" t="s">
        <v>896</v>
      </c>
      <c r="AJ452" s="664">
        <f>$H$450*AC434</f>
        <v>450</v>
      </c>
      <c r="AK452" s="664">
        <f t="shared" ref="AK452:AM452" si="553">$H$450*AD434</f>
        <v>13.499999999999996</v>
      </c>
      <c r="AL452" s="664">
        <f t="shared" si="553"/>
        <v>1</v>
      </c>
      <c r="AM452" s="664">
        <f t="shared" si="553"/>
        <v>32</v>
      </c>
      <c r="AN452" s="664">
        <f t="shared" ref="AN452:AN461" si="554">PI()*((AJ452/2000)^2)*AK452*AM452</f>
        <v>68.706631334008762</v>
      </c>
      <c r="AO452" s="666"/>
      <c r="AP452" s="660">
        <v>750</v>
      </c>
      <c r="AQ452" s="660">
        <f t="shared" si="521"/>
        <v>0.44178646691106466</v>
      </c>
      <c r="AR452" s="660">
        <f t="shared" si="500"/>
        <v>2412</v>
      </c>
      <c r="AS452" s="660">
        <f t="shared" si="522"/>
        <v>2208.9323345553235</v>
      </c>
      <c r="AT452" s="660">
        <f t="shared" si="523"/>
        <v>2412</v>
      </c>
      <c r="AU452" s="436"/>
      <c r="AV452" s="434" t="s">
        <v>896</v>
      </c>
      <c r="AW452" s="664">
        <f>H450*AP434</f>
        <v>450</v>
      </c>
      <c r="AX452" s="664">
        <f>H450*AQ434</f>
        <v>13.499999999999996</v>
      </c>
      <c r="AY452" s="664">
        <f>H450*AR434</f>
        <v>1</v>
      </c>
      <c r="AZ452" s="664">
        <f>H450*AS434</f>
        <v>32</v>
      </c>
      <c r="BA452" s="665">
        <f t="shared" ref="BA452:BA461" si="555">PI()*((AW452/2000)^2)*AX452*AZ452</f>
        <v>68.706631334008762</v>
      </c>
      <c r="BB452" s="666"/>
      <c r="BC452" s="660">
        <v>750</v>
      </c>
      <c r="BD452" s="660">
        <f t="shared" si="524"/>
        <v>0.44178646691106466</v>
      </c>
      <c r="BE452" s="660">
        <f t="shared" si="501"/>
        <v>2412</v>
      </c>
      <c r="BF452" s="660">
        <f t="shared" si="525"/>
        <v>2208.9323345553235</v>
      </c>
      <c r="BG452" s="660">
        <f t="shared" si="526"/>
        <v>2412</v>
      </c>
      <c r="BH452" s="436"/>
      <c r="BI452" s="434" t="s">
        <v>896</v>
      </c>
      <c r="BJ452" s="664">
        <f>U450*BC434</f>
        <v>450</v>
      </c>
      <c r="BK452" s="664">
        <f>U450*BD434</f>
        <v>13.499999999999996</v>
      </c>
      <c r="BL452" s="664">
        <f>U450*BE434</f>
        <v>1</v>
      </c>
      <c r="BM452" s="664">
        <f>U450*BF434</f>
        <v>32</v>
      </c>
      <c r="BN452" s="665">
        <f t="shared" ref="BN452:BN453" si="556">PI()*((BJ452/2000)^2)*BK452*BM452</f>
        <v>68.706631334008762</v>
      </c>
      <c r="BO452" s="666"/>
      <c r="BP452" s="660">
        <v>750</v>
      </c>
      <c r="BQ452" s="660">
        <f t="shared" si="527"/>
        <v>0.44178646691106466</v>
      </c>
      <c r="BR452" s="660">
        <f t="shared" si="502"/>
        <v>2412</v>
      </c>
      <c r="BS452" s="660">
        <f t="shared" si="528"/>
        <v>2208.9323345553235</v>
      </c>
      <c r="BT452" s="660">
        <f t="shared" si="529"/>
        <v>2412</v>
      </c>
      <c r="BU452" s="436"/>
      <c r="BV452" s="434" t="s">
        <v>896</v>
      </c>
      <c r="BW452" s="664">
        <f>AH450*BP434</f>
        <v>450</v>
      </c>
      <c r="BX452" s="664">
        <f>AH450*BQ434</f>
        <v>14.999999999999996</v>
      </c>
      <c r="BY452" s="664">
        <f>AH450*BR434</f>
        <v>1</v>
      </c>
      <c r="BZ452" s="664">
        <f>AH450*BS434</f>
        <v>32</v>
      </c>
      <c r="CA452" s="665">
        <f t="shared" ref="CA452:CA453" si="557">PI()*((BW452/2000)^2)*BX452*BZ452</f>
        <v>76.340701482231964</v>
      </c>
      <c r="CB452" s="666"/>
      <c r="CC452" s="660">
        <v>750</v>
      </c>
      <c r="CD452" s="660">
        <f t="shared" si="530"/>
        <v>0.44178646691106466</v>
      </c>
      <c r="CE452" s="660">
        <f t="shared" si="503"/>
        <v>2412</v>
      </c>
      <c r="CF452" s="660">
        <f t="shared" si="531"/>
        <v>2208.9323345553235</v>
      </c>
      <c r="CG452" s="660">
        <f t="shared" si="532"/>
        <v>2412</v>
      </c>
      <c r="CH452" s="436"/>
      <c r="CI452" s="434" t="s">
        <v>896</v>
      </c>
      <c r="CJ452" s="664">
        <f>AU450*CC434</f>
        <v>450</v>
      </c>
      <c r="CK452" s="664">
        <f>AU450*CD434</f>
        <v>13.499999999999996</v>
      </c>
      <c r="CL452" s="664">
        <f>AU450*CE434</f>
        <v>1</v>
      </c>
      <c r="CM452" s="664">
        <f>AU450*CF434</f>
        <v>32</v>
      </c>
      <c r="CN452" s="665">
        <f t="shared" ref="CN452:CN453" si="558">PI()*((CJ452/2000)^2)*CK452*CM452</f>
        <v>68.706631334008762</v>
      </c>
      <c r="CO452" s="666"/>
      <c r="CP452" s="660">
        <v>750</v>
      </c>
      <c r="CQ452" s="660">
        <f t="shared" si="533"/>
        <v>0.44178646691106466</v>
      </c>
      <c r="CR452" s="660">
        <f t="shared" si="504"/>
        <v>2412</v>
      </c>
      <c r="CS452" s="660">
        <f t="shared" si="534"/>
        <v>2208.9323345553235</v>
      </c>
      <c r="CT452" s="660">
        <f t="shared" si="535"/>
        <v>2412</v>
      </c>
      <c r="CU452" s="436"/>
      <c r="CV452" s="434" t="s">
        <v>896</v>
      </c>
      <c r="CW452" s="664">
        <f>BH450*CP434</f>
        <v>450</v>
      </c>
      <c r="CX452" s="664">
        <f>BH450*CQ434</f>
        <v>13.499999999999996</v>
      </c>
      <c r="CY452" s="664">
        <f>BH450*CR434</f>
        <v>1</v>
      </c>
      <c r="CZ452" s="664">
        <f>BH450*CS434</f>
        <v>32</v>
      </c>
      <c r="DA452" s="665">
        <f t="shared" ref="DA452:DA453" si="559">PI()*((CW452/2000)^2)*CX452*CZ452</f>
        <v>68.706631334008762</v>
      </c>
      <c r="DB452" s="666"/>
      <c r="DC452" s="660">
        <v>750</v>
      </c>
      <c r="DD452" s="660">
        <f t="shared" si="536"/>
        <v>0.44178646691106466</v>
      </c>
      <c r="DE452" s="660">
        <f t="shared" si="505"/>
        <v>2412</v>
      </c>
      <c r="DF452" s="660">
        <f t="shared" si="537"/>
        <v>2208.9323345553235</v>
      </c>
      <c r="DG452" s="660">
        <f t="shared" si="538"/>
        <v>2412</v>
      </c>
      <c r="DH452" s="436"/>
      <c r="DI452" s="434" t="s">
        <v>896</v>
      </c>
      <c r="DJ452" s="664">
        <f>BU450*DC434</f>
        <v>450</v>
      </c>
      <c r="DK452" s="664">
        <f>BU450*DD434</f>
        <v>13.499999999999996</v>
      </c>
      <c r="DL452" s="664">
        <f>BU450*DE434</f>
        <v>1</v>
      </c>
      <c r="DM452" s="664">
        <f>BU450*DF434</f>
        <v>32</v>
      </c>
      <c r="DN452" s="665">
        <f t="shared" ref="DN452:DN453" si="560">PI()*((DJ452/2000)^2)*DK452*DM452</f>
        <v>68.706631334008762</v>
      </c>
      <c r="DO452" s="666"/>
      <c r="DP452" s="660">
        <v>750</v>
      </c>
      <c r="DQ452" s="660">
        <f t="shared" si="539"/>
        <v>0.44178646691106466</v>
      </c>
      <c r="DR452" s="660">
        <f t="shared" si="506"/>
        <v>2412</v>
      </c>
      <c r="DS452" s="660">
        <f t="shared" si="540"/>
        <v>2208.9323345553235</v>
      </c>
      <c r="DT452" s="660">
        <f t="shared" si="541"/>
        <v>2412</v>
      </c>
      <c r="DU452" s="436"/>
      <c r="DV452" s="434" t="s">
        <v>896</v>
      </c>
      <c r="DW452" s="664">
        <f>CH450*DP434</f>
        <v>450</v>
      </c>
      <c r="DX452" s="664">
        <f>CH450*DQ434</f>
        <v>13.499999999999996</v>
      </c>
      <c r="DY452" s="664">
        <f>CH450*DR434</f>
        <v>1</v>
      </c>
      <c r="DZ452" s="664">
        <f>CH450*DS434</f>
        <v>32</v>
      </c>
      <c r="EA452" s="665">
        <f t="shared" ref="EA452:EA453" si="561">PI()*((DW452/2000)^2)*DX452*DZ452</f>
        <v>68.706631334008762</v>
      </c>
      <c r="EB452" s="666"/>
      <c r="EC452" s="660">
        <v>750</v>
      </c>
      <c r="ED452" s="660">
        <f t="shared" si="542"/>
        <v>0.44178646691106466</v>
      </c>
      <c r="EE452" s="660">
        <f t="shared" si="507"/>
        <v>2412</v>
      </c>
      <c r="EF452" s="660">
        <f t="shared" si="543"/>
        <v>2208.9323345553235</v>
      </c>
      <c r="EG452" s="660">
        <f t="shared" si="544"/>
        <v>2412</v>
      </c>
      <c r="EH452" s="436"/>
      <c r="EI452" s="434" t="s">
        <v>896</v>
      </c>
      <c r="EJ452" s="664">
        <f>CU450*EC434</f>
        <v>450</v>
      </c>
      <c r="EK452" s="664">
        <f>CU450*ED434</f>
        <v>13.499999999999996</v>
      </c>
      <c r="EL452" s="664">
        <f>CU450*EE434</f>
        <v>1</v>
      </c>
      <c r="EM452" s="664">
        <f>CU450*EF434</f>
        <v>32</v>
      </c>
      <c r="EN452" s="665">
        <f t="shared" ref="EN452:EN453" si="562">PI()*((EJ452/2000)^2)*EK452*EM452</f>
        <v>68.706631334008762</v>
      </c>
      <c r="EO452" s="666"/>
      <c r="EP452" s="660">
        <v>750</v>
      </c>
      <c r="EQ452" s="660">
        <f t="shared" si="545"/>
        <v>0.44178646691106466</v>
      </c>
      <c r="ER452" s="660">
        <f t="shared" si="508"/>
        <v>2412</v>
      </c>
      <c r="ES452" s="660">
        <f t="shared" si="546"/>
        <v>2208.9323345553235</v>
      </c>
      <c r="ET452" s="660">
        <f t="shared" si="547"/>
        <v>2412</v>
      </c>
      <c r="EU452" s="436"/>
      <c r="EV452" s="434" t="s">
        <v>896</v>
      </c>
      <c r="EW452" s="664">
        <f t="shared" si="548"/>
        <v>450</v>
      </c>
      <c r="EX452" s="664">
        <f t="shared" si="548"/>
        <v>999999</v>
      </c>
      <c r="EY452" s="664">
        <f t="shared" si="548"/>
        <v>1</v>
      </c>
      <c r="EZ452" s="664">
        <f t="shared" si="548"/>
        <v>32</v>
      </c>
      <c r="FA452" s="664">
        <f t="shared" si="548"/>
        <v>5089375.0094353668</v>
      </c>
      <c r="FB452" s="666"/>
    </row>
    <row r="453" spans="2:158">
      <c r="C453" s="660">
        <v>900</v>
      </c>
      <c r="D453" s="660">
        <f t="shared" si="509"/>
        <v>0.63617251235193317</v>
      </c>
      <c r="E453" s="660">
        <f t="shared" si="497"/>
        <v>3015</v>
      </c>
      <c r="F453" s="660">
        <f t="shared" si="510"/>
        <v>2500</v>
      </c>
      <c r="G453" s="660">
        <f t="shared" si="511"/>
        <v>3015</v>
      </c>
      <c r="H453" s="436"/>
      <c r="I453" s="434" t="s">
        <v>188</v>
      </c>
      <c r="J453" s="664">
        <f>$H$450*C435</f>
        <v>450</v>
      </c>
      <c r="K453" s="664">
        <f t="shared" ref="K453:M453" si="563">$H$450*D435</f>
        <v>13.499999999999996</v>
      </c>
      <c r="L453" s="664">
        <f t="shared" si="563"/>
        <v>1</v>
      </c>
      <c r="M453" s="664">
        <f t="shared" si="563"/>
        <v>4</v>
      </c>
      <c r="N453" s="665">
        <f t="shared" si="550"/>
        <v>8.5883289167510952</v>
      </c>
      <c r="O453" s="666"/>
      <c r="P453" s="660">
        <v>900</v>
      </c>
      <c r="Q453" s="660">
        <f t="shared" si="513"/>
        <v>0.63617251235193317</v>
      </c>
      <c r="R453" s="660">
        <f t="shared" si="498"/>
        <v>3015</v>
      </c>
      <c r="S453" s="660">
        <f t="shared" si="514"/>
        <v>2500</v>
      </c>
      <c r="T453" s="660">
        <f t="shared" si="515"/>
        <v>3015</v>
      </c>
      <c r="U453" s="436"/>
      <c r="V453" s="434" t="s">
        <v>188</v>
      </c>
      <c r="W453" s="664">
        <f>$H$450*P435</f>
        <v>450</v>
      </c>
      <c r="X453" s="664">
        <f>$U$450*Q435</f>
        <v>13.499999999999996</v>
      </c>
      <c r="Y453" s="664">
        <f t="shared" ref="Y453:Z453" si="564">$H$450*R435</f>
        <v>1</v>
      </c>
      <c r="Z453" s="664">
        <f t="shared" si="564"/>
        <v>4</v>
      </c>
      <c r="AA453" s="665">
        <f t="shared" si="552"/>
        <v>8.5883289167510952</v>
      </c>
      <c r="AB453" s="666"/>
      <c r="AC453" s="660">
        <v>900</v>
      </c>
      <c r="AD453" s="660">
        <f t="shared" si="517"/>
        <v>0.63617251235193317</v>
      </c>
      <c r="AE453" s="660">
        <f t="shared" si="499"/>
        <v>3015</v>
      </c>
      <c r="AF453" s="660">
        <f t="shared" si="518"/>
        <v>2500</v>
      </c>
      <c r="AG453" s="660">
        <f t="shared" si="519"/>
        <v>3015</v>
      </c>
      <c r="AH453" s="436"/>
      <c r="AI453" s="434" t="s">
        <v>188</v>
      </c>
      <c r="AJ453" s="664">
        <f>$H$450*AC435</f>
        <v>450</v>
      </c>
      <c r="AK453" s="664">
        <f t="shared" ref="AK453:AM453" si="565">$H$450*AD435</f>
        <v>13.499999999999996</v>
      </c>
      <c r="AL453" s="664">
        <f t="shared" si="565"/>
        <v>1</v>
      </c>
      <c r="AM453" s="664">
        <f t="shared" si="565"/>
        <v>4</v>
      </c>
      <c r="AN453" s="664">
        <f t="shared" si="554"/>
        <v>8.5883289167510952</v>
      </c>
      <c r="AO453" s="666"/>
      <c r="AP453" s="660">
        <v>900</v>
      </c>
      <c r="AQ453" s="660">
        <f t="shared" si="521"/>
        <v>0.63617251235193317</v>
      </c>
      <c r="AR453" s="660">
        <f t="shared" si="500"/>
        <v>3015</v>
      </c>
      <c r="AS453" s="660">
        <f t="shared" si="522"/>
        <v>2500</v>
      </c>
      <c r="AT453" s="660">
        <f t="shared" si="523"/>
        <v>3015</v>
      </c>
      <c r="AU453" s="436"/>
      <c r="AV453" s="434" t="s">
        <v>188</v>
      </c>
      <c r="AW453" s="664">
        <f>H450*AP435</f>
        <v>450</v>
      </c>
      <c r="AX453" s="664">
        <f>H450*AQ435</f>
        <v>13.499999999999996</v>
      </c>
      <c r="AY453" s="664">
        <f>H450*AR435</f>
        <v>1</v>
      </c>
      <c r="AZ453" s="664">
        <f>H450*AS435</f>
        <v>4</v>
      </c>
      <c r="BA453" s="665">
        <f t="shared" si="555"/>
        <v>8.5883289167510952</v>
      </c>
      <c r="BB453" s="666"/>
      <c r="BC453" s="660">
        <v>900</v>
      </c>
      <c r="BD453" s="660">
        <f t="shared" si="524"/>
        <v>0.63617251235193317</v>
      </c>
      <c r="BE453" s="660">
        <f t="shared" si="501"/>
        <v>3015</v>
      </c>
      <c r="BF453" s="660">
        <f t="shared" si="525"/>
        <v>2500</v>
      </c>
      <c r="BG453" s="660">
        <f t="shared" si="526"/>
        <v>3015</v>
      </c>
      <c r="BH453" s="436"/>
      <c r="BI453" s="434" t="s">
        <v>188</v>
      </c>
      <c r="BJ453" s="664">
        <f>U450*BC435</f>
        <v>450</v>
      </c>
      <c r="BK453" s="664">
        <f>U450*BD435</f>
        <v>13.499999999999996</v>
      </c>
      <c r="BL453" s="664">
        <f>U450*BE435</f>
        <v>1</v>
      </c>
      <c r="BM453" s="664">
        <f>U450*BF435</f>
        <v>4</v>
      </c>
      <c r="BN453" s="665">
        <f t="shared" si="556"/>
        <v>8.5883289167510952</v>
      </c>
      <c r="BO453" s="666"/>
      <c r="BP453" s="660">
        <v>900</v>
      </c>
      <c r="BQ453" s="660">
        <f t="shared" si="527"/>
        <v>0.63617251235193317</v>
      </c>
      <c r="BR453" s="660">
        <f t="shared" si="502"/>
        <v>3015</v>
      </c>
      <c r="BS453" s="660">
        <f t="shared" si="528"/>
        <v>2500</v>
      </c>
      <c r="BT453" s="660">
        <f t="shared" si="529"/>
        <v>3015</v>
      </c>
      <c r="BU453" s="436"/>
      <c r="BV453" s="434" t="s">
        <v>188</v>
      </c>
      <c r="BW453" s="664">
        <f>AH450*BP435</f>
        <v>450</v>
      </c>
      <c r="BX453" s="664">
        <f>AH450*BQ435</f>
        <v>13.499999999999996</v>
      </c>
      <c r="BY453" s="664">
        <f>AH450*BR435</f>
        <v>1</v>
      </c>
      <c r="BZ453" s="664">
        <f>AH450*BS435</f>
        <v>4</v>
      </c>
      <c r="CA453" s="665">
        <f t="shared" si="557"/>
        <v>8.5883289167510952</v>
      </c>
      <c r="CB453" s="666"/>
      <c r="CC453" s="660">
        <v>900</v>
      </c>
      <c r="CD453" s="660">
        <f t="shared" si="530"/>
        <v>0.63617251235193317</v>
      </c>
      <c r="CE453" s="660">
        <f t="shared" si="503"/>
        <v>3015</v>
      </c>
      <c r="CF453" s="660">
        <f t="shared" si="531"/>
        <v>2500</v>
      </c>
      <c r="CG453" s="660">
        <f t="shared" si="532"/>
        <v>3015</v>
      </c>
      <c r="CH453" s="436"/>
      <c r="CI453" s="434" t="s">
        <v>188</v>
      </c>
      <c r="CJ453" s="664">
        <f>AU450*CC435</f>
        <v>600</v>
      </c>
      <c r="CK453" s="664">
        <f>AU450*CD435</f>
        <v>5.3999999999999977</v>
      </c>
      <c r="CL453" s="664">
        <f>AU450*CE435</f>
        <v>1</v>
      </c>
      <c r="CM453" s="664">
        <f>AU450*CF435</f>
        <v>4</v>
      </c>
      <c r="CN453" s="665">
        <f t="shared" si="558"/>
        <v>6.1072561185785554</v>
      </c>
      <c r="CO453" s="666"/>
      <c r="CP453" s="660">
        <v>900</v>
      </c>
      <c r="CQ453" s="660">
        <f t="shared" si="533"/>
        <v>0.63617251235193317</v>
      </c>
      <c r="CR453" s="660">
        <f t="shared" si="504"/>
        <v>3015</v>
      </c>
      <c r="CS453" s="660">
        <f t="shared" si="534"/>
        <v>2500</v>
      </c>
      <c r="CT453" s="660">
        <f t="shared" si="535"/>
        <v>3015</v>
      </c>
      <c r="CU453" s="436"/>
      <c r="CV453" s="434" t="s">
        <v>188</v>
      </c>
      <c r="CW453" s="664">
        <f>BH450*CP435</f>
        <v>600</v>
      </c>
      <c r="CX453" s="664">
        <f>BH450*CQ435</f>
        <v>5.0999999999999979</v>
      </c>
      <c r="CY453" s="664">
        <f>BH450*CR435</f>
        <v>1</v>
      </c>
      <c r="CZ453" s="664">
        <f>BH450*CS435</f>
        <v>4</v>
      </c>
      <c r="DA453" s="665">
        <f t="shared" si="559"/>
        <v>5.7679641119908576</v>
      </c>
      <c r="DB453" s="666"/>
      <c r="DC453" s="660">
        <v>900</v>
      </c>
      <c r="DD453" s="660">
        <f t="shared" si="536"/>
        <v>0.63617251235193317</v>
      </c>
      <c r="DE453" s="660">
        <f t="shared" si="505"/>
        <v>3015</v>
      </c>
      <c r="DF453" s="660">
        <f t="shared" si="537"/>
        <v>2500</v>
      </c>
      <c r="DG453" s="660">
        <f t="shared" si="538"/>
        <v>3015</v>
      </c>
      <c r="DH453" s="436"/>
      <c r="DI453" s="434" t="s">
        <v>188</v>
      </c>
      <c r="DJ453" s="664">
        <f>BU450*DC435</f>
        <v>600</v>
      </c>
      <c r="DK453" s="664">
        <f>BU450*DD435</f>
        <v>5.0999999999999979</v>
      </c>
      <c r="DL453" s="664">
        <f>BU450*DE435</f>
        <v>1</v>
      </c>
      <c r="DM453" s="664">
        <f>BU450*DF435</f>
        <v>4</v>
      </c>
      <c r="DN453" s="665">
        <f t="shared" si="560"/>
        <v>5.7679641119908576</v>
      </c>
      <c r="DO453" s="666"/>
      <c r="DP453" s="660">
        <v>900</v>
      </c>
      <c r="DQ453" s="660">
        <f t="shared" si="539"/>
        <v>0.63617251235193317</v>
      </c>
      <c r="DR453" s="660">
        <f t="shared" si="506"/>
        <v>3015</v>
      </c>
      <c r="DS453" s="660">
        <f t="shared" si="540"/>
        <v>2500</v>
      </c>
      <c r="DT453" s="660">
        <f t="shared" si="541"/>
        <v>3015</v>
      </c>
      <c r="DU453" s="436"/>
      <c r="DV453" s="434" t="s">
        <v>188</v>
      </c>
      <c r="DW453" s="664">
        <f>CH450*DP435</f>
        <v>450</v>
      </c>
      <c r="DX453" s="664">
        <f>CH450*DQ435</f>
        <v>5.9999999999999982</v>
      </c>
      <c r="DY453" s="664">
        <f>CH450*DR435</f>
        <v>1</v>
      </c>
      <c r="DZ453" s="664">
        <f>CH450*DS435</f>
        <v>4</v>
      </c>
      <c r="EA453" s="665">
        <f t="shared" si="561"/>
        <v>3.8170350741115979</v>
      </c>
      <c r="EB453" s="666"/>
      <c r="EC453" s="660">
        <v>900</v>
      </c>
      <c r="ED453" s="660">
        <f t="shared" si="542"/>
        <v>0.63617251235193317</v>
      </c>
      <c r="EE453" s="660">
        <f t="shared" si="507"/>
        <v>3015</v>
      </c>
      <c r="EF453" s="660">
        <f t="shared" si="543"/>
        <v>2500</v>
      </c>
      <c r="EG453" s="660">
        <f t="shared" si="544"/>
        <v>3015</v>
      </c>
      <c r="EH453" s="436"/>
      <c r="EI453" s="434" t="s">
        <v>188</v>
      </c>
      <c r="EJ453" s="664">
        <f>CU450*EC435</f>
        <v>450</v>
      </c>
      <c r="EK453" s="664">
        <f>CU450*ED435</f>
        <v>5.9999999999999982</v>
      </c>
      <c r="EL453" s="664">
        <f>CU450*EE435</f>
        <v>1</v>
      </c>
      <c r="EM453" s="664">
        <f>CU450*EF435</f>
        <v>4</v>
      </c>
      <c r="EN453" s="665">
        <f t="shared" si="562"/>
        <v>3.8170350741115979</v>
      </c>
      <c r="EO453" s="666"/>
      <c r="EP453" s="660">
        <v>900</v>
      </c>
      <c r="EQ453" s="660">
        <f t="shared" si="545"/>
        <v>0.63617251235193317</v>
      </c>
      <c r="ER453" s="660">
        <f t="shared" si="508"/>
        <v>3015</v>
      </c>
      <c r="ES453" s="660">
        <f t="shared" si="546"/>
        <v>2500</v>
      </c>
      <c r="ET453" s="660">
        <f t="shared" si="547"/>
        <v>3015</v>
      </c>
      <c r="EU453" s="436"/>
      <c r="EV453" s="434" t="s">
        <v>188</v>
      </c>
      <c r="EW453" s="664">
        <f t="shared" si="548"/>
        <v>450</v>
      </c>
      <c r="EX453" s="664">
        <f t="shared" si="548"/>
        <v>999999</v>
      </c>
      <c r="EY453" s="664">
        <f t="shared" si="548"/>
        <v>1</v>
      </c>
      <c r="EZ453" s="664">
        <f t="shared" si="548"/>
        <v>4</v>
      </c>
      <c r="FA453" s="664">
        <f t="shared" si="548"/>
        <v>636171.87617942085</v>
      </c>
      <c r="FB453" s="666"/>
    </row>
    <row r="454" spans="2:158">
      <c r="C454" s="660">
        <v>1050</v>
      </c>
      <c r="D454" s="660">
        <f t="shared" si="509"/>
        <v>0.86590147514568672</v>
      </c>
      <c r="E454" s="660">
        <f t="shared" si="497"/>
        <v>3417</v>
      </c>
      <c r="F454" s="660">
        <f t="shared" si="510"/>
        <v>2500</v>
      </c>
      <c r="G454" s="660">
        <f t="shared" si="511"/>
        <v>3417</v>
      </c>
      <c r="H454" s="436">
        <f>IF(OR(I447="All Types",I447="Driven Precast Concrete"),1,999999)</f>
        <v>1</v>
      </c>
      <c r="I454" s="434" t="s">
        <v>888</v>
      </c>
      <c r="J454" s="667"/>
      <c r="K454" s="668"/>
      <c r="L454" s="667"/>
      <c r="M454" s="667"/>
      <c r="N454" s="667">
        <f t="shared" si="550"/>
        <v>0</v>
      </c>
      <c r="O454" s="662">
        <f>SUM(N455:N457)</f>
        <v>212.56114068958959</v>
      </c>
      <c r="P454" s="660">
        <v>1050</v>
      </c>
      <c r="Q454" s="660">
        <f t="shared" si="513"/>
        <v>0.86590147514568672</v>
      </c>
      <c r="R454" s="660">
        <f t="shared" si="498"/>
        <v>3417</v>
      </c>
      <c r="S454" s="660">
        <f t="shared" si="514"/>
        <v>2500</v>
      </c>
      <c r="T454" s="660">
        <f t="shared" si="515"/>
        <v>3417</v>
      </c>
      <c r="U454" s="436">
        <f>IF(OR(V447="All Types",V447="Driven Precast Concrete"),1,999999)</f>
        <v>1</v>
      </c>
      <c r="V454" s="434" t="s">
        <v>888</v>
      </c>
      <c r="W454" s="667"/>
      <c r="X454" s="668"/>
      <c r="Y454" s="667"/>
      <c r="Z454" s="667"/>
      <c r="AA454" s="667"/>
      <c r="AB454" s="662">
        <f>SUM(AA455:AA457)</f>
        <v>212.56114068958959</v>
      </c>
      <c r="AC454" s="660">
        <v>1050</v>
      </c>
      <c r="AD454" s="660">
        <f t="shared" si="517"/>
        <v>0.86590147514568672</v>
      </c>
      <c r="AE454" s="660">
        <f t="shared" si="499"/>
        <v>3417</v>
      </c>
      <c r="AF454" s="660">
        <f t="shared" si="518"/>
        <v>2500</v>
      </c>
      <c r="AG454" s="660">
        <f t="shared" si="519"/>
        <v>3417</v>
      </c>
      <c r="AH454" s="436">
        <f>IF(OR(AI447="All Types",AI447="Driven Precast Concrete"),1,999999)</f>
        <v>1</v>
      </c>
      <c r="AI454" s="434" t="s">
        <v>888</v>
      </c>
      <c r="AJ454" s="667"/>
      <c r="AK454" s="668"/>
      <c r="AL454" s="667"/>
      <c r="AM454" s="667"/>
      <c r="AN454" s="667"/>
      <c r="AO454" s="662">
        <f>SUM(AN455:AN457)</f>
        <v>212.56114068958959</v>
      </c>
      <c r="AP454" s="660">
        <v>1050</v>
      </c>
      <c r="AQ454" s="660">
        <f t="shared" si="521"/>
        <v>0.86590147514568672</v>
      </c>
      <c r="AR454" s="660">
        <f t="shared" si="500"/>
        <v>3417</v>
      </c>
      <c r="AS454" s="660">
        <f t="shared" si="522"/>
        <v>2500</v>
      </c>
      <c r="AT454" s="660">
        <f t="shared" si="523"/>
        <v>3417</v>
      </c>
      <c r="AU454" s="436">
        <f>IF(OR(AV447="All Types",AV447="Driven Precast Concrete"),1,999999)</f>
        <v>1</v>
      </c>
      <c r="AV454" s="434" t="s">
        <v>888</v>
      </c>
      <c r="AW454" s="667"/>
      <c r="AX454" s="668"/>
      <c r="AY454" s="667"/>
      <c r="AZ454" s="667"/>
      <c r="BA454" s="667"/>
      <c r="BB454" s="662">
        <f>SUM(BA455:BA457)</f>
        <v>212.56114068958959</v>
      </c>
      <c r="BC454" s="660">
        <v>1050</v>
      </c>
      <c r="BD454" s="660">
        <f t="shared" si="524"/>
        <v>0.86590147514568672</v>
      </c>
      <c r="BE454" s="660">
        <f t="shared" si="501"/>
        <v>3417</v>
      </c>
      <c r="BF454" s="660">
        <f t="shared" si="525"/>
        <v>2500</v>
      </c>
      <c r="BG454" s="660">
        <f t="shared" si="526"/>
        <v>3417</v>
      </c>
      <c r="BH454" s="436">
        <f>IF(OR(BI447="All Types",BI447="Driven Precast Concrete"),1,999999)</f>
        <v>1</v>
      </c>
      <c r="BI454" s="434" t="s">
        <v>888</v>
      </c>
      <c r="BJ454" s="667"/>
      <c r="BK454" s="668"/>
      <c r="BL454" s="667"/>
      <c r="BM454" s="667"/>
      <c r="BN454" s="667"/>
      <c r="BO454" s="662">
        <f>SUM(BN455:BN457)</f>
        <v>212.56114068958959</v>
      </c>
      <c r="BP454" s="660">
        <v>1050</v>
      </c>
      <c r="BQ454" s="660">
        <f t="shared" si="527"/>
        <v>0.86590147514568672</v>
      </c>
      <c r="BR454" s="660">
        <f t="shared" si="502"/>
        <v>3417</v>
      </c>
      <c r="BS454" s="660">
        <f t="shared" si="528"/>
        <v>2500</v>
      </c>
      <c r="BT454" s="660">
        <f t="shared" si="529"/>
        <v>3417</v>
      </c>
      <c r="BU454" s="436">
        <f>IF(OR(BV447="All Types",BV447="Driven Precast Concrete"),1,999999)</f>
        <v>1</v>
      </c>
      <c r="BV454" s="434" t="s">
        <v>888</v>
      </c>
      <c r="BW454" s="667"/>
      <c r="BX454" s="668"/>
      <c r="BY454" s="667"/>
      <c r="BZ454" s="667"/>
      <c r="CA454" s="667"/>
      <c r="CB454" s="662">
        <f>SUM(CA455:CA457)</f>
        <v>227.59071629390402</v>
      </c>
      <c r="CC454" s="660">
        <v>1050</v>
      </c>
      <c r="CD454" s="660">
        <f t="shared" si="530"/>
        <v>0.86590147514568672</v>
      </c>
      <c r="CE454" s="660">
        <f t="shared" si="503"/>
        <v>3417</v>
      </c>
      <c r="CF454" s="660">
        <f t="shared" si="531"/>
        <v>2500</v>
      </c>
      <c r="CG454" s="660">
        <f t="shared" si="532"/>
        <v>3417</v>
      </c>
      <c r="CH454" s="436">
        <f>IF(OR(CI447="All Types",CI447="Driven Precast Concrete"),1,999999)</f>
        <v>1</v>
      </c>
      <c r="CI454" s="434" t="s">
        <v>888</v>
      </c>
      <c r="CJ454" s="667"/>
      <c r="CK454" s="668"/>
      <c r="CL454" s="667"/>
      <c r="CM454" s="667"/>
      <c r="CN454" s="667"/>
      <c r="CO454" s="662">
        <f>SUM(CN455:CN457)</f>
        <v>211.6068819210617</v>
      </c>
      <c r="CP454" s="660">
        <v>1050</v>
      </c>
      <c r="CQ454" s="660">
        <f t="shared" si="533"/>
        <v>0.86590147514568672</v>
      </c>
      <c r="CR454" s="660">
        <f t="shared" si="504"/>
        <v>3417</v>
      </c>
      <c r="CS454" s="660">
        <f t="shared" si="534"/>
        <v>2500</v>
      </c>
      <c r="CT454" s="660">
        <f t="shared" si="535"/>
        <v>3417</v>
      </c>
      <c r="CU454" s="436">
        <f>IF(OR(CV447="All Types",CV447="Driven Precast Concrete"),1,999999)</f>
        <v>1</v>
      </c>
      <c r="CV454" s="434" t="s">
        <v>888</v>
      </c>
      <c r="CW454" s="667"/>
      <c r="CX454" s="668"/>
      <c r="CY454" s="667"/>
      <c r="CZ454" s="667"/>
      <c r="DA454" s="667"/>
      <c r="DB454" s="662">
        <f>SUM(DA455:DA457)</f>
        <v>211.03432665994495</v>
      </c>
      <c r="DC454" s="660">
        <v>1050</v>
      </c>
      <c r="DD454" s="660">
        <f t="shared" si="536"/>
        <v>0.86590147514568672</v>
      </c>
      <c r="DE454" s="660">
        <f t="shared" si="505"/>
        <v>3417</v>
      </c>
      <c r="DF454" s="660">
        <f t="shared" si="537"/>
        <v>2500</v>
      </c>
      <c r="DG454" s="660">
        <f t="shared" si="538"/>
        <v>3417</v>
      </c>
      <c r="DH454" s="436">
        <f>IF(OR(DI447="All Types",DI447="Driven Precast Concrete"),1,999999)</f>
        <v>1</v>
      </c>
      <c r="DI454" s="434" t="s">
        <v>888</v>
      </c>
      <c r="DJ454" s="667"/>
      <c r="DK454" s="668"/>
      <c r="DL454" s="667"/>
      <c r="DM454" s="667"/>
      <c r="DN454" s="667"/>
      <c r="DO454" s="662">
        <f>SUM(DN455:DN457)</f>
        <v>211.03432665994495</v>
      </c>
      <c r="DP454" s="660">
        <v>1050</v>
      </c>
      <c r="DQ454" s="660">
        <f t="shared" si="539"/>
        <v>0.86590147514568672</v>
      </c>
      <c r="DR454" s="660">
        <f t="shared" si="506"/>
        <v>3417</v>
      </c>
      <c r="DS454" s="660">
        <f t="shared" si="540"/>
        <v>2500</v>
      </c>
      <c r="DT454" s="660">
        <f t="shared" si="541"/>
        <v>3417</v>
      </c>
      <c r="DU454" s="436">
        <f>IF(OR(DV447="All Types",DV447="Driven Precast Concrete"),1,999999)</f>
        <v>1</v>
      </c>
      <c r="DV454" s="434" t="s">
        <v>888</v>
      </c>
      <c r="DW454" s="667"/>
      <c r="DX454" s="668"/>
      <c r="DY454" s="667"/>
      <c r="DZ454" s="667"/>
      <c r="EA454" s="667"/>
      <c r="EB454" s="662">
        <f>SUM(EA455:EA457)</f>
        <v>207.7898468469501</v>
      </c>
      <c r="EC454" s="660">
        <v>1050</v>
      </c>
      <c r="ED454" s="660">
        <f t="shared" si="542"/>
        <v>0.86590147514568672</v>
      </c>
      <c r="EE454" s="660">
        <f t="shared" si="507"/>
        <v>3417</v>
      </c>
      <c r="EF454" s="660">
        <f t="shared" si="543"/>
        <v>2500</v>
      </c>
      <c r="EG454" s="660">
        <f t="shared" si="544"/>
        <v>3417</v>
      </c>
      <c r="EH454" s="436">
        <f>IF(OR(EI447="All Types",EI447="Driven Precast Concrete"),1,999999)</f>
        <v>1</v>
      </c>
      <c r="EI454" s="434" t="s">
        <v>888</v>
      </c>
      <c r="EJ454" s="667"/>
      <c r="EK454" s="668"/>
      <c r="EL454" s="667"/>
      <c r="EM454" s="667"/>
      <c r="EN454" s="667"/>
      <c r="EO454" s="662">
        <f>SUM(EN455:EN457)</f>
        <v>207.7898468469501</v>
      </c>
      <c r="EP454" s="660">
        <v>1050</v>
      </c>
      <c r="EQ454" s="660">
        <f t="shared" si="545"/>
        <v>0.86590147514568672</v>
      </c>
      <c r="ER454" s="660">
        <f t="shared" si="508"/>
        <v>3417</v>
      </c>
      <c r="ES454" s="660">
        <f t="shared" si="546"/>
        <v>2500</v>
      </c>
      <c r="ET454" s="660">
        <f t="shared" si="547"/>
        <v>3417</v>
      </c>
      <c r="EU454" s="436">
        <f>IF(OR(EV447="All Types",EV447="Driven Precast Concrete"),1,999999)</f>
        <v>1</v>
      </c>
      <c r="EV454" s="434" t="s">
        <v>888</v>
      </c>
      <c r="EW454" s="667"/>
      <c r="EX454" s="668"/>
      <c r="EY454" s="667"/>
      <c r="EZ454" s="667"/>
      <c r="FA454" s="667"/>
      <c r="FB454" s="662">
        <f>SUM(FA455:FA457)</f>
        <v>15745253.935440665</v>
      </c>
    </row>
    <row r="455" spans="2:158" ht="15" thickBot="1">
      <c r="C455" s="656">
        <v>1200</v>
      </c>
      <c r="D455" s="656">
        <f t="shared" si="509"/>
        <v>1.1309733552923256</v>
      </c>
      <c r="E455" s="656">
        <f t="shared" si="497"/>
        <v>3819</v>
      </c>
      <c r="F455" s="656">
        <f t="shared" si="510"/>
        <v>2827.4333882308142</v>
      </c>
      <c r="G455" s="656">
        <f t="shared" si="511"/>
        <v>3819</v>
      </c>
      <c r="H455" s="436"/>
      <c r="I455" s="434" t="s">
        <v>183</v>
      </c>
      <c r="J455" s="664">
        <f>$H$454*C437</f>
        <v>450</v>
      </c>
      <c r="K455" s="664">
        <f t="shared" ref="K455:M455" si="566">$H$454*D437</f>
        <v>13.499999999999996</v>
      </c>
      <c r="L455" s="664">
        <f t="shared" si="566"/>
        <v>1</v>
      </c>
      <c r="M455" s="664">
        <f t="shared" si="566"/>
        <v>63</v>
      </c>
      <c r="N455" s="665">
        <f t="shared" si="550"/>
        <v>135.26618043882974</v>
      </c>
      <c r="O455" s="666"/>
      <c r="P455" s="656">
        <v>1200</v>
      </c>
      <c r="Q455" s="656">
        <f t="shared" si="513"/>
        <v>1.1309733552923256</v>
      </c>
      <c r="R455" s="656">
        <f t="shared" si="498"/>
        <v>3819</v>
      </c>
      <c r="S455" s="656">
        <f t="shared" si="514"/>
        <v>2827.4333882308142</v>
      </c>
      <c r="T455" s="656">
        <f t="shared" si="515"/>
        <v>3819</v>
      </c>
      <c r="U455" s="436"/>
      <c r="V455" s="434" t="s">
        <v>183</v>
      </c>
      <c r="W455" s="664">
        <f>$H$454*P437</f>
        <v>450</v>
      </c>
      <c r="X455" s="664">
        <f>$U$454*Q437</f>
        <v>13.499999999999996</v>
      </c>
      <c r="Y455" s="664">
        <f>$H$454*R437</f>
        <v>1</v>
      </c>
      <c r="Z455" s="664">
        <f t="shared" ref="Z455" si="567">$H$454*S437</f>
        <v>63</v>
      </c>
      <c r="AA455" s="665">
        <f t="shared" si="552"/>
        <v>135.26618043882974</v>
      </c>
      <c r="AB455" s="666"/>
      <c r="AC455" s="656">
        <v>1200</v>
      </c>
      <c r="AD455" s="656">
        <f t="shared" si="517"/>
        <v>1.1309733552923256</v>
      </c>
      <c r="AE455" s="656">
        <f t="shared" si="499"/>
        <v>3819</v>
      </c>
      <c r="AF455" s="656">
        <f t="shared" si="518"/>
        <v>2827.4333882308142</v>
      </c>
      <c r="AG455" s="656">
        <f t="shared" si="519"/>
        <v>3819</v>
      </c>
      <c r="AH455" s="436"/>
      <c r="AI455" s="434" t="s">
        <v>183</v>
      </c>
      <c r="AJ455" s="664">
        <f t="shared" ref="AJ455:AM456" si="568">$H$454*AC437</f>
        <v>450</v>
      </c>
      <c r="AK455" s="664">
        <f t="shared" si="568"/>
        <v>13.499999999999996</v>
      </c>
      <c r="AL455" s="664">
        <f t="shared" si="568"/>
        <v>1</v>
      </c>
      <c r="AM455" s="664">
        <f t="shared" si="568"/>
        <v>63</v>
      </c>
      <c r="AN455" s="664">
        <f t="shared" si="554"/>
        <v>135.26618043882974</v>
      </c>
      <c r="AO455" s="666"/>
      <c r="AP455" s="656">
        <v>1200</v>
      </c>
      <c r="AQ455" s="656">
        <f t="shared" si="521"/>
        <v>1.1309733552923256</v>
      </c>
      <c r="AR455" s="656">
        <f t="shared" si="500"/>
        <v>3819</v>
      </c>
      <c r="AS455" s="656">
        <f t="shared" si="522"/>
        <v>2827.4333882308142</v>
      </c>
      <c r="AT455" s="656">
        <f t="shared" si="523"/>
        <v>3819</v>
      </c>
      <c r="AU455" s="436"/>
      <c r="AV455" s="434" t="s">
        <v>183</v>
      </c>
      <c r="AW455" s="664">
        <f>H454*AP437</f>
        <v>450</v>
      </c>
      <c r="AX455" s="664">
        <f>H454*AQ437</f>
        <v>13.499999999999996</v>
      </c>
      <c r="AY455" s="664">
        <f>H454*AR437</f>
        <v>1</v>
      </c>
      <c r="AZ455" s="664">
        <f>H454*AS437</f>
        <v>63</v>
      </c>
      <c r="BA455" s="665">
        <f t="shared" si="555"/>
        <v>135.26618043882974</v>
      </c>
      <c r="BB455" s="666"/>
      <c r="BC455" s="656">
        <v>1200</v>
      </c>
      <c r="BD455" s="656">
        <f t="shared" si="524"/>
        <v>1.1309733552923256</v>
      </c>
      <c r="BE455" s="656">
        <f t="shared" si="501"/>
        <v>3819</v>
      </c>
      <c r="BF455" s="656">
        <f t="shared" si="525"/>
        <v>2827.4333882308142</v>
      </c>
      <c r="BG455" s="656">
        <f t="shared" si="526"/>
        <v>3819</v>
      </c>
      <c r="BH455" s="436"/>
      <c r="BI455" s="434" t="s">
        <v>183</v>
      </c>
      <c r="BJ455" s="664">
        <f>U454*BC437</f>
        <v>450</v>
      </c>
      <c r="BK455" s="664">
        <f>U454*BD437</f>
        <v>13.499999999999996</v>
      </c>
      <c r="BL455" s="664">
        <f>U454*BE437</f>
        <v>1</v>
      </c>
      <c r="BM455" s="664">
        <f>U454*BF437</f>
        <v>63</v>
      </c>
      <c r="BN455" s="665">
        <f t="shared" ref="BN455:BN457" si="569">PI()*((BJ455/2000)^2)*BK455*BM455</f>
        <v>135.26618043882974</v>
      </c>
      <c r="BO455" s="666"/>
      <c r="BP455" s="656">
        <v>1200</v>
      </c>
      <c r="BQ455" s="656">
        <f t="shared" si="527"/>
        <v>1.1309733552923256</v>
      </c>
      <c r="BR455" s="656">
        <f t="shared" si="502"/>
        <v>3819</v>
      </c>
      <c r="BS455" s="656">
        <f t="shared" si="528"/>
        <v>2827.4333882308142</v>
      </c>
      <c r="BT455" s="656">
        <f t="shared" si="529"/>
        <v>3819</v>
      </c>
      <c r="BU455" s="436"/>
      <c r="BV455" s="434" t="s">
        <v>183</v>
      </c>
      <c r="BW455" s="664">
        <f>AH454*BP437</f>
        <v>450</v>
      </c>
      <c r="BX455" s="664">
        <f>AH454*BQ437</f>
        <v>14.999999999999996</v>
      </c>
      <c r="BY455" s="664">
        <f>AH454*BR437</f>
        <v>1</v>
      </c>
      <c r="BZ455" s="664">
        <f>AH454*BS437</f>
        <v>63</v>
      </c>
      <c r="CA455" s="665">
        <f t="shared" ref="CA455:CA457" si="570">PI()*((BW455/2000)^2)*BX455*BZ455</f>
        <v>150.29575604314417</v>
      </c>
      <c r="CB455" s="666"/>
      <c r="CC455" s="656">
        <v>1200</v>
      </c>
      <c r="CD455" s="656">
        <f t="shared" si="530"/>
        <v>1.1309733552923256</v>
      </c>
      <c r="CE455" s="656">
        <f t="shared" si="503"/>
        <v>3819</v>
      </c>
      <c r="CF455" s="656">
        <f t="shared" si="531"/>
        <v>2827.4333882308142</v>
      </c>
      <c r="CG455" s="656">
        <f t="shared" si="532"/>
        <v>3819</v>
      </c>
      <c r="CH455" s="436"/>
      <c r="CI455" s="434" t="s">
        <v>183</v>
      </c>
      <c r="CJ455" s="664">
        <f>AU454*CC437</f>
        <v>450</v>
      </c>
      <c r="CK455" s="664">
        <f>AU454*CD437</f>
        <v>13.499999999999996</v>
      </c>
      <c r="CL455" s="664">
        <f>AU454*CE437</f>
        <v>1</v>
      </c>
      <c r="CM455" s="664">
        <f>AU454*CF437</f>
        <v>63</v>
      </c>
      <c r="CN455" s="665">
        <f t="shared" ref="CN455:CN457" si="571">PI()*((CJ455/2000)^2)*CK455*CM455</f>
        <v>135.26618043882974</v>
      </c>
      <c r="CO455" s="666"/>
      <c r="CP455" s="656">
        <v>1200</v>
      </c>
      <c r="CQ455" s="656">
        <f t="shared" si="533"/>
        <v>1.1309733552923256</v>
      </c>
      <c r="CR455" s="656">
        <f t="shared" si="504"/>
        <v>3819</v>
      </c>
      <c r="CS455" s="656">
        <f t="shared" si="534"/>
        <v>2827.4333882308142</v>
      </c>
      <c r="CT455" s="656">
        <f t="shared" si="535"/>
        <v>3819</v>
      </c>
      <c r="CU455" s="436"/>
      <c r="CV455" s="434" t="s">
        <v>183</v>
      </c>
      <c r="CW455" s="664">
        <f>BH454*CP437</f>
        <v>450</v>
      </c>
      <c r="CX455" s="664">
        <f>BH454*CQ437</f>
        <v>13.499999999999996</v>
      </c>
      <c r="CY455" s="664">
        <f>BH454*CR437</f>
        <v>1</v>
      </c>
      <c r="CZ455" s="664">
        <f>BH454*CS437</f>
        <v>63</v>
      </c>
      <c r="DA455" s="665">
        <f t="shared" ref="DA455:DA457" si="572">PI()*((CW455/2000)^2)*CX455*CZ455</f>
        <v>135.26618043882974</v>
      </c>
      <c r="DB455" s="666"/>
      <c r="DC455" s="656">
        <v>1200</v>
      </c>
      <c r="DD455" s="656">
        <f t="shared" si="536"/>
        <v>1.1309733552923256</v>
      </c>
      <c r="DE455" s="656">
        <f t="shared" si="505"/>
        <v>3819</v>
      </c>
      <c r="DF455" s="656">
        <f t="shared" si="537"/>
        <v>2827.4333882308142</v>
      </c>
      <c r="DG455" s="656">
        <f t="shared" si="538"/>
        <v>3819</v>
      </c>
      <c r="DH455" s="436"/>
      <c r="DI455" s="434" t="s">
        <v>183</v>
      </c>
      <c r="DJ455" s="664">
        <f>BU454*DC437</f>
        <v>450</v>
      </c>
      <c r="DK455" s="664">
        <f>BU454*DD437</f>
        <v>13.499999999999996</v>
      </c>
      <c r="DL455" s="664">
        <f>BU454*DE437</f>
        <v>1</v>
      </c>
      <c r="DM455" s="664">
        <f>BU454*DF437</f>
        <v>63</v>
      </c>
      <c r="DN455" s="665">
        <f t="shared" ref="DN455:DN457" si="573">PI()*((DJ455/2000)^2)*DK455*DM455</f>
        <v>135.26618043882974</v>
      </c>
      <c r="DO455" s="666"/>
      <c r="DP455" s="656">
        <v>1200</v>
      </c>
      <c r="DQ455" s="656">
        <f t="shared" si="539"/>
        <v>1.1309733552923256</v>
      </c>
      <c r="DR455" s="656">
        <f t="shared" si="506"/>
        <v>3819</v>
      </c>
      <c r="DS455" s="656">
        <f t="shared" si="540"/>
        <v>2827.4333882308142</v>
      </c>
      <c r="DT455" s="656">
        <f t="shared" si="541"/>
        <v>3819</v>
      </c>
      <c r="DU455" s="436"/>
      <c r="DV455" s="434" t="s">
        <v>183</v>
      </c>
      <c r="DW455" s="664">
        <f>CH454*DP437</f>
        <v>450</v>
      </c>
      <c r="DX455" s="664">
        <f>CH454*DQ437</f>
        <v>13.499999999999996</v>
      </c>
      <c r="DY455" s="664">
        <f>CH454*DR437</f>
        <v>1</v>
      </c>
      <c r="DZ455" s="664">
        <f>CH454*DS437</f>
        <v>63</v>
      </c>
      <c r="EA455" s="665">
        <f t="shared" ref="EA455:EA457" si="574">PI()*((DW455/2000)^2)*DX455*DZ455</f>
        <v>135.26618043882974</v>
      </c>
      <c r="EB455" s="666"/>
      <c r="EC455" s="656">
        <v>1200</v>
      </c>
      <c r="ED455" s="656">
        <f t="shared" si="542"/>
        <v>1.1309733552923256</v>
      </c>
      <c r="EE455" s="656">
        <f t="shared" si="507"/>
        <v>3819</v>
      </c>
      <c r="EF455" s="656">
        <f t="shared" si="543"/>
        <v>2827.4333882308142</v>
      </c>
      <c r="EG455" s="656">
        <f t="shared" si="544"/>
        <v>3819</v>
      </c>
      <c r="EH455" s="436"/>
      <c r="EI455" s="434" t="s">
        <v>183</v>
      </c>
      <c r="EJ455" s="664">
        <f>CU454*EC437</f>
        <v>450</v>
      </c>
      <c r="EK455" s="664">
        <f>CU454*ED437</f>
        <v>13.499999999999996</v>
      </c>
      <c r="EL455" s="664">
        <f>CU454*EE437</f>
        <v>1</v>
      </c>
      <c r="EM455" s="664">
        <f>CU454*EF437</f>
        <v>63</v>
      </c>
      <c r="EN455" s="665">
        <f t="shared" ref="EN455:EN457" si="575">PI()*((EJ455/2000)^2)*EK455*EM455</f>
        <v>135.26618043882974</v>
      </c>
      <c r="EO455" s="666"/>
      <c r="EP455" s="656">
        <v>1200</v>
      </c>
      <c r="EQ455" s="656">
        <f t="shared" si="545"/>
        <v>1.1309733552923256</v>
      </c>
      <c r="ER455" s="656">
        <f t="shared" si="508"/>
        <v>3819</v>
      </c>
      <c r="ES455" s="656">
        <f t="shared" si="546"/>
        <v>2827.4333882308142</v>
      </c>
      <c r="ET455" s="656">
        <f t="shared" si="547"/>
        <v>3819</v>
      </c>
      <c r="EU455" s="436"/>
      <c r="EV455" s="434" t="s">
        <v>183</v>
      </c>
      <c r="EW455" s="664">
        <f t="shared" ref="EW455:FA457" si="576">$H$454*EW437</f>
        <v>450</v>
      </c>
      <c r="EX455" s="664">
        <f t="shared" si="576"/>
        <v>999999</v>
      </c>
      <c r="EY455" s="664">
        <f t="shared" si="576"/>
        <v>1</v>
      </c>
      <c r="EZ455" s="664">
        <f t="shared" si="576"/>
        <v>63</v>
      </c>
      <c r="FA455" s="664">
        <f t="shared" si="576"/>
        <v>10019707.049825877</v>
      </c>
      <c r="FB455" s="666"/>
    </row>
    <row r="456" spans="2:158">
      <c r="C456" s="436"/>
      <c r="D456" s="436"/>
      <c r="E456" s="436"/>
      <c r="F456" s="436"/>
      <c r="G456" s="436"/>
      <c r="H456" s="436"/>
      <c r="I456" s="434" t="s">
        <v>896</v>
      </c>
      <c r="J456" s="664">
        <f>$H$454*C438</f>
        <v>450</v>
      </c>
      <c r="K456" s="664">
        <f t="shared" ref="K456:M456" si="577">$H$454*D438</f>
        <v>13.499999999999996</v>
      </c>
      <c r="L456" s="664">
        <f t="shared" si="577"/>
        <v>1</v>
      </c>
      <c r="M456" s="664">
        <f t="shared" si="577"/>
        <v>32</v>
      </c>
      <c r="N456" s="665">
        <f t="shared" si="550"/>
        <v>68.706631334008762</v>
      </c>
      <c r="O456" s="666"/>
      <c r="P456" s="436"/>
      <c r="Q456" s="436"/>
      <c r="R456" s="436"/>
      <c r="S456" s="436"/>
      <c r="T456" s="436"/>
      <c r="U456" s="436"/>
      <c r="V456" s="434" t="s">
        <v>896</v>
      </c>
      <c r="W456" s="664">
        <f>$H$454*P438</f>
        <v>450</v>
      </c>
      <c r="X456" s="664">
        <f>$U$454*Q438</f>
        <v>13.499999999999996</v>
      </c>
      <c r="Y456" s="664">
        <f t="shared" ref="Y456:Z456" si="578">$H$454*R438</f>
        <v>1</v>
      </c>
      <c r="Z456" s="664">
        <f t="shared" si="578"/>
        <v>32</v>
      </c>
      <c r="AA456" s="665">
        <f t="shared" si="552"/>
        <v>68.706631334008762</v>
      </c>
      <c r="AB456" s="666"/>
      <c r="AC456" s="436"/>
      <c r="AD456" s="436"/>
      <c r="AE456" s="436"/>
      <c r="AF456" s="436"/>
      <c r="AG456" s="436"/>
      <c r="AH456" s="436"/>
      <c r="AI456" s="434" t="s">
        <v>896</v>
      </c>
      <c r="AJ456" s="664">
        <f t="shared" si="568"/>
        <v>450</v>
      </c>
      <c r="AK456" s="664">
        <f t="shared" si="568"/>
        <v>13.499999999999996</v>
      </c>
      <c r="AL456" s="664">
        <f t="shared" si="568"/>
        <v>1</v>
      </c>
      <c r="AM456" s="664">
        <f t="shared" si="568"/>
        <v>32</v>
      </c>
      <c r="AN456" s="664">
        <f t="shared" si="554"/>
        <v>68.706631334008762</v>
      </c>
      <c r="AO456" s="666"/>
      <c r="AP456" s="436"/>
      <c r="AQ456" s="436"/>
      <c r="AR456" s="436"/>
      <c r="AS456" s="436"/>
      <c r="AT456" s="436"/>
      <c r="AU456" s="436"/>
      <c r="AV456" s="434" t="s">
        <v>896</v>
      </c>
      <c r="AW456" s="664">
        <f>H454*AP438</f>
        <v>450</v>
      </c>
      <c r="AX456" s="664">
        <f>H454*AQ438</f>
        <v>13.499999999999996</v>
      </c>
      <c r="AY456" s="664">
        <f>H454*AR438</f>
        <v>1</v>
      </c>
      <c r="AZ456" s="664">
        <f>H454*AS438</f>
        <v>32</v>
      </c>
      <c r="BA456" s="665">
        <f t="shared" si="555"/>
        <v>68.706631334008762</v>
      </c>
      <c r="BB456" s="666"/>
      <c r="BC456" s="436"/>
      <c r="BD456" s="436"/>
      <c r="BE456" s="436"/>
      <c r="BF456" s="436"/>
      <c r="BG456" s="436"/>
      <c r="BH456" s="436"/>
      <c r="BI456" s="434" t="s">
        <v>896</v>
      </c>
      <c r="BJ456" s="664">
        <f>U454*BC438</f>
        <v>450</v>
      </c>
      <c r="BK456" s="664">
        <f>U454*BD438</f>
        <v>13.499999999999996</v>
      </c>
      <c r="BL456" s="664">
        <f>U454*BE438</f>
        <v>1</v>
      </c>
      <c r="BM456" s="664">
        <f>U454*BF438</f>
        <v>32</v>
      </c>
      <c r="BN456" s="665">
        <f t="shared" si="569"/>
        <v>68.706631334008762</v>
      </c>
      <c r="BO456" s="666"/>
      <c r="BP456" s="436"/>
      <c r="BQ456" s="436"/>
      <c r="BR456" s="436"/>
      <c r="BS456" s="436"/>
      <c r="BT456" s="436"/>
      <c r="BU456" s="436"/>
      <c r="BV456" s="434" t="s">
        <v>896</v>
      </c>
      <c r="BW456" s="664">
        <f>AH454*BP438</f>
        <v>450</v>
      </c>
      <c r="BX456" s="664">
        <f>AH454*BQ438</f>
        <v>13.499999999999996</v>
      </c>
      <c r="BY456" s="664">
        <f>AH454*BR438</f>
        <v>1</v>
      </c>
      <c r="BZ456" s="664">
        <f>AH454*BS438</f>
        <v>32</v>
      </c>
      <c r="CA456" s="665">
        <f t="shared" si="570"/>
        <v>68.706631334008762</v>
      </c>
      <c r="CB456" s="666"/>
      <c r="CC456" s="436"/>
      <c r="CD456" s="436"/>
      <c r="CE456" s="436"/>
      <c r="CF456" s="436"/>
      <c r="CG456" s="436"/>
      <c r="CH456" s="436"/>
      <c r="CI456" s="434" t="s">
        <v>896</v>
      </c>
      <c r="CJ456" s="664">
        <f>AU454*CC438</f>
        <v>450</v>
      </c>
      <c r="CK456" s="664">
        <f>AU454*CD438</f>
        <v>13.499999999999996</v>
      </c>
      <c r="CL456" s="664">
        <f>AU454*CE438</f>
        <v>1</v>
      </c>
      <c r="CM456" s="664">
        <f>AU454*CF438</f>
        <v>32</v>
      </c>
      <c r="CN456" s="665">
        <f t="shared" si="571"/>
        <v>68.706631334008762</v>
      </c>
      <c r="CO456" s="666"/>
      <c r="CP456" s="436"/>
      <c r="CQ456" s="436"/>
      <c r="CR456" s="436"/>
      <c r="CS456" s="436"/>
      <c r="CT456" s="436"/>
      <c r="CU456" s="436"/>
      <c r="CV456" s="434" t="s">
        <v>896</v>
      </c>
      <c r="CW456" s="664">
        <f>BH454*CP438</f>
        <v>450</v>
      </c>
      <c r="CX456" s="664">
        <f>BH454*CQ438</f>
        <v>13.499999999999996</v>
      </c>
      <c r="CY456" s="664">
        <f>BH454*CR438</f>
        <v>1</v>
      </c>
      <c r="CZ456" s="664">
        <f>BH454*CS438</f>
        <v>32</v>
      </c>
      <c r="DA456" s="665">
        <f t="shared" si="572"/>
        <v>68.706631334008762</v>
      </c>
      <c r="DB456" s="666"/>
      <c r="DC456" s="436"/>
      <c r="DD456" s="436"/>
      <c r="DE456" s="436"/>
      <c r="DF456" s="436"/>
      <c r="DG456" s="436"/>
      <c r="DH456" s="436"/>
      <c r="DI456" s="434" t="s">
        <v>896</v>
      </c>
      <c r="DJ456" s="664">
        <f>BU454*DC438</f>
        <v>450</v>
      </c>
      <c r="DK456" s="664">
        <f>BU454*DD438</f>
        <v>13.499999999999996</v>
      </c>
      <c r="DL456" s="664">
        <f>BU454*DE438</f>
        <v>1</v>
      </c>
      <c r="DM456" s="664">
        <f>BU454*DF438</f>
        <v>32</v>
      </c>
      <c r="DN456" s="665">
        <f t="shared" si="573"/>
        <v>68.706631334008762</v>
      </c>
      <c r="DO456" s="666"/>
      <c r="DP456" s="436"/>
      <c r="DQ456" s="436"/>
      <c r="DR456" s="436"/>
      <c r="DS456" s="436"/>
      <c r="DT456" s="436"/>
      <c r="DU456" s="436"/>
      <c r="DV456" s="434" t="s">
        <v>896</v>
      </c>
      <c r="DW456" s="664">
        <f>CH454*DP438</f>
        <v>450</v>
      </c>
      <c r="DX456" s="664">
        <f>CH454*DQ438</f>
        <v>13.499999999999996</v>
      </c>
      <c r="DY456" s="664">
        <f>CH454*DR438</f>
        <v>1</v>
      </c>
      <c r="DZ456" s="664">
        <f>CH454*DS438</f>
        <v>32</v>
      </c>
      <c r="EA456" s="665">
        <f t="shared" si="574"/>
        <v>68.706631334008762</v>
      </c>
      <c r="EB456" s="666"/>
      <c r="EC456" s="436"/>
      <c r="ED456" s="436"/>
      <c r="EE456" s="436"/>
      <c r="EF456" s="436"/>
      <c r="EG456" s="436"/>
      <c r="EH456" s="436"/>
      <c r="EI456" s="434" t="s">
        <v>896</v>
      </c>
      <c r="EJ456" s="664">
        <f>CU454*EC438</f>
        <v>450</v>
      </c>
      <c r="EK456" s="664">
        <f>CU454*ED438</f>
        <v>13.499999999999996</v>
      </c>
      <c r="EL456" s="664">
        <f>CU454*EE438</f>
        <v>1</v>
      </c>
      <c r="EM456" s="664">
        <f>CU454*EF438</f>
        <v>32</v>
      </c>
      <c r="EN456" s="665">
        <f t="shared" si="575"/>
        <v>68.706631334008762</v>
      </c>
      <c r="EO456" s="666"/>
      <c r="EP456" s="436"/>
      <c r="EQ456" s="436"/>
      <c r="ER456" s="436"/>
      <c r="ES456" s="436"/>
      <c r="ET456" s="436"/>
      <c r="EU456" s="436"/>
      <c r="EV456" s="434" t="s">
        <v>896</v>
      </c>
      <c r="EW456" s="664">
        <f t="shared" si="576"/>
        <v>450</v>
      </c>
      <c r="EX456" s="664">
        <f t="shared" si="576"/>
        <v>999999</v>
      </c>
      <c r="EY456" s="664">
        <f t="shared" si="576"/>
        <v>1</v>
      </c>
      <c r="EZ456" s="664">
        <f t="shared" si="576"/>
        <v>32</v>
      </c>
      <c r="FA456" s="664">
        <f t="shared" si="576"/>
        <v>5089375.0094353668</v>
      </c>
      <c r="FB456" s="666"/>
    </row>
    <row r="457" spans="2:158" ht="15" thickBot="1">
      <c r="C457" s="436"/>
      <c r="D457" s="436"/>
      <c r="E457" s="436"/>
      <c r="F457" s="436"/>
      <c r="G457" s="436"/>
      <c r="H457" s="436"/>
      <c r="I457" s="434" t="s">
        <v>188</v>
      </c>
      <c r="J457" s="664">
        <f>$H$454*C439</f>
        <v>450</v>
      </c>
      <c r="K457" s="664">
        <f t="shared" ref="K457:M457" si="579">$H$454*D439</f>
        <v>13.499999999999996</v>
      </c>
      <c r="L457" s="664">
        <f t="shared" si="579"/>
        <v>1</v>
      </c>
      <c r="M457" s="664">
        <f t="shared" si="579"/>
        <v>4</v>
      </c>
      <c r="N457" s="665">
        <f t="shared" si="550"/>
        <v>8.5883289167510952</v>
      </c>
      <c r="O457" s="666"/>
      <c r="P457" s="436"/>
      <c r="Q457" s="436"/>
      <c r="R457" s="436"/>
      <c r="S457" s="436"/>
      <c r="T457" s="436"/>
      <c r="U457" s="436"/>
      <c r="V457" s="434" t="s">
        <v>188</v>
      </c>
      <c r="W457" s="664">
        <f>$H$454*P439</f>
        <v>450</v>
      </c>
      <c r="X457" s="664">
        <f>$U$454*Q439</f>
        <v>13.499999999999996</v>
      </c>
      <c r="Y457" s="664">
        <f t="shared" ref="Y457:Z457" si="580">$H$454*R439</f>
        <v>1</v>
      </c>
      <c r="Z457" s="664">
        <f t="shared" si="580"/>
        <v>4</v>
      </c>
      <c r="AA457" s="665">
        <f t="shared" si="552"/>
        <v>8.5883289167510952</v>
      </c>
      <c r="AB457" s="666"/>
      <c r="AC457" s="436"/>
      <c r="AD457" s="436"/>
      <c r="AE457" s="436"/>
      <c r="AF457" s="436"/>
      <c r="AG457" s="436"/>
      <c r="AH457" s="436"/>
      <c r="AI457" s="434" t="s">
        <v>188</v>
      </c>
      <c r="AJ457" s="664">
        <f>$H$454*AC439</f>
        <v>450</v>
      </c>
      <c r="AK457" s="664">
        <f t="shared" ref="AK457:AL457" si="581">$H$454*AD439</f>
        <v>13.499999999999996</v>
      </c>
      <c r="AL457" s="664">
        <f t="shared" si="581"/>
        <v>1</v>
      </c>
      <c r="AM457" s="664">
        <f>$H$454*AF439</f>
        <v>4</v>
      </c>
      <c r="AN457" s="664">
        <f t="shared" si="554"/>
        <v>8.5883289167510952</v>
      </c>
      <c r="AO457" s="666"/>
      <c r="AP457" s="436"/>
      <c r="AQ457" s="436"/>
      <c r="AR457" s="436"/>
      <c r="AS457" s="436"/>
      <c r="AT457" s="436"/>
      <c r="AU457" s="436"/>
      <c r="AV457" s="434" t="s">
        <v>188</v>
      </c>
      <c r="AW457" s="664">
        <f>H454*AP439</f>
        <v>450</v>
      </c>
      <c r="AX457" s="664">
        <f>H454*AQ439</f>
        <v>13.499999999999996</v>
      </c>
      <c r="AY457" s="664">
        <f>H454*AR439</f>
        <v>1</v>
      </c>
      <c r="AZ457" s="664">
        <f>H454*AS439</f>
        <v>4</v>
      </c>
      <c r="BA457" s="665">
        <f t="shared" si="555"/>
        <v>8.5883289167510952</v>
      </c>
      <c r="BB457" s="666"/>
      <c r="BC457" s="436"/>
      <c r="BD457" s="436"/>
      <c r="BE457" s="436"/>
      <c r="BF457" s="436"/>
      <c r="BG457" s="436"/>
      <c r="BH457" s="436"/>
      <c r="BI457" s="434" t="s">
        <v>188</v>
      </c>
      <c r="BJ457" s="664">
        <f>U454*BC439</f>
        <v>450</v>
      </c>
      <c r="BK457" s="664">
        <f>U454*BD439</f>
        <v>13.499999999999996</v>
      </c>
      <c r="BL457" s="664">
        <f>U454*BE439</f>
        <v>1</v>
      </c>
      <c r="BM457" s="664">
        <f>U454*BF439</f>
        <v>4</v>
      </c>
      <c r="BN457" s="665">
        <f t="shared" si="569"/>
        <v>8.5883289167510952</v>
      </c>
      <c r="BO457" s="666"/>
      <c r="BP457" s="436"/>
      <c r="BQ457" s="436"/>
      <c r="BR457" s="436"/>
      <c r="BS457" s="436"/>
      <c r="BT457" s="436"/>
      <c r="BU457" s="436"/>
      <c r="BV457" s="434" t="s">
        <v>188</v>
      </c>
      <c r="BW457" s="664">
        <f>AH454*BP439</f>
        <v>450</v>
      </c>
      <c r="BX457" s="664">
        <f>AH454*BQ439</f>
        <v>13.499999999999996</v>
      </c>
      <c r="BY457" s="664">
        <f>AH454*BR439</f>
        <v>1</v>
      </c>
      <c r="BZ457" s="664">
        <f>AH454*BS439</f>
        <v>4</v>
      </c>
      <c r="CA457" s="665">
        <f t="shared" si="570"/>
        <v>8.5883289167510952</v>
      </c>
      <c r="CB457" s="666"/>
      <c r="CC457" s="436"/>
      <c r="CD457" s="436"/>
      <c r="CE457" s="436"/>
      <c r="CF457" s="436"/>
      <c r="CG457" s="436"/>
      <c r="CH457" s="436"/>
      <c r="CI457" s="434" t="s">
        <v>188</v>
      </c>
      <c r="CJ457" s="664">
        <f>AU454*CC439</f>
        <v>450</v>
      </c>
      <c r="CK457" s="664">
        <f>AU454*CD439</f>
        <v>11.999999999999996</v>
      </c>
      <c r="CL457" s="664">
        <f>AU454*CE439</f>
        <v>1</v>
      </c>
      <c r="CM457" s="664">
        <f>AU454*CF439</f>
        <v>4</v>
      </c>
      <c r="CN457" s="665">
        <f t="shared" si="571"/>
        <v>7.6340701482231959</v>
      </c>
      <c r="CO457" s="666"/>
      <c r="CP457" s="436"/>
      <c r="CQ457" s="436"/>
      <c r="CR457" s="436"/>
      <c r="CS457" s="436"/>
      <c r="CT457" s="436"/>
      <c r="CU457" s="436"/>
      <c r="CV457" s="434" t="s">
        <v>188</v>
      </c>
      <c r="CW457" s="664">
        <f>BH454*CP439</f>
        <v>450</v>
      </c>
      <c r="CX457" s="664">
        <f>BH454*CQ439</f>
        <v>11.099999999999996</v>
      </c>
      <c r="CY457" s="664">
        <f>BH454*CR439</f>
        <v>1</v>
      </c>
      <c r="CZ457" s="664">
        <f>BH454*CS439</f>
        <v>4</v>
      </c>
      <c r="DA457" s="665">
        <f t="shared" si="572"/>
        <v>7.0615148871064557</v>
      </c>
      <c r="DB457" s="666"/>
      <c r="DC457" s="436"/>
      <c r="DD457" s="436"/>
      <c r="DE457" s="436"/>
      <c r="DF457" s="436"/>
      <c r="DG457" s="436"/>
      <c r="DH457" s="436"/>
      <c r="DI457" s="434" t="s">
        <v>188</v>
      </c>
      <c r="DJ457" s="664">
        <f>BU454*DC439</f>
        <v>450</v>
      </c>
      <c r="DK457" s="664">
        <f>BU454*DD439</f>
        <v>11.099999999999996</v>
      </c>
      <c r="DL457" s="664">
        <f>BU454*DE439</f>
        <v>1</v>
      </c>
      <c r="DM457" s="664">
        <f>BU454*DF439</f>
        <v>4</v>
      </c>
      <c r="DN457" s="665">
        <f t="shared" si="573"/>
        <v>7.0615148871064557</v>
      </c>
      <c r="DO457" s="666"/>
      <c r="DP457" s="436"/>
      <c r="DQ457" s="436"/>
      <c r="DR457" s="436"/>
      <c r="DS457" s="436"/>
      <c r="DT457" s="436"/>
      <c r="DU457" s="436"/>
      <c r="DV457" s="434" t="s">
        <v>188</v>
      </c>
      <c r="DW457" s="664">
        <f>CH454*DP439</f>
        <v>450</v>
      </c>
      <c r="DX457" s="664">
        <f>CH454*DQ439</f>
        <v>5.9999999999999982</v>
      </c>
      <c r="DY457" s="664">
        <f>CH454*DR439</f>
        <v>1</v>
      </c>
      <c r="DZ457" s="664">
        <f>CH454*DS439</f>
        <v>4</v>
      </c>
      <c r="EA457" s="665">
        <f t="shared" si="574"/>
        <v>3.8170350741115979</v>
      </c>
      <c r="EB457" s="666"/>
      <c r="EC457" s="436"/>
      <c r="ED457" s="436"/>
      <c r="EE457" s="436"/>
      <c r="EF457" s="436"/>
      <c r="EG457" s="436"/>
      <c r="EH457" s="436"/>
      <c r="EI457" s="434" t="s">
        <v>188</v>
      </c>
      <c r="EJ457" s="664">
        <f>CU454*EC439</f>
        <v>450</v>
      </c>
      <c r="EK457" s="664">
        <f>CU454*ED439</f>
        <v>5.9999999999999982</v>
      </c>
      <c r="EL457" s="664">
        <f>CU454*EE439</f>
        <v>1</v>
      </c>
      <c r="EM457" s="664">
        <f>CU454*EF439</f>
        <v>4</v>
      </c>
      <c r="EN457" s="665">
        <f t="shared" si="575"/>
        <v>3.8170350741115979</v>
      </c>
      <c r="EO457" s="666"/>
      <c r="EP457" s="436"/>
      <c r="EQ457" s="436"/>
      <c r="ER457" s="436"/>
      <c r="ES457" s="436"/>
      <c r="ET457" s="436"/>
      <c r="EU457" s="436"/>
      <c r="EV457" s="434" t="s">
        <v>188</v>
      </c>
      <c r="EW457" s="664">
        <f t="shared" si="576"/>
        <v>450</v>
      </c>
      <c r="EX457" s="664">
        <f t="shared" si="576"/>
        <v>999999</v>
      </c>
      <c r="EY457" s="664">
        <f t="shared" si="576"/>
        <v>1</v>
      </c>
      <c r="EZ457" s="664">
        <f t="shared" si="576"/>
        <v>4</v>
      </c>
      <c r="FA457" s="664">
        <f t="shared" si="576"/>
        <v>636171.87617942085</v>
      </c>
      <c r="FB457" s="666"/>
    </row>
    <row r="458" spans="2:158" ht="15" thickBot="1">
      <c r="B458" s="669" t="s">
        <v>897</v>
      </c>
      <c r="C458" s="669" t="s">
        <v>898</v>
      </c>
      <c r="D458" s="669">
        <v>1</v>
      </c>
      <c r="E458" s="669">
        <v>2</v>
      </c>
      <c r="F458" s="669">
        <v>3</v>
      </c>
      <c r="G458" s="669">
        <v>4</v>
      </c>
      <c r="H458" s="436">
        <f>IF(OR(I447="All Types",I447="Bored Cast in Place Concrete"),1,999999)</f>
        <v>1</v>
      </c>
      <c r="I458" s="434" t="s">
        <v>889</v>
      </c>
      <c r="J458" s="667"/>
      <c r="K458" s="668"/>
      <c r="L458" s="667"/>
      <c r="M458" s="667"/>
      <c r="N458" s="667">
        <f t="shared" si="550"/>
        <v>0</v>
      </c>
      <c r="O458" s="662">
        <f>SUM(N459:N461)</f>
        <v>235.22478644212723</v>
      </c>
      <c r="P458" s="669" t="s">
        <v>897</v>
      </c>
      <c r="Q458" s="669">
        <v>1</v>
      </c>
      <c r="R458" s="669">
        <v>2</v>
      </c>
      <c r="S458" s="669">
        <v>3</v>
      </c>
      <c r="T458" s="669">
        <v>4</v>
      </c>
      <c r="U458" s="436">
        <f>IF(OR(V447="All Types",V447="Bored Cast in Place Concrete"),1,999999)</f>
        <v>1</v>
      </c>
      <c r="V458" s="434" t="s">
        <v>889</v>
      </c>
      <c r="W458" s="667"/>
      <c r="X458" s="668"/>
      <c r="Y458" s="667"/>
      <c r="Z458" s="667"/>
      <c r="AA458" s="667"/>
      <c r="AB458" s="662">
        <f>SUM(AA459:AA461)</f>
        <v>235.22478644212723</v>
      </c>
      <c r="AC458" s="669" t="s">
        <v>897</v>
      </c>
      <c r="AD458" s="669">
        <v>1</v>
      </c>
      <c r="AE458" s="669">
        <v>2</v>
      </c>
      <c r="AF458" s="669">
        <v>3</v>
      </c>
      <c r="AG458" s="669">
        <v>4</v>
      </c>
      <c r="AH458" s="436">
        <f>IF(OR(AI447="All Types",AI447="Bored Cast in Place Concrete"),1,999999)</f>
        <v>1</v>
      </c>
      <c r="AI458" s="434" t="s">
        <v>889</v>
      </c>
      <c r="AJ458" s="667"/>
      <c r="AK458" s="668"/>
      <c r="AL458" s="667"/>
      <c r="AM458" s="667"/>
      <c r="AN458" s="667"/>
      <c r="AO458" s="662">
        <f>SUM(AN459:AN461)</f>
        <v>227.59071629390402</v>
      </c>
      <c r="AP458" s="669" t="s">
        <v>897</v>
      </c>
      <c r="AQ458" s="669">
        <v>1</v>
      </c>
      <c r="AR458" s="669">
        <v>2</v>
      </c>
      <c r="AS458" s="669">
        <v>3</v>
      </c>
      <c r="AT458" s="669">
        <v>4</v>
      </c>
      <c r="AU458" s="436">
        <f>IF(OR(AV447="All Types",AV447="Bored Cast in Place Concrete"),1,999999)</f>
        <v>1</v>
      </c>
      <c r="AV458" s="434" t="s">
        <v>889</v>
      </c>
      <c r="AW458" s="667"/>
      <c r="AX458" s="668"/>
      <c r="AY458" s="667"/>
      <c r="AZ458" s="667"/>
      <c r="BA458" s="667"/>
      <c r="BB458" s="662">
        <f>SUM(BA459:BA461)</f>
        <v>212.56114068958959</v>
      </c>
      <c r="BC458" s="669" t="s">
        <v>897</v>
      </c>
      <c r="BD458" s="669">
        <v>1</v>
      </c>
      <c r="BE458" s="669">
        <v>2</v>
      </c>
      <c r="BF458" s="669">
        <v>3</v>
      </c>
      <c r="BG458" s="669">
        <v>4</v>
      </c>
      <c r="BH458" s="436">
        <f>IF(OR(BI447="All Types",BI447="Bored Cast in Place Concrete"),1,999999)</f>
        <v>1</v>
      </c>
      <c r="BI458" s="434" t="s">
        <v>889</v>
      </c>
      <c r="BJ458" s="667"/>
      <c r="BK458" s="668"/>
      <c r="BL458" s="667"/>
      <c r="BM458" s="667"/>
      <c r="BN458" s="667"/>
      <c r="BO458" s="662">
        <f>SUM(BN459:BN461)</f>
        <v>227.59071629390402</v>
      </c>
      <c r="BP458" s="669" t="s">
        <v>897</v>
      </c>
      <c r="BQ458" s="669">
        <v>1</v>
      </c>
      <c r="BR458" s="669">
        <v>2</v>
      </c>
      <c r="BS458" s="669">
        <v>3</v>
      </c>
      <c r="BT458" s="669">
        <v>4</v>
      </c>
      <c r="BU458" s="436">
        <f>IF(OR(BV447="All Types",BV447="Bored Cast in Place Concrete"),1,999999)</f>
        <v>1</v>
      </c>
      <c r="BV458" s="434" t="s">
        <v>889</v>
      </c>
      <c r="BW458" s="667"/>
      <c r="BX458" s="668"/>
      <c r="BY458" s="667"/>
      <c r="BZ458" s="667"/>
      <c r="CA458" s="667"/>
      <c r="CB458" s="662">
        <f>SUM(CA459:CA461)</f>
        <v>250.25436204644166</v>
      </c>
      <c r="CC458" s="669" t="s">
        <v>897</v>
      </c>
      <c r="CD458" s="669">
        <v>1</v>
      </c>
      <c r="CE458" s="669">
        <v>2</v>
      </c>
      <c r="CF458" s="669">
        <v>3</v>
      </c>
      <c r="CG458" s="669">
        <v>4</v>
      </c>
      <c r="CH458" s="436">
        <f>IF(OR(CI447="All Types",CI447="Bored Cast in Place Concrete"),1,999999)</f>
        <v>1</v>
      </c>
      <c r="CI458" s="434" t="s">
        <v>889</v>
      </c>
      <c r="CJ458" s="667"/>
      <c r="CK458" s="668"/>
      <c r="CL458" s="667"/>
      <c r="CM458" s="667"/>
      <c r="CN458" s="667"/>
      <c r="CO458" s="662">
        <f>SUM(CN459:CN461)</f>
        <v>212.56114068958959</v>
      </c>
      <c r="CP458" s="669" t="s">
        <v>897</v>
      </c>
      <c r="CQ458" s="669">
        <v>1</v>
      </c>
      <c r="CR458" s="669">
        <v>2</v>
      </c>
      <c r="CS458" s="669">
        <v>3</v>
      </c>
      <c r="CT458" s="669">
        <v>4</v>
      </c>
      <c r="CU458" s="436">
        <f>IF(OR(CV447="All Types",CV447="Bored Cast in Place Concrete"),1,999999)</f>
        <v>1</v>
      </c>
      <c r="CV458" s="434" t="s">
        <v>889</v>
      </c>
      <c r="CW458" s="667"/>
      <c r="CX458" s="668"/>
      <c r="CY458" s="667"/>
      <c r="CZ458" s="667"/>
      <c r="DA458" s="667"/>
      <c r="DB458" s="662">
        <f>SUM(DA459:DA461)</f>
        <v>210.08006789141706</v>
      </c>
      <c r="DC458" s="669" t="s">
        <v>897</v>
      </c>
      <c r="DD458" s="669">
        <v>1</v>
      </c>
      <c r="DE458" s="669">
        <v>2</v>
      </c>
      <c r="DF458" s="669">
        <v>3</v>
      </c>
      <c r="DG458" s="669">
        <v>4</v>
      </c>
      <c r="DH458" s="436">
        <f>IF(OR(DI447="All Types",DI447="Bored Cast in Place Concrete"),1,999999)</f>
        <v>1</v>
      </c>
      <c r="DI458" s="434" t="s">
        <v>889</v>
      </c>
      <c r="DJ458" s="667"/>
      <c r="DK458" s="668"/>
      <c r="DL458" s="667"/>
      <c r="DM458" s="667"/>
      <c r="DN458" s="667"/>
      <c r="DO458" s="662">
        <f>SUM(DN459:DN461)</f>
        <v>210.08006789141706</v>
      </c>
      <c r="DP458" s="669" t="s">
        <v>897</v>
      </c>
      <c r="DQ458" s="669">
        <v>1</v>
      </c>
      <c r="DR458" s="669">
        <v>2</v>
      </c>
      <c r="DS458" s="669">
        <v>3</v>
      </c>
      <c r="DT458" s="669">
        <v>4</v>
      </c>
      <c r="DU458" s="436">
        <f>IF(OR(DV447="All Types",DV447="Bored Cast in Place Concrete"),1,999999)</f>
        <v>1</v>
      </c>
      <c r="DV458" s="434" t="s">
        <v>889</v>
      </c>
      <c r="DW458" s="667"/>
      <c r="DX458" s="668"/>
      <c r="DY458" s="667"/>
      <c r="DZ458" s="667"/>
      <c r="EA458" s="667"/>
      <c r="EB458" s="662">
        <f>SUM(EA459:EA461)</f>
        <v>209.06219187165397</v>
      </c>
      <c r="EC458" s="669" t="s">
        <v>897</v>
      </c>
      <c r="ED458" s="669">
        <v>1</v>
      </c>
      <c r="EE458" s="669">
        <v>2</v>
      </c>
      <c r="EF458" s="669">
        <v>3</v>
      </c>
      <c r="EG458" s="669">
        <v>4</v>
      </c>
      <c r="EH458" s="436">
        <f>IF(OR(EI447="All Types",EI447="Bored Cast in Place Concrete"),1,999999)</f>
        <v>1</v>
      </c>
      <c r="EI458" s="434" t="s">
        <v>889</v>
      </c>
      <c r="EJ458" s="667"/>
      <c r="EK458" s="668"/>
      <c r="EL458" s="667"/>
      <c r="EM458" s="667"/>
      <c r="EN458" s="667"/>
      <c r="EO458" s="662">
        <f>SUM(EN459:EN461)</f>
        <v>209.40148387824166</v>
      </c>
      <c r="EP458" s="669" t="s">
        <v>897</v>
      </c>
      <c r="EQ458" s="669">
        <v>1</v>
      </c>
      <c r="ER458" s="669">
        <v>2</v>
      </c>
      <c r="ES458" s="669">
        <v>3</v>
      </c>
      <c r="ET458" s="669">
        <v>4</v>
      </c>
      <c r="EU458" s="436">
        <f>IF(OR(EV447="All Types",EV447="Bored Cast in Place Concrete"),1,999999)</f>
        <v>1</v>
      </c>
      <c r="EV458" s="434" t="s">
        <v>889</v>
      </c>
      <c r="EW458" s="667"/>
      <c r="EX458" s="668"/>
      <c r="EY458" s="667"/>
      <c r="EZ458" s="667"/>
      <c r="FA458" s="667"/>
      <c r="FB458" s="662">
        <f>SUM(FA459:FA461)</f>
        <v>15745253.935440665</v>
      </c>
    </row>
    <row r="459" spans="2:158">
      <c r="B459" s="670">
        <v>450</v>
      </c>
      <c r="C459" s="284">
        <v>1</v>
      </c>
      <c r="D459" s="671">
        <v>0.5625</v>
      </c>
      <c r="E459" s="671">
        <v>1.5750000000000002</v>
      </c>
      <c r="F459" s="671">
        <v>3.24</v>
      </c>
      <c r="G459" s="671">
        <v>4.41</v>
      </c>
      <c r="H459" s="436"/>
      <c r="I459" s="434" t="s">
        <v>183</v>
      </c>
      <c r="J459" s="664">
        <f>$H$458*C441</f>
        <v>450</v>
      </c>
      <c r="K459" s="664">
        <f t="shared" ref="K459:M459" si="582">$H$458*D441</f>
        <v>14.999999999999996</v>
      </c>
      <c r="L459" s="664">
        <f t="shared" si="582"/>
        <v>1</v>
      </c>
      <c r="M459" s="664">
        <f t="shared" si="582"/>
        <v>63</v>
      </c>
      <c r="N459" s="665">
        <f t="shared" si="550"/>
        <v>150.29575604314417</v>
      </c>
      <c r="O459" s="666"/>
      <c r="P459" s="670">
        <v>450</v>
      </c>
      <c r="Q459" s="671">
        <v>0.5625</v>
      </c>
      <c r="R459" s="671">
        <v>1.5750000000000002</v>
      </c>
      <c r="S459" s="671">
        <v>3.24</v>
      </c>
      <c r="T459" s="671">
        <v>4.41</v>
      </c>
      <c r="U459" s="436"/>
      <c r="V459" s="434" t="s">
        <v>183</v>
      </c>
      <c r="W459" s="664">
        <f>$H$458*P441</f>
        <v>450</v>
      </c>
      <c r="X459" s="664">
        <f>$U$458*Q441</f>
        <v>14.999999999999996</v>
      </c>
      <c r="Y459" s="664">
        <f t="shared" ref="Y459:Z459" si="583">$H$458*R441</f>
        <v>1</v>
      </c>
      <c r="Z459" s="664">
        <f t="shared" si="583"/>
        <v>63</v>
      </c>
      <c r="AA459" s="665">
        <f t="shared" si="552"/>
        <v>150.29575604314417</v>
      </c>
      <c r="AB459" s="666"/>
      <c r="AC459" s="670">
        <v>450</v>
      </c>
      <c r="AD459" s="671">
        <v>0.5625</v>
      </c>
      <c r="AE459" s="671">
        <v>1.5750000000000002</v>
      </c>
      <c r="AF459" s="671">
        <v>3.24</v>
      </c>
      <c r="AG459" s="671">
        <v>4.41</v>
      </c>
      <c r="AH459" s="436"/>
      <c r="AI459" s="434" t="s">
        <v>183</v>
      </c>
      <c r="AJ459" s="664">
        <f>$H$458*AC441</f>
        <v>450</v>
      </c>
      <c r="AK459" s="664">
        <f t="shared" ref="AK459:AM459" si="584">$H$458*AD441</f>
        <v>14.999999999999996</v>
      </c>
      <c r="AL459" s="664">
        <f t="shared" si="584"/>
        <v>1</v>
      </c>
      <c r="AM459" s="664">
        <f t="shared" si="584"/>
        <v>63</v>
      </c>
      <c r="AN459" s="664">
        <f t="shared" si="554"/>
        <v>150.29575604314417</v>
      </c>
      <c r="AO459" s="666"/>
      <c r="AP459" s="670">
        <v>450</v>
      </c>
      <c r="AQ459" s="671">
        <v>0.5625</v>
      </c>
      <c r="AR459" s="671">
        <v>1.5750000000000002</v>
      </c>
      <c r="AS459" s="671">
        <v>3.24</v>
      </c>
      <c r="AT459" s="671">
        <v>4.41</v>
      </c>
      <c r="AU459" s="436"/>
      <c r="AV459" s="434" t="s">
        <v>183</v>
      </c>
      <c r="AW459" s="664">
        <f>H458*AP441</f>
        <v>450</v>
      </c>
      <c r="AX459" s="664">
        <f>H458*AQ441</f>
        <v>13.499999999999996</v>
      </c>
      <c r="AY459" s="664">
        <f>H458*AR441</f>
        <v>1</v>
      </c>
      <c r="AZ459" s="664">
        <f>H458*AS441</f>
        <v>63</v>
      </c>
      <c r="BA459" s="665">
        <f t="shared" si="555"/>
        <v>135.26618043882974</v>
      </c>
      <c r="BB459" s="666"/>
      <c r="BC459" s="670">
        <v>450</v>
      </c>
      <c r="BD459" s="671">
        <v>0.5625</v>
      </c>
      <c r="BE459" s="671">
        <v>1.5750000000000002</v>
      </c>
      <c r="BF459" s="671">
        <v>3.24</v>
      </c>
      <c r="BG459" s="671">
        <v>4.41</v>
      </c>
      <c r="BH459" s="436"/>
      <c r="BI459" s="434" t="s">
        <v>183</v>
      </c>
      <c r="BJ459" s="664">
        <f>U458*BC441</f>
        <v>450</v>
      </c>
      <c r="BK459" s="664">
        <f>U458*BD441</f>
        <v>14.999999999999996</v>
      </c>
      <c r="BL459" s="664">
        <f>U458*BE441</f>
        <v>1</v>
      </c>
      <c r="BM459" s="664">
        <f>U458*BF441</f>
        <v>63</v>
      </c>
      <c r="BN459" s="665">
        <f t="shared" ref="BN459:BN461" si="585">PI()*((BJ459/2000)^2)*BK459*BM459</f>
        <v>150.29575604314417</v>
      </c>
      <c r="BO459" s="666"/>
      <c r="BP459" s="670">
        <v>450</v>
      </c>
      <c r="BQ459" s="671">
        <v>0.5625</v>
      </c>
      <c r="BR459" s="671">
        <v>1.5750000000000002</v>
      </c>
      <c r="BS459" s="671">
        <v>3.24</v>
      </c>
      <c r="BT459" s="671">
        <v>4.41</v>
      </c>
      <c r="BU459" s="436"/>
      <c r="BV459" s="434" t="s">
        <v>183</v>
      </c>
      <c r="BW459" s="664">
        <f>AH458*BP441</f>
        <v>450</v>
      </c>
      <c r="BX459" s="664">
        <f>AH458*BQ441</f>
        <v>16.499999999999996</v>
      </c>
      <c r="BY459" s="664">
        <f>AH458*BR441</f>
        <v>1</v>
      </c>
      <c r="BZ459" s="664">
        <f>AH458*BS441</f>
        <v>63</v>
      </c>
      <c r="CA459" s="665">
        <f t="shared" ref="CA459:CA461" si="586">PI()*((BW459/2000)^2)*BX459*BZ459</f>
        <v>165.3253316474586</v>
      </c>
      <c r="CB459" s="666"/>
      <c r="CC459" s="670">
        <v>450</v>
      </c>
      <c r="CD459" s="672">
        <v>0.5625</v>
      </c>
      <c r="CE459" s="672">
        <v>1.5750000000000002</v>
      </c>
      <c r="CF459" s="672">
        <v>3.24</v>
      </c>
      <c r="CG459" s="672">
        <v>4.41</v>
      </c>
      <c r="CH459" s="436"/>
      <c r="CI459" s="434" t="s">
        <v>183</v>
      </c>
      <c r="CJ459" s="664">
        <f>AU458*CC441</f>
        <v>450</v>
      </c>
      <c r="CK459" s="664">
        <f>AU458*CD441</f>
        <v>13.499999999999996</v>
      </c>
      <c r="CL459" s="664">
        <f>AU458*CE441</f>
        <v>1</v>
      </c>
      <c r="CM459" s="664">
        <f>AU458*CF441</f>
        <v>63</v>
      </c>
      <c r="CN459" s="665">
        <f t="shared" ref="CN459:CN461" si="587">PI()*((CJ459/2000)^2)*CK459*CM459</f>
        <v>135.26618043882974</v>
      </c>
      <c r="CO459" s="666"/>
      <c r="CP459" s="670">
        <v>450</v>
      </c>
      <c r="CQ459" s="672">
        <v>0.5625</v>
      </c>
      <c r="CR459" s="672">
        <v>1.5750000000000002</v>
      </c>
      <c r="CS459" s="672">
        <v>3.24</v>
      </c>
      <c r="CT459" s="672">
        <v>4.41</v>
      </c>
      <c r="CU459" s="436"/>
      <c r="CV459" s="434" t="s">
        <v>183</v>
      </c>
      <c r="CW459" s="664">
        <f>BH458*CP441</f>
        <v>450</v>
      </c>
      <c r="CX459" s="664">
        <f>BH458*CQ441</f>
        <v>13.499999999999996</v>
      </c>
      <c r="CY459" s="664">
        <f>BH458*CR441</f>
        <v>1</v>
      </c>
      <c r="CZ459" s="664">
        <f>BH458*CS441</f>
        <v>63</v>
      </c>
      <c r="DA459" s="665">
        <f t="shared" ref="DA459:DA461" si="588">PI()*((CW459/2000)^2)*CX459*CZ459</f>
        <v>135.26618043882974</v>
      </c>
      <c r="DB459" s="666"/>
      <c r="DC459" s="670">
        <v>450</v>
      </c>
      <c r="DD459" s="671">
        <v>0.5625</v>
      </c>
      <c r="DE459" s="671">
        <v>1.5750000000000002</v>
      </c>
      <c r="DF459" s="671">
        <v>3.24</v>
      </c>
      <c r="DG459" s="671">
        <v>4.41</v>
      </c>
      <c r="DH459" s="436"/>
      <c r="DI459" s="434" t="s">
        <v>183</v>
      </c>
      <c r="DJ459" s="664">
        <f>BU458*DC441</f>
        <v>450</v>
      </c>
      <c r="DK459" s="664">
        <f>BU458*DD441</f>
        <v>13.499999999999996</v>
      </c>
      <c r="DL459" s="664">
        <f>BU458*DE441</f>
        <v>1</v>
      </c>
      <c r="DM459" s="664">
        <f>BU458*DF441</f>
        <v>63</v>
      </c>
      <c r="DN459" s="665">
        <f t="shared" ref="DN459:DN461" si="589">PI()*((DJ459/2000)^2)*DK459*DM459</f>
        <v>135.26618043882974</v>
      </c>
      <c r="DO459" s="666"/>
      <c r="DP459" s="670">
        <v>450</v>
      </c>
      <c r="DQ459" s="671">
        <v>0.5625</v>
      </c>
      <c r="DR459" s="671">
        <v>1.5750000000000002</v>
      </c>
      <c r="DS459" s="671">
        <v>3.24</v>
      </c>
      <c r="DT459" s="671">
        <v>4.41</v>
      </c>
      <c r="DU459" s="436"/>
      <c r="DV459" s="434" t="s">
        <v>183</v>
      </c>
      <c r="DW459" s="664">
        <f>CH458*DP441</f>
        <v>450</v>
      </c>
      <c r="DX459" s="664">
        <f>CH458*DQ441</f>
        <v>13.499999999999996</v>
      </c>
      <c r="DY459" s="664">
        <f>CH458*DR441</f>
        <v>1</v>
      </c>
      <c r="DZ459" s="664">
        <f>CH458*DS441</f>
        <v>63</v>
      </c>
      <c r="EA459" s="665">
        <f t="shared" ref="EA459:EA461" si="590">PI()*((DW459/2000)^2)*DX459*DZ459</f>
        <v>135.26618043882974</v>
      </c>
      <c r="EB459" s="666"/>
      <c r="EC459" s="670">
        <v>450</v>
      </c>
      <c r="ED459" s="671">
        <v>0.5625</v>
      </c>
      <c r="EE459" s="671">
        <v>1.5750000000000002</v>
      </c>
      <c r="EF459" s="671">
        <v>3.24</v>
      </c>
      <c r="EG459" s="671">
        <v>4.41</v>
      </c>
      <c r="EH459" s="436"/>
      <c r="EI459" s="434" t="s">
        <v>183</v>
      </c>
      <c r="EJ459" s="664">
        <f>CU458*EC441</f>
        <v>450</v>
      </c>
      <c r="EK459" s="664">
        <f>CU458*ED441</f>
        <v>13.499999999999996</v>
      </c>
      <c r="EL459" s="664">
        <f>CU458*EE441</f>
        <v>1</v>
      </c>
      <c r="EM459" s="664">
        <f>CU458*EF441</f>
        <v>63</v>
      </c>
      <c r="EN459" s="665">
        <f t="shared" ref="EN459:EN461" si="591">PI()*((EJ459/2000)^2)*EK459*EM459</f>
        <v>135.26618043882974</v>
      </c>
      <c r="EO459" s="666"/>
      <c r="EP459" s="670">
        <v>450</v>
      </c>
      <c r="EQ459" s="671">
        <v>0.5625</v>
      </c>
      <c r="ER459" s="671">
        <v>1.5750000000000002</v>
      </c>
      <c r="ES459" s="671">
        <v>3.24</v>
      </c>
      <c r="ET459" s="671">
        <v>4.41</v>
      </c>
      <c r="EU459" s="436"/>
      <c r="EV459" s="434" t="s">
        <v>183</v>
      </c>
      <c r="EW459" s="664">
        <f t="shared" ref="EW459:FA461" si="592">$H$458*EW441</f>
        <v>450</v>
      </c>
      <c r="EX459" s="664">
        <f t="shared" si="592"/>
        <v>999999</v>
      </c>
      <c r="EY459" s="664">
        <f t="shared" si="592"/>
        <v>1</v>
      </c>
      <c r="EZ459" s="664">
        <f t="shared" si="592"/>
        <v>63</v>
      </c>
      <c r="FA459" s="664">
        <f t="shared" si="592"/>
        <v>10019707.049825877</v>
      </c>
      <c r="FB459" s="666"/>
    </row>
    <row r="460" spans="2:158">
      <c r="B460" s="670">
        <v>600</v>
      </c>
      <c r="C460" s="284">
        <v>1.4</v>
      </c>
      <c r="D460" s="671">
        <v>1.1339999999999999</v>
      </c>
      <c r="E460" s="671">
        <v>3.4019999999999997</v>
      </c>
      <c r="F460" s="671">
        <v>7.3359999999999994</v>
      </c>
      <c r="G460" s="671">
        <v>10.206</v>
      </c>
      <c r="H460" s="436"/>
      <c r="I460" s="434" t="s">
        <v>896</v>
      </c>
      <c r="J460" s="664">
        <f>$H$458*C442</f>
        <v>450</v>
      </c>
      <c r="K460" s="664">
        <f t="shared" ref="K460:M460" si="593">$H$458*D442</f>
        <v>14.999999999999996</v>
      </c>
      <c r="L460" s="664">
        <f t="shared" si="593"/>
        <v>1</v>
      </c>
      <c r="M460" s="664">
        <f t="shared" si="593"/>
        <v>32</v>
      </c>
      <c r="N460" s="665">
        <f t="shared" si="550"/>
        <v>76.340701482231964</v>
      </c>
      <c r="O460" s="666"/>
      <c r="P460" s="670">
        <v>600</v>
      </c>
      <c r="Q460" s="671">
        <v>1.1339999999999999</v>
      </c>
      <c r="R460" s="671">
        <v>3.4019999999999997</v>
      </c>
      <c r="S460" s="671">
        <v>7.3359999999999994</v>
      </c>
      <c r="T460" s="671">
        <v>10.206</v>
      </c>
      <c r="U460" s="436"/>
      <c r="V460" s="434" t="s">
        <v>896</v>
      </c>
      <c r="W460" s="664">
        <f>$H$458*P442</f>
        <v>450</v>
      </c>
      <c r="X460" s="664">
        <f>$U$458*Q442</f>
        <v>14.999999999999996</v>
      </c>
      <c r="Y460" s="664">
        <f t="shared" ref="Y460:Z460" si="594">$H$458*R442</f>
        <v>1</v>
      </c>
      <c r="Z460" s="664">
        <f t="shared" si="594"/>
        <v>32</v>
      </c>
      <c r="AA460" s="665">
        <f t="shared" si="552"/>
        <v>76.340701482231964</v>
      </c>
      <c r="AB460" s="666"/>
      <c r="AC460" s="670">
        <v>600</v>
      </c>
      <c r="AD460" s="671">
        <v>1.1339999999999999</v>
      </c>
      <c r="AE460" s="671">
        <v>3.4019999999999997</v>
      </c>
      <c r="AF460" s="671">
        <v>7.3359999999999994</v>
      </c>
      <c r="AG460" s="671">
        <v>10.206</v>
      </c>
      <c r="AH460" s="436"/>
      <c r="AI460" s="434" t="s">
        <v>896</v>
      </c>
      <c r="AJ460" s="664">
        <f>$H$458*AC442</f>
        <v>450</v>
      </c>
      <c r="AK460" s="664">
        <f t="shared" ref="AK460:AM460" si="595">$H$458*AD442</f>
        <v>13.499999999999996</v>
      </c>
      <c r="AL460" s="664">
        <f t="shared" si="595"/>
        <v>1</v>
      </c>
      <c r="AM460" s="664">
        <f t="shared" si="595"/>
        <v>32</v>
      </c>
      <c r="AN460" s="664">
        <f t="shared" si="554"/>
        <v>68.706631334008762</v>
      </c>
      <c r="AO460" s="666"/>
      <c r="AP460" s="670">
        <v>600</v>
      </c>
      <c r="AQ460" s="671">
        <v>1.1339999999999999</v>
      </c>
      <c r="AR460" s="671">
        <v>3.4019999999999997</v>
      </c>
      <c r="AS460" s="671">
        <v>7.3359999999999994</v>
      </c>
      <c r="AT460" s="671">
        <v>10.206</v>
      </c>
      <c r="AU460" s="436"/>
      <c r="AV460" s="434" t="s">
        <v>896</v>
      </c>
      <c r="AW460" s="664">
        <f>H458*AP442</f>
        <v>450</v>
      </c>
      <c r="AX460" s="664">
        <f>H458*AQ442</f>
        <v>13.499999999999996</v>
      </c>
      <c r="AY460" s="664">
        <f>H458*AR442</f>
        <v>1</v>
      </c>
      <c r="AZ460" s="664">
        <f>H458*AS442</f>
        <v>32</v>
      </c>
      <c r="BA460" s="665">
        <f t="shared" si="555"/>
        <v>68.706631334008762</v>
      </c>
      <c r="BB460" s="666"/>
      <c r="BC460" s="670">
        <v>600</v>
      </c>
      <c r="BD460" s="671">
        <v>1.1339999999999999</v>
      </c>
      <c r="BE460" s="671">
        <v>3.4019999999999997</v>
      </c>
      <c r="BF460" s="671">
        <v>7.3359999999999994</v>
      </c>
      <c r="BG460" s="671">
        <v>10.206</v>
      </c>
      <c r="BH460" s="436"/>
      <c r="BI460" s="434" t="s">
        <v>896</v>
      </c>
      <c r="BJ460" s="664">
        <f>U458*BC442</f>
        <v>450</v>
      </c>
      <c r="BK460" s="664">
        <f>U458*BD442</f>
        <v>13.499999999999996</v>
      </c>
      <c r="BL460" s="664">
        <f>U458*BE442</f>
        <v>1</v>
      </c>
      <c r="BM460" s="664">
        <f>U458*BF442</f>
        <v>32</v>
      </c>
      <c r="BN460" s="665">
        <f t="shared" si="585"/>
        <v>68.706631334008762</v>
      </c>
      <c r="BO460" s="666"/>
      <c r="BP460" s="670">
        <v>600</v>
      </c>
      <c r="BQ460" s="671">
        <v>1.1339999999999999</v>
      </c>
      <c r="BR460" s="671">
        <v>3.4019999999999997</v>
      </c>
      <c r="BS460" s="671">
        <v>7.3359999999999994</v>
      </c>
      <c r="BT460" s="671">
        <v>10.206</v>
      </c>
      <c r="BU460" s="436"/>
      <c r="BV460" s="434" t="s">
        <v>896</v>
      </c>
      <c r="BW460" s="664">
        <f>AH458*BP442</f>
        <v>450</v>
      </c>
      <c r="BX460" s="664">
        <f>AH458*BQ442</f>
        <v>14.999999999999996</v>
      </c>
      <c r="BY460" s="664">
        <f>AH458*BR442</f>
        <v>1</v>
      </c>
      <c r="BZ460" s="664">
        <f>AH458*BS442</f>
        <v>32</v>
      </c>
      <c r="CA460" s="665">
        <f t="shared" si="586"/>
        <v>76.340701482231964</v>
      </c>
      <c r="CB460" s="666"/>
      <c r="CC460" s="670">
        <v>600</v>
      </c>
      <c r="CD460" s="671">
        <v>1.1339999999999999</v>
      </c>
      <c r="CE460" s="671">
        <v>3.4019999999999997</v>
      </c>
      <c r="CF460" s="671">
        <v>7.3359999999999994</v>
      </c>
      <c r="CG460" s="671">
        <v>10.206</v>
      </c>
      <c r="CH460" s="436"/>
      <c r="CI460" s="434" t="s">
        <v>896</v>
      </c>
      <c r="CJ460" s="664">
        <f>AU458*CC442</f>
        <v>450</v>
      </c>
      <c r="CK460" s="664">
        <f>AU458*CD442</f>
        <v>13.499999999999996</v>
      </c>
      <c r="CL460" s="664">
        <f>AU458*CE442</f>
        <v>1</v>
      </c>
      <c r="CM460" s="664">
        <f>AU458*CF442</f>
        <v>32</v>
      </c>
      <c r="CN460" s="665">
        <f t="shared" si="587"/>
        <v>68.706631334008762</v>
      </c>
      <c r="CO460" s="666"/>
      <c r="CP460" s="670">
        <v>600</v>
      </c>
      <c r="CQ460" s="671">
        <v>1.1339999999999999</v>
      </c>
      <c r="CR460" s="671">
        <v>3.4019999999999997</v>
      </c>
      <c r="CS460" s="671">
        <v>7.3359999999999994</v>
      </c>
      <c r="CT460" s="671">
        <v>10.206</v>
      </c>
      <c r="CU460" s="436"/>
      <c r="CV460" s="434" t="s">
        <v>896</v>
      </c>
      <c r="CW460" s="664">
        <f>BH458*CP442</f>
        <v>450</v>
      </c>
      <c r="CX460" s="664">
        <f>BH458*CQ442</f>
        <v>13.499999999999996</v>
      </c>
      <c r="CY460" s="664">
        <f>BH458*CR442</f>
        <v>1</v>
      </c>
      <c r="CZ460" s="664">
        <f>BH458*CS442</f>
        <v>32</v>
      </c>
      <c r="DA460" s="665">
        <f t="shared" si="588"/>
        <v>68.706631334008762</v>
      </c>
      <c r="DB460" s="666"/>
      <c r="DC460" s="670">
        <v>600</v>
      </c>
      <c r="DD460" s="671">
        <v>1.1339999999999999</v>
      </c>
      <c r="DE460" s="671">
        <v>3.4019999999999997</v>
      </c>
      <c r="DF460" s="671">
        <v>7.3359999999999994</v>
      </c>
      <c r="DG460" s="671">
        <v>10.206</v>
      </c>
      <c r="DH460" s="436"/>
      <c r="DI460" s="434" t="s">
        <v>896</v>
      </c>
      <c r="DJ460" s="664">
        <f>BU458*DC442</f>
        <v>450</v>
      </c>
      <c r="DK460" s="664">
        <f>BU458*DD442</f>
        <v>13.499999999999996</v>
      </c>
      <c r="DL460" s="664">
        <f>BU458*DE442</f>
        <v>1</v>
      </c>
      <c r="DM460" s="664">
        <f>BU458*DF442</f>
        <v>32</v>
      </c>
      <c r="DN460" s="665">
        <f t="shared" si="589"/>
        <v>68.706631334008762</v>
      </c>
      <c r="DO460" s="666"/>
      <c r="DP460" s="670">
        <v>600</v>
      </c>
      <c r="DQ460" s="671">
        <v>1.1339999999999999</v>
      </c>
      <c r="DR460" s="671">
        <v>3.4019999999999997</v>
      </c>
      <c r="DS460" s="671">
        <v>7.3359999999999994</v>
      </c>
      <c r="DT460" s="671">
        <v>10.206</v>
      </c>
      <c r="DU460" s="436"/>
      <c r="DV460" s="434" t="s">
        <v>896</v>
      </c>
      <c r="DW460" s="664">
        <f>CH458*DP442</f>
        <v>450</v>
      </c>
      <c r="DX460" s="664">
        <f>CH458*DQ442</f>
        <v>13.499999999999996</v>
      </c>
      <c r="DY460" s="664">
        <f>CH458*DR442</f>
        <v>1</v>
      </c>
      <c r="DZ460" s="664">
        <f>CH458*DS442</f>
        <v>32</v>
      </c>
      <c r="EA460" s="665">
        <f t="shared" si="590"/>
        <v>68.706631334008762</v>
      </c>
      <c r="EB460" s="666"/>
      <c r="EC460" s="670">
        <v>600</v>
      </c>
      <c r="ED460" s="671">
        <v>1.1339999999999999</v>
      </c>
      <c r="EE460" s="671">
        <v>3.4019999999999997</v>
      </c>
      <c r="EF460" s="671">
        <v>7.3359999999999994</v>
      </c>
      <c r="EG460" s="671">
        <v>10.206</v>
      </c>
      <c r="EH460" s="436"/>
      <c r="EI460" s="434" t="s">
        <v>896</v>
      </c>
      <c r="EJ460" s="664">
        <f>CU458*EC442</f>
        <v>450</v>
      </c>
      <c r="EK460" s="664">
        <f>CU458*ED442</f>
        <v>13.499999999999996</v>
      </c>
      <c r="EL460" s="664">
        <f>CU458*EE442</f>
        <v>1</v>
      </c>
      <c r="EM460" s="664">
        <f>CU458*EF442</f>
        <v>32</v>
      </c>
      <c r="EN460" s="665">
        <f t="shared" si="591"/>
        <v>68.706631334008762</v>
      </c>
      <c r="EO460" s="666"/>
      <c r="EP460" s="670">
        <v>600</v>
      </c>
      <c r="EQ460" s="671">
        <v>1.1339999999999999</v>
      </c>
      <c r="ER460" s="671">
        <v>3.4019999999999997</v>
      </c>
      <c r="ES460" s="671">
        <v>7.3359999999999994</v>
      </c>
      <c r="ET460" s="671">
        <v>10.206</v>
      </c>
      <c r="EU460" s="436"/>
      <c r="EV460" s="434" t="s">
        <v>896</v>
      </c>
      <c r="EW460" s="664">
        <f t="shared" si="592"/>
        <v>450</v>
      </c>
      <c r="EX460" s="664">
        <f t="shared" si="592"/>
        <v>999999</v>
      </c>
      <c r="EY460" s="664">
        <f t="shared" si="592"/>
        <v>1</v>
      </c>
      <c r="EZ460" s="664">
        <f t="shared" si="592"/>
        <v>32</v>
      </c>
      <c r="FA460" s="664">
        <f t="shared" si="592"/>
        <v>5089375.0094353668</v>
      </c>
      <c r="FB460" s="666"/>
    </row>
    <row r="461" spans="2:158" ht="15" thickBot="1">
      <c r="B461" s="670">
        <v>750</v>
      </c>
      <c r="C461" s="284">
        <v>1.8</v>
      </c>
      <c r="D461" s="671">
        <v>1.9845000000000002</v>
      </c>
      <c r="E461" s="671">
        <v>6.2370000000000001</v>
      </c>
      <c r="F461" s="671">
        <v>13.860000000000001</v>
      </c>
      <c r="G461" s="671">
        <v>19.601999999999997</v>
      </c>
      <c r="H461" s="436"/>
      <c r="I461" s="434" t="s">
        <v>188</v>
      </c>
      <c r="J461" s="673">
        <f>$H$458*C443</f>
        <v>450</v>
      </c>
      <c r="K461" s="673">
        <f t="shared" ref="K461:M461" si="596">$H$458*D443</f>
        <v>13.499999999999996</v>
      </c>
      <c r="L461" s="673">
        <f t="shared" si="596"/>
        <v>1</v>
      </c>
      <c r="M461" s="673">
        <f t="shared" si="596"/>
        <v>4</v>
      </c>
      <c r="N461" s="674">
        <f t="shared" si="550"/>
        <v>8.5883289167510952</v>
      </c>
      <c r="O461" s="666"/>
      <c r="P461" s="670">
        <v>750</v>
      </c>
      <c r="Q461" s="671">
        <v>1.9845000000000002</v>
      </c>
      <c r="R461" s="671">
        <v>6.2370000000000001</v>
      </c>
      <c r="S461" s="671">
        <v>13.860000000000001</v>
      </c>
      <c r="T461" s="671">
        <v>19.601999999999997</v>
      </c>
      <c r="U461" s="436"/>
      <c r="V461" s="434" t="s">
        <v>188</v>
      </c>
      <c r="W461" s="673">
        <f>$H$458*P443</f>
        <v>450</v>
      </c>
      <c r="X461" s="673">
        <f>$U$458*Q443</f>
        <v>13.499999999999996</v>
      </c>
      <c r="Y461" s="673">
        <f t="shared" ref="Y461:Z461" si="597">$H$458*R443</f>
        <v>1</v>
      </c>
      <c r="Z461" s="673">
        <f t="shared" si="597"/>
        <v>4</v>
      </c>
      <c r="AA461" s="674">
        <f t="shared" si="552"/>
        <v>8.5883289167510952</v>
      </c>
      <c r="AB461" s="666"/>
      <c r="AC461" s="670">
        <v>750</v>
      </c>
      <c r="AD461" s="671">
        <v>1.9845000000000002</v>
      </c>
      <c r="AE461" s="671">
        <v>6.2370000000000001</v>
      </c>
      <c r="AF461" s="671">
        <v>13.860000000000001</v>
      </c>
      <c r="AG461" s="671">
        <v>19.601999999999997</v>
      </c>
      <c r="AH461" s="436"/>
      <c r="AI461" s="434" t="s">
        <v>188</v>
      </c>
      <c r="AJ461" s="673">
        <f>$H$458*AC443</f>
        <v>450</v>
      </c>
      <c r="AK461" s="673">
        <f t="shared" ref="AK461:AM461" si="598">$H$458*AD443</f>
        <v>13.499999999999996</v>
      </c>
      <c r="AL461" s="673">
        <f t="shared" si="598"/>
        <v>1</v>
      </c>
      <c r="AM461" s="673">
        <f t="shared" si="598"/>
        <v>4</v>
      </c>
      <c r="AN461" s="664">
        <f t="shared" si="554"/>
        <v>8.5883289167510952</v>
      </c>
      <c r="AO461" s="666"/>
      <c r="AP461" s="670">
        <v>750</v>
      </c>
      <c r="AQ461" s="671">
        <v>1.9845000000000002</v>
      </c>
      <c r="AR461" s="671">
        <v>6.2370000000000001</v>
      </c>
      <c r="AS461" s="671">
        <v>13.860000000000001</v>
      </c>
      <c r="AT461" s="671">
        <v>19.601999999999997</v>
      </c>
      <c r="AU461" s="436"/>
      <c r="AV461" s="434" t="s">
        <v>188</v>
      </c>
      <c r="AW461" s="673">
        <f>H458*AP443</f>
        <v>450</v>
      </c>
      <c r="AX461" s="673">
        <f>H458*AQ443</f>
        <v>13.499999999999996</v>
      </c>
      <c r="AY461" s="673">
        <f>H458*AR443</f>
        <v>1</v>
      </c>
      <c r="AZ461" s="673">
        <f>H458*AS443</f>
        <v>4</v>
      </c>
      <c r="BA461" s="674">
        <f t="shared" si="555"/>
        <v>8.5883289167510952</v>
      </c>
      <c r="BB461" s="666"/>
      <c r="BC461" s="670">
        <v>750</v>
      </c>
      <c r="BD461" s="671">
        <v>1.9845000000000002</v>
      </c>
      <c r="BE461" s="671">
        <v>6.2370000000000001</v>
      </c>
      <c r="BF461" s="671">
        <v>13.860000000000001</v>
      </c>
      <c r="BG461" s="671">
        <v>19.601999999999997</v>
      </c>
      <c r="BH461" s="436"/>
      <c r="BI461" s="434" t="s">
        <v>188</v>
      </c>
      <c r="BJ461" s="673">
        <f>U458*BC443</f>
        <v>450</v>
      </c>
      <c r="BK461" s="673">
        <f>U458*BD443</f>
        <v>13.499999999999996</v>
      </c>
      <c r="BL461" s="673">
        <f>U458*BE443</f>
        <v>1</v>
      </c>
      <c r="BM461" s="673">
        <f>U458*BF443</f>
        <v>4</v>
      </c>
      <c r="BN461" s="674">
        <f t="shared" si="585"/>
        <v>8.5883289167510952</v>
      </c>
      <c r="BO461" s="666"/>
      <c r="BP461" s="670">
        <v>750</v>
      </c>
      <c r="BQ461" s="671">
        <v>1.9845000000000002</v>
      </c>
      <c r="BR461" s="671">
        <v>6.2370000000000001</v>
      </c>
      <c r="BS461" s="671">
        <v>13.860000000000001</v>
      </c>
      <c r="BT461" s="671">
        <v>19.601999999999997</v>
      </c>
      <c r="BU461" s="436"/>
      <c r="BV461" s="434" t="s">
        <v>188</v>
      </c>
      <c r="BW461" s="673">
        <f>AH458*BP443</f>
        <v>450</v>
      </c>
      <c r="BX461" s="673">
        <f>AH458*BQ443</f>
        <v>13.499999999999996</v>
      </c>
      <c r="BY461" s="673">
        <f>AH458*BR443</f>
        <v>1</v>
      </c>
      <c r="BZ461" s="673">
        <f>AH458*BS443</f>
        <v>4</v>
      </c>
      <c r="CA461" s="674">
        <f t="shared" si="586"/>
        <v>8.5883289167510952</v>
      </c>
      <c r="CB461" s="666"/>
      <c r="CC461" s="670">
        <v>750</v>
      </c>
      <c r="CD461" s="671">
        <v>1.9845000000000002</v>
      </c>
      <c r="CE461" s="671">
        <v>6.2370000000000001</v>
      </c>
      <c r="CF461" s="671">
        <v>13.860000000000001</v>
      </c>
      <c r="CG461" s="671">
        <v>19.601999999999997</v>
      </c>
      <c r="CH461" s="436"/>
      <c r="CI461" s="434" t="s">
        <v>188</v>
      </c>
      <c r="CJ461" s="673">
        <f>AU458*CC443</f>
        <v>450</v>
      </c>
      <c r="CK461" s="673">
        <f>AU458*CD443</f>
        <v>13.499999999999996</v>
      </c>
      <c r="CL461" s="673">
        <f>AU458*CE443</f>
        <v>1</v>
      </c>
      <c r="CM461" s="673">
        <f>AU458*CF443</f>
        <v>4</v>
      </c>
      <c r="CN461" s="674">
        <f t="shared" si="587"/>
        <v>8.5883289167510952</v>
      </c>
      <c r="CO461" s="666"/>
      <c r="CP461" s="670">
        <v>750</v>
      </c>
      <c r="CQ461" s="671">
        <v>1.9845000000000002</v>
      </c>
      <c r="CR461" s="671">
        <v>6.2370000000000001</v>
      </c>
      <c r="CS461" s="671">
        <v>13.860000000000001</v>
      </c>
      <c r="CT461" s="671">
        <v>19.601999999999997</v>
      </c>
      <c r="CU461" s="436"/>
      <c r="CV461" s="434" t="s">
        <v>188</v>
      </c>
      <c r="CW461" s="673">
        <f>BH458*CP443</f>
        <v>600</v>
      </c>
      <c r="CX461" s="673">
        <f>BH458*CQ443</f>
        <v>5.3999999999999977</v>
      </c>
      <c r="CY461" s="673">
        <f>BH458*CR443</f>
        <v>1</v>
      </c>
      <c r="CZ461" s="673">
        <f>BH458*CS443</f>
        <v>4</v>
      </c>
      <c r="DA461" s="674">
        <f t="shared" si="588"/>
        <v>6.1072561185785554</v>
      </c>
      <c r="DB461" s="666"/>
      <c r="DC461" s="670">
        <v>750</v>
      </c>
      <c r="DD461" s="671">
        <v>1.9845000000000002</v>
      </c>
      <c r="DE461" s="671">
        <v>6.2370000000000001</v>
      </c>
      <c r="DF461" s="671">
        <v>13.860000000000001</v>
      </c>
      <c r="DG461" s="671">
        <v>19.601999999999997</v>
      </c>
      <c r="DH461" s="436"/>
      <c r="DI461" s="434" t="s">
        <v>188</v>
      </c>
      <c r="DJ461" s="673">
        <f>BU458*DC443</f>
        <v>600</v>
      </c>
      <c r="DK461" s="673">
        <f>BU458*DD443</f>
        <v>5.3999999999999977</v>
      </c>
      <c r="DL461" s="673">
        <f>BU458*DE443</f>
        <v>1</v>
      </c>
      <c r="DM461" s="673">
        <f>BU458*DF443</f>
        <v>4</v>
      </c>
      <c r="DN461" s="674">
        <f t="shared" si="589"/>
        <v>6.1072561185785554</v>
      </c>
      <c r="DO461" s="666"/>
      <c r="DP461" s="670">
        <v>750</v>
      </c>
      <c r="DQ461" s="671">
        <v>1.9845000000000002</v>
      </c>
      <c r="DR461" s="671">
        <v>6.2370000000000001</v>
      </c>
      <c r="DS461" s="671">
        <v>13.860000000000001</v>
      </c>
      <c r="DT461" s="671">
        <v>19.601999999999997</v>
      </c>
      <c r="DU461" s="436"/>
      <c r="DV461" s="434" t="s">
        <v>188</v>
      </c>
      <c r="DW461" s="673">
        <f>CH458*DP443</f>
        <v>600</v>
      </c>
      <c r="DX461" s="673">
        <f>CH458*DQ443</f>
        <v>4.4999999999999982</v>
      </c>
      <c r="DY461" s="673">
        <f>CH458*DR443</f>
        <v>1</v>
      </c>
      <c r="DZ461" s="673">
        <f>CH458*DS443</f>
        <v>4</v>
      </c>
      <c r="EA461" s="674">
        <f t="shared" si="590"/>
        <v>5.0893800988154627</v>
      </c>
      <c r="EB461" s="666"/>
      <c r="EC461" s="670">
        <v>750</v>
      </c>
      <c r="ED461" s="671">
        <v>1.9845000000000002</v>
      </c>
      <c r="EE461" s="671">
        <v>6.2370000000000001</v>
      </c>
      <c r="EF461" s="671">
        <v>13.860000000000001</v>
      </c>
      <c r="EG461" s="671">
        <v>19.601999999999997</v>
      </c>
      <c r="EH461" s="436"/>
      <c r="EI461" s="434" t="s">
        <v>188</v>
      </c>
      <c r="EJ461" s="673">
        <f>CU458*EC443</f>
        <v>600</v>
      </c>
      <c r="EK461" s="673">
        <f>CU458*ED443</f>
        <v>4.799999999999998</v>
      </c>
      <c r="EL461" s="673">
        <f>CU458*EE443</f>
        <v>1</v>
      </c>
      <c r="EM461" s="673">
        <f>CU458*EF443</f>
        <v>4</v>
      </c>
      <c r="EN461" s="674">
        <f t="shared" si="591"/>
        <v>5.4286721054031606</v>
      </c>
      <c r="EO461" s="666"/>
      <c r="EP461" s="670">
        <v>750</v>
      </c>
      <c r="EQ461" s="671">
        <v>1.9845000000000002</v>
      </c>
      <c r="ER461" s="671">
        <v>6.2370000000000001</v>
      </c>
      <c r="ES461" s="671">
        <v>13.860000000000001</v>
      </c>
      <c r="ET461" s="671">
        <v>19.601999999999997</v>
      </c>
      <c r="EU461" s="436"/>
      <c r="EV461" s="434" t="s">
        <v>188</v>
      </c>
      <c r="EW461" s="673">
        <f t="shared" si="592"/>
        <v>450</v>
      </c>
      <c r="EX461" s="673">
        <f t="shared" si="592"/>
        <v>999999</v>
      </c>
      <c r="EY461" s="673">
        <f t="shared" si="592"/>
        <v>1</v>
      </c>
      <c r="EZ461" s="673">
        <f t="shared" si="592"/>
        <v>4</v>
      </c>
      <c r="FA461" s="673">
        <f t="shared" si="592"/>
        <v>636171.87617942085</v>
      </c>
      <c r="FB461" s="666"/>
    </row>
    <row r="462" spans="2:158" ht="15" thickBot="1">
      <c r="B462" s="670">
        <v>900</v>
      </c>
      <c r="C462" s="284">
        <v>2.2000000000000002</v>
      </c>
      <c r="D462" s="671">
        <v>3.1680000000000001</v>
      </c>
      <c r="E462" s="671">
        <v>10.295999999999999</v>
      </c>
      <c r="F462" s="671">
        <v>23.32</v>
      </c>
      <c r="G462" s="671">
        <v>33.461999999999996</v>
      </c>
      <c r="H462" s="436"/>
      <c r="I462" s="434"/>
      <c r="J462" s="675"/>
      <c r="K462" s="676"/>
      <c r="L462" s="434"/>
      <c r="M462" s="676"/>
      <c r="N462" s="676"/>
      <c r="O462" s="666"/>
      <c r="P462" s="670">
        <v>900</v>
      </c>
      <c r="Q462" s="671">
        <v>3.1680000000000001</v>
      </c>
      <c r="R462" s="671">
        <v>10.295999999999999</v>
      </c>
      <c r="S462" s="671">
        <v>23.32</v>
      </c>
      <c r="T462" s="671">
        <v>33.461999999999996</v>
      </c>
      <c r="U462" s="436"/>
      <c r="V462" s="434"/>
      <c r="W462" s="675"/>
      <c r="X462" s="676"/>
      <c r="Y462" s="434"/>
      <c r="Z462" s="676"/>
      <c r="AA462" s="676"/>
      <c r="AB462" s="666"/>
      <c r="AC462" s="670">
        <v>900</v>
      </c>
      <c r="AD462" s="671">
        <v>3.1680000000000001</v>
      </c>
      <c r="AE462" s="671">
        <v>10.295999999999999</v>
      </c>
      <c r="AF462" s="671">
        <v>23.32</v>
      </c>
      <c r="AG462" s="671">
        <v>33.461999999999996</v>
      </c>
      <c r="AH462" s="436"/>
      <c r="AI462" s="434"/>
      <c r="AJ462" s="675"/>
      <c r="AK462" s="676"/>
      <c r="AL462" s="434"/>
      <c r="AM462" s="676"/>
      <c r="AN462" s="676"/>
      <c r="AO462" s="666"/>
      <c r="AP462" s="670">
        <v>900</v>
      </c>
      <c r="AQ462" s="671">
        <v>3.1680000000000001</v>
      </c>
      <c r="AR462" s="671">
        <v>10.295999999999999</v>
      </c>
      <c r="AS462" s="671">
        <v>23.32</v>
      </c>
      <c r="AT462" s="671">
        <v>33.461999999999996</v>
      </c>
      <c r="AU462" s="436"/>
      <c r="AV462" s="434"/>
      <c r="AW462" s="675"/>
      <c r="AX462" s="676"/>
      <c r="AY462" s="434"/>
      <c r="AZ462" s="676"/>
      <c r="BA462" s="676"/>
      <c r="BB462" s="666"/>
      <c r="BC462" s="670">
        <v>900</v>
      </c>
      <c r="BD462" s="671">
        <v>3.1680000000000001</v>
      </c>
      <c r="BE462" s="671">
        <v>10.295999999999999</v>
      </c>
      <c r="BF462" s="671">
        <v>23.32</v>
      </c>
      <c r="BG462" s="671">
        <v>33.461999999999996</v>
      </c>
      <c r="BH462" s="436"/>
      <c r="BI462" s="434"/>
      <c r="BJ462" s="675"/>
      <c r="BK462" s="676"/>
      <c r="BL462" s="434"/>
      <c r="BM462" s="676"/>
      <c r="BN462" s="676"/>
      <c r="BO462" s="666"/>
      <c r="BP462" s="670">
        <v>900</v>
      </c>
      <c r="BQ462" s="671">
        <v>3.1680000000000001</v>
      </c>
      <c r="BR462" s="671">
        <v>10.295999999999999</v>
      </c>
      <c r="BS462" s="671">
        <v>23.32</v>
      </c>
      <c r="BT462" s="671">
        <v>33.461999999999996</v>
      </c>
      <c r="BU462" s="436"/>
      <c r="BV462" s="434"/>
      <c r="BW462" s="675"/>
      <c r="BX462" s="676"/>
      <c r="BY462" s="434"/>
      <c r="BZ462" s="676"/>
      <c r="CA462" s="676"/>
      <c r="CB462" s="666"/>
      <c r="CC462" s="670">
        <v>900</v>
      </c>
      <c r="CD462" s="671">
        <v>3.1680000000000001</v>
      </c>
      <c r="CE462" s="671">
        <v>10.295999999999999</v>
      </c>
      <c r="CF462" s="671">
        <v>23.32</v>
      </c>
      <c r="CG462" s="671">
        <v>33.461999999999996</v>
      </c>
      <c r="CH462" s="436"/>
      <c r="CI462" s="434"/>
      <c r="CJ462" s="675"/>
      <c r="CK462" s="676"/>
      <c r="CL462" s="434"/>
      <c r="CM462" s="676"/>
      <c r="CN462" s="676"/>
      <c r="CO462" s="666"/>
      <c r="CP462" s="670">
        <v>900</v>
      </c>
      <c r="CQ462" s="671">
        <v>3.1680000000000001</v>
      </c>
      <c r="CR462" s="671">
        <v>10.295999999999999</v>
      </c>
      <c r="CS462" s="671">
        <v>23.32</v>
      </c>
      <c r="CT462" s="671">
        <v>33.461999999999996</v>
      </c>
      <c r="CU462" s="436"/>
      <c r="CV462" s="434"/>
      <c r="CW462" s="675"/>
      <c r="CX462" s="676"/>
      <c r="CY462" s="434"/>
      <c r="CZ462" s="676"/>
      <c r="DA462" s="676"/>
      <c r="DB462" s="666"/>
      <c r="DC462" s="670">
        <v>900</v>
      </c>
      <c r="DD462" s="671">
        <v>3.1680000000000001</v>
      </c>
      <c r="DE462" s="671">
        <v>10.295999999999999</v>
      </c>
      <c r="DF462" s="671">
        <v>23.32</v>
      </c>
      <c r="DG462" s="671">
        <v>33.461999999999996</v>
      </c>
      <c r="DH462" s="436"/>
      <c r="DI462" s="434"/>
      <c r="DJ462" s="675"/>
      <c r="DK462" s="676"/>
      <c r="DL462" s="434"/>
      <c r="DM462" s="676"/>
      <c r="DN462" s="676"/>
      <c r="DO462" s="666"/>
      <c r="DP462" s="670">
        <v>900</v>
      </c>
      <c r="DQ462" s="671">
        <v>3.1680000000000001</v>
      </c>
      <c r="DR462" s="671">
        <v>10.295999999999999</v>
      </c>
      <c r="DS462" s="671">
        <v>23.32</v>
      </c>
      <c r="DT462" s="671">
        <v>33.461999999999996</v>
      </c>
      <c r="DU462" s="436"/>
      <c r="DV462" s="434"/>
      <c r="DW462" s="675"/>
      <c r="DX462" s="676"/>
      <c r="DY462" s="434"/>
      <c r="DZ462" s="676"/>
      <c r="EA462" s="676"/>
      <c r="EB462" s="666"/>
      <c r="EC462" s="670">
        <v>900</v>
      </c>
      <c r="ED462" s="671">
        <v>3.1680000000000001</v>
      </c>
      <c r="EE462" s="671">
        <v>10.295999999999999</v>
      </c>
      <c r="EF462" s="671">
        <v>23.32</v>
      </c>
      <c r="EG462" s="671">
        <v>33.461999999999996</v>
      </c>
      <c r="EH462" s="436"/>
      <c r="EI462" s="434"/>
      <c r="EJ462" s="675"/>
      <c r="EK462" s="676"/>
      <c r="EL462" s="434"/>
      <c r="EM462" s="676"/>
      <c r="EN462" s="676"/>
      <c r="EO462" s="666"/>
      <c r="EP462" s="670">
        <v>900</v>
      </c>
      <c r="EQ462" s="671">
        <v>3.1680000000000001</v>
      </c>
      <c r="ER462" s="671">
        <v>10.295999999999999</v>
      </c>
      <c r="ES462" s="671">
        <v>23.32</v>
      </c>
      <c r="ET462" s="671">
        <v>33.461999999999996</v>
      </c>
      <c r="EU462" s="436"/>
      <c r="EV462" s="434"/>
      <c r="EW462" s="675"/>
      <c r="EX462" s="676"/>
      <c r="EY462" s="434"/>
      <c r="EZ462" s="676"/>
      <c r="FA462" s="676"/>
      <c r="FB462" s="666"/>
    </row>
    <row r="463" spans="2:158">
      <c r="B463" s="670">
        <v>1050</v>
      </c>
      <c r="C463" s="284">
        <v>2.6</v>
      </c>
      <c r="D463" s="671">
        <f>1.8225*2.6</f>
        <v>4.7385000000000002</v>
      </c>
      <c r="E463" s="671">
        <f>6.075*2.6</f>
        <v>15.795000000000002</v>
      </c>
      <c r="F463" s="671">
        <f>14.054341*2.6</f>
        <v>36.541286600000007</v>
      </c>
      <c r="G463" s="671">
        <f>20.25*2.6</f>
        <v>52.65</v>
      </c>
      <c r="H463" s="436"/>
      <c r="I463" s="434" t="str" cm="1">
        <f t="array" ref="I463">INDEX(I450:I461,O464)</f>
        <v>Driven</v>
      </c>
      <c r="J463" s="663" t="s">
        <v>821</v>
      </c>
      <c r="K463" s="677" t="s">
        <v>847</v>
      </c>
      <c r="L463" s="663" t="s">
        <v>883</v>
      </c>
      <c r="M463" s="663" t="s">
        <v>884</v>
      </c>
      <c r="N463" s="663" t="s">
        <v>885</v>
      </c>
      <c r="O463" s="662">
        <f>MIN(O450:O458)</f>
        <v>212.56114068958959</v>
      </c>
      <c r="P463" s="670">
        <v>1050</v>
      </c>
      <c r="Q463" s="671">
        <f>1.8225*2.6</f>
        <v>4.7385000000000002</v>
      </c>
      <c r="R463" s="671">
        <f>6.075*2.6</f>
        <v>15.795000000000002</v>
      </c>
      <c r="S463" s="671">
        <f>14.054341*2.6</f>
        <v>36.541286600000007</v>
      </c>
      <c r="T463" s="671">
        <f>20.25*2.6</f>
        <v>52.65</v>
      </c>
      <c r="U463" s="436"/>
      <c r="V463" s="434" t="str" cm="1">
        <f t="array" ref="V463">INDEX(V450:V461,AB464)</f>
        <v>Driven</v>
      </c>
      <c r="W463" s="663" t="s">
        <v>821</v>
      </c>
      <c r="X463" s="677" t="s">
        <v>847</v>
      </c>
      <c r="Y463" s="663" t="s">
        <v>883</v>
      </c>
      <c r="Z463" s="663" t="s">
        <v>884</v>
      </c>
      <c r="AA463" s="663" t="s">
        <v>885</v>
      </c>
      <c r="AB463" s="662">
        <f>MIN(AB450:AB458)</f>
        <v>212.56114068958959</v>
      </c>
      <c r="AC463" s="670">
        <v>1050</v>
      </c>
      <c r="AD463" s="671">
        <f>1.8225*2.6</f>
        <v>4.7385000000000002</v>
      </c>
      <c r="AE463" s="671">
        <f>6.075*2.6</f>
        <v>15.795000000000002</v>
      </c>
      <c r="AF463" s="671">
        <f>14.054341*2.6</f>
        <v>36.541286600000007</v>
      </c>
      <c r="AG463" s="671">
        <f>20.25*2.6</f>
        <v>52.65</v>
      </c>
      <c r="AH463" s="436"/>
      <c r="AI463" s="434" t="str" cm="1">
        <f t="array" ref="AI463">INDEX(AI450:AI461,AO464)</f>
        <v>CFA</v>
      </c>
      <c r="AJ463" s="663" t="s">
        <v>821</v>
      </c>
      <c r="AK463" s="677" t="s">
        <v>847</v>
      </c>
      <c r="AL463" s="663" t="s">
        <v>883</v>
      </c>
      <c r="AM463" s="663" t="s">
        <v>884</v>
      </c>
      <c r="AN463" s="663" t="s">
        <v>885</v>
      </c>
      <c r="AO463" s="662">
        <f>MIN(AO450:AO458)</f>
        <v>212.56114068958959</v>
      </c>
      <c r="AP463" s="670">
        <v>1050</v>
      </c>
      <c r="AQ463" s="671">
        <f>1.8225*2.6</f>
        <v>4.7385000000000002</v>
      </c>
      <c r="AR463" s="671">
        <f>6.075*2.6</f>
        <v>15.795000000000002</v>
      </c>
      <c r="AS463" s="671">
        <f>14.054341*2.6</f>
        <v>36.541286600000007</v>
      </c>
      <c r="AT463" s="671">
        <f>20.25*2.6</f>
        <v>52.65</v>
      </c>
      <c r="AU463" s="436"/>
      <c r="AV463" s="434" t="str" cm="1">
        <f t="array" ref="AV463">INDEX(AV450:AV461,BB464)</f>
        <v>CFA</v>
      </c>
      <c r="AW463" s="663" t="s">
        <v>821</v>
      </c>
      <c r="AX463" s="677" t="s">
        <v>847</v>
      </c>
      <c r="AY463" s="663" t="s">
        <v>883</v>
      </c>
      <c r="AZ463" s="663" t="s">
        <v>884</v>
      </c>
      <c r="BA463" s="663" t="s">
        <v>885</v>
      </c>
      <c r="BB463" s="662">
        <f>MIN(BB450:BB458)</f>
        <v>212.56114068958959</v>
      </c>
      <c r="BC463" s="670">
        <v>1050</v>
      </c>
      <c r="BD463" s="671">
        <f>1.8225*2.6</f>
        <v>4.7385000000000002</v>
      </c>
      <c r="BE463" s="671">
        <f>6.075*2.6</f>
        <v>15.795000000000002</v>
      </c>
      <c r="BF463" s="284">
        <f>14.054341*2.6</f>
        <v>36.541286600000007</v>
      </c>
      <c r="BG463" s="671">
        <f>20.25*2.6</f>
        <v>52.65</v>
      </c>
      <c r="BH463" s="436"/>
      <c r="BI463" s="434" t="str" cm="1">
        <f t="array" ref="BI463">INDEX(BI450:BI461,BO464)</f>
        <v>Driven</v>
      </c>
      <c r="BJ463" s="663" t="s">
        <v>821</v>
      </c>
      <c r="BK463" s="677" t="s">
        <v>847</v>
      </c>
      <c r="BL463" s="663" t="s">
        <v>883</v>
      </c>
      <c r="BM463" s="663" t="s">
        <v>884</v>
      </c>
      <c r="BN463" s="663" t="s">
        <v>885</v>
      </c>
      <c r="BO463" s="662">
        <f>MIN(BO450:BO458)</f>
        <v>212.56114068958959</v>
      </c>
      <c r="BP463" s="670">
        <v>1050</v>
      </c>
      <c r="BQ463" s="671">
        <f>1.8225*2.6</f>
        <v>4.7385000000000002</v>
      </c>
      <c r="BR463" s="671">
        <f>6.075*2.6</f>
        <v>15.795000000000002</v>
      </c>
      <c r="BS463" s="284">
        <f>14.054341*2.6</f>
        <v>36.541286600000007</v>
      </c>
      <c r="BT463" s="671">
        <f>20.25*2.6</f>
        <v>52.65</v>
      </c>
      <c r="BU463" s="436"/>
      <c r="BV463" s="434" t="str" cm="1">
        <f t="array" ref="BV463">INDEX(BV450:BV461,CB464)</f>
        <v>Driven</v>
      </c>
      <c r="BW463" s="663" t="s">
        <v>821</v>
      </c>
      <c r="BX463" s="677" t="s">
        <v>847</v>
      </c>
      <c r="BY463" s="663" t="s">
        <v>883</v>
      </c>
      <c r="BZ463" s="663" t="s">
        <v>884</v>
      </c>
      <c r="CA463" s="663" t="s">
        <v>885</v>
      </c>
      <c r="CB463" s="662">
        <f>MIN(CB450:CB458)</f>
        <v>227.59071629390402</v>
      </c>
      <c r="CC463" s="670">
        <v>1050</v>
      </c>
      <c r="CD463" s="671">
        <f>1.8225*2.6</f>
        <v>4.7385000000000002</v>
      </c>
      <c r="CE463" s="671">
        <f>6.075*2.6</f>
        <v>15.795000000000002</v>
      </c>
      <c r="CF463" s="671">
        <f>14.054341*2.6</f>
        <v>36.541286600000007</v>
      </c>
      <c r="CG463" s="671">
        <f>20.25*2.6</f>
        <v>52.65</v>
      </c>
      <c r="CH463" s="436"/>
      <c r="CI463" s="434" t="str" cm="1">
        <f t="array" ref="CI463">INDEX(CI450:CI461,CO464)</f>
        <v>CFA</v>
      </c>
      <c r="CJ463" s="663" t="s">
        <v>821</v>
      </c>
      <c r="CK463" s="677" t="s">
        <v>847</v>
      </c>
      <c r="CL463" s="663" t="s">
        <v>883</v>
      </c>
      <c r="CM463" s="663" t="s">
        <v>884</v>
      </c>
      <c r="CN463" s="663" t="s">
        <v>885</v>
      </c>
      <c r="CO463" s="662">
        <f>MIN(CO450:CO458)</f>
        <v>210.08006789141706</v>
      </c>
      <c r="CP463" s="670">
        <v>1050</v>
      </c>
      <c r="CQ463" s="671">
        <f>1.8225*2.6</f>
        <v>4.7385000000000002</v>
      </c>
      <c r="CR463" s="671">
        <f>6.075*2.6</f>
        <v>15.795000000000002</v>
      </c>
      <c r="CS463" s="671">
        <f>14.054341*2.6</f>
        <v>36.541286600000007</v>
      </c>
      <c r="CT463" s="671">
        <f>20.25*2.6</f>
        <v>52.65</v>
      </c>
      <c r="CU463" s="436"/>
      <c r="CV463" s="434" t="str" cm="1">
        <f t="array" ref="CV463">INDEX(CV450:CV461,DB464)</f>
        <v>CFA</v>
      </c>
      <c r="CW463" s="663" t="s">
        <v>821</v>
      </c>
      <c r="CX463" s="677" t="s">
        <v>847</v>
      </c>
      <c r="CY463" s="663" t="s">
        <v>883</v>
      </c>
      <c r="CZ463" s="663" t="s">
        <v>884</v>
      </c>
      <c r="DA463" s="663" t="s">
        <v>885</v>
      </c>
      <c r="DB463" s="662">
        <f>MIN(DB450:DB458)</f>
        <v>209.74077588482936</v>
      </c>
      <c r="DC463" s="670">
        <v>1050</v>
      </c>
      <c r="DD463" s="671">
        <f>1.8225*2.6</f>
        <v>4.7385000000000002</v>
      </c>
      <c r="DE463" s="671">
        <f>6.075*2.6</f>
        <v>15.795000000000002</v>
      </c>
      <c r="DF463" s="284">
        <f>14.054341*2.6</f>
        <v>36.541286600000007</v>
      </c>
      <c r="DG463" s="671">
        <f>20.25*2.6</f>
        <v>52.65</v>
      </c>
      <c r="DH463" s="436"/>
      <c r="DI463" s="434" t="str" cm="1">
        <f t="array" ref="DI463">INDEX(DI450:DI461,DO464)</f>
        <v>CFA</v>
      </c>
      <c r="DJ463" s="663" t="s">
        <v>821</v>
      </c>
      <c r="DK463" s="677" t="s">
        <v>847</v>
      </c>
      <c r="DL463" s="663" t="s">
        <v>883</v>
      </c>
      <c r="DM463" s="663" t="s">
        <v>884</v>
      </c>
      <c r="DN463" s="663" t="s">
        <v>885</v>
      </c>
      <c r="DO463" s="662">
        <f>MIN(DO450:DO458)</f>
        <v>209.74077588482936</v>
      </c>
      <c r="DP463" s="670">
        <v>1050</v>
      </c>
      <c r="DQ463" s="671">
        <f>1.8225*2.6</f>
        <v>4.7385000000000002</v>
      </c>
      <c r="DR463" s="671">
        <f>6.075*2.6</f>
        <v>15.795000000000002</v>
      </c>
      <c r="DS463" s="284">
        <f>14.054341*2.6</f>
        <v>36.541286600000007</v>
      </c>
      <c r="DT463" s="671">
        <f>20.25*2.6</f>
        <v>52.65</v>
      </c>
      <c r="DU463" s="436"/>
      <c r="DV463" s="434" t="str" cm="1">
        <f t="array" ref="DV463">INDEX(DV450:DV461,EB464)</f>
        <v>CFA</v>
      </c>
      <c r="DW463" s="663" t="s">
        <v>821</v>
      </c>
      <c r="DX463" s="677" t="s">
        <v>847</v>
      </c>
      <c r="DY463" s="663" t="s">
        <v>883</v>
      </c>
      <c r="DZ463" s="663" t="s">
        <v>884</v>
      </c>
      <c r="EA463" s="663" t="s">
        <v>885</v>
      </c>
      <c r="EB463" s="662">
        <f>MIN(EB450:EB458)</f>
        <v>207.7898468469501</v>
      </c>
      <c r="EC463" s="670">
        <v>1050</v>
      </c>
      <c r="ED463" s="671">
        <f>1.8225*2.6</f>
        <v>4.7385000000000002</v>
      </c>
      <c r="EE463" s="671">
        <f>6.075*2.6</f>
        <v>15.795000000000002</v>
      </c>
      <c r="EF463" s="284">
        <f>14.054341*2.6</f>
        <v>36.541286600000007</v>
      </c>
      <c r="EG463" s="671">
        <f>20.25*2.6</f>
        <v>52.65</v>
      </c>
      <c r="EH463" s="436"/>
      <c r="EI463" s="434" t="str" cm="1">
        <f t="array" ref="EI463">INDEX(EI450:EI461,EO464)</f>
        <v>CFA</v>
      </c>
      <c r="EJ463" s="663" t="s">
        <v>821</v>
      </c>
      <c r="EK463" s="677" t="s">
        <v>847</v>
      </c>
      <c r="EL463" s="663" t="s">
        <v>883</v>
      </c>
      <c r="EM463" s="663" t="s">
        <v>884</v>
      </c>
      <c r="EN463" s="663" t="s">
        <v>885</v>
      </c>
      <c r="EO463" s="662">
        <f>MIN(EO450:EO458)</f>
        <v>207.7898468469501</v>
      </c>
      <c r="EP463" s="670">
        <v>1050</v>
      </c>
      <c r="EQ463" s="671">
        <f>1.8225*2.6</f>
        <v>4.7385000000000002</v>
      </c>
      <c r="ER463" s="671">
        <f>6.075*2.6</f>
        <v>15.795000000000002</v>
      </c>
      <c r="ES463" s="284">
        <f>14.054341*2.6</f>
        <v>36.541286600000007</v>
      </c>
      <c r="ET463" s="671">
        <f>20.25*2.6</f>
        <v>52.65</v>
      </c>
      <c r="EU463" s="436"/>
      <c r="EV463" s="434" t="str" cm="1">
        <f t="array" ref="EV463">INDEX(EV450:EV461,FB464)</f>
        <v>CFA</v>
      </c>
      <c r="EW463" s="663" t="s">
        <v>821</v>
      </c>
      <c r="EX463" s="677" t="s">
        <v>847</v>
      </c>
      <c r="EY463" s="663" t="s">
        <v>883</v>
      </c>
      <c r="EZ463" s="663" t="s">
        <v>884</v>
      </c>
      <c r="FA463" s="663" t="s">
        <v>885</v>
      </c>
      <c r="FB463" s="662">
        <f>MIN(FB450:FB458)</f>
        <v>15745253.935440665</v>
      </c>
    </row>
    <row r="464" spans="2:158" s="684" customFormat="1" ht="15" thickBot="1">
      <c r="B464" s="678">
        <v>1200</v>
      </c>
      <c r="C464" s="284">
        <v>3</v>
      </c>
      <c r="D464" s="679">
        <v>6.75</v>
      </c>
      <c r="E464" s="679">
        <v>22.95</v>
      </c>
      <c r="F464" s="679">
        <v>53.699999999999996</v>
      </c>
      <c r="G464" s="679">
        <v>78.029999999999987</v>
      </c>
      <c r="H464" s="680"/>
      <c r="I464" s="681" t="s">
        <v>183</v>
      </c>
      <c r="J464" s="682" cm="1">
        <f t="array" ref="J464">IF(K464=0,0,INDEX(J451:J461,$O$464))</f>
        <v>450</v>
      </c>
      <c r="K464" s="682" cm="1">
        <f t="array" ref="K464">IF(INDEX(K451:K461,$O$464)=999999,0,INDEX(K451:K461,$O$464))</f>
        <v>13.499999999999996</v>
      </c>
      <c r="L464" s="682" cm="1">
        <f t="array" ref="L464">IF(K464=0,0,INDEX(L451:L461,$O$464))</f>
        <v>1</v>
      </c>
      <c r="M464" s="682" cm="1">
        <f t="array" ref="M464">IF(K464=0,0,INDEX(M451:M461,$O$464))</f>
        <v>63</v>
      </c>
      <c r="N464" s="682" cm="1">
        <f t="array" ref="N464">IF(K464=0,0,INDEX(N451:N461,$O$464))</f>
        <v>135.26618043882974</v>
      </c>
      <c r="O464" s="683">
        <f>MATCH(O463,O450:O461,0)</f>
        <v>5</v>
      </c>
      <c r="P464" s="678">
        <v>1200</v>
      </c>
      <c r="Q464" s="679">
        <v>6.75</v>
      </c>
      <c r="R464" s="679">
        <v>22.95</v>
      </c>
      <c r="S464" s="679">
        <v>53.699999999999996</v>
      </c>
      <c r="T464" s="679">
        <v>78.029999999999987</v>
      </c>
      <c r="U464" s="680"/>
      <c r="V464" s="681" t="s">
        <v>183</v>
      </c>
      <c r="W464" s="682" cm="1">
        <f t="array" ref="W464">IF(X464=0,0,INDEX(W451:W461,$O$464))</f>
        <v>450</v>
      </c>
      <c r="X464" s="682" cm="1">
        <f t="array" ref="X464">IF(INDEX(X451:X461,$O$464)=999999,0,INDEX(X451:X461,$O$464))</f>
        <v>13.499999999999996</v>
      </c>
      <c r="Y464" s="682" cm="1">
        <f t="array" ref="Y464">IF(X464=0,0,INDEX(Y451:Y461,$O$464))</f>
        <v>1</v>
      </c>
      <c r="Z464" s="682" cm="1">
        <f t="array" ref="Z464">IF(X464=0,0,INDEX(Z451:Z461,$O$464))</f>
        <v>63</v>
      </c>
      <c r="AA464" s="682" cm="1">
        <f t="array" ref="AA464">IF(X464=0,0,INDEX(AA451:AA461,$O$464))</f>
        <v>135.26618043882974</v>
      </c>
      <c r="AB464" s="683">
        <f>MATCH(AB463,AB450:AB461,0)</f>
        <v>5</v>
      </c>
      <c r="AC464" s="678">
        <v>1200</v>
      </c>
      <c r="AD464" s="679">
        <v>6.75</v>
      </c>
      <c r="AE464" s="679">
        <v>22.95</v>
      </c>
      <c r="AF464" s="679">
        <v>53.699999999999996</v>
      </c>
      <c r="AG464" s="679">
        <v>78.029999999999987</v>
      </c>
      <c r="AH464" s="680"/>
      <c r="AI464" s="681" t="s">
        <v>183</v>
      </c>
      <c r="AJ464" s="682" cm="1">
        <f t="array" ref="AJ464">IF(AK464=0,0,INDEX(AJ451:AJ461,$O$464))</f>
        <v>450</v>
      </c>
      <c r="AK464" s="682" cm="1">
        <f t="array" ref="AK464">IF(INDEX(AK451:AK461,$O$464)=999999,0,INDEX(AK451:AK461,$O$464))</f>
        <v>13.499999999999996</v>
      </c>
      <c r="AL464" s="682" cm="1">
        <f t="array" ref="AL464">IF(AK464=0,0,INDEX(AL451:AL461,$O$464))</f>
        <v>1</v>
      </c>
      <c r="AM464" s="682" cm="1">
        <f t="array" ref="AM464">IF(AK464=0,0,INDEX(AM451:AM461,$O$464))</f>
        <v>63</v>
      </c>
      <c r="AN464" s="682" cm="1">
        <f t="array" ref="AN464">IF(AK464=0,0,INDEX(AN451:AN461,$O$464))</f>
        <v>135.26618043882974</v>
      </c>
      <c r="AO464" s="683">
        <f>MATCH(AO463,AO450:AO461,0)</f>
        <v>1</v>
      </c>
      <c r="AP464" s="678">
        <v>1200</v>
      </c>
      <c r="AQ464" s="679">
        <v>6.75</v>
      </c>
      <c r="AR464" s="679">
        <v>22.95</v>
      </c>
      <c r="AS464" s="679">
        <v>53.699999999999996</v>
      </c>
      <c r="AT464" s="679">
        <v>78.029999999999987</v>
      </c>
      <c r="AU464" s="680"/>
      <c r="AV464" s="681" t="s">
        <v>183</v>
      </c>
      <c r="AW464" s="682" cm="1">
        <f t="array" ref="AW464">IF(AX464=0,0,INDEX(AW451:AW461,$O$464))</f>
        <v>450</v>
      </c>
      <c r="AX464" s="682" cm="1">
        <f t="array" ref="AX464">IF(INDEX(AX451:AX461,$O$464)=999999,0,INDEX(AX451:AX461,$O$464))</f>
        <v>13.499999999999996</v>
      </c>
      <c r="AY464" s="682" cm="1">
        <f t="array" ref="AY464">IF(AX464=0,0,INDEX(AY451:AY461,$O$464))</f>
        <v>1</v>
      </c>
      <c r="AZ464" s="682" cm="1">
        <f t="array" ref="AZ464">IF(AX464=0,0,INDEX(AZ451:AZ461,$O$464))</f>
        <v>63</v>
      </c>
      <c r="BA464" s="682" cm="1">
        <f t="array" ref="BA464">IF(AX464=0,0,INDEX(BA451:BA461,$O$464))</f>
        <v>135.26618043882974</v>
      </c>
      <c r="BB464" s="683">
        <f>MATCH(BB463,BB450:BB461,0)</f>
        <v>1</v>
      </c>
      <c r="BC464" s="678">
        <v>1200</v>
      </c>
      <c r="BD464" s="679">
        <v>6.75</v>
      </c>
      <c r="BE464" s="679">
        <v>22.95</v>
      </c>
      <c r="BF464" s="679">
        <v>53.699999999999996</v>
      </c>
      <c r="BG464" s="679">
        <v>78.029999999999987</v>
      </c>
      <c r="BH464" s="680"/>
      <c r="BI464" s="681" t="s">
        <v>183</v>
      </c>
      <c r="BJ464" s="682" cm="1">
        <f t="array" ref="BJ464">IF(BK464=0,0,INDEX(BJ451:BJ461,$O$464))</f>
        <v>450</v>
      </c>
      <c r="BK464" s="682" cm="1">
        <f t="array" ref="BK464">IF(INDEX(BK451:BK461,$O$464)=999999,0,INDEX(BK451:BK461,$O$464))</f>
        <v>13.499999999999996</v>
      </c>
      <c r="BL464" s="682" cm="1">
        <f t="array" ref="BL464">IF(BK464=0,0,INDEX(BL451:BL461,$O$464))</f>
        <v>1</v>
      </c>
      <c r="BM464" s="682" cm="1">
        <f t="array" ref="BM464">IF(BK464=0,0,INDEX(BM451:BM461,$O$464))</f>
        <v>63</v>
      </c>
      <c r="BN464" s="682" cm="1">
        <f t="array" ref="BN464">IF(BK464=0,0,INDEX(BN451:BN461,$O$464))</f>
        <v>135.26618043882974</v>
      </c>
      <c r="BO464" s="683">
        <f>MATCH(BO463,BO450:BO461,0)</f>
        <v>5</v>
      </c>
      <c r="BP464" s="678">
        <v>1200</v>
      </c>
      <c r="BQ464" s="679">
        <v>6.75</v>
      </c>
      <c r="BR464" s="679">
        <v>22.95</v>
      </c>
      <c r="BS464" s="679">
        <v>53.699999999999996</v>
      </c>
      <c r="BT464" s="679">
        <v>78.029999999999987</v>
      </c>
      <c r="BU464" s="680"/>
      <c r="BV464" s="681" t="s">
        <v>183</v>
      </c>
      <c r="BW464" s="682" cm="1">
        <f t="array" ref="BW464">IF(BX464=0,0,INDEX(BW451:BW461,$O$464))</f>
        <v>450</v>
      </c>
      <c r="BX464" s="682" cm="1">
        <f t="array" ref="BX464">IF(INDEX(BX451:BX461,$O$464)=999999,0,INDEX(BX451:BX461,$O$464))</f>
        <v>14.999999999999996</v>
      </c>
      <c r="BY464" s="682" cm="1">
        <f t="array" ref="BY464">IF(BX464=0,0,INDEX(BY451:BY461,$O$464))</f>
        <v>1</v>
      </c>
      <c r="BZ464" s="682" cm="1">
        <f t="array" ref="BZ464">IF(BX464=0,0,INDEX(BZ451:BZ461,$O$464))</f>
        <v>63</v>
      </c>
      <c r="CA464" s="682" cm="1">
        <f t="array" ref="CA464">IF(BX464=0,0,INDEX(CA451:CA461,$O$464))</f>
        <v>150.29575604314417</v>
      </c>
      <c r="CB464" s="683">
        <f>MATCH(CB463,CB450:CB461,0)</f>
        <v>5</v>
      </c>
      <c r="CC464" s="678">
        <v>1200</v>
      </c>
      <c r="CD464" s="679">
        <v>6.75</v>
      </c>
      <c r="CE464" s="679">
        <v>22.95</v>
      </c>
      <c r="CF464" s="679">
        <v>53.699999999999996</v>
      </c>
      <c r="CG464" s="679">
        <v>78.029999999999987</v>
      </c>
      <c r="CH464" s="680"/>
      <c r="CI464" s="681" t="s">
        <v>183</v>
      </c>
      <c r="CJ464" s="682" cm="1">
        <f t="array" ref="CJ464">IF(CK464=0,0,INDEX(CJ451:CJ461,$O$464))</f>
        <v>450</v>
      </c>
      <c r="CK464" s="682" cm="1">
        <f t="array" ref="CK464">IF(INDEX(CK451:CK461,$O$464)=999999,0,INDEX(CK451:CK461,$O$464))</f>
        <v>13.499999999999996</v>
      </c>
      <c r="CL464" s="682" cm="1">
        <f t="array" ref="CL464">IF(CK464=0,0,INDEX(CL451:CL461,$O$464))</f>
        <v>1</v>
      </c>
      <c r="CM464" s="682" cm="1">
        <f t="array" ref="CM464">IF(CK464=0,0,INDEX(CM451:CM461,$O$464))</f>
        <v>63</v>
      </c>
      <c r="CN464" s="682" cm="1">
        <f t="array" ref="CN464">IF(CK464=0,0,INDEX(CN451:CN461,$O$464))</f>
        <v>135.26618043882974</v>
      </c>
      <c r="CO464" s="683">
        <f>MATCH(CO463,CO450:CO461,0)</f>
        <v>1</v>
      </c>
      <c r="CP464" s="678">
        <v>1200</v>
      </c>
      <c r="CQ464" s="679">
        <v>6.75</v>
      </c>
      <c r="CR464" s="679">
        <v>22.95</v>
      </c>
      <c r="CS464" s="679">
        <v>53.699999999999996</v>
      </c>
      <c r="CT464" s="679">
        <v>78.029999999999987</v>
      </c>
      <c r="CU464" s="680"/>
      <c r="CV464" s="681" t="s">
        <v>183</v>
      </c>
      <c r="CW464" s="682" cm="1">
        <f t="array" ref="CW464">IF(CX464=0,0,INDEX(CW451:CW461,$O$464))</f>
        <v>450</v>
      </c>
      <c r="CX464" s="682" cm="1">
        <f t="array" ref="CX464">IF(INDEX(CX451:CX461,$O$464)=999999,0,INDEX(CX451:CX461,$O$464))</f>
        <v>13.499999999999996</v>
      </c>
      <c r="CY464" s="682" cm="1">
        <f t="array" ref="CY464">IF(CX464=0,0,INDEX(CY451:CY461,$O$464))</f>
        <v>1</v>
      </c>
      <c r="CZ464" s="682" cm="1">
        <f t="array" ref="CZ464">IF(CX464=0,0,INDEX(CZ451:CZ461,$O$464))</f>
        <v>63</v>
      </c>
      <c r="DA464" s="682" cm="1">
        <f t="array" ref="DA464">IF(CX464=0,0,INDEX(DA451:DA461,$O$464))</f>
        <v>135.26618043882974</v>
      </c>
      <c r="DB464" s="683">
        <f>MATCH(DB463,DB450:DB461,0)</f>
        <v>1</v>
      </c>
      <c r="DC464" s="678">
        <v>1200</v>
      </c>
      <c r="DD464" s="679">
        <v>6.75</v>
      </c>
      <c r="DE464" s="679">
        <v>22.95</v>
      </c>
      <c r="DF464" s="679">
        <v>53.699999999999996</v>
      </c>
      <c r="DG464" s="679">
        <v>78.029999999999987</v>
      </c>
      <c r="DH464" s="680"/>
      <c r="DI464" s="681" t="s">
        <v>183</v>
      </c>
      <c r="DJ464" s="682" cm="1">
        <f t="array" ref="DJ464">IF(DK464=0,0,INDEX(DJ451:DJ461,$O$464))</f>
        <v>450</v>
      </c>
      <c r="DK464" s="682" cm="1">
        <f t="array" ref="DK464">IF(INDEX(DK451:DK461,$O$464)=999999,0,INDEX(DK451:DK461,$O$464))</f>
        <v>13.499999999999996</v>
      </c>
      <c r="DL464" s="682" cm="1">
        <f t="array" ref="DL464">IF(DK464=0,0,INDEX(DL451:DL461,$O$464))</f>
        <v>1</v>
      </c>
      <c r="DM464" s="682" cm="1">
        <f t="array" ref="DM464">IF(DK464=0,0,INDEX(DM451:DM461,$O$464))</f>
        <v>63</v>
      </c>
      <c r="DN464" s="682" cm="1">
        <f t="array" ref="DN464">IF(DK464=0,0,INDEX(DN451:DN461,$O$464))</f>
        <v>135.26618043882974</v>
      </c>
      <c r="DO464" s="683">
        <f>MATCH(DO463,DO450:DO461,0)</f>
        <v>1</v>
      </c>
      <c r="DP464" s="678">
        <v>1200</v>
      </c>
      <c r="DQ464" s="679">
        <v>6.75</v>
      </c>
      <c r="DR464" s="679">
        <v>22.95</v>
      </c>
      <c r="DS464" s="679">
        <v>53.699999999999996</v>
      </c>
      <c r="DT464" s="679">
        <v>78.029999999999987</v>
      </c>
      <c r="DU464" s="680"/>
      <c r="DV464" s="681" t="s">
        <v>183</v>
      </c>
      <c r="DW464" s="682" cm="1">
        <f t="array" ref="DW464">IF(DX464=0,0,INDEX(DW451:DW461,$O$464))</f>
        <v>450</v>
      </c>
      <c r="DX464" s="682" cm="1">
        <f t="array" ref="DX464">IF(INDEX(DX451:DX461,$O$464)=999999,0,INDEX(DX451:DX461,$O$464))</f>
        <v>13.499999999999996</v>
      </c>
      <c r="DY464" s="682" cm="1">
        <f t="array" ref="DY464">IF(DX464=0,0,INDEX(DY451:DY461,$O$464))</f>
        <v>1</v>
      </c>
      <c r="DZ464" s="682" cm="1">
        <f t="array" ref="DZ464">IF(DX464=0,0,INDEX(DZ451:DZ461,$O$464))</f>
        <v>63</v>
      </c>
      <c r="EA464" s="682" cm="1">
        <f t="array" ref="EA464">IF(DX464=0,0,INDEX(EA451:EA461,$O$464))</f>
        <v>135.26618043882974</v>
      </c>
      <c r="EB464" s="683">
        <f>MATCH(EB463,EB450:EB461,0)</f>
        <v>1</v>
      </c>
      <c r="EC464" s="678">
        <v>1200</v>
      </c>
      <c r="ED464" s="679">
        <v>6.75</v>
      </c>
      <c r="EE464" s="679">
        <v>22.95</v>
      </c>
      <c r="EF464" s="679">
        <v>53.699999999999996</v>
      </c>
      <c r="EG464" s="679">
        <v>78.029999999999987</v>
      </c>
      <c r="EH464" s="680"/>
      <c r="EI464" s="681" t="s">
        <v>183</v>
      </c>
      <c r="EJ464" s="682" cm="1">
        <f t="array" ref="EJ464">IF(EK464=0,0,INDEX(EJ451:EJ461,$O$464))</f>
        <v>450</v>
      </c>
      <c r="EK464" s="682" cm="1">
        <f t="array" ref="EK464">IF(INDEX(EK451:EK461,$O$464)=999999,0,INDEX(EK451:EK461,$O$464))</f>
        <v>13.499999999999996</v>
      </c>
      <c r="EL464" s="682" cm="1">
        <f t="array" ref="EL464">IF(EK464=0,0,INDEX(EL451:EL461,$O$464))</f>
        <v>1</v>
      </c>
      <c r="EM464" s="682" cm="1">
        <f t="array" ref="EM464">IF(EK464=0,0,INDEX(EM451:EM461,$O$464))</f>
        <v>63</v>
      </c>
      <c r="EN464" s="682" cm="1">
        <f t="array" ref="EN464">IF(EK464=0,0,INDEX(EN451:EN461,$O$464))</f>
        <v>135.26618043882974</v>
      </c>
      <c r="EO464" s="683">
        <f>MATCH(EO463,EO450:EO461,0)</f>
        <v>1</v>
      </c>
      <c r="EP464" s="678">
        <v>1200</v>
      </c>
      <c r="EQ464" s="679">
        <v>6.75</v>
      </c>
      <c r="ER464" s="679">
        <v>22.95</v>
      </c>
      <c r="ES464" s="679">
        <v>53.699999999999996</v>
      </c>
      <c r="ET464" s="679">
        <v>78.029999999999987</v>
      </c>
      <c r="EU464" s="680"/>
      <c r="EV464" s="681" t="s">
        <v>183</v>
      </c>
      <c r="EW464" s="682" cm="1">
        <f t="array" ref="EW464">IF(EX464=0,0,INDEX(EW451:EW461,$O$464))</f>
        <v>0</v>
      </c>
      <c r="EX464" s="682" cm="1">
        <f t="array" ref="EX464">IF(INDEX(EX451:EX461,$O$464)=999999,0,INDEX(EX451:EX461,$O$464))</f>
        <v>0</v>
      </c>
      <c r="EY464" s="682" cm="1">
        <f t="array" ref="EY464">IF(EX464=0,0,INDEX(EY451:EY461,$O$464))</f>
        <v>0</v>
      </c>
      <c r="EZ464" s="682" cm="1">
        <f t="array" ref="EZ464">IF(EX464=0,0,INDEX(EZ451:EZ461,$O$464))</f>
        <v>0</v>
      </c>
      <c r="FA464" s="682" cm="1">
        <f t="array" ref="FA464">IF(EX464=0,0,INDEX(FA451:FA461,$O$464))</f>
        <v>0</v>
      </c>
      <c r="FB464" s="683">
        <f>MATCH(FB463,FB450:FB461,0)</f>
        <v>1</v>
      </c>
    </row>
    <row r="465" spans="3:158">
      <c r="H465" s="436"/>
      <c r="I465" s="434" t="s">
        <v>896</v>
      </c>
      <c r="J465" s="664" cm="1">
        <f t="array" ref="J465">IF(K465=0,0,INDEX(J451:J461,$O$464+1))</f>
        <v>450</v>
      </c>
      <c r="K465" s="664" cm="1">
        <f t="array" ref="K465">IF(INDEX(K451:K461,$O$464)=999999,0,INDEX(K451:K461,$O$464+1))</f>
        <v>13.499999999999996</v>
      </c>
      <c r="L465" s="664" cm="1">
        <f t="array" ref="L465">IF(K465=0,0,INDEX(L451:L461,$O$464+1))</f>
        <v>1</v>
      </c>
      <c r="M465" s="664" cm="1">
        <f t="array" ref="M465">IF(K465=0,0,INDEX(M451:M461,$O$464+1))</f>
        <v>32</v>
      </c>
      <c r="N465" s="664" cm="1">
        <f t="array" ref="N465">IF(K465=0,0,INDEX(N451:N461,$O$464+1))</f>
        <v>68.706631334008762</v>
      </c>
      <c r="O465" s="666"/>
      <c r="U465" s="436"/>
      <c r="V465" s="434" t="s">
        <v>896</v>
      </c>
      <c r="W465" s="664" cm="1">
        <f t="array" ref="W465">IF(X465=0,0,INDEX(W451:W461,$O$464+1))</f>
        <v>450</v>
      </c>
      <c r="X465" s="664" cm="1">
        <f t="array" ref="X465">IF(INDEX(X451:X461,$O$464)=999999,0,INDEX(X451:X461,$O$464+1))</f>
        <v>13.499999999999996</v>
      </c>
      <c r="Y465" s="664" cm="1">
        <f t="array" ref="Y465">IF(X465=0,0,INDEX(Y451:Y461,$O$464+1))</f>
        <v>1</v>
      </c>
      <c r="Z465" s="664" cm="1">
        <f t="array" ref="Z465">IF(X465=0,0,INDEX(Z451:Z461,$O$464+1))</f>
        <v>32</v>
      </c>
      <c r="AA465" s="664" cm="1">
        <f t="array" ref="AA465">IF(X465=0,0,INDEX(AA451:AA461,$O$464+1))</f>
        <v>68.706631334008762</v>
      </c>
      <c r="AB465" s="666"/>
      <c r="AH465" s="436"/>
      <c r="AI465" s="434" t="s">
        <v>896</v>
      </c>
      <c r="AJ465" s="664" cm="1">
        <f t="array" ref="AJ465">IF(AK465=0,0,INDEX(AJ451:AJ461,$O$464+1))</f>
        <v>450</v>
      </c>
      <c r="AK465" s="664" cm="1">
        <f t="array" ref="AK465">IF(INDEX(AK451:AK461,$O$464)=999999,0,INDEX(AK451:AK461,$O$464+1))</f>
        <v>13.499999999999996</v>
      </c>
      <c r="AL465" s="664" cm="1">
        <f t="array" ref="AL465">IF(AK465=0,0,INDEX(AL451:AL461,$O$464+1))</f>
        <v>1</v>
      </c>
      <c r="AM465" s="664" cm="1">
        <f t="array" ref="AM465">IF(AK465=0,0,INDEX(AM451:AM461,$O$464+1))</f>
        <v>32</v>
      </c>
      <c r="AN465" s="664" cm="1">
        <f t="array" ref="AN465">IF(AK465=0,0,INDEX(AN451:AN461,$O$464+1))</f>
        <v>68.706631334008762</v>
      </c>
      <c r="AO465" s="666"/>
      <c r="AU465" s="436"/>
      <c r="AV465" s="434" t="s">
        <v>896</v>
      </c>
      <c r="AW465" s="664" cm="1">
        <f t="array" ref="AW465">IF(AX465=0,0,INDEX(AW451:AW461,$O$464+1))</f>
        <v>450</v>
      </c>
      <c r="AX465" s="664" cm="1">
        <f t="array" ref="AX465">IF(INDEX(AX451:AX461,$O$464)=999999,0,INDEX(AX451:AX461,$O$464+1))</f>
        <v>13.499999999999996</v>
      </c>
      <c r="AY465" s="664" cm="1">
        <f t="array" ref="AY465">IF(AX465=0,0,INDEX(AY451:AY461,$O$464+1))</f>
        <v>1</v>
      </c>
      <c r="AZ465" s="664" cm="1">
        <f t="array" ref="AZ465">IF(AX465=0,0,INDEX(AZ451:AZ461,$O$464+1))</f>
        <v>32</v>
      </c>
      <c r="BA465" s="664" cm="1">
        <f t="array" ref="BA465">IF(AX465=0,0,INDEX(BA451:BA461,$O$464+1))</f>
        <v>68.706631334008762</v>
      </c>
      <c r="BB465" s="666"/>
      <c r="BH465" s="436"/>
      <c r="BI465" s="434" t="s">
        <v>896</v>
      </c>
      <c r="BJ465" s="664" cm="1">
        <f t="array" ref="BJ465">IF(BK465=0,0,INDEX(BJ451:BJ461,$O$464+1))</f>
        <v>450</v>
      </c>
      <c r="BK465" s="664" cm="1">
        <f t="array" ref="BK465">IF(INDEX(BK451:BK461,$O$464)=999999,0,INDEX(BK451:BK461,$O$464+1))</f>
        <v>13.499999999999996</v>
      </c>
      <c r="BL465" s="664" cm="1">
        <f t="array" ref="BL465">IF(BK465=0,0,INDEX(BL451:BL461,$O$464+1))</f>
        <v>1</v>
      </c>
      <c r="BM465" s="664" cm="1">
        <f t="array" ref="BM465">IF(BK465=0,0,INDEX(BM451:BM461,$O$464+1))</f>
        <v>32</v>
      </c>
      <c r="BN465" s="664" cm="1">
        <f t="array" ref="BN465">IF(BK465=0,0,INDEX(BN451:BN461,$O$464+1))</f>
        <v>68.706631334008762</v>
      </c>
      <c r="BO465" s="666"/>
      <c r="BU465" s="436"/>
      <c r="BV465" s="434" t="s">
        <v>896</v>
      </c>
      <c r="BW465" s="664" cm="1">
        <f t="array" ref="BW465">IF(BX465=0,0,INDEX(BW451:BW461,$O$464+1))</f>
        <v>450</v>
      </c>
      <c r="BX465" s="664" cm="1">
        <f t="array" ref="BX465">IF(INDEX(BX451:BX461,$O$464)=999999,0,INDEX(BX451:BX461,$O$464+1))</f>
        <v>13.499999999999996</v>
      </c>
      <c r="BY465" s="664" cm="1">
        <f t="array" ref="BY465">IF(BX465=0,0,INDEX(BY451:BY461,$O$464+1))</f>
        <v>1</v>
      </c>
      <c r="BZ465" s="664" cm="1">
        <f t="array" ref="BZ465">IF(BX465=0,0,INDEX(BZ451:BZ461,$O$464+1))</f>
        <v>32</v>
      </c>
      <c r="CA465" s="664" cm="1">
        <f t="array" ref="CA465">IF(BX465=0,0,INDEX(CA451:CA461,$O$464+1))</f>
        <v>68.706631334008762</v>
      </c>
      <c r="CB465" s="666"/>
      <c r="CH465" s="436"/>
      <c r="CI465" s="434" t="s">
        <v>896</v>
      </c>
      <c r="CJ465" s="664" cm="1">
        <f t="array" ref="CJ465">IF(CK465=0,0,INDEX(CJ451:CJ461,$O$464+1))</f>
        <v>450</v>
      </c>
      <c r="CK465" s="664" cm="1">
        <f t="array" ref="CK465">IF(INDEX(CK451:CK461,$O$464)=999999,0,INDEX(CK451:CK461,$O$464+1))</f>
        <v>13.499999999999996</v>
      </c>
      <c r="CL465" s="664" cm="1">
        <f t="array" ref="CL465">IF(CK465=0,0,INDEX(CL451:CL461,$O$464+1))</f>
        <v>1</v>
      </c>
      <c r="CM465" s="664" cm="1">
        <f t="array" ref="CM465">IF(CK465=0,0,INDEX(CM451:CM461,$O$464+1))</f>
        <v>32</v>
      </c>
      <c r="CN465" s="664" cm="1">
        <f t="array" ref="CN465">IF(CK465=0,0,INDEX(CN451:CN461,$O$464+1))</f>
        <v>68.706631334008762</v>
      </c>
      <c r="CO465" s="666"/>
      <c r="CU465" s="436"/>
      <c r="CV465" s="434" t="s">
        <v>896</v>
      </c>
      <c r="CW465" s="664" cm="1">
        <f t="array" ref="CW465">IF(CX465=0,0,INDEX(CW451:CW461,$O$464+1))</f>
        <v>450</v>
      </c>
      <c r="CX465" s="664" cm="1">
        <f t="array" ref="CX465">IF(INDEX(CX451:CX461,$O$464)=999999,0,INDEX(CX451:CX461,$O$464+1))</f>
        <v>13.499999999999996</v>
      </c>
      <c r="CY465" s="664" cm="1">
        <f t="array" ref="CY465">IF(CX465=0,0,INDEX(CY451:CY461,$O$464+1))</f>
        <v>1</v>
      </c>
      <c r="CZ465" s="664" cm="1">
        <f t="array" ref="CZ465">IF(CX465=0,0,INDEX(CZ451:CZ461,$O$464+1))</f>
        <v>32</v>
      </c>
      <c r="DA465" s="664" cm="1">
        <f t="array" ref="DA465">IF(CX465=0,0,INDEX(DA451:DA461,$O$464+1))</f>
        <v>68.706631334008762</v>
      </c>
      <c r="DB465" s="666"/>
      <c r="DH465" s="436"/>
      <c r="DI465" s="434" t="s">
        <v>896</v>
      </c>
      <c r="DJ465" s="664" cm="1">
        <f t="array" ref="DJ465">IF(DK465=0,0,INDEX(DJ451:DJ461,$O$464+1))</f>
        <v>450</v>
      </c>
      <c r="DK465" s="664" cm="1">
        <f t="array" ref="DK465">IF(INDEX(DK451:DK461,$O$464)=999999,0,INDEX(DK451:DK461,$O$464+1))</f>
        <v>13.499999999999996</v>
      </c>
      <c r="DL465" s="664" cm="1">
        <f t="array" ref="DL465">IF(DK465=0,0,INDEX(DL451:DL461,$O$464+1))</f>
        <v>1</v>
      </c>
      <c r="DM465" s="664" cm="1">
        <f t="array" ref="DM465">IF(DK465=0,0,INDEX(DM451:DM461,$O$464+1))</f>
        <v>32</v>
      </c>
      <c r="DN465" s="664" cm="1">
        <f t="array" ref="DN465">IF(DK465=0,0,INDEX(DN451:DN461,$O$464+1))</f>
        <v>68.706631334008762</v>
      </c>
      <c r="DO465" s="666"/>
      <c r="DU465" s="436"/>
      <c r="DV465" s="434" t="s">
        <v>896</v>
      </c>
      <c r="DW465" s="664" cm="1">
        <f t="array" ref="DW465">IF(DX465=0,0,INDEX(DW451:DW461,$O$464+1))</f>
        <v>450</v>
      </c>
      <c r="DX465" s="664" cm="1">
        <f t="array" ref="DX465">IF(INDEX(DX451:DX461,$O$464)=999999,0,INDEX(DX451:DX461,$O$464+1))</f>
        <v>13.499999999999996</v>
      </c>
      <c r="DY465" s="664" cm="1">
        <f t="array" ref="DY465">IF(DX465=0,0,INDEX(DY451:DY461,$O$464+1))</f>
        <v>1</v>
      </c>
      <c r="DZ465" s="664" cm="1">
        <f t="array" ref="DZ465">IF(DX465=0,0,INDEX(DZ451:DZ461,$O$464+1))</f>
        <v>32</v>
      </c>
      <c r="EA465" s="664" cm="1">
        <f t="array" ref="EA465">IF(DX465=0,0,INDEX(EA451:EA461,$O$464+1))</f>
        <v>68.706631334008762</v>
      </c>
      <c r="EB465" s="666"/>
      <c r="EH465" s="436"/>
      <c r="EI465" s="434" t="s">
        <v>896</v>
      </c>
      <c r="EJ465" s="664" cm="1">
        <f t="array" ref="EJ465">IF(EK465=0,0,INDEX(EJ451:EJ461,$O$464+1))</f>
        <v>450</v>
      </c>
      <c r="EK465" s="664" cm="1">
        <f t="array" ref="EK465">IF(INDEX(EK451:EK461,$O$464)=999999,0,INDEX(EK451:EK461,$O$464+1))</f>
        <v>13.499999999999996</v>
      </c>
      <c r="EL465" s="664" cm="1">
        <f t="array" ref="EL465">IF(EK465=0,0,INDEX(EL451:EL461,$O$464+1))</f>
        <v>1</v>
      </c>
      <c r="EM465" s="664" cm="1">
        <f t="array" ref="EM465">IF(EK465=0,0,INDEX(EM451:EM461,$O$464+1))</f>
        <v>32</v>
      </c>
      <c r="EN465" s="664" cm="1">
        <f t="array" ref="EN465">IF(EK465=0,0,INDEX(EN451:EN461,$O$464+1))</f>
        <v>68.706631334008762</v>
      </c>
      <c r="EO465" s="666"/>
      <c r="EU465" s="436"/>
      <c r="EV465" s="434" t="s">
        <v>896</v>
      </c>
      <c r="EW465" s="664" cm="1">
        <f t="array" ref="EW465">IF(EX465=0,0,INDEX(EW451:EW461,$O$464+1))</f>
        <v>0</v>
      </c>
      <c r="EX465" s="664" cm="1">
        <f t="array" ref="EX465">IF(INDEX(EX451:EX461,$O$464)=999999,0,INDEX(EX451:EX461,$O$464+1))</f>
        <v>0</v>
      </c>
      <c r="EY465" s="664" cm="1">
        <f t="array" ref="EY465">IF(EX465=0,0,INDEX(EY451:EY461,$O$464+1))</f>
        <v>0</v>
      </c>
      <c r="EZ465" s="664" cm="1">
        <f t="array" ref="EZ465">IF(EX465=0,0,INDEX(EZ451:EZ461,$O$464+1))</f>
        <v>0</v>
      </c>
      <c r="FA465" s="664" cm="1">
        <f t="array" ref="FA465">IF(EX465=0,0,INDEX(FA451:FA461,$O$464+1))</f>
        <v>0</v>
      </c>
      <c r="FB465" s="666"/>
    </row>
    <row r="466" spans="3:158" ht="15" thickBot="1">
      <c r="H466" s="436"/>
      <c r="I466" s="434" t="s">
        <v>188</v>
      </c>
      <c r="J466" s="673" cm="1">
        <f t="array" ref="J466">IF(K466=0,0,INDEX(J451:J461,$O$464+2))</f>
        <v>450</v>
      </c>
      <c r="K466" s="673" cm="1">
        <f t="array" ref="K466">IF(INDEX(K451:K461,$O$464)=999999,0,INDEX(K451:K461,$O$464+2))</f>
        <v>13.499999999999996</v>
      </c>
      <c r="L466" s="673" cm="1">
        <f t="array" ref="L466">IF(K466=0,0,INDEX(L451:L461,$O$464+2))</f>
        <v>1</v>
      </c>
      <c r="M466" s="673" cm="1">
        <f t="array" ref="M466">IF(K466=0,0,INDEX(M451:M461,$O$464+2))</f>
        <v>4</v>
      </c>
      <c r="N466" s="673" cm="1">
        <f t="array" ref="N466">IF(K466=0,0,(INDEX(N451:N461,$O$464+2)))</f>
        <v>8.5883289167510952</v>
      </c>
      <c r="U466" s="436"/>
      <c r="V466" s="434" t="s">
        <v>188</v>
      </c>
      <c r="W466" s="673" cm="1">
        <f t="array" ref="W466">IF(X466=0,0,INDEX(W451:W461,$O$464+2))</f>
        <v>450</v>
      </c>
      <c r="X466" s="673" cm="1">
        <f t="array" ref="X466">IF(INDEX(X451:X461,$O$464)=999999,0,INDEX(X451:X461,$O$464+2))</f>
        <v>13.499999999999996</v>
      </c>
      <c r="Y466" s="673" cm="1">
        <f t="array" ref="Y466">IF(X466=0,0,INDEX(Y451:Y461,$O$464+2))</f>
        <v>1</v>
      </c>
      <c r="Z466" s="673" cm="1">
        <f t="array" ref="Z466">IF(X466=0,0,INDEX(Z451:Z461,$O$464+2))</f>
        <v>4</v>
      </c>
      <c r="AA466" s="673" cm="1">
        <f t="array" ref="AA466">IF(X466=0,0,(INDEX(AA451:AA461,$O$464+2)))</f>
        <v>8.5883289167510952</v>
      </c>
      <c r="AH466" s="436"/>
      <c r="AI466" s="434" t="s">
        <v>188</v>
      </c>
      <c r="AJ466" s="673" cm="1">
        <f t="array" ref="AJ466">IF(AK466=0,0,INDEX(AJ451:AJ461,$O$464+2))</f>
        <v>450</v>
      </c>
      <c r="AK466" s="673" cm="1">
        <f t="array" ref="AK466">IF(INDEX(AK451:AK461,$O$464)=999999,0,INDEX(AK451:AK461,$O$464+2))</f>
        <v>13.499999999999996</v>
      </c>
      <c r="AL466" s="673" cm="1">
        <f t="array" ref="AL466">IF(AK466=0,0,INDEX(AL451:AL461,$O$464+2))</f>
        <v>1</v>
      </c>
      <c r="AM466" s="673" cm="1">
        <f t="array" ref="AM466">IF(AK466=0,0,INDEX(AM451:AM461,$O$464+2))</f>
        <v>4</v>
      </c>
      <c r="AN466" s="673" cm="1">
        <f t="array" ref="AN466">IF(AK466=0,0,(INDEX(AN451:AN461,$O$464+2)))</f>
        <v>8.5883289167510952</v>
      </c>
      <c r="AU466" s="436"/>
      <c r="AV466" s="434" t="s">
        <v>188</v>
      </c>
      <c r="AW466" s="673" cm="1">
        <f t="array" ref="AW466">IF(AX466=0,0,INDEX(AW451:AW461,$O$464+2))</f>
        <v>450</v>
      </c>
      <c r="AX466" s="673" cm="1">
        <f t="array" ref="AX466">IF(INDEX(AX451:AX461,$O$464)=999999,0,INDEX(AX451:AX461,$O$464+2))</f>
        <v>13.499999999999996</v>
      </c>
      <c r="AY466" s="673" cm="1">
        <f t="array" ref="AY466">IF(AX466=0,0,INDEX(AY451:AY461,$O$464+2))</f>
        <v>1</v>
      </c>
      <c r="AZ466" s="673" cm="1">
        <f t="array" ref="AZ466">IF(AX466=0,0,INDEX(AZ451:AZ461,$O$464+2))</f>
        <v>4</v>
      </c>
      <c r="BA466" s="673" cm="1">
        <f t="array" ref="BA466">IF(AX466=0,0,(INDEX(BA451:BA461,$O$464+2)))</f>
        <v>8.5883289167510952</v>
      </c>
      <c r="BH466" s="436"/>
      <c r="BI466" s="434" t="s">
        <v>188</v>
      </c>
      <c r="BJ466" s="673" cm="1">
        <f t="array" ref="BJ466">IF(BK466=0,0,INDEX(BJ451:BJ461,$O$464+2))</f>
        <v>450</v>
      </c>
      <c r="BK466" s="673" cm="1">
        <f t="array" ref="BK466">IF(INDEX(BK451:BK461,$O$464)=999999,0,INDEX(BK451:BK461,$O$464+2))</f>
        <v>13.499999999999996</v>
      </c>
      <c r="BL466" s="673" cm="1">
        <f t="array" ref="BL466">IF(BK466=0,0,INDEX(BL451:BL461,$O$464+2))</f>
        <v>1</v>
      </c>
      <c r="BM466" s="673" cm="1">
        <f t="array" ref="BM466">IF(BK466=0,0,INDEX(BM451:BM461,$O$464+2))</f>
        <v>4</v>
      </c>
      <c r="BN466" s="673" cm="1">
        <f t="array" ref="BN466">IF(BK466=0,0,(INDEX(BN451:BN461,$O$464+2)))</f>
        <v>8.5883289167510952</v>
      </c>
      <c r="BU466" s="436"/>
      <c r="BV466" s="434" t="s">
        <v>188</v>
      </c>
      <c r="BW466" s="673" cm="1">
        <f t="array" ref="BW466">IF(BX466=0,0,INDEX(BW451:BW461,$O$464+2))</f>
        <v>450</v>
      </c>
      <c r="BX466" s="673" cm="1">
        <f t="array" ref="BX466">IF(INDEX(BX451:BX461,$O$464)=999999,0,INDEX(BX451:BX461,$O$464+2))</f>
        <v>13.499999999999996</v>
      </c>
      <c r="BY466" s="673" cm="1">
        <f t="array" ref="BY466">IF(BX466=0,0,INDEX(BY451:BY461,$O$464+2))</f>
        <v>1</v>
      </c>
      <c r="BZ466" s="673" cm="1">
        <f t="array" ref="BZ466">IF(BX466=0,0,INDEX(BZ451:BZ461,$O$464+2))</f>
        <v>4</v>
      </c>
      <c r="CA466" s="673" cm="1">
        <f t="array" ref="CA466">IF(BX466=0,0,(INDEX(CA451:CA461,$O$464+2)))</f>
        <v>8.5883289167510952</v>
      </c>
      <c r="CH466" s="436"/>
      <c r="CI466" s="434" t="s">
        <v>188</v>
      </c>
      <c r="CJ466" s="673" cm="1">
        <f t="array" ref="CJ466">IF(CK466=0,0,INDEX(CJ451:CJ461,$O$464+2))</f>
        <v>450</v>
      </c>
      <c r="CK466" s="673" cm="1">
        <f t="array" ref="CK466">IF(INDEX(CK451:CK461,$O$464)=999999,0,INDEX(CK451:CK461,$O$464+2))</f>
        <v>11.999999999999996</v>
      </c>
      <c r="CL466" s="673" cm="1">
        <f t="array" ref="CL466">IF(CK466=0,0,INDEX(CL451:CL461,$O$464+2))</f>
        <v>1</v>
      </c>
      <c r="CM466" s="673" cm="1">
        <f t="array" ref="CM466">IF(CK466=0,0,INDEX(CM451:CM461,$O$464+2))</f>
        <v>4</v>
      </c>
      <c r="CN466" s="673" cm="1">
        <f t="array" ref="CN466">IF(CK466=0,0,(INDEX(CN451:CN461,$O$464+2)))</f>
        <v>7.6340701482231959</v>
      </c>
      <c r="CU466" s="436"/>
      <c r="CV466" s="434" t="s">
        <v>188</v>
      </c>
      <c r="CW466" s="673" cm="1">
        <f t="array" ref="CW466">IF(CX466=0,0,INDEX(CW451:CW461,$O$464+2))</f>
        <v>450</v>
      </c>
      <c r="CX466" s="673" cm="1">
        <f t="array" ref="CX466">IF(INDEX(CX451:CX461,$O$464)=999999,0,INDEX(CX451:CX461,$O$464+2))</f>
        <v>11.099999999999996</v>
      </c>
      <c r="CY466" s="673" cm="1">
        <f t="array" ref="CY466">IF(CX466=0,0,INDEX(CY451:CY461,$O$464+2))</f>
        <v>1</v>
      </c>
      <c r="CZ466" s="673" cm="1">
        <f t="array" ref="CZ466">IF(CX466=0,0,INDEX(CZ451:CZ461,$O$464+2))</f>
        <v>4</v>
      </c>
      <c r="DA466" s="673" cm="1">
        <f t="array" ref="DA466">IF(CX466=0,0,(INDEX(DA451:DA461,$O$464+2)))</f>
        <v>7.0615148871064557</v>
      </c>
      <c r="DH466" s="436"/>
      <c r="DI466" s="434" t="s">
        <v>188</v>
      </c>
      <c r="DJ466" s="673" cm="1">
        <f t="array" ref="DJ466">IF(DK466=0,0,INDEX(DJ451:DJ461,$O$464+2))</f>
        <v>450</v>
      </c>
      <c r="DK466" s="673" cm="1">
        <f t="array" ref="DK466">IF(INDEX(DK451:DK461,$O$464)=999999,0,INDEX(DK451:DK461,$O$464+2))</f>
        <v>11.099999999999996</v>
      </c>
      <c r="DL466" s="673" cm="1">
        <f t="array" ref="DL466">IF(DK466=0,0,INDEX(DL451:DL461,$O$464+2))</f>
        <v>1</v>
      </c>
      <c r="DM466" s="673" cm="1">
        <f t="array" ref="DM466">IF(DK466=0,0,INDEX(DM451:DM461,$O$464+2))</f>
        <v>4</v>
      </c>
      <c r="DN466" s="673" cm="1">
        <f t="array" ref="DN466">IF(DK466=0,0,(INDEX(DN451:DN461,$O$464+2)))</f>
        <v>7.0615148871064557</v>
      </c>
      <c r="DU466" s="436"/>
      <c r="DV466" s="434" t="s">
        <v>188</v>
      </c>
      <c r="DW466" s="673" cm="1">
        <f t="array" ref="DW466">IF(DX466=0,0,INDEX(DW451:DW461,$O$464+2))</f>
        <v>450</v>
      </c>
      <c r="DX466" s="673" cm="1">
        <f t="array" ref="DX466">IF(INDEX(DX451:DX461,$O$464)=999999,0,INDEX(DX451:DX461,$O$464+2))</f>
        <v>5.9999999999999982</v>
      </c>
      <c r="DY466" s="673" cm="1">
        <f t="array" ref="DY466">IF(DX466=0,0,INDEX(DY451:DY461,$O$464+2))</f>
        <v>1</v>
      </c>
      <c r="DZ466" s="673" cm="1">
        <f t="array" ref="DZ466">IF(DX466=0,0,INDEX(DZ451:DZ461,$O$464+2))</f>
        <v>4</v>
      </c>
      <c r="EA466" s="673" cm="1">
        <f t="array" ref="EA466">IF(DX466=0,0,(INDEX(EA451:EA461,$O$464+2)))</f>
        <v>3.8170350741115979</v>
      </c>
      <c r="EH466" s="436"/>
      <c r="EI466" s="434" t="s">
        <v>188</v>
      </c>
      <c r="EJ466" s="673" cm="1">
        <f t="array" ref="EJ466">IF(EK466=0,0,INDEX(EJ451:EJ461,$O$464+2))</f>
        <v>450</v>
      </c>
      <c r="EK466" s="673" cm="1">
        <f t="array" ref="EK466">IF(INDEX(EK451:EK461,$O$464)=999999,0,INDEX(EK451:EK461,$O$464+2))</f>
        <v>5.9999999999999982</v>
      </c>
      <c r="EL466" s="673" cm="1">
        <f t="array" ref="EL466">IF(EK466=0,0,INDEX(EL451:EL461,$O$464+2))</f>
        <v>1</v>
      </c>
      <c r="EM466" s="673" cm="1">
        <f t="array" ref="EM466">IF(EK466=0,0,INDEX(EM451:EM461,$O$464+2))</f>
        <v>4</v>
      </c>
      <c r="EN466" s="673" cm="1">
        <f t="array" ref="EN466">IF(EK466=0,0,(INDEX(EN451:EN461,$O$464+2)))</f>
        <v>3.8170350741115979</v>
      </c>
      <c r="EU466" s="436"/>
      <c r="EV466" s="434" t="s">
        <v>188</v>
      </c>
      <c r="EW466" s="673" cm="1">
        <f t="array" ref="EW466">IF(EX466=0,0,INDEX(EW451:EW461,$O$464+2))</f>
        <v>0</v>
      </c>
      <c r="EX466" s="673" cm="1">
        <f t="array" ref="EX466">IF(INDEX(EX451:EX461,$O$464)=999999,0,INDEX(EX451:EX461,$O$464+2))</f>
        <v>0</v>
      </c>
      <c r="EY466" s="673" cm="1">
        <f t="array" ref="EY466">IF(EX466=0,0,INDEX(EY451:EY461,$O$464+2))</f>
        <v>0</v>
      </c>
      <c r="EZ466" s="673" cm="1">
        <f t="array" ref="EZ466">IF(EX466=0,0,INDEX(EZ451:EZ461,$O$464+2))</f>
        <v>0</v>
      </c>
      <c r="FA466" s="673" cm="1">
        <f t="array" ref="FA466">IF(EX466=0,0,(INDEX(FA451:FA461,$O$464+2)))</f>
        <v>0</v>
      </c>
      <c r="FB466" s="666">
        <f>EX464*EZ464+EX465*EZ465+EX466*EZ466</f>
        <v>0</v>
      </c>
    </row>
    <row r="467" spans="3:158">
      <c r="H467" s="436"/>
      <c r="I467" s="436" t="s">
        <v>899</v>
      </c>
      <c r="J467" s="685">
        <f>J464</f>
        <v>450</v>
      </c>
      <c r="K467" s="685">
        <f>K464</f>
        <v>13.499999999999996</v>
      </c>
      <c r="L467" s="436"/>
      <c r="M467" s="434">
        <f>SUM('Shear Walls'!C92,'Shear Walls'!C126)</f>
        <v>10</v>
      </c>
      <c r="N467" s="686">
        <f>IF(K464=0,0,SUM('Shear Walls'!C93,'Shear Walls'!C127))</f>
        <v>21.470822291877735</v>
      </c>
      <c r="O467" s="666">
        <f>K464*M464+K465*M465+K466*M466+K467*M467</f>
        <v>1471.4999999999995</v>
      </c>
      <c r="U467" s="436"/>
      <c r="V467" s="436"/>
      <c r="W467" s="685">
        <f>W464</f>
        <v>450</v>
      </c>
      <c r="X467" s="685">
        <f>X464</f>
        <v>13.499999999999996</v>
      </c>
      <c r="Y467" s="436"/>
      <c r="Z467" s="434">
        <f>SUM('Shear Walls'!I92,'Shear Walls'!I126)</f>
        <v>11</v>
      </c>
      <c r="AA467" s="686">
        <f>IF(X464=0,0,SUM('Shear Walls'!I93,'Shear Walls'!I127))</f>
        <v>23.617904521065508</v>
      </c>
      <c r="AB467" s="666">
        <f>X464*Z464+X465*Z465+X466*Z466+X467*Z467</f>
        <v>1484.9999999999995</v>
      </c>
      <c r="AH467" s="436"/>
      <c r="AI467" s="436"/>
      <c r="AJ467" s="685">
        <f>AJ464</f>
        <v>450</v>
      </c>
      <c r="AK467" s="687">
        <f>AK464</f>
        <v>13.499999999999996</v>
      </c>
      <c r="AL467" s="436"/>
      <c r="AM467" s="434">
        <f>SUM('Shear Walls'!O92,'Shear Walls'!O126)</f>
        <v>11</v>
      </c>
      <c r="AN467" s="686">
        <f>IF(AK464=0,0,SUM('Shear Walls'!O93,'Shear Walls'!O127))</f>
        <v>23.617904521065508</v>
      </c>
      <c r="AO467" s="666">
        <f>AK464*AM464+AK465*AM465+AK466*AM466+AK467*AM467</f>
        <v>1484.9999999999995</v>
      </c>
      <c r="AU467" s="436"/>
      <c r="AV467" s="436"/>
      <c r="AW467" s="685">
        <f>AW464</f>
        <v>450</v>
      </c>
      <c r="AX467" s="685">
        <f>AX464</f>
        <v>13.499999999999996</v>
      </c>
      <c r="AY467" s="436"/>
      <c r="AZ467" s="434">
        <f>IF(AX464=0,0,SUM('Shear Walls'!U92,'Shear Walls'!U126))</f>
        <v>13</v>
      </c>
      <c r="BA467" s="686">
        <f>IF(AX464=0,0,SUM('Shear Walls'!U93,'Shear Walls'!U127))</f>
        <v>27.912068979441059</v>
      </c>
      <c r="BB467" s="666">
        <f>AX464*AZ464+AX465*AZ465+AX466*AZ466+AX467*AZ467</f>
        <v>1511.9999999999995</v>
      </c>
      <c r="BH467" s="436"/>
      <c r="BI467" s="436"/>
      <c r="BJ467" s="685">
        <f>BJ464</f>
        <v>450</v>
      </c>
      <c r="BK467" s="685">
        <f>BK464</f>
        <v>13.499999999999996</v>
      </c>
      <c r="BL467" s="436"/>
      <c r="BM467" s="434">
        <f>IF(BK464=0,0,SUM('Shear Walls'!AA92,'Shear Walls'!AA126))</f>
        <v>11</v>
      </c>
      <c r="BN467" s="686">
        <f>IF(BK464=0,0,SUM('Shear Walls'!AA93,'Shear Walls'!AA127))</f>
        <v>23.617904521065508</v>
      </c>
      <c r="BO467" s="666">
        <f>BK464*BM464+BK465*BM465+BK466*BM466+BK467*BM467</f>
        <v>1484.9999999999995</v>
      </c>
      <c r="BU467" s="436"/>
      <c r="BV467" s="436"/>
      <c r="BW467" s="685">
        <f>BW464</f>
        <v>450</v>
      </c>
      <c r="BX467" s="685">
        <f>BX464</f>
        <v>14.999999999999996</v>
      </c>
      <c r="BY467" s="436"/>
      <c r="BZ467" s="434">
        <f>SUM('Shear Walls'!AG92,'Shear Walls'!AG126)</f>
        <v>9</v>
      </c>
      <c r="CA467" s="686">
        <f>IF(BX464=0,0,SUM('Shear Walls'!AG93,'Shear Walls'!AG127))</f>
        <v>21.470822291877738</v>
      </c>
      <c r="CB467" s="666">
        <f>BX464*BZ464+BX465*BZ465+BX466*BZ466+BX467*BZ467</f>
        <v>1565.9999999999995</v>
      </c>
      <c r="CH467" s="436"/>
      <c r="CI467" s="436"/>
      <c r="CJ467" s="685">
        <f>CJ464</f>
        <v>450</v>
      </c>
      <c r="CK467" s="685">
        <f>CK464</f>
        <v>13.499999999999996</v>
      </c>
      <c r="CL467" s="436"/>
      <c r="CM467" s="434">
        <f>IF(CK464=0,0,SUM('Shear Walls'!AM92,'Shear Walls'!AM126))</f>
        <v>13</v>
      </c>
      <c r="CN467" s="686">
        <f>IF(CK464=0,0,SUM('Shear Walls'!AM93,'Shear Walls'!AM127))</f>
        <v>27.912068979441059</v>
      </c>
      <c r="CO467" s="666">
        <f>CK464*CM464+CK465*CM465+CK466*CM466+CK467*CM467</f>
        <v>1505.9999999999995</v>
      </c>
      <c r="CU467" s="436"/>
      <c r="CV467" s="436"/>
      <c r="CW467" s="685">
        <f>CW464</f>
        <v>450</v>
      </c>
      <c r="CX467" s="685">
        <f>CX464</f>
        <v>13.499999999999996</v>
      </c>
      <c r="CY467" s="436"/>
      <c r="CZ467" s="434">
        <f>SUM('Shear Walls'!AS92,'Shear Walls'!AS126)</f>
        <v>16</v>
      </c>
      <c r="DA467" s="686">
        <f>IF(CX464=0,0,SUM('Shear Walls'!AS93,'Shear Walls'!AS127))</f>
        <v>34.353315667004381</v>
      </c>
      <c r="DB467" s="666">
        <f>CX464*CZ464+CX465*CZ465+CX466*CZ466+CX467*CZ467</f>
        <v>1542.8999999999996</v>
      </c>
      <c r="DH467" s="436"/>
      <c r="DI467" s="436"/>
      <c r="DJ467" s="685">
        <f>DJ464</f>
        <v>450</v>
      </c>
      <c r="DK467" s="685">
        <f>DK464</f>
        <v>13.499999999999996</v>
      </c>
      <c r="DL467" s="436"/>
      <c r="DM467" s="434">
        <f>SUM('Shear Walls'!AY92,'Shear Walls'!AY126)</f>
        <v>14</v>
      </c>
      <c r="DN467" s="686">
        <f>IF(DK464=0,0,SUM('Shear Walls'!AY93,'Shear Walls'!AY127))</f>
        <v>30.059151208628826</v>
      </c>
      <c r="DO467" s="666">
        <f>DK464*DM464+DK465*DM465+DK466*DM466+DK467*DM467</f>
        <v>1515.8999999999996</v>
      </c>
      <c r="DU467" s="436"/>
      <c r="DV467" s="436"/>
      <c r="DW467" s="685">
        <f>DW464</f>
        <v>450</v>
      </c>
      <c r="DX467" s="685">
        <f>DX464</f>
        <v>13.499999999999996</v>
      </c>
      <c r="DY467" s="436"/>
      <c r="DZ467" s="434">
        <f>IF(DX464=0,0,SUM('Shear Walls'!BE92,'Shear Walls'!BE126))</f>
        <v>25</v>
      </c>
      <c r="EA467" s="686">
        <f>IF(DX464=0,0,SUM('Shear Walls'!BE93,'Shear Walls'!BE127))</f>
        <v>53.677055729694345</v>
      </c>
      <c r="EB467" s="666">
        <f>DX464*DZ464+DX465*DZ465+DX466*DZ466+DX467*DZ467</f>
        <v>1643.9999999999995</v>
      </c>
      <c r="EH467" s="436"/>
      <c r="EI467" s="436"/>
      <c r="EJ467" s="685">
        <f>EJ464</f>
        <v>450</v>
      </c>
      <c r="EK467" s="685">
        <f>EK464</f>
        <v>13.499999999999996</v>
      </c>
      <c r="EL467" s="436"/>
      <c r="EM467" s="434">
        <f>SUM('Shear Walls'!BK92,'Shear Walls'!BK126)</f>
        <v>25</v>
      </c>
      <c r="EN467" s="686">
        <f>SUM('Shear Walls'!BK93,'Shear Walls'!BK127)</f>
        <v>53.677055729694345</v>
      </c>
      <c r="EO467" s="666">
        <f>EK464*EM464+EK465*EM465+EK466*EM466+EK467*EM467</f>
        <v>1643.9999999999995</v>
      </c>
      <c r="EU467" s="436"/>
      <c r="EV467" s="436"/>
      <c r="EW467" s="436"/>
      <c r="EX467" s="436"/>
      <c r="EY467" s="436"/>
      <c r="EZ467" s="436"/>
      <c r="FA467" s="436"/>
      <c r="FB467" s="666"/>
    </row>
    <row r="468" spans="3:158" ht="15">
      <c r="H468" s="436"/>
      <c r="N468" s="688">
        <f>SUM(N464:N467)</f>
        <v>234.03196298146733</v>
      </c>
      <c r="U468" s="436"/>
      <c r="AA468" s="688">
        <f>SUM(AA464:AA467)</f>
        <v>236.17904521065509</v>
      </c>
      <c r="AH468" s="436"/>
      <c r="AN468" s="688">
        <f>SUM(AN464:AN467)</f>
        <v>236.17904521065509</v>
      </c>
      <c r="AU468" s="436"/>
      <c r="BA468" s="688">
        <f>SUM(BA464:BA467)</f>
        <v>240.47320966903067</v>
      </c>
      <c r="BH468" s="436"/>
      <c r="BN468" s="688">
        <f>SUM(BN464:BN467)</f>
        <v>236.17904521065509</v>
      </c>
      <c r="BU468" s="436"/>
      <c r="CA468" s="688">
        <f>SUM(CA464:CA467)</f>
        <v>249.06153858578176</v>
      </c>
      <c r="CH468" s="436"/>
      <c r="CN468" s="688">
        <f>SUM(CN464:CN467)</f>
        <v>239.51895090050277</v>
      </c>
      <c r="CU468" s="436"/>
      <c r="DA468" s="688">
        <f>SUM(DA464:DA467)</f>
        <v>245.38764232694933</v>
      </c>
      <c r="DH468" s="436"/>
      <c r="DN468" s="688">
        <f>SUM(DN464:DN467)</f>
        <v>241.09347786857379</v>
      </c>
      <c r="DU468" s="436"/>
      <c r="EA468" s="688">
        <f>SUM(EA464:EA467)</f>
        <v>261.46690257664443</v>
      </c>
      <c r="EH468" s="436"/>
      <c r="EN468" s="688">
        <f>SUM(EN464:EN467)</f>
        <v>261.46690257664443</v>
      </c>
      <c r="EU468" s="436"/>
    </row>
    <row r="469" spans="3:158">
      <c r="H469" s="436"/>
      <c r="U469" s="436"/>
      <c r="AH469" s="436"/>
      <c r="AU469" s="436"/>
      <c r="BH469" s="436"/>
      <c r="BU469" s="436"/>
      <c r="CH469" s="436"/>
      <c r="CU469" s="436"/>
      <c r="DH469" s="436"/>
      <c r="DU469" s="436"/>
      <c r="EH469" s="436"/>
      <c r="EU469" s="436"/>
    </row>
    <row r="470" spans="3:158" ht="15" thickBot="1">
      <c r="H470" s="436"/>
      <c r="U470" s="436"/>
      <c r="AH470" s="436"/>
      <c r="AU470" s="436"/>
      <c r="BH470" s="436"/>
      <c r="BU470" s="436"/>
      <c r="CH470" s="436"/>
      <c r="CU470" s="436"/>
      <c r="DH470" s="436"/>
      <c r="DU470" s="436"/>
      <c r="EH470" s="436"/>
      <c r="EU470" s="436"/>
    </row>
    <row r="471" spans="3:158" s="684" customFormat="1" ht="15" thickBot="1">
      <c r="C471" s="284"/>
      <c r="D471" s="284"/>
      <c r="E471" s="284"/>
      <c r="H471" s="680"/>
      <c r="I471" s="680"/>
      <c r="J471" s="689" t="s">
        <v>821</v>
      </c>
      <c r="K471" s="690" t="s">
        <v>893</v>
      </c>
      <c r="L471" s="691" t="s">
        <v>900</v>
      </c>
      <c r="M471" s="690" t="s">
        <v>901</v>
      </c>
      <c r="N471" s="681"/>
      <c r="O471" s="683"/>
      <c r="U471" s="680"/>
      <c r="V471" s="436"/>
      <c r="W471" s="658" t="s">
        <v>821</v>
      </c>
      <c r="X471" s="692" t="s">
        <v>893</v>
      </c>
      <c r="Y471" s="659" t="s">
        <v>900</v>
      </c>
      <c r="Z471" s="692" t="s">
        <v>901</v>
      </c>
      <c r="AA471" s="434"/>
      <c r="AB471" s="666"/>
      <c r="AH471" s="680"/>
      <c r="AI471" s="436"/>
      <c r="AJ471" s="658" t="s">
        <v>821</v>
      </c>
      <c r="AK471" s="692" t="s">
        <v>893</v>
      </c>
      <c r="AL471" s="659" t="s">
        <v>900</v>
      </c>
      <c r="AM471" s="692" t="s">
        <v>901</v>
      </c>
      <c r="AN471" s="434"/>
      <c r="AO471" s="666"/>
      <c r="AU471" s="680"/>
      <c r="AV471" s="436"/>
      <c r="AW471" s="658" t="s">
        <v>821</v>
      </c>
      <c r="AX471" s="692" t="s">
        <v>893</v>
      </c>
      <c r="AY471" s="659" t="s">
        <v>900</v>
      </c>
      <c r="AZ471" s="692" t="s">
        <v>901</v>
      </c>
      <c r="BA471" s="434"/>
      <c r="BB471" s="666"/>
      <c r="BH471" s="680"/>
      <c r="BI471" s="436"/>
      <c r="BJ471" s="658" t="s">
        <v>821</v>
      </c>
      <c r="BK471" s="692" t="s">
        <v>893</v>
      </c>
      <c r="BL471" s="659" t="s">
        <v>900</v>
      </c>
      <c r="BM471" s="692" t="s">
        <v>901</v>
      </c>
      <c r="BN471" s="434"/>
      <c r="BO471" s="666"/>
      <c r="BU471" s="680"/>
      <c r="BV471" s="436"/>
      <c r="BW471" s="658" t="s">
        <v>821</v>
      </c>
      <c r="BX471" s="692" t="s">
        <v>893</v>
      </c>
      <c r="BY471" s="659" t="s">
        <v>900</v>
      </c>
      <c r="BZ471" s="692" t="s">
        <v>901</v>
      </c>
      <c r="CA471" s="434"/>
      <c r="CB471" s="666"/>
      <c r="CH471" s="680"/>
      <c r="CI471" s="436"/>
      <c r="CJ471" s="658" t="s">
        <v>821</v>
      </c>
      <c r="CK471" s="692" t="s">
        <v>893</v>
      </c>
      <c r="CL471" s="659" t="s">
        <v>900</v>
      </c>
      <c r="CM471" s="692" t="s">
        <v>901</v>
      </c>
      <c r="CN471" s="434"/>
      <c r="CO471" s="666"/>
      <c r="CU471" s="680"/>
      <c r="CV471" s="436"/>
      <c r="CW471" s="658" t="s">
        <v>821</v>
      </c>
      <c r="CX471" s="692" t="s">
        <v>893</v>
      </c>
      <c r="CY471" s="659" t="s">
        <v>900</v>
      </c>
      <c r="CZ471" s="692" t="s">
        <v>901</v>
      </c>
      <c r="DA471" s="434"/>
      <c r="DB471" s="666"/>
      <c r="DH471" s="680"/>
      <c r="DI471" s="436"/>
      <c r="DJ471" s="658" t="s">
        <v>821</v>
      </c>
      <c r="DK471" s="692" t="s">
        <v>893</v>
      </c>
      <c r="DL471" s="659" t="s">
        <v>900</v>
      </c>
      <c r="DM471" s="692" t="s">
        <v>901</v>
      </c>
      <c r="DN471" s="434"/>
      <c r="DO471" s="666"/>
      <c r="DU471" s="680"/>
      <c r="DV471" s="436"/>
      <c r="DW471" s="658" t="s">
        <v>821</v>
      </c>
      <c r="DX471" s="692" t="s">
        <v>893</v>
      </c>
      <c r="DY471" s="659" t="s">
        <v>900</v>
      </c>
      <c r="DZ471" s="692" t="s">
        <v>901</v>
      </c>
      <c r="EA471" s="434"/>
      <c r="EB471" s="666"/>
      <c r="EH471" s="680"/>
      <c r="EI471" s="436"/>
      <c r="EJ471" s="658" t="s">
        <v>821</v>
      </c>
      <c r="EK471" s="692" t="s">
        <v>893</v>
      </c>
      <c r="EL471" s="659" t="s">
        <v>900</v>
      </c>
      <c r="EM471" s="692" t="s">
        <v>901</v>
      </c>
      <c r="EN471" s="434"/>
      <c r="EO471" s="666"/>
      <c r="EU471" s="680"/>
      <c r="EV471" s="436"/>
      <c r="EW471" s="658" t="s">
        <v>821</v>
      </c>
      <c r="EX471" s="692" t="s">
        <v>893</v>
      </c>
      <c r="EY471" s="659" t="s">
        <v>900</v>
      </c>
      <c r="EZ471" s="692" t="s">
        <v>901</v>
      </c>
      <c r="FA471" s="434"/>
      <c r="FB471" s="666"/>
    </row>
    <row r="472" spans="3:158">
      <c r="H472" s="436"/>
      <c r="I472" s="434" t="s">
        <v>183</v>
      </c>
      <c r="J472" s="667">
        <f>J464</f>
        <v>450</v>
      </c>
      <c r="K472" s="693">
        <f>IF(J472=0,0,INDEX(G450:G455,MATCH(J464,C450:C455,0)))</f>
        <v>1608</v>
      </c>
      <c r="L472" s="693">
        <f>1.2*(K464*7850/1000000*K472)/1000</f>
        <v>0.20448935999999995</v>
      </c>
      <c r="M472" s="693">
        <f>L472*(M464+M467)</f>
        <v>14.927723279999997</v>
      </c>
      <c r="N472" s="434"/>
      <c r="O472" s="434"/>
      <c r="U472" s="436"/>
      <c r="V472" s="434" t="s">
        <v>183</v>
      </c>
      <c r="W472" s="667">
        <f>W464</f>
        <v>450</v>
      </c>
      <c r="X472" s="693">
        <f>IF(W472=0,0,INDEX(T450:T455,MATCH(W464,P450:P455,0)))</f>
        <v>1608</v>
      </c>
      <c r="Y472" s="693">
        <f>1.2*(X464*7850/1000000*X472)/1000</f>
        <v>0.20448935999999995</v>
      </c>
      <c r="Z472" s="693">
        <f>Y472*(Z464+Z467)</f>
        <v>15.132212639999997</v>
      </c>
      <c r="AA472" s="434"/>
      <c r="AB472" s="434"/>
      <c r="AH472" s="436"/>
      <c r="AI472" s="434" t="s">
        <v>183</v>
      </c>
      <c r="AJ472" s="667">
        <f>AJ464</f>
        <v>450</v>
      </c>
      <c r="AK472" s="693">
        <f>IF(AJ472=0,0,INDEX(AG450:AG455,MATCH(AJ464,AC450:AC455,0)))</f>
        <v>1608</v>
      </c>
      <c r="AL472" s="693">
        <f>1.2*(AK464*7850/1000000*AK472)/1000</f>
        <v>0.20448935999999995</v>
      </c>
      <c r="AM472" s="693">
        <f>AL472*(AM464+AM467)</f>
        <v>15.132212639999997</v>
      </c>
      <c r="AN472" s="434"/>
      <c r="AO472" s="434"/>
      <c r="AU472" s="436"/>
      <c r="AV472" s="434" t="s">
        <v>183</v>
      </c>
      <c r="AW472" s="667">
        <f>AW464</f>
        <v>450</v>
      </c>
      <c r="AX472" s="693">
        <f>IF(AW472=0,0,INDEX(AT450:AT455,MATCH(AW464,AP450:AP455,0)))</f>
        <v>1608</v>
      </c>
      <c r="AY472" s="693">
        <f>1.2*(AX464*7850/1000000*AX472)/1000</f>
        <v>0.20448935999999995</v>
      </c>
      <c r="AZ472" s="693">
        <f>AY472*(AZ464+AZ467)</f>
        <v>15.541191359999996</v>
      </c>
      <c r="BA472" s="434"/>
      <c r="BB472" s="434"/>
      <c r="BH472" s="436"/>
      <c r="BI472" s="434" t="s">
        <v>183</v>
      </c>
      <c r="BJ472" s="667">
        <f>BJ464</f>
        <v>450</v>
      </c>
      <c r="BK472" s="693">
        <f>IF(BJ472=0,0,INDEX(BG450:BG455,MATCH(BJ464,BC450:BC455,0)))</f>
        <v>1608</v>
      </c>
      <c r="BL472" s="693">
        <f>1.2*(BK464*7850/1000000*BK472)/1000</f>
        <v>0.20448935999999995</v>
      </c>
      <c r="BM472" s="693">
        <f>BL472*(BM464+BM467)</f>
        <v>15.132212639999997</v>
      </c>
      <c r="BN472" s="434"/>
      <c r="BO472" s="434"/>
      <c r="BU472" s="436"/>
      <c r="BV472" s="434" t="s">
        <v>183</v>
      </c>
      <c r="BW472" s="667">
        <f>BW464</f>
        <v>450</v>
      </c>
      <c r="BX472" s="693">
        <f>IF(BW472=0,0,INDEX(BT450:BT455,MATCH(BW464,BP450:BP455,0)))</f>
        <v>1608</v>
      </c>
      <c r="BY472" s="693">
        <f>1.2*(BX464*7850/1000000*BX472)/1000</f>
        <v>0.22721039999999992</v>
      </c>
      <c r="BZ472" s="693">
        <f>BY472*(BZ464+BZ467)</f>
        <v>16.359148799999993</v>
      </c>
      <c r="CA472" s="434"/>
      <c r="CB472" s="434"/>
      <c r="CH472" s="436"/>
      <c r="CI472" s="434" t="s">
        <v>183</v>
      </c>
      <c r="CJ472" s="667">
        <f>CJ464</f>
        <v>450</v>
      </c>
      <c r="CK472" s="693">
        <f>IF(CJ472=0,0,INDEX(CG450:CG455,MATCH(CJ464,CC450:CC455,0)))</f>
        <v>1608</v>
      </c>
      <c r="CL472" s="693">
        <f>1.2*(CK464*7850/1000000*CK472)/1000</f>
        <v>0.20448935999999995</v>
      </c>
      <c r="CM472" s="693">
        <f>CL472*(CM464+CM467)</f>
        <v>15.541191359999996</v>
      </c>
      <c r="CN472" s="434"/>
      <c r="CO472" s="434"/>
      <c r="CU472" s="436"/>
      <c r="CV472" s="434" t="s">
        <v>183</v>
      </c>
      <c r="CW472" s="667">
        <f>CW464</f>
        <v>450</v>
      </c>
      <c r="CX472" s="693">
        <f>IF(CW472=0,0,INDEX(CT450:CT455,MATCH(CW464,CP450:CP455,0)))</f>
        <v>1608</v>
      </c>
      <c r="CY472" s="693">
        <f>1.2*(CX464*7850/1000000*CX472)/1000</f>
        <v>0.20448935999999995</v>
      </c>
      <c r="CZ472" s="693">
        <f>CY472*(CZ464+CZ467)</f>
        <v>16.154659439999996</v>
      </c>
      <c r="DA472" s="434"/>
      <c r="DB472" s="434"/>
      <c r="DH472" s="436"/>
      <c r="DI472" s="434" t="s">
        <v>183</v>
      </c>
      <c r="DJ472" s="667">
        <f>DJ464</f>
        <v>450</v>
      </c>
      <c r="DK472" s="693">
        <f>IF(DJ472=0,0,INDEX(DG450:DG455,MATCH(DJ464,DC450:DC455,0)))</f>
        <v>1608</v>
      </c>
      <c r="DL472" s="693">
        <f>1.2*(DK464*7850/1000000*DK472)/1000</f>
        <v>0.20448935999999995</v>
      </c>
      <c r="DM472" s="693">
        <f>DL472*(DM464+DM467)</f>
        <v>15.745680719999996</v>
      </c>
      <c r="DN472" s="434"/>
      <c r="DO472" s="434"/>
      <c r="DU472" s="436"/>
      <c r="DV472" s="434" t="s">
        <v>183</v>
      </c>
      <c r="DW472" s="667">
        <f>DW464</f>
        <v>450</v>
      </c>
      <c r="DX472" s="693">
        <f>IF(DW472=0,0,INDEX(DT450:DT455,MATCH(DW464,DP450:DP455,0)))</f>
        <v>1608</v>
      </c>
      <c r="DY472" s="693">
        <f>1.2*(DX464*7850/1000000*DX472)/1000</f>
        <v>0.20448935999999995</v>
      </c>
      <c r="DZ472" s="693">
        <f>DY472*(DZ464+DZ467)</f>
        <v>17.995063679999994</v>
      </c>
      <c r="EA472" s="434"/>
      <c r="EB472" s="434"/>
      <c r="EH472" s="436"/>
      <c r="EI472" s="434" t="s">
        <v>183</v>
      </c>
      <c r="EJ472" s="667">
        <f>EJ464</f>
        <v>450</v>
      </c>
      <c r="EK472" s="693">
        <f>IF(EJ472=0,0,INDEX(EG450:EG455,MATCH(EJ464,EC450:EC455,0)))</f>
        <v>1608</v>
      </c>
      <c r="EL472" s="693">
        <f>1.2*(EK464*7850/1000000*EK472)/1000</f>
        <v>0.20448935999999995</v>
      </c>
      <c r="EM472" s="693">
        <f>EL472*(EM464+EM467)</f>
        <v>17.995063679999994</v>
      </c>
      <c r="EN472" s="434"/>
      <c r="EO472" s="434"/>
      <c r="EU472" s="436"/>
      <c r="EV472" s="434" t="s">
        <v>183</v>
      </c>
      <c r="EW472" s="667">
        <f>EW464</f>
        <v>0</v>
      </c>
      <c r="EX472" s="693">
        <f>IF(EW472=0,0,INDEX(ET450:ET455,MATCH(EW464,EP450:EP455,0)))</f>
        <v>0</v>
      </c>
      <c r="EY472" s="693">
        <f>(EX464*7850/1000000*EX472)/1000</f>
        <v>0</v>
      </c>
      <c r="EZ472" s="693">
        <f>EY472*EZ464</f>
        <v>0</v>
      </c>
      <c r="FA472" s="434"/>
      <c r="FB472" s="434"/>
    </row>
    <row r="473" spans="3:158" ht="15" customHeight="1">
      <c r="H473" s="436"/>
      <c r="I473" s="434" t="s">
        <v>896</v>
      </c>
      <c r="J473" s="667">
        <f>J465</f>
        <v>450</v>
      </c>
      <c r="K473" s="693">
        <f>IF(J473=0,0,INDEX(G450:G455,MATCH(J465,C450:C455,0)))</f>
        <v>1608</v>
      </c>
      <c r="L473" s="693">
        <f>1.2*(K465*7850/1000000*K473)/1000</f>
        <v>0.20448935999999995</v>
      </c>
      <c r="M473" s="693">
        <f>L473*M465</f>
        <v>6.5436595199999985</v>
      </c>
      <c r="N473" s="434"/>
      <c r="O473" s="434"/>
      <c r="U473" s="436"/>
      <c r="V473" s="434" t="s">
        <v>896</v>
      </c>
      <c r="W473" s="667">
        <f>W465</f>
        <v>450</v>
      </c>
      <c r="X473" s="693">
        <f>IF(W473=0,0,INDEX(T450:T455,MATCH(W465,P450:P455,0)))</f>
        <v>1608</v>
      </c>
      <c r="Y473" s="693">
        <f>1.2*(X465*7850/1000000*X473)/1000</f>
        <v>0.20448935999999995</v>
      </c>
      <c r="Z473" s="693">
        <f>Y473*Z465</f>
        <v>6.5436595199999985</v>
      </c>
      <c r="AA473" s="434"/>
      <c r="AB473" s="434"/>
      <c r="AH473" s="436"/>
      <c r="AI473" s="434" t="s">
        <v>896</v>
      </c>
      <c r="AJ473" s="667">
        <f>AJ465</f>
        <v>450</v>
      </c>
      <c r="AK473" s="693">
        <f>IF(AJ473=0,0,INDEX(AG450:AG455,MATCH(AJ465,AC450:AC455,0)))</f>
        <v>1608</v>
      </c>
      <c r="AL473" s="693">
        <f>1.2*(AK465*7850/1000000*AK473)/1000</f>
        <v>0.20448935999999995</v>
      </c>
      <c r="AM473" s="693">
        <f>AL473*AM465</f>
        <v>6.5436595199999985</v>
      </c>
      <c r="AN473" s="434"/>
      <c r="AO473" s="434"/>
      <c r="AU473" s="436"/>
      <c r="AV473" s="434" t="s">
        <v>896</v>
      </c>
      <c r="AW473" s="667">
        <f>AW465</f>
        <v>450</v>
      </c>
      <c r="AX473" s="693">
        <f>IF(AW473=0,0,INDEX(AT450:AT455,MATCH(AW465,AP450:AP455,0)))</f>
        <v>1608</v>
      </c>
      <c r="AY473" s="693">
        <f>1.2*(AX465*7850/1000000*AX473)/1000</f>
        <v>0.20448935999999995</v>
      </c>
      <c r="AZ473" s="693">
        <f>AY473*AZ465</f>
        <v>6.5436595199999985</v>
      </c>
      <c r="BA473" s="434"/>
      <c r="BB473" s="434"/>
      <c r="BH473" s="436"/>
      <c r="BI473" s="434" t="s">
        <v>896</v>
      </c>
      <c r="BJ473" s="667">
        <f>BJ465</f>
        <v>450</v>
      </c>
      <c r="BK473" s="693">
        <f>IF(BJ473=0,0,INDEX(BG450:BG455,MATCH(BJ465,BC450:BC455,0)))</f>
        <v>1608</v>
      </c>
      <c r="BL473" s="693">
        <f>1.2*(BK465*7850/1000000*BK473)/1000</f>
        <v>0.20448935999999995</v>
      </c>
      <c r="BM473" s="693">
        <f>BL473*BM465</f>
        <v>6.5436595199999985</v>
      </c>
      <c r="BN473" s="434"/>
      <c r="BO473" s="434"/>
      <c r="BU473" s="436"/>
      <c r="BV473" s="434" t="s">
        <v>896</v>
      </c>
      <c r="BW473" s="667">
        <f>BW465</f>
        <v>450</v>
      </c>
      <c r="BX473" s="693">
        <f>IF(BW473=0,0,INDEX(BT450:BT455,MATCH(BW465,BP450:BP455,0)))</f>
        <v>1608</v>
      </c>
      <c r="BY473" s="693">
        <f>1.2*(BX465*7850/1000000*BX473)/1000</f>
        <v>0.20448935999999995</v>
      </c>
      <c r="BZ473" s="693">
        <f>BY473*BZ465</f>
        <v>6.5436595199999985</v>
      </c>
      <c r="CA473" s="434"/>
      <c r="CB473" s="434"/>
      <c r="CH473" s="436"/>
      <c r="CI473" s="434" t="s">
        <v>896</v>
      </c>
      <c r="CJ473" s="667">
        <f>CJ465</f>
        <v>450</v>
      </c>
      <c r="CK473" s="693">
        <f>IF(CJ473=0,0,INDEX(CG450:CG455,MATCH(CJ465,CC450:CC455,0)))</f>
        <v>1608</v>
      </c>
      <c r="CL473" s="693">
        <f>1.2*(CK465*7850/1000000*CK473)/1000</f>
        <v>0.20448935999999995</v>
      </c>
      <c r="CM473" s="693">
        <f>CL473*CM465</f>
        <v>6.5436595199999985</v>
      </c>
      <c r="CN473" s="434"/>
      <c r="CO473" s="434"/>
      <c r="CU473" s="436"/>
      <c r="CV473" s="434" t="s">
        <v>896</v>
      </c>
      <c r="CW473" s="667">
        <f>CW465</f>
        <v>450</v>
      </c>
      <c r="CX473" s="693">
        <f>IF(CW473=0,0,INDEX(CT450:CT455,MATCH(CW465,CP450:CP455,0)))</f>
        <v>1608</v>
      </c>
      <c r="CY473" s="693">
        <f>1.2*(CX465*7850/1000000*CX473)/1000</f>
        <v>0.20448935999999995</v>
      </c>
      <c r="CZ473" s="693">
        <f>CY473*CZ465</f>
        <v>6.5436595199999985</v>
      </c>
      <c r="DA473" s="434"/>
      <c r="DB473" s="434"/>
      <c r="DH473" s="436"/>
      <c r="DI473" s="434" t="s">
        <v>896</v>
      </c>
      <c r="DJ473" s="667">
        <f>DJ465</f>
        <v>450</v>
      </c>
      <c r="DK473" s="693">
        <f>IF(DJ473=0,0,INDEX(DG450:DG455,MATCH(DJ465,DC450:DC455,0)))</f>
        <v>1608</v>
      </c>
      <c r="DL473" s="693">
        <f>1.2*(DK465*7850/1000000*DK473)/1000</f>
        <v>0.20448935999999995</v>
      </c>
      <c r="DM473" s="693">
        <f>DL473*DM465</f>
        <v>6.5436595199999985</v>
      </c>
      <c r="DN473" s="434"/>
      <c r="DO473" s="434"/>
      <c r="DU473" s="436"/>
      <c r="DV473" s="434" t="s">
        <v>896</v>
      </c>
      <c r="DW473" s="667">
        <f>DW465</f>
        <v>450</v>
      </c>
      <c r="DX473" s="693">
        <f>IF(DW473=0,0,INDEX(DT450:DT455,MATCH(DW465,DP450:DP455,0)))</f>
        <v>1608</v>
      </c>
      <c r="DY473" s="693">
        <f>1.2*(DX465*7850/1000000*DX473)/1000</f>
        <v>0.20448935999999995</v>
      </c>
      <c r="DZ473" s="693">
        <f>DY473*DZ465</f>
        <v>6.5436595199999985</v>
      </c>
      <c r="EA473" s="434"/>
      <c r="EB473" s="434"/>
      <c r="EH473" s="436"/>
      <c r="EI473" s="434" t="s">
        <v>896</v>
      </c>
      <c r="EJ473" s="667">
        <f>EJ465</f>
        <v>450</v>
      </c>
      <c r="EK473" s="693">
        <f>IF(EJ473=0,0,INDEX(EG450:EG455,MATCH(EJ465,EC450:EC455,0)))</f>
        <v>1608</v>
      </c>
      <c r="EL473" s="693">
        <f>1.2*(EK465*7850/1000000*EK473)/1000</f>
        <v>0.20448935999999995</v>
      </c>
      <c r="EM473" s="693">
        <f>EL473*EM465</f>
        <v>6.5436595199999985</v>
      </c>
      <c r="EN473" s="434"/>
      <c r="EO473" s="434"/>
      <c r="EU473" s="436"/>
      <c r="EV473" s="434" t="s">
        <v>896</v>
      </c>
      <c r="EW473" s="667">
        <f>EW465</f>
        <v>0</v>
      </c>
      <c r="EX473" s="693">
        <f>IF(EW473=0,0,INDEX(ET450:ET455,MATCH(EW465,EP450:EP455,0)))</f>
        <v>0</v>
      </c>
      <c r="EY473" s="693">
        <f>(EX465*7850/1000000*EX473)/1000</f>
        <v>0</v>
      </c>
      <c r="EZ473" s="693">
        <f>EY473*EZ465</f>
        <v>0</v>
      </c>
      <c r="FA473" s="434"/>
      <c r="FB473" s="434"/>
    </row>
    <row r="474" spans="3:158" ht="15" thickBot="1">
      <c r="H474" s="436"/>
      <c r="I474" s="434" t="s">
        <v>188</v>
      </c>
      <c r="J474" s="694">
        <f>J466</f>
        <v>450</v>
      </c>
      <c r="K474" s="695">
        <f>IF(J474=0,0,INDEX(G450:G455,MATCH(J466,C450:C455,0)))</f>
        <v>1608</v>
      </c>
      <c r="L474" s="695">
        <f>1.2*(K466*7850/1000000*K474)/1000</f>
        <v>0.20448935999999995</v>
      </c>
      <c r="M474" s="695">
        <f>L474*M466</f>
        <v>0.81795743999999981</v>
      </c>
      <c r="N474" s="434">
        <f>SUM(M472:M474)</f>
        <v>22.289340239999994</v>
      </c>
      <c r="O474" s="434"/>
      <c r="U474" s="436"/>
      <c r="V474" s="681" t="s">
        <v>188</v>
      </c>
      <c r="W474" s="696">
        <f>W466</f>
        <v>450</v>
      </c>
      <c r="X474" s="697">
        <f>IF(W474=0,0,INDEX(T450:T455,MATCH(W466,P450:P455,0)))</f>
        <v>1608</v>
      </c>
      <c r="Y474" s="697">
        <f>1.2*(X466*7850/1000000*X474)/1000</f>
        <v>0.20448935999999995</v>
      </c>
      <c r="Z474" s="697">
        <f>Y474*Z466</f>
        <v>0.81795743999999981</v>
      </c>
      <c r="AA474" s="681">
        <f>SUM(Z472:Z474)</f>
        <v>22.493829599999998</v>
      </c>
      <c r="AB474" s="681"/>
      <c r="AH474" s="436"/>
      <c r="AI474" s="681" t="s">
        <v>188</v>
      </c>
      <c r="AJ474" s="696">
        <f>AJ466</f>
        <v>450</v>
      </c>
      <c r="AK474" s="697">
        <f>IF(AJ474=0,0,INDEX(AG450:AG455,MATCH(AJ466,AC450:AC455,0)))</f>
        <v>1608</v>
      </c>
      <c r="AL474" s="697">
        <f>1.2*(AK466*7850/1000000*AK474)/1000</f>
        <v>0.20448935999999995</v>
      </c>
      <c r="AM474" s="697">
        <f>AL474*AM466</f>
        <v>0.81795743999999981</v>
      </c>
      <c r="AN474" s="681">
        <f>SUM(AM472:AM474)</f>
        <v>22.493829599999998</v>
      </c>
      <c r="AO474" s="681"/>
      <c r="AU474" s="436"/>
      <c r="AV474" s="681" t="s">
        <v>188</v>
      </c>
      <c r="AW474" s="696">
        <f>AW466</f>
        <v>450</v>
      </c>
      <c r="AX474" s="697">
        <f>IF(AW474=0,0,INDEX(AT450:AT455,MATCH(AW466,AP450:AP455,0)))</f>
        <v>1608</v>
      </c>
      <c r="AY474" s="697">
        <f>1.2*(AX466*7850/1000000*AX474)/1000</f>
        <v>0.20448935999999995</v>
      </c>
      <c r="AZ474" s="697">
        <f>AY474*AZ466</f>
        <v>0.81795743999999981</v>
      </c>
      <c r="BA474" s="681">
        <f>SUM(AZ472:AZ474)</f>
        <v>22.902808319999995</v>
      </c>
      <c r="BB474" s="681"/>
      <c r="BH474" s="436"/>
      <c r="BI474" s="681" t="s">
        <v>188</v>
      </c>
      <c r="BJ474" s="696">
        <f>BJ466</f>
        <v>450</v>
      </c>
      <c r="BK474" s="697">
        <f>IF(BJ474=0,0,INDEX(BG450:BG455,MATCH(BJ466,BC450:BC455,0)))</f>
        <v>1608</v>
      </c>
      <c r="BL474" s="697">
        <f>1.2*(BK466*7850/1000000*BK474)/1000</f>
        <v>0.20448935999999995</v>
      </c>
      <c r="BM474" s="697">
        <f>BL474*BM466</f>
        <v>0.81795743999999981</v>
      </c>
      <c r="BN474" s="681">
        <f>SUM(BM472:BM474)</f>
        <v>22.493829599999998</v>
      </c>
      <c r="BO474" s="681"/>
      <c r="BU474" s="436"/>
      <c r="BV474" s="681" t="s">
        <v>188</v>
      </c>
      <c r="BW474" s="696">
        <f>BW466</f>
        <v>450</v>
      </c>
      <c r="BX474" s="697">
        <f>IF(BW474=0,0,INDEX(BT450:BT455,MATCH(BW466,BP450:BP455,0)))</f>
        <v>1608</v>
      </c>
      <c r="BY474" s="697">
        <f>1.2*(BX466*7850/1000000*BX474)/1000</f>
        <v>0.20448935999999995</v>
      </c>
      <c r="BZ474" s="697">
        <f>BY474*BZ466</f>
        <v>0.81795743999999981</v>
      </c>
      <c r="CA474" s="681">
        <f>SUM(BZ472:BZ474)</f>
        <v>23.720765759999992</v>
      </c>
      <c r="CB474" s="681"/>
      <c r="CH474" s="436"/>
      <c r="CI474" s="681" t="s">
        <v>188</v>
      </c>
      <c r="CJ474" s="696">
        <f>CJ466</f>
        <v>450</v>
      </c>
      <c r="CK474" s="697">
        <f>IF(CJ474=0,0,INDEX(CG450:CG455,MATCH(CJ466,CC450:CC455,0)))</f>
        <v>1608</v>
      </c>
      <c r="CL474" s="697">
        <f>1.2*(CK466*7850/1000000*CK474)/1000</f>
        <v>0.18176831999999993</v>
      </c>
      <c r="CM474" s="697">
        <f>CL474*CM466</f>
        <v>0.72707327999999971</v>
      </c>
      <c r="CN474" s="681">
        <f>SUM(CM472:CM474)</f>
        <v>22.811924159999993</v>
      </c>
      <c r="CO474" s="681"/>
      <c r="CU474" s="436"/>
      <c r="CV474" s="681" t="s">
        <v>188</v>
      </c>
      <c r="CW474" s="696">
        <f>CW466</f>
        <v>450</v>
      </c>
      <c r="CX474" s="697">
        <f>IF(CW474=0,0,INDEX(CT450:CT455,MATCH(CW466,CP450:CP455,0)))</f>
        <v>1608</v>
      </c>
      <c r="CY474" s="697">
        <f>1.2*(CX466*7850/1000000*CX474)/1000</f>
        <v>0.16813569599999997</v>
      </c>
      <c r="CZ474" s="697">
        <f>CY474*CZ466</f>
        <v>0.67254278399999989</v>
      </c>
      <c r="DA474" s="681">
        <f>SUM(CZ472:CZ474)</f>
        <v>23.370861743999995</v>
      </c>
      <c r="DB474" s="681"/>
      <c r="DH474" s="436"/>
      <c r="DI474" s="681" t="s">
        <v>188</v>
      </c>
      <c r="DJ474" s="696">
        <f>DJ466</f>
        <v>450</v>
      </c>
      <c r="DK474" s="697">
        <f>IF(DJ474=0,0,INDEX(DG450:DG455,MATCH(DJ466,DC450:DC455,0)))</f>
        <v>1608</v>
      </c>
      <c r="DL474" s="697">
        <f>1.2*(DK466*7850/1000000*DK474)/1000</f>
        <v>0.16813569599999997</v>
      </c>
      <c r="DM474" s="697">
        <f>DL474*DM466</f>
        <v>0.67254278399999989</v>
      </c>
      <c r="DN474" s="681">
        <f>SUM(DM472:DM474)</f>
        <v>22.961883023999995</v>
      </c>
      <c r="DO474" s="681"/>
      <c r="DU474" s="436"/>
      <c r="DV474" s="681" t="s">
        <v>188</v>
      </c>
      <c r="DW474" s="696">
        <f>DW466</f>
        <v>450</v>
      </c>
      <c r="DX474" s="697">
        <f>IF(DW474=0,0,INDEX(DT450:DT455,MATCH(DW466,DP450:DP455,0)))</f>
        <v>1608</v>
      </c>
      <c r="DY474" s="697">
        <f>1.2*(DX466*7850/1000000*DX474)/1000</f>
        <v>9.0884159999999964E-2</v>
      </c>
      <c r="DZ474" s="697">
        <f>DY474*DZ466</f>
        <v>0.36353663999999986</v>
      </c>
      <c r="EA474" s="681">
        <f>SUM(DZ472:DZ474)</f>
        <v>24.902259839999992</v>
      </c>
      <c r="EB474" s="681"/>
      <c r="EH474" s="436"/>
      <c r="EI474" s="681" t="s">
        <v>188</v>
      </c>
      <c r="EJ474" s="696">
        <f>EJ466</f>
        <v>450</v>
      </c>
      <c r="EK474" s="697">
        <f>IF(EJ474=0,0,INDEX(EG450:EG455,MATCH(EJ466,EC450:EC455,0)))</f>
        <v>1608</v>
      </c>
      <c r="EL474" s="697">
        <f>1.2*(EK466*7850/1000000*EK474)/1000</f>
        <v>9.0884159999999964E-2</v>
      </c>
      <c r="EM474" s="697">
        <f>EL474*EM466</f>
        <v>0.36353663999999986</v>
      </c>
      <c r="EN474" s="681">
        <f>SUM(EM472:EM474)</f>
        <v>24.902259839999992</v>
      </c>
      <c r="EO474" s="681"/>
      <c r="EU474" s="436"/>
      <c r="EV474" s="681" t="s">
        <v>188</v>
      </c>
      <c r="EW474" s="696">
        <f>EW466</f>
        <v>0</v>
      </c>
      <c r="EX474" s="697">
        <f>IF(EW474=0,0,INDEX(ET450:ET455,MATCH(EW466,EP450:EP455,0)))</f>
        <v>0</v>
      </c>
      <c r="EY474" s="697">
        <f>(EX466*7850/1000000*EX474)/1000</f>
        <v>0</v>
      </c>
      <c r="EZ474" s="697">
        <f>EY474*EZ466</f>
        <v>0</v>
      </c>
      <c r="FA474" s="681">
        <f>SUM(EZ472:EZ474)</f>
        <v>0</v>
      </c>
      <c r="FB474" s="681"/>
    </row>
    <row r="475" spans="3:158" ht="15" thickBot="1">
      <c r="H475" s="436"/>
      <c r="I475" s="436"/>
      <c r="J475" s="434"/>
      <c r="K475" s="434"/>
      <c r="L475" s="434"/>
      <c r="M475" s="434"/>
      <c r="N475" s="434"/>
      <c r="O475" s="434"/>
      <c r="U475" s="436"/>
      <c r="V475" s="436"/>
      <c r="W475" s="434"/>
      <c r="X475" s="434"/>
      <c r="Y475" s="434"/>
      <c r="Z475" s="434"/>
      <c r="AA475" s="434"/>
      <c r="AB475" s="434"/>
      <c r="AH475" s="436"/>
      <c r="AI475" s="436"/>
      <c r="AJ475" s="434"/>
      <c r="AK475" s="434"/>
      <c r="AL475" s="434"/>
      <c r="AM475" s="434"/>
      <c r="AN475" s="434"/>
      <c r="AO475" s="434"/>
      <c r="AU475" s="436"/>
      <c r="AV475" s="436"/>
      <c r="AW475" s="434"/>
      <c r="AX475" s="434"/>
      <c r="AY475" s="434"/>
      <c r="AZ475" s="434"/>
      <c r="BA475" s="434"/>
      <c r="BB475" s="434"/>
      <c r="BH475" s="436"/>
      <c r="BI475" s="436"/>
      <c r="BJ475" s="434"/>
      <c r="BK475" s="434"/>
      <c r="BL475" s="434"/>
      <c r="BM475" s="434"/>
      <c r="BN475" s="434"/>
      <c r="BO475" s="434"/>
      <c r="BU475" s="436"/>
      <c r="BV475" s="436"/>
      <c r="BW475" s="434"/>
      <c r="BX475" s="434"/>
      <c r="BY475" s="434"/>
      <c r="BZ475" s="434"/>
      <c r="CA475" s="434"/>
      <c r="CB475" s="434"/>
      <c r="CH475" s="436"/>
      <c r="CI475" s="436"/>
      <c r="CJ475" s="434"/>
      <c r="CK475" s="434"/>
      <c r="CL475" s="434"/>
      <c r="CM475" s="434"/>
      <c r="CN475" s="434"/>
      <c r="CO475" s="434"/>
      <c r="CU475" s="436"/>
      <c r="CV475" s="436"/>
      <c r="CW475" s="434"/>
      <c r="CX475" s="434"/>
      <c r="CY475" s="434"/>
      <c r="CZ475" s="434"/>
      <c r="DA475" s="434"/>
      <c r="DB475" s="434"/>
      <c r="DH475" s="436"/>
      <c r="DI475" s="436"/>
      <c r="DJ475" s="434"/>
      <c r="DK475" s="434"/>
      <c r="DL475" s="434"/>
      <c r="DM475" s="434"/>
      <c r="DN475" s="434"/>
      <c r="DO475" s="434"/>
      <c r="DU475" s="436"/>
      <c r="DV475" s="436"/>
      <c r="DW475" s="434"/>
      <c r="DX475" s="434"/>
      <c r="DY475" s="434"/>
      <c r="DZ475" s="434"/>
      <c r="EA475" s="434"/>
      <c r="EB475" s="434"/>
      <c r="EH475" s="436"/>
      <c r="EI475" s="436"/>
      <c r="EJ475" s="434"/>
      <c r="EK475" s="434"/>
      <c r="EL475" s="434"/>
      <c r="EM475" s="434"/>
      <c r="EN475" s="434"/>
      <c r="EO475" s="434"/>
      <c r="EU475" s="436"/>
      <c r="EV475" s="436"/>
      <c r="EW475" s="434"/>
      <c r="EX475" s="434"/>
      <c r="EY475" s="434"/>
      <c r="EZ475" s="434"/>
      <c r="FA475" s="434"/>
      <c r="FB475" s="434"/>
    </row>
    <row r="476" spans="3:158" ht="39" thickBot="1">
      <c r="H476" s="436"/>
      <c r="I476" s="436"/>
      <c r="J476" s="658" t="s">
        <v>902</v>
      </c>
      <c r="K476" s="658" t="s">
        <v>181</v>
      </c>
      <c r="L476" s="692" t="s">
        <v>903</v>
      </c>
      <c r="M476" s="659" t="s">
        <v>192</v>
      </c>
      <c r="N476" s="692" t="s">
        <v>904</v>
      </c>
      <c r="O476" s="698" t="s">
        <v>905</v>
      </c>
      <c r="U476" s="436"/>
      <c r="V476" s="436"/>
      <c r="W476" s="658" t="s">
        <v>902</v>
      </c>
      <c r="X476" s="658" t="s">
        <v>181</v>
      </c>
      <c r="Y476" s="692" t="s">
        <v>903</v>
      </c>
      <c r="Z476" s="659" t="s">
        <v>192</v>
      </c>
      <c r="AA476" s="692" t="s">
        <v>904</v>
      </c>
      <c r="AB476" s="698" t="s">
        <v>905</v>
      </c>
      <c r="AH476" s="436"/>
      <c r="AI476" s="436"/>
      <c r="AJ476" s="658" t="s">
        <v>902</v>
      </c>
      <c r="AK476" s="658" t="s">
        <v>181</v>
      </c>
      <c r="AL476" s="692" t="s">
        <v>903</v>
      </c>
      <c r="AM476" s="659" t="s">
        <v>192</v>
      </c>
      <c r="AN476" s="692" t="s">
        <v>904</v>
      </c>
      <c r="AO476" s="698" t="s">
        <v>905</v>
      </c>
      <c r="AU476" s="436"/>
      <c r="AV476" s="436"/>
      <c r="AW476" s="658" t="s">
        <v>902</v>
      </c>
      <c r="AX476" s="658" t="s">
        <v>181</v>
      </c>
      <c r="AY476" s="692" t="s">
        <v>903</v>
      </c>
      <c r="AZ476" s="659" t="s">
        <v>192</v>
      </c>
      <c r="BA476" s="692" t="s">
        <v>904</v>
      </c>
      <c r="BB476" s="698" t="s">
        <v>905</v>
      </c>
      <c r="BH476" s="436"/>
      <c r="BI476" s="436"/>
      <c r="BJ476" s="658" t="s">
        <v>902</v>
      </c>
      <c r="BK476" s="658" t="s">
        <v>181</v>
      </c>
      <c r="BL476" s="692" t="s">
        <v>903</v>
      </c>
      <c r="BM476" s="659" t="s">
        <v>192</v>
      </c>
      <c r="BN476" s="692" t="s">
        <v>904</v>
      </c>
      <c r="BO476" s="698" t="s">
        <v>905</v>
      </c>
      <c r="BU476" s="436"/>
      <c r="BV476" s="436"/>
      <c r="BW476" s="658" t="s">
        <v>902</v>
      </c>
      <c r="BX476" s="658" t="s">
        <v>181</v>
      </c>
      <c r="BY476" s="692" t="s">
        <v>903</v>
      </c>
      <c r="BZ476" s="659" t="s">
        <v>192</v>
      </c>
      <c r="CA476" s="692" t="s">
        <v>904</v>
      </c>
      <c r="CB476" s="698" t="s">
        <v>905</v>
      </c>
      <c r="CH476" s="436"/>
      <c r="CI476" s="436"/>
      <c r="CJ476" s="658" t="s">
        <v>902</v>
      </c>
      <c r="CK476" s="658" t="s">
        <v>181</v>
      </c>
      <c r="CL476" s="692" t="s">
        <v>903</v>
      </c>
      <c r="CM476" s="659" t="s">
        <v>192</v>
      </c>
      <c r="CN476" s="692" t="s">
        <v>904</v>
      </c>
      <c r="CO476" s="698" t="s">
        <v>905</v>
      </c>
      <c r="CU476" s="436"/>
      <c r="CV476" s="436"/>
      <c r="CW476" s="658" t="s">
        <v>902</v>
      </c>
      <c r="CX476" s="658" t="s">
        <v>181</v>
      </c>
      <c r="CY476" s="692" t="s">
        <v>903</v>
      </c>
      <c r="CZ476" s="659" t="s">
        <v>192</v>
      </c>
      <c r="DA476" s="692" t="s">
        <v>904</v>
      </c>
      <c r="DB476" s="698" t="s">
        <v>905</v>
      </c>
      <c r="DH476" s="436"/>
      <c r="DI476" s="436"/>
      <c r="DJ476" s="658" t="s">
        <v>902</v>
      </c>
      <c r="DK476" s="658" t="s">
        <v>181</v>
      </c>
      <c r="DL476" s="692" t="s">
        <v>903</v>
      </c>
      <c r="DM476" s="659" t="s">
        <v>192</v>
      </c>
      <c r="DN476" s="692" t="s">
        <v>904</v>
      </c>
      <c r="DO476" s="698" t="s">
        <v>905</v>
      </c>
      <c r="DU476" s="436"/>
      <c r="DV476" s="436"/>
      <c r="DW476" s="658" t="s">
        <v>902</v>
      </c>
      <c r="DX476" s="658" t="s">
        <v>181</v>
      </c>
      <c r="DY476" s="692" t="s">
        <v>903</v>
      </c>
      <c r="DZ476" s="659" t="s">
        <v>192</v>
      </c>
      <c r="EA476" s="692" t="s">
        <v>904</v>
      </c>
      <c r="EB476" s="698" t="s">
        <v>905</v>
      </c>
      <c r="EH476" s="436"/>
      <c r="EI476" s="436"/>
      <c r="EJ476" s="658" t="s">
        <v>902</v>
      </c>
      <c r="EK476" s="658" t="s">
        <v>181</v>
      </c>
      <c r="EL476" s="692" t="s">
        <v>903</v>
      </c>
      <c r="EM476" s="659" t="s">
        <v>192</v>
      </c>
      <c r="EN476" s="692" t="s">
        <v>904</v>
      </c>
      <c r="EO476" s="698" t="s">
        <v>905</v>
      </c>
      <c r="EU476" s="436"/>
      <c r="EV476" s="436"/>
      <c r="EW476" s="658" t="s">
        <v>902</v>
      </c>
      <c r="EX476" s="658" t="s">
        <v>181</v>
      </c>
      <c r="EY476" s="692" t="s">
        <v>903</v>
      </c>
      <c r="EZ476" s="659" t="s">
        <v>192</v>
      </c>
      <c r="FA476" s="692" t="s">
        <v>904</v>
      </c>
      <c r="FB476" s="698" t="s">
        <v>905</v>
      </c>
    </row>
    <row r="477" spans="3:158">
      <c r="G477" s="284">
        <v>5056.7797918491651</v>
      </c>
      <c r="H477" s="436">
        <v>5549.7993517549712</v>
      </c>
      <c r="I477" s="434" t="s">
        <v>183</v>
      </c>
      <c r="J477" s="667">
        <f>IF(J472=0,0,MATCH(J472,B459:B464,0))</f>
        <v>1</v>
      </c>
      <c r="K477" s="668">
        <f>IF(J477=0,0,MATCH(L464,D458:G458,0))</f>
        <v>1</v>
      </c>
      <c r="L477" s="693" cm="1">
        <f t="array" ref="L477">IF(J477=0,0,INDEX($D$459:$G$464,J477,K477))</f>
        <v>0.5625</v>
      </c>
      <c r="M477" s="693">
        <f>Inputs!D39+M468</f>
        <v>63</v>
      </c>
      <c r="N477" s="693">
        <f>IF(K464=0,0,L477*M477+'Shear Walls'!C95+'Shear Walls'!C129)</f>
        <v>41.0625</v>
      </c>
      <c r="O477" s="661">
        <f>IF(K464=0,0,(N477*110/1000)+'Shear Walls'!C96+'Shear Walls'!C130)</f>
        <v>5.1356250000000001</v>
      </c>
      <c r="U477" s="436"/>
      <c r="V477" s="434" t="s">
        <v>183</v>
      </c>
      <c r="W477" s="667">
        <f>IF(W472=0,0,MATCH(W472,P459:P464,0))</f>
        <v>1</v>
      </c>
      <c r="X477" s="668">
        <f>IF(W477=0,0,MATCH(Y464,Q458:T458,0))</f>
        <v>1</v>
      </c>
      <c r="Y477" s="693" cm="1">
        <f t="array" ref="Y477">IF(W477=0,0,INDEX($D$459:$G$464,W477,X477))</f>
        <v>0.5625</v>
      </c>
      <c r="Z477" s="693">
        <f>M477</f>
        <v>63</v>
      </c>
      <c r="AA477" s="693">
        <f>IF(X464=0,0,Y477*Z477+'Shear Walls'!I95+'Shear Walls'!I129)</f>
        <v>41.625</v>
      </c>
      <c r="AB477" s="661">
        <f>IF(X464=0,0,AA477*110/1000+'Shear Walls'!I96+'Shear Walls'!I130)</f>
        <v>5.2593750000000004</v>
      </c>
      <c r="AH477" s="436"/>
      <c r="AI477" s="434" t="s">
        <v>183</v>
      </c>
      <c r="AJ477" s="667">
        <f>IF(AJ472=0,0,MATCH(AJ472,AC459:AC464,0))</f>
        <v>1</v>
      </c>
      <c r="AK477" s="668">
        <f>IF(AJ477=0,0,MATCH(AL464,AD458:AG458,0))</f>
        <v>1</v>
      </c>
      <c r="AL477" s="693" cm="1">
        <f t="array" ref="AL477">IF(AJ477=0,0,INDEX($D$459:$G$464,AJ477,AK477))</f>
        <v>0.5625</v>
      </c>
      <c r="AM477" s="693">
        <f>Z477</f>
        <v>63</v>
      </c>
      <c r="AN477" s="693">
        <f>IF(AK464=0,0,AL477*AM477+'Shear Walls'!O95+'Shear Walls'!O129)</f>
        <v>41.625</v>
      </c>
      <c r="AO477" s="661">
        <f>AN477*110/1000</f>
        <v>4.5787500000000003</v>
      </c>
      <c r="AU477" s="436"/>
      <c r="AV477" s="434" t="s">
        <v>183</v>
      </c>
      <c r="AW477" s="667">
        <f>IF(AW472=0,0,MATCH(AW472,AP459:AP464,0))</f>
        <v>1</v>
      </c>
      <c r="AX477" s="668">
        <f>IF(AW477=0,0,MATCH(AY464,AQ458:AT458,0))</f>
        <v>1</v>
      </c>
      <c r="AY477" s="693" cm="1">
        <f t="array" ref="AY477">IF(AW477=0,0,INDEX($D$459:$G$464,AW477,AX477))</f>
        <v>0.5625</v>
      </c>
      <c r="AZ477" s="693">
        <f>AM477</f>
        <v>63</v>
      </c>
      <c r="BA477" s="693">
        <f>IF(AX464=0,0,AY477*AZ477+'Shear Walls'!U95+'Shear Walls'!U129)</f>
        <v>42.75</v>
      </c>
      <c r="BB477" s="661">
        <f>BA477*110/1000</f>
        <v>4.7024999999999997</v>
      </c>
      <c r="BH477" s="436"/>
      <c r="BI477" s="434" t="s">
        <v>183</v>
      </c>
      <c r="BJ477" s="667">
        <f>IF(BJ472=0,0,MATCH(BJ472,BC459:BC464,0))</f>
        <v>1</v>
      </c>
      <c r="BK477" s="668">
        <f>IF(BJ477=0,0,MATCH(BL464,BD458:BG458,0))</f>
        <v>1</v>
      </c>
      <c r="BL477" s="693" cm="1">
        <f t="array" ref="BL477">IF(BJ477=0,0,INDEX($D$459:$G$464,BJ477,BK477))</f>
        <v>0.5625</v>
      </c>
      <c r="BM477" s="693">
        <f>AZ477</f>
        <v>63</v>
      </c>
      <c r="BN477" s="693">
        <f>IF(BK464=0,0,BL477*BM477+'Shear Walls'!AA95+'Shear Walls'!AA129)</f>
        <v>41.625</v>
      </c>
      <c r="BO477" s="661">
        <f>BN477*110/1000</f>
        <v>4.5787500000000003</v>
      </c>
      <c r="BU477" s="436"/>
      <c r="BV477" s="434" t="s">
        <v>183</v>
      </c>
      <c r="BW477" s="667">
        <f>IF(BW472=0,0,MATCH(BW472,BP459:BP464,0))</f>
        <v>1</v>
      </c>
      <c r="BX477" s="668">
        <f>IF(BW477=0,0,MATCH(BY464,BQ458:BT458,0))</f>
        <v>1</v>
      </c>
      <c r="BY477" s="693" cm="1">
        <f t="array" ref="BY477">IF(BW477=0,0,INDEX($D$459:$G$464,BW477,BX477))</f>
        <v>0.5625</v>
      </c>
      <c r="BZ477" s="693">
        <f>BM477</f>
        <v>63</v>
      </c>
      <c r="CA477" s="693">
        <f>IF(BX464=0,0,BY477*BZ477+'Shear Walls'!AG95+'Shear Walls'!AG129)</f>
        <v>40.5</v>
      </c>
      <c r="CB477" s="661">
        <f>CA477*110/1000</f>
        <v>4.4550000000000001</v>
      </c>
      <c r="CH477" s="436"/>
      <c r="CI477" s="434" t="s">
        <v>183</v>
      </c>
      <c r="CJ477" s="667">
        <f>IF(CJ472=0,0,MATCH(CJ472,CC459:CC464,0))</f>
        <v>1</v>
      </c>
      <c r="CK477" s="668">
        <f>IF(CJ477=0,0,MATCH(CL464,CD458:CG458,0))</f>
        <v>1</v>
      </c>
      <c r="CL477" s="693" cm="1">
        <f t="array" ref="CL477">IF(CJ477=0,0,INDEX($D$459:$G$464,CJ477,CK477))</f>
        <v>0.5625</v>
      </c>
      <c r="CM477" s="693">
        <f>BZ477</f>
        <v>63</v>
      </c>
      <c r="CN477" s="693">
        <f>IF(CK464=0,0,CL477*CM477+'Shear Walls'!AM95+'Shear Walls'!AM129)</f>
        <v>42.75</v>
      </c>
      <c r="CO477" s="661">
        <f>CN477*110/1000</f>
        <v>4.7024999999999997</v>
      </c>
      <c r="CU477" s="436"/>
      <c r="CV477" s="434" t="s">
        <v>183</v>
      </c>
      <c r="CW477" s="667">
        <f>IF(CW472=0,0,MATCH(CW472,CP459:CP464,0))</f>
        <v>1</v>
      </c>
      <c r="CX477" s="668">
        <f>IF(CW477=0,0,MATCH(CY464,CQ458:CT458,0))</f>
        <v>1</v>
      </c>
      <c r="CY477" s="693" cm="1">
        <f t="array" ref="CY477">IF(CW477=0,0,INDEX($D$459:$G$464,CW477,CX477))</f>
        <v>0.5625</v>
      </c>
      <c r="CZ477" s="693">
        <f>CM477</f>
        <v>63</v>
      </c>
      <c r="DA477" s="693">
        <f>IF(CX464=0,0,CY477*CZ477+'Shear Walls'!AS95+'Shear Walls'!AS129)</f>
        <v>44.4375</v>
      </c>
      <c r="DB477" s="661">
        <f>DA477*110/1000</f>
        <v>4.8881249999999996</v>
      </c>
      <c r="DH477" s="436"/>
      <c r="DI477" s="434" t="s">
        <v>183</v>
      </c>
      <c r="DJ477" s="667">
        <f>IF(DJ472=0,0,MATCH(DJ472,DC459:DC464,0))</f>
        <v>1</v>
      </c>
      <c r="DK477" s="668">
        <f>IF(DJ477=0,0,MATCH(DL464,DD458:DG458,0))</f>
        <v>1</v>
      </c>
      <c r="DL477" s="693" cm="1">
        <f t="array" ref="DL477">IF(DJ477=0,0,INDEX($D$459:$G$464,DJ477,DK477))</f>
        <v>0.5625</v>
      </c>
      <c r="DM477" s="693">
        <f>CZ477</f>
        <v>63</v>
      </c>
      <c r="DN477" s="693">
        <f>IF(DK464=0,0,DL477*DM477+'Shear Walls'!AY95+'Shear Walls'!AY129)</f>
        <v>43.3125</v>
      </c>
      <c r="DO477" s="661">
        <f>DN477*110/1000</f>
        <v>4.7643750000000002</v>
      </c>
      <c r="DU477" s="436"/>
      <c r="DV477" s="434" t="s">
        <v>183</v>
      </c>
      <c r="DW477" s="667">
        <f>IF(DW472=0,0,MATCH(DW472,DP459:DP464,0))</f>
        <v>1</v>
      </c>
      <c r="DX477" s="668">
        <f>IF(DW477=0,0,MATCH(DY464,DQ458:DT458,0))</f>
        <v>1</v>
      </c>
      <c r="DY477" s="693" cm="1">
        <f t="array" ref="DY477">IF(DW477=0,0,INDEX($D$459:$G$464,DW477,DX477))</f>
        <v>0.5625</v>
      </c>
      <c r="DZ477" s="693">
        <f>DM477</f>
        <v>63</v>
      </c>
      <c r="EA477" s="693">
        <f>IF(DX464=0,0,DY477*DZ477+'Shear Walls'!BE95+'Shear Walls'!BE129)</f>
        <v>49.5</v>
      </c>
      <c r="EB477" s="661">
        <f>EA477*110/1000</f>
        <v>5.4450000000000003</v>
      </c>
      <c r="EH477" s="436"/>
      <c r="EI477" s="434" t="s">
        <v>183</v>
      </c>
      <c r="EJ477" s="667">
        <f>IF(EJ472=0,0,MATCH(EJ472,EC459:EC464,0))</f>
        <v>1</v>
      </c>
      <c r="EK477" s="668">
        <f>IF(EJ477=0,0,MATCH(EL464,ED458:EG458,0))</f>
        <v>1</v>
      </c>
      <c r="EL477" s="693" cm="1">
        <f t="array" ref="EL477">IF(EJ477=0,0,INDEX($D$459:$G$464,EJ477,EK477))</f>
        <v>0.5625</v>
      </c>
      <c r="EM477" s="693">
        <f>DZ477</f>
        <v>63</v>
      </c>
      <c r="EN477" s="693">
        <f>EL477*EM477+'Shear Walls'!BK95+'Shear Walls'!BK129</f>
        <v>49.5</v>
      </c>
      <c r="EO477" s="661">
        <f>EN477*110/1000</f>
        <v>5.4450000000000003</v>
      </c>
      <c r="EU477" s="436"/>
      <c r="EV477" s="434" t="s">
        <v>183</v>
      </c>
      <c r="EW477" s="667">
        <f>IF(EW472=0,0,MATCH(EW472,EP459:EP464,0))</f>
        <v>0</v>
      </c>
      <c r="EX477" s="668">
        <f>IF(EW477=0,0,MATCH(EY464,EQ458:ET458,0))</f>
        <v>0</v>
      </c>
      <c r="EY477" s="693" cm="1">
        <f t="array" ref="EY477">IF(EW477=0,0,INDEX($D$459:$G$464,EW477,EX477))</f>
        <v>0</v>
      </c>
      <c r="EZ477" s="693">
        <f>Inputs!EQ39</f>
        <v>0</v>
      </c>
      <c r="FA477" s="693">
        <f>EY477*EZ477</f>
        <v>0</v>
      </c>
      <c r="FB477" s="661">
        <f>FA477*110/1000</f>
        <v>0</v>
      </c>
    </row>
    <row r="478" spans="3:158">
      <c r="G478" s="284">
        <v>4872.9542101133384</v>
      </c>
      <c r="H478" s="284">
        <v>7343.9754825907185</v>
      </c>
      <c r="I478" s="434" t="s">
        <v>896</v>
      </c>
      <c r="J478" s="667">
        <f>IF(J473=0,0,MATCH(J473,B459:B464,0))</f>
        <v>1</v>
      </c>
      <c r="K478" s="668">
        <f>IF(J478=0,0,MATCH(L465,D458:G458,0))</f>
        <v>1</v>
      </c>
      <c r="L478" s="693" cm="1">
        <f t="array" ref="L478">IF(J478=0,0,INDEX($D$459:$G$464,J478,K478))</f>
        <v>0.5625</v>
      </c>
      <c r="M478" s="693">
        <f>Inputs!D40</f>
        <v>32</v>
      </c>
      <c r="N478" s="693">
        <f t="shared" ref="N478:N479" si="599">L478*M478</f>
        <v>18</v>
      </c>
      <c r="O478" s="661">
        <f t="shared" ref="O478:O480" si="600">N478*110/1000</f>
        <v>1.98</v>
      </c>
      <c r="V478" s="434" t="s">
        <v>896</v>
      </c>
      <c r="W478" s="667">
        <f>IF(W473=0,0,MATCH(W473,P459:P464,0))</f>
        <v>1</v>
      </c>
      <c r="X478" s="668">
        <f>IF(W478=0,0,MATCH(Y465,Q458:T458,0))</f>
        <v>1</v>
      </c>
      <c r="Y478" s="693" cm="1">
        <f t="array" ref="Y478">IF(W478=0,0,INDEX($D$459:$G$464,W478,X478))</f>
        <v>0.5625</v>
      </c>
      <c r="Z478" s="693">
        <f>M478</f>
        <v>32</v>
      </c>
      <c r="AA478" s="693">
        <f t="shared" ref="AA478:AA479" si="601">Y478*Z478</f>
        <v>18</v>
      </c>
      <c r="AB478" s="661">
        <f t="shared" ref="AB478:AB480" si="602">AA478*110/1000</f>
        <v>1.98</v>
      </c>
      <c r="AI478" s="434" t="s">
        <v>896</v>
      </c>
      <c r="AJ478" s="667">
        <f>IF(AJ473=0,0,MATCH(AJ473,AC459:AC464,0))</f>
        <v>1</v>
      </c>
      <c r="AK478" s="668">
        <f>IF(AJ478=0,0,MATCH(AL465,AD458:AG458,0))</f>
        <v>1</v>
      </c>
      <c r="AL478" s="693" cm="1">
        <f t="array" ref="AL478">IF(AJ478=0,0,INDEX($D$459:$G$464,AJ478,AK478))</f>
        <v>0.5625</v>
      </c>
      <c r="AM478" s="693">
        <f>Z478</f>
        <v>32</v>
      </c>
      <c r="AN478" s="693">
        <f t="shared" ref="AN478:AN479" si="603">AL478*AM478</f>
        <v>18</v>
      </c>
      <c r="AO478" s="661">
        <f t="shared" ref="AO478:AO480" si="604">AN478*110/1000</f>
        <v>1.98</v>
      </c>
      <c r="AV478" s="434" t="s">
        <v>896</v>
      </c>
      <c r="AW478" s="667">
        <f>IF(AW473=0,0,MATCH(AW473,AP459:AP464,0))</f>
        <v>1</v>
      </c>
      <c r="AX478" s="668">
        <f>IF(AW478=0,0,MATCH(AY465,AQ458:AT458,0))</f>
        <v>1</v>
      </c>
      <c r="AY478" s="693" cm="1">
        <f t="array" ref="AY478">IF(AW478=0,0,INDEX($D$459:$G$464,AW478,AX478))</f>
        <v>0.5625</v>
      </c>
      <c r="AZ478" s="693">
        <f>AM478</f>
        <v>32</v>
      </c>
      <c r="BA478" s="693">
        <f t="shared" ref="BA478:BA479" si="605">AY478*AZ478</f>
        <v>18</v>
      </c>
      <c r="BB478" s="661">
        <f t="shared" ref="BB478:BB480" si="606">BA478*110/1000</f>
        <v>1.98</v>
      </c>
      <c r="BI478" s="434" t="s">
        <v>896</v>
      </c>
      <c r="BJ478" s="667">
        <f>IF(BJ473=0,0,MATCH(BJ473,BC459:BC464,0))</f>
        <v>1</v>
      </c>
      <c r="BK478" s="668">
        <f>IF(BJ478=0,0,MATCH(BL465,BD458:BG458,0))</f>
        <v>1</v>
      </c>
      <c r="BL478" s="693" cm="1">
        <f t="array" ref="BL478">IF(BJ478=0,0,INDEX($D$459:$G$464,BJ478,BK478))</f>
        <v>0.5625</v>
      </c>
      <c r="BM478" s="693">
        <f>AZ478</f>
        <v>32</v>
      </c>
      <c r="BN478" s="693">
        <f t="shared" ref="BN478:BN479" si="607">BL478*BM478</f>
        <v>18</v>
      </c>
      <c r="BO478" s="661">
        <f t="shared" ref="BO478:BO480" si="608">BN478*110/1000</f>
        <v>1.98</v>
      </c>
      <c r="BV478" s="434" t="s">
        <v>896</v>
      </c>
      <c r="BW478" s="667">
        <f>IF(BW473=0,0,MATCH(BW473,BP459:BP464,0))</f>
        <v>1</v>
      </c>
      <c r="BX478" s="668">
        <f>IF(BW478=0,0,MATCH(BY465,BQ458:BT458,0))</f>
        <v>1</v>
      </c>
      <c r="BY478" s="693" cm="1">
        <f t="array" ref="BY478">IF(BW478=0,0,INDEX($D$459:$G$464,BW478,BX478))</f>
        <v>0.5625</v>
      </c>
      <c r="BZ478" s="693">
        <f>BM478</f>
        <v>32</v>
      </c>
      <c r="CA478" s="693">
        <f t="shared" ref="CA478:CA479" si="609">BY478*BZ478</f>
        <v>18</v>
      </c>
      <c r="CB478" s="661">
        <f t="shared" ref="CB478:CB480" si="610">CA478*110/1000</f>
        <v>1.98</v>
      </c>
      <c r="CI478" s="434" t="s">
        <v>896</v>
      </c>
      <c r="CJ478" s="667">
        <f>IF(CJ473=0,0,MATCH(CJ473,CC459:CC464,0))</f>
        <v>1</v>
      </c>
      <c r="CK478" s="668">
        <f>IF(CJ478=0,0,MATCH(CL465,CD458:CG458,0))</f>
        <v>1</v>
      </c>
      <c r="CL478" s="693" cm="1">
        <f t="array" ref="CL478">IF(CJ478=0,0,INDEX($D$459:$G$464,CJ478,CK478))</f>
        <v>0.5625</v>
      </c>
      <c r="CM478" s="693">
        <f>BZ478</f>
        <v>32</v>
      </c>
      <c r="CN478" s="693">
        <f t="shared" ref="CN478:CN479" si="611">CL478*CM478</f>
        <v>18</v>
      </c>
      <c r="CO478" s="661">
        <f t="shared" ref="CO478:CO480" si="612">CN478*110/1000</f>
        <v>1.98</v>
      </c>
      <c r="CV478" s="434" t="s">
        <v>896</v>
      </c>
      <c r="CW478" s="667">
        <f>IF(CW473=0,0,MATCH(CW473,CP459:CP464,0))</f>
        <v>1</v>
      </c>
      <c r="CX478" s="668">
        <f>IF(CW478=0,0,MATCH(CY465,CQ458:CT458,0))</f>
        <v>1</v>
      </c>
      <c r="CY478" s="693" cm="1">
        <f t="array" ref="CY478">IF(CW478=0,0,INDEX($D$459:$G$464,CW478,CX478))</f>
        <v>0.5625</v>
      </c>
      <c r="CZ478" s="693">
        <f>CM478</f>
        <v>32</v>
      </c>
      <c r="DA478" s="693">
        <f t="shared" ref="DA478:DA479" si="613">CY478*CZ478</f>
        <v>18</v>
      </c>
      <c r="DB478" s="661">
        <f t="shared" ref="DB478:DB480" si="614">DA478*110/1000</f>
        <v>1.98</v>
      </c>
      <c r="DI478" s="434" t="s">
        <v>896</v>
      </c>
      <c r="DJ478" s="667">
        <f>IF(DJ473=0,0,MATCH(DJ473,DC459:DC464,0))</f>
        <v>1</v>
      </c>
      <c r="DK478" s="668">
        <f>IF(DJ478=0,0,MATCH(DL465,DD458:DG458,0))</f>
        <v>1</v>
      </c>
      <c r="DL478" s="693" cm="1">
        <f t="array" ref="DL478">IF(DJ478=0,0,INDEX($D$459:$G$464,DJ478,DK478))</f>
        <v>0.5625</v>
      </c>
      <c r="DM478" s="693">
        <f>CZ478</f>
        <v>32</v>
      </c>
      <c r="DN478" s="693">
        <f t="shared" ref="DN478:DN479" si="615">DL478*DM478</f>
        <v>18</v>
      </c>
      <c r="DO478" s="661">
        <f t="shared" ref="DO478:DO480" si="616">DN478*110/1000</f>
        <v>1.98</v>
      </c>
      <c r="DV478" s="434" t="s">
        <v>896</v>
      </c>
      <c r="DW478" s="667">
        <f>IF(DW473=0,0,MATCH(DW473,DP459:DP464,0))</f>
        <v>1</v>
      </c>
      <c r="DX478" s="668">
        <f>IF(DW478=0,0,MATCH(DY465,DQ458:DT458,0))</f>
        <v>1</v>
      </c>
      <c r="DY478" s="693" cm="1">
        <f t="array" ref="DY478">IF(DW478=0,0,INDEX($D$459:$G$464,DW478,DX478))</f>
        <v>0.5625</v>
      </c>
      <c r="DZ478" s="693">
        <f>DM478</f>
        <v>32</v>
      </c>
      <c r="EA478" s="693">
        <f t="shared" ref="EA478:EA479" si="617">DY478*DZ478</f>
        <v>18</v>
      </c>
      <c r="EB478" s="661">
        <f t="shared" ref="EB478:EB480" si="618">EA478*110/1000</f>
        <v>1.98</v>
      </c>
      <c r="EI478" s="434" t="s">
        <v>896</v>
      </c>
      <c r="EJ478" s="667">
        <f>IF(EJ473=0,0,MATCH(EJ473,EC459:EC464,0))</f>
        <v>1</v>
      </c>
      <c r="EK478" s="668">
        <f>IF(EJ478=0,0,MATCH(EL465,ED458:EG458,0))</f>
        <v>1</v>
      </c>
      <c r="EL478" s="693" cm="1">
        <f t="array" ref="EL478">IF(EJ478=0,0,INDEX($D$459:$G$464,EJ478,EK478))</f>
        <v>0.5625</v>
      </c>
      <c r="EM478" s="693">
        <f>DZ478</f>
        <v>32</v>
      </c>
      <c r="EN478" s="693">
        <f t="shared" ref="EN478:EN479" si="619">EL478*EM478</f>
        <v>18</v>
      </c>
      <c r="EO478" s="661">
        <f t="shared" ref="EO478:EO480" si="620">EN478*110/1000</f>
        <v>1.98</v>
      </c>
      <c r="EV478" s="434" t="s">
        <v>896</v>
      </c>
      <c r="EW478" s="667">
        <f>IF(EW473=0,0,MATCH(EW473,EP459:EP464,0))</f>
        <v>0</v>
      </c>
      <c r="EX478" s="668">
        <f>IF(EW478=0,0,MATCH(EY465,EQ458:ET458,0))</f>
        <v>0</v>
      </c>
      <c r="EY478" s="693" cm="1">
        <f t="array" ref="EY478">IF(EW478=0,0,INDEX($D$459:$G$464,EW478,EX478))</f>
        <v>0</v>
      </c>
      <c r="EZ478" s="693">
        <f>Inputs!EQ40</f>
        <v>0</v>
      </c>
      <c r="FA478" s="693">
        <f t="shared" ref="FA478:FA479" si="621">EY478*EZ478</f>
        <v>0</v>
      </c>
      <c r="FB478" s="661">
        <f t="shared" ref="FB478:FB480" si="622">FA478*110/1000</f>
        <v>0</v>
      </c>
    </row>
    <row r="479" spans="3:158" ht="15" thickBot="1">
      <c r="D479" s="699" t="s">
        <v>897</v>
      </c>
      <c r="E479" s="699" t="s">
        <v>906</v>
      </c>
      <c r="G479" s="284">
        <v>4389.8448042332811</v>
      </c>
      <c r="H479" s="284">
        <v>4791.9341063735847</v>
      </c>
      <c r="I479" s="434" t="s">
        <v>188</v>
      </c>
      <c r="J479" s="694">
        <f>IF(J474=0,0,MATCH(J474,B459:B464,0))</f>
        <v>1</v>
      </c>
      <c r="K479" s="700">
        <f>IF(J479=0,0,MATCH(L466,D458:G458,0))</f>
        <v>1</v>
      </c>
      <c r="L479" s="695" cm="1">
        <f t="array" ref="L479">IF(J479=0,0,INDEX($D$459:$G$464,J479,K479))</f>
        <v>0.5625</v>
      </c>
      <c r="M479" s="695">
        <f>Inputs!D41</f>
        <v>4</v>
      </c>
      <c r="N479" s="695">
        <f t="shared" si="599"/>
        <v>2.25</v>
      </c>
      <c r="O479" s="701">
        <f t="shared" si="600"/>
        <v>0.2475</v>
      </c>
      <c r="V479" s="434" t="s">
        <v>188</v>
      </c>
      <c r="W479" s="694">
        <f>IF(W474=0,0,MATCH(W474,P459:P464,0))</f>
        <v>1</v>
      </c>
      <c r="X479" s="700">
        <f>IF(W479=0,0,MATCH(Y466,Q458:T458,0))</f>
        <v>1</v>
      </c>
      <c r="Y479" s="695" cm="1">
        <f t="array" ref="Y479">IF(W479=0,0,INDEX($D$459:$G$464,W479,X479))</f>
        <v>0.5625</v>
      </c>
      <c r="Z479" s="695">
        <f>M479</f>
        <v>4</v>
      </c>
      <c r="AA479" s="695">
        <f t="shared" si="601"/>
        <v>2.25</v>
      </c>
      <c r="AB479" s="701">
        <f t="shared" si="602"/>
        <v>0.2475</v>
      </c>
      <c r="AI479" s="434" t="s">
        <v>188</v>
      </c>
      <c r="AJ479" s="694">
        <f>IF(AJ474=0,0,MATCH(AJ474,AC459:AC464,0))</f>
        <v>1</v>
      </c>
      <c r="AK479" s="700">
        <f>IF(AJ479=0,0,MATCH(AL466,AD458:AG458,0))</f>
        <v>1</v>
      </c>
      <c r="AL479" s="695" cm="1">
        <f t="array" ref="AL479">IF(AJ479=0,0,INDEX($D$459:$G$464,AJ479,AK479))</f>
        <v>0.5625</v>
      </c>
      <c r="AM479" s="693">
        <f>Z479</f>
        <v>4</v>
      </c>
      <c r="AN479" s="695">
        <f t="shared" si="603"/>
        <v>2.25</v>
      </c>
      <c r="AO479" s="701">
        <f t="shared" si="604"/>
        <v>0.2475</v>
      </c>
      <c r="AV479" s="434" t="s">
        <v>188</v>
      </c>
      <c r="AW479" s="694">
        <f>IF(AW474=0,0,MATCH(AW474,AP459:AP464,0))</f>
        <v>1</v>
      </c>
      <c r="AX479" s="700">
        <f>IF(AW479=0,0,MATCH(AY466,AQ458:AT458,0))</f>
        <v>1</v>
      </c>
      <c r="AY479" s="695" cm="1">
        <f t="array" ref="AY479">IF(AW479=0,0,INDEX($D$459:$G$464,AW479,AX479))</f>
        <v>0.5625</v>
      </c>
      <c r="AZ479" s="695">
        <f>AM479</f>
        <v>4</v>
      </c>
      <c r="BA479" s="695">
        <f t="shared" si="605"/>
        <v>2.25</v>
      </c>
      <c r="BB479" s="701">
        <f t="shared" si="606"/>
        <v>0.2475</v>
      </c>
      <c r="BI479" s="434" t="s">
        <v>188</v>
      </c>
      <c r="BJ479" s="694">
        <f>IF(BJ474=0,0,MATCH(BJ474,BC459:BC464,0))</f>
        <v>1</v>
      </c>
      <c r="BK479" s="700">
        <f>IF(BJ479=0,0,MATCH(BL466,BD458:BG458,0))</f>
        <v>1</v>
      </c>
      <c r="BL479" s="695" cm="1">
        <f t="array" ref="BL479">IF(BJ479=0,0,INDEX($D$459:$G$464,BJ479,BK479))</f>
        <v>0.5625</v>
      </c>
      <c r="BM479" s="695">
        <f>AZ479</f>
        <v>4</v>
      </c>
      <c r="BN479" s="695">
        <f t="shared" si="607"/>
        <v>2.25</v>
      </c>
      <c r="BO479" s="701">
        <f t="shared" si="608"/>
        <v>0.2475</v>
      </c>
      <c r="BV479" s="434" t="s">
        <v>188</v>
      </c>
      <c r="BW479" s="694">
        <f>IF(BW474=0,0,MATCH(BW474,BP459:BP464,0))</f>
        <v>1</v>
      </c>
      <c r="BX479" s="700">
        <f>IF(BW479=0,0,MATCH(BY466,BQ458:BT458,0))</f>
        <v>1</v>
      </c>
      <c r="BY479" s="695" cm="1">
        <f t="array" ref="BY479">IF(BW479=0,0,INDEX($D$459:$G$464,BW479,BX479))</f>
        <v>0.5625</v>
      </c>
      <c r="BZ479" s="695">
        <f>BM479</f>
        <v>4</v>
      </c>
      <c r="CA479" s="695">
        <f t="shared" si="609"/>
        <v>2.25</v>
      </c>
      <c r="CB479" s="701">
        <f t="shared" si="610"/>
        <v>0.2475</v>
      </c>
      <c r="CI479" s="434" t="s">
        <v>188</v>
      </c>
      <c r="CJ479" s="694">
        <f>IF(CJ474=0,0,MATCH(CJ474,CC459:CC464,0))</f>
        <v>1</v>
      </c>
      <c r="CK479" s="700">
        <f>IF(CJ479=0,0,MATCH(CL466,CD458:CG458,0))</f>
        <v>1</v>
      </c>
      <c r="CL479" s="695" cm="1">
        <f t="array" ref="CL479">IF(CJ479=0,0,INDEX($D$459:$G$464,CJ479,CK479))</f>
        <v>0.5625</v>
      </c>
      <c r="CM479" s="695">
        <f>BZ479</f>
        <v>4</v>
      </c>
      <c r="CN479" s="695">
        <f t="shared" si="611"/>
        <v>2.25</v>
      </c>
      <c r="CO479" s="701">
        <f t="shared" si="612"/>
        <v>0.2475</v>
      </c>
      <c r="CV479" s="434" t="s">
        <v>188</v>
      </c>
      <c r="CW479" s="694">
        <f>IF(CW474=0,0,MATCH(CW474,CP459:CP464,0))</f>
        <v>1</v>
      </c>
      <c r="CX479" s="700">
        <f>IF(CW479=0,0,MATCH(CY466,CQ458:CT458,0))</f>
        <v>1</v>
      </c>
      <c r="CY479" s="695" cm="1">
        <f t="array" ref="CY479">IF(CW479=0,0,INDEX($D$459:$G$464,CW479,CX479))</f>
        <v>0.5625</v>
      </c>
      <c r="CZ479" s="695">
        <f>CM479</f>
        <v>4</v>
      </c>
      <c r="DA479" s="695">
        <f t="shared" si="613"/>
        <v>2.25</v>
      </c>
      <c r="DB479" s="701">
        <f t="shared" si="614"/>
        <v>0.2475</v>
      </c>
      <c r="DI479" s="434" t="s">
        <v>188</v>
      </c>
      <c r="DJ479" s="694">
        <f>IF(DJ474=0,0,MATCH(DJ474,DC459:DC464,0))</f>
        <v>1</v>
      </c>
      <c r="DK479" s="700">
        <f>IF(DJ479=0,0,MATCH(DL466,DD458:DG458,0))</f>
        <v>1</v>
      </c>
      <c r="DL479" s="695" cm="1">
        <f t="array" ref="DL479">IF(DJ479=0,0,INDEX($D$459:$G$464,DJ479,DK479))</f>
        <v>0.5625</v>
      </c>
      <c r="DM479" s="695">
        <f>CZ479</f>
        <v>4</v>
      </c>
      <c r="DN479" s="695">
        <f t="shared" si="615"/>
        <v>2.25</v>
      </c>
      <c r="DO479" s="701">
        <f t="shared" si="616"/>
        <v>0.2475</v>
      </c>
      <c r="DV479" s="434" t="s">
        <v>188</v>
      </c>
      <c r="DW479" s="694">
        <f>IF(DW474=0,0,MATCH(DW474,DP459:DP464,0))</f>
        <v>1</v>
      </c>
      <c r="DX479" s="700">
        <f>IF(DW479=0,0,MATCH(DY466,DQ458:DT458,0))</f>
        <v>1</v>
      </c>
      <c r="DY479" s="695" cm="1">
        <f t="array" ref="DY479">IF(DW479=0,0,INDEX($D$459:$G$464,DW479,DX479))</f>
        <v>0.5625</v>
      </c>
      <c r="DZ479" s="695">
        <f>DM479</f>
        <v>4</v>
      </c>
      <c r="EA479" s="695">
        <f t="shared" si="617"/>
        <v>2.25</v>
      </c>
      <c r="EB479" s="701">
        <f t="shared" si="618"/>
        <v>0.2475</v>
      </c>
      <c r="EI479" s="434" t="s">
        <v>188</v>
      </c>
      <c r="EJ479" s="694">
        <f>IF(EJ474=0,0,MATCH(EJ474,EC459:EC464,0))</f>
        <v>1</v>
      </c>
      <c r="EK479" s="700">
        <f>IF(EJ479=0,0,MATCH(EL466,ED458:EG458,0))</f>
        <v>1</v>
      </c>
      <c r="EL479" s="695" cm="1">
        <f t="array" ref="EL479">IF(EJ479=0,0,INDEX($D$459:$G$464,EJ479,EK479))</f>
        <v>0.5625</v>
      </c>
      <c r="EM479" s="695">
        <f>DZ479</f>
        <v>4</v>
      </c>
      <c r="EN479" s="695">
        <f t="shared" si="619"/>
        <v>2.25</v>
      </c>
      <c r="EO479" s="701">
        <f t="shared" si="620"/>
        <v>0.2475</v>
      </c>
      <c r="EV479" s="434" t="s">
        <v>188</v>
      </c>
      <c r="EW479" s="694">
        <f>IF(EW474=0,0,MATCH(EW474,EP459:EP464,0))</f>
        <v>0</v>
      </c>
      <c r="EX479" s="700">
        <f>IF(EW479=0,0,MATCH(EY466,EQ458:ET458,0))</f>
        <v>0</v>
      </c>
      <c r="EY479" s="695" cm="1">
        <f t="array" ref="EY479">IF(EW479=0,0,INDEX($D$459:$G$464,EW479,EX479))</f>
        <v>0</v>
      </c>
      <c r="EZ479" s="695">
        <f>Inputs!EQ41</f>
        <v>0</v>
      </c>
      <c r="FA479" s="695">
        <f t="shared" si="621"/>
        <v>0</v>
      </c>
      <c r="FB479" s="701">
        <f t="shared" si="622"/>
        <v>0</v>
      </c>
    </row>
    <row r="480" spans="3:158">
      <c r="D480" s="702">
        <v>450</v>
      </c>
      <c r="E480" s="703">
        <f>Cost!F508</f>
        <v>115</v>
      </c>
      <c r="G480" s="284">
        <v>4313.212523682887</v>
      </c>
      <c r="H480" s="284">
        <v>4738.6705627769188</v>
      </c>
      <c r="I480" s="436"/>
      <c r="J480" s="434"/>
      <c r="K480" s="434"/>
      <c r="L480" s="434"/>
      <c r="M480" s="434"/>
      <c r="N480" s="652">
        <f>SUM(N477:N479)</f>
        <v>61.3125</v>
      </c>
      <c r="O480" s="652">
        <f t="shared" si="600"/>
        <v>6.7443749999999998</v>
      </c>
      <c r="V480" s="436"/>
      <c r="W480" s="434"/>
      <c r="X480" s="434"/>
      <c r="Y480" s="434"/>
      <c r="Z480" s="434"/>
      <c r="AA480" s="652">
        <f>SUM(AA477:AA479)</f>
        <v>61.875</v>
      </c>
      <c r="AB480" s="652">
        <f t="shared" si="602"/>
        <v>6.8062500000000004</v>
      </c>
      <c r="AI480" s="436"/>
      <c r="AJ480" s="434"/>
      <c r="AK480" s="434"/>
      <c r="AL480" s="434"/>
      <c r="AM480" s="434"/>
      <c r="AN480" s="652">
        <f>SUM(AN477:AN479)</f>
        <v>61.875</v>
      </c>
      <c r="AO480" s="652">
        <f t="shared" si="604"/>
        <v>6.8062500000000004</v>
      </c>
      <c r="AV480" s="436"/>
      <c r="AW480" s="434"/>
      <c r="AX480" s="434"/>
      <c r="AY480" s="434"/>
      <c r="AZ480" s="434"/>
      <c r="BA480" s="652">
        <f>SUM(BA477:BA479)</f>
        <v>63</v>
      </c>
      <c r="BB480" s="652">
        <f t="shared" si="606"/>
        <v>6.93</v>
      </c>
      <c r="BI480" s="436"/>
      <c r="BJ480" s="434"/>
      <c r="BK480" s="434"/>
      <c r="BL480" s="434"/>
      <c r="BM480" s="434"/>
      <c r="BN480" s="652">
        <f>SUM(BN477:BN479)</f>
        <v>61.875</v>
      </c>
      <c r="BO480" s="652">
        <f t="shared" si="608"/>
        <v>6.8062500000000004</v>
      </c>
      <c r="BV480" s="436"/>
      <c r="BW480" s="434"/>
      <c r="BX480" s="434"/>
      <c r="BY480" s="434"/>
      <c r="BZ480" s="434"/>
      <c r="CA480" s="652">
        <f>SUM(CA477:CA479)</f>
        <v>60.75</v>
      </c>
      <c r="CB480" s="652">
        <f t="shared" si="610"/>
        <v>6.6825000000000001</v>
      </c>
      <c r="CI480" s="436"/>
      <c r="CJ480" s="434"/>
      <c r="CK480" s="434"/>
      <c r="CL480" s="434"/>
      <c r="CM480" s="434"/>
      <c r="CN480" s="652">
        <f>SUM(CN477:CN479)</f>
        <v>63</v>
      </c>
      <c r="CO480" s="652">
        <f t="shared" si="612"/>
        <v>6.93</v>
      </c>
      <c r="CV480" s="436"/>
      <c r="CW480" s="434"/>
      <c r="CX480" s="434"/>
      <c r="CY480" s="434"/>
      <c r="CZ480" s="434"/>
      <c r="DA480" s="652">
        <f>SUM(DA477:DA479)</f>
        <v>64.6875</v>
      </c>
      <c r="DB480" s="652">
        <f t="shared" si="614"/>
        <v>7.1156249999999996</v>
      </c>
      <c r="DI480" s="436"/>
      <c r="DJ480" s="434"/>
      <c r="DK480" s="434"/>
      <c r="DL480" s="434"/>
      <c r="DM480" s="434"/>
      <c r="DN480" s="652">
        <f>SUM(DN477:DN479)</f>
        <v>63.5625</v>
      </c>
      <c r="DO480" s="652">
        <f t="shared" si="616"/>
        <v>6.9918750000000003</v>
      </c>
      <c r="DV480" s="436"/>
      <c r="DW480" s="434"/>
      <c r="DX480" s="434"/>
      <c r="DY480" s="434"/>
      <c r="DZ480" s="434"/>
      <c r="EA480" s="652">
        <f>SUM(EA477:EA479)</f>
        <v>69.75</v>
      </c>
      <c r="EB480" s="652">
        <f t="shared" si="618"/>
        <v>7.6725000000000003</v>
      </c>
      <c r="EI480" s="436"/>
      <c r="EJ480" s="434"/>
      <c r="EK480" s="434"/>
      <c r="EL480" s="434"/>
      <c r="EM480" s="434"/>
      <c r="EN480" s="652">
        <f>SUM(EN477:EN479)</f>
        <v>69.75</v>
      </c>
      <c r="EO480" s="652">
        <f t="shared" si="620"/>
        <v>7.6725000000000003</v>
      </c>
      <c r="EV480" s="436"/>
      <c r="EW480" s="434"/>
      <c r="EX480" s="434"/>
      <c r="EY480" s="434"/>
      <c r="EZ480" s="434"/>
      <c r="FA480" s="652">
        <f>SUM(FA477:FA479)</f>
        <v>0</v>
      </c>
      <c r="FB480" s="652">
        <f t="shared" si="622"/>
        <v>0</v>
      </c>
    </row>
    <row r="481" spans="1:25">
      <c r="D481" s="702">
        <v>600</v>
      </c>
      <c r="E481" s="703">
        <f>Cost!F509</f>
        <v>155</v>
      </c>
      <c r="G481" s="284">
        <v>5048.5660978563537</v>
      </c>
      <c r="H481" s="284">
        <v>5546.2933343535651</v>
      </c>
    </row>
    <row r="482" spans="1:25">
      <c r="D482" s="702">
        <v>750</v>
      </c>
      <c r="E482" s="703">
        <f>Cost!F510</f>
        <v>190</v>
      </c>
      <c r="G482" s="284">
        <v>4910.3187423388081</v>
      </c>
      <c r="H482" s="284">
        <v>7501.7462656539974</v>
      </c>
    </row>
    <row r="483" spans="1:25">
      <c r="D483" s="702">
        <v>900</v>
      </c>
      <c r="E483" s="703">
        <f>Cost!F511</f>
        <v>240</v>
      </c>
      <c r="G483" s="284">
        <v>4221.1424568327539</v>
      </c>
      <c r="H483" s="284">
        <v>6282.8397319876931</v>
      </c>
    </row>
    <row r="484" spans="1:25">
      <c r="D484" s="702">
        <v>1050</v>
      </c>
      <c r="E484" s="703">
        <f>Cost!F512</f>
        <v>310</v>
      </c>
      <c r="G484" s="284">
        <v>3301.3182926817699</v>
      </c>
      <c r="H484" s="284">
        <v>3482.726418870659</v>
      </c>
    </row>
    <row r="485" spans="1:25">
      <c r="D485" s="702">
        <v>1200</v>
      </c>
      <c r="E485" s="703">
        <f>Cost!F513</f>
        <v>380</v>
      </c>
      <c r="G485" s="284">
        <v>3350.621662389045</v>
      </c>
      <c r="H485" s="284">
        <v>5023.6422725390994</v>
      </c>
    </row>
    <row r="486" spans="1:25">
      <c r="E486" s="703"/>
      <c r="G486" s="284">
        <v>2660.1129488987858</v>
      </c>
      <c r="H486" s="284">
        <v>3544.0463804779142</v>
      </c>
    </row>
    <row r="487" spans="1:25">
      <c r="C487" s="704"/>
      <c r="D487" s="705" t="s">
        <v>131</v>
      </c>
      <c r="E487" s="705"/>
      <c r="F487" s="705"/>
      <c r="G487" s="705">
        <v>2695.4558662516711</v>
      </c>
      <c r="H487" s="705">
        <v>3654.8817692965622</v>
      </c>
      <c r="I487" s="706"/>
      <c r="P487" s="707" t="s">
        <v>132</v>
      </c>
      <c r="Q487" s="705"/>
      <c r="R487" s="705"/>
      <c r="S487" s="705"/>
      <c r="T487" s="705"/>
      <c r="U487" s="706"/>
      <c r="V487" s="707" t="s">
        <v>907</v>
      </c>
      <c r="W487" s="705"/>
      <c r="X487" s="705"/>
      <c r="Y487" s="706"/>
    </row>
    <row r="488" spans="1:25" ht="23.25" thickBot="1">
      <c r="C488" s="708" t="s">
        <v>22</v>
      </c>
      <c r="D488" s="709" t="s">
        <v>908</v>
      </c>
      <c r="E488" s="709" t="s">
        <v>909</v>
      </c>
      <c r="K488" s="709" t="s">
        <v>910</v>
      </c>
      <c r="L488" s="709" t="s">
        <v>911</v>
      </c>
      <c r="M488" s="709" t="s">
        <v>905</v>
      </c>
      <c r="N488" s="710" t="s">
        <v>203</v>
      </c>
      <c r="P488" s="711" t="s">
        <v>911</v>
      </c>
      <c r="Q488" s="711" t="s">
        <v>905</v>
      </c>
      <c r="R488" s="712" t="s">
        <v>912</v>
      </c>
      <c r="S488" s="712" t="s">
        <v>913</v>
      </c>
      <c r="T488" s="712" t="s">
        <v>914</v>
      </c>
      <c r="U488" s="712" t="s">
        <v>915</v>
      </c>
      <c r="V488" s="712" t="s">
        <v>911</v>
      </c>
      <c r="W488" s="712" t="s">
        <v>916</v>
      </c>
      <c r="X488" s="712" t="s">
        <v>905</v>
      </c>
      <c r="Y488" s="712" t="s">
        <v>917</v>
      </c>
    </row>
    <row r="489" spans="1:25" ht="15">
      <c r="C489" s="713"/>
      <c r="D489" s="284">
        <v>450</v>
      </c>
      <c r="E489" s="284">
        <v>600</v>
      </c>
      <c r="F489" s="284">
        <v>750</v>
      </c>
      <c r="G489" s="432">
        <v>900</v>
      </c>
      <c r="H489" s="284">
        <v>1050</v>
      </c>
      <c r="I489" s="284">
        <v>1200</v>
      </c>
      <c r="K489" s="714"/>
      <c r="L489" s="714"/>
      <c r="M489" s="714"/>
      <c r="N489" s="715"/>
      <c r="P489" s="716"/>
      <c r="Q489" s="716"/>
      <c r="R489" s="717">
        <f>Cost!F495</f>
        <v>195</v>
      </c>
      <c r="S489" s="717">
        <f>Cost!F498</f>
        <v>1250</v>
      </c>
      <c r="T489" s="717">
        <f>Cost!F493</f>
        <v>65</v>
      </c>
      <c r="U489" s="717"/>
      <c r="V489" s="717"/>
      <c r="W489" s="717"/>
      <c r="X489" s="717"/>
      <c r="Y489" s="717"/>
    </row>
    <row r="490" spans="1:25" ht="15">
      <c r="A490" s="284">
        <f t="shared" ref="A490:A500" si="623">MAX(D490:I490)</f>
        <v>1471.4999999999995</v>
      </c>
      <c r="C490" s="718" t="str">
        <f>Database!D17</f>
        <v>RC Flat Slab</v>
      </c>
      <c r="D490" s="432">
        <f>IF(J464=450,K464*M464,0)+IF(J465=450,K465*M465)+IF(J466=450,K466*M466)+IF(J467=450,K467*M467)</f>
        <v>1471.4999999999995</v>
      </c>
      <c r="E490" s="284">
        <f>IF(J464=600,K464*M464,0)+IF(J465=600,K465*M465,0)+IF(J466=600,K466*M466,0)+IF(J467=600,K467*M467,0)</f>
        <v>0</v>
      </c>
      <c r="F490" s="284">
        <f>IF(J464=750,K464*M464,0)+IF(J465=750,K465*M465,0)+IF(J466=750,K466*M466,0)+IF(J467=750,K467*M467,0)</f>
        <v>0</v>
      </c>
      <c r="G490" s="284">
        <f>IF(J464=900,K464*M464,0)+IF(J465=900,K465*M465,0)+IF(J466=900,K466*M466,0)+IF(J467=900,K467*M467,0)</f>
        <v>0</v>
      </c>
      <c r="H490" s="432">
        <f>IF(J464=1050,K464*M464,0)+IF(J465=1050,K465*M465,0)+IF(J466=1050,K466*M466,0)+IF(J467=1050,K467*M467,0)</f>
        <v>0</v>
      </c>
      <c r="I490" s="432">
        <f>IF(J464=1200,K464*M464,0)+IF(J465=1200,K465*M465,0)+IF(J466=1200,K466*M466,0)+IF(J467=1200,K467*M467,0)</f>
        <v>0</v>
      </c>
      <c r="J490" s="719">
        <f>SUM(M464:M467)*SUM(Cost!F517:F519)+J502</f>
        <v>68150</v>
      </c>
      <c r="K490" s="720">
        <f>(D490*$E$480+E490*$E$481+F490*$E$482+G490*$E$483+H490*$E$484+I490*$E$485)+J490</f>
        <v>237372.49999999994</v>
      </c>
      <c r="L490" s="721">
        <f>IF(K490=0,0,N468)</f>
        <v>234.03196298146733</v>
      </c>
      <c r="M490" s="704">
        <f>IF(A490=0,0,N474)</f>
        <v>22.289340239999994</v>
      </c>
      <c r="N490" s="722">
        <f>K490</f>
        <v>237372.49999999994</v>
      </c>
      <c r="P490" s="723">
        <f>IF(A490=0,0,N480)</f>
        <v>61.3125</v>
      </c>
      <c r="Q490" s="724">
        <f>IF(A490=0,0,O480)</f>
        <v>6.7443749999999998</v>
      </c>
      <c r="R490" s="725">
        <f t="shared" ref="R490:R500" si="624">P490*R$489</f>
        <v>11955.9375</v>
      </c>
      <c r="S490" s="725">
        <f t="shared" ref="S490:S500" si="625">Q490*S$489</f>
        <v>8430.46875</v>
      </c>
      <c r="T490" s="725">
        <f t="shared" ref="T490:T500" si="626">T$489*P490</f>
        <v>3985.3125</v>
      </c>
      <c r="U490" s="725">
        <f>SUM(R490:T490)</f>
        <v>24371.71875</v>
      </c>
      <c r="V490" s="726">
        <f t="shared" ref="V490:V500" si="627">L490+P490</f>
        <v>295.34446298146736</v>
      </c>
      <c r="W490" s="727">
        <f>(V490*23*1000/9.81)/Summary!C$19</f>
        <v>120.21680414992051</v>
      </c>
      <c r="X490" s="727">
        <f t="shared" ref="X490:X500" si="628">SUM(M490,Q490)</f>
        <v>29.033715239999992</v>
      </c>
      <c r="Y490" s="727">
        <f>X490*1000/Summary!C$19</f>
        <v>5.0405755624999982</v>
      </c>
    </row>
    <row r="491" spans="1:25" ht="15">
      <c r="A491" s="284">
        <f t="shared" si="623"/>
        <v>1484.9999999999995</v>
      </c>
      <c r="C491" s="718" t="str">
        <f>Database!D18</f>
        <v>PT RC Flat Slab</v>
      </c>
      <c r="D491" s="432">
        <f>IF(W464=450,X464*Z464,0)+IF(W465=450,X465*Z465)+IF(W466=450,X466*Z466)+IF(W467=450,X467*Z467)</f>
        <v>1484.9999999999995</v>
      </c>
      <c r="E491" s="432">
        <f>IF(W464=600,X464*Z464,0)+IF(W465=600,X465*Z465,0)+IF(W466=600,X466*Z466,0)+IF(W467=600,X467*Z467,0)</f>
        <v>0</v>
      </c>
      <c r="F491" s="432">
        <f>IF(W464=750,X464*Z464,0)+IF(W465=750,X465*Z465,0)+IF(W466=750,X466*Z466,0)+IF(W467=750,X467*Z467,0)</f>
        <v>0</v>
      </c>
      <c r="G491" s="432">
        <f>IF(W464=900,X464*Z464,0)+IF(W465=900,X465*Z465,0)+IF(W466=900,X466*Z466,0)+IF(W467=900,X467*Z467,0)</f>
        <v>0</v>
      </c>
      <c r="H491" s="432">
        <f>IF(W464=1050,X464*Z464,0)+IF(W465=1050,X465*Z465,0)+IF(W466=1050,X466*Z466,0)+IF(W467=1050,X467*Z467,0)</f>
        <v>0</v>
      </c>
      <c r="I491" s="432">
        <f>IF(W464=1200,X464*Z464,0)+IF(W465=1200,X465*Z465,0)+IF(W466=1200,X466*Z466,0)+IF(W467=1200,X467*Z467,0)</f>
        <v>0</v>
      </c>
      <c r="J491" s="719">
        <f>SUM(Z464:Z467)*SUM(Cost!F517:F519)+J503</f>
        <v>68500</v>
      </c>
      <c r="K491" s="720">
        <f t="shared" ref="K491:K500" si="629">(D491*$E$480+E491*$E$481+F491*$E$482+G491*$E$483+H491*$E$484+I491*$E$485)+J491</f>
        <v>239274.99999999994</v>
      </c>
      <c r="L491" s="721">
        <f>IF(K491=0,0,AA468)</f>
        <v>236.17904521065509</v>
      </c>
      <c r="M491" s="704">
        <f>IF(A491=0,0,AA474)</f>
        <v>22.493829599999998</v>
      </c>
      <c r="N491" s="722">
        <f t="shared" ref="N491:N500" si="630">K491</f>
        <v>239274.99999999994</v>
      </c>
      <c r="P491" s="723">
        <f>IF(A491=0,0,AA480)</f>
        <v>61.875</v>
      </c>
      <c r="Q491" s="724">
        <f>IF(A491=0,0,AB480)</f>
        <v>6.8062500000000004</v>
      </c>
      <c r="R491" s="725">
        <f t="shared" si="624"/>
        <v>12065.625</v>
      </c>
      <c r="S491" s="725">
        <f t="shared" si="625"/>
        <v>8507.8125</v>
      </c>
      <c r="T491" s="725">
        <f t="shared" si="626"/>
        <v>4021.875</v>
      </c>
      <c r="U491" s="725">
        <f t="shared" ref="U491:U500" si="631">SUM(R491:T491)</f>
        <v>24595.3125</v>
      </c>
      <c r="V491" s="726">
        <f t="shared" si="627"/>
        <v>298.05404521065509</v>
      </c>
      <c r="W491" s="727">
        <f>(V491*23*1000/9.81)/Summary!C$19</f>
        <v>121.31971061001151</v>
      </c>
      <c r="X491" s="727">
        <f t="shared" si="628"/>
        <v>29.300079599999997</v>
      </c>
      <c r="Y491" s="727">
        <f>X491*1000/Summary!C$19</f>
        <v>5.0868193749999993</v>
      </c>
    </row>
    <row r="492" spans="1:25" ht="15">
      <c r="A492" s="284">
        <f t="shared" si="623"/>
        <v>1484.9999999999995</v>
      </c>
      <c r="C492" s="718" t="str">
        <f>Database!D19</f>
        <v>RC Rib Slab</v>
      </c>
      <c r="D492" s="432">
        <f>IF(AJ464=450,AK464*AM464,0)+IF(AJ465=450,AK465*AM465)+IF(AJ466=450,AK466*AM466)+IF(AJ467=450,AK467*AM467)</f>
        <v>1484.9999999999995</v>
      </c>
      <c r="E492" s="432">
        <f>IF(AJ464=600,AK464*AM464,0)+IF(AJ465=600,AK465*AM465,0)+IF(AJ466=600,AK466*AM466,0)+IF(AJ467=600,AK467*AM467,0)</f>
        <v>0</v>
      </c>
      <c r="F492" s="432">
        <f>IF(AJ464=750,AK464*AM464,0)+IF(AJ465=750,AK465*AM465,0)+IF(AJ466=750,AK466*AM466,0)+IF(AJ467=750,AK467*AM467,0)</f>
        <v>0</v>
      </c>
      <c r="G492" s="432">
        <f>IF(AJ464=900,AK464*AM464,0)+IF(AJ465=900,AK465*AM465,0)+IF(AJ466=900,AK466*AM466,0)+IF(AJ467=900,AK467*AM467,0)</f>
        <v>0</v>
      </c>
      <c r="H492" s="432">
        <f>IF(AJ464=1050,AK464*AM464,0)+IF(AJ465=1050,AK465*AM465,0)+IF(AJ466=1050,AK466*AM466,0)+IF(AJ467=1050,AK467*AM467,0)</f>
        <v>0</v>
      </c>
      <c r="I492" s="432">
        <f>IF(AJ464=1200,AK464*AM464,0)+IF(AJ465=1200,AK465*AM465,0)+IF(AJ466=1200,AK466*AM466,0)+IF(AJ467=1200,AK467*AM467,0)</f>
        <v>0</v>
      </c>
      <c r="J492" s="719">
        <f>SUM(AM464:AM467)*SUM(Cost!F517:F519)+J504</f>
        <v>68500</v>
      </c>
      <c r="K492" s="720">
        <f t="shared" si="629"/>
        <v>239274.99999999994</v>
      </c>
      <c r="L492" s="721">
        <f>IF(K492=0,0,AN468)</f>
        <v>236.17904521065509</v>
      </c>
      <c r="M492" s="704">
        <f>IF(A492=0,0,AN474)</f>
        <v>22.493829599999998</v>
      </c>
      <c r="N492" s="722">
        <f t="shared" si="630"/>
        <v>239274.99999999994</v>
      </c>
      <c r="P492" s="723">
        <f>IF(A492=0,0,AN480)</f>
        <v>61.875</v>
      </c>
      <c r="Q492" s="724">
        <f>IF(A492=0,0,AO480)</f>
        <v>6.8062500000000004</v>
      </c>
      <c r="R492" s="725">
        <f t="shared" si="624"/>
        <v>12065.625</v>
      </c>
      <c r="S492" s="725">
        <f t="shared" si="625"/>
        <v>8507.8125</v>
      </c>
      <c r="T492" s="725">
        <f t="shared" si="626"/>
        <v>4021.875</v>
      </c>
      <c r="U492" s="725">
        <f t="shared" si="631"/>
        <v>24595.3125</v>
      </c>
      <c r="V492" s="726">
        <f t="shared" si="627"/>
        <v>298.05404521065509</v>
      </c>
      <c r="W492" s="727">
        <f>(V492*23*1000/9.81)/Summary!C$19</f>
        <v>121.31971061001151</v>
      </c>
      <c r="X492" s="727">
        <f t="shared" si="628"/>
        <v>29.300079599999997</v>
      </c>
      <c r="Y492" s="727">
        <f>X492*1000/Summary!C$19</f>
        <v>5.0868193749999993</v>
      </c>
    </row>
    <row r="493" spans="1:25" ht="15">
      <c r="A493" s="284">
        <f t="shared" si="623"/>
        <v>1511.9999999999995</v>
      </c>
      <c r="C493" s="718" t="str">
        <f>Database!D20</f>
        <v>Two-way RC Slab</v>
      </c>
      <c r="D493" s="432">
        <f>IF(AW464=450,AX464*AZ464,0)+IF(AW465=450,AX465*AZ465)+IF(AW466=450,AX466*AZ466)+IF(AW467=450,AX467*AZ467)</f>
        <v>1511.9999999999995</v>
      </c>
      <c r="E493" s="432">
        <f>IF(AW464=600,AX464*AZ464,0)+IF(AW465=600,AX465*AZ465,0)+IF(AW466=600,AX466*AZ466,0)+IF(AW467=600,AX467*AZ467,0)</f>
        <v>0</v>
      </c>
      <c r="F493" s="432">
        <f>IF(AW464=750,AX464*AZ464,0)+IF(AW465=750,AX465*AZ465,0)+IF(AW466=750,AX466*AZ466,0)+IF(AW467=750,AX467*AZ467,0)</f>
        <v>0</v>
      </c>
      <c r="G493" s="432">
        <f>IF(AW464=900,AX464*AZ464,0)+IF(AW465=900,AX465*AZ465,0)+IF(AW466=900,AX466*AZ466,0)+IF(AW467=900,AX467*AZ467,0)</f>
        <v>0</v>
      </c>
      <c r="H493" s="432">
        <f>IF(AW464=1050,AX464*AZ464,0)+IF(AW465=1050,AX465*AZ465,0)+IF(AW466=1050,AX466*AZ466,0)+IF(AW467=1050,AX467*AZ467,0)</f>
        <v>0</v>
      </c>
      <c r="I493" s="432">
        <f>IF(AW464=1200,AX464*AZ464,0)+IF(AW465=1200,AX465*AZ465,0)+IF(AW466=1200,AX466*AZ466,0)+IF(AW467=1200,AX467*AZ467,0)</f>
        <v>0</v>
      </c>
      <c r="J493" s="719">
        <f>SUM(AZ464:AZ467)*SUM(Cost!F517:F519)+J505</f>
        <v>69200</v>
      </c>
      <c r="K493" s="720">
        <f t="shared" si="629"/>
        <v>243079.99999999994</v>
      </c>
      <c r="L493" s="721">
        <f>IF(K493=0,0,BA468)</f>
        <v>240.47320966903067</v>
      </c>
      <c r="M493" s="704">
        <f>IF(A493=0,0,BA474)</f>
        <v>22.902808319999995</v>
      </c>
      <c r="N493" s="722">
        <f t="shared" si="630"/>
        <v>243079.99999999994</v>
      </c>
      <c r="P493" s="723">
        <f>IF(A493=0,0,BA480)</f>
        <v>63</v>
      </c>
      <c r="Q493" s="724">
        <f>IF(A493=0,0,BB480)</f>
        <v>6.93</v>
      </c>
      <c r="R493" s="725">
        <f t="shared" si="624"/>
        <v>12285</v>
      </c>
      <c r="S493" s="725">
        <f t="shared" si="625"/>
        <v>8662.5</v>
      </c>
      <c r="T493" s="725">
        <f t="shared" si="626"/>
        <v>4095</v>
      </c>
      <c r="U493" s="725">
        <f t="shared" si="631"/>
        <v>25042.5</v>
      </c>
      <c r="V493" s="726">
        <f t="shared" si="627"/>
        <v>303.47320966903067</v>
      </c>
      <c r="W493" s="727">
        <f>(V493*23*1000/9.81)/Summary!C$19</f>
        <v>123.52552353019357</v>
      </c>
      <c r="X493" s="727">
        <f t="shared" si="628"/>
        <v>29.832808319999994</v>
      </c>
      <c r="Y493" s="727">
        <f>X493*1000/Summary!C$19</f>
        <v>5.1793069999999988</v>
      </c>
    </row>
    <row r="494" spans="1:25" ht="15">
      <c r="A494" s="284">
        <f t="shared" si="623"/>
        <v>1484.9999999999995</v>
      </c>
      <c r="C494" s="718" t="str">
        <f>Database!D21</f>
        <v>One-Way Spanning RC</v>
      </c>
      <c r="D494" s="432">
        <f>IF(BJ464=450,BK464*BM464,0)+IF(BJ465=450,BK465*BM465)+IF(BJ466=450,BK466*BM466)+IF(BJ467=450,BK467*BM467)</f>
        <v>1484.9999999999995</v>
      </c>
      <c r="E494" s="432">
        <f>IF(BJ464=600,BK464*BM464,0)+IF(BJ465=600,BK465*BM465,0)+IF(BJ466=600,BK466*BM466,0)+IF(BJ467=600,BK467*BM467,0)</f>
        <v>0</v>
      </c>
      <c r="F494" s="432">
        <f>IF(BJ464=750,BK464*BM464,0)+IF(BJ465=750,BK465*BM465,0)+IF(BJ466=750,BK466*BM466,0)+IF(BJ467=750,BK467*BM467,0)</f>
        <v>0</v>
      </c>
      <c r="G494" s="432">
        <f>IF(BJ464=900,BK464*BM464,0)+IF(BJ465=900,BK465*BM465,0)+IF(BJ466=900,BK466*BM466,0)+IF(BJ467=900,BK467*BM467,0)</f>
        <v>0</v>
      </c>
      <c r="H494" s="432">
        <f>IF(BJ464=1050,BK464*BM464,0)+IF(BJ465=1050,BK465*BM465,0)+IF(BJ466=1050,BK466*BM466,0)+IF(BJ467=1050,BK467*BM467,0)</f>
        <v>0</v>
      </c>
      <c r="I494" s="432">
        <f>IF(BJ464=1200,BK464*BM464,0)+IF(BJ465=1200,BK465*BM465,0)+IF(BJ466=1200,BK466*BM466,0)+IF(BJ467=1200,BK467*BM467,0)</f>
        <v>0</v>
      </c>
      <c r="J494" s="719">
        <f>SUM(BM464:BM467)*SUM(Cost!F517:F519)+J506</f>
        <v>68500</v>
      </c>
      <c r="K494" s="720">
        <f t="shared" si="629"/>
        <v>239274.99999999994</v>
      </c>
      <c r="L494" s="721">
        <f>IF(K494=0,0,BN468)</f>
        <v>236.17904521065509</v>
      </c>
      <c r="M494" s="704">
        <f>IF(A494=0,0,BN474)</f>
        <v>22.493829599999998</v>
      </c>
      <c r="N494" s="722">
        <f t="shared" si="630"/>
        <v>239274.99999999994</v>
      </c>
      <c r="P494" s="723">
        <f>IF(A494=0,0,BN480)</f>
        <v>61.875</v>
      </c>
      <c r="Q494" s="724">
        <f>IF(A494=0,0,BO480)</f>
        <v>6.8062500000000004</v>
      </c>
      <c r="R494" s="725">
        <f t="shared" si="624"/>
        <v>12065.625</v>
      </c>
      <c r="S494" s="725">
        <f t="shared" si="625"/>
        <v>8507.8125</v>
      </c>
      <c r="T494" s="725">
        <f t="shared" si="626"/>
        <v>4021.875</v>
      </c>
      <c r="U494" s="725">
        <f t="shared" si="631"/>
        <v>24595.3125</v>
      </c>
      <c r="V494" s="726">
        <f t="shared" si="627"/>
        <v>298.05404521065509</v>
      </c>
      <c r="W494" s="727">
        <f>(V494*23*1000/9.81)/Summary!C$19</f>
        <v>121.31971061001151</v>
      </c>
      <c r="X494" s="727">
        <f t="shared" si="628"/>
        <v>29.300079599999997</v>
      </c>
      <c r="Y494" s="727">
        <f>X494*1000/Summary!C$19</f>
        <v>5.0868193749999993</v>
      </c>
    </row>
    <row r="495" spans="1:25" s="684" customFormat="1" ht="15">
      <c r="A495" s="684">
        <f t="shared" si="623"/>
        <v>1565.9999999999995</v>
      </c>
      <c r="C495" s="728" t="str">
        <f>Database!D22</f>
        <v>Precast Hollowcore with In-situ RC Beams</v>
      </c>
      <c r="D495" s="729">
        <f>IF(BW464=450,BX464*BZ464,0)+IF(BW465=450,BX465*BZ465)+IF(BW466=450,BX466*BZ466)+IF(BW467=450,BX467*BZ467)</f>
        <v>1565.9999999999995</v>
      </c>
      <c r="E495" s="729">
        <f>IF(BW464=600,BX464*BZ464,0)+IF(BW465=600,BX465*BZ465,0)+IF(BW466=600,BX466*BZ466,0)+IF(BW467=600,BX467*BZ467,0)</f>
        <v>0</v>
      </c>
      <c r="F495" s="729">
        <f>IF(BW464=750,BX464*BZ464,0)+IF(BW465=750,BX465*BZ465,0)+IF(BW466=750,BX466*BZ466,0)+IF(BW467=750,BX467*BZ467,0)</f>
        <v>0</v>
      </c>
      <c r="G495" s="729">
        <f>IF(BW464=900,BX464*BZ464,0)+IF(BW465=900,BX465*BZ465,0)+IF(BW466=900,BX466*BZ466,0)+IF(BW467=900,BX467*BZ467,0)</f>
        <v>0</v>
      </c>
      <c r="H495" s="729">
        <f>IF(BW464=1050,BX464*BZ464,0)+IF(BW465=1050,BX465*BZ465,0)+IF(BW466=1050,BX466*BZ466,0)+IF(BW467=1050,BX467*BZ467,0)</f>
        <v>0</v>
      </c>
      <c r="I495" s="729">
        <f>IF(BW464=1200,BX464*BZ464,0)+IF(BW465=1200,BX465*BZ465,0)+IF(BW466=1200,BX466*BZ466,0)+IF(BW467=1200,BX467*BZ467,0)</f>
        <v>0</v>
      </c>
      <c r="J495" s="730">
        <f>SUM(BZ464:BZ467)*SUM(Cost!F517:F519)+J507</f>
        <v>67800</v>
      </c>
      <c r="K495" s="720">
        <f t="shared" si="629"/>
        <v>247889.99999999994</v>
      </c>
      <c r="L495" s="731">
        <f>IF(K495=0,0,CA468)</f>
        <v>249.06153858578176</v>
      </c>
      <c r="M495" s="732">
        <f>IF(A495=0,0,CA474)</f>
        <v>23.720765759999992</v>
      </c>
      <c r="N495" s="722">
        <f t="shared" si="630"/>
        <v>247889.99999999994</v>
      </c>
      <c r="P495" s="733">
        <f>IF(A495=0,0,CA480)</f>
        <v>60.75</v>
      </c>
      <c r="Q495" s="734">
        <f>IF(A495=0,0,CB480)</f>
        <v>6.6825000000000001</v>
      </c>
      <c r="R495" s="735">
        <f t="shared" si="624"/>
        <v>11846.25</v>
      </c>
      <c r="S495" s="735">
        <f t="shared" si="625"/>
        <v>8353.125</v>
      </c>
      <c r="T495" s="735">
        <f t="shared" si="626"/>
        <v>3948.75</v>
      </c>
      <c r="U495" s="735">
        <f t="shared" si="631"/>
        <v>24148.125</v>
      </c>
      <c r="V495" s="736">
        <f t="shared" si="627"/>
        <v>309.81153858578176</v>
      </c>
      <c r="W495" s="737">
        <f>(V495*23*1000/9.81)/Summary!C$19</f>
        <v>126.10547251021103</v>
      </c>
      <c r="X495" s="737">
        <f t="shared" si="628"/>
        <v>30.403265759999993</v>
      </c>
      <c r="Y495" s="737">
        <f>X495*1000/Summary!C$19</f>
        <v>5.2783447499999987</v>
      </c>
    </row>
    <row r="496" spans="1:25" ht="15">
      <c r="A496" s="284">
        <f t="shared" si="623"/>
        <v>1505.9999999999995</v>
      </c>
      <c r="C496" s="718" t="str">
        <f>Database!D23</f>
        <v>Non-Composite Rolled Steel with PCC Planks</v>
      </c>
      <c r="D496" s="432">
        <f>IF(CJ464=450,CK464*CM464,0)+IF(CJ465=450,CK465*CM465)+IF(CJ466=450,CK466*CM466)+IF(CJ467=450,CK467*CM467)</f>
        <v>1505.9999999999995</v>
      </c>
      <c r="E496" s="432">
        <f>IF(CJ464=600,CK464*CM464,0)+IF(CJ465=600,CK465*CM465,0)+IF(CJ466=600,CK466*CM466,0)+IF(CJ467=600,CK467*CM467,0)</f>
        <v>0</v>
      </c>
      <c r="F496" s="432">
        <f>IF(CJ464=750,CK464*CM464,0)+IF(CJ465=750,CK465*CM465,0)+IF(CJ466=750,CK466*CM466,0)+IF(CJ467=750,CK467*CM467,0)</f>
        <v>0</v>
      </c>
      <c r="G496" s="432">
        <f>IF(CJ464=900,CK464*CM464,0)+IF(CJ465=900,CK465*CM465,0)+IF(CJ466=900,CK466*CM466,0)+IF(CJ467=900,CK467*CM467,0)</f>
        <v>0</v>
      </c>
      <c r="H496" s="432">
        <f>IF(CJ464=1050,CK464*CM464,0)+IF(CJ465=1050,CK465*CM465,0)+IF(CJ466=1050,CK466*CM466,0)+IF(CJ467=1050,CK467*CM467,0)</f>
        <v>0</v>
      </c>
      <c r="I496" s="432">
        <f>IF(CJ464=1200,CK464*CM464,0)+IF(CJ465=1200,CK465*CM465,0)+IF(CJ466=1200,CK466*CM466,0)+IF(CJ467=1200,CK467*CM467,0)</f>
        <v>0</v>
      </c>
      <c r="J496" s="719">
        <f>SUM(CM464:CM467)*SUM(Cost!F517:F519)+J508</f>
        <v>69200</v>
      </c>
      <c r="K496" s="720">
        <f t="shared" si="629"/>
        <v>242389.99999999994</v>
      </c>
      <c r="L496" s="721">
        <f>IF(K496=0,0,CN468)</f>
        <v>239.51895090050277</v>
      </c>
      <c r="M496" s="704">
        <f>IF(A496=0,0,CN474)</f>
        <v>22.811924159999993</v>
      </c>
      <c r="N496" s="722">
        <f t="shared" si="630"/>
        <v>242389.99999999994</v>
      </c>
      <c r="P496" s="723">
        <f>IF(A496=0,0,CN480)</f>
        <v>63</v>
      </c>
      <c r="Q496" s="724">
        <f>IF(A496=0,0,CO480)</f>
        <v>6.93</v>
      </c>
      <c r="R496" s="725">
        <f t="shared" si="624"/>
        <v>12285</v>
      </c>
      <c r="S496" s="725">
        <f t="shared" si="625"/>
        <v>8662.5</v>
      </c>
      <c r="T496" s="725">
        <f t="shared" si="626"/>
        <v>4095</v>
      </c>
      <c r="U496" s="725">
        <f t="shared" si="631"/>
        <v>25042.5</v>
      </c>
      <c r="V496" s="726">
        <f t="shared" si="627"/>
        <v>302.51895090050277</v>
      </c>
      <c r="W496" s="727">
        <f>(V496*23*1000/9.81)/Summary!C$19</f>
        <v>123.13710270683902</v>
      </c>
      <c r="X496" s="727">
        <f t="shared" si="628"/>
        <v>29.741924159999993</v>
      </c>
      <c r="Y496" s="727">
        <f>X496*1000/Summary!C$19</f>
        <v>5.1635284999999982</v>
      </c>
    </row>
    <row r="497" spans="1:25" ht="15">
      <c r="A497" s="284">
        <f t="shared" si="623"/>
        <v>1542.8999999999996</v>
      </c>
      <c r="C497" s="718" t="str">
        <f>Database!D24</f>
        <v>Composite Rolled Steel with Metal Decking</v>
      </c>
      <c r="D497" s="432">
        <f>IF(CW464=450,CX464*CZ464,0)+IF(CW465=450,CX465*CZ465)+IF(CW466=450,CX466*CZ466)+IF(CW467=450,CX467*CZ467)</f>
        <v>1542.8999999999996</v>
      </c>
      <c r="E497" s="432">
        <f>IF(CW464=600,CX464*CZ464,0)+IF(CW465=600,CX465*CZ465,0)+IF(CW466=600,CX466*CZ466,0)+IF(CW467=600,CX467*CZ467,0)</f>
        <v>0</v>
      </c>
      <c r="F497" s="432">
        <f>IF(CW464=750,CX464*CZ464,0)+IF(CW465=750,CX465*CZ465,0)+IF(CW466=750,CX466*CZ466,0)+IF(CW467=750,CX467*CZ467,0)</f>
        <v>0</v>
      </c>
      <c r="G497" s="432">
        <f>IF(CW464=900,CX464*CZ464,0)+IF(CW465=900,CX465*CZ465,0)+IF(CW466=900,CX466*CZ466,0)+IF(CW467=900,CX467*CZ467,0)</f>
        <v>0</v>
      </c>
      <c r="H497" s="432">
        <f>IF(CW464=1050,CX464*CZ464,0)+IF(CW465=1050,CX465*CZ465,0)+IF(CW466=1050,CX466*CZ466,0)+IF(CW467=1050,CX467*CZ467,0)</f>
        <v>0</v>
      </c>
      <c r="I497" s="432">
        <f>IF(CW464=1200,CX464*CZ464,0)+IF(CW465=1200,CX465*CZ465,0)+IF(CW466=1200,CX466*CZ466,0)+IF(CW467=1200,CX467*CZ467,0)</f>
        <v>0</v>
      </c>
      <c r="J497" s="719">
        <f>SUM(CZ464:CZ467)*SUM(Cost!F517:F519)+J509</f>
        <v>70250</v>
      </c>
      <c r="K497" s="720">
        <f t="shared" si="629"/>
        <v>247683.49999999997</v>
      </c>
      <c r="L497" s="721">
        <f>IF(K497=0,0,DA468)</f>
        <v>245.38764232694933</v>
      </c>
      <c r="M497" s="704">
        <f>IF(A497=0,0,DA474)</f>
        <v>23.370861743999995</v>
      </c>
      <c r="N497" s="722">
        <f t="shared" si="630"/>
        <v>247683.49999999997</v>
      </c>
      <c r="P497" s="723">
        <f>IF(A497=0,0,DA480)</f>
        <v>64.6875</v>
      </c>
      <c r="Q497" s="724">
        <f>IF(A497=0,0,DB480)</f>
        <v>7.1156249999999996</v>
      </c>
      <c r="R497" s="725">
        <f t="shared" si="624"/>
        <v>12614.0625</v>
      </c>
      <c r="S497" s="725">
        <f t="shared" si="625"/>
        <v>8894.53125</v>
      </c>
      <c r="T497" s="725">
        <f t="shared" si="626"/>
        <v>4204.6875</v>
      </c>
      <c r="U497" s="725">
        <f t="shared" si="631"/>
        <v>25713.28125</v>
      </c>
      <c r="V497" s="726">
        <f t="shared" si="627"/>
        <v>310.07514232694933</v>
      </c>
      <c r="W497" s="727">
        <f>(V497*23*1000/9.81)/Summary!C$19</f>
        <v>126.21276959309935</v>
      </c>
      <c r="X497" s="727">
        <f t="shared" si="628"/>
        <v>30.486486743999997</v>
      </c>
      <c r="Y497" s="727">
        <f>X497*1000/Summary!C$19</f>
        <v>5.2927928374999995</v>
      </c>
    </row>
    <row r="498" spans="1:25" ht="15">
      <c r="A498" s="284">
        <f t="shared" si="623"/>
        <v>1515.8999999999996</v>
      </c>
      <c r="C498" s="718" t="str">
        <f>Database!D25</f>
        <v>Composite Cell Beams with Metal Decking</v>
      </c>
      <c r="D498" s="432">
        <f>IF(DJ464=450,DK464*DM464,0)+IF(DJ465=450,DK465*DM465)+IF(DJ466=450,DK466*DM466)+IF(DJ467=450,DK467*DM467)</f>
        <v>1515.8999999999996</v>
      </c>
      <c r="E498" s="432">
        <f>IF(DJ464=600,DK464*DM464,0)+IF(DJ465=600,DK465*DM465,0)+IF(DJ466=600,DK466*DM466,0)+IF(DJ467=600,DK467*DM467,0)</f>
        <v>0</v>
      </c>
      <c r="F498" s="432">
        <f>IF(DJ464=750,DK464*DM464,0)+IF(DJ465=750,DK465*DM465,0)+IF(DJ466=750,DK466*DM466,0)+IF(DJ467=750,DK467*DM467,0)</f>
        <v>0</v>
      </c>
      <c r="G498" s="432">
        <f>IF(DJ464=900,DK464*DM464,0)+IF(DJ465=900,DK465*DM465,0)+IF(DJ466=900,DK466*DM466,0)+IF(DJ467=900,DK467*DM467,0)</f>
        <v>0</v>
      </c>
      <c r="H498" s="432">
        <f>IF(DJ464=1050,DK464*DM464,0)+IF(DJ465=1050,DK465*DM465,0)+IF(DJ466=1050,DK466*DM466,0)+IF(DJ467=1050,DK467*DM467,0)</f>
        <v>0</v>
      </c>
      <c r="I498" s="432">
        <f>IF(DJ464=1200,DK464*DM464,0)+IF(DJ465=1200,DK465*DM465,0)+IF(DJ466=1200,DK466*DM466,0)+IF(DJ467=1200,DK467*DM467,0)</f>
        <v>0</v>
      </c>
      <c r="J498" s="719">
        <f>SUM(DM464:DM467)*SUM(Cost!F517:F519)+J510</f>
        <v>69550</v>
      </c>
      <c r="K498" s="720">
        <f t="shared" si="629"/>
        <v>243878.49999999997</v>
      </c>
      <c r="L498" s="721">
        <f>IF(K498=0,0,DN468)</f>
        <v>241.09347786857379</v>
      </c>
      <c r="M498" s="704">
        <f>IF(A498=0,0,DN474)</f>
        <v>22.961883023999995</v>
      </c>
      <c r="N498" s="722">
        <f t="shared" si="630"/>
        <v>243878.49999999997</v>
      </c>
      <c r="P498" s="723">
        <f>IF(A498=0,0,DN480)</f>
        <v>63.5625</v>
      </c>
      <c r="Q498" s="724">
        <f>IF(A498=0,0,DO480)</f>
        <v>6.9918750000000003</v>
      </c>
      <c r="R498" s="725">
        <f t="shared" si="624"/>
        <v>12394.6875</v>
      </c>
      <c r="S498" s="725">
        <f t="shared" si="625"/>
        <v>8739.84375</v>
      </c>
      <c r="T498" s="725">
        <f t="shared" si="626"/>
        <v>4131.5625</v>
      </c>
      <c r="U498" s="725">
        <f t="shared" si="631"/>
        <v>25266.09375</v>
      </c>
      <c r="V498" s="726">
        <f t="shared" si="627"/>
        <v>304.65597786857381</v>
      </c>
      <c r="W498" s="727">
        <f>(V498*23*1000/9.81)/Summary!C$19</f>
        <v>124.00695667291731</v>
      </c>
      <c r="X498" s="727">
        <f t="shared" si="628"/>
        <v>29.953758023999995</v>
      </c>
      <c r="Y498" s="727">
        <f>X498*1000/Summary!C$19</f>
        <v>5.2003052124999991</v>
      </c>
    </row>
    <row r="499" spans="1:25" ht="15">
      <c r="A499" s="284">
        <f t="shared" si="623"/>
        <v>1643.9999999999995</v>
      </c>
      <c r="C499" s="718" t="str">
        <f>Database!D26</f>
        <v>Steel Frame with CLT Slabs</v>
      </c>
      <c r="D499" s="432">
        <f>IF(DW464=450,DX464*DZ464,0)+IF(DW465=450,DX465*DZ465)+IF(DW466=450,DX466*DZ466)+IF(DW467=450,DX467*DZ467)</f>
        <v>1643.9999999999995</v>
      </c>
      <c r="E499" s="432">
        <f>IF(DW464=600,DX464*DZ464,0)+IF(DW465=600,DX465*DZ465,0)+IF(DW466=600,DX466*DZ466,0)+IF(DW467=600,DX467*DZ467,0)</f>
        <v>0</v>
      </c>
      <c r="F499" s="432">
        <f>IF(DW464=750,DX464*DZ464,0)+IF(DW465=750,DX465*DZ465,0)+IF(DW466=750,DX466*DZ466,0)+IF(DW467=750,DX467*DZ467,0)</f>
        <v>0</v>
      </c>
      <c r="G499" s="432">
        <f>IF(DW464=900,DX464*DZ464,0)+IF(DW465=900,DX465*DZ465,0)+IF(DW466=900,DX466*DZ466,0)+IF(DW467=900,DX467*DZ467,0)</f>
        <v>0</v>
      </c>
      <c r="H499" s="432">
        <f>IF(DW464=1050,DX464*DZ464,0)+IF(DW465=1050,DX465*DZ465,0)+IF(DW466=1050,DX466*DZ466,0)+IF(DW467=1050,DX467*DZ467,0)</f>
        <v>0</v>
      </c>
      <c r="I499" s="432">
        <f>IF(DW464=1200,DX464*DZ464,0)+IF(DW465=1200,DX465*DZ465,0)+IF(DW466=1200,DX466*DZ466,0)+IF(DW467=1200,DX467*DZ467,0)</f>
        <v>0</v>
      </c>
      <c r="J499" s="719">
        <f>SUM(DZ464:DZ467)*SUM(Cost!F517:F519)+J511</f>
        <v>73400</v>
      </c>
      <c r="K499" s="720">
        <f t="shared" si="629"/>
        <v>262459.99999999994</v>
      </c>
      <c r="L499" s="721">
        <f>IF(K499=0,0,EA468)</f>
        <v>261.46690257664443</v>
      </c>
      <c r="M499" s="704">
        <f>IF(A499=0,0,EA474)</f>
        <v>24.902259839999992</v>
      </c>
      <c r="N499" s="722">
        <f t="shared" si="630"/>
        <v>262459.99999999994</v>
      </c>
      <c r="P499" s="723">
        <f>IF(A499=0,0,EA480)</f>
        <v>69.75</v>
      </c>
      <c r="Q499" s="724">
        <f>IF(A499=0,0,EB480)</f>
        <v>7.6725000000000003</v>
      </c>
      <c r="R499" s="725">
        <f t="shared" si="624"/>
        <v>13601.25</v>
      </c>
      <c r="S499" s="725">
        <f t="shared" si="625"/>
        <v>9590.625</v>
      </c>
      <c r="T499" s="725">
        <f t="shared" si="626"/>
        <v>4533.75</v>
      </c>
      <c r="U499" s="725">
        <f t="shared" si="631"/>
        <v>27725.625</v>
      </c>
      <c r="V499" s="726">
        <f t="shared" si="627"/>
        <v>331.21690257664443</v>
      </c>
      <c r="W499" s="727">
        <f>(V499*23*1000/9.81)/Summary!C$19</f>
        <v>134.81829693451306</v>
      </c>
      <c r="X499" s="727">
        <f t="shared" si="628"/>
        <v>32.574759839999992</v>
      </c>
      <c r="Y499" s="727">
        <f>X499*1000/Summary!C$19</f>
        <v>5.6553402499999983</v>
      </c>
    </row>
    <row r="500" spans="1:25" ht="15">
      <c r="A500" s="284">
        <f t="shared" si="623"/>
        <v>1643.9999999999995</v>
      </c>
      <c r="C500" s="718" t="str">
        <f>Database!D27</f>
        <v>CLT, Glulam and Steel Column Hybrid</v>
      </c>
      <c r="D500" s="284">
        <f>IF(EJ464=450,EK464*EM464,0)+IF(EJ465=450,EK465*EM465)+IF(EJ466=450,EK466*EM466)+IF(EJ467=450,EK467*EM467)</f>
        <v>1643.9999999999995</v>
      </c>
      <c r="E500" s="284">
        <f>IF(EJ464=600,EK464*EM464,0)+IF(EJ465=600,EK465*EM465,0)+IF(EJ466=600,EK466*EM466,0)+IF(EJ467=600,EK467*EM467,0)</f>
        <v>0</v>
      </c>
      <c r="F500" s="284">
        <f>IF(EJ464=750,EK464*EM464,0)+IF(EJ465=750,EK465*EM465,0)+IF(EJ466=750,EK466*EM466,0)+IF(EJ467=750,EK467*EM467,0)</f>
        <v>0</v>
      </c>
      <c r="G500" s="284">
        <f>IF(EJ464=900,EK464*EM464,0)+IF(EJ465=900,EK465*EM465,0)+IF(EJ466=900,EK466*EM466,0)+IF(EJ467=900,EK467*EM467,0)</f>
        <v>0</v>
      </c>
      <c r="H500" s="284">
        <f>IF(EJ464=1050,EK464*EM464,0)+IF(EJ465=1050,EK465*EM465,0)+IF(EJ466=1050,EK466*EM466,0)+IF(EJ467=1050,EK467*EM467,0)</f>
        <v>0</v>
      </c>
      <c r="I500" s="284">
        <f>IF(EJ464=1200,EK464*EM464,0)+IF(EJ465=1200,EK465*EM465,0)+IF(EJ466=1200,EK466*EM466,0)+IF(EJ467=1200,EK467*EM467,0)</f>
        <v>0</v>
      </c>
      <c r="J500" s="719">
        <f>SUM(EM464:EM467)*SUM(Cost!F517:F519)+J512</f>
        <v>73400</v>
      </c>
      <c r="K500" s="720">
        <f t="shared" si="629"/>
        <v>262459.99999999994</v>
      </c>
      <c r="L500" s="721">
        <f>IF(K500=0,0,EN468)</f>
        <v>261.46690257664443</v>
      </c>
      <c r="M500" s="704">
        <f>IF(A500=0,0,EN474)</f>
        <v>24.902259839999992</v>
      </c>
      <c r="N500" s="722">
        <f t="shared" si="630"/>
        <v>262459.99999999994</v>
      </c>
      <c r="P500" s="723">
        <f>IF(A500=0,0,EN480)</f>
        <v>69.75</v>
      </c>
      <c r="Q500" s="724">
        <f>IF(A500=0,0,EO480)</f>
        <v>7.6725000000000003</v>
      </c>
      <c r="R500" s="725">
        <f t="shared" si="624"/>
        <v>13601.25</v>
      </c>
      <c r="S500" s="725">
        <f t="shared" si="625"/>
        <v>9590.625</v>
      </c>
      <c r="T500" s="725">
        <f t="shared" si="626"/>
        <v>4533.75</v>
      </c>
      <c r="U500" s="725">
        <f t="shared" si="631"/>
        <v>27725.625</v>
      </c>
      <c r="V500" s="726">
        <f t="shared" si="627"/>
        <v>331.21690257664443</v>
      </c>
      <c r="W500" s="727">
        <f>(V500*23*1000/9.81)/Summary!C$19</f>
        <v>134.81829693451306</v>
      </c>
      <c r="X500" s="727">
        <f t="shared" si="628"/>
        <v>32.574759839999992</v>
      </c>
      <c r="Y500" s="727">
        <f>X500*1000/Summary!C$19</f>
        <v>5.6553402499999983</v>
      </c>
    </row>
    <row r="502" spans="1:25">
      <c r="C502" s="718" t="s">
        <v>86</v>
      </c>
      <c r="D502" s="284">
        <f>D490/200/(6*5)</f>
        <v>0.24524999999999994</v>
      </c>
      <c r="E502" s="284">
        <f t="shared" ref="E502:I502" si="632">E490/200/(6*5)</f>
        <v>0</v>
      </c>
      <c r="F502" s="284">
        <f t="shared" si="632"/>
        <v>0</v>
      </c>
      <c r="G502" s="284">
        <f t="shared" si="632"/>
        <v>0</v>
      </c>
      <c r="H502" s="284">
        <f t="shared" si="632"/>
        <v>0</v>
      </c>
      <c r="I502" s="284">
        <f t="shared" si="632"/>
        <v>0</v>
      </c>
      <c r="J502" s="284">
        <f>30000*(ROUNDUP(D502,0)+ROUNDUP(E502,0)+ROUNDUP(F502,0)+ROUNDUP(G502,0)+ROUNDUP(H502,0)+ROUNDUP(I502,0))</f>
        <v>30000</v>
      </c>
      <c r="K502" s="284">
        <f t="shared" ref="K502:K512" si="633">K490/200</f>
        <v>1186.8624999999997</v>
      </c>
      <c r="L502" s="284">
        <f>K502/(6*5)</f>
        <v>39.562083333333327</v>
      </c>
      <c r="M502" s="284">
        <f>ROUNDUP(L502,0)*30000</f>
        <v>1200000</v>
      </c>
    </row>
    <row r="503" spans="1:25">
      <c r="C503" s="718" t="s">
        <v>876</v>
      </c>
      <c r="D503" s="284">
        <f t="shared" ref="D503:I503" si="634">D491/200/(6*5)</f>
        <v>0.24749999999999994</v>
      </c>
      <c r="E503" s="284">
        <f t="shared" si="634"/>
        <v>0</v>
      </c>
      <c r="F503" s="284">
        <f t="shared" si="634"/>
        <v>0</v>
      </c>
      <c r="G503" s="284">
        <f t="shared" si="634"/>
        <v>0</v>
      </c>
      <c r="H503" s="284">
        <f t="shared" si="634"/>
        <v>0</v>
      </c>
      <c r="I503" s="284">
        <f t="shared" si="634"/>
        <v>0</v>
      </c>
      <c r="J503" s="284">
        <f t="shared" ref="J503:J512" si="635">30000*(ROUNDUP(D503,0)+ROUNDUP(E503,0)+ROUNDUP(F503,0)+ROUNDUP(G503,0)+ROUNDUP(H503,0)+ROUNDUP(I503,0))</f>
        <v>30000</v>
      </c>
      <c r="K503" s="284">
        <f t="shared" si="633"/>
        <v>1196.3749999999998</v>
      </c>
      <c r="L503" s="284">
        <f t="shared" ref="L503:L512" si="636">K503/(6*5)</f>
        <v>39.879166666666656</v>
      </c>
      <c r="M503" s="284">
        <f t="shared" ref="M503:M512" si="637">ROUNDUP(L503,0)*30000</f>
        <v>1200000</v>
      </c>
    </row>
    <row r="504" spans="1:25">
      <c r="C504" s="718" t="s">
        <v>158</v>
      </c>
      <c r="D504" s="284">
        <f t="shared" ref="D504:I504" si="638">D492/200/(6*5)</f>
        <v>0.24749999999999994</v>
      </c>
      <c r="E504" s="284">
        <f t="shared" si="638"/>
        <v>0</v>
      </c>
      <c r="F504" s="284">
        <f t="shared" si="638"/>
        <v>0</v>
      </c>
      <c r="G504" s="284">
        <f t="shared" si="638"/>
        <v>0</v>
      </c>
      <c r="H504" s="284">
        <f t="shared" si="638"/>
        <v>0</v>
      </c>
      <c r="I504" s="284">
        <f t="shared" si="638"/>
        <v>0</v>
      </c>
      <c r="J504" s="284">
        <f t="shared" si="635"/>
        <v>30000</v>
      </c>
      <c r="K504" s="284">
        <f t="shared" si="633"/>
        <v>1196.3749999999998</v>
      </c>
      <c r="L504" s="284">
        <f t="shared" si="636"/>
        <v>39.879166666666656</v>
      </c>
      <c r="M504" s="284">
        <f t="shared" si="637"/>
        <v>1200000</v>
      </c>
    </row>
    <row r="505" spans="1:25">
      <c r="C505" s="718" t="s">
        <v>877</v>
      </c>
      <c r="D505" s="284">
        <f t="shared" ref="D505:I505" si="639">D493/200/(6*5)</f>
        <v>0.25199999999999995</v>
      </c>
      <c r="E505" s="284">
        <f t="shared" si="639"/>
        <v>0</v>
      </c>
      <c r="F505" s="284">
        <f t="shared" si="639"/>
        <v>0</v>
      </c>
      <c r="G505" s="284">
        <f t="shared" si="639"/>
        <v>0</v>
      </c>
      <c r="H505" s="284">
        <f t="shared" si="639"/>
        <v>0</v>
      </c>
      <c r="I505" s="284">
        <f t="shared" si="639"/>
        <v>0</v>
      </c>
      <c r="J505" s="284">
        <f t="shared" si="635"/>
        <v>30000</v>
      </c>
      <c r="K505" s="284">
        <f t="shared" si="633"/>
        <v>1215.3999999999996</v>
      </c>
      <c r="L505" s="284">
        <f t="shared" si="636"/>
        <v>40.513333333333321</v>
      </c>
      <c r="M505" s="284">
        <f t="shared" si="637"/>
        <v>1230000</v>
      </c>
    </row>
    <row r="506" spans="1:25">
      <c r="C506" s="718" t="s">
        <v>878</v>
      </c>
      <c r="D506" s="284">
        <f t="shared" ref="D506:I506" si="640">D494/200/(6*5)</f>
        <v>0.24749999999999994</v>
      </c>
      <c r="E506" s="284">
        <f t="shared" si="640"/>
        <v>0</v>
      </c>
      <c r="F506" s="284">
        <f t="shared" si="640"/>
        <v>0</v>
      </c>
      <c r="G506" s="284">
        <f t="shared" si="640"/>
        <v>0</v>
      </c>
      <c r="H506" s="284">
        <f t="shared" si="640"/>
        <v>0</v>
      </c>
      <c r="I506" s="284">
        <f t="shared" si="640"/>
        <v>0</v>
      </c>
      <c r="J506" s="284">
        <f t="shared" si="635"/>
        <v>30000</v>
      </c>
      <c r="K506" s="284">
        <f t="shared" si="633"/>
        <v>1196.3749999999998</v>
      </c>
      <c r="L506" s="284">
        <f t="shared" si="636"/>
        <v>39.879166666666656</v>
      </c>
      <c r="M506" s="284">
        <f t="shared" si="637"/>
        <v>1200000</v>
      </c>
    </row>
    <row r="507" spans="1:25" s="684" customFormat="1">
      <c r="C507" s="728" t="s">
        <v>918</v>
      </c>
      <c r="D507" s="684">
        <f t="shared" ref="D507:I507" si="641">D495/200/(6*5)</f>
        <v>0.2609999999999999</v>
      </c>
      <c r="E507" s="684">
        <f t="shared" si="641"/>
        <v>0</v>
      </c>
      <c r="F507" s="684">
        <f t="shared" si="641"/>
        <v>0</v>
      </c>
      <c r="G507" s="684">
        <f t="shared" si="641"/>
        <v>0</v>
      </c>
      <c r="H507" s="684">
        <f t="shared" si="641"/>
        <v>0</v>
      </c>
      <c r="I507" s="684">
        <f t="shared" si="641"/>
        <v>0</v>
      </c>
      <c r="J507" s="684">
        <f t="shared" si="635"/>
        <v>30000</v>
      </c>
      <c r="K507" s="684">
        <f t="shared" si="633"/>
        <v>1239.4499999999998</v>
      </c>
      <c r="L507" s="684">
        <f t="shared" si="636"/>
        <v>41.314999999999991</v>
      </c>
      <c r="M507" s="684">
        <f t="shared" si="637"/>
        <v>1260000</v>
      </c>
    </row>
    <row r="508" spans="1:25">
      <c r="C508" s="718" t="s">
        <v>162</v>
      </c>
      <c r="D508" s="284">
        <f t="shared" ref="D508:I508" si="642">D496/200/(6*5)</f>
        <v>0.25099999999999995</v>
      </c>
      <c r="E508" s="284">
        <f t="shared" si="642"/>
        <v>0</v>
      </c>
      <c r="F508" s="284">
        <f t="shared" si="642"/>
        <v>0</v>
      </c>
      <c r="G508" s="284">
        <f t="shared" si="642"/>
        <v>0</v>
      </c>
      <c r="H508" s="284">
        <f t="shared" si="642"/>
        <v>0</v>
      </c>
      <c r="I508" s="284">
        <f t="shared" si="642"/>
        <v>0</v>
      </c>
      <c r="J508" s="284">
        <f t="shared" si="635"/>
        <v>30000</v>
      </c>
      <c r="K508" s="284">
        <f t="shared" si="633"/>
        <v>1211.9499999999998</v>
      </c>
      <c r="L508" s="284">
        <f t="shared" si="636"/>
        <v>40.398333333333326</v>
      </c>
      <c r="M508" s="284">
        <f t="shared" si="637"/>
        <v>1230000</v>
      </c>
    </row>
    <row r="509" spans="1:25">
      <c r="C509" s="718" t="s">
        <v>163</v>
      </c>
      <c r="D509" s="284">
        <f t="shared" ref="D509:I509" si="643">D497/200/(6*5)</f>
        <v>0.25714999999999993</v>
      </c>
      <c r="E509" s="284">
        <f t="shared" si="643"/>
        <v>0</v>
      </c>
      <c r="F509" s="284">
        <f t="shared" si="643"/>
        <v>0</v>
      </c>
      <c r="G509" s="284">
        <f t="shared" si="643"/>
        <v>0</v>
      </c>
      <c r="H509" s="284">
        <f t="shared" si="643"/>
        <v>0</v>
      </c>
      <c r="I509" s="284">
        <f t="shared" si="643"/>
        <v>0</v>
      </c>
      <c r="J509" s="284">
        <f t="shared" si="635"/>
        <v>30000</v>
      </c>
      <c r="K509" s="284">
        <f t="shared" si="633"/>
        <v>1238.4174999999998</v>
      </c>
      <c r="L509" s="284">
        <f t="shared" si="636"/>
        <v>41.280583333333325</v>
      </c>
      <c r="M509" s="284">
        <f t="shared" si="637"/>
        <v>1260000</v>
      </c>
    </row>
    <row r="510" spans="1:25">
      <c r="C510" s="718" t="s">
        <v>164</v>
      </c>
      <c r="D510" s="284">
        <f t="shared" ref="D510:I510" si="644">D498/200/(6*5)</f>
        <v>0.25264999999999993</v>
      </c>
      <c r="E510" s="284">
        <f t="shared" si="644"/>
        <v>0</v>
      </c>
      <c r="F510" s="284">
        <f t="shared" si="644"/>
        <v>0</v>
      </c>
      <c r="G510" s="284">
        <f t="shared" si="644"/>
        <v>0</v>
      </c>
      <c r="H510" s="284">
        <f t="shared" si="644"/>
        <v>0</v>
      </c>
      <c r="I510" s="284">
        <f t="shared" si="644"/>
        <v>0</v>
      </c>
      <c r="J510" s="284">
        <f t="shared" si="635"/>
        <v>30000</v>
      </c>
      <c r="K510" s="284">
        <f t="shared" si="633"/>
        <v>1219.3924999999999</v>
      </c>
      <c r="L510" s="284">
        <f t="shared" si="636"/>
        <v>40.646416666666667</v>
      </c>
      <c r="M510" s="284">
        <f t="shared" si="637"/>
        <v>1230000</v>
      </c>
    </row>
    <row r="511" spans="1:25">
      <c r="C511" s="718" t="s">
        <v>879</v>
      </c>
      <c r="D511" s="284">
        <f t="shared" ref="D511:I511" si="645">D499/200/(6*5)</f>
        <v>0.27399999999999991</v>
      </c>
      <c r="E511" s="284">
        <f t="shared" si="645"/>
        <v>0</v>
      </c>
      <c r="F511" s="284">
        <f t="shared" si="645"/>
        <v>0</v>
      </c>
      <c r="G511" s="284">
        <f t="shared" si="645"/>
        <v>0</v>
      </c>
      <c r="H511" s="284">
        <f t="shared" si="645"/>
        <v>0</v>
      </c>
      <c r="I511" s="284">
        <f t="shared" si="645"/>
        <v>0</v>
      </c>
      <c r="J511" s="284">
        <f t="shared" si="635"/>
        <v>30000</v>
      </c>
      <c r="K511" s="284">
        <f t="shared" si="633"/>
        <v>1312.2999999999997</v>
      </c>
      <c r="L511" s="284">
        <f t="shared" si="636"/>
        <v>43.743333333333325</v>
      </c>
      <c r="M511" s="284">
        <f t="shared" si="637"/>
        <v>1320000</v>
      </c>
    </row>
    <row r="512" spans="1:25">
      <c r="C512" s="718" t="s">
        <v>880</v>
      </c>
      <c r="D512" s="284">
        <f t="shared" ref="D512:I512" si="646">D500/200/(6*5)</f>
        <v>0.27399999999999991</v>
      </c>
      <c r="E512" s="284">
        <f t="shared" si="646"/>
        <v>0</v>
      </c>
      <c r="F512" s="284">
        <f t="shared" si="646"/>
        <v>0</v>
      </c>
      <c r="G512" s="284">
        <f t="shared" si="646"/>
        <v>0</v>
      </c>
      <c r="H512" s="284">
        <f t="shared" si="646"/>
        <v>0</v>
      </c>
      <c r="I512" s="284">
        <f t="shared" si="646"/>
        <v>0</v>
      </c>
      <c r="J512" s="284">
        <f t="shared" si="635"/>
        <v>30000</v>
      </c>
      <c r="K512" s="284">
        <f t="shared" si="633"/>
        <v>1312.2999999999997</v>
      </c>
      <c r="L512" s="284">
        <f t="shared" si="636"/>
        <v>43.743333333333325</v>
      </c>
      <c r="M512" s="284">
        <f t="shared" si="637"/>
        <v>1320000</v>
      </c>
    </row>
    <row r="514" spans="1:8" ht="14.25" customHeight="1">
      <c r="F514" s="1370"/>
      <c r="G514" s="1370"/>
      <c r="H514" s="1370"/>
    </row>
    <row r="515" spans="1:8">
      <c r="D515" s="619" t="s">
        <v>919</v>
      </c>
      <c r="E515" s="284" t="s">
        <v>920</v>
      </c>
      <c r="F515" s="619"/>
      <c r="G515" s="619"/>
      <c r="H515" s="619"/>
    </row>
    <row r="516" spans="1:8">
      <c r="A516" s="284">
        <f>RANK(D516,$D$516:$D$526)</f>
        <v>11</v>
      </c>
      <c r="B516" s="284">
        <f>RANK(E516,$E$516:$E$526)</f>
        <v>2</v>
      </c>
      <c r="C516" s="738" t="str">
        <f>C502</f>
        <v>RC Flat Slab</v>
      </c>
      <c r="D516" s="739">
        <f>L490+P490</f>
        <v>295.34446298146736</v>
      </c>
      <c r="E516" s="740">
        <f>Inputs!E39</f>
        <v>921.72195000000011</v>
      </c>
      <c r="F516" s="618"/>
      <c r="G516" s="618"/>
      <c r="H516" s="618"/>
    </row>
    <row r="517" spans="1:8">
      <c r="A517" s="284">
        <f t="shared" ref="A517:A526" si="647">RANK(D517,$D$516:$D$526)</f>
        <v>8</v>
      </c>
      <c r="B517" s="284">
        <f t="shared" ref="B517:B526" si="648">RANK(E517,$E$516:$E$526)</f>
        <v>3</v>
      </c>
      <c r="C517" s="738" t="str">
        <f t="shared" ref="C517:C526" si="649">C503</f>
        <v>PT Flat Slab</v>
      </c>
      <c r="D517" s="739">
        <f t="shared" ref="D517:D526" si="650">L491+P491</f>
        <v>298.05404521065509</v>
      </c>
      <c r="E517" s="740">
        <f>Inputs!E46</f>
        <v>894.99195000000009</v>
      </c>
      <c r="F517" s="618"/>
      <c r="G517" s="618"/>
      <c r="H517" s="618"/>
    </row>
    <row r="518" spans="1:8">
      <c r="A518" s="284">
        <f t="shared" si="647"/>
        <v>8</v>
      </c>
      <c r="B518" s="284">
        <f t="shared" si="648"/>
        <v>5</v>
      </c>
      <c r="C518" s="738" t="str">
        <f t="shared" si="649"/>
        <v>RC Rib Slab</v>
      </c>
      <c r="D518" s="739">
        <f t="shared" si="650"/>
        <v>298.05404521065509</v>
      </c>
      <c r="E518" s="740">
        <f>Inputs!E53</f>
        <v>822.93235766128987</v>
      </c>
      <c r="F518" s="618"/>
      <c r="G518" s="618"/>
      <c r="H518" s="618"/>
    </row>
    <row r="519" spans="1:8">
      <c r="A519" s="284">
        <f t="shared" si="647"/>
        <v>6</v>
      </c>
      <c r="B519" s="284">
        <f t="shared" si="648"/>
        <v>7</v>
      </c>
      <c r="C519" s="738" t="str">
        <f t="shared" si="649"/>
        <v>Two-way Slab</v>
      </c>
      <c r="D519" s="739">
        <f t="shared" si="650"/>
        <v>303.47320966903067</v>
      </c>
      <c r="E519" s="740">
        <f>Inputs!E60</f>
        <v>729.07155</v>
      </c>
      <c r="F519" s="618"/>
      <c r="G519" s="618"/>
      <c r="H519" s="618"/>
    </row>
    <row r="520" spans="1:8">
      <c r="A520" s="284">
        <f t="shared" si="647"/>
        <v>8</v>
      </c>
      <c r="B520" s="284">
        <f t="shared" si="648"/>
        <v>4</v>
      </c>
      <c r="C520" s="738" t="str">
        <f t="shared" si="649"/>
        <v>One-Way Spanning X</v>
      </c>
      <c r="D520" s="739">
        <f t="shared" si="650"/>
        <v>298.05404521065509</v>
      </c>
      <c r="E520" s="740">
        <f>Inputs!E67</f>
        <v>835.49097000000006</v>
      </c>
      <c r="F520" s="618"/>
      <c r="G520" s="618"/>
      <c r="H520" s="618"/>
    </row>
    <row r="521" spans="1:8">
      <c r="A521" s="284">
        <f t="shared" si="647"/>
        <v>4</v>
      </c>
      <c r="B521" s="284">
        <f t="shared" si="648"/>
        <v>1</v>
      </c>
      <c r="C521" s="738" t="str">
        <f t="shared" si="649"/>
        <v>Precast Hollowcore with In-situ RC Beams</v>
      </c>
      <c r="D521" s="739">
        <f t="shared" si="650"/>
        <v>309.81153858578176</v>
      </c>
      <c r="E521" s="740">
        <f>Inputs!E74</f>
        <v>1020.3678</v>
      </c>
      <c r="F521" s="618"/>
      <c r="G521" s="618"/>
      <c r="H521" s="618"/>
    </row>
    <row r="522" spans="1:8">
      <c r="A522" s="284">
        <f t="shared" si="647"/>
        <v>7</v>
      </c>
      <c r="B522" s="284">
        <f t="shared" si="648"/>
        <v>6</v>
      </c>
      <c r="C522" s="738" t="str">
        <f t="shared" si="649"/>
        <v>Non-Composite Rolled Steel with PCC Planks</v>
      </c>
      <c r="D522" s="739">
        <f t="shared" si="650"/>
        <v>302.51895090050277</v>
      </c>
      <c r="E522" s="740">
        <f>Inputs!E81</f>
        <v>735.71387400000003</v>
      </c>
      <c r="F522" s="618"/>
      <c r="G522" s="618"/>
      <c r="H522" s="618"/>
    </row>
    <row r="523" spans="1:8">
      <c r="A523" s="284">
        <f t="shared" si="647"/>
        <v>3</v>
      </c>
      <c r="B523" s="284">
        <f t="shared" si="648"/>
        <v>9</v>
      </c>
      <c r="C523" s="738" t="str">
        <f t="shared" si="649"/>
        <v>Composite Rolled Steel with Metal Decking</v>
      </c>
      <c r="D523" s="739">
        <f t="shared" si="650"/>
        <v>310.07514232694933</v>
      </c>
      <c r="E523" s="740">
        <f>Inputs!E88</f>
        <v>624.9774132</v>
      </c>
      <c r="F523" s="618"/>
      <c r="G523" s="618"/>
      <c r="H523" s="618"/>
    </row>
    <row r="524" spans="1:8">
      <c r="A524" s="284">
        <f t="shared" si="647"/>
        <v>5</v>
      </c>
      <c r="B524" s="284">
        <f t="shared" si="648"/>
        <v>8</v>
      </c>
      <c r="C524" s="738" t="str">
        <f t="shared" si="649"/>
        <v>Composite Cell Beams with Metal Decking</v>
      </c>
      <c r="D524" s="739">
        <f t="shared" si="650"/>
        <v>304.65597786857381</v>
      </c>
      <c r="E524" s="740">
        <f>Inputs!E95</f>
        <v>635.25728283960018</v>
      </c>
      <c r="F524" s="618"/>
      <c r="G524" s="618"/>
      <c r="H524" s="618"/>
    </row>
    <row r="525" spans="1:8">
      <c r="A525" s="284">
        <f t="shared" si="647"/>
        <v>1</v>
      </c>
      <c r="B525" s="284">
        <f t="shared" si="648"/>
        <v>11</v>
      </c>
      <c r="C525" s="738" t="str">
        <f t="shared" si="649"/>
        <v>Rolled Steel Beams with CLT Panels</v>
      </c>
      <c r="D525" s="739">
        <f t="shared" si="650"/>
        <v>331.21690257664443</v>
      </c>
      <c r="E525" s="740">
        <f>Inputs!E102</f>
        <v>389.77980300000002</v>
      </c>
      <c r="F525" s="618"/>
      <c r="G525" s="618"/>
      <c r="H525" s="618"/>
    </row>
    <row r="526" spans="1:8">
      <c r="A526" s="284">
        <f t="shared" si="647"/>
        <v>1</v>
      </c>
      <c r="B526" s="284">
        <f t="shared" si="648"/>
        <v>10</v>
      </c>
      <c r="C526" s="738" t="str">
        <f t="shared" si="649"/>
        <v>Glulam Beams with CLT Panels</v>
      </c>
      <c r="D526" s="739">
        <f t="shared" si="650"/>
        <v>331.21690257664443</v>
      </c>
      <c r="E526" s="740">
        <f>Inputs!E109</f>
        <v>398.39791463999995</v>
      </c>
      <c r="F526" s="618"/>
      <c r="G526" s="618"/>
      <c r="H526" s="618"/>
    </row>
    <row r="527" spans="1:8">
      <c r="C527" s="437"/>
    </row>
    <row r="528" spans="1:8" ht="14.25" customHeight="1">
      <c r="B528" s="741"/>
      <c r="C528" s="630"/>
      <c r="F528" s="1370"/>
      <c r="G528" s="1370"/>
      <c r="H528" s="1370"/>
    </row>
    <row r="529" spans="2:8">
      <c r="B529" s="741"/>
      <c r="C529" s="630"/>
      <c r="F529" s="300"/>
      <c r="G529" s="300"/>
      <c r="H529" s="300"/>
    </row>
    <row r="530" spans="2:8">
      <c r="B530" s="741"/>
      <c r="C530" s="630"/>
      <c r="E530" s="740"/>
      <c r="F530" s="618"/>
      <c r="G530" s="618"/>
      <c r="H530" s="618"/>
    </row>
    <row r="531" spans="2:8">
      <c r="B531" s="741"/>
      <c r="C531" s="630"/>
      <c r="E531" s="740"/>
      <c r="F531" s="618"/>
      <c r="G531" s="618"/>
      <c r="H531" s="618"/>
    </row>
    <row r="532" spans="2:8">
      <c r="B532" s="741"/>
      <c r="C532" s="630"/>
      <c r="E532" s="740"/>
      <c r="F532" s="618"/>
      <c r="G532" s="618"/>
      <c r="H532" s="618"/>
    </row>
    <row r="533" spans="2:8">
      <c r="B533" s="741"/>
      <c r="C533" s="630"/>
      <c r="E533" s="740"/>
      <c r="F533" s="618"/>
      <c r="G533" s="618"/>
      <c r="H533" s="618"/>
    </row>
    <row r="534" spans="2:8">
      <c r="B534" s="609"/>
      <c r="C534" s="630"/>
      <c r="E534" s="740"/>
      <c r="F534" s="618"/>
      <c r="G534" s="618"/>
      <c r="H534" s="618"/>
    </row>
    <row r="535" spans="2:8">
      <c r="B535" s="609"/>
      <c r="C535" s="630"/>
      <c r="E535" s="740"/>
      <c r="F535" s="618"/>
      <c r="G535" s="618"/>
      <c r="H535" s="618"/>
    </row>
    <row r="536" spans="2:8">
      <c r="B536" s="609"/>
      <c r="C536" s="630"/>
      <c r="E536" s="740"/>
      <c r="F536" s="618"/>
      <c r="G536" s="618"/>
      <c r="H536" s="618"/>
    </row>
    <row r="537" spans="2:8">
      <c r="B537" s="609"/>
      <c r="C537" s="630"/>
      <c r="E537" s="740"/>
      <c r="F537" s="618"/>
      <c r="G537" s="618"/>
      <c r="H537" s="618"/>
    </row>
    <row r="538" spans="2:8">
      <c r="B538" s="609"/>
      <c r="C538" s="630"/>
      <c r="E538" s="740"/>
      <c r="F538" s="618"/>
      <c r="G538" s="618"/>
      <c r="H538" s="618"/>
    </row>
    <row r="539" spans="2:8">
      <c r="B539" s="609"/>
      <c r="C539" s="630"/>
      <c r="E539" s="740"/>
      <c r="F539" s="618"/>
      <c r="G539" s="618"/>
      <c r="H539" s="618"/>
    </row>
    <row r="540" spans="2:8">
      <c r="E540" s="740"/>
      <c r="F540" s="618"/>
      <c r="G540" s="618"/>
      <c r="H540" s="618"/>
    </row>
    <row r="542" spans="2:8">
      <c r="F542" s="1370"/>
      <c r="G542" s="1370"/>
      <c r="H542" s="1370"/>
    </row>
    <row r="543" spans="2:8">
      <c r="F543" s="300"/>
      <c r="G543" s="300"/>
      <c r="H543" s="300"/>
    </row>
    <row r="544" spans="2:8">
      <c r="E544" s="742"/>
      <c r="F544" s="631"/>
      <c r="G544" s="631"/>
      <c r="H544" s="631"/>
    </row>
    <row r="545" spans="5:8">
      <c r="E545" s="742"/>
      <c r="F545" s="631"/>
      <c r="G545" s="631"/>
      <c r="H545" s="631"/>
    </row>
    <row r="546" spans="5:8">
      <c r="E546" s="742"/>
      <c r="F546" s="631"/>
      <c r="G546" s="631"/>
      <c r="H546" s="631"/>
    </row>
    <row r="547" spans="5:8">
      <c r="E547" s="742"/>
      <c r="F547" s="631"/>
      <c r="G547" s="631"/>
      <c r="H547" s="631"/>
    </row>
    <row r="548" spans="5:8">
      <c r="E548" s="742"/>
      <c r="F548" s="631"/>
      <c r="G548" s="631"/>
      <c r="H548" s="631"/>
    </row>
    <row r="549" spans="5:8">
      <c r="E549" s="742"/>
      <c r="F549" s="631"/>
      <c r="G549" s="631"/>
      <c r="H549" s="631"/>
    </row>
    <row r="550" spans="5:8">
      <c r="E550" s="742"/>
      <c r="F550" s="631"/>
      <c r="G550" s="631"/>
      <c r="H550" s="631"/>
    </row>
    <row r="551" spans="5:8">
      <c r="E551" s="742"/>
      <c r="F551" s="631"/>
      <c r="G551" s="631"/>
      <c r="H551" s="631"/>
    </row>
    <row r="552" spans="5:8">
      <c r="E552" s="742"/>
      <c r="F552" s="631"/>
      <c r="G552" s="631"/>
      <c r="H552" s="631"/>
    </row>
    <row r="553" spans="5:8">
      <c r="E553" s="742"/>
      <c r="F553" s="631"/>
      <c r="G553" s="631"/>
      <c r="H553" s="631"/>
    </row>
    <row r="554" spans="5:8">
      <c r="E554" s="742"/>
      <c r="F554" s="631"/>
      <c r="G554" s="631"/>
      <c r="H554" s="631"/>
    </row>
  </sheetData>
  <mergeCells count="8">
    <mergeCell ref="F514:H514"/>
    <mergeCell ref="F528:H528"/>
    <mergeCell ref="F542:H542"/>
    <mergeCell ref="T4:W4"/>
    <mergeCell ref="T5:W5"/>
    <mergeCell ref="T6:W6"/>
    <mergeCell ref="T7:W7"/>
    <mergeCell ref="T8:W8"/>
  </mergeCells>
  <dataValidations count="2">
    <dataValidation type="list" allowBlank="1" showInputMessage="1" showErrorMessage="1" sqref="B18:D18 B31:D31 B44:D44" xr:uid="{3B4DA4DD-F288-499A-BE39-F1C55975BB1B}">
      <formula1>"Bored Cast in Place Concrete, Continuous Flight Auger (CFA), Driven Precast Concrete (Solid)"</formula1>
    </dataValidation>
    <dataValidation type="list" allowBlank="1" showInputMessage="1" showErrorMessage="1" sqref="Y131 Y217 Y303" xr:uid="{0BB6D902-8E74-46A8-8598-8230CB2E24EB}">
      <formula1>ActionSplit</formula1>
    </dataValidation>
  </dataValidations>
  <pageMargins left="0.7" right="0.7" top="0.75" bottom="0.75" header="0.3" footer="0.3"/>
  <pageSetup paperSize="9" orientation="portrait" horizontalDpi="300" r:id="rId1"/>
  <ignoredErrors>
    <ignoredError sqref="E337" formula="1"/>
  </ignoredErrors>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C6D8A-39E3-4B74-934B-E8003118EEFB}">
  <sheetPr codeName="Sheet22"/>
  <dimension ref="A1:AY14"/>
  <sheetViews>
    <sheetView workbookViewId="0">
      <selection sqref="A1:XFD1048576"/>
    </sheetView>
  </sheetViews>
  <sheetFormatPr defaultColWidth="11.7109375" defaultRowHeight="15"/>
  <cols>
    <col min="1" max="1" width="35.85546875" style="308" customWidth="1"/>
    <col min="2" max="11" width="12.7109375" style="308" customWidth="1"/>
    <col min="12" max="12" width="20.7109375" style="308" customWidth="1"/>
    <col min="13" max="13" width="11.7109375" style="308"/>
    <col min="14" max="14" width="20.7109375" style="308" customWidth="1"/>
    <col min="15" max="15" width="11.7109375" style="308"/>
    <col min="16" max="16" width="20.7109375" style="308" customWidth="1"/>
    <col min="17" max="17" width="11.7109375" style="308"/>
    <col min="18" max="18" width="20.7109375" style="308" customWidth="1"/>
    <col min="19" max="16384" width="11.7109375" style="308"/>
  </cols>
  <sheetData>
    <row r="1" spans="1:51" s="1025" customFormat="1" ht="12">
      <c r="B1" s="1026"/>
      <c r="C1" s="1026"/>
      <c r="D1" s="1026"/>
      <c r="E1" s="1026"/>
      <c r="F1" s="1026"/>
      <c r="G1" s="1026"/>
      <c r="H1" s="1026"/>
      <c r="I1" s="1026"/>
      <c r="J1" s="1026"/>
      <c r="K1" s="1026"/>
      <c r="L1" s="1026"/>
      <c r="M1" s="1026"/>
      <c r="N1" s="1026"/>
      <c r="O1" s="1026"/>
      <c r="P1" s="1026"/>
      <c r="Q1" s="1026"/>
      <c r="R1" s="1026"/>
      <c r="S1" s="1026"/>
      <c r="T1" s="1026"/>
      <c r="U1" s="1026"/>
      <c r="V1" s="1026"/>
      <c r="W1" s="1026"/>
      <c r="X1" s="1026"/>
      <c r="Y1" s="1026"/>
      <c r="Z1" s="1026"/>
      <c r="AA1" s="1026"/>
      <c r="AB1" s="1026"/>
      <c r="AC1" s="1026"/>
      <c r="AD1" s="1026"/>
      <c r="AE1" s="1026"/>
      <c r="AF1" s="1026"/>
      <c r="AG1" s="1026"/>
      <c r="AH1" s="1026"/>
      <c r="AI1" s="1026"/>
      <c r="AJ1" s="1026"/>
      <c r="AK1" s="1026"/>
      <c r="AL1" s="1026"/>
      <c r="AM1" s="1026"/>
      <c r="AN1" s="1026"/>
      <c r="AO1" s="1026"/>
      <c r="AP1" s="1026"/>
      <c r="AQ1" s="1026"/>
      <c r="AR1" s="1026"/>
      <c r="AS1" s="1026"/>
      <c r="AT1" s="1026"/>
      <c r="AU1" s="1026"/>
      <c r="AV1" s="1026"/>
      <c r="AW1" s="1026"/>
      <c r="AX1" s="1026"/>
      <c r="AY1" s="1026"/>
    </row>
    <row r="2" spans="1:51" s="1025" customFormat="1" ht="15" customHeight="1">
      <c r="A2" s="1027"/>
      <c r="B2" s="1374" t="s">
        <v>921</v>
      </c>
      <c r="C2" s="1374"/>
      <c r="D2" s="1374"/>
      <c r="E2" s="1374"/>
      <c r="F2" s="1374"/>
      <c r="G2" s="1374"/>
      <c r="H2" s="1374"/>
      <c r="I2" s="1374"/>
      <c r="J2" s="1374"/>
      <c r="K2" s="1374"/>
      <c r="L2" s="1374"/>
      <c r="M2" s="1374"/>
      <c r="N2" s="1374"/>
      <c r="O2" s="1374"/>
      <c r="P2" s="1374"/>
      <c r="Q2" s="1374"/>
      <c r="R2" s="1374"/>
      <c r="S2" s="1374"/>
      <c r="T2" s="1374"/>
      <c r="U2" s="1374"/>
      <c r="V2" s="1374"/>
      <c r="W2" s="1374"/>
      <c r="X2" s="1374"/>
      <c r="Y2" s="1374"/>
      <c r="Z2" s="1374"/>
      <c r="AA2" s="1374"/>
      <c r="AB2" s="1375"/>
      <c r="AC2" s="1376" t="s">
        <v>922</v>
      </c>
      <c r="AD2" s="1374"/>
      <c r="AE2" s="1374"/>
      <c r="AF2" s="1374"/>
      <c r="AG2" s="1374"/>
      <c r="AH2" s="1374"/>
      <c r="AI2" s="1374"/>
      <c r="AJ2" s="1374"/>
      <c r="AK2" s="1374"/>
      <c r="AL2" s="1374"/>
      <c r="AM2" s="1374"/>
      <c r="AN2" s="1374"/>
      <c r="AO2" s="1374"/>
      <c r="AP2" s="1374"/>
      <c r="AQ2" s="1374"/>
      <c r="AR2" s="1374"/>
      <c r="AS2" s="1374"/>
      <c r="AT2" s="1374"/>
      <c r="AU2" s="1374"/>
      <c r="AV2" s="1374"/>
      <c r="AW2" s="1374"/>
      <c r="AX2" s="1374"/>
      <c r="AY2" s="1375"/>
    </row>
    <row r="3" spans="1:51" s="1025" customFormat="1" ht="12" customHeight="1">
      <c r="A3" s="1027"/>
      <c r="B3" s="1028" t="s">
        <v>923</v>
      </c>
      <c r="C3" s="1374" t="s">
        <v>924</v>
      </c>
      <c r="D3" s="1374"/>
      <c r="E3" s="1374"/>
      <c r="F3" s="1374"/>
      <c r="G3" s="1374"/>
      <c r="H3" s="1375"/>
      <c r="I3" s="1374" t="s">
        <v>925</v>
      </c>
      <c r="J3" s="1374"/>
      <c r="K3" s="1375"/>
      <c r="L3" s="1374" t="s">
        <v>702</v>
      </c>
      <c r="M3" s="1374"/>
      <c r="N3" s="1374"/>
      <c r="O3" s="1374"/>
      <c r="P3" s="1374"/>
      <c r="Q3" s="1374"/>
      <c r="R3" s="1374"/>
      <c r="S3" s="1374"/>
      <c r="T3" s="1374"/>
      <c r="U3" s="1375"/>
      <c r="V3" s="1374" t="s">
        <v>122</v>
      </c>
      <c r="W3" s="1374"/>
      <c r="X3" s="1375"/>
      <c r="Y3" s="1374" t="s">
        <v>926</v>
      </c>
      <c r="Z3" s="1374"/>
      <c r="AA3" s="1375"/>
      <c r="AB3" s="1028" t="s">
        <v>927</v>
      </c>
      <c r="AC3" s="1028" t="s">
        <v>924</v>
      </c>
      <c r="AD3" s="1374" t="s">
        <v>928</v>
      </c>
      <c r="AE3" s="1374"/>
      <c r="AF3" s="1374"/>
      <c r="AG3" s="1374"/>
      <c r="AH3" s="1374"/>
      <c r="AI3" s="1374"/>
      <c r="AJ3" s="1374"/>
      <c r="AK3" s="1374"/>
      <c r="AL3" s="1374"/>
      <c r="AM3" s="1374"/>
      <c r="AN3" s="1375"/>
      <c r="AO3" s="1374" t="s">
        <v>929</v>
      </c>
      <c r="AP3" s="1374"/>
      <c r="AQ3" s="1374"/>
      <c r="AR3" s="1374"/>
      <c r="AS3" s="1374"/>
      <c r="AT3" s="1374"/>
      <c r="AU3" s="1374"/>
      <c r="AV3" s="1374"/>
      <c r="AW3" s="1374"/>
      <c r="AX3" s="1374"/>
      <c r="AY3" s="1375"/>
    </row>
    <row r="4" spans="1:51" s="284" customFormat="1" ht="60.75" thickBot="1">
      <c r="A4" s="1027"/>
      <c r="B4" s="1029" t="s">
        <v>29</v>
      </c>
      <c r="C4" s="1030" t="s">
        <v>930</v>
      </c>
      <c r="D4" s="1030" t="s">
        <v>931</v>
      </c>
      <c r="E4" s="1030" t="s">
        <v>50</v>
      </c>
      <c r="F4" s="1030" t="s">
        <v>54</v>
      </c>
      <c r="G4" s="1030" t="s">
        <v>59</v>
      </c>
      <c r="H4" s="1031" t="s">
        <v>932</v>
      </c>
      <c r="I4" s="1030" t="s">
        <v>25</v>
      </c>
      <c r="J4" s="1030" t="s">
        <v>31</v>
      </c>
      <c r="K4" s="1031" t="s">
        <v>933</v>
      </c>
      <c r="L4" s="1030" t="s">
        <v>934</v>
      </c>
      <c r="M4" s="1030" t="s">
        <v>935</v>
      </c>
      <c r="N4" s="1030" t="s">
        <v>936</v>
      </c>
      <c r="O4" s="1030" t="s">
        <v>937</v>
      </c>
      <c r="P4" s="1030" t="s">
        <v>938</v>
      </c>
      <c r="Q4" s="1030" t="s">
        <v>939</v>
      </c>
      <c r="R4" s="1030" t="s">
        <v>940</v>
      </c>
      <c r="S4" s="1030" t="s">
        <v>941</v>
      </c>
      <c r="T4" s="1030" t="s">
        <v>942</v>
      </c>
      <c r="U4" s="1031" t="s">
        <v>943</v>
      </c>
      <c r="V4" s="1030" t="s">
        <v>944</v>
      </c>
      <c r="W4" s="1030" t="s">
        <v>945</v>
      </c>
      <c r="X4" s="1031" t="s">
        <v>946</v>
      </c>
      <c r="Y4" s="1030" t="s">
        <v>944</v>
      </c>
      <c r="Z4" s="1030" t="s">
        <v>947</v>
      </c>
      <c r="AA4" s="1031" t="s">
        <v>53</v>
      </c>
      <c r="AB4" s="1029" t="s">
        <v>181</v>
      </c>
      <c r="AC4" s="1029" t="s">
        <v>948</v>
      </c>
      <c r="AD4" s="1030" t="s">
        <v>86</v>
      </c>
      <c r="AE4" s="1030" t="s">
        <v>157</v>
      </c>
      <c r="AF4" s="1030" t="s">
        <v>158</v>
      </c>
      <c r="AG4" s="1030" t="s">
        <v>159</v>
      </c>
      <c r="AH4" s="1030" t="s">
        <v>160</v>
      </c>
      <c r="AI4" s="1030" t="s">
        <v>918</v>
      </c>
      <c r="AJ4" s="1030" t="s">
        <v>162</v>
      </c>
      <c r="AK4" s="1030" t="s">
        <v>163</v>
      </c>
      <c r="AL4" s="1030" t="s">
        <v>164</v>
      </c>
      <c r="AM4" s="1030" t="s">
        <v>165</v>
      </c>
      <c r="AN4" s="1031" t="s">
        <v>166</v>
      </c>
      <c r="AO4" s="1030" t="s">
        <v>86</v>
      </c>
      <c r="AP4" s="1030" t="s">
        <v>157</v>
      </c>
      <c r="AQ4" s="1030" t="s">
        <v>158</v>
      </c>
      <c r="AR4" s="1030" t="s">
        <v>159</v>
      </c>
      <c r="AS4" s="1030" t="s">
        <v>160</v>
      </c>
      <c r="AT4" s="1030" t="s">
        <v>918</v>
      </c>
      <c r="AU4" s="1030" t="s">
        <v>162</v>
      </c>
      <c r="AV4" s="1030" t="s">
        <v>163</v>
      </c>
      <c r="AW4" s="1030" t="s">
        <v>164</v>
      </c>
      <c r="AX4" s="1030" t="s">
        <v>165</v>
      </c>
      <c r="AY4" s="1031" t="s">
        <v>166</v>
      </c>
    </row>
    <row r="5" spans="1:51" s="1036" customFormat="1" ht="12">
      <c r="A5" s="1032" t="s">
        <v>949</v>
      </c>
      <c r="B5" s="1028" t="s">
        <v>950</v>
      </c>
      <c r="C5" s="1026" t="s">
        <v>951</v>
      </c>
      <c r="D5" s="1026" t="s">
        <v>952</v>
      </c>
      <c r="E5" s="1026" t="s">
        <v>953</v>
      </c>
      <c r="F5" s="1026" t="s">
        <v>954</v>
      </c>
      <c r="G5" s="1026" t="s">
        <v>955</v>
      </c>
      <c r="H5" s="1033" t="s">
        <v>956</v>
      </c>
      <c r="I5" s="1026" t="s">
        <v>957</v>
      </c>
      <c r="J5" s="1026" t="s">
        <v>958</v>
      </c>
      <c r="K5" s="1033" t="s">
        <v>959</v>
      </c>
      <c r="L5" s="1026" t="s">
        <v>960</v>
      </c>
      <c r="M5" s="1026" t="s">
        <v>961</v>
      </c>
      <c r="N5" s="1026" t="s">
        <v>962</v>
      </c>
      <c r="O5" s="1026" t="s">
        <v>963</v>
      </c>
      <c r="P5" s="1026" t="s">
        <v>964</v>
      </c>
      <c r="Q5" s="1026" t="s">
        <v>965</v>
      </c>
      <c r="R5" s="1026" t="s">
        <v>966</v>
      </c>
      <c r="S5" s="1026" t="s">
        <v>967</v>
      </c>
      <c r="T5" s="1026" t="s">
        <v>968</v>
      </c>
      <c r="U5" s="1033" t="s">
        <v>969</v>
      </c>
      <c r="V5" s="1026" t="s">
        <v>970</v>
      </c>
      <c r="W5" s="1034" t="s">
        <v>971</v>
      </c>
      <c r="X5" s="1033" t="s">
        <v>972</v>
      </c>
      <c r="Y5" s="1026" t="s">
        <v>973</v>
      </c>
      <c r="Z5" s="1026" t="s">
        <v>974</v>
      </c>
      <c r="AA5" s="1026" t="s">
        <v>975</v>
      </c>
      <c r="AB5" s="1035" t="s">
        <v>976</v>
      </c>
      <c r="AC5" s="1028" t="s">
        <v>977</v>
      </c>
      <c r="AD5" s="1026" t="s">
        <v>978</v>
      </c>
      <c r="AE5" s="1026" t="s">
        <v>979</v>
      </c>
      <c r="AF5" s="1026" t="s">
        <v>980</v>
      </c>
      <c r="AG5" s="1026" t="s">
        <v>981</v>
      </c>
      <c r="AH5" s="1026" t="s">
        <v>982</v>
      </c>
      <c r="AI5" s="1026" t="s">
        <v>983</v>
      </c>
      <c r="AJ5" s="1026" t="s">
        <v>984</v>
      </c>
      <c r="AK5" s="1026" t="s">
        <v>985</v>
      </c>
      <c r="AL5" s="1026" t="s">
        <v>986</v>
      </c>
      <c r="AM5" s="1026" t="s">
        <v>987</v>
      </c>
      <c r="AN5" s="1033" t="s">
        <v>988</v>
      </c>
      <c r="AO5" s="1026" t="s">
        <v>989</v>
      </c>
      <c r="AP5" s="1026" t="s">
        <v>990</v>
      </c>
      <c r="AQ5" s="1026" t="s">
        <v>991</v>
      </c>
      <c r="AR5" s="1026" t="s">
        <v>992</v>
      </c>
      <c r="AS5" s="1026" t="s">
        <v>993</v>
      </c>
      <c r="AT5" s="1026" t="s">
        <v>994</v>
      </c>
      <c r="AU5" s="1026" t="s">
        <v>995</v>
      </c>
      <c r="AV5" s="1026" t="s">
        <v>996</v>
      </c>
      <c r="AW5" s="1026" t="s">
        <v>997</v>
      </c>
      <c r="AX5" s="1026" t="s">
        <v>998</v>
      </c>
      <c r="AY5" s="1033" t="s">
        <v>999</v>
      </c>
    </row>
    <row r="6" spans="1:51" s="1036" customFormat="1" ht="12.75" thickBot="1">
      <c r="A6" s="1032" t="s">
        <v>1000</v>
      </c>
      <c r="B6" s="1037" t="s">
        <v>1001</v>
      </c>
      <c r="C6" s="1038" t="s">
        <v>1002</v>
      </c>
      <c r="D6" s="1038" t="s">
        <v>1003</v>
      </c>
      <c r="E6" s="1038" t="s">
        <v>1004</v>
      </c>
      <c r="F6" s="1038" t="s">
        <v>1005</v>
      </c>
      <c r="G6" s="1038" t="s">
        <v>1006</v>
      </c>
      <c r="H6" s="1039" t="s">
        <v>1007</v>
      </c>
      <c r="I6" s="1038" t="s">
        <v>1008</v>
      </c>
      <c r="J6" s="1038" t="s">
        <v>1009</v>
      </c>
      <c r="K6" s="1039" t="s">
        <v>1010</v>
      </c>
      <c r="L6" s="1038" t="s">
        <v>1011</v>
      </c>
      <c r="M6" s="1038" t="s">
        <v>1012</v>
      </c>
      <c r="N6" s="1038" t="s">
        <v>1013</v>
      </c>
      <c r="O6" s="1038" t="s">
        <v>1014</v>
      </c>
      <c r="P6" s="1038" t="s">
        <v>1015</v>
      </c>
      <c r="Q6" s="1038" t="s">
        <v>1016</v>
      </c>
      <c r="R6" s="1038" t="s">
        <v>1017</v>
      </c>
      <c r="S6" s="1038" t="s">
        <v>1018</v>
      </c>
      <c r="T6" s="1038" t="s">
        <v>1019</v>
      </c>
      <c r="U6" s="1039" t="s">
        <v>1020</v>
      </c>
      <c r="V6" s="1038" t="s">
        <v>1021</v>
      </c>
      <c r="W6" s="1038" t="s">
        <v>1022</v>
      </c>
      <c r="X6" s="1039" t="s">
        <v>1023</v>
      </c>
      <c r="Y6" s="1038" t="s">
        <v>1024</v>
      </c>
      <c r="Z6" s="1038" t="s">
        <v>1025</v>
      </c>
      <c r="AA6" s="1039" t="s">
        <v>1026</v>
      </c>
      <c r="AB6" s="1037" t="s">
        <v>1027</v>
      </c>
      <c r="AC6" s="1037" t="s">
        <v>1028</v>
      </c>
      <c r="AD6" s="1030" t="s">
        <v>1029</v>
      </c>
      <c r="AE6" s="1030" t="s">
        <v>1030</v>
      </c>
      <c r="AF6" s="1030" t="s">
        <v>1031</v>
      </c>
      <c r="AG6" s="1030" t="s">
        <v>1032</v>
      </c>
      <c r="AH6" s="1030" t="s">
        <v>1033</v>
      </c>
      <c r="AI6" s="1030" t="s">
        <v>1034</v>
      </c>
      <c r="AJ6" s="1030" t="s">
        <v>1035</v>
      </c>
      <c r="AK6" s="1030" t="s">
        <v>1036</v>
      </c>
      <c r="AL6" s="1030" t="s">
        <v>1037</v>
      </c>
      <c r="AM6" s="1030" t="s">
        <v>1038</v>
      </c>
      <c r="AN6" s="1031" t="s">
        <v>1039</v>
      </c>
      <c r="AO6" s="1030" t="s">
        <v>1040</v>
      </c>
      <c r="AP6" s="1030" t="s">
        <v>1041</v>
      </c>
      <c r="AQ6" s="1030" t="s">
        <v>1042</v>
      </c>
      <c r="AR6" s="1030" t="s">
        <v>1043</v>
      </c>
      <c r="AS6" s="1030" t="s">
        <v>1044</v>
      </c>
      <c r="AT6" s="1030" t="s">
        <v>1045</v>
      </c>
      <c r="AU6" s="1030" t="s">
        <v>1046</v>
      </c>
      <c r="AV6" s="1030" t="s">
        <v>1047</v>
      </c>
      <c r="AW6" s="1030" t="s">
        <v>1048</v>
      </c>
      <c r="AX6" s="1030" t="s">
        <v>1049</v>
      </c>
      <c r="AY6" s="1031" t="s">
        <v>1050</v>
      </c>
    </row>
    <row r="7" spans="1:51" s="284" customFormat="1" ht="24">
      <c r="A7" s="1040" t="s">
        <v>1051</v>
      </c>
      <c r="B7" s="1041" t="s">
        <v>308</v>
      </c>
      <c r="C7" s="1025">
        <v>9</v>
      </c>
      <c r="D7" s="1025">
        <v>9</v>
      </c>
      <c r="E7" s="1025">
        <v>4</v>
      </c>
      <c r="F7" s="1025">
        <v>4</v>
      </c>
      <c r="G7" s="1025">
        <v>7</v>
      </c>
      <c r="H7" s="1027">
        <v>4</v>
      </c>
      <c r="I7" s="1025" t="s">
        <v>26</v>
      </c>
      <c r="J7" s="1025" t="s">
        <v>235</v>
      </c>
      <c r="K7" s="1027" t="s">
        <v>1052</v>
      </c>
      <c r="L7" s="1025" t="s">
        <v>47</v>
      </c>
      <c r="M7" s="1025">
        <v>2</v>
      </c>
      <c r="N7" s="1025" t="s">
        <v>56</v>
      </c>
      <c r="O7" s="1025">
        <v>4</v>
      </c>
      <c r="P7" s="1025" t="s">
        <v>61</v>
      </c>
      <c r="Q7" s="1025">
        <v>30</v>
      </c>
      <c r="R7" s="1025" t="s">
        <v>1053</v>
      </c>
      <c r="S7" s="1025">
        <v>0</v>
      </c>
      <c r="T7" s="1025">
        <v>0</v>
      </c>
      <c r="U7" s="1027">
        <v>1</v>
      </c>
      <c r="V7" s="1025" t="s">
        <v>1054</v>
      </c>
      <c r="W7" s="1025">
        <v>0.7</v>
      </c>
      <c r="X7" s="1027">
        <v>200</v>
      </c>
      <c r="Y7" s="1025" t="s">
        <v>1054</v>
      </c>
      <c r="Z7" s="1025">
        <v>4</v>
      </c>
      <c r="AA7" s="1025" t="s">
        <v>28</v>
      </c>
      <c r="AB7" s="1041" t="s">
        <v>1055</v>
      </c>
      <c r="AC7" s="1041">
        <v>10368</v>
      </c>
      <c r="AD7" s="1042">
        <v>354.63275354697538</v>
      </c>
      <c r="AE7" s="1042">
        <v>316.51137648538719</v>
      </c>
      <c r="AF7" s="1042">
        <v>329.77713912502497</v>
      </c>
      <c r="AG7" s="1042">
        <v>328.77007043600378</v>
      </c>
      <c r="AH7" s="1042">
        <v>352.63455993294662</v>
      </c>
      <c r="AI7" s="1042">
        <v>327.15662264714263</v>
      </c>
      <c r="AJ7" s="1042">
        <v>338.71205429276461</v>
      </c>
      <c r="AK7" s="1042">
        <v>362.44428658205555</v>
      </c>
      <c r="AL7" s="1042">
        <v>369.86792447154681</v>
      </c>
      <c r="AM7" s="1042">
        <v>317.58074193143568</v>
      </c>
      <c r="AN7" s="1043">
        <v>276.35629636032218</v>
      </c>
      <c r="AO7" s="1044">
        <v>6091552.5999999996</v>
      </c>
      <c r="AP7" s="1044">
        <v>6332014.6799999997</v>
      </c>
      <c r="AQ7" s="1044">
        <v>6319624.8899999997</v>
      </c>
      <c r="AR7" s="1044">
        <v>5715236.3300000001</v>
      </c>
      <c r="AS7" s="1044">
        <v>6096321.3600000003</v>
      </c>
      <c r="AT7" s="1044">
        <v>5938902.6200000001</v>
      </c>
      <c r="AU7" s="1044">
        <v>6966039.1100000003</v>
      </c>
      <c r="AV7" s="1044">
        <v>7119885.2199999997</v>
      </c>
      <c r="AW7" s="1044">
        <v>7382134.6399999997</v>
      </c>
      <c r="AX7" s="1044">
        <v>7402724.9800000004</v>
      </c>
      <c r="AY7" s="1045">
        <v>8093659.3899999997</v>
      </c>
    </row>
    <row r="8" spans="1:51" s="284" customFormat="1" ht="24">
      <c r="A8" s="1040" t="s">
        <v>1056</v>
      </c>
      <c r="B8" s="1041" t="s">
        <v>308</v>
      </c>
      <c r="C8" s="1025">
        <v>9</v>
      </c>
      <c r="D8" s="1025">
        <v>9</v>
      </c>
      <c r="E8" s="1025">
        <v>4</v>
      </c>
      <c r="F8" s="1025">
        <v>4</v>
      </c>
      <c r="G8" s="1025">
        <v>8</v>
      </c>
      <c r="H8" s="1027">
        <v>4</v>
      </c>
      <c r="I8" s="1025" t="s">
        <v>26</v>
      </c>
      <c r="J8" s="1025" t="s">
        <v>235</v>
      </c>
      <c r="K8" s="1027" t="s">
        <v>1052</v>
      </c>
      <c r="L8" s="1025" t="s">
        <v>47</v>
      </c>
      <c r="M8" s="1025">
        <v>2</v>
      </c>
      <c r="N8" s="1025" t="s">
        <v>56</v>
      </c>
      <c r="O8" s="1025">
        <v>4</v>
      </c>
      <c r="P8" s="1025" t="s">
        <v>61</v>
      </c>
      <c r="Q8" s="1025">
        <v>30</v>
      </c>
      <c r="R8" s="1025" t="s">
        <v>1053</v>
      </c>
      <c r="S8" s="1025">
        <v>0</v>
      </c>
      <c r="T8" s="1025">
        <v>0</v>
      </c>
      <c r="U8" s="1027">
        <v>1</v>
      </c>
      <c r="V8" s="1025" t="s">
        <v>1054</v>
      </c>
      <c r="W8" s="1025">
        <v>0.7</v>
      </c>
      <c r="X8" s="1027">
        <v>200</v>
      </c>
      <c r="Y8" s="1025" t="s">
        <v>28</v>
      </c>
      <c r="Z8" s="1025">
        <v>4</v>
      </c>
      <c r="AA8" s="1025" t="s">
        <v>28</v>
      </c>
      <c r="AB8" s="1041" t="s">
        <v>1055</v>
      </c>
      <c r="AC8" s="1041">
        <v>10368</v>
      </c>
      <c r="AD8" s="1042">
        <v>303.54070317343763</v>
      </c>
      <c r="AE8" s="1042">
        <v>256.72353863020442</v>
      </c>
      <c r="AF8" s="1042">
        <v>268.77512697779179</v>
      </c>
      <c r="AG8" s="1042">
        <v>267.71668325243814</v>
      </c>
      <c r="AH8" s="1042">
        <v>299.81746393775359</v>
      </c>
      <c r="AI8" s="1042">
        <v>267.27578392310676</v>
      </c>
      <c r="AJ8" s="1042">
        <v>288.76015627777167</v>
      </c>
      <c r="AK8" s="1042">
        <v>316.63527348989447</v>
      </c>
      <c r="AL8" s="1042">
        <v>324.31092810205456</v>
      </c>
      <c r="AM8" s="1042">
        <v>261.14919044075316</v>
      </c>
      <c r="AN8" s="1043">
        <v>220.77907157638097</v>
      </c>
      <c r="AO8" s="1044">
        <v>5046963.6900000004</v>
      </c>
      <c r="AP8" s="1044">
        <v>5309661.6500000004</v>
      </c>
      <c r="AQ8" s="1044">
        <v>5236327.38</v>
      </c>
      <c r="AR8" s="1044">
        <v>4553064.67</v>
      </c>
      <c r="AS8" s="1044">
        <v>5047235.0999999996</v>
      </c>
      <c r="AT8" s="1044">
        <v>4818406.93</v>
      </c>
      <c r="AU8" s="1044">
        <v>6147690.5099999998</v>
      </c>
      <c r="AV8" s="1044">
        <v>6325170.3399999999</v>
      </c>
      <c r="AW8" s="1044">
        <v>6615757.0099999998</v>
      </c>
      <c r="AX8" s="1044">
        <v>6471091.4000000004</v>
      </c>
      <c r="AY8" s="1045">
        <v>7496656.2400000002</v>
      </c>
    </row>
    <row r="9" spans="1:51" s="284" customFormat="1" ht="24">
      <c r="A9" s="1040" t="s">
        <v>1057</v>
      </c>
      <c r="B9" s="1041" t="s">
        <v>308</v>
      </c>
      <c r="C9" s="1025">
        <v>6</v>
      </c>
      <c r="D9" s="1025">
        <v>6</v>
      </c>
      <c r="E9" s="1025">
        <v>6</v>
      </c>
      <c r="F9" s="1025">
        <v>6</v>
      </c>
      <c r="G9" s="1025">
        <v>8</v>
      </c>
      <c r="H9" s="1027">
        <v>4</v>
      </c>
      <c r="I9" s="1025" t="s">
        <v>26</v>
      </c>
      <c r="J9" s="1025" t="s">
        <v>235</v>
      </c>
      <c r="K9" s="1027" t="s">
        <v>1052</v>
      </c>
      <c r="L9" s="1025" t="s">
        <v>47</v>
      </c>
      <c r="M9" s="1025">
        <v>2</v>
      </c>
      <c r="N9" s="1025" t="s">
        <v>56</v>
      </c>
      <c r="O9" s="1025">
        <v>4</v>
      </c>
      <c r="P9" s="1025" t="s">
        <v>61</v>
      </c>
      <c r="Q9" s="1025">
        <v>30</v>
      </c>
      <c r="R9" s="1025" t="s">
        <v>1053</v>
      </c>
      <c r="S9" s="1025">
        <v>0</v>
      </c>
      <c r="T9" s="1025">
        <v>0</v>
      </c>
      <c r="U9" s="1027">
        <v>1</v>
      </c>
      <c r="V9" s="1025" t="s">
        <v>1054</v>
      </c>
      <c r="W9" s="1025">
        <v>0.7</v>
      </c>
      <c r="X9" s="1027">
        <v>200</v>
      </c>
      <c r="Y9" s="1025" t="s">
        <v>28</v>
      </c>
      <c r="Z9" s="1025">
        <v>4</v>
      </c>
      <c r="AA9" s="1025" t="s">
        <v>28</v>
      </c>
      <c r="AB9" s="1041" t="s">
        <v>1055</v>
      </c>
      <c r="AC9" s="1041">
        <v>10368</v>
      </c>
      <c r="AD9" s="1042">
        <v>234.26190576675327</v>
      </c>
      <c r="AE9" s="1042">
        <v>223.55965618236968</v>
      </c>
      <c r="AF9" s="1042">
        <v>215.65295922609786</v>
      </c>
      <c r="AG9" s="1042">
        <v>207.10746026813285</v>
      </c>
      <c r="AH9" s="1042">
        <v>221.06100104234073</v>
      </c>
      <c r="AI9" s="1042">
        <v>251.38358252116495</v>
      </c>
      <c r="AJ9" s="1042">
        <v>250.69158628101334</v>
      </c>
      <c r="AK9" s="1042">
        <v>277.42200334870563</v>
      </c>
      <c r="AL9" s="1042">
        <v>311.39611432766264</v>
      </c>
      <c r="AM9" s="1042">
        <v>219.32477703493529</v>
      </c>
      <c r="AN9" s="1043">
        <v>201.43057820984282</v>
      </c>
      <c r="AO9" s="1044">
        <v>4448547.91</v>
      </c>
      <c r="AP9" s="1044">
        <v>5010534.33</v>
      </c>
      <c r="AQ9" s="1044">
        <v>4812837.17</v>
      </c>
      <c r="AR9" s="1044">
        <v>3907556.28</v>
      </c>
      <c r="AS9" s="1044">
        <v>4385727.17</v>
      </c>
      <c r="AT9" s="1044">
        <v>4822235.46</v>
      </c>
      <c r="AU9" s="1044">
        <v>5744375.8799999999</v>
      </c>
      <c r="AV9" s="1044">
        <v>5714343.0999999996</v>
      </c>
      <c r="AW9" s="1044">
        <v>6549913</v>
      </c>
      <c r="AX9" s="1044">
        <v>5673667.7199999997</v>
      </c>
      <c r="AY9" s="1045">
        <v>5797249.6799999997</v>
      </c>
    </row>
    <row r="10" spans="1:51" s="284" customFormat="1" ht="24">
      <c r="A10" s="1040" t="s">
        <v>1058</v>
      </c>
      <c r="B10" s="1041" t="s">
        <v>308</v>
      </c>
      <c r="C10" s="1025">
        <v>6</v>
      </c>
      <c r="D10" s="1025">
        <v>6</v>
      </c>
      <c r="E10" s="1025">
        <v>6</v>
      </c>
      <c r="F10" s="1025">
        <v>6</v>
      </c>
      <c r="G10" s="1025">
        <v>8</v>
      </c>
      <c r="H10" s="1027">
        <v>4</v>
      </c>
      <c r="I10" s="1025" t="s">
        <v>26</v>
      </c>
      <c r="J10" s="1025" t="s">
        <v>235</v>
      </c>
      <c r="K10" s="1027" t="s">
        <v>1052</v>
      </c>
      <c r="L10" s="1025" t="s">
        <v>47</v>
      </c>
      <c r="M10" s="1025">
        <v>2</v>
      </c>
      <c r="N10" s="1025" t="s">
        <v>56</v>
      </c>
      <c r="O10" s="1025">
        <v>4</v>
      </c>
      <c r="P10" s="1025" t="s">
        <v>61</v>
      </c>
      <c r="Q10" s="1025">
        <v>30</v>
      </c>
      <c r="R10" s="1025" t="s">
        <v>1053</v>
      </c>
      <c r="S10" s="1025">
        <v>0</v>
      </c>
      <c r="T10" s="1025">
        <v>0</v>
      </c>
      <c r="U10" s="1027">
        <v>1</v>
      </c>
      <c r="V10" s="1025" t="s">
        <v>28</v>
      </c>
      <c r="W10" s="1025">
        <v>0</v>
      </c>
      <c r="X10" s="1027">
        <v>200</v>
      </c>
      <c r="Y10" s="1025" t="s">
        <v>28</v>
      </c>
      <c r="Z10" s="1025">
        <v>4</v>
      </c>
      <c r="AA10" s="1025" t="s">
        <v>28</v>
      </c>
      <c r="AB10" s="1041" t="s">
        <v>1055</v>
      </c>
      <c r="AC10" s="1025">
        <v>10368</v>
      </c>
      <c r="AD10" s="1042">
        <v>194.69255998811053</v>
      </c>
      <c r="AE10" s="1042">
        <v>185.47445392322024</v>
      </c>
      <c r="AF10" s="1042">
        <v>176.48015547715988</v>
      </c>
      <c r="AG10" s="1042">
        <v>167.6557867388932</v>
      </c>
      <c r="AH10" s="1042">
        <v>182.65710849208483</v>
      </c>
      <c r="AI10" s="1042">
        <v>216.58985009168217</v>
      </c>
      <c r="AJ10" s="1042">
        <v>212.54180326329694</v>
      </c>
      <c r="AK10" s="1042">
        <v>243.80531511720991</v>
      </c>
      <c r="AL10" s="1042">
        <v>282.87770234387278</v>
      </c>
      <c r="AM10" s="1042">
        <v>179.25072783152328</v>
      </c>
      <c r="AN10" s="1043">
        <v>158.31286725277036</v>
      </c>
      <c r="AO10" s="1044">
        <v>3979957.58</v>
      </c>
      <c r="AP10" s="1044">
        <v>4682624.2</v>
      </c>
      <c r="AQ10" s="1044">
        <v>4377180.3499999996</v>
      </c>
      <c r="AR10" s="1044">
        <v>3510546.26</v>
      </c>
      <c r="AS10" s="1044">
        <v>3968573.96</v>
      </c>
      <c r="AT10" s="1044">
        <v>4488883.3499999996</v>
      </c>
      <c r="AU10" s="1044">
        <v>5420567.5999999996</v>
      </c>
      <c r="AV10" s="1044">
        <v>5401052.4800000004</v>
      </c>
      <c r="AW10" s="1044">
        <v>6358117.1500000004</v>
      </c>
      <c r="AX10" s="1044">
        <v>5154850.91</v>
      </c>
      <c r="AY10" s="1045">
        <v>5315003.2</v>
      </c>
    </row>
    <row r="11" spans="1:51" s="284" customFormat="1" ht="24">
      <c r="A11" s="1040" t="s">
        <v>1059</v>
      </c>
      <c r="B11" s="1041" t="s">
        <v>308</v>
      </c>
      <c r="C11" s="1025">
        <v>6</v>
      </c>
      <c r="D11" s="1025">
        <v>6</v>
      </c>
      <c r="E11" s="1025">
        <v>12</v>
      </c>
      <c r="F11" s="1025">
        <v>6</v>
      </c>
      <c r="G11" s="1025">
        <v>4</v>
      </c>
      <c r="H11" s="1027">
        <v>4</v>
      </c>
      <c r="I11" s="1025" t="s">
        <v>26</v>
      </c>
      <c r="J11" s="1025" t="s">
        <v>235</v>
      </c>
      <c r="K11" s="1027" t="s">
        <v>1052</v>
      </c>
      <c r="L11" s="1025" t="s">
        <v>47</v>
      </c>
      <c r="M11" s="1025">
        <v>2</v>
      </c>
      <c r="N11" s="1025" t="s">
        <v>56</v>
      </c>
      <c r="O11" s="1025">
        <v>4</v>
      </c>
      <c r="P11" s="1025" t="s">
        <v>61</v>
      </c>
      <c r="Q11" s="1025">
        <v>30</v>
      </c>
      <c r="R11" s="1025" t="s">
        <v>1053</v>
      </c>
      <c r="S11" s="1025">
        <v>0</v>
      </c>
      <c r="T11" s="1025">
        <v>0</v>
      </c>
      <c r="U11" s="1027">
        <v>1</v>
      </c>
      <c r="V11" s="1025" t="s">
        <v>28</v>
      </c>
      <c r="W11" s="1025">
        <v>0</v>
      </c>
      <c r="X11" s="1027">
        <v>0</v>
      </c>
      <c r="Y11" s="1025" t="s">
        <v>28</v>
      </c>
      <c r="Z11" s="1025">
        <v>4</v>
      </c>
      <c r="AA11" s="1025" t="s">
        <v>28</v>
      </c>
      <c r="AB11" s="1041" t="s">
        <v>1055</v>
      </c>
      <c r="AC11" s="1041">
        <v>10368</v>
      </c>
      <c r="AD11" s="1042">
        <v>183.98104081075525</v>
      </c>
      <c r="AE11" s="1042">
        <v>174.49993263875754</v>
      </c>
      <c r="AF11" s="1042">
        <v>166.21974612097779</v>
      </c>
      <c r="AG11" s="1042">
        <v>162.15004983460975</v>
      </c>
      <c r="AH11" s="1042">
        <v>172.79326937777671</v>
      </c>
      <c r="AI11" s="1042">
        <v>204.36324145303337</v>
      </c>
      <c r="AJ11" s="1042">
        <v>191.75886334743899</v>
      </c>
      <c r="AK11" s="1042">
        <v>227.80360292288751</v>
      </c>
      <c r="AL11" s="1042">
        <v>267.12551304781078</v>
      </c>
      <c r="AM11" s="1042">
        <v>158.62744556359547</v>
      </c>
      <c r="AN11" s="1043">
        <v>133.12082796276039</v>
      </c>
      <c r="AO11" s="1044">
        <v>4023421.47</v>
      </c>
      <c r="AP11" s="1044">
        <v>4712005.41</v>
      </c>
      <c r="AQ11" s="1044">
        <v>4415645.68</v>
      </c>
      <c r="AR11" s="1044">
        <v>3626559.19</v>
      </c>
      <c r="AS11" s="1044">
        <v>4011098.04</v>
      </c>
      <c r="AT11" s="1044">
        <v>4575847.54</v>
      </c>
      <c r="AU11" s="1044">
        <v>5250987.9800000004</v>
      </c>
      <c r="AV11" s="1044">
        <v>5332003.96</v>
      </c>
      <c r="AW11" s="1044">
        <v>6290549.8600000003</v>
      </c>
      <c r="AX11" s="1044">
        <v>4997847.3899999997</v>
      </c>
      <c r="AY11" s="1045">
        <v>5073704.17</v>
      </c>
    </row>
    <row r="12" spans="1:51" s="284" customFormat="1" ht="24">
      <c r="A12" s="1040" t="s">
        <v>1060</v>
      </c>
      <c r="B12" s="1041" t="s">
        <v>308</v>
      </c>
      <c r="C12" s="1025">
        <v>6</v>
      </c>
      <c r="D12" s="1025">
        <v>6</v>
      </c>
      <c r="E12" s="1025">
        <v>12</v>
      </c>
      <c r="F12" s="1025">
        <v>6</v>
      </c>
      <c r="G12" s="1025">
        <v>4</v>
      </c>
      <c r="H12" s="1027">
        <v>4</v>
      </c>
      <c r="I12" s="1025" t="s">
        <v>26</v>
      </c>
      <c r="J12" s="1025" t="s">
        <v>125</v>
      </c>
      <c r="K12" s="1027" t="s">
        <v>37</v>
      </c>
      <c r="L12" s="1025" t="s">
        <v>47</v>
      </c>
      <c r="M12" s="1025">
        <v>2</v>
      </c>
      <c r="N12" s="1025" t="s">
        <v>56</v>
      </c>
      <c r="O12" s="1025">
        <v>4</v>
      </c>
      <c r="P12" s="1025" t="s">
        <v>61</v>
      </c>
      <c r="Q12" s="1025">
        <v>30</v>
      </c>
      <c r="R12" s="1025" t="s">
        <v>1053</v>
      </c>
      <c r="S12" s="1025">
        <v>0</v>
      </c>
      <c r="T12" s="1025">
        <v>0</v>
      </c>
      <c r="U12" s="1027">
        <v>1</v>
      </c>
      <c r="V12" s="1025" t="s">
        <v>28</v>
      </c>
      <c r="W12" s="1025">
        <v>0</v>
      </c>
      <c r="X12" s="1027">
        <v>0</v>
      </c>
      <c r="Y12" s="1025" t="s">
        <v>28</v>
      </c>
      <c r="Z12" s="1025">
        <v>4</v>
      </c>
      <c r="AA12" s="1025" t="s">
        <v>28</v>
      </c>
      <c r="AB12" s="1041" t="s">
        <v>1055</v>
      </c>
      <c r="AC12" s="1041">
        <v>10368</v>
      </c>
      <c r="AD12" s="1042">
        <v>129.09142369612383</v>
      </c>
      <c r="AE12" s="1042">
        <v>121.63754218870069</v>
      </c>
      <c r="AF12" s="1042">
        <v>116.9648279636114</v>
      </c>
      <c r="AG12" s="1042">
        <v>117.03567307795272</v>
      </c>
      <c r="AH12" s="1042">
        <v>122.06811536791533</v>
      </c>
      <c r="AI12" s="1042">
        <v>159.89884295670362</v>
      </c>
      <c r="AJ12" s="1042">
        <v>137.68792181770556</v>
      </c>
      <c r="AK12" s="1042">
        <v>154.29577289460374</v>
      </c>
      <c r="AL12" s="1042">
        <v>175.55038297636662</v>
      </c>
      <c r="AM12" s="1042">
        <v>112.77256322705544</v>
      </c>
      <c r="AN12" s="1043">
        <v>108.14513589499488</v>
      </c>
      <c r="AO12" s="1044">
        <v>4313146.6500000004</v>
      </c>
      <c r="AP12" s="1044">
        <v>4993838.93</v>
      </c>
      <c r="AQ12" s="1044">
        <v>4689541.08</v>
      </c>
      <c r="AR12" s="1044">
        <v>3883304.82</v>
      </c>
      <c r="AS12" s="1044">
        <v>4289054.24</v>
      </c>
      <c r="AT12" s="1044">
        <v>4850327.99</v>
      </c>
      <c r="AU12" s="1044">
        <v>5456742.9000000004</v>
      </c>
      <c r="AV12" s="1044">
        <v>5566235.7699999996</v>
      </c>
      <c r="AW12" s="1044">
        <v>6521601.7300000004</v>
      </c>
      <c r="AX12" s="1044">
        <v>5136610.55</v>
      </c>
      <c r="AY12" s="1045">
        <v>5212768.8</v>
      </c>
    </row>
    <row r="13" spans="1:51" s="284" customFormat="1" ht="24">
      <c r="A13" s="1040" t="s">
        <v>1061</v>
      </c>
      <c r="B13" s="1041" t="s">
        <v>308</v>
      </c>
      <c r="C13" s="1025">
        <v>6</v>
      </c>
      <c r="D13" s="1025">
        <v>6</v>
      </c>
      <c r="E13" s="1025">
        <v>12</v>
      </c>
      <c r="F13" s="1025">
        <v>6</v>
      </c>
      <c r="G13" s="1025">
        <v>4</v>
      </c>
      <c r="H13" s="1027">
        <v>4</v>
      </c>
      <c r="I13" s="1025" t="s">
        <v>26</v>
      </c>
      <c r="J13" s="1025" t="s">
        <v>125</v>
      </c>
      <c r="K13" s="1027" t="s">
        <v>37</v>
      </c>
      <c r="L13" s="1025" t="s">
        <v>47</v>
      </c>
      <c r="M13" s="1025">
        <v>2</v>
      </c>
      <c r="N13" s="1025" t="s">
        <v>56</v>
      </c>
      <c r="O13" s="1025">
        <v>4</v>
      </c>
      <c r="P13" s="1025" t="s">
        <v>1062</v>
      </c>
      <c r="Q13" s="1025">
        <v>30</v>
      </c>
      <c r="R13" s="1025" t="s">
        <v>1053</v>
      </c>
      <c r="S13" s="1025">
        <v>0</v>
      </c>
      <c r="T13" s="1025">
        <v>0</v>
      </c>
      <c r="U13" s="1027">
        <v>1</v>
      </c>
      <c r="V13" s="1025" t="s">
        <v>28</v>
      </c>
      <c r="W13" s="1025">
        <v>0</v>
      </c>
      <c r="X13" s="1027">
        <v>0</v>
      </c>
      <c r="Y13" s="1025" t="s">
        <v>28</v>
      </c>
      <c r="Z13" s="1025">
        <v>4</v>
      </c>
      <c r="AA13" s="1025" t="s">
        <v>28</v>
      </c>
      <c r="AB13" s="1041" t="s">
        <v>1055</v>
      </c>
      <c r="AC13" s="1041">
        <v>10368</v>
      </c>
      <c r="AD13" s="1042">
        <v>116.1982911196134</v>
      </c>
      <c r="AE13" s="1042">
        <v>109.28655617440788</v>
      </c>
      <c r="AF13" s="1042">
        <v>104.08663141750461</v>
      </c>
      <c r="AG13" s="1042">
        <v>104.62697296172821</v>
      </c>
      <c r="AH13" s="1042">
        <v>109.46481003645405</v>
      </c>
      <c r="AI13" s="1042">
        <v>145.82607831247671</v>
      </c>
      <c r="AJ13" s="1042">
        <v>126.24838335463984</v>
      </c>
      <c r="AK13" s="1042">
        <v>142.14209352271723</v>
      </c>
      <c r="AL13" s="1042">
        <v>163.61847945335455</v>
      </c>
      <c r="AM13" s="1042">
        <v>108.954629690312</v>
      </c>
      <c r="AN13" s="1043">
        <v>104.32720235825144</v>
      </c>
      <c r="AO13" s="1044">
        <v>3878238.23</v>
      </c>
      <c r="AP13" s="1044">
        <v>4577898.1500000004</v>
      </c>
      <c r="AQ13" s="1044">
        <v>4255327.93</v>
      </c>
      <c r="AR13" s="1044">
        <v>3465811.87</v>
      </c>
      <c r="AS13" s="1044">
        <v>3864458.49</v>
      </c>
      <c r="AT13" s="1044">
        <v>4373854.41</v>
      </c>
      <c r="AU13" s="1044">
        <v>5073779.95</v>
      </c>
      <c r="AV13" s="1044">
        <v>5158304.79</v>
      </c>
      <c r="AW13" s="1044">
        <v>6121257.1200000001</v>
      </c>
      <c r="AX13" s="1044">
        <v>5003035.55</v>
      </c>
      <c r="AY13" s="1045">
        <v>5079193.8</v>
      </c>
    </row>
    <row r="14" spans="1:51" s="284" customFormat="1" ht="14.25">
      <c r="A14" s="1027"/>
      <c r="B14" s="1041"/>
      <c r="C14" s="1025"/>
      <c r="D14" s="1025"/>
      <c r="E14" s="1025"/>
      <c r="F14" s="1025"/>
      <c r="G14" s="1025"/>
      <c r="H14" s="1027"/>
      <c r="I14" s="1025"/>
      <c r="J14" s="1025"/>
      <c r="K14" s="1027"/>
      <c r="L14" s="1025"/>
      <c r="M14" s="1025"/>
      <c r="N14" s="1025"/>
      <c r="O14" s="1025"/>
      <c r="P14" s="1025"/>
      <c r="Q14" s="1025"/>
      <c r="R14" s="1025"/>
      <c r="S14" s="1025"/>
      <c r="T14" s="1025"/>
      <c r="U14" s="1027"/>
      <c r="V14" s="1025"/>
      <c r="W14" s="1025"/>
      <c r="X14" s="1027"/>
      <c r="Y14" s="1025"/>
      <c r="Z14" s="1025"/>
      <c r="AA14" s="1025"/>
      <c r="AB14" s="1041"/>
      <c r="AC14" s="1041"/>
      <c r="AD14" s="1042"/>
      <c r="AE14" s="1042"/>
      <c r="AF14" s="1042"/>
      <c r="AG14" s="1042"/>
      <c r="AH14" s="1042"/>
      <c r="AI14" s="1042"/>
      <c r="AJ14" s="1042"/>
      <c r="AK14" s="1042"/>
      <c r="AL14" s="1042"/>
      <c r="AM14" s="1042"/>
      <c r="AN14" s="1043"/>
      <c r="AO14" s="1044"/>
      <c r="AP14" s="1044"/>
      <c r="AQ14" s="1044"/>
      <c r="AR14" s="1044"/>
      <c r="AS14" s="1044"/>
      <c r="AT14" s="1044"/>
      <c r="AU14" s="1044"/>
      <c r="AV14" s="1044"/>
      <c r="AW14" s="1044"/>
      <c r="AX14" s="1044"/>
      <c r="AY14" s="1045"/>
    </row>
  </sheetData>
  <mergeCells count="9">
    <mergeCell ref="V3:X3"/>
    <mergeCell ref="B2:AB2"/>
    <mergeCell ref="AD3:AN3"/>
    <mergeCell ref="AO3:AY3"/>
    <mergeCell ref="Y3:AA3"/>
    <mergeCell ref="C3:H3"/>
    <mergeCell ref="I3:K3"/>
    <mergeCell ref="L3:U3"/>
    <mergeCell ref="AC2:AY2"/>
  </mergeCells>
  <phoneticPr fontId="24" type="noConversion"/>
  <dataValidations count="6">
    <dataValidation type="list" allowBlank="1" showInputMessage="1" showErrorMessage="1" sqref="B7:B40" xr:uid="{657A12D8-7424-4218-A269-E7EC146BC98E}">
      <formula1>"Office,Residential,Education,Healthcare"</formula1>
    </dataValidation>
    <dataValidation type="list" allowBlank="1" showInputMessage="1" showErrorMessage="1" sqref="I7:I40" xr:uid="{EC58FEE2-0849-447E-BAFC-88599F1F76C2}">
      <formula1>"Continuous Flight Auger,Bored Cast in Place Concrete,Driven Precast Concrete,All Types"</formula1>
    </dataValidation>
    <dataValidation type="list" allowBlank="1" showInputMessage="1" showErrorMessage="1" sqref="J7:J40" xr:uid="{480803F8-3783-4A05-98DD-85135F4F5B12}">
      <formula1>"C32/40 - CEM I (OPC),C32/40 - 25% GGBS,C32/40 - 50% GGBS,C32/40 - 75% GGBS"</formula1>
    </dataValidation>
    <dataValidation type="list" allowBlank="1" showInputMessage="1" showErrorMessage="1" sqref="N7:N40 R7:R40 L7:L40 P7:P40" xr:uid="{BE3CA34D-328A-4F07-AC64-52D14748436D}">
      <formula1>"Very Soft Clay,Made Ground,Soft Clay,Firm Clay,Stiff Clay,Very Stiff Clay,Hard Clay,Silt,Loose Sand/Gravel,Medium Sand/Gravel,Dense Sand/Gravel,Low Density Chalk,Medium Density Chalk,High Density Chalk,None"</formula1>
    </dataValidation>
    <dataValidation type="list" allowBlank="1" showInputMessage="1" showErrorMessage="1" sqref="V7:V40 Y7:Y40 AA7:AA40" xr:uid="{2A7851B1-B456-4220-99FA-44A85CABC245}">
      <formula1>"Yes,No"</formula1>
    </dataValidation>
    <dataValidation type="list" allowBlank="1" showInputMessage="1" showErrorMessage="1" sqref="AB7:AB40" xr:uid="{5C90B7EF-30C1-4154-9C2C-14D83D66D251}">
      <formula1>"Cavity Wall,Lightweight Cladding,Curtain Walling,Timber Cladding,PC Cladding"</formula1>
    </dataValidation>
  </dataValidations>
  <pageMargins left="0.7" right="0.7" top="0.75" bottom="0.75" header="0.3" footer="0.3"/>
  <pageSetup paperSize="9" orientation="portrait" horizontalDpi="300" verticalDpi="0" r:id="rId1"/>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02470-3C7C-46A3-818A-0C382B8B89C3}">
  <sheetPr codeName="Sheet1"/>
  <dimension ref="A1:KN305"/>
  <sheetViews>
    <sheetView workbookViewId="0">
      <selection activeCell="G10" sqref="G10"/>
    </sheetView>
  </sheetViews>
  <sheetFormatPr defaultColWidth="10.5703125" defaultRowHeight="11.25"/>
  <cols>
    <col min="1" max="1" width="10.5703125" style="1046"/>
    <col min="2" max="2" width="10.5703125" style="1047"/>
    <col min="3" max="4" width="10.5703125" style="1046"/>
    <col min="5" max="5" width="15.42578125" style="1046" bestFit="1" customWidth="1"/>
    <col min="6" max="9" width="10.5703125" style="1046"/>
    <col min="10" max="23" width="10.5703125" style="1046" customWidth="1"/>
    <col min="24" max="138" width="10.5703125" style="1046"/>
    <col min="139" max="140" width="12.7109375" style="1046" customWidth="1"/>
    <col min="141" max="166" width="10.5703125" style="1046"/>
    <col min="167" max="167" width="11.42578125" style="1046" bestFit="1" customWidth="1"/>
    <col min="168" max="168" width="10.85546875" style="1046" bestFit="1" customWidth="1"/>
    <col min="169" max="169" width="11.42578125" style="1046" bestFit="1" customWidth="1"/>
    <col min="170" max="170" width="10.85546875" style="1046" bestFit="1" customWidth="1"/>
    <col min="171" max="171" width="11.42578125" style="1046" bestFit="1" customWidth="1"/>
    <col min="172" max="172" width="10.85546875" style="1046" bestFit="1" customWidth="1"/>
    <col min="173" max="201" width="10.5703125" style="1046"/>
    <col min="202" max="203" width="12.7109375" style="1046" customWidth="1"/>
    <col min="204" max="279" width="10.5703125" style="1046"/>
    <col min="280" max="280" width="10.5703125" style="1050"/>
    <col min="281" max="16384" width="10.5703125" style="1046"/>
  </cols>
  <sheetData>
    <row r="1" spans="1:280">
      <c r="JT1" s="1046"/>
    </row>
    <row r="2" spans="1:280">
      <c r="A2" s="1048" t="s">
        <v>308</v>
      </c>
      <c r="D2" s="1049" t="s">
        <v>547</v>
      </c>
      <c r="E2" s="1050">
        <f>MIN(Summary!C13:'Summary'!C14)</f>
        <v>6</v>
      </c>
      <c r="JT2" s="1046"/>
    </row>
    <row r="3" spans="1:280">
      <c r="A3" s="1048" t="s">
        <v>30</v>
      </c>
      <c r="D3" s="1049" t="s">
        <v>548</v>
      </c>
      <c r="E3" s="1046">
        <f>MAX(Summary!C13:'Summary'!C14)</f>
        <v>6</v>
      </c>
      <c r="H3" s="1048" t="s">
        <v>1063</v>
      </c>
      <c r="I3" s="1048"/>
      <c r="JT3" s="1046"/>
    </row>
    <row r="4" spans="1:280">
      <c r="A4" s="1048" t="s">
        <v>311</v>
      </c>
      <c r="D4" s="1051" t="s">
        <v>29</v>
      </c>
      <c r="E4" s="1046" t="str">
        <f>Summary!C9</f>
        <v>Residential</v>
      </c>
      <c r="JT4" s="1046"/>
    </row>
    <row r="5" spans="1:280">
      <c r="A5" s="1048" t="s">
        <v>309</v>
      </c>
      <c r="E5" s="1048" t="str">
        <f>LEFT(E4,1)&amp;E2&amp;E3</f>
        <v>R66</v>
      </c>
      <c r="AA5" s="1052"/>
      <c r="JT5" s="1046"/>
    </row>
    <row r="6" spans="1:280">
      <c r="A6" s="1048"/>
      <c r="D6" s="1053" t="s">
        <v>50</v>
      </c>
      <c r="E6" s="1048">
        <f>IF(Summary!C13&gt;Summary!C14,Summary!C16,Summary!C15)</f>
        <v>10</v>
      </c>
      <c r="AA6" s="1052"/>
      <c r="JT6" s="1046"/>
    </row>
    <row r="7" spans="1:280">
      <c r="A7" s="1048"/>
      <c r="D7" s="1053" t="s">
        <v>54</v>
      </c>
      <c r="E7" s="1048">
        <f>IF(Summary!C13&lt;Summary!C14,Summary!C15,Summary!C16)</f>
        <v>8</v>
      </c>
      <c r="AA7" s="1052"/>
      <c r="JT7" s="1046"/>
    </row>
    <row r="8" spans="1:280">
      <c r="A8" s="1048"/>
      <c r="D8" s="1053" t="s">
        <v>1064</v>
      </c>
      <c r="E8" s="1048">
        <f>4</f>
        <v>4</v>
      </c>
      <c r="AA8" s="1052"/>
      <c r="JT8" s="1046"/>
    </row>
    <row r="9" spans="1:280">
      <c r="A9" s="1048"/>
      <c r="D9" s="1053" t="s">
        <v>1065</v>
      </c>
      <c r="E9" s="1048">
        <f>2*(E6-1+E7-1)</f>
        <v>32</v>
      </c>
      <c r="AA9" s="1052"/>
      <c r="JT9" s="1046"/>
    </row>
    <row r="10" spans="1:280">
      <c r="A10" s="1048"/>
      <c r="D10" s="1053" t="s">
        <v>1066</v>
      </c>
      <c r="E10" s="1048">
        <f>(E6-1)*(E7-1)</f>
        <v>63</v>
      </c>
      <c r="AA10" s="1052"/>
      <c r="JT10" s="1046"/>
    </row>
    <row r="11" spans="1:280">
      <c r="A11" s="1048"/>
      <c r="E11" s="1048"/>
      <c r="AA11" s="1052"/>
      <c r="JT11" s="1046"/>
    </row>
    <row r="12" spans="1:280">
      <c r="A12" s="1048"/>
      <c r="D12" s="1051" t="s">
        <v>59</v>
      </c>
      <c r="E12" s="1046">
        <f>Summary!C17</f>
        <v>2</v>
      </c>
      <c r="AA12" s="1052"/>
      <c r="JT12" s="1046"/>
    </row>
    <row r="13" spans="1:280">
      <c r="A13" s="1048"/>
      <c r="D13" s="1051" t="s">
        <v>1067</v>
      </c>
      <c r="E13" s="1046">
        <f>Summary!C18</f>
        <v>3</v>
      </c>
      <c r="AA13" s="1052"/>
      <c r="JT13" s="1046"/>
    </row>
    <row r="14" spans="1:280" ht="22.5">
      <c r="A14" s="1048"/>
      <c r="D14" s="1049" t="s">
        <v>68</v>
      </c>
      <c r="E14" s="1046" t="str">
        <f>Summary!J19</f>
        <v>Curtain Walling</v>
      </c>
      <c r="T14" s="1378" t="s">
        <v>1068</v>
      </c>
      <c r="U14" s="1378"/>
      <c r="V14" s="1378"/>
      <c r="W14" s="1378"/>
      <c r="X14" s="1378"/>
      <c r="Y14" s="1378"/>
      <c r="AA14" s="1052"/>
      <c r="AC14" s="1378"/>
      <c r="AD14" s="1378"/>
      <c r="AE14" s="1378"/>
      <c r="AF14" s="1378"/>
      <c r="AG14" s="1378"/>
      <c r="AK14" s="1054"/>
      <c r="AL14" s="1378"/>
      <c r="AM14" s="1378"/>
      <c r="AN14" s="1378"/>
      <c r="AO14" s="1378"/>
      <c r="AP14" s="1378"/>
      <c r="AQ14" s="1378"/>
      <c r="AR14" s="1378"/>
      <c r="AS14" s="1378"/>
      <c r="AT14" s="1379"/>
      <c r="BD14" s="1055"/>
      <c r="BE14" s="1055"/>
      <c r="BF14" s="1055"/>
      <c r="BG14" s="1055"/>
      <c r="BH14" s="1055"/>
      <c r="BI14" s="1055"/>
      <c r="BJ14" s="1055"/>
      <c r="BK14" s="1055"/>
      <c r="BL14" s="1055"/>
      <c r="BM14" s="1055"/>
      <c r="JT14" s="1046"/>
    </row>
    <row r="15" spans="1:280">
      <c r="A15" s="1048"/>
      <c r="D15" s="1051" t="s">
        <v>1069</v>
      </c>
      <c r="E15" s="1046">
        <f>(VLOOKUP(E14,'Loading Schedule'!C5:D9,2,FALSE))*Summary!C18</f>
        <v>4.5</v>
      </c>
      <c r="F15" s="1046">
        <f>IF(E15&lt;10,0,E15-10)</f>
        <v>0</v>
      </c>
      <c r="T15" s="1378" t="s">
        <v>737</v>
      </c>
      <c r="U15" s="1378"/>
      <c r="V15" s="1378" t="s">
        <v>736</v>
      </c>
      <c r="W15" s="1378"/>
      <c r="X15" s="1378" t="s">
        <v>1070</v>
      </c>
      <c r="Y15" s="1378"/>
      <c r="AC15" s="1378" t="s">
        <v>1071</v>
      </c>
      <c r="AD15" s="1378"/>
      <c r="AE15" s="1378"/>
      <c r="AF15" s="1378"/>
      <c r="AG15" s="1378"/>
      <c r="AH15" s="1378" t="s">
        <v>1072</v>
      </c>
      <c r="AI15" s="1378"/>
      <c r="AJ15" s="1378"/>
      <c r="AK15" s="1379"/>
      <c r="AL15" s="1055"/>
      <c r="AM15" s="1055"/>
      <c r="AN15" s="1055"/>
      <c r="AO15" s="1378"/>
      <c r="AP15" s="1378"/>
      <c r="AQ15" s="1378"/>
      <c r="AR15" s="1378"/>
      <c r="AS15" s="1378"/>
      <c r="AT15" s="1379"/>
      <c r="BD15" s="1377"/>
      <c r="BE15" s="1378"/>
      <c r="BF15" s="1378"/>
      <c r="BG15" s="1378"/>
      <c r="BH15" s="1378"/>
      <c r="BI15" s="1378"/>
      <c r="BK15" s="1378"/>
      <c r="BL15" s="1378"/>
      <c r="BM15" s="1378"/>
      <c r="JT15" s="1046"/>
    </row>
    <row r="16" spans="1:280" ht="35.1" customHeight="1" thickBot="1">
      <c r="A16" s="1047"/>
      <c r="E16" s="1056" t="s">
        <v>1073</v>
      </c>
      <c r="F16" s="1056" t="s">
        <v>1074</v>
      </c>
      <c r="G16" s="1056" t="s">
        <v>1075</v>
      </c>
      <c r="H16" s="1056" t="s">
        <v>1076</v>
      </c>
      <c r="I16" s="1056" t="s">
        <v>1077</v>
      </c>
      <c r="J16" s="1056" t="s">
        <v>1078</v>
      </c>
      <c r="K16" s="1056" t="s">
        <v>1079</v>
      </c>
      <c r="L16" s="1056" t="s">
        <v>1080</v>
      </c>
      <c r="M16" s="1056" t="s">
        <v>1081</v>
      </c>
      <c r="N16" s="1056" t="s">
        <v>1082</v>
      </c>
      <c r="O16" s="1056" t="s">
        <v>173</v>
      </c>
      <c r="P16" s="1056" t="s">
        <v>1083</v>
      </c>
      <c r="Q16" s="1056" t="s">
        <v>1084</v>
      </c>
      <c r="R16" s="1056" t="s">
        <v>1085</v>
      </c>
      <c r="S16" s="1056" t="s">
        <v>1086</v>
      </c>
      <c r="T16" s="1056" t="s">
        <v>1087</v>
      </c>
      <c r="U16" s="1056" t="s">
        <v>1088</v>
      </c>
      <c r="V16" s="1056" t="s">
        <v>1089</v>
      </c>
      <c r="W16" s="1056" t="s">
        <v>1088</v>
      </c>
      <c r="X16" s="1056" t="s">
        <v>1089</v>
      </c>
      <c r="Y16" s="1056" t="s">
        <v>1088</v>
      </c>
      <c r="AC16" s="1057" t="s">
        <v>1090</v>
      </c>
      <c r="AD16" s="1057" t="s">
        <v>1091</v>
      </c>
      <c r="AE16" s="1057" t="s">
        <v>1092</v>
      </c>
      <c r="AF16" s="1058"/>
      <c r="AG16" s="1058"/>
      <c r="AH16" s="1059" t="s">
        <v>188</v>
      </c>
      <c r="AI16" s="1059" t="s">
        <v>187</v>
      </c>
      <c r="AJ16" s="1059" t="s">
        <v>1093</v>
      </c>
      <c r="AK16" s="1060" t="s">
        <v>1094</v>
      </c>
      <c r="AL16" s="1056"/>
      <c r="AM16" s="1056"/>
      <c r="AN16" s="1056"/>
      <c r="AO16" s="1056"/>
      <c r="AP16" s="1056"/>
      <c r="AQ16" s="1056"/>
      <c r="AR16" s="1056"/>
      <c r="AS16" s="1056"/>
      <c r="AT16" s="1060"/>
      <c r="BD16" s="1056"/>
      <c r="BE16" s="1056"/>
      <c r="BF16" s="1056"/>
      <c r="BG16" s="1056"/>
      <c r="BH16" s="1056"/>
      <c r="BI16" s="1056"/>
      <c r="BK16" s="1061"/>
      <c r="BL16" s="1061"/>
      <c r="BM16" s="1061"/>
      <c r="BT16" s="1062"/>
      <c r="JT16" s="1046"/>
    </row>
    <row r="17" spans="1:298">
      <c r="A17" s="1047">
        <v>1</v>
      </c>
      <c r="D17" s="1063" t="str">
        <f>E30</f>
        <v>RC Flat Slab</v>
      </c>
      <c r="E17" s="1064">
        <f>IFERROR(VLOOKUP($E$5,$B$33:$KL$304,4,FALSE),0)</f>
        <v>0.21</v>
      </c>
      <c r="F17" s="1064">
        <f>VLOOKUP($E$5,$B$33:$KL$304,5,FALSE)</f>
        <v>0.21</v>
      </c>
      <c r="G17" s="1064">
        <f>VLOOKUP($E$5,$B$33:$KL$304,6,FALSE)</f>
        <v>504</v>
      </c>
      <c r="H17" s="1064">
        <f>VLOOKUP($E$5,$B$33:$KL$304,7,FALSE)</f>
        <v>14.7</v>
      </c>
      <c r="I17" s="1064">
        <f>VLOOKUP($E$5,$B$33:$KL$304,8,FALSE)</f>
        <v>0</v>
      </c>
      <c r="J17" s="1064">
        <f>VLOOKUP($E$5,$B$33:$KL$304,9,FALSE)</f>
        <v>0</v>
      </c>
      <c r="K17" s="1064">
        <f>VLOOKUP($E$5,$B$33:$KL$304,10,FALSE)</f>
        <v>0</v>
      </c>
      <c r="L17" s="1064">
        <f>VLOOKUP($E$5,$B$33:$KL$304,11,FALSE)</f>
        <v>0</v>
      </c>
      <c r="M17" s="1065">
        <f>VLOOKUP($E$5,$B$33:$KL$304,12,FALSE)</f>
        <v>0</v>
      </c>
      <c r="N17" s="1065">
        <f>VLOOKUP($E$5,$B$33:$KL$304,13,FALSE)</f>
        <v>0</v>
      </c>
      <c r="O17" s="1065">
        <f>VLOOKUP($E$5,$B$33:$KL$304,14,FALSE)</f>
        <v>0</v>
      </c>
      <c r="P17" s="1065">
        <f>VLOOKUP($E$5,$B$33:$KL$304,15,FALSE)</f>
        <v>0</v>
      </c>
      <c r="Q17" s="1065">
        <f>VLOOKUP($E$5,$B$33:$KL$304,16,FALSE)</f>
        <v>0</v>
      </c>
      <c r="R17" s="1065">
        <f>VLOOKUP($E$5,$B$33:$KL$304,17,FALSE)</f>
        <v>0</v>
      </c>
      <c r="S17" s="1065">
        <f>VLOOKUP($E$5,$B$33:$KL$304,18,FALSE)</f>
        <v>0</v>
      </c>
      <c r="T17" s="1066">
        <f>IF(E17=0,0,VLOOKUP($E$5,$B$33:$KL$304,19,FALSE)+0.5*(E2+E3)*F15)</f>
        <v>127.6574375</v>
      </c>
      <c r="U17" s="1066">
        <f>VLOOKUP($E$5,$B$33:$KL$304,20,FALSE)</f>
        <v>22.5</v>
      </c>
      <c r="V17" s="1066">
        <f>(IF(E17=0,0,VLOOKUP($E$5,$B$33:$KL$304,21,FALSE))+MAX(E2:E3)*F15)</f>
        <v>187.75743750000001</v>
      </c>
      <c r="W17" s="1066">
        <f>W$23</f>
        <v>45</v>
      </c>
      <c r="X17" s="1066">
        <f>VLOOKUP($E$5,$B$33:$KL$304,23,FALSE)</f>
        <v>236.691</v>
      </c>
      <c r="Y17" s="1066">
        <f t="shared" ref="Y17:Y22" si="0">Y$23</f>
        <v>90</v>
      </c>
      <c r="AC17" s="1065" t="str">
        <f>'RC Column'!H52&amp;" x "&amp;'RC Column'!H52</f>
        <v>250 x 250</v>
      </c>
      <c r="AD17" s="1065" t="str">
        <f>'RC Column'!H44&amp;" x "&amp;'RC Column'!H44</f>
        <v>250 x 250</v>
      </c>
      <c r="AE17" s="1065" t="str">
        <f>'RC Column'!H36&amp;" x "&amp;'RC Column'!H36</f>
        <v>250 x 250</v>
      </c>
      <c r="AF17" s="1064"/>
      <c r="AG17" s="1064"/>
      <c r="AH17" s="1065"/>
      <c r="AI17" s="1065"/>
      <c r="AJ17" s="1065"/>
      <c r="AK17" s="1067"/>
      <c r="AL17" s="1050"/>
      <c r="AM17" s="1050"/>
      <c r="AN17" s="1050"/>
      <c r="AO17" s="1050"/>
      <c r="AP17" s="1050"/>
      <c r="AQ17" s="1050"/>
      <c r="AR17" s="1050"/>
      <c r="AS17" s="1050"/>
      <c r="AT17" s="1068"/>
      <c r="BD17" s="1050"/>
      <c r="BE17" s="1050"/>
      <c r="BF17" s="1050"/>
      <c r="BG17" s="1050"/>
      <c r="BH17" s="1050"/>
      <c r="BI17" s="1050"/>
      <c r="BK17" s="1050"/>
      <c r="BL17" s="1050"/>
      <c r="BM17" s="1050"/>
      <c r="BT17" s="1062"/>
      <c r="IE17" s="1063"/>
      <c r="IF17" s="1063"/>
      <c r="JT17" s="1046"/>
      <c r="JU17" s="1063"/>
      <c r="JV17" s="1063"/>
    </row>
    <row r="18" spans="1:298">
      <c r="A18" s="1047">
        <v>2</v>
      </c>
      <c r="D18" s="1063" t="str">
        <f>Z30</f>
        <v>PT RC Flat Slab</v>
      </c>
      <c r="E18" s="1064">
        <f>IFERROR(VLOOKUP($E$5,$B$33:$KL$304,25,FALSE),0)</f>
        <v>0.2</v>
      </c>
      <c r="F18" s="1064">
        <f>VLOOKUP($E$5,$B$33:$KL$304,26,FALSE)</f>
        <v>0.2</v>
      </c>
      <c r="G18" s="1069">
        <f>VLOOKUP($E$5,$B$33:$KL$304,27,FALSE)</f>
        <v>480</v>
      </c>
      <c r="H18" s="1069">
        <f>VLOOKUP($E$5,$B$33:$KL$304,28,FALSE)</f>
        <v>18</v>
      </c>
      <c r="I18" s="1069">
        <f>VLOOKUP($E$5,$B$33:$KL$304,29,FALSE)</f>
        <v>0</v>
      </c>
      <c r="J18" s="1069">
        <f>VLOOKUP($E$5,$B$33:$KL$304,30,FALSE)</f>
        <v>0</v>
      </c>
      <c r="K18" s="1069">
        <f>VLOOKUP($E$5,$B$33:$KL$304,31,FALSE)</f>
        <v>0</v>
      </c>
      <c r="L18" s="1069">
        <f>VLOOKUP($E$5,$B$33:$KL$304,32,FALSE)</f>
        <v>0</v>
      </c>
      <c r="M18" s="1070">
        <f>VLOOKUP($E$5,$B$33:$KL$304,33,FALSE)</f>
        <v>0</v>
      </c>
      <c r="N18" s="1070">
        <f>VLOOKUP($E$5,$B$33:$KL$304,34,FALSE)</f>
        <v>0</v>
      </c>
      <c r="O18" s="1070">
        <f>VLOOKUP($E$5,$B$33:$KL$304,35,FALSE)</f>
        <v>0</v>
      </c>
      <c r="P18" s="1070">
        <f>VLOOKUP($E$5,$B$33:$KL$304,36,FALSE)</f>
        <v>0</v>
      </c>
      <c r="Q18" s="1070">
        <f>VLOOKUP($E$5,$B$33:$KL$304,37,FALSE)</f>
        <v>0</v>
      </c>
      <c r="R18" s="1070">
        <f>VLOOKUP($E$5,$B$33:$KL$304,38,FALSE)</f>
        <v>0</v>
      </c>
      <c r="S18" s="1070">
        <f>VLOOKUP($E$5,$B$33:$KL$304,39,FALSE)</f>
        <v>0</v>
      </c>
      <c r="T18" s="1071">
        <f>IF(E18=0,0,VLOOKUP($E$5,$B$33:$KL$304,40,FALSE)+0.5*(E2+E3)*F15)</f>
        <v>125.0974375</v>
      </c>
      <c r="U18" s="1071">
        <f>VLOOKUP($E$5,$B$33:$KL$304,41,FALSE)</f>
        <v>22.5</v>
      </c>
      <c r="V18" s="1071">
        <f>IF(E18=0,0,VLOOKUP($E$5,$B$33:$KL$304,42,FALSE)+MAX(E2:E3)*F15)</f>
        <v>182.71743749999999</v>
      </c>
      <c r="W18" s="1071">
        <f t="shared" ref="W18:W22" si="1">W$23</f>
        <v>45</v>
      </c>
      <c r="X18" s="1071">
        <f>VLOOKUP($E$5,$B$33:$KL$304,44,FALSE)</f>
        <v>226.791</v>
      </c>
      <c r="Y18" s="1066">
        <f t="shared" si="0"/>
        <v>90</v>
      </c>
      <c r="AC18" s="1065" t="str">
        <f>'RC Column'!H53&amp;" x "&amp;'RC Column'!H53</f>
        <v>250 x 250</v>
      </c>
      <c r="AD18" s="1065" t="str">
        <f>'RC Column'!H45&amp;" x "&amp;'RC Column'!H45</f>
        <v>250 x 250</v>
      </c>
      <c r="AE18" s="1065" t="str">
        <f>'RC Column'!H37&amp;" x "&amp;'RC Column'!H37</f>
        <v>250 x 250</v>
      </c>
      <c r="AF18" s="1064"/>
      <c r="AG18" s="1064"/>
      <c r="AH18" s="1065"/>
      <c r="AI18" s="1065"/>
      <c r="AJ18" s="1065"/>
      <c r="AK18" s="1067"/>
      <c r="AL18" s="1050"/>
      <c r="AM18" s="1050"/>
      <c r="AN18" s="1050"/>
      <c r="AO18" s="1050"/>
      <c r="AP18" s="1050"/>
      <c r="AQ18" s="1050"/>
      <c r="AR18" s="1050"/>
      <c r="AS18" s="1050"/>
      <c r="AT18" s="1072"/>
      <c r="BD18" s="1050"/>
      <c r="BE18" s="1050"/>
      <c r="BF18" s="1050"/>
      <c r="BG18" s="1050"/>
      <c r="BH18" s="1050"/>
      <c r="BI18" s="1050"/>
      <c r="BK18" s="1050"/>
      <c r="BL18" s="1050"/>
      <c r="BM18" s="1050"/>
      <c r="BT18" s="1062"/>
      <c r="IE18" s="1063"/>
      <c r="IF18" s="1063"/>
      <c r="JT18" s="1046"/>
      <c r="JU18" s="1063"/>
      <c r="JV18" s="1063"/>
    </row>
    <row r="19" spans="1:298" ht="11.45" customHeight="1">
      <c r="A19" s="1047">
        <v>3</v>
      </c>
      <c r="D19" s="1063" t="str">
        <f>AU30</f>
        <v>RC Rib Slab</v>
      </c>
      <c r="E19" s="1064">
        <f>IFERROR(VLOOKUP($E$5,$B$33:$KL$304,46,FALSE),0)</f>
        <v>0.3</v>
      </c>
      <c r="F19" s="1064">
        <f>VLOOKUP($E$5,$B$33:$KL$304,47,FALSE)</f>
        <v>0.25</v>
      </c>
      <c r="G19" s="1069">
        <f>VLOOKUP($E$5,$B$33:$KL$304,48,FALSE)</f>
        <v>425.88376577840103</v>
      </c>
      <c r="H19" s="1069">
        <f>VLOOKUP($E$5,$B$33:$KL$304,49,FALSE)</f>
        <v>19.254032258064498</v>
      </c>
      <c r="I19" s="1069">
        <f>VLOOKUP($E$5,$B$33:$KL$304,50,FALSE)</f>
        <v>0</v>
      </c>
      <c r="J19" s="1069">
        <f>VLOOKUP($E$5,$B$33:$KL$304,51,FALSE)</f>
        <v>0</v>
      </c>
      <c r="K19" s="1069">
        <f>VLOOKUP($E$5,$B$33:$KL$304,52,FALSE)</f>
        <v>0</v>
      </c>
      <c r="L19" s="1069">
        <f>VLOOKUP($E$5,$B$33:$KL$304,53,FALSE)</f>
        <v>0</v>
      </c>
      <c r="M19" s="1070">
        <f>VLOOKUP($E$5,$B$33:$KL$304,54,FALSE)</f>
        <v>0</v>
      </c>
      <c r="N19" s="1070">
        <f>VLOOKUP($E$5,$B$33:$KL$304,55,FALSE)</f>
        <v>0</v>
      </c>
      <c r="O19" s="1070">
        <f>VLOOKUP($E$5,$B$33:$KL$304,56,FALSE)</f>
        <v>0</v>
      </c>
      <c r="P19" s="1070">
        <f>VLOOKUP($E$5,$B$33:$KL$304,57,FALSE)</f>
        <v>0</v>
      </c>
      <c r="Q19" s="1070">
        <f>VLOOKUP($E$5,$B$33:$KL$304,58,FALSE)</f>
        <v>0.3</v>
      </c>
      <c r="R19" s="1070">
        <f>VLOOKUP($E$5,$B$33:$KL$304,59,FALSE)</f>
        <v>0</v>
      </c>
      <c r="S19" s="1070">
        <f>VLOOKUP($E$5,$B$33:$KL$304,60,FALSE)</f>
        <v>0.6</v>
      </c>
      <c r="T19" s="1071">
        <f>IF(E19=0,0,VLOOKUP($E$5,$B$33:$KL$304,61,FALSE)+0.5*(E2+E3)*F15)</f>
        <v>124.25095161290299</v>
      </c>
      <c r="U19" s="1071">
        <f>VLOOKUP($E$5,$B$33:$KL$304,62,FALSE)</f>
        <v>22.5</v>
      </c>
      <c r="V19" s="1071">
        <f>IF(E19=0,0,VLOOKUP($E$5,$B$33:$KL$304,63,FALSE)+MAX(E2:E3)*F15)</f>
        <v>174.08845161290299</v>
      </c>
      <c r="W19" s="1071">
        <f t="shared" si="1"/>
        <v>45</v>
      </c>
      <c r="X19" s="1071">
        <f>VLOOKUP($E$5,$B$33:$KL$304,65,FALSE)</f>
        <v>200.10226209677401</v>
      </c>
      <c r="Y19" s="1066">
        <f t="shared" si="0"/>
        <v>90</v>
      </c>
      <c r="AC19" s="1065" t="str">
        <f>'RC Column'!H54&amp;" x "&amp;'RC Column'!H54</f>
        <v>250 x 250</v>
      </c>
      <c r="AD19" s="1065" t="str">
        <f>'RC Column'!H46&amp;" x "&amp;'RC Column'!H46</f>
        <v>250 x 250</v>
      </c>
      <c r="AE19" s="1065" t="str">
        <f>'RC Column'!H38&amp;" x "&amp;'RC Column'!H38</f>
        <v>250 x 250</v>
      </c>
      <c r="AF19" s="1064"/>
      <c r="AG19" s="1064"/>
      <c r="AH19" s="1065"/>
      <c r="AI19" s="1065"/>
      <c r="AJ19" s="1065"/>
      <c r="AK19" s="1067"/>
      <c r="AL19" s="1050"/>
      <c r="AM19" s="1050"/>
      <c r="AN19" s="1050"/>
      <c r="AO19" s="1050"/>
      <c r="AP19" s="1050"/>
      <c r="AQ19" s="1050"/>
      <c r="AR19" s="1050"/>
      <c r="AS19" s="1050"/>
      <c r="AT19" s="1072"/>
      <c r="BD19" s="1050"/>
      <c r="BE19" s="1050"/>
      <c r="BF19" s="1050"/>
      <c r="BG19" s="1050"/>
      <c r="BH19" s="1050"/>
      <c r="BI19" s="1050"/>
      <c r="BK19" s="1050"/>
      <c r="BL19" s="1050"/>
      <c r="BM19" s="1050"/>
      <c r="BT19" s="1062"/>
      <c r="IE19" s="1063"/>
      <c r="IF19" s="1063"/>
      <c r="JT19" s="1046"/>
      <c r="JU19" s="1063"/>
      <c r="JV19" s="1063"/>
    </row>
    <row r="20" spans="1:298">
      <c r="A20" s="1047">
        <v>4</v>
      </c>
      <c r="D20" s="1063" t="str">
        <f>BP30</f>
        <v>Two-way RC Slab</v>
      </c>
      <c r="E20" s="1064">
        <f>IFERROR(VLOOKUP($E$5,$B$33:$KL$304,67,FALSE),0)</f>
        <v>0.27500000000000002</v>
      </c>
      <c r="F20" s="1064">
        <f>VLOOKUP($E$5,$B$33:$KL$304,68,FALSE)</f>
        <v>0.125</v>
      </c>
      <c r="G20" s="1069">
        <f>VLOOKUP($E$5,$B$33:$KL$304,69,FALSE)</f>
        <v>375.26297335203401</v>
      </c>
      <c r="H20" s="1069">
        <f>VLOOKUP($E$5,$B$33:$KL$304,70,FALSE)</f>
        <v>14.437938288920099</v>
      </c>
      <c r="I20" s="1069">
        <f>VLOOKUP($E$5,$B$33:$KL$304,71,FALSE)</f>
        <v>0</v>
      </c>
      <c r="J20" s="1069">
        <f>VLOOKUP($E$5,$B$33:$KL$304,72,FALSE)</f>
        <v>0</v>
      </c>
      <c r="K20" s="1069">
        <f>VLOOKUP($E$5,$B$33:$KL$304,73,FALSE)</f>
        <v>0</v>
      </c>
      <c r="L20" s="1069">
        <f>VLOOKUP($E$5,$B$33:$KL$304,74,FALSE)</f>
        <v>0</v>
      </c>
      <c r="M20" s="1070">
        <f>VLOOKUP($E$5,$B$33:$KL$304,75,FALSE)</f>
        <v>0</v>
      </c>
      <c r="N20" s="1070">
        <f>VLOOKUP($E$5,$B$33:$KL$304,76,FALSE)</f>
        <v>0</v>
      </c>
      <c r="O20" s="1070">
        <f>VLOOKUP($E$5,$B$33:$KL$304,77,FALSE)</f>
        <v>0</v>
      </c>
      <c r="P20" s="1070">
        <f>VLOOKUP($E$5,$B$33:$KL$304,78,FALSE)</f>
        <v>0.27500000000000002</v>
      </c>
      <c r="Q20" s="1070">
        <f>VLOOKUP($E$5,$B$33:$KL$304,79,FALSE)</f>
        <v>0.27500000000000002</v>
      </c>
      <c r="R20" s="1070">
        <f>VLOOKUP($E$5,$B$33:$KL$304,80,FALSE)</f>
        <v>0.3</v>
      </c>
      <c r="S20" s="1070">
        <f>VLOOKUP($E$5,$B$33:$KL$304,81,FALSE)</f>
        <v>0.3</v>
      </c>
      <c r="T20" s="1071">
        <f>IF(E20=0,0,VLOOKUP($E$5,$B$33:$KL$304,82,FALSE)+0.5*(E2+E3)*F15)</f>
        <v>122.9665</v>
      </c>
      <c r="U20" s="1071">
        <f>VLOOKUP($E$5,$B$33:$KL$304,83,FALSE)</f>
        <v>22.5</v>
      </c>
      <c r="V20" s="1071">
        <f>IF(E20=0,0,VLOOKUP($E$5,$B$33:$KL$304,84,FALSE)+MAX(E2:E3)*F15)</f>
        <v>168.399</v>
      </c>
      <c r="W20" s="1071">
        <f t="shared" si="1"/>
        <v>45</v>
      </c>
      <c r="X20" s="1071">
        <f>VLOOKUP($E$5,$B$33:$KL$304,86,FALSE)</f>
        <v>165.339</v>
      </c>
      <c r="Y20" s="1066">
        <f t="shared" si="0"/>
        <v>90</v>
      </c>
      <c r="AC20" s="1065" t="str">
        <f>'RC Column'!H55&amp;" x "&amp;'RC Column'!H55</f>
        <v>250 x 250</v>
      </c>
      <c r="AD20" s="1065" t="str">
        <f>'RC Column'!H47&amp;" x "&amp;'RC Column'!H47</f>
        <v>250 x 250</v>
      </c>
      <c r="AE20" s="1065" t="str">
        <f>'RC Column'!H39&amp;" x "&amp;'RC Column'!H39</f>
        <v>250 x 250</v>
      </c>
      <c r="AF20" s="1064"/>
      <c r="AG20" s="1064"/>
      <c r="AH20" s="1065"/>
      <c r="AI20" s="1065"/>
      <c r="AJ20" s="1065"/>
      <c r="AK20" s="1067"/>
      <c r="AL20" s="1050"/>
      <c r="AM20" s="1050"/>
      <c r="AN20" s="1050"/>
      <c r="AO20" s="1050"/>
      <c r="AP20" s="1050"/>
      <c r="AQ20" s="1050"/>
      <c r="AR20" s="1050"/>
      <c r="AS20" s="1050"/>
      <c r="AT20" s="1072"/>
      <c r="BD20" s="1050"/>
      <c r="BE20" s="1050"/>
      <c r="BF20" s="1050"/>
      <c r="BG20" s="1050"/>
      <c r="BH20" s="1050"/>
      <c r="BI20" s="1050"/>
      <c r="BK20" s="1050"/>
      <c r="BL20" s="1050"/>
      <c r="BM20" s="1050"/>
      <c r="BT20" s="1062"/>
      <c r="IE20" s="1063"/>
      <c r="IF20" s="1063"/>
      <c r="JT20" s="1046"/>
      <c r="JU20" s="1063"/>
      <c r="JV20" s="1063"/>
    </row>
    <row r="21" spans="1:298" ht="10.5" customHeight="1">
      <c r="A21" s="1047">
        <v>5</v>
      </c>
      <c r="D21" s="1063" t="str">
        <f>CK30</f>
        <v>One-Way Spanning RC</v>
      </c>
      <c r="E21" s="1064">
        <f>IFERROR(VLOOKUP($E$5,$B$33:$KL$304,88,FALSE),0)</f>
        <v>0.35</v>
      </c>
      <c r="F21" s="1064">
        <f>VLOOKUP($E$5,$B$33:$KL$304,89,FALSE)</f>
        <v>0.17</v>
      </c>
      <c r="G21" s="1069">
        <f>VLOOKUP($E$5,$B$33:$KL$304,90,FALSE)</f>
        <v>434.01601946002802</v>
      </c>
      <c r="H21" s="1069">
        <f>VLOOKUP($E$5,$B$33:$KL$304,91,FALSE)</f>
        <v>16.482724842216001</v>
      </c>
      <c r="I21" s="1069">
        <f>VLOOKUP($E$5,$B$33:$KL$304,92,FALSE)</f>
        <v>0</v>
      </c>
      <c r="J21" s="1069">
        <f>VLOOKUP($E$5,$B$33:$KL$304,93,FALSE)</f>
        <v>0</v>
      </c>
      <c r="K21" s="1069">
        <f>VLOOKUP($E$5,$B$33:$KL$304,94,FALSE)</f>
        <v>0</v>
      </c>
      <c r="L21" s="1069">
        <f>VLOOKUP($E$5,$B$33:$KL$304,95,FALSE)</f>
        <v>0</v>
      </c>
      <c r="M21" s="1070">
        <f>VLOOKUP($E$5,$B$33:$KL$304,96,FALSE)</f>
        <v>0</v>
      </c>
      <c r="N21" s="1070">
        <f>VLOOKUP($E$5,$B$33:$KL$304,97,FALSE)</f>
        <v>0</v>
      </c>
      <c r="O21" s="1070">
        <f>VLOOKUP($E$5,$B$33:$KL$304,98,FALSE)</f>
        <v>0</v>
      </c>
      <c r="P21" s="1070">
        <f>VLOOKUP($E$5,$B$33:$KL$304,99,FALSE)</f>
        <v>0</v>
      </c>
      <c r="Q21" s="1070">
        <f>VLOOKUP($E$5,$B$33:$KL$304,100,FALSE)</f>
        <v>0.35</v>
      </c>
      <c r="R21" s="1070">
        <f>VLOOKUP($E$5,$B$33:$KL$304,101,FALSE)</f>
        <v>0</v>
      </c>
      <c r="S21" s="1070">
        <f>VLOOKUP($E$5,$B$33:$KL$304,102,FALSE)</f>
        <v>0.3</v>
      </c>
      <c r="T21" s="1071">
        <f>IF(E21=0,0,VLOOKUP($E$5,$B$33:$KL$304,103,FALSE)+0.5*(E2+E3)*F15)</f>
        <v>125.30110000000001</v>
      </c>
      <c r="U21" s="1071">
        <f>VLOOKUP($E$5,$B$33:$KL$304,104,FALSE)</f>
        <v>22.5</v>
      </c>
      <c r="V21" s="1071">
        <f>IF(E21=0,0,VLOOKUP($E$5,$B$33:$KL$304,105,FALSE)+MAX(E2:E3)*F15)</f>
        <v>175.4811</v>
      </c>
      <c r="W21" s="1071">
        <f t="shared" si="1"/>
        <v>45</v>
      </c>
      <c r="X21" s="1071">
        <f>VLOOKUP($E$5,$B$33:$KL$304,107,FALSE)</f>
        <v>204.75360000000001</v>
      </c>
      <c r="Y21" s="1066">
        <f t="shared" si="0"/>
        <v>90</v>
      </c>
      <c r="AC21" s="1065" t="str">
        <f>'RC Column'!H56&amp;" x "&amp;'RC Column'!H56</f>
        <v>250 x 250</v>
      </c>
      <c r="AD21" s="1065" t="str">
        <f>'RC Column'!H48&amp;" x "&amp;'RC Column'!H48</f>
        <v>250 x 250</v>
      </c>
      <c r="AE21" s="1065" t="str">
        <f>'RC Column'!H40&amp;" x "&amp;'RC Column'!H40</f>
        <v>250 x 250</v>
      </c>
      <c r="AF21" s="1064"/>
      <c r="AG21" s="1064"/>
      <c r="AH21" s="1065"/>
      <c r="AI21" s="1065"/>
      <c r="AJ21" s="1065"/>
      <c r="AK21" s="1067"/>
      <c r="AL21" s="1050"/>
      <c r="AM21" s="1050"/>
      <c r="AN21" s="1050"/>
      <c r="AO21" s="1050"/>
      <c r="AP21" s="1050"/>
      <c r="AQ21" s="1050"/>
      <c r="AR21" s="1050"/>
      <c r="AS21" s="1050"/>
      <c r="AT21" s="1072"/>
      <c r="BD21" s="1050"/>
      <c r="BE21" s="1050"/>
      <c r="BF21" s="1050"/>
      <c r="BG21" s="1050"/>
      <c r="BH21" s="1050"/>
      <c r="BI21" s="1050"/>
      <c r="BK21" s="1050"/>
      <c r="BL21" s="1050"/>
      <c r="BM21" s="1050"/>
      <c r="BT21" s="1062"/>
      <c r="IE21" s="1063"/>
      <c r="IF21" s="1063"/>
      <c r="JT21" s="1046"/>
      <c r="JU21" s="1063"/>
      <c r="JV21" s="1063"/>
    </row>
    <row r="22" spans="1:298">
      <c r="A22" s="1047">
        <v>6</v>
      </c>
      <c r="D22" s="1063" t="str">
        <f>DF30</f>
        <v>Precast Hollowcore with In-situ RC Beams</v>
      </c>
      <c r="E22" s="1064">
        <f>IFERROR(VLOOKUP($E$5,$B$33:$KL$304,109,FALSE),0)</f>
        <v>0.35</v>
      </c>
      <c r="F22" s="1064">
        <f>VLOOKUP($E$5,$B$33:$KL$304,110,FALSE)</f>
        <v>0.2</v>
      </c>
      <c r="G22" s="1069">
        <f>VLOOKUP($E$5,$B$33:$KL$304,111,FALSE)</f>
        <v>328.54707223001401</v>
      </c>
      <c r="H22" s="1069">
        <f>VLOOKUP($E$5,$B$33:$KL$304,112,FALSE)</f>
        <v>16.777386570827499</v>
      </c>
      <c r="I22" s="1069">
        <f>VLOOKUP($E$5,$B$33:$KL$304,113,FALSE)</f>
        <v>300</v>
      </c>
      <c r="J22" s="1069">
        <f>VLOOKUP($E$5,$B$33:$KL$304,114,FALSE)</f>
        <v>0</v>
      </c>
      <c r="K22" s="1069">
        <f>VLOOKUP($E$5,$B$33:$KL$304,115,FALSE)</f>
        <v>0</v>
      </c>
      <c r="L22" s="1069">
        <f>VLOOKUP($E$5,$B$33:$KL$304,116,FALSE)</f>
        <v>0</v>
      </c>
      <c r="M22" s="1070">
        <f>VLOOKUP($E$5,$B$33:$KL$304,117,FALSE)</f>
        <v>0</v>
      </c>
      <c r="N22" s="1070">
        <f>VLOOKUP($E$5,$B$33:$KL$304,118,FALSE)</f>
        <v>0</v>
      </c>
      <c r="O22" s="1070">
        <f>VLOOKUP($E$5,$B$33:$KL$304,119,FALSE)</f>
        <v>0</v>
      </c>
      <c r="P22" s="1070">
        <f>VLOOKUP($E$5,$B$33:$KL$304,120,FALSE)</f>
        <v>0</v>
      </c>
      <c r="Q22" s="1070">
        <f>VLOOKUP($E$5,$B$33:$KL$304,121,FALSE)</f>
        <v>0.35</v>
      </c>
      <c r="R22" s="1070">
        <f>VLOOKUP($E$5,$B$33:$KL$304,122,FALSE)</f>
        <v>0</v>
      </c>
      <c r="S22" s="1070">
        <f>VLOOKUP($E$5,$B$33:$KL$304,123,FALSE)</f>
        <v>2.4</v>
      </c>
      <c r="T22" s="1071">
        <f>IF(E22=0,0,VLOOKUP($E$5,$B$33:$KL$304,124,FALSE)+0.5*(E2+E3)*F15)</f>
        <v>126.18899999999999</v>
      </c>
      <c r="U22" s="1071">
        <f>VLOOKUP($E$5,$B$33:$KL$304,125,FALSE)</f>
        <v>22.5</v>
      </c>
      <c r="V22" s="1071">
        <f>IF(E22=0,0,VLOOKUP($E$5,$B$33:$KL$304,126,FALSE)+MAX(E2:E3)*F15)</f>
        <v>224.25149999999999</v>
      </c>
      <c r="W22" s="1071">
        <f t="shared" si="1"/>
        <v>45</v>
      </c>
      <c r="X22" s="1071">
        <f>VLOOKUP($E$5,$B$33:$KL$304,128,FALSE)</f>
        <v>273.22649999999999</v>
      </c>
      <c r="Y22" s="1066">
        <f t="shared" si="0"/>
        <v>90</v>
      </c>
      <c r="AC22" s="1065" t="str">
        <f>'RC Column'!H57&amp;" x "&amp;'RC Column'!H57</f>
        <v>250 x 250</v>
      </c>
      <c r="AD22" s="1065" t="str">
        <f>'RC Column'!H49&amp;" x "&amp;'RC Column'!H49</f>
        <v>250 x 250</v>
      </c>
      <c r="AE22" s="1065" t="str">
        <f>'RC Column'!H41&amp;" x "&amp;'RC Column'!H41</f>
        <v>250 x 250</v>
      </c>
      <c r="AF22" s="1064"/>
      <c r="AG22" s="1064"/>
      <c r="AH22" s="1065"/>
      <c r="AI22" s="1065"/>
      <c r="AJ22" s="1065"/>
      <c r="AK22" s="1067"/>
      <c r="AL22" s="1050"/>
      <c r="AM22" s="1050"/>
      <c r="AN22" s="1050"/>
      <c r="AO22" s="1050"/>
      <c r="AP22" s="1050"/>
      <c r="AQ22" s="1050"/>
      <c r="AR22" s="1050"/>
      <c r="AS22" s="1050"/>
      <c r="AT22" s="1072"/>
      <c r="BD22" s="1050"/>
      <c r="BE22" s="1050"/>
      <c r="BF22" s="1050"/>
      <c r="BG22" s="1050"/>
      <c r="BH22" s="1050"/>
      <c r="BI22" s="1050"/>
      <c r="BK22" s="1050"/>
      <c r="BL22" s="1050"/>
      <c r="BM22" s="1050"/>
      <c r="BT22" s="1062"/>
      <c r="IE22" s="1063"/>
      <c r="IF22" s="1063"/>
      <c r="JT22" s="1046"/>
      <c r="JU22" s="1063"/>
      <c r="JV22" s="1063"/>
    </row>
    <row r="23" spans="1:298">
      <c r="A23" s="1047">
        <v>7</v>
      </c>
      <c r="D23" s="1063" t="str">
        <f>EA30</f>
        <v>Non-Composite Rolled Steel with PCC Planks</v>
      </c>
      <c r="E23" s="1064">
        <f>IFERROR(VLOOKUP($E$5,$B$33:$KL$304,130,FALSE),0)</f>
        <v>0.55800000000000005</v>
      </c>
      <c r="F23" s="1064">
        <f>VLOOKUP($E$5,$B$33:$KL$304,131,FALSE)</f>
        <v>0.2</v>
      </c>
      <c r="G23" s="1069">
        <f>VLOOKUP($E$5,$B$33:$KL$304,132,FALSE)</f>
        <v>132.51783893985726</v>
      </c>
      <c r="H23" s="1069">
        <f>VLOOKUP($E$5,$B$33:$KL$304,133,FALSE)</f>
        <v>0</v>
      </c>
      <c r="I23" s="1069">
        <f>VLOOKUP($E$5,$B$33:$KL$304,134,FALSE)</f>
        <v>285.42303771661568</v>
      </c>
      <c r="J23" s="1069">
        <f>VLOOKUP($E$5,$B$33:$KL$304,135,FALSE)*1.1</f>
        <v>15.950000000000001</v>
      </c>
      <c r="K23" s="1069">
        <f>VLOOKUP($E$5,$B$33:$KL$304,136,FALSE)</f>
        <v>0</v>
      </c>
      <c r="L23" s="1069">
        <f>VLOOKUP($E$5,$B$33:$KL$304,137,FALSE)</f>
        <v>0</v>
      </c>
      <c r="M23" s="1070" t="str">
        <f>VLOOKUP($E$5,$B$33:$KL$304,138,FALSE)</f>
        <v>356 x 171 x 57</v>
      </c>
      <c r="N23" s="1070" t="str">
        <f>VLOOKUP($E$5,$B$33:$KL$304,139,FALSE)</f>
        <v>203 x 133 x 30</v>
      </c>
      <c r="O23" s="1070">
        <f>VLOOKUP($E$5,$B$33:$KL$304,140,FALSE)</f>
        <v>0</v>
      </c>
      <c r="P23" s="1070">
        <f>VLOOKUP($E$5,$B$33:$KL$304,141,FALSE)</f>
        <v>0</v>
      </c>
      <c r="Q23" s="1070">
        <f>VLOOKUP($E$5,$B$33:$KL$304,142,FALSE)</f>
        <v>0</v>
      </c>
      <c r="R23" s="1070">
        <f>VLOOKUP($E$5,$B$33:$KL$304,143,FALSE)</f>
        <v>0</v>
      </c>
      <c r="S23" s="1070">
        <f>VLOOKUP($E$5,$B$33:$KL$304,144,FALSE)</f>
        <v>0</v>
      </c>
      <c r="T23" s="1071">
        <f>IF(E23=0,0,VLOOKUP($E$5,$B$33:$KL$304,145,FALSE)+0.5*(E2+E3)*E15)</f>
        <v>69.680205000000001</v>
      </c>
      <c r="U23" s="1071">
        <f>VLOOKUP($E$5,$B$33:$KL$304,146,FALSE)</f>
        <v>22.5</v>
      </c>
      <c r="V23" s="1071">
        <f>IF(E23=0,0,VLOOKUP($E$5,$B$33:$KL$304,147,FALSE)+MAX(E2:E3)*E15)</f>
        <v>112.36041</v>
      </c>
      <c r="W23" s="1071">
        <f>VLOOKUP($E$5,$B$33:$KL$304,148,FALSE)</f>
        <v>45</v>
      </c>
      <c r="X23" s="1071">
        <f>VLOOKUP($E$5,$B$33:$KL$304,149,FALSE)</f>
        <v>170.72082</v>
      </c>
      <c r="Y23" s="1066">
        <f>VLOOKUP($E$5,$B$33:$KL$304,150,FALSE)</f>
        <v>90</v>
      </c>
      <c r="AC23" s="1065"/>
      <c r="AD23" s="1065"/>
      <c r="AE23" s="1065"/>
      <c r="AF23" s="1065"/>
      <c r="AG23" s="1065"/>
      <c r="AH23" s="1073" t="str">
        <f>'Steel Column'!G50</f>
        <v>152 x 152 x 30 UC</v>
      </c>
      <c r="AI23" s="1073" t="str">
        <f>'Steel Column'!G41</f>
        <v>152 x 152 x 51 UC</v>
      </c>
      <c r="AJ23" s="1073" t="str">
        <f>'Steel Column'!G32</f>
        <v>203 x 203 x 60 UC</v>
      </c>
      <c r="AK23" s="1074">
        <f>IF(E23=0,0,SUM('Steel Column'!I50,'Steel Column'!I41,'Steel Column'!I32))</f>
        <v>5.7625000000000002</v>
      </c>
      <c r="AL23" s="1050"/>
      <c r="AM23" s="1050"/>
      <c r="AN23" s="1050"/>
      <c r="AO23" s="1050"/>
      <c r="AP23" s="1050"/>
      <c r="AQ23" s="1050"/>
      <c r="AR23" s="1050"/>
      <c r="AS23" s="1050"/>
      <c r="AT23" s="1072"/>
      <c r="BD23" s="1050"/>
      <c r="BE23" s="1050"/>
      <c r="BF23" s="1050"/>
      <c r="BG23" s="1050"/>
      <c r="BH23" s="1050"/>
      <c r="BI23" s="1050"/>
      <c r="BK23" s="1050"/>
      <c r="BL23" s="1050"/>
      <c r="BM23" s="1050"/>
      <c r="BT23" s="1062"/>
      <c r="IE23" s="1063"/>
      <c r="IF23" s="1063"/>
      <c r="JT23" s="1046"/>
      <c r="JU23" s="1063"/>
      <c r="JV23" s="1063"/>
    </row>
    <row r="24" spans="1:298" s="1076" customFormat="1">
      <c r="A24" s="1075">
        <v>8</v>
      </c>
      <c r="B24" s="1075"/>
      <c r="D24" s="1077" t="str">
        <f>EV30</f>
        <v>Composite Rolled Steel with Metal Decking</v>
      </c>
      <c r="E24" s="1069">
        <f>IFERROR(VLOOKUP($E$5,$B$33:$KL$304,151,FALSE),0)</f>
        <v>0.505</v>
      </c>
      <c r="F24" s="1069">
        <f>VLOOKUP($E$5,$B$33:$KL$304,152,FALSE)</f>
        <v>0.15</v>
      </c>
      <c r="G24" s="1069">
        <f>VLOOKUP($E$5,$B$33:$KL$304,153,FALSE)</f>
        <v>289.50050968399592</v>
      </c>
      <c r="H24" s="1069">
        <f>VLOOKUP($E$5,$B$33:$KL$304,154,FALSE)</f>
        <v>1.5443934760448521</v>
      </c>
      <c r="I24" s="1069">
        <f>VLOOKUP($E$5,$B$33:$KL$304,155,FALSE)</f>
        <v>0</v>
      </c>
      <c r="J24" s="1069">
        <f>VLOOKUP($E$5,$B$33:$KL$304,156,FALSE)*1.1</f>
        <v>16.738333333333333</v>
      </c>
      <c r="K24" s="1069">
        <f>VLOOKUP($E$5,$B$33:$KL$304,157,FALSE)</f>
        <v>0</v>
      </c>
      <c r="L24" s="1069">
        <f>VLOOKUP($E$5,$B$33:$KL$304,158,FALSE)</f>
        <v>0</v>
      </c>
      <c r="M24" s="1070" t="str">
        <f>VLOOKUP($E$5,$B$33:$KL$304,159,FALSE)</f>
        <v>356 x 171 x 51</v>
      </c>
      <c r="N24" s="1070" t="str">
        <f>VLOOKUP($E$5,$B$33:$KL$304,160,FALSE)</f>
        <v>305 x 165 x 40</v>
      </c>
      <c r="O24" s="1070">
        <f>VLOOKUP($E$5,$B$33:$KL$304,161,FALSE)</f>
        <v>1</v>
      </c>
      <c r="P24" s="1070">
        <f>VLOOKUP($E$5,$B$33:$KL$304,162,FALSE)</f>
        <v>0</v>
      </c>
      <c r="Q24" s="1070">
        <f>VLOOKUP($E$5,$B$33:$KL$304,163,FALSE)</f>
        <v>0</v>
      </c>
      <c r="R24" s="1070">
        <f>VLOOKUP($E$5,$B$33:$KL$304,164,FALSE)</f>
        <v>0</v>
      </c>
      <c r="S24" s="1070">
        <f>VLOOKUP($E$5,$B$33:$KL$304,165,FALSE)</f>
        <v>0</v>
      </c>
      <c r="T24" s="1071">
        <f>IF(E24=0,0,VLOOKUP($E$5,$B$33:$KL$304,166,FALSE)+0.5*(E2+E3)*E15)</f>
        <v>59.529834000000001</v>
      </c>
      <c r="U24" s="1071">
        <f>VLOOKUP($E$5,$B$33:$KL$304,167,FALSE)</f>
        <v>22.5</v>
      </c>
      <c r="V24" s="1071">
        <f>IF(E24=0,0,VLOOKUP($E$5,$B$33:$KL$304,168,FALSE)+MAX(E2:E3)*E15)</f>
        <v>92.059668000000002</v>
      </c>
      <c r="W24" s="1071">
        <f>VLOOKUP($E$5,$B$33:$KL$304,169,FALSE)</f>
        <v>45</v>
      </c>
      <c r="X24" s="1071">
        <f>VLOOKUP($E$5,$B$33:$KL$304,170,FALSE)</f>
        <v>130.119336</v>
      </c>
      <c r="Y24" s="1071">
        <f>VLOOKUP($E$5,$B$33:$KL$304,171,FALSE)</f>
        <v>90</v>
      </c>
      <c r="AC24" s="1070"/>
      <c r="AD24" s="1070"/>
      <c r="AE24" s="1070"/>
      <c r="AF24" s="1070"/>
      <c r="AG24" s="1070"/>
      <c r="AH24" s="1078" t="str">
        <f>'Steel Column'!G51</f>
        <v>152 x 152 x 30 UC</v>
      </c>
      <c r="AI24" s="1078" t="str">
        <f>'Steel Column'!G42</f>
        <v>152 x 152 x 44 UC</v>
      </c>
      <c r="AJ24" s="1078" t="str">
        <f>'Steel Column'!G33</f>
        <v>203 x 203 x 46 UC</v>
      </c>
      <c r="AK24" s="1079">
        <f>IF(E24=0,0,SUM('Steel Column'!I51,'Steel Column'!I42,'Steel Column'!I33))</f>
        <v>4.6104166666666666</v>
      </c>
      <c r="AL24" s="1080"/>
      <c r="AM24" s="1080"/>
      <c r="AN24" s="1080"/>
      <c r="AO24" s="1080"/>
      <c r="AP24" s="1080"/>
      <c r="AQ24" s="1080"/>
      <c r="AR24" s="1080"/>
      <c r="AS24" s="1080"/>
      <c r="AT24" s="1081"/>
      <c r="BD24" s="1080"/>
      <c r="BE24" s="1080"/>
      <c r="BF24" s="1080"/>
      <c r="BG24" s="1080"/>
      <c r="BH24" s="1080"/>
      <c r="BI24" s="1080"/>
      <c r="BK24" s="1080"/>
      <c r="BL24" s="1080"/>
      <c r="BM24" s="1080"/>
      <c r="BT24" s="1082"/>
      <c r="IE24" s="1077"/>
      <c r="IF24" s="1077"/>
      <c r="JU24" s="1077"/>
      <c r="JV24" s="1077"/>
    </row>
    <row r="25" spans="1:298">
      <c r="A25" s="1047">
        <v>9</v>
      </c>
      <c r="D25" s="1063" t="str">
        <f>FQ30</f>
        <v>Composite Cell Beams with Metal Decking</v>
      </c>
      <c r="E25" s="1064">
        <f>IFERROR(VLOOKUP($E$5,$B$33:$KL$304,172,FALSE),0)</f>
        <v>0.57475999999999994</v>
      </c>
      <c r="F25" s="1064">
        <f>VLOOKUP($E$5,$B$33:$KL$304,173,FALSE)</f>
        <v>0.15</v>
      </c>
      <c r="G25" s="1064">
        <f>VLOOKUP($E$5,$B$33:$KL$304,174,FALSE)</f>
        <v>289.50050968399586</v>
      </c>
      <c r="H25" s="1064">
        <f>VLOOKUP($E$5,$B$33:$KL$304,175,FALSE)</f>
        <v>3.2237153637237084</v>
      </c>
      <c r="I25" s="1064">
        <f>VLOOKUP($E$5,$B$33:$KL$304,176,FALSE)</f>
        <v>0</v>
      </c>
      <c r="J25" s="1064">
        <f>VLOOKUP($E$5,$B$33:$KL$304,177,FALSE)*1.1</f>
        <v>38.534348705169549</v>
      </c>
      <c r="K25" s="1064">
        <f>VLOOKUP($E$5,$B$33:$KL$304,178,FALSE)</f>
        <v>0</v>
      </c>
      <c r="L25" s="1064">
        <f>VLOOKUP($E$5,$B$33:$KL$304,179,FALSE)</f>
        <v>0</v>
      </c>
      <c r="M25" s="1065" t="str">
        <f>VLOOKUP($E$5,$B$33:$KL$304,180,FALSE)</f>
        <v>305 x 165 x 40</v>
      </c>
      <c r="N25" s="1065" t="str">
        <f>VLOOKUP($E$5,$B$33:$KL$304,181,FALSE)</f>
        <v>305 x 165 x 40</v>
      </c>
      <c r="O25" s="1065">
        <f>VLOOKUP($E$5,$B$33:$KL$304,182,FALSE)</f>
        <v>1</v>
      </c>
      <c r="P25" s="1065">
        <f>VLOOKUP($E$5,$B$33:$KL$304,183,FALSE)</f>
        <v>0</v>
      </c>
      <c r="Q25" s="1065">
        <f>VLOOKUP($E$5,$B$33:$KL$304,184,FALSE)</f>
        <v>0</v>
      </c>
      <c r="R25" s="1065">
        <f>VLOOKUP($E$5,$B$33:$KL$304,185,FALSE)</f>
        <v>0</v>
      </c>
      <c r="S25" s="1065">
        <f>VLOOKUP($E$5,$B$33:$KL$304,186,FALSE)</f>
        <v>0</v>
      </c>
      <c r="T25" s="1066">
        <f>IF(E25=0,0,VLOOKUP($E$5,$B$33:$KL$304,187,FALSE)+0.5*(E2+E3)*E15)</f>
        <v>60.437528781444456</v>
      </c>
      <c r="U25" s="1066">
        <f>VLOOKUP($E$5,$B$33:$KL$304,188,FALSE)</f>
        <v>22.5</v>
      </c>
      <c r="V25" s="1066">
        <f>IF(E25=0,0,VLOOKUP($E$5,$B$33:$KL$304,189,FALSE)+MAX(E2:E3)*E15)</f>
        <v>93.875057562888912</v>
      </c>
      <c r="W25" s="1066">
        <f>VLOOKUP($E$5,$B$33:$KL$304,190,FALSE)</f>
        <v>45</v>
      </c>
      <c r="X25" s="1066">
        <f>VLOOKUP($E$5,$B$33:$KL$304,191,FALSE)</f>
        <v>133.75011512577782</v>
      </c>
      <c r="Y25" s="1066">
        <f>VLOOKUP($E$5,$B$33:$KL$304,192,FALSE)</f>
        <v>90</v>
      </c>
      <c r="AC25" s="1065"/>
      <c r="AD25" s="1065"/>
      <c r="AE25" s="1065"/>
      <c r="AF25" s="1065"/>
      <c r="AG25" s="1065"/>
      <c r="AH25" s="1073" t="str">
        <f>'Steel Column'!G52</f>
        <v>152 x 152 x 30 UC</v>
      </c>
      <c r="AI25" s="1073" t="str">
        <f>'Steel Column'!G43</f>
        <v>152 x 152 x 44 UC</v>
      </c>
      <c r="AJ25" s="1073" t="str">
        <f>'Steel Column'!G34</f>
        <v>203 x 203 x 52 UC</v>
      </c>
      <c r="AK25" s="1074">
        <f>IF(E25=0,0,SUM('Steel Column'!I52,'Steel Column'!I43,'Steel Column'!I34))</f>
        <v>5.0041666666666664</v>
      </c>
      <c r="AL25" s="1050"/>
      <c r="AM25" s="1050"/>
      <c r="AN25" s="1050"/>
      <c r="AO25" s="1050"/>
      <c r="AP25" s="1050"/>
      <c r="AQ25" s="1050"/>
      <c r="AR25" s="1050"/>
      <c r="AS25" s="1050"/>
      <c r="AT25" s="1072"/>
      <c r="BD25" s="1050"/>
      <c r="BE25" s="1050"/>
      <c r="BF25" s="1050"/>
      <c r="BG25" s="1050"/>
      <c r="BH25" s="1050"/>
      <c r="BI25" s="1050"/>
      <c r="BK25" s="1050"/>
      <c r="BL25" s="1050"/>
      <c r="BM25" s="1050"/>
      <c r="BT25" s="1062"/>
      <c r="IE25" s="1063"/>
      <c r="IF25" s="1063"/>
      <c r="JT25" s="1046"/>
      <c r="JU25" s="1063"/>
      <c r="JV25" s="1063"/>
    </row>
    <row r="26" spans="1:298">
      <c r="A26" s="1047">
        <v>10</v>
      </c>
      <c r="D26" s="1063" t="str">
        <f>GL30</f>
        <v>Steel Frame with CLT Slabs</v>
      </c>
      <c r="E26" s="1064">
        <f>IFERROR(VLOOKUP($E$5,$B$33:$KL$304,193,FALSE),0)</f>
        <v>0.45900000000000002</v>
      </c>
      <c r="F26" s="1064">
        <f>VLOOKUP($E$5,$B$33:$KL$304,194,FALSE)</f>
        <v>0.11</v>
      </c>
      <c r="G26" s="1064">
        <f>VLOOKUP($E$5,$B$33:$KL$304,195,FALSE)</f>
        <v>0</v>
      </c>
      <c r="H26" s="1064">
        <f>VLOOKUP($E$5,$B$33:$KL$304,196,FALSE)</f>
        <v>0</v>
      </c>
      <c r="I26" s="1064">
        <f>VLOOKUP($E$5,$B$33:$KL$304,197,FALSE)</f>
        <v>0</v>
      </c>
      <c r="J26" s="1064">
        <f>VLOOKUP($E$5,$B$33:$KL$304,198,FALSE)*1.1</f>
        <v>16.408333333333371</v>
      </c>
      <c r="K26" s="1064">
        <f>VLOOKUP($E$5,$B$33:$KL$304,199,FALSE)</f>
        <v>0</v>
      </c>
      <c r="L26" s="1064">
        <f>VLOOKUP($E$5,$B$33:$KL$304,200,FALSE)</f>
        <v>56.065239551478101</v>
      </c>
      <c r="M26" s="1065" t="str">
        <f>VLOOKUP($E$5,$B$33:$KL$304,201,FALSE)</f>
        <v>356 x 127 x 33</v>
      </c>
      <c r="N26" s="1065" t="str">
        <f>VLOOKUP($E$5,$B$33:$KL$304,202,FALSE)</f>
        <v>305 x 102 x 28</v>
      </c>
      <c r="O26" s="1065">
        <f>VLOOKUP($E$5,$B$33:$KL$304,203,FALSE)</f>
        <v>1</v>
      </c>
      <c r="P26" s="1065">
        <f>VLOOKUP($E$5,$B$33:$KL$304,204,FALSE)</f>
        <v>0</v>
      </c>
      <c r="Q26" s="1065">
        <f>VLOOKUP($E$5,$B$33:$KL$304,205,FALSE)</f>
        <v>0</v>
      </c>
      <c r="R26" s="1065">
        <f>VLOOKUP($E$5,$B$33:$KL$304,206,FALSE)</f>
        <v>0</v>
      </c>
      <c r="S26" s="1065">
        <f>VLOOKUP($E$5,$B$33:$KL$304,207,FALSE)</f>
        <v>0</v>
      </c>
      <c r="T26" s="1066">
        <f>IF(E26=0,0,VLOOKUP($E$5,$B$33:$KL$304,208,FALSE)+0.5*(E2+E3)*E15)</f>
        <v>37.766992500000001</v>
      </c>
      <c r="U26" s="1066">
        <f>VLOOKUP($E$5,$B$33:$KL$304,209,FALSE)</f>
        <v>22.5</v>
      </c>
      <c r="V26" s="1066">
        <f>IF(E26=0,0,VLOOKUP($E$5,$B$33:$KL$304,210,FALSE)+MAX(E2:E3)*E15)</f>
        <v>48.533985000000001</v>
      </c>
      <c r="W26" s="1066">
        <f>VLOOKUP($E$5,$B$33:$KL$304,211,FALSE)</f>
        <v>45</v>
      </c>
      <c r="X26" s="1066">
        <f>VLOOKUP($E$5,$B$33:$KL$304,212,FALSE)</f>
        <v>43.067970000000003</v>
      </c>
      <c r="Y26" s="1066">
        <f>VLOOKUP($E$5,$B$33:$KL$304,213,FALSE)</f>
        <v>90</v>
      </c>
      <c r="AC26" s="1065"/>
      <c r="AD26" s="1065"/>
      <c r="AE26" s="1065"/>
      <c r="AF26" s="1065"/>
      <c r="AG26" s="1065"/>
      <c r="AH26" s="1073" t="str">
        <f>'Steel Column'!G53</f>
        <v>152 x 152 x 23 UC</v>
      </c>
      <c r="AI26" s="1073" t="str">
        <f>'Steel Column'!G44</f>
        <v>152 x 152 x 30 UC</v>
      </c>
      <c r="AJ26" s="1073" t="str">
        <f>'Steel Column'!G35</f>
        <v>152 x 152 x 44 UC</v>
      </c>
      <c r="AK26" s="1074">
        <f>IF(E26=0,0,SUM('Steel Column'!I53,'Steel Column'!I44,'Steel Column'!I35))</f>
        <v>3.9833333333333334</v>
      </c>
      <c r="AL26" s="1050"/>
      <c r="AM26" s="1050"/>
      <c r="AN26" s="1050"/>
      <c r="AO26" s="1050"/>
      <c r="AP26" s="1050"/>
      <c r="AQ26" s="1050"/>
      <c r="AR26" s="1050"/>
      <c r="AS26" s="1050"/>
      <c r="AT26" s="1072"/>
      <c r="BD26" s="1050"/>
      <c r="BE26" s="1050"/>
      <c r="BF26" s="1050"/>
      <c r="BG26" s="1050"/>
      <c r="BH26" s="1050"/>
      <c r="BI26" s="1050"/>
      <c r="BK26" s="1050"/>
      <c r="BL26" s="1050"/>
      <c r="BM26" s="1050"/>
      <c r="BT26" s="1062"/>
      <c r="IE26" s="1063"/>
      <c r="IF26" s="1063"/>
      <c r="JT26" s="1046"/>
      <c r="JU26" s="1063"/>
      <c r="JV26" s="1063"/>
    </row>
    <row r="27" spans="1:298">
      <c r="A27" s="1047">
        <v>11</v>
      </c>
      <c r="D27" s="1063" t="str">
        <f>HG30</f>
        <v>CLT, Glulam and Steel Column Hybrid</v>
      </c>
      <c r="E27" s="1064">
        <f>IFERROR(VLOOKUP($E$5,$B$33:$KL$304,214,FALSE),0)</f>
        <v>0.55000000000000004</v>
      </c>
      <c r="F27" s="1064">
        <f>VLOOKUP($E$5,$B$33:$KL$304,215,FALSE)</f>
        <v>0.11</v>
      </c>
      <c r="G27" s="1064">
        <f>VLOOKUP($E$5,$B$33:$KL$304,216,FALSE)</f>
        <v>0</v>
      </c>
      <c r="H27" s="1064">
        <f>VLOOKUP($E$5,$B$33:$KL$304,217,FALSE)</f>
        <v>0</v>
      </c>
      <c r="I27" s="1064">
        <f>VLOOKUP($E$5,$B$33:$KL$304,218,FALSE)</f>
        <v>0</v>
      </c>
      <c r="J27" s="1064">
        <f>VLOOKUP($E$5,$B$33:$KL$304,219,FALSE)</f>
        <v>0</v>
      </c>
      <c r="K27" s="1064">
        <f>VLOOKUP($E$5,$B$33:$KL$304,220,FALSE)</f>
        <v>25.019999999999996</v>
      </c>
      <c r="L27" s="1064">
        <f>VLOOKUP($E$5,$B$33:$KL$304,221,FALSE)</f>
        <v>54.999999999999993</v>
      </c>
      <c r="M27" s="1065">
        <f>VLOOKUP($E$5,$B$33:$KL$304,222,FALSE)</f>
        <v>0</v>
      </c>
      <c r="N27" s="1065">
        <f>VLOOKUP($E$5,$B$33:$KL$304,223,FALSE)</f>
        <v>0</v>
      </c>
      <c r="O27" s="1065">
        <f>VLOOKUP($E$5,$B$33:$KL$304,224,FALSE)</f>
        <v>1</v>
      </c>
      <c r="P27" s="1065">
        <f>VLOOKUP($E$5,$B$33:$KL$304,225,FALSE)</f>
        <v>0.44</v>
      </c>
      <c r="Q27" s="1065">
        <f>VLOOKUP($E$5,$B$33:$KL$304,226,FALSE)</f>
        <v>0.36</v>
      </c>
      <c r="R27" s="1065">
        <f>VLOOKUP($E$5,$B$33:$KL$304,227,FALSE)</f>
        <v>0.3</v>
      </c>
      <c r="S27" s="1065">
        <f>VLOOKUP($E$5,$B$33:$KL$304,228,FALSE)</f>
        <v>0.28000000000000003</v>
      </c>
      <c r="T27" s="1066">
        <f>IF(E27=0,0,VLOOKUP($E$5,$B$33:$KL$304,229,FALSE)+0.5*(E2+E3)*E15)</f>
        <v>38.564965799999996</v>
      </c>
      <c r="U27" s="1066">
        <f>VLOOKUP($E$5,$B$33:$KL$304,230,FALSE)</f>
        <v>22.5</v>
      </c>
      <c r="V27" s="1066">
        <f>IF(E27=0,0,VLOOKUP($E$5,$B$33:$KL$304,231,FALSE)+MAX(E2:E3)*E15)</f>
        <v>50.129931599999992</v>
      </c>
      <c r="W27" s="1066">
        <f>VLOOKUP($E$5,$B$33:$KL$304,232,FALSE)</f>
        <v>45</v>
      </c>
      <c r="X27" s="1066">
        <f>VLOOKUP($E$5,$B$33:$KL$304,233,FALSE)</f>
        <v>46.259863199999991</v>
      </c>
      <c r="Y27" s="1066">
        <f>VLOOKUP($E$5,$B$33:$KL$304,234,FALSE)</f>
        <v>90</v>
      </c>
      <c r="AC27" s="1065"/>
      <c r="AD27" s="1065"/>
      <c r="AE27" s="1065"/>
      <c r="AF27" s="1065"/>
      <c r="AG27" s="1065"/>
      <c r="AH27" s="1073" t="str">
        <f>'Steel Column'!G54</f>
        <v>152 x 152 x 23 UC</v>
      </c>
      <c r="AI27" s="1073" t="str">
        <f>'Steel Column'!G45</f>
        <v>152 x 152 x 30 UC</v>
      </c>
      <c r="AJ27" s="1073" t="str">
        <f>'Steel Column'!G36</f>
        <v>152 x 152 x 44 UC</v>
      </c>
      <c r="AK27" s="1074">
        <f>IF(E27=0,0,SUM('Steel Column'!I54,'Steel Column'!I45,'Steel Column'!I36))</f>
        <v>3.9833333333333334</v>
      </c>
      <c r="AL27" s="1050"/>
      <c r="AM27" s="1050"/>
      <c r="AN27" s="1050"/>
      <c r="AO27" s="1050"/>
      <c r="AP27" s="1050"/>
      <c r="AQ27" s="1050"/>
      <c r="AR27" s="1050"/>
      <c r="AS27" s="1050"/>
      <c r="AT27" s="1072"/>
      <c r="BD27" s="1050"/>
      <c r="BE27" s="1050"/>
      <c r="BF27" s="1050"/>
      <c r="BG27" s="1050"/>
      <c r="BH27" s="1050"/>
      <c r="BI27" s="1050"/>
      <c r="BK27" s="1050"/>
      <c r="BL27" s="1050"/>
      <c r="BM27" s="1050"/>
      <c r="BT27" s="1062"/>
      <c r="IE27" s="1063"/>
      <c r="IF27" s="1063"/>
      <c r="JT27" s="1046"/>
      <c r="JU27" s="1063"/>
      <c r="JV27" s="1063"/>
    </row>
    <row r="28" spans="1:298">
      <c r="A28" s="1047"/>
      <c r="D28" s="1063"/>
      <c r="E28" s="1064"/>
      <c r="F28" s="1064"/>
      <c r="G28" s="1064"/>
      <c r="H28" s="1064"/>
      <c r="I28" s="1064"/>
      <c r="J28" s="1064"/>
      <c r="K28" s="1064"/>
      <c r="L28" s="1064"/>
      <c r="M28" s="1065"/>
      <c r="N28" s="1065"/>
      <c r="O28" s="1065"/>
      <c r="P28" s="1065"/>
      <c r="Q28" s="1065"/>
      <c r="R28" s="1065"/>
      <c r="S28" s="1065"/>
      <c r="T28" s="1066"/>
      <c r="U28" s="1066"/>
      <c r="V28" s="1066"/>
      <c r="W28" s="1066"/>
      <c r="X28" s="1066"/>
      <c r="Y28" s="1066"/>
      <c r="AK28" s="1054"/>
      <c r="AT28" s="1054"/>
      <c r="IE28" s="1063"/>
      <c r="IF28" s="1063"/>
      <c r="JT28" s="1046"/>
      <c r="JU28" s="1063"/>
      <c r="JV28" s="1063"/>
    </row>
    <row r="29" spans="1:298">
      <c r="A29" s="1047"/>
      <c r="D29" s="1063"/>
      <c r="E29" s="1065"/>
      <c r="F29" s="1065"/>
      <c r="G29" s="1065"/>
      <c r="H29" s="1065"/>
      <c r="I29" s="1065"/>
      <c r="J29" s="1065"/>
      <c r="K29" s="1065"/>
      <c r="L29" s="1065"/>
      <c r="M29" s="1065"/>
      <c r="N29" s="1065"/>
      <c r="O29" s="1065"/>
      <c r="P29" s="1065"/>
      <c r="Q29" s="1065"/>
      <c r="R29" s="1065"/>
      <c r="S29" s="1065"/>
      <c r="T29" s="1065"/>
      <c r="U29" s="1065"/>
      <c r="V29" s="1065"/>
      <c r="W29" s="1065"/>
      <c r="X29" s="1065"/>
      <c r="Y29" s="1065"/>
      <c r="IE29" s="1063"/>
      <c r="IF29" s="1063"/>
      <c r="JR29" s="1378"/>
      <c r="JS29" s="1378"/>
      <c r="JT29" s="1378"/>
      <c r="JU29" s="1378"/>
      <c r="JV29" s="1378"/>
      <c r="JW29" s="1378"/>
      <c r="JX29" s="1378"/>
      <c r="JY29" s="1378"/>
      <c r="JZ29" s="1378"/>
      <c r="KA29" s="1378"/>
      <c r="KB29" s="1378"/>
      <c r="KC29" s="1378"/>
      <c r="KD29" s="1378"/>
      <c r="KE29" s="1378"/>
      <c r="KF29" s="1378"/>
      <c r="KG29" s="1378"/>
      <c r="KH29" s="1378"/>
      <c r="KI29" s="1378"/>
      <c r="KJ29" s="1378"/>
      <c r="KK29" s="1378"/>
      <c r="KL29" s="1378"/>
    </row>
    <row r="30" spans="1:298" s="1053" customFormat="1">
      <c r="A30" s="1047"/>
      <c r="E30" s="1377" t="s">
        <v>86</v>
      </c>
      <c r="F30" s="1378"/>
      <c r="G30" s="1378"/>
      <c r="H30" s="1378"/>
      <c r="I30" s="1378"/>
      <c r="J30" s="1378"/>
      <c r="K30" s="1378"/>
      <c r="L30" s="1378"/>
      <c r="M30" s="1378"/>
      <c r="N30" s="1378"/>
      <c r="O30" s="1378"/>
      <c r="P30" s="1378"/>
      <c r="Q30" s="1378"/>
      <c r="R30" s="1378"/>
      <c r="S30" s="1378"/>
      <c r="T30" s="1378"/>
      <c r="U30" s="1378"/>
      <c r="V30" s="1378"/>
      <c r="W30" s="1378"/>
      <c r="X30" s="1378"/>
      <c r="Y30" s="1379"/>
      <c r="Z30" s="1377" t="s">
        <v>157</v>
      </c>
      <c r="AA30" s="1378"/>
      <c r="AB30" s="1378"/>
      <c r="AC30" s="1378"/>
      <c r="AD30" s="1378"/>
      <c r="AE30" s="1378"/>
      <c r="AF30" s="1378"/>
      <c r="AG30" s="1378"/>
      <c r="AH30" s="1378"/>
      <c r="AI30" s="1378"/>
      <c r="AJ30" s="1378"/>
      <c r="AK30" s="1378"/>
      <c r="AL30" s="1378"/>
      <c r="AM30" s="1378"/>
      <c r="AN30" s="1378"/>
      <c r="AO30" s="1378"/>
      <c r="AP30" s="1378"/>
      <c r="AQ30" s="1378"/>
      <c r="AR30" s="1378"/>
      <c r="AS30" s="1378"/>
      <c r="AT30" s="1379"/>
      <c r="AU30" s="1378" t="s">
        <v>158</v>
      </c>
      <c r="AV30" s="1378"/>
      <c r="AW30" s="1378"/>
      <c r="AX30" s="1378"/>
      <c r="AY30" s="1378"/>
      <c r="AZ30" s="1378"/>
      <c r="BA30" s="1378"/>
      <c r="BB30" s="1378"/>
      <c r="BC30" s="1378"/>
      <c r="BD30" s="1378"/>
      <c r="BE30" s="1378"/>
      <c r="BF30" s="1378"/>
      <c r="BG30" s="1378"/>
      <c r="BH30" s="1378"/>
      <c r="BI30" s="1378"/>
      <c r="BJ30" s="1378"/>
      <c r="BK30" s="1378"/>
      <c r="BL30" s="1378"/>
      <c r="BM30" s="1378"/>
      <c r="BN30" s="1378"/>
      <c r="BO30" s="1379"/>
      <c r="BP30" s="1377" t="s">
        <v>159</v>
      </c>
      <c r="BQ30" s="1378"/>
      <c r="BR30" s="1378"/>
      <c r="BS30" s="1378"/>
      <c r="BT30" s="1378"/>
      <c r="BU30" s="1378"/>
      <c r="BV30" s="1378"/>
      <c r="BW30" s="1378"/>
      <c r="BX30" s="1378"/>
      <c r="BY30" s="1378"/>
      <c r="BZ30" s="1378"/>
      <c r="CA30" s="1378"/>
      <c r="CB30" s="1378"/>
      <c r="CC30" s="1378"/>
      <c r="CD30" s="1378"/>
      <c r="CE30" s="1378"/>
      <c r="CF30" s="1378"/>
      <c r="CG30" s="1378"/>
      <c r="CH30" s="1378"/>
      <c r="CI30" s="1378"/>
      <c r="CJ30" s="1379"/>
      <c r="CK30" s="1377" t="s">
        <v>160</v>
      </c>
      <c r="CL30" s="1378"/>
      <c r="CM30" s="1378"/>
      <c r="CN30" s="1378"/>
      <c r="CO30" s="1378"/>
      <c r="CP30" s="1378"/>
      <c r="CQ30" s="1378"/>
      <c r="CR30" s="1378"/>
      <c r="CS30" s="1378"/>
      <c r="CT30" s="1378"/>
      <c r="CU30" s="1378"/>
      <c r="CV30" s="1378"/>
      <c r="CW30" s="1378"/>
      <c r="CX30" s="1378"/>
      <c r="CY30" s="1378"/>
      <c r="CZ30" s="1378"/>
      <c r="DA30" s="1378"/>
      <c r="DB30" s="1378"/>
      <c r="DC30" s="1378"/>
      <c r="DD30" s="1378"/>
      <c r="DE30" s="1379"/>
      <c r="DF30" s="1377" t="s">
        <v>918</v>
      </c>
      <c r="DG30" s="1378"/>
      <c r="DH30" s="1378"/>
      <c r="DI30" s="1378"/>
      <c r="DJ30" s="1378"/>
      <c r="DK30" s="1378"/>
      <c r="DL30" s="1378"/>
      <c r="DM30" s="1378"/>
      <c r="DN30" s="1378"/>
      <c r="DO30" s="1378"/>
      <c r="DP30" s="1378"/>
      <c r="DQ30" s="1378"/>
      <c r="DR30" s="1378"/>
      <c r="DS30" s="1378"/>
      <c r="DT30" s="1378"/>
      <c r="DU30" s="1378"/>
      <c r="DV30" s="1378"/>
      <c r="DW30" s="1378"/>
      <c r="DX30" s="1378"/>
      <c r="DY30" s="1378"/>
      <c r="DZ30" s="1379"/>
      <c r="EA30" s="1380" t="s">
        <v>162</v>
      </c>
      <c r="EB30" s="1381"/>
      <c r="EC30" s="1381"/>
      <c r="ED30" s="1381"/>
      <c r="EE30" s="1381"/>
      <c r="EF30" s="1381"/>
      <c r="EG30" s="1381"/>
      <c r="EH30" s="1381"/>
      <c r="EI30" s="1381"/>
      <c r="EJ30" s="1381"/>
      <c r="EK30" s="1381"/>
      <c r="EL30" s="1381"/>
      <c r="EM30" s="1381"/>
      <c r="EN30" s="1381"/>
      <c r="EO30" s="1381"/>
      <c r="EP30" s="1381"/>
      <c r="EQ30" s="1381"/>
      <c r="ER30" s="1381"/>
      <c r="ES30" s="1381"/>
      <c r="ET30" s="1381"/>
      <c r="EU30" s="1382"/>
      <c r="EV30" s="1380" t="s">
        <v>163</v>
      </c>
      <c r="EW30" s="1381"/>
      <c r="EX30" s="1381"/>
      <c r="EY30" s="1381"/>
      <c r="EZ30" s="1381"/>
      <c r="FA30" s="1381"/>
      <c r="FB30" s="1381"/>
      <c r="FC30" s="1381"/>
      <c r="FD30" s="1381"/>
      <c r="FE30" s="1381"/>
      <c r="FF30" s="1381"/>
      <c r="FG30" s="1381"/>
      <c r="FH30" s="1381"/>
      <c r="FI30" s="1381"/>
      <c r="FJ30" s="1381"/>
      <c r="FK30" s="1381"/>
      <c r="FL30" s="1381"/>
      <c r="FM30" s="1381"/>
      <c r="FN30" s="1381"/>
      <c r="FO30" s="1381"/>
      <c r="FP30" s="1382"/>
      <c r="FQ30" s="1380" t="s">
        <v>164</v>
      </c>
      <c r="FR30" s="1381"/>
      <c r="FS30" s="1381"/>
      <c r="FT30" s="1381"/>
      <c r="FU30" s="1381"/>
      <c r="FV30" s="1381"/>
      <c r="FW30" s="1381"/>
      <c r="FX30" s="1381"/>
      <c r="FY30" s="1381"/>
      <c r="FZ30" s="1381"/>
      <c r="GA30" s="1381"/>
      <c r="GB30" s="1381"/>
      <c r="GC30" s="1381"/>
      <c r="GD30" s="1381"/>
      <c r="GE30" s="1381"/>
      <c r="GF30" s="1381"/>
      <c r="GG30" s="1381"/>
      <c r="GH30" s="1381"/>
      <c r="GI30" s="1381"/>
      <c r="GJ30" s="1381"/>
      <c r="GK30" s="1382"/>
      <c r="GL30" s="1377" t="s">
        <v>165</v>
      </c>
      <c r="GM30" s="1378"/>
      <c r="GN30" s="1378"/>
      <c r="GO30" s="1378"/>
      <c r="GP30" s="1378"/>
      <c r="GQ30" s="1378"/>
      <c r="GR30" s="1378"/>
      <c r="GS30" s="1378"/>
      <c r="GT30" s="1378"/>
      <c r="GU30" s="1378"/>
      <c r="GV30" s="1378"/>
      <c r="GW30" s="1378"/>
      <c r="GX30" s="1378"/>
      <c r="GY30" s="1378"/>
      <c r="GZ30" s="1378"/>
      <c r="HA30" s="1378"/>
      <c r="HB30" s="1378"/>
      <c r="HC30" s="1378"/>
      <c r="HD30" s="1378"/>
      <c r="HE30" s="1378"/>
      <c r="HF30" s="1379"/>
      <c r="HG30" s="1377" t="s">
        <v>166</v>
      </c>
      <c r="HH30" s="1378"/>
      <c r="HI30" s="1378"/>
      <c r="HJ30" s="1378"/>
      <c r="HK30" s="1378"/>
      <c r="HL30" s="1378"/>
      <c r="HM30" s="1378"/>
      <c r="HN30" s="1378"/>
      <c r="HO30" s="1378"/>
      <c r="HP30" s="1378"/>
      <c r="HQ30" s="1378"/>
      <c r="HR30" s="1378"/>
      <c r="HS30" s="1378"/>
      <c r="HT30" s="1378"/>
      <c r="HU30" s="1378"/>
      <c r="HV30" s="1378"/>
      <c r="HW30" s="1378"/>
      <c r="HX30" s="1378"/>
      <c r="HY30" s="1378"/>
      <c r="HZ30" s="1378"/>
      <c r="IA30" s="1379"/>
      <c r="IB30" s="1377"/>
      <c r="IC30" s="1378"/>
      <c r="ID30" s="1378"/>
      <c r="IE30" s="1378"/>
      <c r="IF30" s="1378"/>
      <c r="IG30" s="1378"/>
      <c r="IH30" s="1378"/>
      <c r="II30" s="1378"/>
      <c r="IJ30" s="1378"/>
      <c r="IK30" s="1378"/>
      <c r="IL30" s="1378"/>
      <c r="IM30" s="1378"/>
      <c r="IN30" s="1378"/>
      <c r="IO30" s="1378"/>
      <c r="IP30" s="1378"/>
      <c r="IQ30" s="1378"/>
      <c r="IR30" s="1378"/>
      <c r="IS30" s="1378"/>
      <c r="IT30" s="1378"/>
      <c r="IU30" s="1378"/>
      <c r="IV30" s="1378"/>
      <c r="IW30" s="1378"/>
      <c r="IX30" s="1378"/>
      <c r="IY30" s="1378"/>
      <c r="IZ30" s="1378"/>
      <c r="JA30" s="1378"/>
      <c r="JB30" s="1378"/>
      <c r="JC30" s="1378"/>
      <c r="JD30" s="1378"/>
      <c r="JE30" s="1378"/>
      <c r="JF30" s="1378"/>
      <c r="JG30" s="1378"/>
      <c r="JH30" s="1378"/>
      <c r="JI30" s="1378"/>
      <c r="JJ30" s="1378"/>
      <c r="JK30" s="1378"/>
      <c r="JL30" s="1378"/>
      <c r="JM30" s="1378"/>
      <c r="JN30" s="1378"/>
      <c r="JO30" s="1378"/>
      <c r="JP30" s="1378"/>
      <c r="JQ30" s="1378"/>
      <c r="JR30" s="1378"/>
      <c r="JS30" s="1378"/>
      <c r="JT30" s="1378"/>
      <c r="JU30" s="1378"/>
      <c r="JV30" s="1378"/>
      <c r="JW30" s="1378"/>
      <c r="JX30" s="1378"/>
      <c r="JY30" s="1378"/>
      <c r="JZ30" s="1378"/>
      <c r="KA30" s="1378"/>
      <c r="KB30" s="1378"/>
      <c r="KC30" s="1378"/>
      <c r="KD30" s="1378"/>
      <c r="KE30" s="1378"/>
      <c r="KF30" s="1378"/>
      <c r="KG30" s="1378"/>
      <c r="KH30" s="1378"/>
      <c r="KI30" s="1378"/>
      <c r="KJ30" s="1378"/>
      <c r="KK30" s="1378"/>
      <c r="KL30" s="1378"/>
    </row>
    <row r="31" spans="1:298" s="1053" customFormat="1">
      <c r="A31" s="1046"/>
      <c r="E31" s="1083"/>
      <c r="F31" s="1084"/>
      <c r="G31" s="1084"/>
      <c r="H31" s="1084"/>
      <c r="I31" s="1084"/>
      <c r="J31" s="1084"/>
      <c r="K31" s="1084"/>
      <c r="L31" s="1084"/>
      <c r="M31" s="1084"/>
      <c r="N31" s="1084"/>
      <c r="O31" s="1084"/>
      <c r="P31" s="1084"/>
      <c r="Q31" s="1084"/>
      <c r="R31" s="1084"/>
      <c r="S31" s="1084"/>
      <c r="T31" s="1378" t="s">
        <v>737</v>
      </c>
      <c r="U31" s="1378"/>
      <c r="V31" s="1378" t="s">
        <v>736</v>
      </c>
      <c r="W31" s="1378"/>
      <c r="X31" s="1378" t="s">
        <v>1070</v>
      </c>
      <c r="Y31" s="1379"/>
      <c r="Z31" s="1083"/>
      <c r="AA31" s="1084"/>
      <c r="AB31" s="1084"/>
      <c r="AC31" s="1084"/>
      <c r="AD31" s="1084"/>
      <c r="AE31" s="1084"/>
      <c r="AF31" s="1084"/>
      <c r="AG31" s="1084"/>
      <c r="AH31" s="1084"/>
      <c r="AI31" s="1084"/>
      <c r="AJ31" s="1084"/>
      <c r="AK31" s="1084"/>
      <c r="AL31" s="1084"/>
      <c r="AM31" s="1084"/>
      <c r="AN31" s="1084"/>
      <c r="AO31" s="1378" t="s">
        <v>737</v>
      </c>
      <c r="AP31" s="1378"/>
      <c r="AQ31" s="1378" t="s">
        <v>736</v>
      </c>
      <c r="AR31" s="1378"/>
      <c r="AS31" s="1378" t="s">
        <v>1070</v>
      </c>
      <c r="AT31" s="1379"/>
      <c r="AU31" s="1084"/>
      <c r="AV31" s="1084"/>
      <c r="AW31" s="1084"/>
      <c r="AX31" s="1084"/>
      <c r="AY31" s="1084"/>
      <c r="AZ31" s="1084"/>
      <c r="BA31" s="1084"/>
      <c r="BB31" s="1084"/>
      <c r="BC31" s="1084"/>
      <c r="BD31" s="1084"/>
      <c r="BE31" s="1084"/>
      <c r="BF31" s="1084"/>
      <c r="BG31" s="1084"/>
      <c r="BH31" s="1084"/>
      <c r="BI31" s="1084"/>
      <c r="BJ31" s="1378" t="s">
        <v>737</v>
      </c>
      <c r="BK31" s="1378"/>
      <c r="BL31" s="1378" t="s">
        <v>736</v>
      </c>
      <c r="BM31" s="1378"/>
      <c r="BN31" s="1378" t="s">
        <v>1070</v>
      </c>
      <c r="BO31" s="1379"/>
      <c r="BP31" s="1083"/>
      <c r="BQ31" s="1084"/>
      <c r="BR31" s="1084"/>
      <c r="BS31" s="1084"/>
      <c r="BT31" s="1084"/>
      <c r="BU31" s="1084"/>
      <c r="BV31" s="1084"/>
      <c r="BW31" s="1084"/>
      <c r="BX31" s="1084"/>
      <c r="BY31" s="1084"/>
      <c r="BZ31" s="1084"/>
      <c r="CA31" s="1084"/>
      <c r="CB31" s="1084"/>
      <c r="CC31" s="1084"/>
      <c r="CD31" s="1084"/>
      <c r="CE31" s="1378" t="s">
        <v>737</v>
      </c>
      <c r="CF31" s="1378"/>
      <c r="CG31" s="1378" t="s">
        <v>736</v>
      </c>
      <c r="CH31" s="1378"/>
      <c r="CI31" s="1378" t="s">
        <v>1070</v>
      </c>
      <c r="CJ31" s="1379"/>
      <c r="CK31" s="1083"/>
      <c r="CL31" s="1084"/>
      <c r="CM31" s="1084"/>
      <c r="CN31" s="1084"/>
      <c r="CO31" s="1084"/>
      <c r="CP31" s="1084"/>
      <c r="CQ31" s="1084"/>
      <c r="CR31" s="1084"/>
      <c r="CS31" s="1084"/>
      <c r="CT31" s="1084"/>
      <c r="CU31" s="1084"/>
      <c r="CV31" s="1084"/>
      <c r="CW31" s="1084"/>
      <c r="CX31" s="1084"/>
      <c r="CY31" s="1084"/>
      <c r="CZ31" s="1378" t="s">
        <v>737</v>
      </c>
      <c r="DA31" s="1378"/>
      <c r="DB31" s="1378" t="s">
        <v>736</v>
      </c>
      <c r="DC31" s="1378"/>
      <c r="DD31" s="1378" t="s">
        <v>1070</v>
      </c>
      <c r="DE31" s="1379"/>
      <c r="DF31" s="1083"/>
      <c r="DG31" s="1084"/>
      <c r="DH31" s="1084"/>
      <c r="DI31" s="1084"/>
      <c r="DJ31" s="1084"/>
      <c r="DK31" s="1084"/>
      <c r="DL31" s="1084"/>
      <c r="DM31" s="1084"/>
      <c r="DN31" s="1084"/>
      <c r="DO31" s="1084"/>
      <c r="DP31" s="1084"/>
      <c r="DQ31" s="1084"/>
      <c r="DR31" s="1084"/>
      <c r="DS31" s="1084"/>
      <c r="DT31" s="1084"/>
      <c r="DU31" s="1378" t="s">
        <v>737</v>
      </c>
      <c r="DV31" s="1378"/>
      <c r="DW31" s="1378" t="s">
        <v>736</v>
      </c>
      <c r="DX31" s="1378"/>
      <c r="DY31" s="1378" t="s">
        <v>1070</v>
      </c>
      <c r="DZ31" s="1379"/>
      <c r="EA31" s="1083"/>
      <c r="EB31" s="1084"/>
      <c r="EC31" s="1084"/>
      <c r="ED31" s="1084"/>
      <c r="EE31" s="1084"/>
      <c r="EF31" s="1084"/>
      <c r="EG31" s="1084"/>
      <c r="EH31" s="1084"/>
      <c r="EI31" s="1084"/>
      <c r="EJ31" s="1084"/>
      <c r="EK31" s="1084"/>
      <c r="EL31" s="1084"/>
      <c r="EM31" s="1084"/>
      <c r="EN31" s="1084"/>
      <c r="EO31" s="1084"/>
      <c r="EP31" s="1378" t="s">
        <v>737</v>
      </c>
      <c r="EQ31" s="1378"/>
      <c r="ER31" s="1378" t="s">
        <v>736</v>
      </c>
      <c r="ES31" s="1378"/>
      <c r="ET31" s="1378" t="s">
        <v>1070</v>
      </c>
      <c r="EU31" s="1379"/>
      <c r="EV31" s="1083"/>
      <c r="EW31" s="1084"/>
      <c r="EX31" s="1084"/>
      <c r="EY31" s="1084"/>
      <c r="EZ31" s="1084"/>
      <c r="FA31" s="1084"/>
      <c r="FB31" s="1084"/>
      <c r="FC31" s="1084"/>
      <c r="FD31" s="1084"/>
      <c r="FE31" s="1084"/>
      <c r="FF31" s="1084"/>
      <c r="FG31" s="1084"/>
      <c r="FH31" s="1084"/>
      <c r="FI31" s="1084"/>
      <c r="FJ31" s="1084"/>
      <c r="FK31" s="1084" t="s">
        <v>737</v>
      </c>
      <c r="FL31" s="1084"/>
      <c r="FM31" s="1084" t="s">
        <v>736</v>
      </c>
      <c r="FN31" s="1084"/>
      <c r="FO31" s="1084" t="s">
        <v>1070</v>
      </c>
      <c r="FP31" s="1085"/>
      <c r="FQ31" s="1083"/>
      <c r="FR31" s="1084"/>
      <c r="FS31" s="1084"/>
      <c r="FT31" s="1084"/>
      <c r="FU31" s="1084"/>
      <c r="FV31" s="1084"/>
      <c r="FW31" s="1084"/>
      <c r="FX31" s="1084"/>
      <c r="FY31" s="1084"/>
      <c r="FZ31" s="1084"/>
      <c r="GA31" s="1084"/>
      <c r="GB31" s="1084"/>
      <c r="GC31" s="1084"/>
      <c r="GD31" s="1084"/>
      <c r="GE31" s="1084"/>
      <c r="GF31" s="1084" t="s">
        <v>737</v>
      </c>
      <c r="GG31" s="1084"/>
      <c r="GH31" s="1084" t="s">
        <v>736</v>
      </c>
      <c r="GI31" s="1084"/>
      <c r="GJ31" s="1084" t="s">
        <v>1070</v>
      </c>
      <c r="GK31" s="1085"/>
      <c r="GL31" s="1083"/>
      <c r="GM31" s="1084"/>
      <c r="GN31" s="1084"/>
      <c r="GO31" s="1084"/>
      <c r="GP31" s="1084"/>
      <c r="GQ31" s="1084"/>
      <c r="GR31" s="1084"/>
      <c r="GS31" s="1084"/>
      <c r="GT31" s="1084"/>
      <c r="GU31" s="1084"/>
      <c r="GV31" s="1084"/>
      <c r="GW31" s="1084"/>
      <c r="GX31" s="1084"/>
      <c r="GY31" s="1084"/>
      <c r="GZ31" s="1084"/>
      <c r="HA31" s="1084" t="s">
        <v>737</v>
      </c>
      <c r="HB31" s="1084"/>
      <c r="HC31" s="1084" t="s">
        <v>736</v>
      </c>
      <c r="HD31" s="1084"/>
      <c r="HE31" s="1084" t="s">
        <v>1070</v>
      </c>
      <c r="HF31" s="1085"/>
      <c r="HG31" s="1083"/>
      <c r="HH31" s="1084"/>
      <c r="HI31" s="1084"/>
      <c r="HJ31" s="1084"/>
      <c r="HK31" s="1084"/>
      <c r="HL31" s="1084"/>
      <c r="HM31" s="1084"/>
      <c r="HN31" s="1084"/>
      <c r="HO31" s="1084"/>
      <c r="HP31" s="1084"/>
      <c r="HQ31" s="1084"/>
      <c r="HR31" s="1084"/>
      <c r="HS31" s="1084"/>
      <c r="HT31" s="1084"/>
      <c r="HU31" s="1084"/>
      <c r="HV31" s="1378" t="s">
        <v>737</v>
      </c>
      <c r="HW31" s="1378"/>
      <c r="HX31" s="1378" t="s">
        <v>736</v>
      </c>
      <c r="HY31" s="1378"/>
      <c r="HZ31" s="1378" t="s">
        <v>1070</v>
      </c>
      <c r="IA31" s="1379"/>
      <c r="IB31" s="1083"/>
      <c r="IC31" s="1084"/>
      <c r="ID31" s="1084"/>
      <c r="IE31" s="1084"/>
      <c r="IF31" s="1084"/>
      <c r="IG31" s="1084"/>
      <c r="IH31" s="1084"/>
      <c r="II31" s="1084"/>
      <c r="IJ31" s="1084"/>
      <c r="IK31" s="1084"/>
      <c r="IL31" s="1084"/>
      <c r="IM31" s="1084"/>
      <c r="IN31" s="1084"/>
      <c r="IO31" s="1084"/>
      <c r="IP31" s="1084"/>
      <c r="IQ31" s="1378"/>
      <c r="IR31" s="1378"/>
      <c r="IS31" s="1378"/>
      <c r="IT31" s="1378"/>
      <c r="IU31" s="1378"/>
      <c r="IV31" s="1378"/>
      <c r="IW31" s="1084"/>
      <c r="IX31" s="1084"/>
      <c r="IY31" s="1084"/>
      <c r="IZ31" s="1084"/>
      <c r="JA31" s="1084"/>
      <c r="JB31" s="1084"/>
      <c r="JC31" s="1084"/>
      <c r="JD31" s="1084"/>
      <c r="JE31" s="1084"/>
      <c r="JF31" s="1084"/>
      <c r="JG31" s="1084"/>
      <c r="JH31" s="1084"/>
      <c r="JI31" s="1084"/>
      <c r="JJ31" s="1084"/>
      <c r="JK31" s="1084"/>
      <c r="JL31" s="1378"/>
      <c r="JM31" s="1378"/>
      <c r="JN31" s="1378"/>
      <c r="JO31" s="1378"/>
      <c r="JP31" s="1378"/>
      <c r="JQ31" s="1378"/>
      <c r="JR31" s="1084"/>
      <c r="JS31" s="1084"/>
      <c r="JT31" s="1084"/>
      <c r="JU31" s="1084"/>
      <c r="JV31" s="1084"/>
      <c r="JW31" s="1084"/>
      <c r="JX31" s="1084"/>
      <c r="JY31" s="1084"/>
      <c r="JZ31" s="1084"/>
      <c r="KA31" s="1084"/>
      <c r="KB31" s="1084"/>
      <c r="KC31" s="1084"/>
      <c r="KD31" s="1084"/>
      <c r="KE31" s="1084"/>
      <c r="KF31" s="1084"/>
      <c r="KG31" s="1378"/>
      <c r="KH31" s="1378"/>
      <c r="KI31" s="1378"/>
      <c r="KJ31" s="1378"/>
      <c r="KK31" s="1378"/>
      <c r="KL31" s="1378"/>
    </row>
    <row r="32" spans="1:298" s="1053" customFormat="1" ht="35.1" customHeight="1" thickBot="1">
      <c r="A32" s="1046"/>
      <c r="C32" s="1086" t="s">
        <v>547</v>
      </c>
      <c r="D32" s="1086" t="s">
        <v>548</v>
      </c>
      <c r="E32" s="1087" t="s">
        <v>1073</v>
      </c>
      <c r="F32" s="1088" t="s">
        <v>1074</v>
      </c>
      <c r="G32" s="1088" t="s">
        <v>1095</v>
      </c>
      <c r="H32" s="1088" t="s">
        <v>1096</v>
      </c>
      <c r="I32" s="1088" t="s">
        <v>1097</v>
      </c>
      <c r="J32" s="1088" t="s">
        <v>1098</v>
      </c>
      <c r="K32" s="1088" t="s">
        <v>1099</v>
      </c>
      <c r="L32" s="1088" t="s">
        <v>1100</v>
      </c>
      <c r="M32" s="1088" t="s">
        <v>1081</v>
      </c>
      <c r="N32" s="1088" t="s">
        <v>1082</v>
      </c>
      <c r="O32" s="1088" t="s">
        <v>173</v>
      </c>
      <c r="P32" s="1088" t="s">
        <v>1083</v>
      </c>
      <c r="Q32" s="1088" t="s">
        <v>1084</v>
      </c>
      <c r="R32" s="1088" t="s">
        <v>1085</v>
      </c>
      <c r="S32" s="1088" t="s">
        <v>1086</v>
      </c>
      <c r="T32" s="1088" t="s">
        <v>1087</v>
      </c>
      <c r="U32" s="1088" t="s">
        <v>1088</v>
      </c>
      <c r="V32" s="1088" t="s">
        <v>1089</v>
      </c>
      <c r="W32" s="1088" t="s">
        <v>1088</v>
      </c>
      <c r="X32" s="1088" t="s">
        <v>1089</v>
      </c>
      <c r="Y32" s="1089" t="s">
        <v>1088</v>
      </c>
      <c r="Z32" s="1087" t="s">
        <v>1073</v>
      </c>
      <c r="AA32" s="1088" t="s">
        <v>1074</v>
      </c>
      <c r="AB32" s="1088" t="s">
        <v>1095</v>
      </c>
      <c r="AC32" s="1088" t="s">
        <v>1096</v>
      </c>
      <c r="AD32" s="1088" t="s">
        <v>1097</v>
      </c>
      <c r="AE32" s="1088" t="s">
        <v>1098</v>
      </c>
      <c r="AF32" s="1088" t="s">
        <v>1099</v>
      </c>
      <c r="AG32" s="1088" t="s">
        <v>1100</v>
      </c>
      <c r="AH32" s="1088" t="s">
        <v>1081</v>
      </c>
      <c r="AI32" s="1088" t="s">
        <v>1082</v>
      </c>
      <c r="AJ32" s="1088" t="s">
        <v>173</v>
      </c>
      <c r="AK32" s="1088" t="s">
        <v>1083</v>
      </c>
      <c r="AL32" s="1088" t="s">
        <v>1084</v>
      </c>
      <c r="AM32" s="1088" t="s">
        <v>1085</v>
      </c>
      <c r="AN32" s="1088" t="s">
        <v>1086</v>
      </c>
      <c r="AO32" s="1088" t="s">
        <v>1087</v>
      </c>
      <c r="AP32" s="1088" t="s">
        <v>1088</v>
      </c>
      <c r="AQ32" s="1088" t="s">
        <v>1089</v>
      </c>
      <c r="AR32" s="1088" t="s">
        <v>1088</v>
      </c>
      <c r="AS32" s="1088" t="s">
        <v>1089</v>
      </c>
      <c r="AT32" s="1089" t="s">
        <v>1088</v>
      </c>
      <c r="AU32" s="1088" t="s">
        <v>1073</v>
      </c>
      <c r="AV32" s="1088" t="s">
        <v>1074</v>
      </c>
      <c r="AW32" s="1088" t="s">
        <v>1095</v>
      </c>
      <c r="AX32" s="1088" t="s">
        <v>1096</v>
      </c>
      <c r="AY32" s="1088" t="s">
        <v>1097</v>
      </c>
      <c r="AZ32" s="1088" t="s">
        <v>1098</v>
      </c>
      <c r="BA32" s="1088" t="s">
        <v>1099</v>
      </c>
      <c r="BB32" s="1088" t="s">
        <v>1100</v>
      </c>
      <c r="BC32" s="1088" t="s">
        <v>1081</v>
      </c>
      <c r="BD32" s="1088" t="s">
        <v>1082</v>
      </c>
      <c r="BE32" s="1088" t="s">
        <v>173</v>
      </c>
      <c r="BF32" s="1088" t="s">
        <v>1083</v>
      </c>
      <c r="BG32" s="1088" t="s">
        <v>1084</v>
      </c>
      <c r="BH32" s="1088" t="s">
        <v>1085</v>
      </c>
      <c r="BI32" s="1088" t="s">
        <v>1086</v>
      </c>
      <c r="BJ32" s="1088" t="s">
        <v>1087</v>
      </c>
      <c r="BK32" s="1088" t="s">
        <v>1088</v>
      </c>
      <c r="BL32" s="1088" t="s">
        <v>1089</v>
      </c>
      <c r="BM32" s="1088" t="s">
        <v>1088</v>
      </c>
      <c r="BN32" s="1088" t="s">
        <v>1089</v>
      </c>
      <c r="BO32" s="1089" t="s">
        <v>1088</v>
      </c>
      <c r="BP32" s="1087" t="s">
        <v>1073</v>
      </c>
      <c r="BQ32" s="1088" t="s">
        <v>1074</v>
      </c>
      <c r="BR32" s="1088" t="s">
        <v>1095</v>
      </c>
      <c r="BS32" s="1088" t="s">
        <v>1096</v>
      </c>
      <c r="BT32" s="1088" t="s">
        <v>1097</v>
      </c>
      <c r="BU32" s="1088" t="s">
        <v>1098</v>
      </c>
      <c r="BV32" s="1088" t="s">
        <v>1099</v>
      </c>
      <c r="BW32" s="1088" t="s">
        <v>1100</v>
      </c>
      <c r="BX32" s="1088" t="s">
        <v>1081</v>
      </c>
      <c r="BY32" s="1088" t="s">
        <v>1082</v>
      </c>
      <c r="BZ32" s="1088" t="s">
        <v>173</v>
      </c>
      <c r="CA32" s="1088" t="s">
        <v>1083</v>
      </c>
      <c r="CB32" s="1088" t="s">
        <v>1084</v>
      </c>
      <c r="CC32" s="1088" t="s">
        <v>1085</v>
      </c>
      <c r="CD32" s="1088" t="s">
        <v>1086</v>
      </c>
      <c r="CE32" s="1088" t="s">
        <v>1087</v>
      </c>
      <c r="CF32" s="1088" t="s">
        <v>1088</v>
      </c>
      <c r="CG32" s="1088" t="s">
        <v>1089</v>
      </c>
      <c r="CH32" s="1088" t="s">
        <v>1088</v>
      </c>
      <c r="CI32" s="1088" t="s">
        <v>1089</v>
      </c>
      <c r="CJ32" s="1089" t="s">
        <v>1088</v>
      </c>
      <c r="CK32" s="1087" t="s">
        <v>1073</v>
      </c>
      <c r="CL32" s="1088" t="s">
        <v>1074</v>
      </c>
      <c r="CM32" s="1088" t="s">
        <v>1095</v>
      </c>
      <c r="CN32" s="1088" t="s">
        <v>1096</v>
      </c>
      <c r="CO32" s="1088" t="s">
        <v>1097</v>
      </c>
      <c r="CP32" s="1088" t="s">
        <v>1098</v>
      </c>
      <c r="CQ32" s="1088" t="s">
        <v>1099</v>
      </c>
      <c r="CR32" s="1088" t="s">
        <v>1100</v>
      </c>
      <c r="CS32" s="1088" t="s">
        <v>1081</v>
      </c>
      <c r="CT32" s="1088" t="s">
        <v>1082</v>
      </c>
      <c r="CU32" s="1088" t="s">
        <v>173</v>
      </c>
      <c r="CV32" s="1088" t="s">
        <v>1083</v>
      </c>
      <c r="CW32" s="1088" t="s">
        <v>1084</v>
      </c>
      <c r="CX32" s="1088" t="s">
        <v>1085</v>
      </c>
      <c r="CY32" s="1088" t="s">
        <v>1086</v>
      </c>
      <c r="CZ32" s="1088" t="s">
        <v>1087</v>
      </c>
      <c r="DA32" s="1088" t="s">
        <v>1088</v>
      </c>
      <c r="DB32" s="1088" t="s">
        <v>1089</v>
      </c>
      <c r="DC32" s="1088" t="s">
        <v>1088</v>
      </c>
      <c r="DD32" s="1088" t="s">
        <v>1089</v>
      </c>
      <c r="DE32" s="1089" t="s">
        <v>1088</v>
      </c>
      <c r="DF32" s="1087" t="s">
        <v>1073</v>
      </c>
      <c r="DG32" s="1088" t="s">
        <v>1074</v>
      </c>
      <c r="DH32" s="1088" t="s">
        <v>1095</v>
      </c>
      <c r="DI32" s="1088" t="s">
        <v>1096</v>
      </c>
      <c r="DJ32" s="1088" t="s">
        <v>1097</v>
      </c>
      <c r="DK32" s="1088" t="s">
        <v>1098</v>
      </c>
      <c r="DL32" s="1088" t="s">
        <v>1099</v>
      </c>
      <c r="DM32" s="1088" t="s">
        <v>1100</v>
      </c>
      <c r="DN32" s="1088" t="s">
        <v>1081</v>
      </c>
      <c r="DO32" s="1088" t="s">
        <v>1082</v>
      </c>
      <c r="DP32" s="1088" t="s">
        <v>173</v>
      </c>
      <c r="DQ32" s="1088" t="s">
        <v>1083</v>
      </c>
      <c r="DR32" s="1088" t="s">
        <v>1084</v>
      </c>
      <c r="DS32" s="1088" t="s">
        <v>1085</v>
      </c>
      <c r="DT32" s="1088" t="s">
        <v>1086</v>
      </c>
      <c r="DU32" s="1088" t="s">
        <v>1087</v>
      </c>
      <c r="DV32" s="1088" t="s">
        <v>1088</v>
      </c>
      <c r="DW32" s="1088" t="s">
        <v>1089</v>
      </c>
      <c r="DX32" s="1088" t="s">
        <v>1088</v>
      </c>
      <c r="DY32" s="1088" t="s">
        <v>1089</v>
      </c>
      <c r="DZ32" s="1089" t="s">
        <v>1088</v>
      </c>
      <c r="EA32" s="1087" t="s">
        <v>1073</v>
      </c>
      <c r="EB32" s="1088" t="s">
        <v>1074</v>
      </c>
      <c r="EC32" s="1088" t="s">
        <v>1095</v>
      </c>
      <c r="ED32" s="1088" t="s">
        <v>1096</v>
      </c>
      <c r="EE32" s="1088" t="s">
        <v>1097</v>
      </c>
      <c r="EF32" s="1088" t="s">
        <v>1098</v>
      </c>
      <c r="EG32" s="1088" t="s">
        <v>1099</v>
      </c>
      <c r="EH32" s="1088" t="s">
        <v>1100</v>
      </c>
      <c r="EI32" s="1088" t="s">
        <v>1081</v>
      </c>
      <c r="EJ32" s="1088" t="s">
        <v>1082</v>
      </c>
      <c r="EK32" s="1088" t="s">
        <v>173</v>
      </c>
      <c r="EL32" s="1088" t="s">
        <v>1083</v>
      </c>
      <c r="EM32" s="1088" t="s">
        <v>1084</v>
      </c>
      <c r="EN32" s="1088" t="s">
        <v>1085</v>
      </c>
      <c r="EO32" s="1088" t="s">
        <v>1086</v>
      </c>
      <c r="EP32" s="1088" t="s">
        <v>1087</v>
      </c>
      <c r="EQ32" s="1088" t="s">
        <v>1088</v>
      </c>
      <c r="ER32" s="1088" t="s">
        <v>1089</v>
      </c>
      <c r="ES32" s="1088" t="s">
        <v>1088</v>
      </c>
      <c r="ET32" s="1088" t="s">
        <v>1089</v>
      </c>
      <c r="EU32" s="1089" t="s">
        <v>1088</v>
      </c>
      <c r="EV32" s="1087" t="s">
        <v>1073</v>
      </c>
      <c r="EW32" s="1088" t="s">
        <v>1074</v>
      </c>
      <c r="EX32" s="1088" t="s">
        <v>1095</v>
      </c>
      <c r="EY32" s="1088" t="s">
        <v>1096</v>
      </c>
      <c r="EZ32" s="1088" t="s">
        <v>1097</v>
      </c>
      <c r="FA32" s="1088" t="s">
        <v>1098</v>
      </c>
      <c r="FB32" s="1088" t="s">
        <v>1099</v>
      </c>
      <c r="FC32" s="1088" t="s">
        <v>1100</v>
      </c>
      <c r="FD32" s="1088" t="s">
        <v>1081</v>
      </c>
      <c r="FE32" s="1088" t="s">
        <v>1082</v>
      </c>
      <c r="FF32" s="1088" t="s">
        <v>173</v>
      </c>
      <c r="FG32" s="1088" t="s">
        <v>1083</v>
      </c>
      <c r="FH32" s="1088" t="s">
        <v>1084</v>
      </c>
      <c r="FI32" s="1088" t="s">
        <v>1085</v>
      </c>
      <c r="FJ32" s="1088" t="s">
        <v>1086</v>
      </c>
      <c r="FK32" s="1088" t="s">
        <v>1087</v>
      </c>
      <c r="FL32" s="1088" t="s">
        <v>1088</v>
      </c>
      <c r="FM32" s="1088" t="s">
        <v>1089</v>
      </c>
      <c r="FN32" s="1088" t="s">
        <v>1088</v>
      </c>
      <c r="FO32" s="1088" t="s">
        <v>1089</v>
      </c>
      <c r="FP32" s="1089" t="s">
        <v>1088</v>
      </c>
      <c r="FQ32" s="1087" t="s">
        <v>1073</v>
      </c>
      <c r="FR32" s="1088" t="s">
        <v>1074</v>
      </c>
      <c r="FS32" s="1088" t="s">
        <v>1095</v>
      </c>
      <c r="FT32" s="1088" t="s">
        <v>1096</v>
      </c>
      <c r="FU32" s="1088" t="s">
        <v>1097</v>
      </c>
      <c r="FV32" s="1088" t="s">
        <v>1098</v>
      </c>
      <c r="FW32" s="1088" t="s">
        <v>1099</v>
      </c>
      <c r="FX32" s="1088" t="s">
        <v>1100</v>
      </c>
      <c r="FY32" s="1088" t="s">
        <v>1081</v>
      </c>
      <c r="FZ32" s="1088" t="s">
        <v>1082</v>
      </c>
      <c r="GA32" s="1088" t="s">
        <v>173</v>
      </c>
      <c r="GB32" s="1088" t="s">
        <v>1083</v>
      </c>
      <c r="GC32" s="1088" t="s">
        <v>1084</v>
      </c>
      <c r="GD32" s="1088" t="s">
        <v>1085</v>
      </c>
      <c r="GE32" s="1088" t="s">
        <v>1086</v>
      </c>
      <c r="GF32" s="1088" t="s">
        <v>1087</v>
      </c>
      <c r="GG32" s="1088" t="s">
        <v>1088</v>
      </c>
      <c r="GH32" s="1088" t="s">
        <v>1089</v>
      </c>
      <c r="GI32" s="1088" t="s">
        <v>1088</v>
      </c>
      <c r="GJ32" s="1088" t="s">
        <v>1089</v>
      </c>
      <c r="GK32" s="1089" t="s">
        <v>1088</v>
      </c>
      <c r="GL32" s="1087" t="s">
        <v>1073</v>
      </c>
      <c r="GM32" s="1088" t="s">
        <v>1074</v>
      </c>
      <c r="GN32" s="1088" t="s">
        <v>1095</v>
      </c>
      <c r="GO32" s="1088" t="s">
        <v>1096</v>
      </c>
      <c r="GP32" s="1088" t="s">
        <v>1097</v>
      </c>
      <c r="GQ32" s="1088" t="s">
        <v>1098</v>
      </c>
      <c r="GR32" s="1088" t="s">
        <v>1099</v>
      </c>
      <c r="GS32" s="1088" t="s">
        <v>1100</v>
      </c>
      <c r="GT32" s="1088" t="s">
        <v>1081</v>
      </c>
      <c r="GU32" s="1088" t="s">
        <v>1082</v>
      </c>
      <c r="GV32" s="1088" t="s">
        <v>173</v>
      </c>
      <c r="GW32" s="1088" t="s">
        <v>1083</v>
      </c>
      <c r="GX32" s="1088" t="s">
        <v>1084</v>
      </c>
      <c r="GY32" s="1088" t="s">
        <v>1085</v>
      </c>
      <c r="GZ32" s="1088" t="s">
        <v>1086</v>
      </c>
      <c r="HA32" s="1088" t="s">
        <v>1087</v>
      </c>
      <c r="HB32" s="1088" t="s">
        <v>1088</v>
      </c>
      <c r="HC32" s="1088" t="s">
        <v>1089</v>
      </c>
      <c r="HD32" s="1088" t="s">
        <v>1088</v>
      </c>
      <c r="HE32" s="1088" t="s">
        <v>1089</v>
      </c>
      <c r="HF32" s="1089" t="s">
        <v>1088</v>
      </c>
      <c r="HG32" s="1087" t="s">
        <v>1073</v>
      </c>
      <c r="HH32" s="1088" t="s">
        <v>1074</v>
      </c>
      <c r="HI32" s="1088" t="s">
        <v>1095</v>
      </c>
      <c r="HJ32" s="1088" t="s">
        <v>1096</v>
      </c>
      <c r="HK32" s="1088" t="s">
        <v>1097</v>
      </c>
      <c r="HL32" s="1088" t="s">
        <v>1098</v>
      </c>
      <c r="HM32" s="1088" t="s">
        <v>1099</v>
      </c>
      <c r="HN32" s="1088" t="s">
        <v>1101</v>
      </c>
      <c r="HO32" s="1088" t="s">
        <v>1081</v>
      </c>
      <c r="HP32" s="1088" t="s">
        <v>1082</v>
      </c>
      <c r="HQ32" s="1088" t="s">
        <v>173</v>
      </c>
      <c r="HR32" s="1088" t="s">
        <v>1083</v>
      </c>
      <c r="HS32" s="1088" t="s">
        <v>1084</v>
      </c>
      <c r="HT32" s="1088" t="s">
        <v>1085</v>
      </c>
      <c r="HU32" s="1088" t="s">
        <v>1086</v>
      </c>
      <c r="HV32" s="1088" t="s">
        <v>1087</v>
      </c>
      <c r="HW32" s="1088" t="s">
        <v>1088</v>
      </c>
      <c r="HX32" s="1088" t="s">
        <v>1089</v>
      </c>
      <c r="HY32" s="1088" t="s">
        <v>1088</v>
      </c>
      <c r="HZ32" s="1088" t="s">
        <v>1089</v>
      </c>
      <c r="IA32" s="1089" t="s">
        <v>1088</v>
      </c>
      <c r="IB32" s="1090"/>
      <c r="IC32" s="1091"/>
      <c r="ID32" s="1091"/>
      <c r="IE32" s="1091"/>
      <c r="IF32" s="1091"/>
      <c r="IG32" s="1091"/>
      <c r="IH32" s="1091"/>
      <c r="II32" s="1091"/>
      <c r="IJ32" s="1091"/>
      <c r="IK32" s="1091"/>
      <c r="IL32" s="1091"/>
      <c r="IM32" s="1091"/>
      <c r="IN32" s="1091"/>
      <c r="IO32" s="1091"/>
      <c r="IP32" s="1091"/>
      <c r="IQ32" s="1091"/>
      <c r="IR32" s="1091"/>
      <c r="IS32" s="1091"/>
      <c r="IT32" s="1091"/>
      <c r="IU32" s="1091"/>
      <c r="IV32" s="1091"/>
      <c r="IW32" s="1091"/>
      <c r="IX32" s="1091"/>
      <c r="IY32" s="1091"/>
      <c r="IZ32" s="1091"/>
      <c r="JA32" s="1091"/>
      <c r="JB32" s="1091"/>
      <c r="JC32" s="1091"/>
      <c r="JD32" s="1091"/>
      <c r="JE32" s="1091"/>
      <c r="JF32" s="1091"/>
      <c r="JG32" s="1091"/>
      <c r="JH32" s="1091"/>
      <c r="JI32" s="1091"/>
      <c r="JJ32" s="1091"/>
      <c r="JK32" s="1091"/>
      <c r="JL32" s="1091"/>
      <c r="JM32" s="1091"/>
      <c r="JN32" s="1091"/>
      <c r="JO32" s="1091"/>
      <c r="JP32" s="1091"/>
      <c r="JQ32" s="1091"/>
      <c r="JR32" s="1091"/>
      <c r="JS32" s="1091"/>
      <c r="JT32" s="1091"/>
      <c r="JU32" s="1091"/>
      <c r="JV32" s="1091"/>
      <c r="JW32" s="1091"/>
      <c r="JX32" s="1091"/>
      <c r="JY32" s="1091"/>
      <c r="JZ32" s="1091"/>
      <c r="KA32" s="1091"/>
      <c r="KB32" s="1091"/>
      <c r="KC32" s="1091"/>
      <c r="KD32" s="1091"/>
      <c r="KE32" s="1091"/>
      <c r="KF32" s="1091"/>
      <c r="KG32" s="1091"/>
      <c r="KH32" s="1091"/>
      <c r="KI32" s="1091"/>
      <c r="KJ32" s="1091"/>
      <c r="KK32" s="1091"/>
      <c r="KL32" s="1091"/>
    </row>
    <row r="33" spans="2:300">
      <c r="B33" s="1048" t="str">
        <f>"O"&amp;C33&amp;D33</f>
        <v>O55</v>
      </c>
      <c r="C33" s="1092">
        <v>5</v>
      </c>
      <c r="D33" s="1092">
        <v>5</v>
      </c>
      <c r="E33" s="584">
        <v>0.20499999999999999</v>
      </c>
      <c r="F33" s="584">
        <v>0.20499999999999999</v>
      </c>
      <c r="G33" s="584">
        <v>492</v>
      </c>
      <c r="H33" s="584">
        <v>14.965</v>
      </c>
      <c r="I33" s="584">
        <v>0</v>
      </c>
      <c r="J33" s="584">
        <v>0</v>
      </c>
      <c r="K33" s="584">
        <v>0</v>
      </c>
      <c r="L33" s="584">
        <v>0</v>
      </c>
      <c r="M33" s="584">
        <v>0</v>
      </c>
      <c r="N33" s="584">
        <v>0</v>
      </c>
      <c r="O33" s="584">
        <v>0</v>
      </c>
      <c r="P33" s="584">
        <v>0</v>
      </c>
      <c r="Q33" s="584">
        <v>0</v>
      </c>
      <c r="R33" s="584">
        <v>0</v>
      </c>
      <c r="S33" s="584">
        <v>0</v>
      </c>
      <c r="T33" s="584">
        <v>118.5516875</v>
      </c>
      <c r="U33" s="584">
        <v>25</v>
      </c>
      <c r="V33" s="584">
        <v>176.35181249999999</v>
      </c>
      <c r="W33" s="584">
        <v>52.5</v>
      </c>
      <c r="X33" s="584">
        <v>229.67850000000001</v>
      </c>
      <c r="Y33" s="584">
        <v>110</v>
      </c>
      <c r="Z33" s="584">
        <v>0.2</v>
      </c>
      <c r="AA33" s="584">
        <v>0.2</v>
      </c>
      <c r="AB33" s="584">
        <v>480</v>
      </c>
      <c r="AC33" s="584">
        <v>20</v>
      </c>
      <c r="AD33" s="584">
        <v>0</v>
      </c>
      <c r="AE33" s="584">
        <v>0</v>
      </c>
      <c r="AF33" s="584">
        <v>0</v>
      </c>
      <c r="AG33" s="584">
        <v>0</v>
      </c>
      <c r="AH33" s="584">
        <v>0</v>
      </c>
      <c r="AI33" s="584">
        <v>0</v>
      </c>
      <c r="AJ33" s="584">
        <v>0</v>
      </c>
      <c r="AK33" s="584">
        <v>0</v>
      </c>
      <c r="AL33" s="584">
        <v>0</v>
      </c>
      <c r="AM33" s="584">
        <v>0</v>
      </c>
      <c r="AN33" s="584">
        <v>0</v>
      </c>
      <c r="AO33" s="584">
        <v>117.6404375</v>
      </c>
      <c r="AP33" s="584">
        <v>25</v>
      </c>
      <c r="AQ33" s="584">
        <v>174.5799375</v>
      </c>
      <c r="AR33" s="584">
        <v>52.5</v>
      </c>
      <c r="AS33" s="584">
        <v>226.24100000000001</v>
      </c>
      <c r="AT33" s="584">
        <v>110</v>
      </c>
      <c r="AU33" s="584">
        <v>0.3</v>
      </c>
      <c r="AV33" s="584">
        <v>0.25</v>
      </c>
      <c r="AW33" s="584">
        <v>443.84584165834201</v>
      </c>
      <c r="AX33" s="584">
        <v>24.145604395604401</v>
      </c>
      <c r="AY33" s="584">
        <v>0</v>
      </c>
      <c r="AZ33" s="584">
        <v>0</v>
      </c>
      <c r="BA33" s="584">
        <v>0</v>
      </c>
      <c r="BB33" s="584">
        <v>0</v>
      </c>
      <c r="BC33" s="584">
        <v>0</v>
      </c>
      <c r="BD33" s="584">
        <v>0</v>
      </c>
      <c r="BE33" s="584">
        <v>0</v>
      </c>
      <c r="BF33" s="584">
        <v>0</v>
      </c>
      <c r="BG33" s="584">
        <v>0.3</v>
      </c>
      <c r="BH33" s="584">
        <v>0</v>
      </c>
      <c r="BI33" s="584">
        <v>0.6</v>
      </c>
      <c r="BJ33" s="584">
        <v>118.790669642857</v>
      </c>
      <c r="BK33" s="584">
        <v>25</v>
      </c>
      <c r="BL33" s="584">
        <v>171.88809375</v>
      </c>
      <c r="BM33" s="584">
        <v>52.5</v>
      </c>
      <c r="BN33" s="584">
        <v>214.52351785714299</v>
      </c>
      <c r="BO33" s="584">
        <v>110</v>
      </c>
      <c r="BP33" s="584">
        <v>0.22500000000000001</v>
      </c>
      <c r="BQ33" s="584">
        <v>0.13</v>
      </c>
      <c r="BR33" s="584">
        <v>385.64647852147903</v>
      </c>
      <c r="BS33" s="584">
        <v>14.857609890109901</v>
      </c>
      <c r="BT33" s="584">
        <v>0</v>
      </c>
      <c r="BU33" s="584">
        <v>0</v>
      </c>
      <c r="BV33" s="584">
        <v>0</v>
      </c>
      <c r="BW33" s="584">
        <v>0</v>
      </c>
      <c r="BX33" s="584">
        <v>0</v>
      </c>
      <c r="BY33" s="584">
        <v>0</v>
      </c>
      <c r="BZ33" s="584">
        <v>0</v>
      </c>
      <c r="CA33" s="584">
        <v>0.22500000000000001</v>
      </c>
      <c r="CB33" s="584">
        <v>0.22500000000000001</v>
      </c>
      <c r="CC33" s="584">
        <v>0.45</v>
      </c>
      <c r="CD33" s="584">
        <v>0.45</v>
      </c>
      <c r="CE33" s="584">
        <v>117.58565</v>
      </c>
      <c r="CF33" s="584">
        <v>25</v>
      </c>
      <c r="CG33" s="584">
        <v>165.71827500000001</v>
      </c>
      <c r="CH33" s="584">
        <v>52.5</v>
      </c>
      <c r="CI33" s="584">
        <v>188.0917125</v>
      </c>
      <c r="CJ33" s="584">
        <v>110</v>
      </c>
      <c r="CK33" s="584">
        <v>0.32500000000000001</v>
      </c>
      <c r="CL33" s="584">
        <v>0.16</v>
      </c>
      <c r="CM33" s="584">
        <v>413.53293581418598</v>
      </c>
      <c r="CN33" s="584">
        <v>18.254840472028</v>
      </c>
      <c r="CO33" s="584">
        <v>0</v>
      </c>
      <c r="CP33" s="584">
        <v>0</v>
      </c>
      <c r="CQ33" s="584">
        <v>0</v>
      </c>
      <c r="CR33" s="584">
        <v>0</v>
      </c>
      <c r="CS33" s="584">
        <v>0</v>
      </c>
      <c r="CT33" s="584">
        <v>0</v>
      </c>
      <c r="CU33" s="584">
        <v>0</v>
      </c>
      <c r="CV33" s="584">
        <v>0</v>
      </c>
      <c r="CW33" s="584">
        <v>0.32500000000000001</v>
      </c>
      <c r="CX33" s="584">
        <v>0</v>
      </c>
      <c r="CY33" s="584">
        <v>0.3</v>
      </c>
      <c r="CZ33" s="584">
        <v>117.117425</v>
      </c>
      <c r="DA33" s="584">
        <v>25</v>
      </c>
      <c r="DB33" s="584">
        <v>167.17192499999999</v>
      </c>
      <c r="DC33" s="584">
        <v>52.5</v>
      </c>
      <c r="DD33" s="584">
        <v>204.52754999999999</v>
      </c>
      <c r="DE33" s="584">
        <v>110</v>
      </c>
      <c r="DF33" s="584">
        <v>0.35</v>
      </c>
      <c r="DG33" s="584">
        <v>0.2</v>
      </c>
      <c r="DH33" s="584">
        <v>367.86525974026</v>
      </c>
      <c r="DI33" s="584">
        <v>17.243500374625398</v>
      </c>
      <c r="DJ33" s="584">
        <v>300</v>
      </c>
      <c r="DK33" s="584">
        <v>0</v>
      </c>
      <c r="DL33" s="584">
        <v>0</v>
      </c>
      <c r="DM33" s="584">
        <v>0</v>
      </c>
      <c r="DN33" s="584">
        <v>0</v>
      </c>
      <c r="DO33" s="584">
        <v>0</v>
      </c>
      <c r="DP33" s="584">
        <v>0</v>
      </c>
      <c r="DQ33" s="584">
        <v>0</v>
      </c>
      <c r="DR33" s="584">
        <v>0.35</v>
      </c>
      <c r="DS33" s="584">
        <v>0</v>
      </c>
      <c r="DT33" s="584">
        <v>2.4</v>
      </c>
      <c r="DU33" s="584">
        <v>120.38825</v>
      </c>
      <c r="DV33" s="584">
        <v>25</v>
      </c>
      <c r="DW33" s="584">
        <v>214.309</v>
      </c>
      <c r="DX33" s="584">
        <v>52.5</v>
      </c>
      <c r="DY33" s="584">
        <v>270.37650000000002</v>
      </c>
      <c r="DZ33" s="584">
        <v>110</v>
      </c>
      <c r="EA33" s="1062">
        <v>0.50439999999999996</v>
      </c>
      <c r="EB33" s="1046">
        <v>0.2</v>
      </c>
      <c r="EC33" s="1093">
        <v>132.51783893985726</v>
      </c>
      <c r="ED33" s="1046">
        <v>0</v>
      </c>
      <c r="EE33" s="1046">
        <v>285.42303771661568</v>
      </c>
      <c r="EF33" s="1046">
        <v>11.2</v>
      </c>
      <c r="EG33" s="1046">
        <v>0</v>
      </c>
      <c r="EH33" s="1046">
        <v>0</v>
      </c>
      <c r="EI33" s="1046" t="s">
        <v>496</v>
      </c>
      <c r="EJ33" s="1046" t="s">
        <v>520</v>
      </c>
      <c r="EK33" s="1046">
        <v>0</v>
      </c>
      <c r="EL33" s="1046">
        <v>0</v>
      </c>
      <c r="EM33" s="1046">
        <v>0</v>
      </c>
      <c r="EN33" s="1046">
        <v>0</v>
      </c>
      <c r="EO33" s="1046">
        <v>0</v>
      </c>
      <c r="EP33" s="1094">
        <v>31.311700000000002</v>
      </c>
      <c r="EQ33" s="1094">
        <v>21.875</v>
      </c>
      <c r="ER33" s="1094">
        <v>62.623400000000004</v>
      </c>
      <c r="ES33" s="1095">
        <v>43.75</v>
      </c>
      <c r="ET33" s="1094">
        <v>125.24680000000001</v>
      </c>
      <c r="EU33" s="1094">
        <v>87.5</v>
      </c>
      <c r="EV33" s="1096">
        <v>0.45339999999999997</v>
      </c>
      <c r="EW33" s="1097">
        <v>0.15</v>
      </c>
      <c r="EX33" s="1096">
        <v>289.50050968399592</v>
      </c>
      <c r="EY33" s="1096">
        <v>1.5443934760448521</v>
      </c>
      <c r="EZ33" s="1096">
        <v>0</v>
      </c>
      <c r="FA33" s="1096">
        <v>16.12</v>
      </c>
      <c r="FB33" s="1098">
        <v>0</v>
      </c>
      <c r="FC33" s="1098">
        <v>0</v>
      </c>
      <c r="FD33" s="1098" t="s">
        <v>490</v>
      </c>
      <c r="FE33" s="1098" t="s">
        <v>490</v>
      </c>
      <c r="FF33" s="1098">
        <v>1</v>
      </c>
      <c r="FG33" s="1098">
        <v>0</v>
      </c>
      <c r="FH33" s="1098">
        <v>0</v>
      </c>
      <c r="FI33" s="1098">
        <v>0</v>
      </c>
      <c r="FJ33" s="1098">
        <v>0</v>
      </c>
      <c r="FK33" s="1096">
        <v>24.520548125000001</v>
      </c>
      <c r="FL33" s="1096">
        <v>21.875</v>
      </c>
      <c r="FM33" s="1096">
        <v>49.041096250000002</v>
      </c>
      <c r="FN33" s="1096">
        <v>43.75</v>
      </c>
      <c r="FO33" s="1096">
        <v>98.082192500000005</v>
      </c>
      <c r="FP33" s="1099">
        <v>87.5</v>
      </c>
      <c r="FQ33" s="1064">
        <v>0.57475999999999994</v>
      </c>
      <c r="FR33" s="1065">
        <v>0.15</v>
      </c>
      <c r="FS33" s="1066">
        <v>289.50050968399586</v>
      </c>
      <c r="FT33" s="1066">
        <v>3.1754272996334754</v>
      </c>
      <c r="FU33" s="1065"/>
      <c r="FV33" s="1066">
        <v>39.522972330641153</v>
      </c>
      <c r="FW33" s="1065"/>
      <c r="FX33" s="1065"/>
      <c r="FY33" s="1065" t="s">
        <v>490</v>
      </c>
      <c r="FZ33" s="1065" t="s">
        <v>490</v>
      </c>
      <c r="GA33" s="1065">
        <v>1</v>
      </c>
      <c r="GB33" s="1065"/>
      <c r="GC33" s="1065"/>
      <c r="GD33" s="1065"/>
      <c r="GE33" s="1065"/>
      <c r="GF33" s="1066">
        <v>25.36794562733121</v>
      </c>
      <c r="GG33" s="1066">
        <v>21.875</v>
      </c>
      <c r="GH33" s="1066">
        <v>50.73589125466242</v>
      </c>
      <c r="GI33" s="1066">
        <v>43.75</v>
      </c>
      <c r="GJ33" s="1066">
        <v>101.47178250932484</v>
      </c>
      <c r="GK33" s="1066">
        <v>87.5</v>
      </c>
      <c r="GL33" s="584">
        <v>0.41510000000000002</v>
      </c>
      <c r="GM33" s="584">
        <v>0.11</v>
      </c>
      <c r="GN33" s="584"/>
      <c r="GO33" s="584"/>
      <c r="GP33" s="584"/>
      <c r="GQ33" s="584">
        <v>13.76</v>
      </c>
      <c r="GR33" s="584"/>
      <c r="GS33" s="584">
        <v>56.065239551478101</v>
      </c>
      <c r="GT33" s="584" t="s">
        <v>502</v>
      </c>
      <c r="GU33" s="584" t="s">
        <v>512</v>
      </c>
      <c r="GV33" s="584">
        <v>1</v>
      </c>
      <c r="GW33" s="584"/>
      <c r="GX33" s="584"/>
      <c r="GY33" s="584"/>
      <c r="GZ33" s="584"/>
      <c r="HA33" s="584">
        <v>9.2811599999999999</v>
      </c>
      <c r="HB33" s="584">
        <v>21.875</v>
      </c>
      <c r="HC33" s="584">
        <v>18.56232</v>
      </c>
      <c r="HD33" s="584">
        <v>43.75</v>
      </c>
      <c r="HE33" s="584">
        <v>37.124639999999999</v>
      </c>
      <c r="HF33" s="584">
        <v>87.5</v>
      </c>
      <c r="HG33" s="1100">
        <v>0.51</v>
      </c>
      <c r="HH33" s="1100">
        <v>0.11</v>
      </c>
      <c r="HI33" s="1101">
        <v>0</v>
      </c>
      <c r="HJ33" s="1101">
        <v>0</v>
      </c>
      <c r="HK33" s="1101">
        <v>0</v>
      </c>
      <c r="HL33" s="1101">
        <v>0</v>
      </c>
      <c r="HM33" s="1101">
        <v>22.752000000000002</v>
      </c>
      <c r="HN33" s="1101">
        <v>54.999999999999993</v>
      </c>
      <c r="HO33" s="1101">
        <v>0</v>
      </c>
      <c r="HP33" s="1101">
        <v>0</v>
      </c>
      <c r="HQ33" s="1101">
        <v>1</v>
      </c>
      <c r="HR33" s="1101">
        <v>0.4</v>
      </c>
      <c r="HS33" s="1101">
        <v>0.32</v>
      </c>
      <c r="HT33" s="1101">
        <v>0.28000000000000003</v>
      </c>
      <c r="HU33" s="1101">
        <v>0.22</v>
      </c>
      <c r="HV33" s="1101">
        <v>9.7671694999999996</v>
      </c>
      <c r="HW33" s="1101">
        <v>21.875</v>
      </c>
      <c r="HX33" s="1101">
        <v>19.534338999999999</v>
      </c>
      <c r="HY33" s="1101">
        <v>43.75</v>
      </c>
      <c r="HZ33" s="1101">
        <v>39.068677999999998</v>
      </c>
      <c r="IA33" s="1101">
        <v>87.5</v>
      </c>
      <c r="IB33" s="1102"/>
      <c r="IC33" s="1092"/>
      <c r="ID33" s="1050"/>
      <c r="IE33" s="1050"/>
      <c r="IF33" s="1103"/>
      <c r="IG33" s="1103"/>
      <c r="IH33" s="1103"/>
      <c r="II33" s="1103"/>
      <c r="IJ33" s="1103"/>
      <c r="IK33" s="1103"/>
      <c r="IL33" s="1103"/>
      <c r="IM33" s="1050"/>
      <c r="IN33" s="1050"/>
      <c r="IO33" s="1050"/>
      <c r="IP33" s="1050"/>
      <c r="IQ33" s="1103"/>
      <c r="IR33" s="1103"/>
      <c r="IS33" s="1103"/>
      <c r="IT33" s="1103"/>
      <c r="IU33" s="1103"/>
      <c r="IV33" s="1103"/>
      <c r="JR33" s="1092"/>
      <c r="JS33" s="1092"/>
      <c r="JU33" s="1050"/>
      <c r="JV33" s="1103"/>
      <c r="JW33" s="1103"/>
      <c r="JX33" s="1103"/>
      <c r="JY33" s="1103"/>
      <c r="JZ33" s="1103"/>
      <c r="KA33" s="1103"/>
      <c r="KB33" s="1103"/>
      <c r="KC33" s="1050"/>
      <c r="KD33" s="1050"/>
      <c r="KE33" s="1050"/>
      <c r="KF33" s="1050"/>
      <c r="KG33" s="1103"/>
      <c r="KH33" s="1103"/>
      <c r="KI33" s="1103"/>
      <c r="KJ33" s="1103"/>
      <c r="KK33" s="1103"/>
      <c r="KL33" s="1103"/>
      <c r="KM33" s="1103"/>
      <c r="KN33" s="1103"/>
    </row>
    <row r="34" spans="2:300">
      <c r="B34" s="1048" t="str">
        <f t="shared" ref="B34:B97" si="2">"O"&amp;C34&amp;D34</f>
        <v>O56</v>
      </c>
      <c r="C34" s="1092">
        <v>5</v>
      </c>
      <c r="D34" s="1092">
        <v>6</v>
      </c>
      <c r="E34" s="584">
        <v>0.21</v>
      </c>
      <c r="F34" s="584">
        <v>0.21</v>
      </c>
      <c r="G34" s="584">
        <v>504</v>
      </c>
      <c r="H34" s="584">
        <v>13.23</v>
      </c>
      <c r="I34" s="584">
        <v>0</v>
      </c>
      <c r="J34" s="584">
        <v>0</v>
      </c>
      <c r="K34" s="584">
        <v>0</v>
      </c>
      <c r="L34" s="584">
        <v>0</v>
      </c>
      <c r="M34" s="584">
        <v>0</v>
      </c>
      <c r="N34" s="584">
        <v>0</v>
      </c>
      <c r="O34" s="584">
        <v>0</v>
      </c>
      <c r="P34" s="584">
        <v>0</v>
      </c>
      <c r="Q34" s="584">
        <v>0</v>
      </c>
      <c r="R34" s="584">
        <v>0</v>
      </c>
      <c r="S34" s="584">
        <v>0</v>
      </c>
      <c r="T34" s="584">
        <v>117.11743749999999</v>
      </c>
      <c r="U34" s="584">
        <v>26.25</v>
      </c>
      <c r="V34" s="584">
        <v>176.25993750000001</v>
      </c>
      <c r="W34" s="584">
        <v>55.125</v>
      </c>
      <c r="X34" s="584">
        <v>208.64099999999999</v>
      </c>
      <c r="Y34" s="584">
        <v>115.5</v>
      </c>
      <c r="Z34" s="584">
        <v>0.2</v>
      </c>
      <c r="AA34" s="584">
        <v>0.2</v>
      </c>
      <c r="AB34" s="584">
        <v>480</v>
      </c>
      <c r="AC34" s="584">
        <v>16</v>
      </c>
      <c r="AD34" s="584">
        <v>0</v>
      </c>
      <c r="AE34" s="584">
        <v>0</v>
      </c>
      <c r="AF34" s="584">
        <v>0</v>
      </c>
      <c r="AG34" s="584">
        <v>0</v>
      </c>
      <c r="AH34" s="584">
        <v>0</v>
      </c>
      <c r="AI34" s="584">
        <v>0</v>
      </c>
      <c r="AJ34" s="584">
        <v>0</v>
      </c>
      <c r="AK34" s="584">
        <v>0</v>
      </c>
      <c r="AL34" s="584">
        <v>0</v>
      </c>
      <c r="AM34" s="584">
        <v>0</v>
      </c>
      <c r="AN34" s="584">
        <v>0</v>
      </c>
      <c r="AO34" s="584">
        <v>114.9574375</v>
      </c>
      <c r="AP34" s="584">
        <v>26.25</v>
      </c>
      <c r="AQ34" s="584">
        <v>172.00743750000001</v>
      </c>
      <c r="AR34" s="584">
        <v>55.125</v>
      </c>
      <c r="AS34" s="584">
        <v>200.39099999999999</v>
      </c>
      <c r="AT34" s="584">
        <v>115.5</v>
      </c>
      <c r="AU34" s="584">
        <v>0.3</v>
      </c>
      <c r="AV34" s="584">
        <v>0.25</v>
      </c>
      <c r="AW34" s="584">
        <v>429.52974444909898</v>
      </c>
      <c r="AX34" s="584">
        <v>20.797235023041502</v>
      </c>
      <c r="AY34" s="584">
        <v>0</v>
      </c>
      <c r="AZ34" s="584">
        <v>0</v>
      </c>
      <c r="BA34" s="584">
        <v>0</v>
      </c>
      <c r="BB34" s="584">
        <v>0</v>
      </c>
      <c r="BC34" s="584">
        <v>0</v>
      </c>
      <c r="BD34" s="584">
        <v>0</v>
      </c>
      <c r="BE34" s="584">
        <v>0</v>
      </c>
      <c r="BF34" s="584">
        <v>0</v>
      </c>
      <c r="BG34" s="584">
        <v>0.3</v>
      </c>
      <c r="BH34" s="584">
        <v>0</v>
      </c>
      <c r="BI34" s="584">
        <v>0.6</v>
      </c>
      <c r="BJ34" s="584">
        <v>115.194125576037</v>
      </c>
      <c r="BK34" s="584">
        <v>26.25</v>
      </c>
      <c r="BL34" s="584">
        <v>166.06466129032299</v>
      </c>
      <c r="BM34" s="584">
        <v>55.125</v>
      </c>
      <c r="BN34" s="584">
        <v>179.29714976958499</v>
      </c>
      <c r="BO34" s="584">
        <v>115.5</v>
      </c>
      <c r="BP34" s="584">
        <v>0.27500000000000002</v>
      </c>
      <c r="BQ34" s="584">
        <v>0.13</v>
      </c>
      <c r="BR34" s="584">
        <v>360.79304566401299</v>
      </c>
      <c r="BS34" s="584">
        <v>14.938767281105999</v>
      </c>
      <c r="BT34" s="584">
        <v>0</v>
      </c>
      <c r="BU34" s="584">
        <v>0</v>
      </c>
      <c r="BV34" s="584">
        <v>0</v>
      </c>
      <c r="BW34" s="584">
        <v>0</v>
      </c>
      <c r="BX34" s="584">
        <v>0</v>
      </c>
      <c r="BY34" s="584">
        <v>0</v>
      </c>
      <c r="BZ34" s="584">
        <v>0</v>
      </c>
      <c r="CA34" s="584">
        <v>0.25</v>
      </c>
      <c r="CB34" s="584">
        <v>0.27500000000000002</v>
      </c>
      <c r="CC34" s="584">
        <v>0.3</v>
      </c>
      <c r="CD34" s="584">
        <v>0.3</v>
      </c>
      <c r="CE34" s="584">
        <v>109.3999</v>
      </c>
      <c r="CF34" s="584">
        <v>26.25</v>
      </c>
      <c r="CG34" s="584">
        <v>154.358025</v>
      </c>
      <c r="CH34" s="584">
        <v>55.125</v>
      </c>
      <c r="CI34" s="584">
        <v>152.98740000000001</v>
      </c>
      <c r="CJ34" s="584">
        <v>115.5</v>
      </c>
      <c r="CK34" s="584">
        <v>0.35</v>
      </c>
      <c r="CL34" s="584">
        <v>0.14499999999999999</v>
      </c>
      <c r="CM34" s="584">
        <v>382.17817867616299</v>
      </c>
      <c r="CN34" s="584">
        <v>15.703896103896099</v>
      </c>
      <c r="CO34" s="584">
        <v>0</v>
      </c>
      <c r="CP34" s="584">
        <v>0</v>
      </c>
      <c r="CQ34" s="584">
        <v>0</v>
      </c>
      <c r="CR34" s="584">
        <v>0</v>
      </c>
      <c r="CS34" s="584">
        <v>0</v>
      </c>
      <c r="CT34" s="584">
        <v>0</v>
      </c>
      <c r="CU34" s="584">
        <v>0</v>
      </c>
      <c r="CV34" s="584">
        <v>0</v>
      </c>
      <c r="CW34" s="584">
        <v>0.35</v>
      </c>
      <c r="CX34" s="584">
        <v>0</v>
      </c>
      <c r="CY34" s="584">
        <v>0.3</v>
      </c>
      <c r="CZ34" s="584">
        <v>111.30816249999999</v>
      </c>
      <c r="DA34" s="584">
        <v>26.25</v>
      </c>
      <c r="DB34" s="584">
        <v>157.28534999999999</v>
      </c>
      <c r="DC34" s="584">
        <v>55.125</v>
      </c>
      <c r="DD34" s="584">
        <v>163.74285</v>
      </c>
      <c r="DE34" s="584">
        <v>115.5</v>
      </c>
      <c r="DF34" s="584">
        <v>0.35</v>
      </c>
      <c r="DG34" s="584">
        <v>0.2</v>
      </c>
      <c r="DH34" s="584">
        <v>365.77974444909898</v>
      </c>
      <c r="DI34" s="584">
        <v>19.018106514453301</v>
      </c>
      <c r="DJ34" s="584">
        <v>300</v>
      </c>
      <c r="DK34" s="584">
        <v>0</v>
      </c>
      <c r="DL34" s="584">
        <v>0</v>
      </c>
      <c r="DM34" s="584">
        <v>0</v>
      </c>
      <c r="DN34" s="584">
        <v>0</v>
      </c>
      <c r="DO34" s="584">
        <v>0</v>
      </c>
      <c r="DP34" s="584">
        <v>0</v>
      </c>
      <c r="DQ34" s="584">
        <v>0</v>
      </c>
      <c r="DR34" s="584">
        <v>0.35</v>
      </c>
      <c r="DS34" s="584">
        <v>0</v>
      </c>
      <c r="DT34" s="584">
        <v>2.4</v>
      </c>
      <c r="DU34" s="584">
        <v>117.25525</v>
      </c>
      <c r="DV34" s="584">
        <v>26.25</v>
      </c>
      <c r="DW34" s="584">
        <v>203.01400000000001</v>
      </c>
      <c r="DX34" s="584">
        <v>55.125</v>
      </c>
      <c r="DY34" s="584">
        <v>253.4265</v>
      </c>
      <c r="DZ34" s="584">
        <v>115.5</v>
      </c>
      <c r="EA34" s="1062">
        <v>0.51100000000000001</v>
      </c>
      <c r="EB34" s="1046">
        <v>0.2</v>
      </c>
      <c r="EC34" s="1093">
        <v>132.51783893985726</v>
      </c>
      <c r="ED34" s="1046">
        <v>0</v>
      </c>
      <c r="EE34" s="1046">
        <v>285.42303771661568</v>
      </c>
      <c r="EF34" s="1046">
        <v>14.016666666666667</v>
      </c>
      <c r="EG34" s="1046">
        <v>0</v>
      </c>
      <c r="EH34" s="1046">
        <v>0</v>
      </c>
      <c r="EI34" s="1046" t="s">
        <v>492</v>
      </c>
      <c r="EJ34" s="1046" t="s">
        <v>514</v>
      </c>
      <c r="EK34" s="1046">
        <v>0</v>
      </c>
      <c r="EL34" s="1046">
        <v>0</v>
      </c>
      <c r="EM34" s="1046">
        <v>0</v>
      </c>
      <c r="EN34" s="1046">
        <v>0</v>
      </c>
      <c r="EO34" s="1046">
        <v>0</v>
      </c>
      <c r="EP34" s="1094">
        <v>37.781276249999998</v>
      </c>
      <c r="EQ34" s="1094">
        <v>26.25</v>
      </c>
      <c r="ER34" s="1094">
        <v>75.562552499999995</v>
      </c>
      <c r="ES34" s="1095">
        <v>52.5</v>
      </c>
      <c r="ET34" s="1094">
        <v>151.12510499999999</v>
      </c>
      <c r="EU34" s="1094">
        <v>105</v>
      </c>
      <c r="EV34" s="1096">
        <v>0.45660000000000001</v>
      </c>
      <c r="EW34" s="1097">
        <v>0.15</v>
      </c>
      <c r="EX34" s="1096">
        <v>289.50050968399592</v>
      </c>
      <c r="EY34" s="1096">
        <v>1.5443934760448521</v>
      </c>
      <c r="EZ34" s="1096">
        <v>0</v>
      </c>
      <c r="FA34" s="1096">
        <v>15.743333333333332</v>
      </c>
      <c r="FB34" s="1098">
        <v>0</v>
      </c>
      <c r="FC34" s="1098">
        <v>0</v>
      </c>
      <c r="FD34" s="1098" t="s">
        <v>488</v>
      </c>
      <c r="FE34" s="1098" t="s">
        <v>490</v>
      </c>
      <c r="FF34" s="1098">
        <v>1</v>
      </c>
      <c r="FG34" s="1098">
        <v>0</v>
      </c>
      <c r="FH34" s="1098">
        <v>0</v>
      </c>
      <c r="FI34" s="1098">
        <v>0</v>
      </c>
      <c r="FJ34" s="1098">
        <v>0</v>
      </c>
      <c r="FK34" s="1096">
        <v>29.396944500000004</v>
      </c>
      <c r="FL34" s="1096">
        <v>26.25</v>
      </c>
      <c r="FM34" s="1096">
        <v>58.793889000000007</v>
      </c>
      <c r="FN34" s="1096">
        <v>52.5</v>
      </c>
      <c r="FO34" s="1096">
        <v>117.58777800000001</v>
      </c>
      <c r="FP34" s="1099">
        <v>105</v>
      </c>
      <c r="FQ34" s="1064">
        <v>0.57475999999999994</v>
      </c>
      <c r="FR34" s="1065">
        <v>0.15</v>
      </c>
      <c r="FS34" s="1066">
        <v>289.50050968399586</v>
      </c>
      <c r="FT34" s="1066">
        <v>3.1754272996334754</v>
      </c>
      <c r="FU34" s="1065"/>
      <c r="FV34" s="1066">
        <v>38.0093607202855</v>
      </c>
      <c r="FW34" s="1065"/>
      <c r="FX34" s="1065"/>
      <c r="FY34" s="1065" t="s">
        <v>490</v>
      </c>
      <c r="FZ34" s="1065" t="s">
        <v>490</v>
      </c>
      <c r="GA34" s="1065">
        <v>1</v>
      </c>
      <c r="GB34" s="1065"/>
      <c r="GC34" s="1065"/>
      <c r="GD34" s="1065"/>
      <c r="GE34" s="1065"/>
      <c r="GF34" s="1066">
        <v>30.330170778565531</v>
      </c>
      <c r="GG34" s="1066">
        <v>26.25</v>
      </c>
      <c r="GH34" s="1066">
        <v>60.660341557131062</v>
      </c>
      <c r="GI34" s="1066">
        <v>52.5</v>
      </c>
      <c r="GJ34" s="1066">
        <v>121.32068311426212</v>
      </c>
      <c r="GK34" s="1066">
        <v>105</v>
      </c>
      <c r="GL34" s="584">
        <v>0.42270000000000002</v>
      </c>
      <c r="GM34" s="584">
        <v>0.11</v>
      </c>
      <c r="GN34" s="584"/>
      <c r="GO34" s="584"/>
      <c r="GP34" s="584"/>
      <c r="GQ34" s="584">
        <v>17.82</v>
      </c>
      <c r="GR34" s="584"/>
      <c r="GS34" s="584">
        <v>56.065239551478101</v>
      </c>
      <c r="GT34" s="584" t="s">
        <v>500</v>
      </c>
      <c r="GU34" s="584" t="s">
        <v>498</v>
      </c>
      <c r="GV34" s="584">
        <v>1</v>
      </c>
      <c r="GW34" s="584"/>
      <c r="GX34" s="584"/>
      <c r="GY34" s="584"/>
      <c r="GZ34" s="584"/>
      <c r="HA34" s="584">
        <v>11.436106499999999</v>
      </c>
      <c r="HB34" s="584">
        <v>26.25</v>
      </c>
      <c r="HC34" s="584">
        <v>22.872212999999999</v>
      </c>
      <c r="HD34" s="584">
        <v>52.5</v>
      </c>
      <c r="HE34" s="584">
        <v>45.744425999999997</v>
      </c>
      <c r="HF34" s="584">
        <v>105</v>
      </c>
      <c r="HG34" s="1100">
        <v>0.55000000000000004</v>
      </c>
      <c r="HH34" s="1100">
        <v>0.11</v>
      </c>
      <c r="HI34" s="1101">
        <v>0</v>
      </c>
      <c r="HJ34" s="1101">
        <v>0</v>
      </c>
      <c r="HK34" s="1101">
        <v>0</v>
      </c>
      <c r="HL34" s="1101">
        <v>0</v>
      </c>
      <c r="HM34" s="1101">
        <v>26.520000000000003</v>
      </c>
      <c r="HN34" s="1101">
        <v>54.999999999999993</v>
      </c>
      <c r="HO34" s="1101">
        <v>0</v>
      </c>
      <c r="HP34" s="1101">
        <v>0</v>
      </c>
      <c r="HQ34" s="1101">
        <v>1</v>
      </c>
      <c r="HR34" s="1101">
        <v>0.44</v>
      </c>
      <c r="HS34" s="1101">
        <v>0.4</v>
      </c>
      <c r="HT34" s="1101">
        <v>0.28000000000000003</v>
      </c>
      <c r="HU34" s="1101">
        <v>0.24</v>
      </c>
      <c r="HV34" s="1101">
        <v>11.997833999999999</v>
      </c>
      <c r="HW34" s="1101">
        <v>26.25</v>
      </c>
      <c r="HX34" s="1101">
        <v>23.995667999999998</v>
      </c>
      <c r="HY34" s="1101">
        <v>52.5</v>
      </c>
      <c r="HZ34" s="1101">
        <v>47.991335999999997</v>
      </c>
      <c r="IA34" s="1101">
        <v>105</v>
      </c>
      <c r="IB34" s="1102"/>
      <c r="IC34" s="1092"/>
      <c r="ID34" s="1050"/>
      <c r="IE34" s="1050"/>
      <c r="IF34" s="1103"/>
      <c r="IG34" s="1103"/>
      <c r="IH34" s="1103"/>
      <c r="II34" s="1103"/>
      <c r="IJ34" s="1103"/>
      <c r="IK34" s="1103"/>
      <c r="IL34" s="1103"/>
      <c r="IM34" s="1050"/>
      <c r="IN34" s="1050"/>
      <c r="IO34" s="1050"/>
      <c r="IP34" s="1050"/>
      <c r="IQ34" s="1103"/>
      <c r="IR34" s="1103"/>
      <c r="IS34" s="1103"/>
      <c r="IT34" s="1103"/>
      <c r="IU34" s="1103"/>
      <c r="IV34" s="1103"/>
      <c r="JR34" s="1092"/>
      <c r="JS34" s="1092"/>
      <c r="JU34" s="1050"/>
      <c r="JV34" s="1103"/>
      <c r="JW34" s="1103"/>
      <c r="JX34" s="1103"/>
      <c r="JY34" s="1103"/>
      <c r="JZ34" s="1103"/>
      <c r="KA34" s="1103"/>
      <c r="KB34" s="1103"/>
      <c r="KC34" s="1050"/>
      <c r="KD34" s="1050"/>
      <c r="KE34" s="1050"/>
      <c r="KF34" s="1050"/>
      <c r="KG34" s="1103"/>
      <c r="KH34" s="1103"/>
      <c r="KI34" s="1103"/>
      <c r="KJ34" s="1103"/>
      <c r="KK34" s="1103"/>
      <c r="KL34" s="1103"/>
      <c r="KM34" s="1103"/>
      <c r="KN34" s="1103"/>
    </row>
    <row r="35" spans="2:300">
      <c r="B35" s="1048" t="str">
        <f t="shared" si="2"/>
        <v>O57</v>
      </c>
      <c r="C35" s="1092">
        <v>5</v>
      </c>
      <c r="D35" s="1092">
        <v>7</v>
      </c>
      <c r="E35" s="584">
        <v>0.23</v>
      </c>
      <c r="F35" s="584">
        <v>0.23</v>
      </c>
      <c r="G35" s="584">
        <v>552</v>
      </c>
      <c r="H35" s="584">
        <v>14.26</v>
      </c>
      <c r="I35" s="584">
        <v>0</v>
      </c>
      <c r="J35" s="584">
        <v>0</v>
      </c>
      <c r="K35" s="584">
        <v>0</v>
      </c>
      <c r="L35" s="584">
        <v>0</v>
      </c>
      <c r="M35" s="584">
        <v>0</v>
      </c>
      <c r="N35" s="584">
        <v>0</v>
      </c>
      <c r="O35" s="584">
        <v>0</v>
      </c>
      <c r="P35" s="584">
        <v>0</v>
      </c>
      <c r="Q35" s="584">
        <v>0</v>
      </c>
      <c r="R35" s="584">
        <v>0</v>
      </c>
      <c r="S35" s="584">
        <v>0</v>
      </c>
      <c r="T35" s="584">
        <v>135.6999375</v>
      </c>
      <c r="U35" s="584">
        <v>30.625</v>
      </c>
      <c r="V35" s="584">
        <v>214.71618749999999</v>
      </c>
      <c r="W35" s="584">
        <v>64.3125</v>
      </c>
      <c r="X35" s="584">
        <v>261.166</v>
      </c>
      <c r="Y35" s="584">
        <v>134.75</v>
      </c>
      <c r="Z35" s="584">
        <v>0.20499999999999999</v>
      </c>
      <c r="AA35" s="584">
        <v>0.20499999999999999</v>
      </c>
      <c r="AB35" s="584">
        <v>492</v>
      </c>
      <c r="AC35" s="584">
        <v>15</v>
      </c>
      <c r="AD35" s="584">
        <v>0</v>
      </c>
      <c r="AE35" s="584">
        <v>0</v>
      </c>
      <c r="AF35" s="584">
        <v>0</v>
      </c>
      <c r="AG35" s="584">
        <v>0</v>
      </c>
      <c r="AH35" s="584">
        <v>0</v>
      </c>
      <c r="AI35" s="584">
        <v>0</v>
      </c>
      <c r="AJ35" s="584">
        <v>0</v>
      </c>
      <c r="AK35" s="584">
        <v>0</v>
      </c>
      <c r="AL35" s="584">
        <v>0</v>
      </c>
      <c r="AM35" s="584">
        <v>0</v>
      </c>
      <c r="AN35" s="584">
        <v>0</v>
      </c>
      <c r="AO35" s="584">
        <v>129.4561875</v>
      </c>
      <c r="AP35" s="584">
        <v>30.625</v>
      </c>
      <c r="AQ35" s="584">
        <v>202.3130625</v>
      </c>
      <c r="AR35" s="584">
        <v>64.3125</v>
      </c>
      <c r="AS35" s="584">
        <v>237.1035</v>
      </c>
      <c r="AT35" s="584">
        <v>134.75</v>
      </c>
      <c r="AU35" s="584">
        <v>0.35</v>
      </c>
      <c r="AV35" s="584">
        <v>0.25</v>
      </c>
      <c r="AW35" s="584">
        <v>439.26136363636402</v>
      </c>
      <c r="AX35" s="584">
        <v>21.2646103896104</v>
      </c>
      <c r="AY35" s="584">
        <v>0</v>
      </c>
      <c r="AZ35" s="584">
        <v>0</v>
      </c>
      <c r="BA35" s="584">
        <v>0</v>
      </c>
      <c r="BB35" s="584">
        <v>0</v>
      </c>
      <c r="BC35" s="584">
        <v>0</v>
      </c>
      <c r="BD35" s="584">
        <v>0</v>
      </c>
      <c r="BE35" s="584">
        <v>0</v>
      </c>
      <c r="BF35" s="584">
        <v>0</v>
      </c>
      <c r="BG35" s="584">
        <v>0.35</v>
      </c>
      <c r="BH35" s="584">
        <v>0</v>
      </c>
      <c r="BI35" s="584">
        <v>0.6</v>
      </c>
      <c r="BJ35" s="584">
        <v>128.19303348214299</v>
      </c>
      <c r="BK35" s="584">
        <v>30.625</v>
      </c>
      <c r="BL35" s="584">
        <v>193.39624218750001</v>
      </c>
      <c r="BM35" s="584">
        <v>64.3125</v>
      </c>
      <c r="BN35" s="584">
        <v>215.26284375</v>
      </c>
      <c r="BO35" s="584">
        <v>134.75</v>
      </c>
      <c r="BP35" s="584">
        <v>0.35</v>
      </c>
      <c r="BQ35" s="584">
        <v>0.13</v>
      </c>
      <c r="BR35" s="584">
        <v>364.79545454545502</v>
      </c>
      <c r="BS35" s="584">
        <v>17.188741883116901</v>
      </c>
      <c r="BT35" s="584">
        <v>0</v>
      </c>
      <c r="BU35" s="584">
        <v>0</v>
      </c>
      <c r="BV35" s="584">
        <v>0</v>
      </c>
      <c r="BW35" s="584">
        <v>0</v>
      </c>
      <c r="BX35" s="584">
        <v>0</v>
      </c>
      <c r="BY35" s="584">
        <v>0</v>
      </c>
      <c r="BZ35" s="584">
        <v>0</v>
      </c>
      <c r="CA35" s="584">
        <v>0.25</v>
      </c>
      <c r="CB35" s="584">
        <v>0.35</v>
      </c>
      <c r="CC35" s="584">
        <v>0.3</v>
      </c>
      <c r="CD35" s="584">
        <v>0.3</v>
      </c>
      <c r="CE35" s="584">
        <v>120.6489</v>
      </c>
      <c r="CF35" s="584">
        <v>30.625</v>
      </c>
      <c r="CG35" s="584">
        <v>179.46764999999999</v>
      </c>
      <c r="CH35" s="584">
        <v>64.3125</v>
      </c>
      <c r="CI35" s="584">
        <v>179.93639999999999</v>
      </c>
      <c r="CJ35" s="584">
        <v>134.75</v>
      </c>
      <c r="CK35" s="584">
        <v>0.4</v>
      </c>
      <c r="CL35" s="584">
        <v>0.14499999999999999</v>
      </c>
      <c r="CM35" s="584">
        <v>389.675527597403</v>
      </c>
      <c r="CN35" s="584">
        <v>16.007399891774899</v>
      </c>
      <c r="CO35" s="584">
        <v>0</v>
      </c>
      <c r="CP35" s="584">
        <v>0</v>
      </c>
      <c r="CQ35" s="584">
        <v>0</v>
      </c>
      <c r="CR35" s="584">
        <v>0</v>
      </c>
      <c r="CS35" s="584">
        <v>0</v>
      </c>
      <c r="CT35" s="584">
        <v>0</v>
      </c>
      <c r="CU35" s="584">
        <v>0</v>
      </c>
      <c r="CV35" s="584">
        <v>0</v>
      </c>
      <c r="CW35" s="584">
        <v>0.4</v>
      </c>
      <c r="CX35" s="584">
        <v>0</v>
      </c>
      <c r="CY35" s="584">
        <v>0.6</v>
      </c>
      <c r="CZ35" s="584">
        <v>124.70385</v>
      </c>
      <c r="DA35" s="584">
        <v>30.625</v>
      </c>
      <c r="DB35" s="584">
        <v>183.93135000000001</v>
      </c>
      <c r="DC35" s="584">
        <v>64.3125</v>
      </c>
      <c r="DD35" s="584">
        <v>192.12135000000001</v>
      </c>
      <c r="DE35" s="584">
        <v>134.75</v>
      </c>
      <c r="DF35" s="584">
        <v>0.35</v>
      </c>
      <c r="DG35" s="584">
        <v>0.2</v>
      </c>
      <c r="DH35" s="584">
        <v>366.53814935064901</v>
      </c>
      <c r="DI35" s="584">
        <v>21.715553841991301</v>
      </c>
      <c r="DJ35" s="584">
        <v>300</v>
      </c>
      <c r="DK35" s="584">
        <v>0</v>
      </c>
      <c r="DL35" s="584">
        <v>0</v>
      </c>
      <c r="DM35" s="584">
        <v>0</v>
      </c>
      <c r="DN35" s="584">
        <v>0</v>
      </c>
      <c r="DO35" s="584">
        <v>0</v>
      </c>
      <c r="DP35" s="584">
        <v>0</v>
      </c>
      <c r="DQ35" s="584">
        <v>0</v>
      </c>
      <c r="DR35" s="584">
        <v>0.35</v>
      </c>
      <c r="DS35" s="584">
        <v>0</v>
      </c>
      <c r="DT35" s="584">
        <v>2.4</v>
      </c>
      <c r="DU35" s="584">
        <v>130.65074999999999</v>
      </c>
      <c r="DV35" s="584">
        <v>30.625</v>
      </c>
      <c r="DW35" s="584">
        <v>223.87825000000001</v>
      </c>
      <c r="DX35" s="584">
        <v>64.3125</v>
      </c>
      <c r="DY35" s="584">
        <v>294.22649999999999</v>
      </c>
      <c r="DZ35" s="584">
        <v>134.75</v>
      </c>
      <c r="EA35" s="1062">
        <v>0.51039999999999996</v>
      </c>
      <c r="EB35" s="1046">
        <v>0.2</v>
      </c>
      <c r="EC35" s="1093">
        <v>132.51783893985726</v>
      </c>
      <c r="ED35" s="1046">
        <v>0</v>
      </c>
      <c r="EE35" s="1046">
        <v>285.42303771661568</v>
      </c>
      <c r="EF35" s="1046">
        <v>15.114285714285714</v>
      </c>
      <c r="EG35" s="1046">
        <v>0</v>
      </c>
      <c r="EH35" s="1046">
        <v>0</v>
      </c>
      <c r="EI35" s="1046" t="s">
        <v>486</v>
      </c>
      <c r="EJ35" s="1046" t="s">
        <v>505</v>
      </c>
      <c r="EK35" s="1046">
        <v>0</v>
      </c>
      <c r="EL35" s="1046">
        <v>0</v>
      </c>
      <c r="EM35" s="1046">
        <v>0</v>
      </c>
      <c r="EN35" s="1046">
        <v>0</v>
      </c>
      <c r="EO35" s="1046">
        <v>0</v>
      </c>
      <c r="EP35" s="1094">
        <v>44.172372499999994</v>
      </c>
      <c r="EQ35" s="1094">
        <v>30.625</v>
      </c>
      <c r="ER35" s="1094">
        <v>88.344744999999989</v>
      </c>
      <c r="ES35" s="1095">
        <v>61.25</v>
      </c>
      <c r="ET35" s="1094">
        <v>176.68948999999998</v>
      </c>
      <c r="EU35" s="1094">
        <v>122.5</v>
      </c>
      <c r="EV35" s="1096">
        <v>0.505</v>
      </c>
      <c r="EW35" s="1097">
        <v>0.15</v>
      </c>
      <c r="EX35" s="1096">
        <v>289.50050968399592</v>
      </c>
      <c r="EY35" s="1096">
        <v>1.5443934760448521</v>
      </c>
      <c r="EZ35" s="1096">
        <v>0</v>
      </c>
      <c r="FA35" s="1096">
        <v>15.345714285714283</v>
      </c>
      <c r="FB35" s="1098">
        <v>0</v>
      </c>
      <c r="FC35" s="1098">
        <v>0</v>
      </c>
      <c r="FD35" s="1098" t="s">
        <v>479</v>
      </c>
      <c r="FE35" s="1098" t="s">
        <v>490</v>
      </c>
      <c r="FF35" s="1098">
        <v>1</v>
      </c>
      <c r="FG35" s="1098">
        <v>0</v>
      </c>
      <c r="FH35" s="1098">
        <v>0</v>
      </c>
      <c r="FI35" s="1098">
        <v>0</v>
      </c>
      <c r="FJ35" s="1098">
        <v>0</v>
      </c>
      <c r="FK35" s="1096">
        <v>34.262304624999999</v>
      </c>
      <c r="FL35" s="1096">
        <v>30.625</v>
      </c>
      <c r="FM35" s="1096">
        <v>68.524609249999997</v>
      </c>
      <c r="FN35" s="1096">
        <v>61.25</v>
      </c>
      <c r="FO35" s="1096">
        <v>137.04921849999999</v>
      </c>
      <c r="FP35" s="1099">
        <v>122.5</v>
      </c>
      <c r="FQ35" s="1064">
        <v>0.57475999999999994</v>
      </c>
      <c r="FR35" s="1065">
        <v>0.15</v>
      </c>
      <c r="FS35" s="1066">
        <v>289.50050968399586</v>
      </c>
      <c r="FT35" s="1066">
        <v>3.1754272996334754</v>
      </c>
      <c r="FU35" s="1065"/>
      <c r="FV35" s="1066">
        <v>36.928209570031449</v>
      </c>
      <c r="FW35" s="1065"/>
      <c r="FX35" s="1065"/>
      <c r="FY35" s="1065" t="s">
        <v>490</v>
      </c>
      <c r="FZ35" s="1065" t="s">
        <v>490</v>
      </c>
      <c r="GA35" s="1065">
        <v>1</v>
      </c>
      <c r="GB35" s="1065"/>
      <c r="GC35" s="1065"/>
      <c r="GD35" s="1065"/>
      <c r="GE35" s="1065"/>
      <c r="GF35" s="1066">
        <v>35.292395929799866</v>
      </c>
      <c r="GG35" s="1066">
        <v>30.625</v>
      </c>
      <c r="GH35" s="1066">
        <v>70.584791859599733</v>
      </c>
      <c r="GI35" s="1066">
        <v>61.25</v>
      </c>
      <c r="GJ35" s="1066">
        <v>141.16958371919947</v>
      </c>
      <c r="GK35" s="1066">
        <v>122.5</v>
      </c>
      <c r="GL35" s="584">
        <v>0.50800000000000001</v>
      </c>
      <c r="GM35" s="584">
        <v>0.11</v>
      </c>
      <c r="GN35" s="584"/>
      <c r="GO35" s="584"/>
      <c r="GP35" s="584"/>
      <c r="GQ35" s="584">
        <v>20.285714285714299</v>
      </c>
      <c r="GR35" s="584"/>
      <c r="GS35" s="584">
        <v>56.065239551478101</v>
      </c>
      <c r="GT35" s="584" t="s">
        <v>498</v>
      </c>
      <c r="GU35" s="584" t="s">
        <v>473</v>
      </c>
      <c r="GV35" s="584">
        <v>1</v>
      </c>
      <c r="GW35" s="584"/>
      <c r="GX35" s="584"/>
      <c r="GY35" s="584"/>
      <c r="GZ35" s="584"/>
      <c r="HA35" s="584">
        <v>13.553775</v>
      </c>
      <c r="HB35" s="584">
        <v>30.625</v>
      </c>
      <c r="HC35" s="584">
        <v>27.10755</v>
      </c>
      <c r="HD35" s="584">
        <v>61.25</v>
      </c>
      <c r="HE35" s="584">
        <v>54.2151</v>
      </c>
      <c r="HF35" s="584">
        <v>122.5</v>
      </c>
      <c r="HG35" s="1100">
        <v>0.59</v>
      </c>
      <c r="HH35" s="1100">
        <v>0.11</v>
      </c>
      <c r="HI35" s="1101">
        <v>0</v>
      </c>
      <c r="HJ35" s="1101">
        <v>0</v>
      </c>
      <c r="HK35" s="1101">
        <v>0</v>
      </c>
      <c r="HL35" s="1101">
        <v>0</v>
      </c>
      <c r="HM35" s="1101">
        <v>31.103999999999999</v>
      </c>
      <c r="HN35" s="1101">
        <v>54.999999999999993</v>
      </c>
      <c r="HO35" s="1101">
        <v>0</v>
      </c>
      <c r="HP35" s="1101">
        <v>0</v>
      </c>
      <c r="HQ35" s="1101">
        <v>1</v>
      </c>
      <c r="HR35" s="1101">
        <v>0.48</v>
      </c>
      <c r="HS35" s="1101">
        <v>0.48</v>
      </c>
      <c r="HT35" s="1101">
        <v>0.28000000000000003</v>
      </c>
      <c r="HU35" s="1101">
        <v>0.26</v>
      </c>
      <c r="HV35" s="1101">
        <v>14.3909521</v>
      </c>
      <c r="HW35" s="1101">
        <v>30.625</v>
      </c>
      <c r="HX35" s="1101">
        <v>28.7819042</v>
      </c>
      <c r="HY35" s="1101">
        <v>61.25</v>
      </c>
      <c r="HZ35" s="1101">
        <v>57.563808399999999</v>
      </c>
      <c r="IA35" s="1101">
        <v>122.5</v>
      </c>
      <c r="IB35" s="1102"/>
      <c r="IC35" s="1092"/>
      <c r="ID35" s="1050"/>
      <c r="IE35" s="1050"/>
      <c r="IF35" s="1103"/>
      <c r="IG35" s="1103"/>
      <c r="IH35" s="1103"/>
      <c r="II35" s="1103"/>
      <c r="IJ35" s="1103"/>
      <c r="IK35" s="1103"/>
      <c r="IL35" s="1103"/>
      <c r="IM35" s="1050"/>
      <c r="IN35" s="1050"/>
      <c r="IO35" s="1050"/>
      <c r="IP35" s="1050"/>
      <c r="IQ35" s="1103"/>
      <c r="IR35" s="1103"/>
      <c r="IS35" s="1103"/>
      <c r="IT35" s="1103"/>
      <c r="IU35" s="1103"/>
      <c r="IV35" s="1103"/>
      <c r="JR35" s="1092"/>
      <c r="JS35" s="1092"/>
      <c r="JU35" s="1050"/>
      <c r="JV35" s="1103"/>
      <c r="JW35" s="1103"/>
      <c r="JX35" s="1103"/>
      <c r="JY35" s="1103"/>
      <c r="JZ35" s="1103"/>
      <c r="KA35" s="1103"/>
      <c r="KB35" s="1103"/>
      <c r="KC35" s="1050"/>
      <c r="KD35" s="1050"/>
      <c r="KE35" s="1050"/>
      <c r="KF35" s="1050"/>
      <c r="KG35" s="1103"/>
      <c r="KH35" s="1103"/>
      <c r="KI35" s="1103"/>
      <c r="KJ35" s="1103"/>
      <c r="KK35" s="1103"/>
      <c r="KL35" s="1103"/>
      <c r="KM35" s="1103"/>
      <c r="KN35" s="1103"/>
    </row>
    <row r="36" spans="2:300">
      <c r="B36" s="1048" t="str">
        <f t="shared" si="2"/>
        <v>O58</v>
      </c>
      <c r="C36" s="1092">
        <v>5</v>
      </c>
      <c r="D36" s="1092">
        <v>8</v>
      </c>
      <c r="E36" s="584">
        <v>0.26</v>
      </c>
      <c r="F36" s="584">
        <v>0.26</v>
      </c>
      <c r="G36" s="584">
        <v>624</v>
      </c>
      <c r="H36" s="584">
        <v>16.38</v>
      </c>
      <c r="I36" s="584">
        <v>0</v>
      </c>
      <c r="J36" s="584">
        <v>0</v>
      </c>
      <c r="K36" s="584">
        <v>0</v>
      </c>
      <c r="L36" s="584">
        <v>0</v>
      </c>
      <c r="M36" s="584">
        <v>0</v>
      </c>
      <c r="N36" s="584">
        <v>0</v>
      </c>
      <c r="O36" s="584">
        <v>0</v>
      </c>
      <c r="P36" s="584">
        <v>0</v>
      </c>
      <c r="Q36" s="584">
        <v>0</v>
      </c>
      <c r="R36" s="584">
        <v>0</v>
      </c>
      <c r="S36" s="584">
        <v>0</v>
      </c>
      <c r="T36" s="584">
        <v>158.46743749999999</v>
      </c>
      <c r="U36" s="584">
        <v>35</v>
      </c>
      <c r="V36" s="584">
        <v>261.6774375</v>
      </c>
      <c r="W36" s="584">
        <v>73.5</v>
      </c>
      <c r="X36" s="584">
        <v>330.19099999999997</v>
      </c>
      <c r="Y36" s="584">
        <v>154</v>
      </c>
      <c r="Z36" s="584">
        <v>0.22</v>
      </c>
      <c r="AA36" s="584">
        <v>0.22</v>
      </c>
      <c r="AB36" s="584">
        <v>528</v>
      </c>
      <c r="AC36" s="584">
        <v>15</v>
      </c>
      <c r="AD36" s="584">
        <v>0</v>
      </c>
      <c r="AE36" s="584">
        <v>0</v>
      </c>
      <c r="AF36" s="584">
        <v>0</v>
      </c>
      <c r="AG36" s="584">
        <v>0</v>
      </c>
      <c r="AH36" s="584">
        <v>0</v>
      </c>
      <c r="AI36" s="584">
        <v>0</v>
      </c>
      <c r="AJ36" s="584">
        <v>0</v>
      </c>
      <c r="AK36" s="584">
        <v>0</v>
      </c>
      <c r="AL36" s="584">
        <v>0</v>
      </c>
      <c r="AM36" s="584">
        <v>0</v>
      </c>
      <c r="AN36" s="584">
        <v>0</v>
      </c>
      <c r="AO36" s="584">
        <v>147.12743750000001</v>
      </c>
      <c r="AP36" s="584">
        <v>35</v>
      </c>
      <c r="AQ36" s="584">
        <v>238.99743749999999</v>
      </c>
      <c r="AR36" s="584">
        <v>73.5</v>
      </c>
      <c r="AS36" s="584">
        <v>286.19099999999997</v>
      </c>
      <c r="AT36" s="584">
        <v>154</v>
      </c>
      <c r="AU36" s="584">
        <v>0.42499999999999999</v>
      </c>
      <c r="AV36" s="584">
        <v>0.25</v>
      </c>
      <c r="AW36" s="584">
        <v>459.74025974026</v>
      </c>
      <c r="AX36" s="584">
        <v>19.385096610706398</v>
      </c>
      <c r="AY36" s="584">
        <v>0</v>
      </c>
      <c r="AZ36" s="584">
        <v>0</v>
      </c>
      <c r="BA36" s="584">
        <v>0</v>
      </c>
      <c r="BB36" s="584">
        <v>0</v>
      </c>
      <c r="BC36" s="584">
        <v>0</v>
      </c>
      <c r="BD36" s="584">
        <v>0</v>
      </c>
      <c r="BE36" s="584">
        <v>0</v>
      </c>
      <c r="BF36" s="584">
        <v>0</v>
      </c>
      <c r="BG36" s="584">
        <v>0.42499999999999999</v>
      </c>
      <c r="BH36" s="584">
        <v>0</v>
      </c>
      <c r="BI36" s="584">
        <v>0.45</v>
      </c>
      <c r="BJ36" s="584">
        <v>144.783280487805</v>
      </c>
      <c r="BK36" s="584">
        <v>35</v>
      </c>
      <c r="BL36" s="584">
        <v>225.17581097561001</v>
      </c>
      <c r="BM36" s="584">
        <v>73.5</v>
      </c>
      <c r="BN36" s="584">
        <v>250.43473954703799</v>
      </c>
      <c r="BO36" s="584">
        <v>154</v>
      </c>
      <c r="BP36" s="584">
        <v>0.42499999999999999</v>
      </c>
      <c r="BQ36" s="584">
        <v>0.13</v>
      </c>
      <c r="BR36" s="584">
        <v>402.99778270510001</v>
      </c>
      <c r="BS36" s="584">
        <v>21.698004434589802</v>
      </c>
      <c r="BT36" s="584">
        <v>0</v>
      </c>
      <c r="BU36" s="584">
        <v>0</v>
      </c>
      <c r="BV36" s="584">
        <v>0</v>
      </c>
      <c r="BW36" s="584">
        <v>0</v>
      </c>
      <c r="BX36" s="584">
        <v>0</v>
      </c>
      <c r="BY36" s="584">
        <v>0</v>
      </c>
      <c r="BZ36" s="584">
        <v>0</v>
      </c>
      <c r="CA36" s="584">
        <v>0.25</v>
      </c>
      <c r="CB36" s="584">
        <v>0.42499999999999999</v>
      </c>
      <c r="CC36" s="584">
        <v>0.3</v>
      </c>
      <c r="CD36" s="584">
        <v>0.3</v>
      </c>
      <c r="CE36" s="584">
        <v>141.40414999999999</v>
      </c>
      <c r="CF36" s="584">
        <v>35</v>
      </c>
      <c r="CG36" s="584">
        <v>220.97040000000001</v>
      </c>
      <c r="CH36" s="584">
        <v>73.5</v>
      </c>
      <c r="CI36" s="584">
        <v>208.0104</v>
      </c>
      <c r="CJ36" s="584">
        <v>154</v>
      </c>
      <c r="CK36" s="584">
        <v>0.5</v>
      </c>
      <c r="CL36" s="584">
        <v>0.14499999999999999</v>
      </c>
      <c r="CM36" s="584">
        <v>403.720284288882</v>
      </c>
      <c r="CN36" s="584">
        <v>16.289974659486901</v>
      </c>
      <c r="CO36" s="584">
        <v>0</v>
      </c>
      <c r="CP36" s="584">
        <v>0</v>
      </c>
      <c r="CQ36" s="584">
        <v>0</v>
      </c>
      <c r="CR36" s="584">
        <v>0</v>
      </c>
      <c r="CS36" s="584">
        <v>0</v>
      </c>
      <c r="CT36" s="584">
        <v>0</v>
      </c>
      <c r="CU36" s="584">
        <v>0</v>
      </c>
      <c r="CV36" s="584">
        <v>0</v>
      </c>
      <c r="CW36" s="584">
        <v>0.5</v>
      </c>
      <c r="CX36" s="584">
        <v>0</v>
      </c>
      <c r="CY36" s="584">
        <v>0.6</v>
      </c>
      <c r="CZ36" s="584">
        <v>139.17335</v>
      </c>
      <c r="DA36" s="584">
        <v>35</v>
      </c>
      <c r="DB36" s="584">
        <v>212.14335</v>
      </c>
      <c r="DC36" s="584">
        <v>73.5</v>
      </c>
      <c r="DD36" s="584">
        <v>224.12835000000001</v>
      </c>
      <c r="DE36" s="584">
        <v>154</v>
      </c>
      <c r="DF36" s="584">
        <v>0.35</v>
      </c>
      <c r="DG36" s="584">
        <v>0.2</v>
      </c>
      <c r="DH36" s="584">
        <v>374.50229648400398</v>
      </c>
      <c r="DI36" s="584">
        <v>22.303313351282899</v>
      </c>
      <c r="DJ36" s="584">
        <v>300</v>
      </c>
      <c r="DK36" s="584">
        <v>0</v>
      </c>
      <c r="DL36" s="584">
        <v>0</v>
      </c>
      <c r="DM36" s="584">
        <v>0</v>
      </c>
      <c r="DN36" s="584">
        <v>0</v>
      </c>
      <c r="DO36" s="584">
        <v>0</v>
      </c>
      <c r="DP36" s="584">
        <v>0</v>
      </c>
      <c r="DQ36" s="584">
        <v>0</v>
      </c>
      <c r="DR36" s="584">
        <v>0.35</v>
      </c>
      <c r="DS36" s="584">
        <v>0</v>
      </c>
      <c r="DT36" s="584">
        <v>2.4</v>
      </c>
      <c r="DU36" s="584">
        <v>146.3015</v>
      </c>
      <c r="DV36" s="584">
        <v>35</v>
      </c>
      <c r="DW36" s="584">
        <v>244.56025</v>
      </c>
      <c r="DX36" s="584">
        <v>73.5</v>
      </c>
      <c r="DY36" s="584">
        <v>335.0265</v>
      </c>
      <c r="DZ36" s="584">
        <v>154</v>
      </c>
      <c r="EA36" s="1062">
        <v>0.60499999999999998</v>
      </c>
      <c r="EB36" s="1046">
        <v>0.25</v>
      </c>
      <c r="EC36" s="1093">
        <v>132.51783893985731</v>
      </c>
      <c r="ED36" s="1046">
        <v>0</v>
      </c>
      <c r="EE36" s="1046">
        <v>346.58511722731902</v>
      </c>
      <c r="EF36" s="1046">
        <v>17.175000000000001</v>
      </c>
      <c r="EG36" s="1046">
        <v>0</v>
      </c>
      <c r="EH36" s="1046">
        <v>0</v>
      </c>
      <c r="EI36" s="1046" t="s">
        <v>479</v>
      </c>
      <c r="EJ36" s="1046" t="s">
        <v>486</v>
      </c>
      <c r="EK36" s="1046">
        <v>0</v>
      </c>
      <c r="EL36" s="1046">
        <v>0</v>
      </c>
      <c r="EM36" s="1046">
        <v>0</v>
      </c>
      <c r="EN36" s="1046">
        <v>0</v>
      </c>
      <c r="EO36" s="1046">
        <v>0</v>
      </c>
      <c r="EP36" s="1094">
        <v>56.684867499999996</v>
      </c>
      <c r="EQ36" s="1094">
        <v>35</v>
      </c>
      <c r="ER36" s="1094">
        <v>113.36973499999999</v>
      </c>
      <c r="ES36" s="1095">
        <v>70</v>
      </c>
      <c r="ET36" s="1094">
        <v>226.73946999999998</v>
      </c>
      <c r="EU36" s="1094">
        <v>140</v>
      </c>
      <c r="EV36" s="1096">
        <v>0.50800000000000001</v>
      </c>
      <c r="EW36" s="1097">
        <v>0.15</v>
      </c>
      <c r="EX36" s="1096">
        <v>289.50050968399592</v>
      </c>
      <c r="EY36" s="1096">
        <v>1.5443934760448521</v>
      </c>
      <c r="EZ36" s="1096">
        <v>0</v>
      </c>
      <c r="FA36" s="1096">
        <v>16.125</v>
      </c>
      <c r="FB36" s="1098">
        <v>0</v>
      </c>
      <c r="FC36" s="1098">
        <v>0</v>
      </c>
      <c r="FD36" s="1098" t="s">
        <v>477</v>
      </c>
      <c r="FE36" s="1098" t="s">
        <v>481</v>
      </c>
      <c r="FF36" s="1098">
        <v>1</v>
      </c>
      <c r="FG36" s="1098">
        <v>0</v>
      </c>
      <c r="FH36" s="1098">
        <v>0</v>
      </c>
      <c r="FI36" s="1098">
        <v>0</v>
      </c>
      <c r="FJ36" s="1098">
        <v>0</v>
      </c>
      <c r="FK36" s="1096">
        <v>39.2333675</v>
      </c>
      <c r="FL36" s="1096">
        <v>35</v>
      </c>
      <c r="FM36" s="1096">
        <v>78.466735</v>
      </c>
      <c r="FN36" s="1096">
        <v>70</v>
      </c>
      <c r="FO36" s="1096">
        <v>156.93347</v>
      </c>
      <c r="FP36" s="1099">
        <v>140</v>
      </c>
      <c r="FQ36" s="1064">
        <v>0.57475999999999994</v>
      </c>
      <c r="FR36" s="1065">
        <v>0.15</v>
      </c>
      <c r="FS36" s="1066">
        <v>289.50050968399586</v>
      </c>
      <c r="FT36" s="1066">
        <v>3.1754272996334754</v>
      </c>
      <c r="FU36" s="1065"/>
      <c r="FV36" s="1066">
        <v>35.959561434372851</v>
      </c>
      <c r="FW36" s="1065"/>
      <c r="FX36" s="1065"/>
      <c r="FY36" s="1065" t="s">
        <v>490</v>
      </c>
      <c r="FZ36" s="1065" t="s">
        <v>490</v>
      </c>
      <c r="GA36" s="1065">
        <v>1</v>
      </c>
      <c r="GB36" s="1065"/>
      <c r="GC36" s="1065"/>
      <c r="GD36" s="1065"/>
      <c r="GE36" s="1065"/>
      <c r="GF36" s="1066">
        <v>40.239142394806024</v>
      </c>
      <c r="GG36" s="1066">
        <v>35</v>
      </c>
      <c r="GH36" s="1066">
        <v>80.478284789612047</v>
      </c>
      <c r="GI36" s="1066">
        <v>70</v>
      </c>
      <c r="GJ36" s="1066">
        <v>160.95656957922409</v>
      </c>
      <c r="GK36" s="1066">
        <v>140</v>
      </c>
      <c r="GL36" s="584">
        <v>0.51319999999999999</v>
      </c>
      <c r="GM36" s="584">
        <v>0.11</v>
      </c>
      <c r="GN36" s="584"/>
      <c r="GO36" s="584"/>
      <c r="GP36" s="584"/>
      <c r="GQ36" s="584">
        <v>22.537500000000001</v>
      </c>
      <c r="GR36" s="584"/>
      <c r="GS36" s="584">
        <v>56.065239551478101</v>
      </c>
      <c r="GT36" s="584" t="s">
        <v>484</v>
      </c>
      <c r="GU36" s="584" t="s">
        <v>471</v>
      </c>
      <c r="GV36" s="584">
        <v>1</v>
      </c>
      <c r="GW36" s="584"/>
      <c r="GX36" s="584"/>
      <c r="GY36" s="584"/>
      <c r="GZ36" s="584"/>
      <c r="HA36" s="584">
        <v>15.710928750000001</v>
      </c>
      <c r="HB36" s="584">
        <v>35</v>
      </c>
      <c r="HC36" s="584">
        <v>31.421857500000002</v>
      </c>
      <c r="HD36" s="584">
        <v>70</v>
      </c>
      <c r="HE36" s="584">
        <v>62.843715000000003</v>
      </c>
      <c r="HF36" s="584">
        <v>140</v>
      </c>
      <c r="HG36" s="1100">
        <v>0.67</v>
      </c>
      <c r="HH36" s="1100">
        <v>0.11</v>
      </c>
      <c r="HI36" s="1101">
        <v>0</v>
      </c>
      <c r="HJ36" s="1101">
        <v>0</v>
      </c>
      <c r="HK36" s="1101">
        <v>0</v>
      </c>
      <c r="HL36" s="1101">
        <v>0</v>
      </c>
      <c r="HM36" s="1101">
        <v>36.414000000000001</v>
      </c>
      <c r="HN36" s="1101">
        <v>54.999999999999993</v>
      </c>
      <c r="HO36" s="1101">
        <v>0</v>
      </c>
      <c r="HP36" s="1101">
        <v>0</v>
      </c>
      <c r="HQ36" s="1101">
        <v>1</v>
      </c>
      <c r="HR36" s="1101">
        <v>0.52</v>
      </c>
      <c r="HS36" s="1101">
        <v>0.56000000000000005</v>
      </c>
      <c r="HT36" s="1101">
        <v>0.28000000000000003</v>
      </c>
      <c r="HU36" s="1101">
        <v>0.28000000000000003</v>
      </c>
      <c r="HV36" s="1101">
        <v>16.967713400000001</v>
      </c>
      <c r="HW36" s="1101">
        <v>35</v>
      </c>
      <c r="HX36" s="1101">
        <v>33.935426800000002</v>
      </c>
      <c r="HY36" s="1101">
        <v>70</v>
      </c>
      <c r="HZ36" s="1101">
        <v>67.870853600000004</v>
      </c>
      <c r="IA36" s="1101">
        <v>140</v>
      </c>
      <c r="IB36" s="1102"/>
      <c r="IC36" s="1092"/>
      <c r="ID36" s="1050"/>
      <c r="IE36" s="1050"/>
      <c r="IF36" s="1103"/>
      <c r="IG36" s="1103"/>
      <c r="IH36" s="1103"/>
      <c r="II36" s="1103"/>
      <c r="IJ36" s="1103"/>
      <c r="IK36" s="1103"/>
      <c r="IL36" s="1103"/>
      <c r="IM36" s="1050"/>
      <c r="IN36" s="1050"/>
      <c r="IO36" s="1050"/>
      <c r="IP36" s="1050"/>
      <c r="IQ36" s="1103"/>
      <c r="IR36" s="1103"/>
      <c r="IS36" s="1103"/>
      <c r="IT36" s="1103"/>
      <c r="IU36" s="1103"/>
      <c r="IV36" s="1103"/>
      <c r="JR36" s="1092"/>
      <c r="JS36" s="1092"/>
      <c r="JU36" s="1050"/>
      <c r="JV36" s="1103"/>
      <c r="JW36" s="1103"/>
      <c r="JX36" s="1103"/>
      <c r="JY36" s="1103"/>
      <c r="JZ36" s="1103"/>
      <c r="KA36" s="1103"/>
      <c r="KB36" s="1103"/>
      <c r="KC36" s="1050"/>
      <c r="KD36" s="1050"/>
      <c r="KE36" s="1050"/>
      <c r="KF36" s="1050"/>
      <c r="KG36" s="1103"/>
      <c r="KH36" s="1103"/>
      <c r="KI36" s="1103"/>
      <c r="KJ36" s="1103"/>
      <c r="KK36" s="1103"/>
      <c r="KL36" s="1103"/>
      <c r="KM36" s="1103"/>
      <c r="KN36" s="1103"/>
    </row>
    <row r="37" spans="2:300">
      <c r="B37" s="1048" t="str">
        <f t="shared" si="2"/>
        <v>O59</v>
      </c>
      <c r="C37" s="1092">
        <v>5</v>
      </c>
      <c r="D37" s="1092">
        <v>9</v>
      </c>
      <c r="E37" s="584">
        <v>0.3</v>
      </c>
      <c r="F37" s="584">
        <v>0.3</v>
      </c>
      <c r="G37" s="584">
        <v>720</v>
      </c>
      <c r="H37" s="584">
        <v>17.7</v>
      </c>
      <c r="I37" s="584">
        <v>0</v>
      </c>
      <c r="J37" s="584">
        <v>0</v>
      </c>
      <c r="K37" s="584">
        <v>0</v>
      </c>
      <c r="L37" s="584">
        <v>0</v>
      </c>
      <c r="M37" s="584">
        <v>0</v>
      </c>
      <c r="N37" s="584">
        <v>0</v>
      </c>
      <c r="O37" s="584">
        <v>0</v>
      </c>
      <c r="P37" s="584">
        <v>0</v>
      </c>
      <c r="Q37" s="584">
        <v>0</v>
      </c>
      <c r="R37" s="584">
        <v>0</v>
      </c>
      <c r="S37" s="584">
        <v>0</v>
      </c>
      <c r="T37" s="584">
        <v>186.43243749999999</v>
      </c>
      <c r="U37" s="584">
        <v>39.375</v>
      </c>
      <c r="V37" s="584">
        <v>319.26993750000003</v>
      </c>
      <c r="W37" s="584">
        <v>82.6875</v>
      </c>
      <c r="X37" s="584">
        <v>419.84100000000001</v>
      </c>
      <c r="Y37" s="584">
        <v>173.25</v>
      </c>
      <c r="Z37" s="584">
        <v>0.245</v>
      </c>
      <c r="AA37" s="584">
        <v>0.245</v>
      </c>
      <c r="AB37" s="584">
        <v>588</v>
      </c>
      <c r="AC37" s="584">
        <v>15</v>
      </c>
      <c r="AD37" s="584">
        <v>0</v>
      </c>
      <c r="AE37" s="584">
        <v>0</v>
      </c>
      <c r="AF37" s="584">
        <v>0</v>
      </c>
      <c r="AG37" s="584">
        <v>0</v>
      </c>
      <c r="AH37" s="584">
        <v>0</v>
      </c>
      <c r="AI37" s="584">
        <v>0</v>
      </c>
      <c r="AJ37" s="584">
        <v>0</v>
      </c>
      <c r="AK37" s="584">
        <v>0</v>
      </c>
      <c r="AL37" s="584">
        <v>0</v>
      </c>
      <c r="AM37" s="584">
        <v>0</v>
      </c>
      <c r="AN37" s="584">
        <v>0</v>
      </c>
      <c r="AO37" s="584">
        <v>168.9836875</v>
      </c>
      <c r="AP37" s="584">
        <v>39.375</v>
      </c>
      <c r="AQ37" s="584">
        <v>284.18681249999997</v>
      </c>
      <c r="AR37" s="584">
        <v>82.6875</v>
      </c>
      <c r="AS37" s="584">
        <v>351.77850000000001</v>
      </c>
      <c r="AT37" s="584">
        <v>173.25</v>
      </c>
      <c r="AU37" s="584">
        <v>0.6</v>
      </c>
      <c r="AV37" s="584">
        <v>0.25</v>
      </c>
      <c r="AW37" s="584">
        <v>457.08498023715401</v>
      </c>
      <c r="AX37" s="584">
        <v>18.190023291925499</v>
      </c>
      <c r="AY37" s="584">
        <v>0</v>
      </c>
      <c r="AZ37" s="584">
        <v>0</v>
      </c>
      <c r="BA37" s="584">
        <v>0</v>
      </c>
      <c r="BB37" s="584">
        <v>0</v>
      </c>
      <c r="BC37" s="584">
        <v>0</v>
      </c>
      <c r="BD37" s="584">
        <v>0</v>
      </c>
      <c r="BE37" s="584">
        <v>0</v>
      </c>
      <c r="BF37" s="584">
        <v>0</v>
      </c>
      <c r="BG37" s="584">
        <v>0.6</v>
      </c>
      <c r="BH37" s="584">
        <v>0</v>
      </c>
      <c r="BI37" s="584">
        <v>0.3</v>
      </c>
      <c r="BJ37" s="584">
        <v>159.52883462732899</v>
      </c>
      <c r="BK37" s="584">
        <v>39.375</v>
      </c>
      <c r="BL37" s="584">
        <v>253.497497282609</v>
      </c>
      <c r="BM37" s="584">
        <v>82.6875</v>
      </c>
      <c r="BN37" s="584">
        <v>279.56911024844698</v>
      </c>
      <c r="BO37" s="584">
        <v>173.25</v>
      </c>
      <c r="BP37" s="584">
        <v>0.5</v>
      </c>
      <c r="BQ37" s="584">
        <v>0.13</v>
      </c>
      <c r="BR37" s="584">
        <v>422.88650479954799</v>
      </c>
      <c r="BS37" s="584">
        <v>26.506939582156999</v>
      </c>
      <c r="BT37" s="584">
        <v>0</v>
      </c>
      <c r="BU37" s="584">
        <v>0</v>
      </c>
      <c r="BV37" s="584">
        <v>0</v>
      </c>
      <c r="BW37" s="584">
        <v>0</v>
      </c>
      <c r="BX37" s="584">
        <v>0</v>
      </c>
      <c r="BY37" s="584">
        <v>0</v>
      </c>
      <c r="BZ37" s="584">
        <v>0</v>
      </c>
      <c r="CA37" s="584">
        <v>0.25</v>
      </c>
      <c r="CB37" s="584">
        <v>0.5</v>
      </c>
      <c r="CC37" s="584">
        <v>0.3</v>
      </c>
      <c r="CD37" s="584">
        <v>0.3</v>
      </c>
      <c r="CE37" s="584">
        <v>158.6344</v>
      </c>
      <c r="CF37" s="584">
        <v>39.375</v>
      </c>
      <c r="CG37" s="584">
        <v>254.50815</v>
      </c>
      <c r="CH37" s="584">
        <v>82.6875</v>
      </c>
      <c r="CI37" s="584">
        <v>237.20939999999999</v>
      </c>
      <c r="CJ37" s="584">
        <v>173.25</v>
      </c>
      <c r="CK37" s="584">
        <v>0.6</v>
      </c>
      <c r="CL37" s="584">
        <v>0.14499999999999999</v>
      </c>
      <c r="CM37" s="584">
        <v>419.59837309429702</v>
      </c>
      <c r="CN37" s="584">
        <v>16.497303783173301</v>
      </c>
      <c r="CO37" s="584">
        <v>0</v>
      </c>
      <c r="CP37" s="584">
        <v>0</v>
      </c>
      <c r="CQ37" s="584">
        <v>0</v>
      </c>
      <c r="CR37" s="584">
        <v>0</v>
      </c>
      <c r="CS37" s="584">
        <v>0</v>
      </c>
      <c r="CT37" s="584">
        <v>0</v>
      </c>
      <c r="CU37" s="584">
        <v>0</v>
      </c>
      <c r="CV37" s="584">
        <v>0</v>
      </c>
      <c r="CW37" s="584">
        <v>0.6</v>
      </c>
      <c r="CX37" s="584">
        <v>0</v>
      </c>
      <c r="CY37" s="584">
        <v>0.6</v>
      </c>
      <c r="CZ37" s="584">
        <v>155.04910000000001</v>
      </c>
      <c r="DA37" s="584">
        <v>39.375</v>
      </c>
      <c r="DB37" s="584">
        <v>242.46472499999999</v>
      </c>
      <c r="DC37" s="584">
        <v>82.6875</v>
      </c>
      <c r="DD37" s="584">
        <v>257.63535000000002</v>
      </c>
      <c r="DE37" s="584">
        <v>173.25</v>
      </c>
      <c r="DF37" s="584">
        <v>0.35</v>
      </c>
      <c r="DG37" s="584">
        <v>0.2</v>
      </c>
      <c r="DH37" s="584">
        <v>385.04834839073999</v>
      </c>
      <c r="DI37" s="584">
        <v>21.442329263128201</v>
      </c>
      <c r="DJ37" s="584">
        <v>300</v>
      </c>
      <c r="DK37" s="584">
        <v>0</v>
      </c>
      <c r="DL37" s="584">
        <v>0</v>
      </c>
      <c r="DM37" s="584">
        <v>0</v>
      </c>
      <c r="DN37" s="584">
        <v>0</v>
      </c>
      <c r="DO37" s="584">
        <v>0</v>
      </c>
      <c r="DP37" s="584">
        <v>0</v>
      </c>
      <c r="DQ37" s="584">
        <v>0</v>
      </c>
      <c r="DR37" s="584">
        <v>0.35</v>
      </c>
      <c r="DS37" s="584">
        <v>0</v>
      </c>
      <c r="DT37" s="584">
        <v>2.4</v>
      </c>
      <c r="DU37" s="584">
        <v>163.48525000000001</v>
      </c>
      <c r="DV37" s="584">
        <v>39.375</v>
      </c>
      <c r="DW37" s="584">
        <v>265.18150000000003</v>
      </c>
      <c r="DX37" s="584">
        <v>82.6875</v>
      </c>
      <c r="DY37" s="584">
        <v>375.82650000000001</v>
      </c>
      <c r="DZ37" s="584">
        <v>173.25</v>
      </c>
      <c r="EA37" s="1062">
        <v>0.66339999999999999</v>
      </c>
      <c r="EB37" s="1046">
        <v>0.3</v>
      </c>
      <c r="EC37" s="1093">
        <v>132.51783893985731</v>
      </c>
      <c r="ED37" s="1046">
        <v>0</v>
      </c>
      <c r="EE37" s="1046">
        <v>397.55351681957183</v>
      </c>
      <c r="EF37" s="1046">
        <v>20.875555555555554</v>
      </c>
      <c r="EG37" s="1046">
        <v>0</v>
      </c>
      <c r="EH37" s="1046">
        <v>0</v>
      </c>
      <c r="EI37" s="1046" t="s">
        <v>475</v>
      </c>
      <c r="EJ37" s="1046" t="s">
        <v>475</v>
      </c>
      <c r="EK37" s="1046">
        <v>0</v>
      </c>
      <c r="EL37" s="1046">
        <v>0</v>
      </c>
      <c r="EM37" s="1046">
        <v>0</v>
      </c>
      <c r="EN37" s="1046">
        <v>0</v>
      </c>
      <c r="EO37" s="1046">
        <v>0</v>
      </c>
      <c r="EP37" s="1094">
        <v>69.803878499999996</v>
      </c>
      <c r="EQ37" s="1094">
        <v>39.375</v>
      </c>
      <c r="ER37" s="1094">
        <v>139.60775699999999</v>
      </c>
      <c r="ES37" s="1095">
        <v>78.75</v>
      </c>
      <c r="ET37" s="1094">
        <v>279.21551399999998</v>
      </c>
      <c r="EU37" s="1094">
        <v>157.5</v>
      </c>
      <c r="EV37" s="1096">
        <v>0.55640000000000001</v>
      </c>
      <c r="EW37" s="1097">
        <v>0.15</v>
      </c>
      <c r="EX37" s="1096">
        <v>289.50050968399592</v>
      </c>
      <c r="EY37" s="1096">
        <v>1.5443934760448521</v>
      </c>
      <c r="EZ37" s="1096">
        <v>0</v>
      </c>
      <c r="FA37" s="1096">
        <v>15.677777777777777</v>
      </c>
      <c r="FB37" s="1098">
        <v>0</v>
      </c>
      <c r="FC37" s="1098">
        <v>0</v>
      </c>
      <c r="FD37" s="1098" t="s">
        <v>467</v>
      </c>
      <c r="FE37" s="1098" t="s">
        <v>481</v>
      </c>
      <c r="FF37" s="1098">
        <v>1</v>
      </c>
      <c r="FG37" s="1098">
        <v>0</v>
      </c>
      <c r="FH37" s="1098">
        <v>0</v>
      </c>
      <c r="FI37" s="1098">
        <v>0</v>
      </c>
      <c r="FJ37" s="1098">
        <v>0</v>
      </c>
      <c r="FK37" s="1096">
        <v>44.088181875000018</v>
      </c>
      <c r="FL37" s="1096">
        <v>39.375</v>
      </c>
      <c r="FM37" s="1096">
        <v>88.176363750000036</v>
      </c>
      <c r="FN37" s="1096">
        <v>78.75</v>
      </c>
      <c r="FO37" s="1096">
        <v>176.35272750000007</v>
      </c>
      <c r="FP37" s="1099">
        <v>157.5</v>
      </c>
      <c r="FQ37" s="1064">
        <v>0.57475999999999994</v>
      </c>
      <c r="FR37" s="1065">
        <v>0.15</v>
      </c>
      <c r="FS37" s="1066">
        <v>289.50050968399586</v>
      </c>
      <c r="FT37" s="1066">
        <v>3.1754272996334754</v>
      </c>
      <c r="FU37" s="1065"/>
      <c r="FV37" s="1066">
        <v>35.346421571498887</v>
      </c>
      <c r="FW37" s="1065"/>
      <c r="FX37" s="1065"/>
      <c r="FY37" s="1065" t="s">
        <v>490</v>
      </c>
      <c r="FZ37" s="1065" t="s">
        <v>490</v>
      </c>
      <c r="GA37" s="1065">
        <v>1</v>
      </c>
      <c r="GB37" s="1065"/>
      <c r="GC37" s="1065"/>
      <c r="GD37" s="1065"/>
      <c r="GE37" s="1065"/>
      <c r="GF37" s="1066">
        <v>45.201367546040345</v>
      </c>
      <c r="GG37" s="1066">
        <v>39.375</v>
      </c>
      <c r="GH37" s="1066">
        <v>90.40273509208069</v>
      </c>
      <c r="GI37" s="1066">
        <v>78.75</v>
      </c>
      <c r="GJ37" s="1066">
        <v>180.80547018416138</v>
      </c>
      <c r="GK37" s="1066">
        <v>157.5</v>
      </c>
      <c r="GL37" s="584">
        <v>0.56459999999999999</v>
      </c>
      <c r="GM37" s="584">
        <v>0.11</v>
      </c>
      <c r="GN37" s="584"/>
      <c r="GO37" s="584"/>
      <c r="GP37" s="584"/>
      <c r="GQ37" s="584">
        <v>28.253333333333298</v>
      </c>
      <c r="GR37" s="584"/>
      <c r="GS37" s="584">
        <v>56.065239551478101</v>
      </c>
      <c r="GT37" s="584" t="s">
        <v>473</v>
      </c>
      <c r="GU37" s="584" t="s">
        <v>459</v>
      </c>
      <c r="GV37" s="584">
        <v>1</v>
      </c>
      <c r="GW37" s="584"/>
      <c r="GX37" s="584"/>
      <c r="GY37" s="584"/>
      <c r="GZ37" s="584"/>
      <c r="HA37" s="584">
        <v>18.305608500000002</v>
      </c>
      <c r="HB37" s="584">
        <v>39.375</v>
      </c>
      <c r="HC37" s="584">
        <v>36.611217000000003</v>
      </c>
      <c r="HD37" s="584">
        <v>78.75</v>
      </c>
      <c r="HE37" s="584">
        <v>73.222434000000007</v>
      </c>
      <c r="HF37" s="584">
        <v>157.5</v>
      </c>
      <c r="HG37" s="1100">
        <v>0.75</v>
      </c>
      <c r="HH37" s="1100">
        <v>0.11</v>
      </c>
      <c r="HI37" s="1101">
        <v>0</v>
      </c>
      <c r="HJ37" s="1101">
        <v>0</v>
      </c>
      <c r="HK37" s="1101">
        <v>0</v>
      </c>
      <c r="HL37" s="1101">
        <v>0</v>
      </c>
      <c r="HM37" s="1101">
        <v>42.400000000000006</v>
      </c>
      <c r="HN37" s="1101">
        <v>54.999999999999993</v>
      </c>
      <c r="HO37" s="1101">
        <v>0</v>
      </c>
      <c r="HP37" s="1101">
        <v>0</v>
      </c>
      <c r="HQ37" s="1101">
        <v>1</v>
      </c>
      <c r="HR37" s="1101">
        <v>0.56000000000000005</v>
      </c>
      <c r="HS37" s="1101">
        <v>0.64</v>
      </c>
      <c r="HT37" s="1101">
        <v>0.28000000000000003</v>
      </c>
      <c r="HU37" s="1101">
        <v>0.3</v>
      </c>
      <c r="HV37" s="1101">
        <v>19.7493075</v>
      </c>
      <c r="HW37" s="1101">
        <v>39.375</v>
      </c>
      <c r="HX37" s="1101">
        <v>39.498615000000001</v>
      </c>
      <c r="HY37" s="1101">
        <v>78.75</v>
      </c>
      <c r="HZ37" s="1101">
        <v>78.997230000000002</v>
      </c>
      <c r="IA37" s="1101">
        <v>157.5</v>
      </c>
      <c r="IB37" s="1102"/>
      <c r="IC37" s="1092"/>
      <c r="ID37" s="1050"/>
      <c r="IE37" s="1050"/>
      <c r="IF37" s="1103"/>
      <c r="IG37" s="1103"/>
      <c r="IH37" s="1103"/>
      <c r="II37" s="1103"/>
      <c r="IJ37" s="1103"/>
      <c r="IK37" s="1103"/>
      <c r="IL37" s="1103"/>
      <c r="IM37" s="1050"/>
      <c r="IN37" s="1050"/>
      <c r="IO37" s="1050"/>
      <c r="IP37" s="1050"/>
      <c r="IQ37" s="1103"/>
      <c r="IR37" s="1103"/>
      <c r="IS37" s="1103"/>
      <c r="IT37" s="1103"/>
      <c r="IU37" s="1103"/>
      <c r="IV37" s="1103"/>
      <c r="JR37" s="1092"/>
      <c r="JS37" s="1092"/>
      <c r="JU37" s="1050"/>
      <c r="JV37" s="1103"/>
      <c r="JW37" s="1103"/>
      <c r="JX37" s="1103"/>
      <c r="JY37" s="1103"/>
      <c r="JZ37" s="1103"/>
      <c r="KA37" s="1103"/>
      <c r="KB37" s="1103"/>
      <c r="KC37" s="1050"/>
      <c r="KD37" s="1050"/>
      <c r="KE37" s="1050"/>
      <c r="KF37" s="1050"/>
      <c r="KG37" s="1103"/>
      <c r="KH37" s="1103"/>
      <c r="KI37" s="1103"/>
      <c r="KJ37" s="1103"/>
      <c r="KK37" s="1103"/>
      <c r="KL37" s="1103"/>
      <c r="KM37" s="1103"/>
      <c r="KN37" s="1103"/>
    </row>
    <row r="38" spans="2:300">
      <c r="B38" s="1048" t="str">
        <f t="shared" si="2"/>
        <v>O510</v>
      </c>
      <c r="C38" s="1092">
        <v>5</v>
      </c>
      <c r="D38" s="1092">
        <v>10</v>
      </c>
      <c r="E38" s="584">
        <v>0.36</v>
      </c>
      <c r="F38" s="584">
        <v>0.36</v>
      </c>
      <c r="G38" s="584">
        <v>864</v>
      </c>
      <c r="H38" s="584">
        <v>19.079999999999998</v>
      </c>
      <c r="I38" s="584">
        <v>0</v>
      </c>
      <c r="J38" s="584">
        <v>0</v>
      </c>
      <c r="K38" s="584">
        <v>0</v>
      </c>
      <c r="L38" s="584">
        <v>0</v>
      </c>
      <c r="M38" s="584">
        <v>0</v>
      </c>
      <c r="N38" s="584">
        <v>0</v>
      </c>
      <c r="O38" s="584">
        <v>0</v>
      </c>
      <c r="P38" s="584">
        <v>0</v>
      </c>
      <c r="Q38" s="584">
        <v>0</v>
      </c>
      <c r="R38" s="584">
        <v>0</v>
      </c>
      <c r="S38" s="584">
        <v>0</v>
      </c>
      <c r="T38" s="584">
        <v>224.11743749999999</v>
      </c>
      <c r="U38" s="584">
        <v>43.75</v>
      </c>
      <c r="V38" s="584">
        <v>396.70743750000003</v>
      </c>
      <c r="W38" s="584">
        <v>91.875</v>
      </c>
      <c r="X38" s="584">
        <v>547.99099999999999</v>
      </c>
      <c r="Y38" s="584">
        <v>192.5</v>
      </c>
      <c r="Z38" s="584">
        <v>0.28000000000000003</v>
      </c>
      <c r="AA38" s="584">
        <v>0.28000000000000003</v>
      </c>
      <c r="AB38" s="584">
        <v>672</v>
      </c>
      <c r="AC38" s="584">
        <v>15</v>
      </c>
      <c r="AD38" s="584">
        <v>0</v>
      </c>
      <c r="AE38" s="584">
        <v>0</v>
      </c>
      <c r="AF38" s="584">
        <v>0</v>
      </c>
      <c r="AG38" s="584">
        <v>0</v>
      </c>
      <c r="AH38" s="584">
        <v>0</v>
      </c>
      <c r="AI38" s="584">
        <v>0</v>
      </c>
      <c r="AJ38" s="584">
        <v>0</v>
      </c>
      <c r="AK38" s="584">
        <v>0</v>
      </c>
      <c r="AL38" s="584">
        <v>0</v>
      </c>
      <c r="AM38" s="584">
        <v>0</v>
      </c>
      <c r="AN38" s="584">
        <v>0</v>
      </c>
      <c r="AO38" s="584">
        <v>196.03743750000001</v>
      </c>
      <c r="AP38" s="584">
        <v>43.75</v>
      </c>
      <c r="AQ38" s="584">
        <v>340.00743749999998</v>
      </c>
      <c r="AR38" s="584">
        <v>91.875</v>
      </c>
      <c r="AS38" s="584">
        <v>437.99099999999999</v>
      </c>
      <c r="AT38" s="584">
        <v>192.5</v>
      </c>
      <c r="AU38" s="584">
        <v>0.6</v>
      </c>
      <c r="AV38" s="584">
        <v>0.25</v>
      </c>
      <c r="AW38" s="584">
        <v>487.46347402597399</v>
      </c>
      <c r="AX38" s="584">
        <v>20.277191558441601</v>
      </c>
      <c r="AY38" s="584">
        <v>0</v>
      </c>
      <c r="AZ38" s="584">
        <v>0</v>
      </c>
      <c r="BA38" s="584">
        <v>0</v>
      </c>
      <c r="BB38" s="584">
        <v>0</v>
      </c>
      <c r="BC38" s="584">
        <v>0</v>
      </c>
      <c r="BD38" s="584">
        <v>0</v>
      </c>
      <c r="BE38" s="584">
        <v>0</v>
      </c>
      <c r="BF38" s="584">
        <v>0</v>
      </c>
      <c r="BG38" s="584">
        <v>0.6</v>
      </c>
      <c r="BH38" s="584">
        <v>0</v>
      </c>
      <c r="BI38" s="584">
        <v>0.45</v>
      </c>
      <c r="BJ38" s="584">
        <v>176.371369222689</v>
      </c>
      <c r="BK38" s="584">
        <v>43.75</v>
      </c>
      <c r="BL38" s="584">
        <v>286.30364338235302</v>
      </c>
      <c r="BM38" s="584">
        <v>91.875</v>
      </c>
      <c r="BN38" s="584">
        <v>325.42437605041999</v>
      </c>
      <c r="BO38" s="584">
        <v>192.5</v>
      </c>
      <c r="BP38" s="584">
        <v>0</v>
      </c>
      <c r="BQ38" s="584">
        <v>0</v>
      </c>
      <c r="BR38" s="584">
        <v>0</v>
      </c>
      <c r="BS38" s="584">
        <v>0</v>
      </c>
      <c r="BT38" s="584">
        <v>0</v>
      </c>
      <c r="BU38" s="584">
        <v>0</v>
      </c>
      <c r="BV38" s="584">
        <v>0</v>
      </c>
      <c r="BW38" s="584">
        <v>0</v>
      </c>
      <c r="BX38" s="584">
        <v>0</v>
      </c>
      <c r="BY38" s="584">
        <v>0</v>
      </c>
      <c r="BZ38" s="584">
        <v>0</v>
      </c>
      <c r="CA38" s="584">
        <v>0</v>
      </c>
      <c r="CB38" s="584">
        <v>0</v>
      </c>
      <c r="CC38" s="584">
        <v>0</v>
      </c>
      <c r="CD38" s="584">
        <v>0</v>
      </c>
      <c r="CE38" s="584">
        <v>0</v>
      </c>
      <c r="CF38" s="584">
        <v>0</v>
      </c>
      <c r="CG38" s="584">
        <v>0</v>
      </c>
      <c r="CH38" s="584">
        <v>0</v>
      </c>
      <c r="CI38" s="584">
        <v>0</v>
      </c>
      <c r="CJ38" s="584">
        <v>0</v>
      </c>
      <c r="CK38" s="584">
        <v>0.7</v>
      </c>
      <c r="CL38" s="584">
        <v>0.14499999999999999</v>
      </c>
      <c r="CM38" s="584">
        <v>433.85709511077198</v>
      </c>
      <c r="CN38" s="584">
        <v>16.488655462184902</v>
      </c>
      <c r="CO38" s="584">
        <v>0</v>
      </c>
      <c r="CP38" s="584">
        <v>0</v>
      </c>
      <c r="CQ38" s="584">
        <v>0</v>
      </c>
      <c r="CR38" s="584">
        <v>0</v>
      </c>
      <c r="CS38" s="584">
        <v>0</v>
      </c>
      <c r="CT38" s="584">
        <v>0</v>
      </c>
      <c r="CU38" s="584">
        <v>0</v>
      </c>
      <c r="CV38" s="584">
        <v>0</v>
      </c>
      <c r="CW38" s="584">
        <v>0.7</v>
      </c>
      <c r="CX38" s="584">
        <v>0</v>
      </c>
      <c r="CY38" s="584">
        <v>0.6</v>
      </c>
      <c r="CZ38" s="584">
        <v>170.43266249999999</v>
      </c>
      <c r="DA38" s="584">
        <v>43.75</v>
      </c>
      <c r="DB38" s="584">
        <v>272.50484999999998</v>
      </c>
      <c r="DC38" s="584">
        <v>91.875</v>
      </c>
      <c r="DD38" s="584">
        <v>292.64235000000002</v>
      </c>
      <c r="DE38" s="584">
        <v>192.5</v>
      </c>
      <c r="DF38" s="584">
        <v>0.35</v>
      </c>
      <c r="DG38" s="584">
        <v>0.2</v>
      </c>
      <c r="DH38" s="584">
        <v>395.81837280366699</v>
      </c>
      <c r="DI38" s="584">
        <v>20.3680036287242</v>
      </c>
      <c r="DJ38" s="584">
        <v>300</v>
      </c>
      <c r="DK38" s="584">
        <v>0</v>
      </c>
      <c r="DL38" s="584">
        <v>0</v>
      </c>
      <c r="DM38" s="584">
        <v>0</v>
      </c>
      <c r="DN38" s="584">
        <v>0</v>
      </c>
      <c r="DO38" s="584">
        <v>0</v>
      </c>
      <c r="DP38" s="584">
        <v>0</v>
      </c>
      <c r="DQ38" s="584">
        <v>0</v>
      </c>
      <c r="DR38" s="584">
        <v>0.35</v>
      </c>
      <c r="DS38" s="584">
        <v>0</v>
      </c>
      <c r="DT38" s="584">
        <v>2.4</v>
      </c>
      <c r="DU38" s="584">
        <v>181.60650000000001</v>
      </c>
      <c r="DV38" s="584">
        <v>43.75</v>
      </c>
      <c r="DW38" s="584">
        <v>285.80275</v>
      </c>
      <c r="DX38" s="584">
        <v>91.875</v>
      </c>
      <c r="DY38" s="584">
        <v>416.62650000000002</v>
      </c>
      <c r="DZ38" s="584">
        <v>192.5</v>
      </c>
      <c r="EA38" s="1062">
        <v>0.71720000000000006</v>
      </c>
      <c r="EB38" s="1046">
        <v>0.3</v>
      </c>
      <c r="EC38" s="1093">
        <v>132.51783893985731</v>
      </c>
      <c r="ED38" s="1046">
        <v>0</v>
      </c>
      <c r="EE38" s="1046">
        <v>397.55351681957183</v>
      </c>
      <c r="EF38" s="1046">
        <v>23.77</v>
      </c>
      <c r="EG38" s="1046">
        <v>0</v>
      </c>
      <c r="EH38" s="1046">
        <v>0</v>
      </c>
      <c r="EI38" s="1046" t="s">
        <v>475</v>
      </c>
      <c r="EJ38" s="1046" t="s">
        <v>463</v>
      </c>
      <c r="EK38" s="1046">
        <v>0</v>
      </c>
      <c r="EL38" s="1046">
        <v>0</v>
      </c>
      <c r="EM38" s="1046">
        <v>0</v>
      </c>
      <c r="EN38" s="1046">
        <v>0</v>
      </c>
      <c r="EO38" s="1046">
        <v>0</v>
      </c>
      <c r="EP38" s="1094">
        <v>77.914796249999995</v>
      </c>
      <c r="EQ38" s="1094">
        <v>43.75</v>
      </c>
      <c r="ER38" s="1094">
        <v>155.82959249999999</v>
      </c>
      <c r="ES38" s="1095">
        <v>87.5</v>
      </c>
      <c r="ET38" s="1094">
        <v>311.65918499999998</v>
      </c>
      <c r="EU38" s="1094">
        <v>175</v>
      </c>
      <c r="EV38" s="1096">
        <v>0.60460000000000003</v>
      </c>
      <c r="EW38" s="1097">
        <v>0.15</v>
      </c>
      <c r="EX38" s="1096">
        <v>289.50050968399592</v>
      </c>
      <c r="EY38" s="1096">
        <v>1.5443934760448521</v>
      </c>
      <c r="EZ38" s="1096">
        <v>0</v>
      </c>
      <c r="FA38" s="1096">
        <v>16.8</v>
      </c>
      <c r="FB38" s="1098">
        <v>0</v>
      </c>
      <c r="FC38" s="1098">
        <v>0</v>
      </c>
      <c r="FD38" s="1098" t="s">
        <v>459</v>
      </c>
      <c r="FE38" s="1098" t="s">
        <v>468</v>
      </c>
      <c r="FF38" s="1098">
        <v>1</v>
      </c>
      <c r="FG38" s="1098">
        <v>0</v>
      </c>
      <c r="FH38" s="1098">
        <v>0</v>
      </c>
      <c r="FI38" s="1098">
        <v>0</v>
      </c>
      <c r="FJ38" s="1098">
        <v>0</v>
      </c>
      <c r="FK38" s="1096">
        <v>49.124481250000009</v>
      </c>
      <c r="FL38" s="1096">
        <v>43.75</v>
      </c>
      <c r="FM38" s="1096">
        <v>98.248962500000019</v>
      </c>
      <c r="FN38" s="1096">
        <v>87.5</v>
      </c>
      <c r="FO38" s="1096">
        <v>196.49792500000004</v>
      </c>
      <c r="FP38" s="1099">
        <v>175</v>
      </c>
      <c r="FQ38" s="1064">
        <v>0.64393371008606481</v>
      </c>
      <c r="FR38" s="1065">
        <v>0.15</v>
      </c>
      <c r="FS38" s="1066">
        <v>289.50050968399586</v>
      </c>
      <c r="FT38" s="1066">
        <v>3.1754272996334754</v>
      </c>
      <c r="FU38" s="1065"/>
      <c r="FV38" s="1066">
        <v>39.900400438168191</v>
      </c>
      <c r="FW38" s="1065"/>
      <c r="FX38" s="1065"/>
      <c r="FY38" s="1065" t="s">
        <v>481</v>
      </c>
      <c r="FZ38" s="1065" t="s">
        <v>479</v>
      </c>
      <c r="GA38" s="1065">
        <v>1</v>
      </c>
      <c r="GB38" s="1065"/>
      <c r="GC38" s="1065"/>
      <c r="GD38" s="1065"/>
      <c r="GE38" s="1065"/>
      <c r="GF38" s="1066">
        <v>50.782173376347927</v>
      </c>
      <c r="GG38" s="1066">
        <v>43.75</v>
      </c>
      <c r="GH38" s="1066">
        <v>101.56434675269585</v>
      </c>
      <c r="GI38" s="1066">
        <v>87.5</v>
      </c>
      <c r="GJ38" s="1066">
        <v>203.12869350539171</v>
      </c>
      <c r="GK38" s="1066">
        <v>175</v>
      </c>
      <c r="GL38" s="584">
        <v>0.6391</v>
      </c>
      <c r="GM38" s="584">
        <v>0.11</v>
      </c>
      <c r="GN38" s="584"/>
      <c r="GO38" s="584"/>
      <c r="GP38" s="584"/>
      <c r="GQ38" s="584">
        <v>33.78</v>
      </c>
      <c r="GR38" s="584"/>
      <c r="GS38" s="584">
        <v>56.065239551478101</v>
      </c>
      <c r="GT38" s="584" t="s">
        <v>473</v>
      </c>
      <c r="GU38" s="584" t="s">
        <v>436</v>
      </c>
      <c r="GV38" s="584">
        <v>1</v>
      </c>
      <c r="GW38" s="584"/>
      <c r="GX38" s="584"/>
      <c r="GY38" s="584"/>
      <c r="GZ38" s="584"/>
      <c r="HA38" s="584">
        <v>21.017272500000001</v>
      </c>
      <c r="HB38" s="584">
        <v>43.75</v>
      </c>
      <c r="HC38" s="584">
        <v>42.034545000000001</v>
      </c>
      <c r="HD38" s="584">
        <v>87.5</v>
      </c>
      <c r="HE38" s="584">
        <v>84.069090000000003</v>
      </c>
      <c r="HF38" s="584">
        <v>175</v>
      </c>
      <c r="HG38" s="1100">
        <v>0.87</v>
      </c>
      <c r="HH38" s="1100">
        <v>0.11</v>
      </c>
      <c r="HI38" s="1101">
        <v>0</v>
      </c>
      <c r="HJ38" s="1101">
        <v>0</v>
      </c>
      <c r="HK38" s="1101">
        <v>0</v>
      </c>
      <c r="HL38" s="1101">
        <v>0</v>
      </c>
      <c r="HM38" s="1101">
        <v>45.864000000000004</v>
      </c>
      <c r="HN38" s="1101">
        <v>54.999999999999993</v>
      </c>
      <c r="HO38" s="1101">
        <v>0</v>
      </c>
      <c r="HP38" s="1101">
        <v>0</v>
      </c>
      <c r="HQ38" s="1101">
        <v>1</v>
      </c>
      <c r="HR38" s="1101">
        <v>0.56000000000000005</v>
      </c>
      <c r="HS38" s="1101">
        <v>0.76</v>
      </c>
      <c r="HT38" s="1101">
        <v>0.3</v>
      </c>
      <c r="HU38" s="1101">
        <v>0.28000000000000003</v>
      </c>
      <c r="HV38" s="1101">
        <v>22.368448000000001</v>
      </c>
      <c r="HW38" s="1101">
        <v>43.75</v>
      </c>
      <c r="HX38" s="1101">
        <v>44.736896000000002</v>
      </c>
      <c r="HY38" s="1101">
        <v>87.5</v>
      </c>
      <c r="HZ38" s="1101">
        <v>89.473792000000003</v>
      </c>
      <c r="IA38" s="1101">
        <v>175</v>
      </c>
      <c r="IB38" s="1102"/>
      <c r="IC38" s="1092"/>
      <c r="ID38" s="1050"/>
      <c r="IE38" s="1050"/>
      <c r="IF38" s="1103"/>
      <c r="IG38" s="1103"/>
      <c r="IH38" s="1103"/>
      <c r="II38" s="1103"/>
      <c r="IJ38" s="1103"/>
      <c r="IK38" s="1103"/>
      <c r="IL38" s="1103"/>
      <c r="IM38" s="1050"/>
      <c r="IN38" s="1050"/>
      <c r="IO38" s="1050"/>
      <c r="IP38" s="1050"/>
      <c r="IQ38" s="1103"/>
      <c r="IR38" s="1103"/>
      <c r="IS38" s="1103"/>
      <c r="IT38" s="1103"/>
      <c r="IU38" s="1103"/>
      <c r="IV38" s="1103"/>
      <c r="JR38" s="1092"/>
      <c r="JS38" s="1092"/>
      <c r="JU38" s="1050"/>
      <c r="JV38" s="1103"/>
      <c r="JW38" s="1103"/>
      <c r="JX38" s="1103"/>
      <c r="JY38" s="1103"/>
      <c r="JZ38" s="1103"/>
      <c r="KA38" s="1103"/>
      <c r="KB38" s="1103"/>
      <c r="KC38" s="1050"/>
      <c r="KD38" s="1050"/>
      <c r="KE38" s="1050"/>
      <c r="KF38" s="1050"/>
      <c r="KG38" s="1103"/>
      <c r="KH38" s="1103"/>
      <c r="KI38" s="1103"/>
      <c r="KJ38" s="1103"/>
      <c r="KK38" s="1103"/>
      <c r="KL38" s="1103"/>
      <c r="KM38" s="1103"/>
      <c r="KN38" s="1103"/>
    </row>
    <row r="39" spans="2:300">
      <c r="B39" s="1048" t="str">
        <f t="shared" si="2"/>
        <v>O511</v>
      </c>
      <c r="C39" s="1092">
        <v>5</v>
      </c>
      <c r="D39" s="1092">
        <v>11</v>
      </c>
      <c r="E39" s="584">
        <v>0.40500000000000003</v>
      </c>
      <c r="F39" s="584">
        <v>0.40500000000000003</v>
      </c>
      <c r="G39" s="584">
        <v>972</v>
      </c>
      <c r="H39" s="584">
        <v>21.06</v>
      </c>
      <c r="I39" s="584">
        <v>0</v>
      </c>
      <c r="J39" s="584">
        <v>0</v>
      </c>
      <c r="K39" s="584">
        <v>0</v>
      </c>
      <c r="L39" s="584">
        <v>0</v>
      </c>
      <c r="M39" s="584">
        <v>0</v>
      </c>
      <c r="N39" s="584">
        <v>0</v>
      </c>
      <c r="O39" s="584">
        <v>0</v>
      </c>
      <c r="P39" s="584">
        <v>0</v>
      </c>
      <c r="Q39" s="584">
        <v>0</v>
      </c>
      <c r="R39" s="584">
        <v>0</v>
      </c>
      <c r="S39" s="584">
        <v>0</v>
      </c>
      <c r="T39" s="584">
        <v>260.0811875</v>
      </c>
      <c r="U39" s="584">
        <v>48.125</v>
      </c>
      <c r="V39" s="584">
        <v>470.95556249999998</v>
      </c>
      <c r="W39" s="584">
        <v>101.0625</v>
      </c>
      <c r="X39" s="584">
        <v>669.95349999999996</v>
      </c>
      <c r="Y39" s="584">
        <v>211.75</v>
      </c>
      <c r="Z39" s="584">
        <v>0.315</v>
      </c>
      <c r="AA39" s="584">
        <v>0.315</v>
      </c>
      <c r="AB39" s="584">
        <v>756</v>
      </c>
      <c r="AC39" s="584">
        <v>18</v>
      </c>
      <c r="AD39" s="584">
        <v>0</v>
      </c>
      <c r="AE39" s="584">
        <v>0</v>
      </c>
      <c r="AF39" s="584">
        <v>0</v>
      </c>
      <c r="AG39" s="584">
        <v>0</v>
      </c>
      <c r="AH39" s="584">
        <v>0</v>
      </c>
      <c r="AI39" s="584">
        <v>0</v>
      </c>
      <c r="AJ39" s="584">
        <v>0</v>
      </c>
      <c r="AK39" s="584">
        <v>0</v>
      </c>
      <c r="AL39" s="584">
        <v>0</v>
      </c>
      <c r="AM39" s="584">
        <v>0</v>
      </c>
      <c r="AN39" s="584">
        <v>0</v>
      </c>
      <c r="AO39" s="584">
        <v>225.4536875</v>
      </c>
      <c r="AP39" s="584">
        <v>48.125</v>
      </c>
      <c r="AQ39" s="584">
        <v>400.78931249999999</v>
      </c>
      <c r="AR39" s="584">
        <v>101.0625</v>
      </c>
      <c r="AS39" s="584">
        <v>533.82849999999996</v>
      </c>
      <c r="AT39" s="584">
        <v>211.75</v>
      </c>
      <c r="AU39" s="584">
        <v>0.82499999999999996</v>
      </c>
      <c r="AV39" s="584">
        <v>0.25</v>
      </c>
      <c r="AW39" s="584">
        <v>496.67128072819997</v>
      </c>
      <c r="AX39" s="584">
        <v>18.668341981678999</v>
      </c>
      <c r="AY39" s="584">
        <v>0</v>
      </c>
      <c r="AZ39" s="584">
        <v>0</v>
      </c>
      <c r="BA39" s="584">
        <v>0</v>
      </c>
      <c r="BB39" s="584">
        <v>0</v>
      </c>
      <c r="BC39" s="584">
        <v>0</v>
      </c>
      <c r="BD39" s="584">
        <v>0</v>
      </c>
      <c r="BE39" s="584">
        <v>0</v>
      </c>
      <c r="BF39" s="584">
        <v>0</v>
      </c>
      <c r="BG39" s="584">
        <v>0.82499999999999996</v>
      </c>
      <c r="BH39" s="584">
        <v>0</v>
      </c>
      <c r="BI39" s="584">
        <v>0.3</v>
      </c>
      <c r="BJ39" s="584">
        <v>194.21177455357099</v>
      </c>
      <c r="BK39" s="584">
        <v>48.125</v>
      </c>
      <c r="BL39" s="584">
        <v>320.95839843750002</v>
      </c>
      <c r="BM39" s="584">
        <v>101.0625</v>
      </c>
      <c r="BN39" s="584">
        <v>363.05457589285697</v>
      </c>
      <c r="BO39" s="584">
        <v>211.75</v>
      </c>
      <c r="BP39" s="584">
        <v>0</v>
      </c>
      <c r="BQ39" s="584">
        <v>0</v>
      </c>
      <c r="BR39" s="584">
        <v>0</v>
      </c>
      <c r="BS39" s="584">
        <v>0</v>
      </c>
      <c r="BT39" s="584">
        <v>0</v>
      </c>
      <c r="BU39" s="584">
        <v>0</v>
      </c>
      <c r="BV39" s="584">
        <v>0</v>
      </c>
      <c r="BW39" s="584">
        <v>0</v>
      </c>
      <c r="BX39" s="584">
        <v>0</v>
      </c>
      <c r="BY39" s="584">
        <v>0</v>
      </c>
      <c r="BZ39" s="584">
        <v>0</v>
      </c>
      <c r="CA39" s="584">
        <v>0</v>
      </c>
      <c r="CB39" s="584">
        <v>0</v>
      </c>
      <c r="CC39" s="584">
        <v>0</v>
      </c>
      <c r="CD39" s="584">
        <v>0</v>
      </c>
      <c r="CE39" s="584">
        <v>0</v>
      </c>
      <c r="CF39" s="584">
        <v>0</v>
      </c>
      <c r="CG39" s="584">
        <v>0</v>
      </c>
      <c r="CH39" s="584">
        <v>0</v>
      </c>
      <c r="CI39" s="584">
        <v>0</v>
      </c>
      <c r="CJ39" s="584">
        <v>0</v>
      </c>
      <c r="CK39" s="584">
        <v>0.8</v>
      </c>
      <c r="CL39" s="584">
        <v>0.14499999999999999</v>
      </c>
      <c r="CM39" s="584">
        <v>449.89664019016698</v>
      </c>
      <c r="CN39" s="584">
        <v>16.403194573283901</v>
      </c>
      <c r="CO39" s="584">
        <v>0</v>
      </c>
      <c r="CP39" s="584">
        <v>0</v>
      </c>
      <c r="CQ39" s="584">
        <v>0</v>
      </c>
      <c r="CR39" s="584">
        <v>0</v>
      </c>
      <c r="CS39" s="584">
        <v>0</v>
      </c>
      <c r="CT39" s="584">
        <v>0</v>
      </c>
      <c r="CU39" s="584">
        <v>0</v>
      </c>
      <c r="CV39" s="584">
        <v>0</v>
      </c>
      <c r="CW39" s="584">
        <v>0.8</v>
      </c>
      <c r="CX39" s="584">
        <v>0</v>
      </c>
      <c r="CY39" s="584">
        <v>0.6</v>
      </c>
      <c r="CZ39" s="584">
        <v>187.3631</v>
      </c>
      <c r="DA39" s="584">
        <v>48.125</v>
      </c>
      <c r="DB39" s="584">
        <v>304.93560000000002</v>
      </c>
      <c r="DC39" s="584">
        <v>101.0625</v>
      </c>
      <c r="DD39" s="584">
        <v>329.14935000000003</v>
      </c>
      <c r="DE39" s="584">
        <v>211.75</v>
      </c>
      <c r="DF39" s="584">
        <v>0.375</v>
      </c>
      <c r="DG39" s="584">
        <v>0.2</v>
      </c>
      <c r="DH39" s="584">
        <v>430.035076530612</v>
      </c>
      <c r="DI39" s="584">
        <v>20.952474547773701</v>
      </c>
      <c r="DJ39" s="584">
        <v>300</v>
      </c>
      <c r="DK39" s="584">
        <v>0</v>
      </c>
      <c r="DL39" s="584">
        <v>0</v>
      </c>
      <c r="DM39" s="584">
        <v>0</v>
      </c>
      <c r="DN39" s="584">
        <v>0</v>
      </c>
      <c r="DO39" s="584">
        <v>0</v>
      </c>
      <c r="DP39" s="584">
        <v>0</v>
      </c>
      <c r="DQ39" s="584">
        <v>0</v>
      </c>
      <c r="DR39" s="584">
        <v>0.375</v>
      </c>
      <c r="DS39" s="584">
        <v>0</v>
      </c>
      <c r="DT39" s="584">
        <v>2.4</v>
      </c>
      <c r="DU39" s="584">
        <v>202.60624999999999</v>
      </c>
      <c r="DV39" s="584">
        <v>48.125</v>
      </c>
      <c r="DW39" s="584">
        <v>314.55250000000001</v>
      </c>
      <c r="DX39" s="584">
        <v>101.0625</v>
      </c>
      <c r="DY39" s="584">
        <v>473.86574999999999</v>
      </c>
      <c r="DZ39" s="584">
        <v>211.75</v>
      </c>
      <c r="EA39" s="1062">
        <v>0.81720000000000004</v>
      </c>
      <c r="EB39" s="1046">
        <v>0.35</v>
      </c>
      <c r="EC39" s="1093">
        <v>132.51783893985731</v>
      </c>
      <c r="ED39" s="1046">
        <v>0</v>
      </c>
      <c r="EE39" s="1046">
        <v>458.71559633027522</v>
      </c>
      <c r="EF39" s="1046">
        <v>26.405454545454546</v>
      </c>
      <c r="EG39" s="1046">
        <v>0</v>
      </c>
      <c r="EH39" s="1046">
        <v>0</v>
      </c>
      <c r="EI39" s="1046" t="s">
        <v>465</v>
      </c>
      <c r="EJ39" s="1046" t="s">
        <v>445</v>
      </c>
      <c r="EK39" s="1046">
        <v>0</v>
      </c>
      <c r="EL39" s="1046">
        <v>0</v>
      </c>
      <c r="EM39" s="1046">
        <v>0</v>
      </c>
      <c r="EN39" s="1046">
        <v>0</v>
      </c>
      <c r="EO39" s="1046">
        <v>0</v>
      </c>
      <c r="EP39" s="1094">
        <v>94.311765750000006</v>
      </c>
      <c r="EQ39" s="1094">
        <v>48.125</v>
      </c>
      <c r="ER39" s="1094">
        <v>188.62353150000001</v>
      </c>
      <c r="ES39" s="1095">
        <v>96.25</v>
      </c>
      <c r="ET39" s="1094">
        <v>377.24706300000003</v>
      </c>
      <c r="EU39" s="1094">
        <v>192.5</v>
      </c>
      <c r="EV39" s="1096">
        <v>0.60799999999999998</v>
      </c>
      <c r="EW39" s="1097">
        <v>0.15</v>
      </c>
      <c r="EX39" s="1096">
        <v>289.50050968399592</v>
      </c>
      <c r="EY39" s="1096">
        <v>1.5443934760448521</v>
      </c>
      <c r="EZ39" s="1096">
        <v>0</v>
      </c>
      <c r="FA39" s="1096">
        <v>16.569090909090907</v>
      </c>
      <c r="FB39" s="1098">
        <v>0</v>
      </c>
      <c r="FC39" s="1098">
        <v>0</v>
      </c>
      <c r="FD39" s="1098" t="s">
        <v>458</v>
      </c>
      <c r="FE39" s="1098" t="s">
        <v>461</v>
      </c>
      <c r="FF39" s="1098">
        <v>1</v>
      </c>
      <c r="FG39" s="1098">
        <v>0</v>
      </c>
      <c r="FH39" s="1098">
        <v>0</v>
      </c>
      <c r="FI39" s="1098">
        <v>0</v>
      </c>
      <c r="FJ39" s="1098">
        <v>0</v>
      </c>
      <c r="FK39" s="1096">
        <v>54.005782624999995</v>
      </c>
      <c r="FL39" s="1096">
        <v>48.125</v>
      </c>
      <c r="FM39" s="1096">
        <v>108.01156524999999</v>
      </c>
      <c r="FN39" s="1096">
        <v>96.25</v>
      </c>
      <c r="FO39" s="1096">
        <v>216.02313049999998</v>
      </c>
      <c r="FP39" s="1099">
        <v>192.5</v>
      </c>
      <c r="FQ39" s="1064">
        <v>0.78455946703562329</v>
      </c>
      <c r="FR39" s="1065">
        <v>0.15</v>
      </c>
      <c r="FS39" s="1066">
        <v>289.50050968399586</v>
      </c>
      <c r="FT39" s="1066">
        <v>3.1754272996334754</v>
      </c>
      <c r="FU39" s="1065"/>
      <c r="FV39" s="1066">
        <v>39.90143044157201</v>
      </c>
      <c r="FW39" s="1065"/>
      <c r="FX39" s="1065"/>
      <c r="FY39" s="1065" t="s">
        <v>481</v>
      </c>
      <c r="FZ39" s="1065" t="s">
        <v>461</v>
      </c>
      <c r="GA39" s="1065">
        <v>1</v>
      </c>
      <c r="GB39" s="1065"/>
      <c r="GC39" s="1065"/>
      <c r="GD39" s="1065"/>
      <c r="GE39" s="1065"/>
      <c r="GF39" s="1066">
        <v>55.860529648566846</v>
      </c>
      <c r="GG39" s="1066">
        <v>48.125</v>
      </c>
      <c r="GH39" s="1066">
        <v>111.72105929713369</v>
      </c>
      <c r="GI39" s="1066">
        <v>96.25</v>
      </c>
      <c r="GJ39" s="1066">
        <v>223.44211859426738</v>
      </c>
      <c r="GK39" s="1066">
        <v>192.5</v>
      </c>
      <c r="GL39" s="584">
        <v>0.71299999999999997</v>
      </c>
      <c r="GM39" s="584">
        <v>0.11</v>
      </c>
      <c r="GN39" s="584"/>
      <c r="GO39" s="584"/>
      <c r="GP39" s="584"/>
      <c r="GQ39" s="584">
        <v>40.970909090909103</v>
      </c>
      <c r="GR39" s="584"/>
      <c r="GS39" s="584">
        <v>56.065239551478101</v>
      </c>
      <c r="GT39" s="584" t="s">
        <v>481</v>
      </c>
      <c r="GU39" s="584" t="s">
        <v>414</v>
      </c>
      <c r="GV39" s="584">
        <v>1</v>
      </c>
      <c r="GW39" s="584"/>
      <c r="GX39" s="584"/>
      <c r="GY39" s="584"/>
      <c r="GZ39" s="584"/>
      <c r="HA39" s="584">
        <v>24.088963499999998</v>
      </c>
      <c r="HB39" s="584">
        <v>48.125</v>
      </c>
      <c r="HC39" s="584">
        <v>48.177926999999997</v>
      </c>
      <c r="HD39" s="584">
        <v>96.25</v>
      </c>
      <c r="HE39" s="584">
        <v>96.355853999999994</v>
      </c>
      <c r="HF39" s="584">
        <v>192.5</v>
      </c>
      <c r="HG39" s="1100">
        <v>0.95</v>
      </c>
      <c r="HH39" s="1100">
        <v>0.11</v>
      </c>
      <c r="HI39" s="1101">
        <v>0</v>
      </c>
      <c r="HJ39" s="1101">
        <v>0</v>
      </c>
      <c r="HK39" s="1101">
        <v>0</v>
      </c>
      <c r="HL39" s="1101">
        <v>0</v>
      </c>
      <c r="HM39" s="1101">
        <v>52.723636363636373</v>
      </c>
      <c r="HN39" s="1101">
        <v>54.999999999999993</v>
      </c>
      <c r="HO39" s="1101">
        <v>0</v>
      </c>
      <c r="HP39" s="1101">
        <v>0</v>
      </c>
      <c r="HQ39" s="1101">
        <v>1</v>
      </c>
      <c r="HR39" s="1101">
        <v>0.6</v>
      </c>
      <c r="HS39" s="1101">
        <v>0.84</v>
      </c>
      <c r="HT39" s="1101">
        <v>0.3</v>
      </c>
      <c r="HU39" s="1101">
        <v>0.3</v>
      </c>
      <c r="HV39" s="1101">
        <v>25.530572000000003</v>
      </c>
      <c r="HW39" s="1101">
        <v>48.125</v>
      </c>
      <c r="HX39" s="1101">
        <v>51.061144000000006</v>
      </c>
      <c r="HY39" s="1101">
        <v>96.25</v>
      </c>
      <c r="HZ39" s="1101">
        <v>102.12228800000001</v>
      </c>
      <c r="IA39" s="1101">
        <v>192.5</v>
      </c>
      <c r="IB39" s="1102"/>
      <c r="IC39" s="1092"/>
      <c r="ID39" s="1050"/>
      <c r="IE39" s="1050"/>
      <c r="IF39" s="1103"/>
      <c r="IG39" s="1103"/>
      <c r="IH39" s="1103"/>
      <c r="II39" s="1103"/>
      <c r="IJ39" s="1103"/>
      <c r="IK39" s="1103"/>
      <c r="IL39" s="1103"/>
      <c r="IM39" s="1050"/>
      <c r="IN39" s="1050"/>
      <c r="IO39" s="1050"/>
      <c r="IP39" s="1050"/>
      <c r="IQ39" s="1103"/>
      <c r="IR39" s="1103"/>
      <c r="IS39" s="1103"/>
      <c r="IT39" s="1103"/>
      <c r="IU39" s="1103"/>
      <c r="IV39" s="1103"/>
      <c r="JR39" s="1092"/>
      <c r="JS39" s="1092"/>
      <c r="JU39" s="1050"/>
      <c r="JV39" s="1103"/>
      <c r="JW39" s="1103"/>
      <c r="JX39" s="1103"/>
      <c r="JY39" s="1103"/>
      <c r="JZ39" s="1103"/>
      <c r="KA39" s="1103"/>
      <c r="KB39" s="1103"/>
      <c r="KC39" s="1050"/>
      <c r="KD39" s="1050"/>
      <c r="KE39" s="1050"/>
      <c r="KF39" s="1050"/>
      <c r="KG39" s="1103"/>
      <c r="KH39" s="1103"/>
      <c r="KI39" s="1103"/>
      <c r="KJ39" s="1103"/>
      <c r="KK39" s="1103"/>
      <c r="KL39" s="1103"/>
      <c r="KM39" s="1103"/>
      <c r="KN39" s="1103"/>
    </row>
    <row r="40" spans="2:300">
      <c r="B40" s="1048" t="str">
        <f t="shared" si="2"/>
        <v>O512</v>
      </c>
      <c r="C40" s="1092">
        <v>5</v>
      </c>
      <c r="D40" s="1092">
        <v>12</v>
      </c>
      <c r="E40" s="584">
        <v>0.47</v>
      </c>
      <c r="F40" s="584">
        <v>0.47</v>
      </c>
      <c r="G40" s="584">
        <v>1128</v>
      </c>
      <c r="H40" s="584">
        <v>23.5</v>
      </c>
      <c r="I40" s="584">
        <v>0</v>
      </c>
      <c r="J40" s="584">
        <v>0</v>
      </c>
      <c r="K40" s="584">
        <v>0</v>
      </c>
      <c r="L40" s="584">
        <v>0</v>
      </c>
      <c r="M40" s="584">
        <v>0</v>
      </c>
      <c r="N40" s="584">
        <v>0</v>
      </c>
      <c r="O40" s="584">
        <v>0</v>
      </c>
      <c r="P40" s="584">
        <v>0</v>
      </c>
      <c r="Q40" s="584">
        <v>0</v>
      </c>
      <c r="R40" s="584">
        <v>0</v>
      </c>
      <c r="S40" s="584">
        <v>0</v>
      </c>
      <c r="T40" s="584">
        <v>307.45243749999997</v>
      </c>
      <c r="U40" s="584">
        <v>52.5</v>
      </c>
      <c r="V40" s="584">
        <v>568.59243749999996</v>
      </c>
      <c r="W40" s="584">
        <v>110.25</v>
      </c>
      <c r="X40" s="584">
        <v>837.29100000000005</v>
      </c>
      <c r="Y40" s="584">
        <v>231</v>
      </c>
      <c r="Z40" s="584">
        <v>0.34499999999999997</v>
      </c>
      <c r="AA40" s="584">
        <v>0.34499999999999997</v>
      </c>
      <c r="AB40" s="584">
        <v>828</v>
      </c>
      <c r="AC40" s="584">
        <v>18</v>
      </c>
      <c r="AD40" s="584">
        <v>0</v>
      </c>
      <c r="AE40" s="584">
        <v>0</v>
      </c>
      <c r="AF40" s="584">
        <v>0</v>
      </c>
      <c r="AG40" s="584">
        <v>0</v>
      </c>
      <c r="AH40" s="584">
        <v>0</v>
      </c>
      <c r="AI40" s="584">
        <v>0</v>
      </c>
      <c r="AJ40" s="584">
        <v>0</v>
      </c>
      <c r="AK40" s="584">
        <v>0</v>
      </c>
      <c r="AL40" s="584">
        <v>0</v>
      </c>
      <c r="AM40" s="584">
        <v>0</v>
      </c>
      <c r="AN40" s="584">
        <v>0</v>
      </c>
      <c r="AO40" s="584">
        <v>255.1399375</v>
      </c>
      <c r="AP40" s="584">
        <v>52.5</v>
      </c>
      <c r="AQ40" s="584">
        <v>462.27993750000002</v>
      </c>
      <c r="AR40" s="584">
        <v>110.25</v>
      </c>
      <c r="AS40" s="584">
        <v>631.04100000000005</v>
      </c>
      <c r="AT40" s="584">
        <v>231</v>
      </c>
      <c r="AU40" s="584">
        <v>0.97499999999999998</v>
      </c>
      <c r="AV40" s="584">
        <v>0.25</v>
      </c>
      <c r="AW40" s="584">
        <v>501.01940068128602</v>
      </c>
      <c r="AX40" s="584">
        <v>18.607994464551801</v>
      </c>
      <c r="AY40" s="584">
        <v>0</v>
      </c>
      <c r="AZ40" s="584">
        <v>0</v>
      </c>
      <c r="BA40" s="584">
        <v>0</v>
      </c>
      <c r="BB40" s="584">
        <v>0</v>
      </c>
      <c r="BC40" s="584">
        <v>0</v>
      </c>
      <c r="BD40" s="584">
        <v>0</v>
      </c>
      <c r="BE40" s="584">
        <v>0</v>
      </c>
      <c r="BF40" s="584">
        <v>0</v>
      </c>
      <c r="BG40" s="584">
        <v>0.97499999999999998</v>
      </c>
      <c r="BH40" s="584">
        <v>0</v>
      </c>
      <c r="BI40" s="584">
        <v>0.3</v>
      </c>
      <c r="BJ40" s="584">
        <v>209.449836943794</v>
      </c>
      <c r="BK40" s="584">
        <v>52.5</v>
      </c>
      <c r="BL40" s="584">
        <v>350.866954918033</v>
      </c>
      <c r="BM40" s="584">
        <v>110.25</v>
      </c>
      <c r="BN40" s="584">
        <v>402.14693149882902</v>
      </c>
      <c r="BO40" s="584">
        <v>231</v>
      </c>
      <c r="BP40" s="584">
        <v>0</v>
      </c>
      <c r="BQ40" s="584">
        <v>0</v>
      </c>
      <c r="BR40" s="584">
        <v>0</v>
      </c>
      <c r="BS40" s="584">
        <v>0</v>
      </c>
      <c r="BT40" s="584">
        <v>0</v>
      </c>
      <c r="BU40" s="584">
        <v>0</v>
      </c>
      <c r="BV40" s="584">
        <v>0</v>
      </c>
      <c r="BW40" s="584">
        <v>0</v>
      </c>
      <c r="BX40" s="584">
        <v>0</v>
      </c>
      <c r="BY40" s="584">
        <v>0</v>
      </c>
      <c r="BZ40" s="584">
        <v>0</v>
      </c>
      <c r="CA40" s="584">
        <v>0</v>
      </c>
      <c r="CB40" s="584">
        <v>0</v>
      </c>
      <c r="CC40" s="584">
        <v>0</v>
      </c>
      <c r="CD40" s="584">
        <v>0</v>
      </c>
      <c r="CE40" s="584">
        <v>0</v>
      </c>
      <c r="CF40" s="584">
        <v>0</v>
      </c>
      <c r="CG40" s="584">
        <v>0</v>
      </c>
      <c r="CH40" s="584">
        <v>0</v>
      </c>
      <c r="CI40" s="584">
        <v>0</v>
      </c>
      <c r="CJ40" s="584">
        <v>0</v>
      </c>
      <c r="CK40" s="584">
        <v>0.95</v>
      </c>
      <c r="CL40" s="584">
        <v>0.14499999999999999</v>
      </c>
      <c r="CM40" s="584">
        <v>470.66463966361499</v>
      </c>
      <c r="CN40" s="584">
        <v>16.796082605918699</v>
      </c>
      <c r="CO40" s="584">
        <v>0</v>
      </c>
      <c r="CP40" s="584">
        <v>0</v>
      </c>
      <c r="CQ40" s="584">
        <v>0</v>
      </c>
      <c r="CR40" s="584">
        <v>0</v>
      </c>
      <c r="CS40" s="584">
        <v>0</v>
      </c>
      <c r="CT40" s="584">
        <v>0</v>
      </c>
      <c r="CU40" s="584">
        <v>0</v>
      </c>
      <c r="CV40" s="584">
        <v>0</v>
      </c>
      <c r="CW40" s="584">
        <v>0.95</v>
      </c>
      <c r="CX40" s="584">
        <v>0</v>
      </c>
      <c r="CY40" s="584">
        <v>0.6</v>
      </c>
      <c r="CZ40" s="584">
        <v>204.73453749999999</v>
      </c>
      <c r="DA40" s="584">
        <v>52.5</v>
      </c>
      <c r="DB40" s="584">
        <v>338.36984999999999</v>
      </c>
      <c r="DC40" s="584">
        <v>110.25</v>
      </c>
      <c r="DD40" s="584">
        <v>371.53485000000001</v>
      </c>
      <c r="DE40" s="584">
        <v>231</v>
      </c>
      <c r="DF40" s="584">
        <v>0</v>
      </c>
      <c r="DG40" s="584">
        <v>0</v>
      </c>
      <c r="DH40" s="584">
        <v>0</v>
      </c>
      <c r="DI40" s="584">
        <v>0</v>
      </c>
      <c r="DJ40" s="584">
        <v>0</v>
      </c>
      <c r="DK40" s="584">
        <v>0</v>
      </c>
      <c r="DL40" s="584">
        <v>0</v>
      </c>
      <c r="DM40" s="584">
        <v>0</v>
      </c>
      <c r="DN40" s="584">
        <v>0</v>
      </c>
      <c r="DO40" s="584">
        <v>0</v>
      </c>
      <c r="DP40" s="584">
        <v>0</v>
      </c>
      <c r="DQ40" s="584">
        <v>0</v>
      </c>
      <c r="DR40" s="584">
        <v>0</v>
      </c>
      <c r="DS40" s="584">
        <v>0</v>
      </c>
      <c r="DT40" s="584">
        <v>0</v>
      </c>
      <c r="DU40" s="584">
        <v>0</v>
      </c>
      <c r="DV40" s="584">
        <v>0</v>
      </c>
      <c r="DW40" s="584">
        <v>0</v>
      </c>
      <c r="DX40" s="584">
        <v>0</v>
      </c>
      <c r="DY40" s="584">
        <v>0</v>
      </c>
      <c r="DZ40" s="584">
        <v>0</v>
      </c>
      <c r="EA40" s="1062">
        <v>0.84199999999999997</v>
      </c>
      <c r="EB40" s="1046">
        <v>0.35</v>
      </c>
      <c r="EC40" s="1093">
        <v>132.51783893985731</v>
      </c>
      <c r="ED40" s="1046">
        <v>0</v>
      </c>
      <c r="EE40" s="1046">
        <v>458.71559633027522</v>
      </c>
      <c r="EF40" s="1046">
        <v>38.463333333333338</v>
      </c>
      <c r="EG40" s="1046">
        <v>0</v>
      </c>
      <c r="EH40" s="1046">
        <v>0</v>
      </c>
      <c r="EI40" s="1046" t="s">
        <v>465</v>
      </c>
      <c r="EJ40" s="1046" t="s">
        <v>440</v>
      </c>
      <c r="EK40" s="1046">
        <v>0</v>
      </c>
      <c r="EL40" s="1046">
        <v>0</v>
      </c>
      <c r="EM40" s="1046">
        <v>0</v>
      </c>
      <c r="EN40" s="1046">
        <v>0</v>
      </c>
      <c r="EO40" s="1046">
        <v>0</v>
      </c>
      <c r="EP40" s="1094">
        <v>104.6598795</v>
      </c>
      <c r="EQ40" s="1094">
        <v>52.5</v>
      </c>
      <c r="ER40" s="1094">
        <v>209.319759</v>
      </c>
      <c r="ES40" s="1095">
        <v>105</v>
      </c>
      <c r="ET40" s="1094">
        <v>418.63951800000001</v>
      </c>
      <c r="EU40" s="1094">
        <v>210</v>
      </c>
      <c r="EV40" s="1096">
        <v>0.60799999999999998</v>
      </c>
      <c r="EW40" s="1097">
        <v>0.15</v>
      </c>
      <c r="EX40" s="1096">
        <v>289.50050968399592</v>
      </c>
      <c r="EY40" s="1096">
        <v>1.5443934760448521</v>
      </c>
      <c r="EZ40" s="1096">
        <v>0</v>
      </c>
      <c r="FA40" s="1096">
        <v>16.059999999999999</v>
      </c>
      <c r="FB40" s="1098">
        <v>0</v>
      </c>
      <c r="FC40" s="1098">
        <v>0</v>
      </c>
      <c r="FD40" s="1098" t="s">
        <v>458</v>
      </c>
      <c r="FE40" s="1098" t="s">
        <v>461</v>
      </c>
      <c r="FF40" s="1098">
        <v>1</v>
      </c>
      <c r="FG40" s="1098">
        <v>0</v>
      </c>
      <c r="FH40" s="1098">
        <v>0</v>
      </c>
      <c r="FI40" s="1098">
        <v>0</v>
      </c>
      <c r="FJ40" s="1098">
        <v>0</v>
      </c>
      <c r="FK40" s="1096">
        <v>58.840486500000004</v>
      </c>
      <c r="FL40" s="1096">
        <v>52.5</v>
      </c>
      <c r="FM40" s="1096">
        <v>117.68097300000001</v>
      </c>
      <c r="FN40" s="1096">
        <v>105</v>
      </c>
      <c r="FO40" s="1096">
        <v>235.36194600000002</v>
      </c>
      <c r="FP40" s="1099">
        <v>210</v>
      </c>
      <c r="FQ40" s="1064">
        <v>0.89382878474779204</v>
      </c>
      <c r="FR40" s="1065">
        <v>0.15</v>
      </c>
      <c r="FS40" s="1066">
        <v>289.50050968399586</v>
      </c>
      <c r="FT40" s="1066">
        <v>3.1754272996334754</v>
      </c>
      <c r="FU40" s="1065"/>
      <c r="FV40" s="1066">
        <v>45.14454768375964</v>
      </c>
      <c r="FW40" s="1065"/>
      <c r="FX40" s="1065"/>
      <c r="FY40" s="1065" t="s">
        <v>481</v>
      </c>
      <c r="FZ40" s="1065" t="s">
        <v>438</v>
      </c>
      <c r="GA40" s="1065">
        <v>1</v>
      </c>
      <c r="GB40" s="1065"/>
      <c r="GC40" s="1065"/>
      <c r="GD40" s="1065"/>
      <c r="GE40" s="1065"/>
      <c r="GF40" s="1066">
        <v>61.710284318806302</v>
      </c>
      <c r="GG40" s="1066">
        <v>52.5</v>
      </c>
      <c r="GH40" s="1066">
        <v>123.4205686376126</v>
      </c>
      <c r="GI40" s="1066">
        <v>105</v>
      </c>
      <c r="GJ40" s="1066">
        <v>246.84113727522521</v>
      </c>
      <c r="GK40" s="1066">
        <v>210</v>
      </c>
      <c r="GL40" s="584">
        <v>0.71760000000000002</v>
      </c>
      <c r="GM40" s="584">
        <v>0.11</v>
      </c>
      <c r="GN40" s="584"/>
      <c r="GO40" s="584"/>
      <c r="GP40" s="584"/>
      <c r="GQ40" s="584">
        <v>49.033333333333303</v>
      </c>
      <c r="GR40" s="584"/>
      <c r="GS40" s="584">
        <v>56.065239551478101</v>
      </c>
      <c r="GT40" s="584" t="s">
        <v>471</v>
      </c>
      <c r="GU40" s="584" t="s">
        <v>408</v>
      </c>
      <c r="GV40" s="584">
        <v>1</v>
      </c>
      <c r="GW40" s="584"/>
      <c r="GX40" s="584"/>
      <c r="GY40" s="584"/>
      <c r="GZ40" s="584"/>
      <c r="HA40" s="584">
        <v>27.465254999999999</v>
      </c>
      <c r="HB40" s="584">
        <v>52.5</v>
      </c>
      <c r="HC40" s="584">
        <v>54.930509999999998</v>
      </c>
      <c r="HD40" s="584">
        <v>105</v>
      </c>
      <c r="HE40" s="584">
        <v>109.86102</v>
      </c>
      <c r="HF40" s="584">
        <v>210</v>
      </c>
      <c r="HG40" s="1100">
        <v>1.07</v>
      </c>
      <c r="HH40" s="1100">
        <v>0.11</v>
      </c>
      <c r="HI40" s="1101">
        <v>0</v>
      </c>
      <c r="HJ40" s="1101">
        <v>0</v>
      </c>
      <c r="HK40" s="1101">
        <v>0</v>
      </c>
      <c r="HL40" s="1101">
        <v>0</v>
      </c>
      <c r="HM40" s="1101">
        <v>58.559999999999995</v>
      </c>
      <c r="HN40" s="1101">
        <v>54.999999999999993</v>
      </c>
      <c r="HO40" s="1101">
        <v>0</v>
      </c>
      <c r="HP40" s="1101">
        <v>0</v>
      </c>
      <c r="HQ40" s="1101">
        <v>1</v>
      </c>
      <c r="HR40" s="1101">
        <v>0.64</v>
      </c>
      <c r="HS40" s="1101">
        <v>0.96</v>
      </c>
      <c r="HT40" s="1101">
        <v>0.28000000000000003</v>
      </c>
      <c r="HU40" s="1101">
        <v>0.3</v>
      </c>
      <c r="HV40" s="1101">
        <v>28.710353999999999</v>
      </c>
      <c r="HW40" s="1101">
        <v>52.5</v>
      </c>
      <c r="HX40" s="1101">
        <v>57.420707999999998</v>
      </c>
      <c r="HY40" s="1101">
        <v>105</v>
      </c>
      <c r="HZ40" s="1101">
        <v>114.841416</v>
      </c>
      <c r="IA40" s="1101">
        <v>210</v>
      </c>
      <c r="IB40" s="1102"/>
      <c r="IC40" s="1092"/>
      <c r="ID40" s="1050"/>
      <c r="IE40" s="1050"/>
      <c r="IF40" s="1103"/>
      <c r="IG40" s="1103"/>
      <c r="IH40" s="1103"/>
      <c r="II40" s="1103"/>
      <c r="IJ40" s="1103"/>
      <c r="IK40" s="1103"/>
      <c r="IL40" s="1103"/>
      <c r="IM40" s="1050"/>
      <c r="IN40" s="1050"/>
      <c r="IO40" s="1050"/>
      <c r="IP40" s="1050"/>
      <c r="IQ40" s="1103"/>
      <c r="IR40" s="1103"/>
      <c r="IS40" s="1103"/>
      <c r="IT40" s="1103"/>
      <c r="IU40" s="1103"/>
      <c r="IV40" s="1103"/>
      <c r="JR40" s="1092"/>
      <c r="JS40" s="1092"/>
      <c r="JU40" s="1050"/>
      <c r="JV40" s="1103"/>
      <c r="JW40" s="1103"/>
      <c r="JX40" s="1103"/>
      <c r="JY40" s="1103"/>
      <c r="JZ40" s="1103"/>
      <c r="KA40" s="1103"/>
      <c r="KB40" s="1103"/>
      <c r="KC40" s="1050"/>
      <c r="KD40" s="1050"/>
      <c r="KE40" s="1050"/>
      <c r="KF40" s="1050"/>
      <c r="KG40" s="1103"/>
      <c r="KH40" s="1103"/>
      <c r="KI40" s="1103"/>
      <c r="KJ40" s="1103"/>
      <c r="KK40" s="1103"/>
      <c r="KL40" s="1103"/>
      <c r="KM40" s="1103"/>
      <c r="KN40" s="1103"/>
    </row>
    <row r="41" spans="2:300">
      <c r="B41" s="1048" t="str">
        <f t="shared" si="2"/>
        <v>O513</v>
      </c>
      <c r="C41" s="1092">
        <v>5</v>
      </c>
      <c r="D41" s="1092">
        <v>13</v>
      </c>
      <c r="E41" s="584">
        <v>0.47</v>
      </c>
      <c r="F41" s="584">
        <v>0.47</v>
      </c>
      <c r="G41" s="584">
        <v>1128</v>
      </c>
      <c r="H41" s="584">
        <v>23.5</v>
      </c>
      <c r="I41" s="584">
        <v>0</v>
      </c>
      <c r="J41" s="584">
        <v>0</v>
      </c>
      <c r="K41" s="584">
        <v>0</v>
      </c>
      <c r="L41" s="584">
        <v>0</v>
      </c>
      <c r="M41" s="584">
        <v>0</v>
      </c>
      <c r="N41" s="584">
        <v>0</v>
      </c>
      <c r="O41" s="584">
        <v>0</v>
      </c>
      <c r="P41" s="584">
        <v>0</v>
      </c>
      <c r="Q41" s="584">
        <v>0</v>
      </c>
      <c r="R41" s="584">
        <v>0</v>
      </c>
      <c r="S41" s="584">
        <v>0</v>
      </c>
      <c r="T41" s="584">
        <v>329.81493749999998</v>
      </c>
      <c r="U41" s="584">
        <v>56.875</v>
      </c>
      <c r="V41" s="584">
        <v>615.55368750000002</v>
      </c>
      <c r="W41" s="584">
        <v>119.4375</v>
      </c>
      <c r="X41" s="584">
        <v>906.31600000000003</v>
      </c>
      <c r="Y41" s="584">
        <v>250.25</v>
      </c>
      <c r="Z41" s="584">
        <v>0.39500000000000002</v>
      </c>
      <c r="AA41" s="584">
        <v>0.39500000000000002</v>
      </c>
      <c r="AB41" s="584">
        <v>948</v>
      </c>
      <c r="AC41" s="584">
        <v>22</v>
      </c>
      <c r="AD41" s="584">
        <v>0</v>
      </c>
      <c r="AE41" s="584">
        <v>0</v>
      </c>
      <c r="AF41" s="584">
        <v>0</v>
      </c>
      <c r="AG41" s="584">
        <v>0</v>
      </c>
      <c r="AH41" s="584">
        <v>0</v>
      </c>
      <c r="AI41" s="584">
        <v>0</v>
      </c>
      <c r="AJ41" s="584">
        <v>0</v>
      </c>
      <c r="AK41" s="584">
        <v>0</v>
      </c>
      <c r="AL41" s="584">
        <v>0</v>
      </c>
      <c r="AM41" s="584">
        <v>0</v>
      </c>
      <c r="AN41" s="584">
        <v>0</v>
      </c>
      <c r="AO41" s="584">
        <v>295.8961875</v>
      </c>
      <c r="AP41" s="584">
        <v>56.875</v>
      </c>
      <c r="AQ41" s="584">
        <v>546.45056250000005</v>
      </c>
      <c r="AR41" s="584">
        <v>119.4375</v>
      </c>
      <c r="AS41" s="584">
        <v>772.25350000000003</v>
      </c>
      <c r="AT41" s="584">
        <v>250.25</v>
      </c>
      <c r="AU41" s="584">
        <v>0.97499999999999998</v>
      </c>
      <c r="AV41" s="584">
        <v>0.25</v>
      </c>
      <c r="AW41" s="584">
        <v>536.32526564344698</v>
      </c>
      <c r="AX41" s="584">
        <v>19.039698937426198</v>
      </c>
      <c r="AY41" s="584">
        <v>0</v>
      </c>
      <c r="AZ41" s="584">
        <v>0</v>
      </c>
      <c r="BA41" s="584">
        <v>0</v>
      </c>
      <c r="BB41" s="584">
        <v>0</v>
      </c>
      <c r="BC41" s="584">
        <v>0</v>
      </c>
      <c r="BD41" s="584">
        <v>0</v>
      </c>
      <c r="BE41" s="584">
        <v>0</v>
      </c>
      <c r="BF41" s="584">
        <v>0</v>
      </c>
      <c r="BG41" s="584">
        <v>0.97499999999999998</v>
      </c>
      <c r="BH41" s="584">
        <v>0</v>
      </c>
      <c r="BI41" s="584">
        <v>0.3</v>
      </c>
      <c r="BJ41" s="584">
        <v>236.48504342532499</v>
      </c>
      <c r="BK41" s="584">
        <v>56.875</v>
      </c>
      <c r="BL41" s="584">
        <v>399.147396306818</v>
      </c>
      <c r="BM41" s="584">
        <v>119.4375</v>
      </c>
      <c r="BN41" s="584">
        <v>437.70045535714303</v>
      </c>
      <c r="BO41" s="584">
        <v>250.25</v>
      </c>
      <c r="BP41" s="584">
        <v>0</v>
      </c>
      <c r="BQ41" s="584">
        <v>0</v>
      </c>
      <c r="BR41" s="584">
        <v>0</v>
      </c>
      <c r="BS41" s="584">
        <v>0</v>
      </c>
      <c r="BT41" s="584">
        <v>0</v>
      </c>
      <c r="BU41" s="584">
        <v>0</v>
      </c>
      <c r="BV41" s="584">
        <v>0</v>
      </c>
      <c r="BW41" s="584">
        <v>0</v>
      </c>
      <c r="BX41" s="584">
        <v>0</v>
      </c>
      <c r="BY41" s="584">
        <v>0</v>
      </c>
      <c r="BZ41" s="584">
        <v>0</v>
      </c>
      <c r="CA41" s="584">
        <v>0</v>
      </c>
      <c r="CB41" s="584">
        <v>0</v>
      </c>
      <c r="CC41" s="584">
        <v>0</v>
      </c>
      <c r="CD41" s="584">
        <v>0</v>
      </c>
      <c r="CE41" s="584">
        <v>0</v>
      </c>
      <c r="CF41" s="584">
        <v>0</v>
      </c>
      <c r="CG41" s="584">
        <v>0</v>
      </c>
      <c r="CH41" s="584">
        <v>0</v>
      </c>
      <c r="CI41" s="584">
        <v>0</v>
      </c>
      <c r="CJ41" s="584">
        <v>0</v>
      </c>
      <c r="CK41" s="584">
        <v>0.95</v>
      </c>
      <c r="CL41" s="584">
        <v>0.14499999999999999</v>
      </c>
      <c r="CM41" s="584">
        <v>490.52125147579699</v>
      </c>
      <c r="CN41" s="584">
        <v>16.931906729634001</v>
      </c>
      <c r="CO41" s="584">
        <v>0</v>
      </c>
      <c r="CP41" s="584">
        <v>0</v>
      </c>
      <c r="CQ41" s="584">
        <v>0</v>
      </c>
      <c r="CR41" s="584">
        <v>0</v>
      </c>
      <c r="CS41" s="584">
        <v>0</v>
      </c>
      <c r="CT41" s="584">
        <v>0</v>
      </c>
      <c r="CU41" s="584">
        <v>0</v>
      </c>
      <c r="CV41" s="584">
        <v>0</v>
      </c>
      <c r="CW41" s="584">
        <v>0.95</v>
      </c>
      <c r="CX41" s="584">
        <v>0</v>
      </c>
      <c r="CY41" s="584">
        <v>0.6</v>
      </c>
      <c r="CZ41" s="584">
        <v>232.39859999999999</v>
      </c>
      <c r="DA41" s="584">
        <v>56.875</v>
      </c>
      <c r="DB41" s="584">
        <v>386.82172500000001</v>
      </c>
      <c r="DC41" s="584">
        <v>119.4375</v>
      </c>
      <c r="DD41" s="584">
        <v>401.90985000000001</v>
      </c>
      <c r="DE41" s="584">
        <v>250.25</v>
      </c>
      <c r="DF41" s="584">
        <v>0</v>
      </c>
      <c r="DG41" s="584">
        <v>0</v>
      </c>
      <c r="DH41" s="584">
        <v>0</v>
      </c>
      <c r="DI41" s="584">
        <v>0</v>
      </c>
      <c r="DJ41" s="584">
        <v>0</v>
      </c>
      <c r="DK41" s="584">
        <v>0</v>
      </c>
      <c r="DL41" s="584">
        <v>0</v>
      </c>
      <c r="DM41" s="584">
        <v>0</v>
      </c>
      <c r="DN41" s="584">
        <v>0</v>
      </c>
      <c r="DO41" s="584">
        <v>0</v>
      </c>
      <c r="DP41" s="584">
        <v>0</v>
      </c>
      <c r="DQ41" s="584">
        <v>0</v>
      </c>
      <c r="DR41" s="584">
        <v>0</v>
      </c>
      <c r="DS41" s="584">
        <v>0</v>
      </c>
      <c r="DT41" s="584">
        <v>0</v>
      </c>
      <c r="DU41" s="584">
        <v>0</v>
      </c>
      <c r="DV41" s="584">
        <v>0</v>
      </c>
      <c r="DW41" s="584">
        <v>0</v>
      </c>
      <c r="DX41" s="584">
        <v>0</v>
      </c>
      <c r="DY41" s="584">
        <v>0</v>
      </c>
      <c r="DZ41" s="584">
        <v>0</v>
      </c>
      <c r="EA41" s="1062">
        <v>0.9507000000000001</v>
      </c>
      <c r="EB41" s="1046">
        <v>0.4</v>
      </c>
      <c r="EC41" s="1093">
        <v>132.51783893985737</v>
      </c>
      <c r="ED41" s="1046">
        <v>0</v>
      </c>
      <c r="EE41" s="1046">
        <v>519.87767584097855</v>
      </c>
      <c r="EF41" s="1046">
        <v>42.861538461538458</v>
      </c>
      <c r="EG41" s="1046">
        <v>0</v>
      </c>
      <c r="EH41" s="1046">
        <v>0</v>
      </c>
      <c r="EI41" s="1046" t="s">
        <v>463</v>
      </c>
      <c r="EJ41" s="1046" t="s">
        <v>421</v>
      </c>
      <c r="EK41" s="1046">
        <v>0</v>
      </c>
      <c r="EL41" s="1046">
        <v>0</v>
      </c>
      <c r="EM41" s="1046">
        <v>0</v>
      </c>
      <c r="EN41" s="1046">
        <v>0</v>
      </c>
      <c r="EO41" s="1046">
        <v>0</v>
      </c>
      <c r="EP41" s="1094">
        <v>123.83266499999999</v>
      </c>
      <c r="EQ41" s="1094">
        <v>56.875</v>
      </c>
      <c r="ER41" s="1094">
        <v>247.66532999999998</v>
      </c>
      <c r="ES41" s="1095">
        <v>113.75</v>
      </c>
      <c r="ET41" s="1094">
        <v>495.33065999999997</v>
      </c>
      <c r="EU41" s="1094">
        <v>227.5</v>
      </c>
      <c r="EV41" s="1096">
        <v>0.6782999999999999</v>
      </c>
      <c r="EW41" s="1097">
        <v>0.15</v>
      </c>
      <c r="EX41" s="1096">
        <v>289.50050968399592</v>
      </c>
      <c r="EY41" s="1096">
        <v>1.5443934760448521</v>
      </c>
      <c r="EZ41" s="1096">
        <v>0</v>
      </c>
      <c r="FA41" s="1096">
        <v>22.155384615384616</v>
      </c>
      <c r="FB41" s="1098">
        <v>0</v>
      </c>
      <c r="FC41" s="1098">
        <v>0</v>
      </c>
      <c r="FD41" s="1098" t="s">
        <v>450</v>
      </c>
      <c r="FE41" s="1098" t="s">
        <v>432</v>
      </c>
      <c r="FF41" s="1098">
        <v>1</v>
      </c>
      <c r="FG41" s="1098">
        <v>0</v>
      </c>
      <c r="FH41" s="1098">
        <v>0</v>
      </c>
      <c r="FI41" s="1098">
        <v>0</v>
      </c>
      <c r="FJ41" s="1098">
        <v>0</v>
      </c>
      <c r="FK41" s="1096">
        <v>64.715540874999988</v>
      </c>
      <c r="FL41" s="1096">
        <v>56.875</v>
      </c>
      <c r="FM41" s="1096">
        <v>129.43108174999998</v>
      </c>
      <c r="FN41" s="1096">
        <v>113.75</v>
      </c>
      <c r="FO41" s="1096">
        <v>258.86216349999995</v>
      </c>
      <c r="FP41" s="1099">
        <v>227.5</v>
      </c>
      <c r="FQ41" s="1064">
        <v>1.0020981024599609</v>
      </c>
      <c r="FR41" s="1065">
        <v>0.15</v>
      </c>
      <c r="FS41" s="1066">
        <v>289.50050968399586</v>
      </c>
      <c r="FT41" s="1066">
        <v>3.1754272996334754</v>
      </c>
      <c r="FU41" s="1065"/>
      <c r="FV41" s="1066">
        <v>53.722657860126546</v>
      </c>
      <c r="FW41" s="1065"/>
      <c r="FX41" s="1065"/>
      <c r="FY41" s="1065" t="s">
        <v>438</v>
      </c>
      <c r="FZ41" s="1065" t="s">
        <v>416</v>
      </c>
      <c r="GA41" s="1065">
        <v>1</v>
      </c>
      <c r="GB41" s="1065"/>
      <c r="GC41" s="1065"/>
      <c r="GD41" s="1065"/>
      <c r="GE41" s="1065"/>
      <c r="GF41" s="1066">
        <v>68.220266000530245</v>
      </c>
      <c r="GG41" s="1066">
        <v>56.875</v>
      </c>
      <c r="GH41" s="1066">
        <v>136.44053200106049</v>
      </c>
      <c r="GI41" s="1066">
        <v>113.75</v>
      </c>
      <c r="GJ41" s="1066">
        <v>272.88106400212098</v>
      </c>
      <c r="GK41" s="1066">
        <v>227.5</v>
      </c>
      <c r="GL41" s="584">
        <v>0.78790000000000004</v>
      </c>
      <c r="GM41" s="584">
        <v>0.11</v>
      </c>
      <c r="GN41" s="584"/>
      <c r="GO41" s="584"/>
      <c r="GP41" s="584"/>
      <c r="GQ41" s="584">
        <v>54.103076923076898</v>
      </c>
      <c r="GR41" s="584"/>
      <c r="GS41" s="584">
        <v>56.065239551478101</v>
      </c>
      <c r="GT41" s="584" t="s">
        <v>461</v>
      </c>
      <c r="GU41" s="584" t="s">
        <v>396</v>
      </c>
      <c r="GV41" s="584">
        <v>1</v>
      </c>
      <c r="GW41" s="584"/>
      <c r="GX41" s="584"/>
      <c r="GY41" s="584"/>
      <c r="GZ41" s="584"/>
      <c r="HA41" s="584">
        <v>30.562206750000001</v>
      </c>
      <c r="HB41" s="584">
        <v>56.875</v>
      </c>
      <c r="HC41" s="584">
        <v>61.124413500000003</v>
      </c>
      <c r="HD41" s="584">
        <v>113.75</v>
      </c>
      <c r="HE41" s="584">
        <v>122.24882700000001</v>
      </c>
      <c r="HF41" s="584">
        <v>227.5</v>
      </c>
      <c r="HG41" s="1100">
        <v>1.1900000000000002</v>
      </c>
      <c r="HH41" s="1100">
        <v>0.11</v>
      </c>
      <c r="HI41" s="1101">
        <v>0</v>
      </c>
      <c r="HJ41" s="1101">
        <v>0</v>
      </c>
      <c r="HK41" s="1101">
        <v>0</v>
      </c>
      <c r="HL41" s="1101">
        <v>0</v>
      </c>
      <c r="HM41" s="1101">
        <v>61.078153846153853</v>
      </c>
      <c r="HN41" s="1101">
        <v>54.999999999999993</v>
      </c>
      <c r="HO41" s="1101">
        <v>0</v>
      </c>
      <c r="HP41" s="1101">
        <v>0</v>
      </c>
      <c r="HQ41" s="1101">
        <v>1</v>
      </c>
      <c r="HR41" s="1101">
        <v>0.64</v>
      </c>
      <c r="HS41" s="1101">
        <v>1.08</v>
      </c>
      <c r="HT41" s="1101">
        <v>0.3</v>
      </c>
      <c r="HU41" s="1101">
        <v>0.28000000000000003</v>
      </c>
      <c r="HV41" s="1101">
        <v>31.504308699999996</v>
      </c>
      <c r="HW41" s="1101">
        <v>56.875</v>
      </c>
      <c r="HX41" s="1101">
        <v>63.008617399999991</v>
      </c>
      <c r="HY41" s="1101">
        <v>113.75</v>
      </c>
      <c r="HZ41" s="1101">
        <v>126.01723479999998</v>
      </c>
      <c r="IA41" s="1101">
        <v>227.5</v>
      </c>
      <c r="IB41" s="1102"/>
      <c r="IC41" s="1092"/>
      <c r="ID41" s="1050"/>
      <c r="IE41" s="1050"/>
      <c r="IF41" s="1103"/>
      <c r="IG41" s="1103"/>
      <c r="IH41" s="1103"/>
      <c r="II41" s="1103"/>
      <c r="IJ41" s="1103"/>
      <c r="IK41" s="1103"/>
      <c r="IL41" s="1103"/>
      <c r="IM41" s="1050"/>
      <c r="IN41" s="1050"/>
      <c r="IO41" s="1050"/>
      <c r="IP41" s="1050"/>
      <c r="IQ41" s="1103"/>
      <c r="IR41" s="1103"/>
      <c r="IS41" s="1103"/>
      <c r="IT41" s="1103"/>
      <c r="IU41" s="1103"/>
      <c r="IV41" s="1103"/>
      <c r="JR41" s="1092"/>
      <c r="JS41" s="1092"/>
      <c r="JU41" s="1050"/>
      <c r="JV41" s="1103"/>
      <c r="JW41" s="1103"/>
      <c r="JX41" s="1103"/>
      <c r="JY41" s="1103"/>
      <c r="JZ41" s="1103"/>
      <c r="KA41" s="1103"/>
      <c r="KB41" s="1103"/>
      <c r="KC41" s="1050"/>
      <c r="KD41" s="1050"/>
      <c r="KE41" s="1050"/>
      <c r="KF41" s="1050"/>
      <c r="KG41" s="1103"/>
      <c r="KH41" s="1103"/>
      <c r="KI41" s="1103"/>
      <c r="KJ41" s="1103"/>
      <c r="KK41" s="1103"/>
      <c r="KL41" s="1103"/>
      <c r="KM41" s="1103"/>
      <c r="KN41" s="1103"/>
    </row>
    <row r="42" spans="2:300">
      <c r="B42" s="1048" t="str">
        <f t="shared" si="2"/>
        <v>O514</v>
      </c>
      <c r="C42" s="1092">
        <v>5</v>
      </c>
      <c r="D42" s="1092">
        <v>14</v>
      </c>
      <c r="E42" s="584">
        <v>0</v>
      </c>
      <c r="F42" s="584">
        <v>0</v>
      </c>
      <c r="G42" s="584">
        <v>0</v>
      </c>
      <c r="H42" s="584">
        <v>0</v>
      </c>
      <c r="I42" s="584">
        <v>0</v>
      </c>
      <c r="J42" s="584">
        <v>0</v>
      </c>
      <c r="K42" s="584">
        <v>0</v>
      </c>
      <c r="L42" s="584">
        <v>0</v>
      </c>
      <c r="M42" s="584">
        <v>0</v>
      </c>
      <c r="N42" s="584">
        <v>0</v>
      </c>
      <c r="O42" s="584">
        <v>0</v>
      </c>
      <c r="P42" s="584">
        <v>0</v>
      </c>
      <c r="Q42" s="584">
        <v>0</v>
      </c>
      <c r="R42" s="584">
        <v>0</v>
      </c>
      <c r="S42" s="584">
        <v>0</v>
      </c>
      <c r="T42" s="584">
        <v>0</v>
      </c>
      <c r="U42" s="584">
        <v>0</v>
      </c>
      <c r="V42" s="584">
        <v>0</v>
      </c>
      <c r="W42" s="584">
        <v>0</v>
      </c>
      <c r="X42" s="584">
        <v>0</v>
      </c>
      <c r="Y42" s="584">
        <v>0</v>
      </c>
      <c r="Z42" s="584">
        <v>0</v>
      </c>
      <c r="AA42" s="584">
        <v>0</v>
      </c>
      <c r="AB42" s="584">
        <v>0</v>
      </c>
      <c r="AC42" s="584">
        <v>0</v>
      </c>
      <c r="AD42" s="584">
        <v>0</v>
      </c>
      <c r="AE42" s="584">
        <v>0</v>
      </c>
      <c r="AF42" s="584">
        <v>0</v>
      </c>
      <c r="AG42" s="584">
        <v>0</v>
      </c>
      <c r="AH42" s="584">
        <v>0</v>
      </c>
      <c r="AI42" s="584">
        <v>0</v>
      </c>
      <c r="AJ42" s="584">
        <v>0</v>
      </c>
      <c r="AK42" s="584">
        <v>0</v>
      </c>
      <c r="AL42" s="584">
        <v>0</v>
      </c>
      <c r="AM42" s="584">
        <v>0</v>
      </c>
      <c r="AN42" s="584">
        <v>0</v>
      </c>
      <c r="AO42" s="584">
        <v>0</v>
      </c>
      <c r="AP42" s="584">
        <v>0</v>
      </c>
      <c r="AQ42" s="584">
        <v>0</v>
      </c>
      <c r="AR42" s="584">
        <v>0</v>
      </c>
      <c r="AS42" s="584">
        <v>0</v>
      </c>
      <c r="AT42" s="584">
        <v>0</v>
      </c>
      <c r="AU42" s="584">
        <v>0</v>
      </c>
      <c r="AV42" s="584">
        <v>0</v>
      </c>
      <c r="AW42" s="584">
        <v>0</v>
      </c>
      <c r="AX42" s="584">
        <v>0</v>
      </c>
      <c r="AY42" s="584">
        <v>0</v>
      </c>
      <c r="AZ42" s="584">
        <v>0</v>
      </c>
      <c r="BA42" s="584">
        <v>0</v>
      </c>
      <c r="BB42" s="584">
        <v>0</v>
      </c>
      <c r="BC42" s="584">
        <v>0</v>
      </c>
      <c r="BD42" s="584">
        <v>0</v>
      </c>
      <c r="BE42" s="584">
        <v>0</v>
      </c>
      <c r="BF42" s="584">
        <v>0</v>
      </c>
      <c r="BG42" s="584">
        <v>0</v>
      </c>
      <c r="BH42" s="584">
        <v>0</v>
      </c>
      <c r="BI42" s="584">
        <v>0</v>
      </c>
      <c r="BJ42" s="584">
        <v>0</v>
      </c>
      <c r="BK42" s="584">
        <v>0</v>
      </c>
      <c r="BL42" s="584">
        <v>0</v>
      </c>
      <c r="BM42" s="584">
        <v>0</v>
      </c>
      <c r="BN42" s="584">
        <v>0</v>
      </c>
      <c r="BO42" s="584">
        <v>0</v>
      </c>
      <c r="BP42" s="584">
        <v>0</v>
      </c>
      <c r="BQ42" s="584">
        <v>0</v>
      </c>
      <c r="BR42" s="584">
        <v>0</v>
      </c>
      <c r="BS42" s="584">
        <v>0</v>
      </c>
      <c r="BT42" s="584">
        <v>0</v>
      </c>
      <c r="BU42" s="584">
        <v>0</v>
      </c>
      <c r="BV42" s="584">
        <v>0</v>
      </c>
      <c r="BW42" s="584">
        <v>0</v>
      </c>
      <c r="BX42" s="584">
        <v>0</v>
      </c>
      <c r="BY42" s="584">
        <v>0</v>
      </c>
      <c r="BZ42" s="584">
        <v>0</v>
      </c>
      <c r="CA42" s="584">
        <v>0</v>
      </c>
      <c r="CB42" s="584">
        <v>0</v>
      </c>
      <c r="CC42" s="584">
        <v>0</v>
      </c>
      <c r="CD42" s="584">
        <v>0</v>
      </c>
      <c r="CE42" s="584">
        <v>0</v>
      </c>
      <c r="CF42" s="584">
        <v>0</v>
      </c>
      <c r="CG42" s="584">
        <v>0</v>
      </c>
      <c r="CH42" s="584">
        <v>0</v>
      </c>
      <c r="CI42" s="584">
        <v>0</v>
      </c>
      <c r="CJ42" s="584">
        <v>0</v>
      </c>
      <c r="CK42" s="584">
        <v>0</v>
      </c>
      <c r="CL42" s="584">
        <v>0</v>
      </c>
      <c r="CM42" s="584">
        <v>0</v>
      </c>
      <c r="CN42" s="584">
        <v>0</v>
      </c>
      <c r="CO42" s="584">
        <v>0</v>
      </c>
      <c r="CP42" s="584">
        <v>0</v>
      </c>
      <c r="CQ42" s="584">
        <v>0</v>
      </c>
      <c r="CR42" s="584">
        <v>0</v>
      </c>
      <c r="CS42" s="584">
        <v>0</v>
      </c>
      <c r="CT42" s="584">
        <v>0</v>
      </c>
      <c r="CU42" s="584">
        <v>0</v>
      </c>
      <c r="CV42" s="584">
        <v>0</v>
      </c>
      <c r="CW42" s="584">
        <v>0</v>
      </c>
      <c r="CX42" s="584">
        <v>0</v>
      </c>
      <c r="CY42" s="584">
        <v>0</v>
      </c>
      <c r="CZ42" s="584">
        <v>0</v>
      </c>
      <c r="DA42" s="584">
        <v>0</v>
      </c>
      <c r="DB42" s="584">
        <v>0</v>
      </c>
      <c r="DC42" s="584">
        <v>0</v>
      </c>
      <c r="DD42" s="584">
        <v>0</v>
      </c>
      <c r="DE42" s="584">
        <v>0</v>
      </c>
      <c r="DF42" s="584">
        <v>0</v>
      </c>
      <c r="DG42" s="584">
        <v>0</v>
      </c>
      <c r="DH42" s="584">
        <v>0</v>
      </c>
      <c r="DI42" s="584">
        <v>0</v>
      </c>
      <c r="DJ42" s="584">
        <v>0</v>
      </c>
      <c r="DK42" s="584">
        <v>0</v>
      </c>
      <c r="DL42" s="584">
        <v>0</v>
      </c>
      <c r="DM42" s="584">
        <v>0</v>
      </c>
      <c r="DN42" s="584">
        <v>0</v>
      </c>
      <c r="DO42" s="584">
        <v>0</v>
      </c>
      <c r="DP42" s="584">
        <v>0</v>
      </c>
      <c r="DQ42" s="584">
        <v>0</v>
      </c>
      <c r="DR42" s="584">
        <v>0</v>
      </c>
      <c r="DS42" s="584">
        <v>0</v>
      </c>
      <c r="DT42" s="584">
        <v>0</v>
      </c>
      <c r="DU42" s="584">
        <v>0</v>
      </c>
      <c r="DV42" s="584">
        <v>0</v>
      </c>
      <c r="DW42" s="584">
        <v>0</v>
      </c>
      <c r="DX42" s="584">
        <v>0</v>
      </c>
      <c r="DY42" s="584">
        <v>0</v>
      </c>
      <c r="DZ42" s="584">
        <v>0</v>
      </c>
      <c r="EA42" s="1062">
        <v>1.0103</v>
      </c>
      <c r="EB42" s="1046">
        <v>0.45</v>
      </c>
      <c r="EC42" s="1093">
        <v>132.51783893985726</v>
      </c>
      <c r="ED42" s="1046">
        <v>0</v>
      </c>
      <c r="EE42" s="1046">
        <v>581.03975535168195</v>
      </c>
      <c r="EF42" s="1046">
        <v>50.138571428571431</v>
      </c>
      <c r="EG42" s="1046">
        <v>0</v>
      </c>
      <c r="EH42" s="1046">
        <v>0</v>
      </c>
      <c r="EI42" s="1046" t="s">
        <v>446</v>
      </c>
      <c r="EJ42" s="1046" t="s">
        <v>420</v>
      </c>
      <c r="EK42" s="1046">
        <v>0</v>
      </c>
      <c r="EL42" s="1046">
        <v>0</v>
      </c>
      <c r="EM42" s="1046">
        <v>0</v>
      </c>
      <c r="EN42" s="1046">
        <v>0</v>
      </c>
      <c r="EO42" s="1046">
        <v>0</v>
      </c>
      <c r="EP42" s="1094">
        <v>145.10753925</v>
      </c>
      <c r="EQ42" s="1094">
        <v>61.25</v>
      </c>
      <c r="ER42" s="1094">
        <v>290.2150785</v>
      </c>
      <c r="ES42" s="1095">
        <v>122.5</v>
      </c>
      <c r="ET42" s="1094">
        <v>580.43015700000001</v>
      </c>
      <c r="EU42" s="1094">
        <v>245</v>
      </c>
      <c r="EV42" s="1096">
        <v>0.75260000000000005</v>
      </c>
      <c r="EW42" s="1097">
        <v>0.15</v>
      </c>
      <c r="EX42" s="1096">
        <v>289.50050968399592</v>
      </c>
      <c r="EY42" s="1096">
        <v>1.5443934760448521</v>
      </c>
      <c r="EZ42" s="1096">
        <v>0</v>
      </c>
      <c r="FA42" s="1096">
        <v>26.097142857142856</v>
      </c>
      <c r="FB42" s="1098">
        <v>0</v>
      </c>
      <c r="FC42" s="1098">
        <v>0</v>
      </c>
      <c r="FD42" s="1098" t="s">
        <v>448</v>
      </c>
      <c r="FE42" s="1098" t="s">
        <v>410</v>
      </c>
      <c r="FF42" s="1098">
        <v>1</v>
      </c>
      <c r="FG42" s="1098">
        <v>0</v>
      </c>
      <c r="FH42" s="1098">
        <v>0</v>
      </c>
      <c r="FI42" s="1098">
        <v>0</v>
      </c>
      <c r="FJ42" s="1098">
        <v>0</v>
      </c>
      <c r="FK42" s="1096">
        <v>70.370360750000003</v>
      </c>
      <c r="FL42" s="1096">
        <v>61.25</v>
      </c>
      <c r="FM42" s="1096">
        <v>140.74072150000001</v>
      </c>
      <c r="FN42" s="1096">
        <v>122.5</v>
      </c>
      <c r="FO42" s="1096">
        <v>281.48144300000001</v>
      </c>
      <c r="FP42" s="1099">
        <v>245</v>
      </c>
      <c r="FQ42" s="1064">
        <v>1.0064981024599609</v>
      </c>
      <c r="FR42" s="1065">
        <v>0.15</v>
      </c>
      <c r="FS42" s="1066">
        <v>289.50050968399586</v>
      </c>
      <c r="FT42" s="1066">
        <v>3.1754272996334754</v>
      </c>
      <c r="FU42" s="1065"/>
      <c r="FV42" s="1066">
        <v>57.842179036356129</v>
      </c>
      <c r="FW42" s="1065"/>
      <c r="FX42" s="1065"/>
      <c r="FY42" s="1065" t="s">
        <v>438</v>
      </c>
      <c r="FZ42" s="1065" t="s">
        <v>1102</v>
      </c>
      <c r="GA42" s="1065">
        <v>1</v>
      </c>
      <c r="GB42" s="1065"/>
      <c r="GC42" s="1065"/>
      <c r="GD42" s="1065"/>
      <c r="GE42" s="1065"/>
      <c r="GF42" s="1066">
        <v>74.175197567731004</v>
      </c>
      <c r="GG42" s="1066">
        <v>61.25</v>
      </c>
      <c r="GH42" s="1066">
        <v>148.35039513546201</v>
      </c>
      <c r="GI42" s="1066">
        <v>122.5</v>
      </c>
      <c r="GJ42" s="1066">
        <v>296.70079027092402</v>
      </c>
      <c r="GK42" s="1066">
        <v>245</v>
      </c>
      <c r="GL42" s="584">
        <v>0.86399999999999999</v>
      </c>
      <c r="GM42" s="584">
        <v>0.11</v>
      </c>
      <c r="GN42" s="584"/>
      <c r="GO42" s="584"/>
      <c r="GP42" s="584"/>
      <c r="GQ42" s="584">
        <v>62.4957142857143</v>
      </c>
      <c r="GR42" s="584"/>
      <c r="GS42" s="584">
        <v>56.065239551478101</v>
      </c>
      <c r="GT42" s="584" t="s">
        <v>461</v>
      </c>
      <c r="GU42" s="584" t="s">
        <v>387</v>
      </c>
      <c r="GV42" s="584">
        <v>1</v>
      </c>
      <c r="GW42" s="584"/>
      <c r="GX42" s="584"/>
      <c r="GY42" s="584"/>
      <c r="GZ42" s="584"/>
      <c r="HA42" s="584">
        <v>34.35395175</v>
      </c>
      <c r="HB42" s="584">
        <v>61.25</v>
      </c>
      <c r="HC42" s="584">
        <v>68.7079035</v>
      </c>
      <c r="HD42" s="584">
        <v>122.5</v>
      </c>
      <c r="HE42" s="584">
        <v>137.415807</v>
      </c>
      <c r="HF42" s="584">
        <v>245</v>
      </c>
      <c r="HG42" s="1100">
        <v>1.31</v>
      </c>
      <c r="HH42" s="1100">
        <v>0.11</v>
      </c>
      <c r="HI42" s="1101">
        <v>0</v>
      </c>
      <c r="HJ42" s="1101">
        <v>0</v>
      </c>
      <c r="HK42" s="1101">
        <v>0</v>
      </c>
      <c r="HL42" s="1101">
        <v>0</v>
      </c>
      <c r="HM42" s="1101">
        <v>67.037142857142868</v>
      </c>
      <c r="HN42" s="1101">
        <v>54.999999999999993</v>
      </c>
      <c r="HO42" s="1101">
        <v>0</v>
      </c>
      <c r="HP42" s="1101">
        <v>0</v>
      </c>
      <c r="HQ42" s="1101">
        <v>1</v>
      </c>
      <c r="HR42" s="1101">
        <v>0.68</v>
      </c>
      <c r="HS42" s="1101">
        <v>1.2</v>
      </c>
      <c r="HT42" s="1101">
        <v>0.3</v>
      </c>
      <c r="HU42" s="1101">
        <v>0.28000000000000003</v>
      </c>
      <c r="HV42" s="1101">
        <v>34.950726500000009</v>
      </c>
      <c r="HW42" s="1101">
        <v>61.25</v>
      </c>
      <c r="HX42" s="1101">
        <v>69.901453000000018</v>
      </c>
      <c r="HY42" s="1101">
        <v>122.5</v>
      </c>
      <c r="HZ42" s="1101">
        <v>139.80290600000004</v>
      </c>
      <c r="IA42" s="1101">
        <v>245</v>
      </c>
      <c r="IB42" s="1102"/>
      <c r="IC42" s="1092"/>
      <c r="ID42" s="1050"/>
      <c r="IE42" s="1050"/>
      <c r="IF42" s="1103"/>
      <c r="IG42" s="1103"/>
      <c r="IH42" s="1103"/>
      <c r="II42" s="1103"/>
      <c r="IJ42" s="1103"/>
      <c r="IK42" s="1103"/>
      <c r="IL42" s="1103"/>
      <c r="IM42" s="1050"/>
      <c r="IN42" s="1050"/>
      <c r="IO42" s="1050"/>
      <c r="IP42" s="1050"/>
      <c r="IQ42" s="1103"/>
      <c r="IR42" s="1103"/>
      <c r="IS42" s="1103"/>
      <c r="IT42" s="1103"/>
      <c r="IU42" s="1103"/>
      <c r="IV42" s="1103"/>
      <c r="JR42" s="1092"/>
      <c r="JS42" s="1092"/>
      <c r="JU42" s="1050"/>
      <c r="JV42" s="1103"/>
      <c r="JW42" s="1103"/>
      <c r="JX42" s="1103"/>
      <c r="JY42" s="1103"/>
      <c r="JZ42" s="1103"/>
      <c r="KA42" s="1103"/>
      <c r="KB42" s="1103"/>
      <c r="KC42" s="1050"/>
      <c r="KD42" s="1050"/>
      <c r="KE42" s="1050"/>
      <c r="KF42" s="1050"/>
      <c r="KG42" s="1103"/>
      <c r="KH42" s="1103"/>
      <c r="KI42" s="1103"/>
      <c r="KJ42" s="1103"/>
      <c r="KK42" s="1103"/>
      <c r="KL42" s="1103"/>
      <c r="KM42" s="1103"/>
      <c r="KN42" s="1103"/>
    </row>
    <row r="43" spans="2:300">
      <c r="B43" s="1048" t="str">
        <f t="shared" si="2"/>
        <v>O515</v>
      </c>
      <c r="C43" s="1092">
        <v>5</v>
      </c>
      <c r="D43" s="1092">
        <v>15</v>
      </c>
      <c r="E43" s="584">
        <v>0</v>
      </c>
      <c r="F43" s="584">
        <v>0</v>
      </c>
      <c r="G43" s="584">
        <v>0</v>
      </c>
      <c r="H43" s="584">
        <v>0</v>
      </c>
      <c r="I43" s="584">
        <v>0</v>
      </c>
      <c r="J43" s="584">
        <v>0</v>
      </c>
      <c r="K43" s="584">
        <v>0</v>
      </c>
      <c r="L43" s="584">
        <v>0</v>
      </c>
      <c r="M43" s="584">
        <v>0</v>
      </c>
      <c r="N43" s="584">
        <v>0</v>
      </c>
      <c r="O43" s="584">
        <v>0</v>
      </c>
      <c r="P43" s="584">
        <v>0</v>
      </c>
      <c r="Q43" s="584">
        <v>0</v>
      </c>
      <c r="R43" s="584">
        <v>0</v>
      </c>
      <c r="S43" s="584">
        <v>0</v>
      </c>
      <c r="T43" s="584">
        <v>0</v>
      </c>
      <c r="U43" s="584">
        <v>0</v>
      </c>
      <c r="V43" s="584">
        <v>0</v>
      </c>
      <c r="W43" s="584">
        <v>0</v>
      </c>
      <c r="X43" s="584">
        <v>0</v>
      </c>
      <c r="Y43" s="584">
        <v>0</v>
      </c>
      <c r="Z43" s="584">
        <v>0</v>
      </c>
      <c r="AA43" s="584">
        <v>0</v>
      </c>
      <c r="AB43" s="584">
        <v>0</v>
      </c>
      <c r="AC43" s="584">
        <v>0</v>
      </c>
      <c r="AD43" s="584">
        <v>0</v>
      </c>
      <c r="AE43" s="584">
        <v>0</v>
      </c>
      <c r="AF43" s="584">
        <v>0</v>
      </c>
      <c r="AG43" s="584">
        <v>0</v>
      </c>
      <c r="AH43" s="584">
        <v>0</v>
      </c>
      <c r="AI43" s="584">
        <v>0</v>
      </c>
      <c r="AJ43" s="584">
        <v>0</v>
      </c>
      <c r="AK43" s="584">
        <v>0</v>
      </c>
      <c r="AL43" s="584">
        <v>0</v>
      </c>
      <c r="AM43" s="584">
        <v>0</v>
      </c>
      <c r="AN43" s="584">
        <v>0</v>
      </c>
      <c r="AO43" s="584">
        <v>0</v>
      </c>
      <c r="AP43" s="584">
        <v>0</v>
      </c>
      <c r="AQ43" s="584">
        <v>0</v>
      </c>
      <c r="AR43" s="584">
        <v>0</v>
      </c>
      <c r="AS43" s="584">
        <v>0</v>
      </c>
      <c r="AT43" s="584">
        <v>0</v>
      </c>
      <c r="AU43" s="584">
        <v>0</v>
      </c>
      <c r="AV43" s="584">
        <v>0</v>
      </c>
      <c r="AW43" s="584">
        <v>0</v>
      </c>
      <c r="AX43" s="584">
        <v>0</v>
      </c>
      <c r="AY43" s="584">
        <v>0</v>
      </c>
      <c r="AZ43" s="584">
        <v>0</v>
      </c>
      <c r="BA43" s="584">
        <v>0</v>
      </c>
      <c r="BB43" s="584">
        <v>0</v>
      </c>
      <c r="BC43" s="584">
        <v>0</v>
      </c>
      <c r="BD43" s="584">
        <v>0</v>
      </c>
      <c r="BE43" s="584">
        <v>0</v>
      </c>
      <c r="BF43" s="584">
        <v>0</v>
      </c>
      <c r="BG43" s="584">
        <v>0</v>
      </c>
      <c r="BH43" s="584">
        <v>0</v>
      </c>
      <c r="BI43" s="584">
        <v>0</v>
      </c>
      <c r="BJ43" s="584">
        <v>0</v>
      </c>
      <c r="BK43" s="584">
        <v>0</v>
      </c>
      <c r="BL43" s="584">
        <v>0</v>
      </c>
      <c r="BM43" s="584">
        <v>0</v>
      </c>
      <c r="BN43" s="584">
        <v>0</v>
      </c>
      <c r="BO43" s="584">
        <v>0</v>
      </c>
      <c r="BP43" s="584">
        <v>0</v>
      </c>
      <c r="BQ43" s="584">
        <v>0</v>
      </c>
      <c r="BR43" s="584">
        <v>0</v>
      </c>
      <c r="BS43" s="584">
        <v>0</v>
      </c>
      <c r="BT43" s="584">
        <v>0</v>
      </c>
      <c r="BU43" s="584">
        <v>0</v>
      </c>
      <c r="BV43" s="584">
        <v>0</v>
      </c>
      <c r="BW43" s="584">
        <v>0</v>
      </c>
      <c r="BX43" s="584">
        <v>0</v>
      </c>
      <c r="BY43" s="584">
        <v>0</v>
      </c>
      <c r="BZ43" s="584">
        <v>0</v>
      </c>
      <c r="CA43" s="584">
        <v>0</v>
      </c>
      <c r="CB43" s="584">
        <v>0</v>
      </c>
      <c r="CC43" s="584">
        <v>0</v>
      </c>
      <c r="CD43" s="584">
        <v>0</v>
      </c>
      <c r="CE43" s="584">
        <v>0</v>
      </c>
      <c r="CF43" s="584">
        <v>0</v>
      </c>
      <c r="CG43" s="584">
        <v>0</v>
      </c>
      <c r="CH43" s="584">
        <v>0</v>
      </c>
      <c r="CI43" s="584">
        <v>0</v>
      </c>
      <c r="CJ43" s="584">
        <v>0</v>
      </c>
      <c r="CK43" s="584">
        <v>0</v>
      </c>
      <c r="CL43" s="584">
        <v>0</v>
      </c>
      <c r="CM43" s="584">
        <v>0</v>
      </c>
      <c r="CN43" s="584">
        <v>0</v>
      </c>
      <c r="CO43" s="584">
        <v>0</v>
      </c>
      <c r="CP43" s="584">
        <v>0</v>
      </c>
      <c r="CQ43" s="584">
        <v>0</v>
      </c>
      <c r="CR43" s="584">
        <v>0</v>
      </c>
      <c r="CS43" s="584">
        <v>0</v>
      </c>
      <c r="CT43" s="584">
        <v>0</v>
      </c>
      <c r="CU43" s="584">
        <v>0</v>
      </c>
      <c r="CV43" s="584">
        <v>0</v>
      </c>
      <c r="CW43" s="584">
        <v>0</v>
      </c>
      <c r="CX43" s="584">
        <v>0</v>
      </c>
      <c r="CY43" s="584">
        <v>0</v>
      </c>
      <c r="CZ43" s="584">
        <v>0</v>
      </c>
      <c r="DA43" s="584">
        <v>0</v>
      </c>
      <c r="DB43" s="584">
        <v>0</v>
      </c>
      <c r="DC43" s="584">
        <v>0</v>
      </c>
      <c r="DD43" s="584">
        <v>0</v>
      </c>
      <c r="DE43" s="584">
        <v>0</v>
      </c>
      <c r="DF43" s="584">
        <v>0</v>
      </c>
      <c r="DG43" s="584">
        <v>0</v>
      </c>
      <c r="DH43" s="584">
        <v>0</v>
      </c>
      <c r="DI43" s="584">
        <v>0</v>
      </c>
      <c r="DJ43" s="584">
        <v>0</v>
      </c>
      <c r="DK43" s="584">
        <v>0</v>
      </c>
      <c r="DL43" s="584">
        <v>0</v>
      </c>
      <c r="DM43" s="584">
        <v>0</v>
      </c>
      <c r="DN43" s="584">
        <v>0</v>
      </c>
      <c r="DO43" s="584">
        <v>0</v>
      </c>
      <c r="DP43" s="584">
        <v>0</v>
      </c>
      <c r="DQ43" s="584">
        <v>0</v>
      </c>
      <c r="DR43" s="584">
        <v>0</v>
      </c>
      <c r="DS43" s="584">
        <v>0</v>
      </c>
      <c r="DT43" s="584">
        <v>0</v>
      </c>
      <c r="DU43" s="584">
        <v>0</v>
      </c>
      <c r="DV43" s="584">
        <v>0</v>
      </c>
      <c r="DW43" s="584">
        <v>0</v>
      </c>
      <c r="DX43" s="584">
        <v>0</v>
      </c>
      <c r="DY43" s="584">
        <v>0</v>
      </c>
      <c r="DZ43" s="584">
        <v>0</v>
      </c>
      <c r="EA43" s="1062">
        <v>0</v>
      </c>
      <c r="EB43" s="1046">
        <v>0</v>
      </c>
      <c r="EC43" s="1093">
        <v>0</v>
      </c>
      <c r="ED43" s="1046">
        <v>0</v>
      </c>
      <c r="EE43" s="1046">
        <v>0</v>
      </c>
      <c r="EF43" s="1046">
        <v>0</v>
      </c>
      <c r="EG43" s="1046">
        <v>0</v>
      </c>
      <c r="EH43" s="1046">
        <v>0</v>
      </c>
      <c r="EI43" s="1046">
        <v>0</v>
      </c>
      <c r="EJ43" s="1046">
        <v>0</v>
      </c>
      <c r="EK43" s="1046">
        <v>0</v>
      </c>
      <c r="EL43" s="1046">
        <v>0</v>
      </c>
      <c r="EM43" s="1046">
        <v>0</v>
      </c>
      <c r="EN43" s="1046">
        <v>0</v>
      </c>
      <c r="EO43" s="1046">
        <v>0</v>
      </c>
      <c r="EP43" s="1094">
        <v>0</v>
      </c>
      <c r="EQ43" s="1094">
        <v>0</v>
      </c>
      <c r="ER43" s="1094">
        <v>0</v>
      </c>
      <c r="ES43" s="1095">
        <v>0</v>
      </c>
      <c r="ET43" s="1094">
        <v>0</v>
      </c>
      <c r="EU43" s="1094">
        <v>0</v>
      </c>
      <c r="EV43" s="1096">
        <v>0.75260000000000005</v>
      </c>
      <c r="EW43" s="1097">
        <v>0.15</v>
      </c>
      <c r="EX43" s="1096">
        <v>289.50050968399592</v>
      </c>
      <c r="EY43" s="1096">
        <v>1.5443934760448521</v>
      </c>
      <c r="EZ43" s="1096">
        <v>0</v>
      </c>
      <c r="FA43" s="1096">
        <v>25.706666666666667</v>
      </c>
      <c r="FB43" s="1098">
        <v>0</v>
      </c>
      <c r="FC43" s="1098">
        <v>0</v>
      </c>
      <c r="FD43" s="1098" t="s">
        <v>448</v>
      </c>
      <c r="FE43" s="1098" t="s">
        <v>410</v>
      </c>
      <c r="FF43" s="1098">
        <v>1</v>
      </c>
      <c r="FG43" s="1098">
        <v>0</v>
      </c>
      <c r="FH43" s="1098">
        <v>0</v>
      </c>
      <c r="FI43" s="1098">
        <v>0</v>
      </c>
      <c r="FJ43" s="1098">
        <v>0</v>
      </c>
      <c r="FK43" s="1096">
        <v>75.324991874999995</v>
      </c>
      <c r="FL43" s="1096">
        <v>65.625</v>
      </c>
      <c r="FM43" s="1096">
        <v>150.64998374999999</v>
      </c>
      <c r="FN43" s="1096">
        <v>131.25</v>
      </c>
      <c r="FO43" s="1096">
        <v>301.29996749999998</v>
      </c>
      <c r="FP43" s="1099">
        <v>262.5</v>
      </c>
      <c r="FQ43" s="1064">
        <v>1.0110981024599608</v>
      </c>
      <c r="FR43" s="1065">
        <v>0.15</v>
      </c>
      <c r="FS43" s="1066">
        <v>289.50050968399586</v>
      </c>
      <c r="FT43" s="1066">
        <v>3.1754272996334754</v>
      </c>
      <c r="FU43" s="1065"/>
      <c r="FV43" s="1066">
        <v>66.657272853142544</v>
      </c>
      <c r="FW43" s="1065"/>
      <c r="FX43" s="1065"/>
      <c r="FY43" s="1065" t="s">
        <v>438</v>
      </c>
      <c r="FZ43" s="1065" t="s">
        <v>408</v>
      </c>
      <c r="GA43" s="1065">
        <v>1</v>
      </c>
      <c r="GB43" s="1065"/>
      <c r="GC43" s="1065"/>
      <c r="GD43" s="1065"/>
      <c r="GE43" s="1065"/>
      <c r="GF43" s="1066">
        <v>81.094852284351234</v>
      </c>
      <c r="GG43" s="1066">
        <v>65.625</v>
      </c>
      <c r="GH43" s="1066">
        <v>162.18970456870247</v>
      </c>
      <c r="GI43" s="1066">
        <v>131.25</v>
      </c>
      <c r="GJ43" s="1066">
        <v>324.37940913740493</v>
      </c>
      <c r="GK43" s="1066">
        <v>262.5</v>
      </c>
      <c r="GL43" s="584">
        <v>0.94489999999999996</v>
      </c>
      <c r="GM43" s="584">
        <v>0.11</v>
      </c>
      <c r="GN43" s="584"/>
      <c r="GO43" s="584"/>
      <c r="GP43" s="584"/>
      <c r="GQ43" s="584">
        <v>73.846666666666707</v>
      </c>
      <c r="GR43" s="584"/>
      <c r="GS43" s="584">
        <v>56.065239551478101</v>
      </c>
      <c r="GT43" s="584" t="s">
        <v>461</v>
      </c>
      <c r="GU43" s="584" t="s">
        <v>381</v>
      </c>
      <c r="GV43" s="584">
        <v>1</v>
      </c>
      <c r="GW43" s="584"/>
      <c r="GX43" s="584"/>
      <c r="GY43" s="584"/>
      <c r="GZ43" s="584"/>
      <c r="HA43" s="584">
        <v>38.895671249999999</v>
      </c>
      <c r="HB43" s="584">
        <v>65.625</v>
      </c>
      <c r="HC43" s="584">
        <v>77.791342499999999</v>
      </c>
      <c r="HD43" s="584">
        <v>131.25</v>
      </c>
      <c r="HE43" s="584">
        <v>155.582685</v>
      </c>
      <c r="HF43" s="584">
        <v>262.5</v>
      </c>
      <c r="HG43" s="1100">
        <v>1.4300000000000002</v>
      </c>
      <c r="HH43" s="1100">
        <v>0.11</v>
      </c>
      <c r="HI43" s="1101">
        <v>0</v>
      </c>
      <c r="HJ43" s="1101">
        <v>0</v>
      </c>
      <c r="HK43" s="1101">
        <v>0</v>
      </c>
      <c r="HL43" s="1101">
        <v>0</v>
      </c>
      <c r="HM43" s="1101">
        <v>72.575999999999993</v>
      </c>
      <c r="HN43" s="1101">
        <v>54.999999999999993</v>
      </c>
      <c r="HO43" s="1101">
        <v>0</v>
      </c>
      <c r="HP43" s="1101">
        <v>0</v>
      </c>
      <c r="HQ43" s="1101">
        <v>1</v>
      </c>
      <c r="HR43" s="1101">
        <v>0.72</v>
      </c>
      <c r="HS43" s="1101">
        <v>1.32</v>
      </c>
      <c r="HT43" s="1101">
        <v>0.28000000000000003</v>
      </c>
      <c r="HU43" s="1101">
        <v>0.28000000000000003</v>
      </c>
      <c r="HV43" s="1101">
        <v>38.466010500000003</v>
      </c>
      <c r="HW43" s="1101">
        <v>65.625</v>
      </c>
      <c r="HX43" s="1101">
        <v>76.932021000000006</v>
      </c>
      <c r="HY43" s="1101">
        <v>131.25</v>
      </c>
      <c r="HZ43" s="1101">
        <v>153.86404200000001</v>
      </c>
      <c r="IA43" s="1101">
        <v>262.5</v>
      </c>
      <c r="IB43" s="1102"/>
      <c r="IC43" s="1092"/>
      <c r="ID43" s="1050"/>
      <c r="IE43" s="1050"/>
      <c r="IF43" s="1103"/>
      <c r="IG43" s="1103"/>
      <c r="IH43" s="1103"/>
      <c r="II43" s="1103"/>
      <c r="IJ43" s="1103"/>
      <c r="IK43" s="1103"/>
      <c r="IL43" s="1103"/>
      <c r="IM43" s="1050"/>
      <c r="IN43" s="1050"/>
      <c r="IO43" s="1050"/>
      <c r="IP43" s="1050"/>
      <c r="IQ43" s="1103"/>
      <c r="IR43" s="1103"/>
      <c r="IS43" s="1103"/>
      <c r="IT43" s="1103"/>
      <c r="IU43" s="1103"/>
      <c r="IV43" s="1103"/>
      <c r="JR43" s="1092"/>
      <c r="JS43" s="1092"/>
      <c r="JU43" s="1050"/>
      <c r="JV43" s="1103"/>
      <c r="JW43" s="1103"/>
      <c r="JX43" s="1103"/>
      <c r="JY43" s="1103"/>
      <c r="JZ43" s="1103"/>
      <c r="KA43" s="1103"/>
      <c r="KB43" s="1103"/>
      <c r="KC43" s="1050"/>
      <c r="KD43" s="1050"/>
      <c r="KE43" s="1050"/>
      <c r="KF43" s="1050"/>
      <c r="KG43" s="1103"/>
      <c r="KH43" s="1103"/>
      <c r="KI43" s="1103"/>
      <c r="KJ43" s="1103"/>
      <c r="KK43" s="1103"/>
      <c r="KL43" s="1103"/>
      <c r="KM43" s="1103"/>
      <c r="KN43" s="1103"/>
    </row>
    <row r="44" spans="2:300">
      <c r="B44" s="1048" t="str">
        <f t="shared" si="2"/>
        <v>O516</v>
      </c>
      <c r="C44" s="1092">
        <v>5</v>
      </c>
      <c r="D44" s="1092">
        <v>16</v>
      </c>
      <c r="E44" s="584">
        <v>0</v>
      </c>
      <c r="F44" s="584">
        <v>0</v>
      </c>
      <c r="G44" s="584">
        <v>0</v>
      </c>
      <c r="H44" s="584">
        <v>0</v>
      </c>
      <c r="I44" s="584">
        <v>0</v>
      </c>
      <c r="J44" s="584">
        <v>0</v>
      </c>
      <c r="K44" s="584">
        <v>0</v>
      </c>
      <c r="L44" s="584">
        <v>0</v>
      </c>
      <c r="M44" s="584">
        <v>0</v>
      </c>
      <c r="N44" s="584">
        <v>0</v>
      </c>
      <c r="O44" s="584">
        <v>0</v>
      </c>
      <c r="P44" s="584">
        <v>0</v>
      </c>
      <c r="Q44" s="584">
        <v>0</v>
      </c>
      <c r="R44" s="584">
        <v>0</v>
      </c>
      <c r="S44" s="584">
        <v>0</v>
      </c>
      <c r="T44" s="584">
        <v>0</v>
      </c>
      <c r="U44" s="584">
        <v>0</v>
      </c>
      <c r="V44" s="584">
        <v>0</v>
      </c>
      <c r="W44" s="584">
        <v>0</v>
      </c>
      <c r="X44" s="584">
        <v>0</v>
      </c>
      <c r="Y44" s="584">
        <v>0</v>
      </c>
      <c r="Z44" s="584">
        <v>0</v>
      </c>
      <c r="AA44" s="584">
        <v>0</v>
      </c>
      <c r="AB44" s="584">
        <v>0</v>
      </c>
      <c r="AC44" s="584">
        <v>0</v>
      </c>
      <c r="AD44" s="584">
        <v>0</v>
      </c>
      <c r="AE44" s="584">
        <v>0</v>
      </c>
      <c r="AF44" s="584">
        <v>0</v>
      </c>
      <c r="AG44" s="584">
        <v>0</v>
      </c>
      <c r="AH44" s="584">
        <v>0</v>
      </c>
      <c r="AI44" s="584">
        <v>0</v>
      </c>
      <c r="AJ44" s="584">
        <v>0</v>
      </c>
      <c r="AK44" s="584">
        <v>0</v>
      </c>
      <c r="AL44" s="584">
        <v>0</v>
      </c>
      <c r="AM44" s="584">
        <v>0</v>
      </c>
      <c r="AN44" s="584">
        <v>0</v>
      </c>
      <c r="AO44" s="584">
        <v>136.75743750000001</v>
      </c>
      <c r="AP44" s="584">
        <v>70</v>
      </c>
      <c r="AQ44" s="584">
        <v>223.4574375</v>
      </c>
      <c r="AR44" s="584">
        <v>147</v>
      </c>
      <c r="AS44" s="584">
        <v>79.390999999999906</v>
      </c>
      <c r="AT44" s="584">
        <v>308</v>
      </c>
      <c r="AU44" s="584">
        <v>0</v>
      </c>
      <c r="AV44" s="584">
        <v>0</v>
      </c>
      <c r="AW44" s="584">
        <v>0</v>
      </c>
      <c r="AX44" s="584">
        <v>0</v>
      </c>
      <c r="AY44" s="584">
        <v>0</v>
      </c>
      <c r="AZ44" s="584">
        <v>0</v>
      </c>
      <c r="BA44" s="584">
        <v>0</v>
      </c>
      <c r="BB44" s="584">
        <v>0</v>
      </c>
      <c r="BC44" s="584">
        <v>0</v>
      </c>
      <c r="BD44" s="584">
        <v>0</v>
      </c>
      <c r="BE44" s="584">
        <v>0</v>
      </c>
      <c r="BF44" s="584">
        <v>0</v>
      </c>
      <c r="BG44" s="584">
        <v>0</v>
      </c>
      <c r="BH44" s="584">
        <v>0</v>
      </c>
      <c r="BI44" s="584">
        <v>0</v>
      </c>
      <c r="BJ44" s="584">
        <v>0</v>
      </c>
      <c r="BK44" s="584">
        <v>0</v>
      </c>
      <c r="BL44" s="584">
        <v>0</v>
      </c>
      <c r="BM44" s="584">
        <v>0</v>
      </c>
      <c r="BN44" s="584">
        <v>0</v>
      </c>
      <c r="BO44" s="584">
        <v>0</v>
      </c>
      <c r="BP44" s="584">
        <v>0</v>
      </c>
      <c r="BQ44" s="584">
        <v>0</v>
      </c>
      <c r="BR44" s="584">
        <v>0</v>
      </c>
      <c r="BS44" s="584">
        <v>0</v>
      </c>
      <c r="BT44" s="584">
        <v>0</v>
      </c>
      <c r="BU44" s="584">
        <v>0</v>
      </c>
      <c r="BV44" s="584">
        <v>0</v>
      </c>
      <c r="BW44" s="584">
        <v>0</v>
      </c>
      <c r="BX44" s="584">
        <v>0</v>
      </c>
      <c r="BY44" s="584">
        <v>0</v>
      </c>
      <c r="BZ44" s="584">
        <v>0</v>
      </c>
      <c r="CA44" s="584">
        <v>0</v>
      </c>
      <c r="CB44" s="584">
        <v>0</v>
      </c>
      <c r="CC44" s="584">
        <v>0</v>
      </c>
      <c r="CD44" s="584">
        <v>0</v>
      </c>
      <c r="CE44" s="584">
        <v>0</v>
      </c>
      <c r="CF44" s="584">
        <v>0</v>
      </c>
      <c r="CG44" s="584">
        <v>0</v>
      </c>
      <c r="CH44" s="584">
        <v>0</v>
      </c>
      <c r="CI44" s="584">
        <v>0</v>
      </c>
      <c r="CJ44" s="584">
        <v>0</v>
      </c>
      <c r="CK44" s="584">
        <v>0</v>
      </c>
      <c r="CL44" s="584">
        <v>0</v>
      </c>
      <c r="CM44" s="584">
        <v>0</v>
      </c>
      <c r="CN44" s="584">
        <v>0</v>
      </c>
      <c r="CO44" s="584">
        <v>0</v>
      </c>
      <c r="CP44" s="584">
        <v>0</v>
      </c>
      <c r="CQ44" s="584">
        <v>0</v>
      </c>
      <c r="CR44" s="584">
        <v>0</v>
      </c>
      <c r="CS44" s="584">
        <v>0</v>
      </c>
      <c r="CT44" s="584">
        <v>0</v>
      </c>
      <c r="CU44" s="584">
        <v>0</v>
      </c>
      <c r="CV44" s="584">
        <v>0</v>
      </c>
      <c r="CW44" s="584">
        <v>0</v>
      </c>
      <c r="CX44" s="584">
        <v>0</v>
      </c>
      <c r="CY44" s="584">
        <v>0</v>
      </c>
      <c r="CZ44" s="584">
        <v>0</v>
      </c>
      <c r="DA44" s="584">
        <v>0</v>
      </c>
      <c r="DB44" s="584">
        <v>0</v>
      </c>
      <c r="DC44" s="584">
        <v>0</v>
      </c>
      <c r="DD44" s="584">
        <v>0</v>
      </c>
      <c r="DE44" s="584">
        <v>0</v>
      </c>
      <c r="DF44" s="584">
        <v>0</v>
      </c>
      <c r="DG44" s="584">
        <v>0</v>
      </c>
      <c r="DH44" s="584">
        <v>0</v>
      </c>
      <c r="DI44" s="584">
        <v>0</v>
      </c>
      <c r="DJ44" s="584">
        <v>0</v>
      </c>
      <c r="DK44" s="584">
        <v>0</v>
      </c>
      <c r="DL44" s="584">
        <v>0</v>
      </c>
      <c r="DM44" s="584">
        <v>0</v>
      </c>
      <c r="DN44" s="584">
        <v>0</v>
      </c>
      <c r="DO44" s="584">
        <v>0</v>
      </c>
      <c r="DP44" s="584">
        <v>0</v>
      </c>
      <c r="DQ44" s="584">
        <v>0</v>
      </c>
      <c r="DR44" s="584">
        <v>0</v>
      </c>
      <c r="DS44" s="584">
        <v>0</v>
      </c>
      <c r="DT44" s="584">
        <v>0</v>
      </c>
      <c r="DU44" s="584">
        <v>0</v>
      </c>
      <c r="DV44" s="584">
        <v>0</v>
      </c>
      <c r="DW44" s="584">
        <v>0</v>
      </c>
      <c r="DX44" s="584">
        <v>0</v>
      </c>
      <c r="DY44" s="584">
        <v>0</v>
      </c>
      <c r="DZ44" s="584">
        <v>0</v>
      </c>
      <c r="EA44" s="1062">
        <v>0</v>
      </c>
      <c r="EB44" s="1046">
        <v>0</v>
      </c>
      <c r="EC44" s="1093">
        <v>0</v>
      </c>
      <c r="ED44" s="1046">
        <v>0</v>
      </c>
      <c r="EE44" s="1046">
        <v>0</v>
      </c>
      <c r="EF44" s="1046">
        <v>0</v>
      </c>
      <c r="EG44" s="1046">
        <v>0</v>
      </c>
      <c r="EH44" s="1046">
        <v>0</v>
      </c>
      <c r="EI44" s="1046">
        <v>0</v>
      </c>
      <c r="EJ44" s="1046">
        <v>0</v>
      </c>
      <c r="EK44" s="1046">
        <v>0</v>
      </c>
      <c r="EL44" s="1046">
        <v>0</v>
      </c>
      <c r="EM44" s="1046">
        <v>0</v>
      </c>
      <c r="EN44" s="1046">
        <v>0</v>
      </c>
      <c r="EO44" s="1046">
        <v>0</v>
      </c>
      <c r="EP44" s="1094">
        <v>0</v>
      </c>
      <c r="EQ44" s="1094">
        <v>0</v>
      </c>
      <c r="ER44" s="1094">
        <v>0</v>
      </c>
      <c r="ES44" s="1095">
        <v>0</v>
      </c>
      <c r="ET44" s="1094">
        <v>0</v>
      </c>
      <c r="EU44" s="1094">
        <v>0</v>
      </c>
      <c r="EV44" s="1096">
        <v>0.82789999999999997</v>
      </c>
      <c r="EW44" s="1097">
        <v>0.15</v>
      </c>
      <c r="EX44" s="1096">
        <v>289.50050968399592</v>
      </c>
      <c r="EY44" s="1096">
        <v>1.5443934760448521</v>
      </c>
      <c r="EZ44" s="1096">
        <v>0</v>
      </c>
      <c r="FA44" s="1096">
        <v>30.621249999999996</v>
      </c>
      <c r="FB44" s="1098">
        <v>0</v>
      </c>
      <c r="FC44" s="1098">
        <v>0</v>
      </c>
      <c r="FD44" s="1098" t="s">
        <v>446</v>
      </c>
      <c r="FE44" s="1098" t="s">
        <v>396</v>
      </c>
      <c r="FF44" s="1098">
        <v>1</v>
      </c>
      <c r="FG44" s="1098">
        <v>0</v>
      </c>
      <c r="FH44" s="1098">
        <v>0</v>
      </c>
      <c r="FI44" s="1098">
        <v>0</v>
      </c>
      <c r="FJ44" s="1098">
        <v>0</v>
      </c>
      <c r="FK44" s="1096">
        <v>81.310899249999991</v>
      </c>
      <c r="FL44" s="1096">
        <v>70</v>
      </c>
      <c r="FM44" s="1096">
        <v>162.62179849999998</v>
      </c>
      <c r="FN44" s="1096">
        <v>140</v>
      </c>
      <c r="FO44" s="1096">
        <v>325.24359699999997</v>
      </c>
      <c r="FP44" s="1099">
        <v>280</v>
      </c>
      <c r="FQ44" s="1064">
        <v>1.1157674201721295</v>
      </c>
      <c r="FR44" s="1065">
        <v>0.15</v>
      </c>
      <c r="FS44" s="1066">
        <v>289.50050968399586</v>
      </c>
      <c r="FT44" s="1066">
        <v>3.1754272996334754</v>
      </c>
      <c r="FU44" s="1065"/>
      <c r="FV44" s="1066">
        <v>72.299086106770233</v>
      </c>
      <c r="FW44" s="1065"/>
      <c r="FX44" s="1065"/>
      <c r="FY44" s="1065" t="s">
        <v>436</v>
      </c>
      <c r="FZ44" s="1065" t="s">
        <v>396</v>
      </c>
      <c r="GA44" s="1065">
        <v>1</v>
      </c>
      <c r="GB44" s="1065"/>
      <c r="GC44" s="1065"/>
      <c r="GD44" s="1065"/>
      <c r="GE44" s="1065"/>
      <c r="GF44" s="1066">
        <v>87.608099530336403</v>
      </c>
      <c r="GG44" s="1066">
        <v>70</v>
      </c>
      <c r="GH44" s="1066">
        <v>175.21619906067281</v>
      </c>
      <c r="GI44" s="1066">
        <v>140</v>
      </c>
      <c r="GJ44" s="1066">
        <v>350.43239812134561</v>
      </c>
      <c r="GK44" s="1066">
        <v>280</v>
      </c>
      <c r="GL44" s="584">
        <v>1.0129999999999999</v>
      </c>
      <c r="GM44" s="584">
        <v>0.11</v>
      </c>
      <c r="GN44" s="584"/>
      <c r="GO44" s="584"/>
      <c r="GP44" s="584"/>
      <c r="GQ44" s="584">
        <v>84.097499999999997</v>
      </c>
      <c r="GR44" s="584"/>
      <c r="GS44" s="584">
        <v>56.065239551478101</v>
      </c>
      <c r="GT44" s="584" t="s">
        <v>459</v>
      </c>
      <c r="GU44" s="584" t="s">
        <v>375</v>
      </c>
      <c r="GV44" s="584">
        <v>1</v>
      </c>
      <c r="GW44" s="584"/>
      <c r="GX44" s="584"/>
      <c r="GY44" s="584"/>
      <c r="GZ44" s="584"/>
      <c r="HA44" s="584">
        <v>43.4999295</v>
      </c>
      <c r="HB44" s="584">
        <v>70</v>
      </c>
      <c r="HC44" s="584">
        <v>86.999859000000001</v>
      </c>
      <c r="HD44" s="584">
        <v>140</v>
      </c>
      <c r="HE44" s="584">
        <v>173.999718</v>
      </c>
      <c r="HF44" s="584">
        <v>280</v>
      </c>
      <c r="HG44" s="1100">
        <v>1.55</v>
      </c>
      <c r="HH44" s="1100">
        <v>0.11</v>
      </c>
      <c r="HI44" s="1101">
        <v>0</v>
      </c>
      <c r="HJ44" s="1101">
        <v>0</v>
      </c>
      <c r="HK44" s="1101">
        <v>0</v>
      </c>
      <c r="HL44" s="1101">
        <v>0</v>
      </c>
      <c r="HM44" s="1101">
        <v>83.74499999999999</v>
      </c>
      <c r="HN44" s="1101">
        <v>54.999999999999993</v>
      </c>
      <c r="HO44" s="1101">
        <v>0</v>
      </c>
      <c r="HP44" s="1101">
        <v>0</v>
      </c>
      <c r="HQ44" s="1101">
        <v>1</v>
      </c>
      <c r="HR44" s="1101">
        <v>0.76</v>
      </c>
      <c r="HS44" s="1101">
        <v>1.44</v>
      </c>
      <c r="HT44" s="1101">
        <v>0.28000000000000003</v>
      </c>
      <c r="HU44" s="1101">
        <v>0.3</v>
      </c>
      <c r="HV44" s="1101">
        <v>43.221768999999995</v>
      </c>
      <c r="HW44" s="1101">
        <v>70</v>
      </c>
      <c r="HX44" s="1101">
        <v>86.44353799999999</v>
      </c>
      <c r="HY44" s="1101">
        <v>140</v>
      </c>
      <c r="HZ44" s="1101">
        <v>172.88707599999998</v>
      </c>
      <c r="IA44" s="1101">
        <v>280</v>
      </c>
      <c r="IB44" s="1102"/>
      <c r="IC44" s="1092"/>
      <c r="ID44" s="1050"/>
      <c r="IE44" s="1050"/>
      <c r="IF44" s="1103"/>
      <c r="IG44" s="1103"/>
      <c r="IH44" s="1103"/>
      <c r="II44" s="1103"/>
      <c r="IJ44" s="1103"/>
      <c r="IK44" s="1103"/>
      <c r="IL44" s="1103"/>
      <c r="IM44" s="1050"/>
      <c r="IN44" s="1050"/>
      <c r="IO44" s="1050"/>
      <c r="IP44" s="1050"/>
      <c r="IQ44" s="1103"/>
      <c r="IR44" s="1103"/>
      <c r="IS44" s="1103"/>
      <c r="IT44" s="1103"/>
      <c r="IU44" s="1103"/>
      <c r="IV44" s="1103"/>
      <c r="JR44" s="1092"/>
      <c r="JS44" s="1092"/>
      <c r="JU44" s="1050"/>
      <c r="JV44" s="1103"/>
      <c r="JW44" s="1103"/>
      <c r="JX44" s="1103"/>
      <c r="JY44" s="1103"/>
      <c r="JZ44" s="1103"/>
      <c r="KA44" s="1103"/>
      <c r="KB44" s="1103"/>
      <c r="KC44" s="1050"/>
      <c r="KD44" s="1050"/>
      <c r="KE44" s="1050"/>
      <c r="KF44" s="1050"/>
      <c r="KG44" s="1103"/>
      <c r="KH44" s="1103"/>
      <c r="KI44" s="1103"/>
      <c r="KJ44" s="1103"/>
      <c r="KK44" s="1103"/>
      <c r="KL44" s="1103"/>
      <c r="KM44" s="1103"/>
      <c r="KN44" s="1103"/>
    </row>
    <row r="45" spans="2:300">
      <c r="B45" s="1048" t="str">
        <f t="shared" si="2"/>
        <v>O66</v>
      </c>
      <c r="C45" s="1046">
        <v>6</v>
      </c>
      <c r="D45" s="1046">
        <v>6</v>
      </c>
      <c r="E45" s="584">
        <v>0.21</v>
      </c>
      <c r="F45" s="584">
        <v>0.21</v>
      </c>
      <c r="G45" s="584">
        <v>504</v>
      </c>
      <c r="H45" s="584">
        <v>15.54</v>
      </c>
      <c r="I45" s="584">
        <v>0</v>
      </c>
      <c r="J45" s="584">
        <v>0</v>
      </c>
      <c r="K45" s="584">
        <v>0</v>
      </c>
      <c r="L45" s="584">
        <v>0</v>
      </c>
      <c r="M45" s="584">
        <v>0</v>
      </c>
      <c r="N45" s="584">
        <v>0</v>
      </c>
      <c r="O45" s="584">
        <v>0</v>
      </c>
      <c r="P45" s="584">
        <v>0</v>
      </c>
      <c r="Q45" s="584">
        <v>0</v>
      </c>
      <c r="R45" s="584">
        <v>0</v>
      </c>
      <c r="S45" s="584">
        <v>0</v>
      </c>
      <c r="T45" s="584">
        <v>132.21743749999999</v>
      </c>
      <c r="U45" s="584">
        <v>31.5</v>
      </c>
      <c r="V45" s="584">
        <v>195.31743750000001</v>
      </c>
      <c r="W45" s="584">
        <v>66.150000000000006</v>
      </c>
      <c r="X45" s="584">
        <v>248.571</v>
      </c>
      <c r="Y45" s="584">
        <v>138.6</v>
      </c>
      <c r="Z45" s="584">
        <v>0.2</v>
      </c>
      <c r="AA45" s="584">
        <v>0.2</v>
      </c>
      <c r="AB45" s="584">
        <v>480</v>
      </c>
      <c r="AC45" s="584">
        <v>18</v>
      </c>
      <c r="AD45" s="584">
        <v>0</v>
      </c>
      <c r="AE45" s="584">
        <v>0</v>
      </c>
      <c r="AF45" s="584">
        <v>0</v>
      </c>
      <c r="AG45" s="584">
        <v>0</v>
      </c>
      <c r="AH45" s="584">
        <v>0</v>
      </c>
      <c r="AI45" s="584">
        <v>0</v>
      </c>
      <c r="AJ45" s="584">
        <v>0</v>
      </c>
      <c r="AK45" s="584">
        <v>0</v>
      </c>
      <c r="AL45" s="584">
        <v>0</v>
      </c>
      <c r="AM45" s="584">
        <v>0</v>
      </c>
      <c r="AN45" s="584">
        <v>0</v>
      </c>
      <c r="AO45" s="584">
        <v>129.65743749999999</v>
      </c>
      <c r="AP45" s="584">
        <v>31.5</v>
      </c>
      <c r="AQ45" s="584">
        <v>190.27743749999999</v>
      </c>
      <c r="AR45" s="584">
        <v>66.150000000000006</v>
      </c>
      <c r="AS45" s="584">
        <v>238.67099999999999</v>
      </c>
      <c r="AT45" s="584">
        <v>138.6</v>
      </c>
      <c r="AU45" s="584">
        <v>0.3</v>
      </c>
      <c r="AV45" s="584">
        <v>0.25</v>
      </c>
      <c r="AW45" s="584">
        <v>421.56837307152898</v>
      </c>
      <c r="AX45" s="584">
        <v>19.691619915848499</v>
      </c>
      <c r="AY45" s="584">
        <v>0</v>
      </c>
      <c r="AZ45" s="584">
        <v>0</v>
      </c>
      <c r="BA45" s="584">
        <v>0</v>
      </c>
      <c r="BB45" s="584">
        <v>0</v>
      </c>
      <c r="BC45" s="584">
        <v>0</v>
      </c>
      <c r="BD45" s="584">
        <v>0</v>
      </c>
      <c r="BE45" s="584">
        <v>0</v>
      </c>
      <c r="BF45" s="584">
        <v>0</v>
      </c>
      <c r="BG45" s="584">
        <v>0.3</v>
      </c>
      <c r="BH45" s="584">
        <v>0</v>
      </c>
      <c r="BI45" s="584">
        <v>0.6</v>
      </c>
      <c r="BJ45" s="584">
        <v>127.685951612903</v>
      </c>
      <c r="BK45" s="584">
        <v>31.5</v>
      </c>
      <c r="BL45" s="584">
        <v>180.52345161290299</v>
      </c>
      <c r="BM45" s="584">
        <v>66.150000000000006</v>
      </c>
      <c r="BN45" s="584">
        <v>211.98226209677401</v>
      </c>
      <c r="BO45" s="584">
        <v>138.6</v>
      </c>
      <c r="BP45" s="584">
        <v>0.3</v>
      </c>
      <c r="BQ45" s="584">
        <v>0.13</v>
      </c>
      <c r="BR45" s="584">
        <v>361.48422159887798</v>
      </c>
      <c r="BS45" s="584">
        <v>14.254009467040699</v>
      </c>
      <c r="BT45" s="584">
        <v>0</v>
      </c>
      <c r="BU45" s="584">
        <v>0</v>
      </c>
      <c r="BV45" s="584">
        <v>0</v>
      </c>
      <c r="BW45" s="584">
        <v>0</v>
      </c>
      <c r="BX45" s="584">
        <v>0</v>
      </c>
      <c r="BY45" s="584">
        <v>0</v>
      </c>
      <c r="BZ45" s="584">
        <v>0</v>
      </c>
      <c r="CA45" s="584">
        <v>0.3</v>
      </c>
      <c r="CB45" s="584">
        <v>0.3</v>
      </c>
      <c r="CC45" s="584">
        <v>0.3</v>
      </c>
      <c r="CD45" s="584">
        <v>0.3</v>
      </c>
      <c r="CE45" s="584">
        <v>121.7829</v>
      </c>
      <c r="CF45" s="584">
        <v>31.5</v>
      </c>
      <c r="CG45" s="584">
        <v>168.67665</v>
      </c>
      <c r="CH45" s="584">
        <v>66.150000000000006</v>
      </c>
      <c r="CI45" s="584">
        <v>183.87540000000001</v>
      </c>
      <c r="CJ45" s="584">
        <v>138.6</v>
      </c>
      <c r="CK45" s="584">
        <v>0.32500000000000001</v>
      </c>
      <c r="CL45" s="584">
        <v>0.17</v>
      </c>
      <c r="CM45" s="584">
        <v>441.84782608695701</v>
      </c>
      <c r="CN45" s="584">
        <v>18.3819267180926</v>
      </c>
      <c r="CO45" s="584">
        <v>0</v>
      </c>
      <c r="CP45" s="584">
        <v>0</v>
      </c>
      <c r="CQ45" s="584">
        <v>0</v>
      </c>
      <c r="CR45" s="584">
        <v>0</v>
      </c>
      <c r="CS45" s="584">
        <v>0</v>
      </c>
      <c r="CT45" s="584">
        <v>0</v>
      </c>
      <c r="CU45" s="584">
        <v>0</v>
      </c>
      <c r="CV45" s="584">
        <v>0</v>
      </c>
      <c r="CW45" s="584">
        <v>0.32500000000000001</v>
      </c>
      <c r="CX45" s="584">
        <v>0</v>
      </c>
      <c r="CY45" s="584">
        <v>0.45</v>
      </c>
      <c r="CZ45" s="584">
        <v>131.38435000000001</v>
      </c>
      <c r="DA45" s="584">
        <v>31.5</v>
      </c>
      <c r="DB45" s="584">
        <v>184.56434999999999</v>
      </c>
      <c r="DC45" s="584">
        <v>66.150000000000006</v>
      </c>
      <c r="DD45" s="584">
        <v>219.05685</v>
      </c>
      <c r="DE45" s="584">
        <v>138.6</v>
      </c>
      <c r="DF45" s="584">
        <v>0.35</v>
      </c>
      <c r="DG45" s="584">
        <v>0.2</v>
      </c>
      <c r="DH45" s="584">
        <v>328.54707223001401</v>
      </c>
      <c r="DI45" s="584">
        <v>17.040294179523102</v>
      </c>
      <c r="DJ45" s="584">
        <v>300</v>
      </c>
      <c r="DK45" s="584">
        <v>0</v>
      </c>
      <c r="DL45" s="584">
        <v>0</v>
      </c>
      <c r="DM45" s="584">
        <v>0</v>
      </c>
      <c r="DN45" s="584">
        <v>0</v>
      </c>
      <c r="DO45" s="584">
        <v>0</v>
      </c>
      <c r="DP45" s="584">
        <v>0</v>
      </c>
      <c r="DQ45" s="584">
        <v>0</v>
      </c>
      <c r="DR45" s="584">
        <v>0.35</v>
      </c>
      <c r="DS45" s="584">
        <v>0</v>
      </c>
      <c r="DT45" s="584">
        <v>2.4</v>
      </c>
      <c r="DU45" s="584">
        <v>130.749</v>
      </c>
      <c r="DV45" s="584">
        <v>31.5</v>
      </c>
      <c r="DW45" s="584">
        <v>233.25149999999999</v>
      </c>
      <c r="DX45" s="584">
        <v>66.150000000000006</v>
      </c>
      <c r="DY45" s="584">
        <v>285.10649999999998</v>
      </c>
      <c r="DZ45" s="584">
        <v>138.6</v>
      </c>
      <c r="EA45" s="1062">
        <v>0.56340000000000001</v>
      </c>
      <c r="EB45" s="1046">
        <v>0.2</v>
      </c>
      <c r="EC45" s="1093">
        <v>132.51783893985726</v>
      </c>
      <c r="ED45" s="1046">
        <v>0</v>
      </c>
      <c r="EE45" s="1046">
        <v>285.42303771661568</v>
      </c>
      <c r="EF45" s="1046">
        <v>16.18333333333333</v>
      </c>
      <c r="EG45" s="1046">
        <v>0</v>
      </c>
      <c r="EH45" s="1046">
        <v>0</v>
      </c>
      <c r="EI45" s="1046" t="s">
        <v>475</v>
      </c>
      <c r="EJ45" s="1046" t="s">
        <v>514</v>
      </c>
      <c r="EK45" s="1046">
        <v>0</v>
      </c>
      <c r="EL45" s="1046">
        <v>0</v>
      </c>
      <c r="EM45" s="1046">
        <v>0</v>
      </c>
      <c r="EN45" s="1046">
        <v>0</v>
      </c>
      <c r="EO45" s="1046">
        <v>0</v>
      </c>
      <c r="EP45" s="1094">
        <v>45.528826500000001</v>
      </c>
      <c r="EQ45" s="1094">
        <v>31.5</v>
      </c>
      <c r="ER45" s="1094">
        <v>91.057653000000002</v>
      </c>
      <c r="ES45" s="1095">
        <v>63</v>
      </c>
      <c r="ET45" s="1094">
        <v>182.115306</v>
      </c>
      <c r="EU45" s="1094">
        <v>126</v>
      </c>
      <c r="EV45" s="1096">
        <v>0.51339999999999997</v>
      </c>
      <c r="EW45" s="1097">
        <v>0.15</v>
      </c>
      <c r="EX45" s="1096">
        <v>289.50050968399592</v>
      </c>
      <c r="EY45" s="1096">
        <v>1.5443934760448521</v>
      </c>
      <c r="EZ45" s="1096">
        <v>0</v>
      </c>
      <c r="FA45" s="1096">
        <v>17.899999999999999</v>
      </c>
      <c r="FB45" s="1098">
        <v>0</v>
      </c>
      <c r="FC45" s="1098">
        <v>0</v>
      </c>
      <c r="FD45" s="1098" t="s">
        <v>475</v>
      </c>
      <c r="FE45" s="1098" t="s">
        <v>490</v>
      </c>
      <c r="FF45" s="1098">
        <v>1</v>
      </c>
      <c r="FG45" s="1098">
        <v>0</v>
      </c>
      <c r="FH45" s="1098">
        <v>0</v>
      </c>
      <c r="FI45" s="1098">
        <v>0</v>
      </c>
      <c r="FJ45" s="1098">
        <v>0</v>
      </c>
      <c r="FK45" s="1096">
        <v>35.466745500000002</v>
      </c>
      <c r="FL45" s="1096">
        <v>31.5</v>
      </c>
      <c r="FM45" s="1096">
        <v>70.933491000000004</v>
      </c>
      <c r="FN45" s="1096">
        <v>63</v>
      </c>
      <c r="FO45" s="1096">
        <v>141.86698200000001</v>
      </c>
      <c r="FP45" s="1099">
        <v>126</v>
      </c>
      <c r="FQ45" s="1064">
        <v>0.57475999999999994</v>
      </c>
      <c r="FR45" s="1065">
        <v>0.15</v>
      </c>
      <c r="FS45" s="1066">
        <v>289.50050968399586</v>
      </c>
      <c r="FT45" s="1066">
        <v>3.2237153637237084</v>
      </c>
      <c r="FU45" s="1065"/>
      <c r="FV45" s="1066">
        <v>35.03122609560868</v>
      </c>
      <c r="FW45" s="1065"/>
      <c r="FX45" s="1065"/>
      <c r="FY45" s="1065" t="s">
        <v>490</v>
      </c>
      <c r="FZ45" s="1065" t="s">
        <v>490</v>
      </c>
      <c r="GA45" s="1065">
        <v>1</v>
      </c>
      <c r="GB45" s="1065"/>
      <c r="GC45" s="1065"/>
      <c r="GD45" s="1065"/>
      <c r="GE45" s="1065"/>
      <c r="GF45" s="1066">
        <v>36.137528781444459</v>
      </c>
      <c r="GG45" s="1066">
        <v>31.5</v>
      </c>
      <c r="GH45" s="1066">
        <v>72.275057562888918</v>
      </c>
      <c r="GI45" s="1066">
        <v>63</v>
      </c>
      <c r="GJ45" s="1066">
        <v>144.55011512577784</v>
      </c>
      <c r="GK45" s="1066">
        <v>126</v>
      </c>
      <c r="GL45" s="584">
        <v>0.50800000000000001</v>
      </c>
      <c r="GM45" s="584">
        <v>0.11</v>
      </c>
      <c r="GN45" s="584"/>
      <c r="GO45" s="584"/>
      <c r="GP45" s="584"/>
      <c r="GQ45" s="584">
        <v>17.433333333333302</v>
      </c>
      <c r="GR45" s="584"/>
      <c r="GS45" s="584">
        <v>56.065239551478101</v>
      </c>
      <c r="GT45" s="584" t="s">
        <v>473</v>
      </c>
      <c r="GU45" s="584" t="s">
        <v>498</v>
      </c>
      <c r="GV45" s="584">
        <v>1</v>
      </c>
      <c r="GW45" s="584"/>
      <c r="GX45" s="584"/>
      <c r="GY45" s="584"/>
      <c r="GZ45" s="584"/>
      <c r="HA45" s="584">
        <v>13.689189000000001</v>
      </c>
      <c r="HB45" s="584">
        <v>31.5</v>
      </c>
      <c r="HC45" s="584">
        <v>27.378378000000001</v>
      </c>
      <c r="HD45" s="584">
        <v>63</v>
      </c>
      <c r="HE45" s="584">
        <v>54.756756000000003</v>
      </c>
      <c r="HF45" s="584">
        <v>126</v>
      </c>
      <c r="HG45" s="1100">
        <v>0.63</v>
      </c>
      <c r="HH45" s="1100">
        <v>0.11</v>
      </c>
      <c r="HI45" s="1101">
        <v>0</v>
      </c>
      <c r="HJ45" s="1101">
        <v>0</v>
      </c>
      <c r="HK45" s="1101">
        <v>0</v>
      </c>
      <c r="HL45" s="1101">
        <v>0</v>
      </c>
      <c r="HM45" s="1101">
        <v>28.5</v>
      </c>
      <c r="HN45" s="1101">
        <v>54.999999999999993</v>
      </c>
      <c r="HO45" s="1101">
        <v>0</v>
      </c>
      <c r="HP45" s="1101">
        <v>0</v>
      </c>
      <c r="HQ45" s="1101">
        <v>1</v>
      </c>
      <c r="HR45" s="1101">
        <v>0.52</v>
      </c>
      <c r="HS45" s="1101">
        <v>0.4</v>
      </c>
      <c r="HT45" s="1101">
        <v>0.3</v>
      </c>
      <c r="HU45" s="1101">
        <v>0.28000000000000003</v>
      </c>
      <c r="HV45" s="1101">
        <v>14.572215</v>
      </c>
      <c r="HW45" s="1101">
        <v>31.5</v>
      </c>
      <c r="HX45" s="1101">
        <v>29.14443</v>
      </c>
      <c r="HY45" s="1101">
        <v>63</v>
      </c>
      <c r="HZ45" s="1101">
        <v>58.28886</v>
      </c>
      <c r="IA45" s="1101">
        <v>126</v>
      </c>
      <c r="IB45" s="1062"/>
      <c r="ID45" s="1050"/>
      <c r="IE45" s="1050"/>
      <c r="IF45" s="1103"/>
      <c r="IG45" s="1103"/>
      <c r="IH45" s="1103"/>
      <c r="II45" s="1103"/>
      <c r="IJ45" s="1103"/>
      <c r="IK45" s="1103"/>
      <c r="IL45" s="1103"/>
      <c r="IM45" s="1050"/>
      <c r="IN45" s="1050"/>
      <c r="IO45" s="1050"/>
      <c r="IP45" s="1050"/>
      <c r="IQ45" s="1103"/>
      <c r="IR45" s="1103"/>
      <c r="IS45" s="1103"/>
      <c r="IT45" s="1103"/>
      <c r="IU45" s="1103"/>
      <c r="IV45" s="1103"/>
      <c r="JU45" s="1050"/>
      <c r="JV45" s="1103"/>
      <c r="JW45" s="1103"/>
      <c r="JX45" s="1103"/>
      <c r="JY45" s="1103"/>
      <c r="JZ45" s="1103"/>
      <c r="KA45" s="1103"/>
      <c r="KB45" s="1103"/>
      <c r="KC45" s="1050"/>
      <c r="KD45" s="1050"/>
      <c r="KE45" s="1050"/>
      <c r="KF45" s="1050"/>
      <c r="KG45" s="1103"/>
      <c r="KH45" s="1103"/>
      <c r="KI45" s="1103"/>
      <c r="KJ45" s="1103"/>
      <c r="KK45" s="1103"/>
      <c r="KL45" s="1103"/>
      <c r="KM45" s="1103"/>
      <c r="KN45" s="1103"/>
    </row>
    <row r="46" spans="2:300">
      <c r="B46" s="1048" t="str">
        <f t="shared" si="2"/>
        <v>O67</v>
      </c>
      <c r="C46" s="1046">
        <v>6</v>
      </c>
      <c r="D46" s="1046">
        <v>7</v>
      </c>
      <c r="E46" s="584">
        <v>0.23</v>
      </c>
      <c r="F46" s="584">
        <v>0.23</v>
      </c>
      <c r="G46" s="584">
        <v>552</v>
      </c>
      <c r="H46" s="584">
        <v>16.329999999999998</v>
      </c>
      <c r="I46" s="584">
        <v>0</v>
      </c>
      <c r="J46" s="584">
        <v>0</v>
      </c>
      <c r="K46" s="584">
        <v>0</v>
      </c>
      <c r="L46" s="584">
        <v>0</v>
      </c>
      <c r="M46" s="584">
        <v>0</v>
      </c>
      <c r="N46" s="584">
        <v>0</v>
      </c>
      <c r="O46" s="584">
        <v>0</v>
      </c>
      <c r="P46" s="584">
        <v>0</v>
      </c>
      <c r="Q46" s="584">
        <v>0</v>
      </c>
      <c r="R46" s="584">
        <v>0</v>
      </c>
      <c r="S46" s="584">
        <v>0</v>
      </c>
      <c r="T46" s="584">
        <v>153.2374375</v>
      </c>
      <c r="U46" s="584">
        <v>36.75</v>
      </c>
      <c r="V46" s="584">
        <v>238.78743750000001</v>
      </c>
      <c r="W46" s="584">
        <v>77.174999999999997</v>
      </c>
      <c r="X46" s="584">
        <v>311.601</v>
      </c>
      <c r="Y46" s="584">
        <v>161.69999999999999</v>
      </c>
      <c r="Z46" s="584">
        <v>0.20499999999999999</v>
      </c>
      <c r="AA46" s="584">
        <v>0.20499999999999999</v>
      </c>
      <c r="AB46" s="584">
        <v>492</v>
      </c>
      <c r="AC46" s="584">
        <v>17</v>
      </c>
      <c r="AD46" s="584">
        <v>0</v>
      </c>
      <c r="AE46" s="584">
        <v>0</v>
      </c>
      <c r="AF46" s="584">
        <v>0</v>
      </c>
      <c r="AG46" s="584">
        <v>0</v>
      </c>
      <c r="AH46" s="584">
        <v>0</v>
      </c>
      <c r="AI46" s="584">
        <v>0</v>
      </c>
      <c r="AJ46" s="584">
        <v>0</v>
      </c>
      <c r="AK46" s="584">
        <v>0</v>
      </c>
      <c r="AL46" s="584">
        <v>0</v>
      </c>
      <c r="AM46" s="584">
        <v>0</v>
      </c>
      <c r="AN46" s="584">
        <v>0</v>
      </c>
      <c r="AO46" s="584">
        <v>145.83743749999999</v>
      </c>
      <c r="AP46" s="584">
        <v>36.75</v>
      </c>
      <c r="AQ46" s="584">
        <v>224.08743749999999</v>
      </c>
      <c r="AR46" s="584">
        <v>77.174999999999997</v>
      </c>
      <c r="AS46" s="584">
        <v>282.726</v>
      </c>
      <c r="AT46" s="584">
        <v>161.69999999999999</v>
      </c>
      <c r="AU46" s="584">
        <v>0.35</v>
      </c>
      <c r="AV46" s="584">
        <v>0.25</v>
      </c>
      <c r="AW46" s="584">
        <v>441.0234375</v>
      </c>
      <c r="AX46" s="584">
        <v>21.0696331521739</v>
      </c>
      <c r="AY46" s="584">
        <v>0</v>
      </c>
      <c r="AZ46" s="584">
        <v>0</v>
      </c>
      <c r="BA46" s="584">
        <v>0</v>
      </c>
      <c r="BB46" s="584">
        <v>0</v>
      </c>
      <c r="BC46" s="584">
        <v>0</v>
      </c>
      <c r="BD46" s="584">
        <v>0</v>
      </c>
      <c r="BE46" s="584">
        <v>0</v>
      </c>
      <c r="BF46" s="584">
        <v>0</v>
      </c>
      <c r="BG46" s="584">
        <v>0.35</v>
      </c>
      <c r="BH46" s="584">
        <v>0</v>
      </c>
      <c r="BI46" s="584">
        <v>0.6</v>
      </c>
      <c r="BJ46" s="584">
        <v>144.996359375</v>
      </c>
      <c r="BK46" s="584">
        <v>36.75</v>
      </c>
      <c r="BL46" s="584">
        <v>213.78757031250001</v>
      </c>
      <c r="BM46" s="584">
        <v>77.174999999999997</v>
      </c>
      <c r="BN46" s="584">
        <v>253.900236328125</v>
      </c>
      <c r="BO46" s="584">
        <v>161.69999999999999</v>
      </c>
      <c r="BP46" s="584">
        <v>0.35</v>
      </c>
      <c r="BQ46" s="584">
        <v>0.13500000000000001</v>
      </c>
      <c r="BR46" s="584">
        <v>372.47010869565202</v>
      </c>
      <c r="BS46" s="584">
        <v>15.4164130434783</v>
      </c>
      <c r="BT46" s="584">
        <v>0</v>
      </c>
      <c r="BU46" s="584">
        <v>0</v>
      </c>
      <c r="BV46" s="584">
        <v>0</v>
      </c>
      <c r="BW46" s="584">
        <v>0</v>
      </c>
      <c r="BX46" s="584">
        <v>0</v>
      </c>
      <c r="BY46" s="584">
        <v>0</v>
      </c>
      <c r="BZ46" s="584">
        <v>0</v>
      </c>
      <c r="CA46" s="584">
        <v>0.3</v>
      </c>
      <c r="CB46" s="584">
        <v>0.35</v>
      </c>
      <c r="CC46" s="584">
        <v>0.3</v>
      </c>
      <c r="CD46" s="584">
        <v>0.3</v>
      </c>
      <c r="CE46" s="584">
        <v>135.35355000000001</v>
      </c>
      <c r="CF46" s="584">
        <v>36.75</v>
      </c>
      <c r="CG46" s="584">
        <v>198.040425</v>
      </c>
      <c r="CH46" s="584">
        <v>77.174999999999997</v>
      </c>
      <c r="CI46" s="584">
        <v>219.5823</v>
      </c>
      <c r="CJ46" s="584">
        <v>161.69999999999999</v>
      </c>
      <c r="CK46" s="584">
        <v>0.375</v>
      </c>
      <c r="CL46" s="584">
        <v>0.17</v>
      </c>
      <c r="CM46" s="584">
        <v>447.59459918478302</v>
      </c>
      <c r="CN46" s="584">
        <v>18.7491032608696</v>
      </c>
      <c r="CO46" s="584">
        <v>0</v>
      </c>
      <c r="CP46" s="584">
        <v>0</v>
      </c>
      <c r="CQ46" s="584">
        <v>0</v>
      </c>
      <c r="CR46" s="584">
        <v>0</v>
      </c>
      <c r="CS46" s="584">
        <v>0</v>
      </c>
      <c r="CT46" s="584">
        <v>0</v>
      </c>
      <c r="CU46" s="584">
        <v>0</v>
      </c>
      <c r="CV46" s="584">
        <v>0</v>
      </c>
      <c r="CW46" s="584">
        <v>0.375</v>
      </c>
      <c r="CX46" s="584">
        <v>0</v>
      </c>
      <c r="CY46" s="584">
        <v>0.45</v>
      </c>
      <c r="CZ46" s="584">
        <v>146.4081625</v>
      </c>
      <c r="DA46" s="584">
        <v>36.75</v>
      </c>
      <c r="DB46" s="584">
        <v>215.014725</v>
      </c>
      <c r="DC46" s="584">
        <v>77.174999999999997</v>
      </c>
      <c r="DD46" s="584">
        <v>257.94659999999999</v>
      </c>
      <c r="DE46" s="584">
        <v>161.69999999999999</v>
      </c>
      <c r="DF46" s="584">
        <v>0.35</v>
      </c>
      <c r="DG46" s="584">
        <v>0.2</v>
      </c>
      <c r="DH46" s="584">
        <v>328.78736413043498</v>
      </c>
      <c r="DI46" s="584">
        <v>19.217199275362301</v>
      </c>
      <c r="DJ46" s="584">
        <v>300</v>
      </c>
      <c r="DK46" s="584">
        <v>0</v>
      </c>
      <c r="DL46" s="584">
        <v>0</v>
      </c>
      <c r="DM46" s="584">
        <v>0</v>
      </c>
      <c r="DN46" s="584">
        <v>0</v>
      </c>
      <c r="DO46" s="584">
        <v>0</v>
      </c>
      <c r="DP46" s="584">
        <v>0</v>
      </c>
      <c r="DQ46" s="584">
        <v>0</v>
      </c>
      <c r="DR46" s="584">
        <v>0.35</v>
      </c>
      <c r="DS46" s="584">
        <v>0</v>
      </c>
      <c r="DT46" s="584">
        <v>2.4</v>
      </c>
      <c r="DU46" s="584">
        <v>145.34450000000001</v>
      </c>
      <c r="DV46" s="584">
        <v>36.75</v>
      </c>
      <c r="DW46" s="584">
        <v>256.86075</v>
      </c>
      <c r="DX46" s="584">
        <v>77.174999999999997</v>
      </c>
      <c r="DY46" s="584">
        <v>331.18650000000002</v>
      </c>
      <c r="DZ46" s="584">
        <v>161.69999999999999</v>
      </c>
      <c r="EA46" s="1062">
        <v>0.56340000000000001</v>
      </c>
      <c r="EB46" s="1046">
        <v>0.2</v>
      </c>
      <c r="EC46" s="1093">
        <v>132.51783893985726</v>
      </c>
      <c r="ED46" s="1046">
        <v>0</v>
      </c>
      <c r="EE46" s="1046">
        <v>285.42303771661568</v>
      </c>
      <c r="EF46" s="1046">
        <v>15.75238095238095</v>
      </c>
      <c r="EG46" s="1046">
        <v>0</v>
      </c>
      <c r="EH46" s="1046">
        <v>0</v>
      </c>
      <c r="EI46" s="1046" t="s">
        <v>475</v>
      </c>
      <c r="EJ46" s="1046" t="s">
        <v>505</v>
      </c>
      <c r="EK46" s="1046">
        <v>0</v>
      </c>
      <c r="EL46" s="1046">
        <v>0</v>
      </c>
      <c r="EM46" s="1046">
        <v>0</v>
      </c>
      <c r="EN46" s="1046">
        <v>0</v>
      </c>
      <c r="EO46" s="1046">
        <v>0</v>
      </c>
      <c r="EP46" s="1094">
        <v>53.072574000000003</v>
      </c>
      <c r="EQ46" s="1094">
        <v>36.75</v>
      </c>
      <c r="ER46" s="1094">
        <v>106.14514800000001</v>
      </c>
      <c r="ES46" s="1095">
        <v>73.5</v>
      </c>
      <c r="ET46" s="1094">
        <v>212.29029600000001</v>
      </c>
      <c r="EU46" s="1094">
        <v>147</v>
      </c>
      <c r="EV46" s="1096">
        <v>0.60460000000000003</v>
      </c>
      <c r="EW46" s="1097">
        <v>0.15</v>
      </c>
      <c r="EX46" s="1096">
        <v>289.50050968399592</v>
      </c>
      <c r="EY46" s="1096">
        <v>1.5443934760448521</v>
      </c>
      <c r="EZ46" s="1096">
        <v>0</v>
      </c>
      <c r="FA46" s="1096">
        <v>15.259523809523806</v>
      </c>
      <c r="FB46" s="1098">
        <v>0</v>
      </c>
      <c r="FC46" s="1098">
        <v>0</v>
      </c>
      <c r="FD46" s="1098" t="s">
        <v>459</v>
      </c>
      <c r="FE46" s="1098" t="s">
        <v>490</v>
      </c>
      <c r="FF46" s="1098">
        <v>1</v>
      </c>
      <c r="FG46" s="1098">
        <v>0</v>
      </c>
      <c r="FH46" s="1098">
        <v>0</v>
      </c>
      <c r="FI46" s="1098">
        <v>0</v>
      </c>
      <c r="FJ46" s="1098">
        <v>0</v>
      </c>
      <c r="FK46" s="1096">
        <v>41.105887500000001</v>
      </c>
      <c r="FL46" s="1096">
        <v>36.75</v>
      </c>
      <c r="FM46" s="1096">
        <v>82.211775000000003</v>
      </c>
      <c r="FN46" s="1096">
        <v>73.5</v>
      </c>
      <c r="FO46" s="1096">
        <v>164.42355000000001</v>
      </c>
      <c r="FP46" s="1099">
        <v>147</v>
      </c>
      <c r="FQ46" s="1064">
        <v>0.57475999999999994</v>
      </c>
      <c r="FR46" s="1065">
        <v>0.15</v>
      </c>
      <c r="FS46" s="1066">
        <v>289.50050968399586</v>
      </c>
      <c r="FT46" s="1066">
        <v>3.2237153637237084</v>
      </c>
      <c r="FU46" s="1065"/>
      <c r="FV46" s="1066">
        <v>33.955083985766308</v>
      </c>
      <c r="FW46" s="1065"/>
      <c r="FX46" s="1065"/>
      <c r="FY46" s="1065" t="s">
        <v>490</v>
      </c>
      <c r="FZ46" s="1065" t="s">
        <v>490</v>
      </c>
      <c r="GA46" s="1065">
        <v>1</v>
      </c>
      <c r="GB46" s="1065"/>
      <c r="GC46" s="1065"/>
      <c r="GD46" s="1065"/>
      <c r="GE46" s="1065"/>
      <c r="GF46" s="1066">
        <v>42.049602226994217</v>
      </c>
      <c r="GG46" s="1066">
        <v>36.75</v>
      </c>
      <c r="GH46" s="1066">
        <v>84.099204453988435</v>
      </c>
      <c r="GI46" s="1066">
        <v>73.5</v>
      </c>
      <c r="GJ46" s="1066">
        <v>168.19840890797687</v>
      </c>
      <c r="GK46" s="1066">
        <v>147</v>
      </c>
      <c r="GL46" s="584">
        <v>0.51319999999999999</v>
      </c>
      <c r="GM46" s="584">
        <v>0.11</v>
      </c>
      <c r="GN46" s="584"/>
      <c r="GO46" s="584"/>
      <c r="GP46" s="584"/>
      <c r="GQ46" s="584">
        <v>20.904761904761902</v>
      </c>
      <c r="GR46" s="584"/>
      <c r="GS46" s="584">
        <v>56.065239551478101</v>
      </c>
      <c r="GT46" s="584" t="s">
        <v>473</v>
      </c>
      <c r="GU46" s="584" t="s">
        <v>471</v>
      </c>
      <c r="GV46" s="584">
        <v>1</v>
      </c>
      <c r="GW46" s="584"/>
      <c r="GX46" s="584"/>
      <c r="GY46" s="584"/>
      <c r="GZ46" s="584"/>
      <c r="HA46" s="584">
        <v>16.328295000000001</v>
      </c>
      <c r="HB46" s="584">
        <v>36.75</v>
      </c>
      <c r="HC46" s="584">
        <v>32.656590000000001</v>
      </c>
      <c r="HD46" s="584">
        <v>73.5</v>
      </c>
      <c r="HE46" s="584">
        <v>65.313180000000003</v>
      </c>
      <c r="HF46" s="584">
        <v>147</v>
      </c>
      <c r="HG46" s="1100">
        <v>0.67</v>
      </c>
      <c r="HH46" s="1100">
        <v>0.11</v>
      </c>
      <c r="HI46" s="1101">
        <v>0</v>
      </c>
      <c r="HJ46" s="1101">
        <v>0</v>
      </c>
      <c r="HK46" s="1101">
        <v>0</v>
      </c>
      <c r="HL46" s="1101">
        <v>0</v>
      </c>
      <c r="HM46" s="1101">
        <v>32.4</v>
      </c>
      <c r="HN46" s="1101">
        <v>54.999999999999993</v>
      </c>
      <c r="HO46" s="1101">
        <v>0</v>
      </c>
      <c r="HP46" s="1101">
        <v>0</v>
      </c>
      <c r="HQ46" s="1101">
        <v>1</v>
      </c>
      <c r="HR46" s="1101">
        <v>0.56000000000000005</v>
      </c>
      <c r="HS46" s="1101">
        <v>0.48</v>
      </c>
      <c r="HT46" s="1101">
        <v>0.3</v>
      </c>
      <c r="HU46" s="1101">
        <v>0.3</v>
      </c>
      <c r="HV46" s="1101">
        <v>17.402636999999999</v>
      </c>
      <c r="HW46" s="1101">
        <v>36.75</v>
      </c>
      <c r="HX46" s="1101">
        <v>34.805273999999997</v>
      </c>
      <c r="HY46" s="1101">
        <v>73.5</v>
      </c>
      <c r="HZ46" s="1101">
        <v>69.610547999999994</v>
      </c>
      <c r="IA46" s="1101">
        <v>147</v>
      </c>
      <c r="IB46" s="1062"/>
      <c r="ID46" s="1050"/>
      <c r="IE46" s="1050"/>
      <c r="IF46" s="1103"/>
      <c r="IG46" s="1103"/>
      <c r="IH46" s="1103"/>
      <c r="II46" s="1103"/>
      <c r="IJ46" s="1103"/>
      <c r="IK46" s="1103"/>
      <c r="IL46" s="1103"/>
      <c r="IM46" s="1050"/>
      <c r="IN46" s="1050"/>
      <c r="IO46" s="1050"/>
      <c r="IP46" s="1050"/>
      <c r="IQ46" s="1103"/>
      <c r="IR46" s="1103"/>
      <c r="IS46" s="1103"/>
      <c r="IT46" s="1103"/>
      <c r="IU46" s="1103"/>
      <c r="IV46" s="1103"/>
      <c r="JU46" s="1050"/>
      <c r="JV46" s="1103"/>
      <c r="JW46" s="1103"/>
      <c r="JX46" s="1103"/>
      <c r="JY46" s="1103"/>
      <c r="JZ46" s="1103"/>
      <c r="KA46" s="1103"/>
      <c r="KB46" s="1103"/>
      <c r="KC46" s="1050"/>
      <c r="KD46" s="1050"/>
      <c r="KE46" s="1050"/>
      <c r="KF46" s="1050"/>
      <c r="KG46" s="1103"/>
      <c r="KH46" s="1103"/>
      <c r="KI46" s="1103"/>
      <c r="KJ46" s="1103"/>
      <c r="KK46" s="1103"/>
      <c r="KL46" s="1103"/>
      <c r="KM46" s="1103"/>
      <c r="KN46" s="1103"/>
    </row>
    <row r="47" spans="2:300">
      <c r="B47" s="1048" t="str">
        <f t="shared" si="2"/>
        <v>O68</v>
      </c>
      <c r="C47" s="1046">
        <v>6</v>
      </c>
      <c r="D47" s="1046">
        <v>8</v>
      </c>
      <c r="E47" s="584">
        <v>0.26</v>
      </c>
      <c r="F47" s="584">
        <v>0.26</v>
      </c>
      <c r="G47" s="584">
        <v>624</v>
      </c>
      <c r="H47" s="584">
        <v>18.46</v>
      </c>
      <c r="I47" s="584">
        <v>0</v>
      </c>
      <c r="J47" s="584">
        <v>0</v>
      </c>
      <c r="K47" s="584">
        <v>0</v>
      </c>
      <c r="L47" s="584">
        <v>0</v>
      </c>
      <c r="M47" s="584">
        <v>0</v>
      </c>
      <c r="N47" s="584">
        <v>0</v>
      </c>
      <c r="O47" s="584">
        <v>0</v>
      </c>
      <c r="P47" s="584">
        <v>0</v>
      </c>
      <c r="Q47" s="584">
        <v>0</v>
      </c>
      <c r="R47" s="584">
        <v>0</v>
      </c>
      <c r="S47" s="584">
        <v>0</v>
      </c>
      <c r="T47" s="584">
        <v>179.21743749999999</v>
      </c>
      <c r="U47" s="584">
        <v>42</v>
      </c>
      <c r="V47" s="584">
        <v>292.33743750000002</v>
      </c>
      <c r="W47" s="584">
        <v>88.2</v>
      </c>
      <c r="X47" s="584">
        <v>394.43099999999998</v>
      </c>
      <c r="Y47" s="584">
        <v>184.8</v>
      </c>
      <c r="Z47" s="584">
        <v>0.22</v>
      </c>
      <c r="AA47" s="584">
        <v>0.22</v>
      </c>
      <c r="AB47" s="584">
        <v>528</v>
      </c>
      <c r="AC47" s="584">
        <v>16</v>
      </c>
      <c r="AD47" s="584">
        <v>0</v>
      </c>
      <c r="AE47" s="584">
        <v>0</v>
      </c>
      <c r="AF47" s="584">
        <v>0</v>
      </c>
      <c r="AG47" s="584">
        <v>0</v>
      </c>
      <c r="AH47" s="584">
        <v>0</v>
      </c>
      <c r="AI47" s="584">
        <v>0</v>
      </c>
      <c r="AJ47" s="584">
        <v>0</v>
      </c>
      <c r="AK47" s="584">
        <v>0</v>
      </c>
      <c r="AL47" s="584">
        <v>0</v>
      </c>
      <c r="AM47" s="584">
        <v>0</v>
      </c>
      <c r="AN47" s="584">
        <v>0</v>
      </c>
      <c r="AO47" s="584">
        <v>165.77743749999999</v>
      </c>
      <c r="AP47" s="584">
        <v>42</v>
      </c>
      <c r="AQ47" s="584">
        <v>265.45743750000003</v>
      </c>
      <c r="AR47" s="584">
        <v>88.2</v>
      </c>
      <c r="AS47" s="584">
        <v>341.63099999999997</v>
      </c>
      <c r="AT47" s="584">
        <v>184.8</v>
      </c>
      <c r="AU47" s="584">
        <v>0.45</v>
      </c>
      <c r="AV47" s="584">
        <v>0.25</v>
      </c>
      <c r="AW47" s="584">
        <v>453.86035259809103</v>
      </c>
      <c r="AX47" s="584">
        <v>19.489478393425198</v>
      </c>
      <c r="AY47" s="584">
        <v>0</v>
      </c>
      <c r="AZ47" s="584">
        <v>0</v>
      </c>
      <c r="BA47" s="584">
        <v>0</v>
      </c>
      <c r="BB47" s="584">
        <v>0</v>
      </c>
      <c r="BC47" s="584">
        <v>0</v>
      </c>
      <c r="BD47" s="584">
        <v>0</v>
      </c>
      <c r="BE47" s="584">
        <v>0</v>
      </c>
      <c r="BF47" s="584">
        <v>0</v>
      </c>
      <c r="BG47" s="584">
        <v>0.45</v>
      </c>
      <c r="BH47" s="584">
        <v>0</v>
      </c>
      <c r="BI47" s="584">
        <v>0.45</v>
      </c>
      <c r="BJ47" s="584">
        <v>161.33655487804899</v>
      </c>
      <c r="BK47" s="584">
        <v>42</v>
      </c>
      <c r="BL47" s="584">
        <v>246.37810975609801</v>
      </c>
      <c r="BM47" s="584">
        <v>88.2</v>
      </c>
      <c r="BN47" s="584">
        <v>297.21717987804902</v>
      </c>
      <c r="BO47" s="584">
        <v>184.8</v>
      </c>
      <c r="BP47" s="584">
        <v>0.45</v>
      </c>
      <c r="BQ47" s="584">
        <v>0.14000000000000001</v>
      </c>
      <c r="BR47" s="584">
        <v>425.498939554613</v>
      </c>
      <c r="BS47" s="584">
        <v>19.759159597030798</v>
      </c>
      <c r="BT47" s="584">
        <v>0</v>
      </c>
      <c r="BU47" s="584">
        <v>0</v>
      </c>
      <c r="BV47" s="584">
        <v>0</v>
      </c>
      <c r="BW47" s="584">
        <v>0</v>
      </c>
      <c r="BX47" s="584">
        <v>0</v>
      </c>
      <c r="BY47" s="584">
        <v>0</v>
      </c>
      <c r="BZ47" s="584">
        <v>0</v>
      </c>
      <c r="CA47" s="584">
        <v>0.3</v>
      </c>
      <c r="CB47" s="584">
        <v>0.45</v>
      </c>
      <c r="CC47" s="584">
        <v>0.3</v>
      </c>
      <c r="CD47" s="584">
        <v>0.3</v>
      </c>
      <c r="CE47" s="584">
        <v>161.5027</v>
      </c>
      <c r="CF47" s="584">
        <v>42</v>
      </c>
      <c r="CG47" s="584">
        <v>249.43020000000001</v>
      </c>
      <c r="CH47" s="584">
        <v>88.2</v>
      </c>
      <c r="CI47" s="584">
        <v>260.3802</v>
      </c>
      <c r="CJ47" s="584">
        <v>184.8</v>
      </c>
      <c r="CK47" s="584">
        <v>0.45</v>
      </c>
      <c r="CL47" s="584">
        <v>0.17</v>
      </c>
      <c r="CM47" s="584">
        <v>460.25389382290598</v>
      </c>
      <c r="CN47" s="584">
        <v>18.7319041622481</v>
      </c>
      <c r="CO47" s="584">
        <v>0</v>
      </c>
      <c r="CP47" s="584">
        <v>0</v>
      </c>
      <c r="CQ47" s="584">
        <v>0</v>
      </c>
      <c r="CR47" s="584">
        <v>0</v>
      </c>
      <c r="CS47" s="584">
        <v>0</v>
      </c>
      <c r="CT47" s="584">
        <v>0</v>
      </c>
      <c r="CU47" s="584">
        <v>0</v>
      </c>
      <c r="CV47" s="584">
        <v>0</v>
      </c>
      <c r="CW47" s="584">
        <v>0.45</v>
      </c>
      <c r="CX47" s="584">
        <v>0</v>
      </c>
      <c r="CY47" s="584">
        <v>0.45</v>
      </c>
      <c r="CZ47" s="584">
        <v>163.25559999999999</v>
      </c>
      <c r="DA47" s="584">
        <v>42</v>
      </c>
      <c r="DB47" s="584">
        <v>247.7106</v>
      </c>
      <c r="DC47" s="584">
        <v>88.2</v>
      </c>
      <c r="DD47" s="584">
        <v>300.1506</v>
      </c>
      <c r="DE47" s="584">
        <v>184.8</v>
      </c>
      <c r="DF47" s="584">
        <v>0.35</v>
      </c>
      <c r="DG47" s="584">
        <v>0.2</v>
      </c>
      <c r="DH47" s="584">
        <v>335.154758748674</v>
      </c>
      <c r="DI47" s="584">
        <v>19.6480803287381</v>
      </c>
      <c r="DJ47" s="584">
        <v>300</v>
      </c>
      <c r="DK47" s="584">
        <v>0</v>
      </c>
      <c r="DL47" s="584">
        <v>0</v>
      </c>
      <c r="DM47" s="584">
        <v>0</v>
      </c>
      <c r="DN47" s="584">
        <v>0</v>
      </c>
      <c r="DO47" s="584">
        <v>0</v>
      </c>
      <c r="DP47" s="584">
        <v>0</v>
      </c>
      <c r="DQ47" s="584">
        <v>0</v>
      </c>
      <c r="DR47" s="584">
        <v>0.35</v>
      </c>
      <c r="DS47" s="584">
        <v>0</v>
      </c>
      <c r="DT47" s="584">
        <v>2.4</v>
      </c>
      <c r="DU47" s="584">
        <v>162.19524999999999</v>
      </c>
      <c r="DV47" s="584">
        <v>42</v>
      </c>
      <c r="DW47" s="584">
        <v>280.28775000000002</v>
      </c>
      <c r="DX47" s="584">
        <v>88.2</v>
      </c>
      <c r="DY47" s="584">
        <v>377.26650000000001</v>
      </c>
      <c r="DZ47" s="584">
        <v>184.8</v>
      </c>
      <c r="EA47" s="1062">
        <v>0.65939999999999999</v>
      </c>
      <c r="EB47" s="1046">
        <v>0.25</v>
      </c>
      <c r="EC47" s="1093">
        <v>132.51783893985731</v>
      </c>
      <c r="ED47" s="1046">
        <v>0</v>
      </c>
      <c r="EE47" s="1046">
        <v>346.58511722731902</v>
      </c>
      <c r="EF47" s="1046">
        <v>17.387499999999999</v>
      </c>
      <c r="EG47" s="1046">
        <v>0</v>
      </c>
      <c r="EH47" s="1046">
        <v>0</v>
      </c>
      <c r="EI47" s="1046" t="s">
        <v>466</v>
      </c>
      <c r="EJ47" s="1046" t="s">
        <v>486</v>
      </c>
      <c r="EK47" s="1046">
        <v>0</v>
      </c>
      <c r="EL47" s="1046">
        <v>0</v>
      </c>
      <c r="EM47" s="1046">
        <v>0</v>
      </c>
      <c r="EN47" s="1046">
        <v>0</v>
      </c>
      <c r="EO47" s="1046">
        <v>0</v>
      </c>
      <c r="EP47" s="1094">
        <v>68.046856500000004</v>
      </c>
      <c r="EQ47" s="1094">
        <v>42</v>
      </c>
      <c r="ER47" s="1094">
        <v>136.09371300000001</v>
      </c>
      <c r="ES47" s="1095">
        <v>84</v>
      </c>
      <c r="ET47" s="1094">
        <v>272.18742600000002</v>
      </c>
      <c r="EU47" s="1094">
        <v>168</v>
      </c>
      <c r="EV47" s="1096">
        <v>0.60799999999999998</v>
      </c>
      <c r="EW47" s="1097">
        <v>0.15</v>
      </c>
      <c r="EX47" s="1096">
        <v>289.50050968399592</v>
      </c>
      <c r="EY47" s="1096">
        <v>1.5443934760448521</v>
      </c>
      <c r="EZ47" s="1096">
        <v>0</v>
      </c>
      <c r="FA47" s="1096">
        <v>15.9</v>
      </c>
      <c r="FB47" s="1098">
        <v>0</v>
      </c>
      <c r="FC47" s="1098">
        <v>0</v>
      </c>
      <c r="FD47" s="1098" t="s">
        <v>458</v>
      </c>
      <c r="FE47" s="1098" t="s">
        <v>481</v>
      </c>
      <c r="FF47" s="1098">
        <v>1</v>
      </c>
      <c r="FG47" s="1098">
        <v>0</v>
      </c>
      <c r="FH47" s="1098">
        <v>0</v>
      </c>
      <c r="FI47" s="1098">
        <v>0</v>
      </c>
      <c r="FJ47" s="1098">
        <v>0</v>
      </c>
      <c r="FK47" s="1096">
        <v>47.053554000000005</v>
      </c>
      <c r="FL47" s="1096">
        <v>42</v>
      </c>
      <c r="FM47" s="1096">
        <v>94.107108000000011</v>
      </c>
      <c r="FN47" s="1096">
        <v>84</v>
      </c>
      <c r="FO47" s="1096">
        <v>188.21421600000002</v>
      </c>
      <c r="FP47" s="1099">
        <v>168</v>
      </c>
      <c r="FQ47" s="1064">
        <v>0.64195999999999998</v>
      </c>
      <c r="FR47" s="1065">
        <v>0.15</v>
      </c>
      <c r="FS47" s="1066">
        <v>289.50050968399586</v>
      </c>
      <c r="FT47" s="1066">
        <v>3.2237153637237084</v>
      </c>
      <c r="FU47" s="1065"/>
      <c r="FV47" s="1066">
        <v>33.767284234656628</v>
      </c>
      <c r="FW47" s="1065"/>
      <c r="FX47" s="1065"/>
      <c r="FY47" s="1065" t="s">
        <v>481</v>
      </c>
      <c r="FZ47" s="1065" t="s">
        <v>490</v>
      </c>
      <c r="GA47" s="1065">
        <v>1</v>
      </c>
      <c r="GB47" s="1065"/>
      <c r="GC47" s="1065"/>
      <c r="GD47" s="1065"/>
      <c r="GE47" s="1065"/>
      <c r="GF47" s="1066">
        <v>48.034580472721331</v>
      </c>
      <c r="GG47" s="1066">
        <v>42</v>
      </c>
      <c r="GH47" s="1066">
        <v>96.069160945442661</v>
      </c>
      <c r="GI47" s="1066">
        <v>84</v>
      </c>
      <c r="GJ47" s="1066">
        <v>192.13832189088532</v>
      </c>
      <c r="GK47" s="1066">
        <v>168</v>
      </c>
      <c r="GL47" s="584">
        <v>0.55979999999999996</v>
      </c>
      <c r="GM47" s="584">
        <v>0.11</v>
      </c>
      <c r="GN47" s="584"/>
      <c r="GO47" s="584"/>
      <c r="GP47" s="584"/>
      <c r="GQ47" s="584">
        <v>23.183333333333302</v>
      </c>
      <c r="GR47" s="584"/>
      <c r="GS47" s="584">
        <v>56.065239551478101</v>
      </c>
      <c r="GT47" s="584" t="s">
        <v>471</v>
      </c>
      <c r="GU47" s="584" t="s">
        <v>461</v>
      </c>
      <c r="GV47" s="584">
        <v>1</v>
      </c>
      <c r="GW47" s="584"/>
      <c r="GX47" s="584"/>
      <c r="GY47" s="584"/>
      <c r="GZ47" s="584"/>
      <c r="HA47" s="584">
        <v>18.929141999999999</v>
      </c>
      <c r="HB47" s="584">
        <v>42</v>
      </c>
      <c r="HC47" s="584">
        <v>37.858283999999998</v>
      </c>
      <c r="HD47" s="584">
        <v>84</v>
      </c>
      <c r="HE47" s="584">
        <v>75.716567999999995</v>
      </c>
      <c r="HF47" s="584">
        <v>168</v>
      </c>
      <c r="HG47" s="1100">
        <v>0.71</v>
      </c>
      <c r="HH47" s="1100">
        <v>0.11</v>
      </c>
      <c r="HI47" s="1101">
        <v>0</v>
      </c>
      <c r="HJ47" s="1101">
        <v>0</v>
      </c>
      <c r="HK47" s="1101">
        <v>0</v>
      </c>
      <c r="HL47" s="1101">
        <v>0</v>
      </c>
      <c r="HM47" s="1101">
        <v>35.325000000000003</v>
      </c>
      <c r="HN47" s="1101">
        <v>54.999999999999993</v>
      </c>
      <c r="HO47" s="1101">
        <v>0</v>
      </c>
      <c r="HP47" s="1101">
        <v>0</v>
      </c>
      <c r="HQ47" s="1101">
        <v>1</v>
      </c>
      <c r="HR47" s="1101">
        <v>0.6</v>
      </c>
      <c r="HS47" s="1101">
        <v>0.6</v>
      </c>
      <c r="HT47" s="1101">
        <v>0.3</v>
      </c>
      <c r="HU47" s="1101">
        <v>0.28000000000000003</v>
      </c>
      <c r="HV47" s="1101">
        <v>20.233059000000001</v>
      </c>
      <c r="HW47" s="1101">
        <v>42</v>
      </c>
      <c r="HX47" s="1101">
        <v>40.466118000000002</v>
      </c>
      <c r="HY47" s="1101">
        <v>84</v>
      </c>
      <c r="HZ47" s="1101">
        <v>80.932236000000003</v>
      </c>
      <c r="IA47" s="1101">
        <v>168</v>
      </c>
      <c r="IB47" s="1062"/>
      <c r="ID47" s="1050"/>
      <c r="IE47" s="1050"/>
      <c r="IF47" s="1103"/>
      <c r="IG47" s="1103"/>
      <c r="IH47" s="1103"/>
      <c r="II47" s="1103"/>
      <c r="IJ47" s="1103"/>
      <c r="IK47" s="1103"/>
      <c r="IL47" s="1103"/>
      <c r="IM47" s="1050"/>
      <c r="IN47" s="1050"/>
      <c r="IO47" s="1050"/>
      <c r="IP47" s="1050"/>
      <c r="IQ47" s="1103"/>
      <c r="IR47" s="1103"/>
      <c r="IS47" s="1103"/>
      <c r="IT47" s="1103"/>
      <c r="IU47" s="1103"/>
      <c r="IV47" s="1103"/>
      <c r="JU47" s="1050"/>
      <c r="JV47" s="1103"/>
      <c r="JW47" s="1103"/>
      <c r="JX47" s="1103"/>
      <c r="JY47" s="1103"/>
      <c r="JZ47" s="1103"/>
      <c r="KA47" s="1103"/>
      <c r="KB47" s="1103"/>
      <c r="KC47" s="1050"/>
      <c r="KD47" s="1050"/>
      <c r="KE47" s="1050"/>
      <c r="KF47" s="1050"/>
      <c r="KG47" s="1103"/>
      <c r="KH47" s="1103"/>
      <c r="KI47" s="1103"/>
      <c r="KJ47" s="1103"/>
      <c r="KK47" s="1103"/>
      <c r="KL47" s="1103"/>
      <c r="KM47" s="1103"/>
      <c r="KN47" s="1103"/>
    </row>
    <row r="48" spans="2:300">
      <c r="B48" s="1048" t="str">
        <f t="shared" si="2"/>
        <v>O69</v>
      </c>
      <c r="C48" s="1046">
        <v>6</v>
      </c>
      <c r="D48" s="1046">
        <v>9</v>
      </c>
      <c r="E48" s="584">
        <v>0.3</v>
      </c>
      <c r="F48" s="584">
        <v>0.3</v>
      </c>
      <c r="G48" s="584">
        <v>720</v>
      </c>
      <c r="H48" s="584">
        <v>19.5</v>
      </c>
      <c r="I48" s="584">
        <v>0</v>
      </c>
      <c r="J48" s="584">
        <v>0</v>
      </c>
      <c r="K48" s="584">
        <v>0</v>
      </c>
      <c r="L48" s="584">
        <v>0</v>
      </c>
      <c r="M48" s="584">
        <v>0</v>
      </c>
      <c r="N48" s="584">
        <v>0</v>
      </c>
      <c r="O48" s="584">
        <v>0</v>
      </c>
      <c r="P48" s="584">
        <v>0</v>
      </c>
      <c r="Q48" s="584">
        <v>0</v>
      </c>
      <c r="R48" s="584">
        <v>0</v>
      </c>
      <c r="S48" s="584">
        <v>0</v>
      </c>
      <c r="T48" s="584">
        <v>211.3574375</v>
      </c>
      <c r="U48" s="584">
        <v>47.25</v>
      </c>
      <c r="V48" s="584">
        <v>358.4874375</v>
      </c>
      <c r="W48" s="584">
        <v>99.224999999999994</v>
      </c>
      <c r="X48" s="584">
        <v>502.01100000000002</v>
      </c>
      <c r="Y48" s="584">
        <v>207.9</v>
      </c>
      <c r="Z48" s="584">
        <v>0.245</v>
      </c>
      <c r="AA48" s="584">
        <v>0.245</v>
      </c>
      <c r="AB48" s="584">
        <v>588</v>
      </c>
      <c r="AC48" s="584">
        <v>16</v>
      </c>
      <c r="AD48" s="584">
        <v>0</v>
      </c>
      <c r="AE48" s="584">
        <v>0</v>
      </c>
      <c r="AF48" s="584">
        <v>0</v>
      </c>
      <c r="AG48" s="584">
        <v>0</v>
      </c>
      <c r="AH48" s="584">
        <v>0</v>
      </c>
      <c r="AI48" s="584">
        <v>0</v>
      </c>
      <c r="AJ48" s="584">
        <v>0</v>
      </c>
      <c r="AK48" s="584">
        <v>0</v>
      </c>
      <c r="AL48" s="584">
        <v>0</v>
      </c>
      <c r="AM48" s="584">
        <v>0</v>
      </c>
      <c r="AN48" s="584">
        <v>0</v>
      </c>
      <c r="AO48" s="584">
        <v>190.6774375</v>
      </c>
      <c r="AP48" s="584">
        <v>47.25</v>
      </c>
      <c r="AQ48" s="584">
        <v>316.90743750000001</v>
      </c>
      <c r="AR48" s="584">
        <v>99.224999999999994</v>
      </c>
      <c r="AS48" s="584">
        <v>420.33600000000001</v>
      </c>
      <c r="AT48" s="584">
        <v>207.9</v>
      </c>
      <c r="AU48" s="584">
        <v>0.52500000000000002</v>
      </c>
      <c r="AV48" s="584">
        <v>0.25</v>
      </c>
      <c r="AW48" s="584">
        <v>460.32242438563298</v>
      </c>
      <c r="AX48" s="584">
        <v>19.581063917769399</v>
      </c>
      <c r="AY48" s="584">
        <v>0</v>
      </c>
      <c r="AZ48" s="584">
        <v>0</v>
      </c>
      <c r="BA48" s="584">
        <v>0</v>
      </c>
      <c r="BB48" s="584">
        <v>0</v>
      </c>
      <c r="BC48" s="584">
        <v>0</v>
      </c>
      <c r="BD48" s="584">
        <v>0</v>
      </c>
      <c r="BE48" s="584">
        <v>0</v>
      </c>
      <c r="BF48" s="584">
        <v>0</v>
      </c>
      <c r="BG48" s="584">
        <v>0.52500000000000002</v>
      </c>
      <c r="BH48" s="584">
        <v>0</v>
      </c>
      <c r="BI48" s="584">
        <v>0.45</v>
      </c>
      <c r="BJ48" s="584">
        <v>178.95337499999999</v>
      </c>
      <c r="BK48" s="584">
        <v>47.25</v>
      </c>
      <c r="BL48" s="584">
        <v>278.63493749999998</v>
      </c>
      <c r="BM48" s="584">
        <v>99.224999999999994</v>
      </c>
      <c r="BN48" s="584">
        <v>332.772046875</v>
      </c>
      <c r="BO48" s="584">
        <v>207.9</v>
      </c>
      <c r="BP48" s="584">
        <v>0.55000000000000004</v>
      </c>
      <c r="BQ48" s="584">
        <v>0.14499999999999999</v>
      </c>
      <c r="BR48" s="584">
        <v>427.36460302457499</v>
      </c>
      <c r="BS48" s="584">
        <v>23.123960302457501</v>
      </c>
      <c r="BT48" s="584">
        <v>0</v>
      </c>
      <c r="BU48" s="584">
        <v>0</v>
      </c>
      <c r="BV48" s="584">
        <v>0</v>
      </c>
      <c r="BW48" s="584">
        <v>0</v>
      </c>
      <c r="BX48" s="584">
        <v>0</v>
      </c>
      <c r="BY48" s="584">
        <v>0</v>
      </c>
      <c r="BZ48" s="584">
        <v>0</v>
      </c>
      <c r="CA48" s="584">
        <v>0.3</v>
      </c>
      <c r="CB48" s="584">
        <v>0.55000000000000004</v>
      </c>
      <c r="CC48" s="584">
        <v>0.3</v>
      </c>
      <c r="CD48" s="584">
        <v>0.3</v>
      </c>
      <c r="CE48" s="584">
        <v>171.77685</v>
      </c>
      <c r="CF48" s="584">
        <v>47.25</v>
      </c>
      <c r="CG48" s="584">
        <v>270.069975</v>
      </c>
      <c r="CH48" s="584">
        <v>99.224999999999994</v>
      </c>
      <c r="CI48" s="584">
        <v>304.25310000000002</v>
      </c>
      <c r="CJ48" s="584">
        <v>207.9</v>
      </c>
      <c r="CK48" s="584">
        <v>0.52500000000000002</v>
      </c>
      <c r="CL48" s="584">
        <v>0.17</v>
      </c>
      <c r="CM48" s="584">
        <v>474.46365489130397</v>
      </c>
      <c r="CN48" s="584">
        <v>19.020694706994298</v>
      </c>
      <c r="CO48" s="584">
        <v>0</v>
      </c>
      <c r="CP48" s="584">
        <v>0</v>
      </c>
      <c r="CQ48" s="584">
        <v>0</v>
      </c>
      <c r="CR48" s="584">
        <v>0</v>
      </c>
      <c r="CS48" s="584">
        <v>0</v>
      </c>
      <c r="CT48" s="584">
        <v>0</v>
      </c>
      <c r="CU48" s="584">
        <v>0</v>
      </c>
      <c r="CV48" s="584">
        <v>0</v>
      </c>
      <c r="CW48" s="584">
        <v>0.52500000000000002</v>
      </c>
      <c r="CX48" s="584">
        <v>0</v>
      </c>
      <c r="CY48" s="584">
        <v>0.6</v>
      </c>
      <c r="CZ48" s="584">
        <v>181.5796</v>
      </c>
      <c r="DA48" s="584">
        <v>47.25</v>
      </c>
      <c r="DB48" s="584">
        <v>282.51585</v>
      </c>
      <c r="DC48" s="584">
        <v>99.224999999999994</v>
      </c>
      <c r="DD48" s="584">
        <v>344.0421</v>
      </c>
      <c r="DE48" s="584">
        <v>207.9</v>
      </c>
      <c r="DF48" s="584">
        <v>0.35</v>
      </c>
      <c r="DG48" s="584">
        <v>0.2</v>
      </c>
      <c r="DH48" s="584">
        <v>343.74793241966</v>
      </c>
      <c r="DI48" s="584">
        <v>18.879697306238199</v>
      </c>
      <c r="DJ48" s="584">
        <v>300</v>
      </c>
      <c r="DK48" s="584">
        <v>0</v>
      </c>
      <c r="DL48" s="584">
        <v>0</v>
      </c>
      <c r="DM48" s="584">
        <v>0</v>
      </c>
      <c r="DN48" s="584">
        <v>0</v>
      </c>
      <c r="DO48" s="584">
        <v>0</v>
      </c>
      <c r="DP48" s="584">
        <v>0</v>
      </c>
      <c r="DQ48" s="584">
        <v>0</v>
      </c>
      <c r="DR48" s="584">
        <v>0.35</v>
      </c>
      <c r="DS48" s="584">
        <v>0</v>
      </c>
      <c r="DT48" s="584">
        <v>2.4</v>
      </c>
      <c r="DU48" s="584">
        <v>180.57900000000001</v>
      </c>
      <c r="DV48" s="584">
        <v>47.25</v>
      </c>
      <c r="DW48" s="584">
        <v>303.654</v>
      </c>
      <c r="DX48" s="584">
        <v>99.224999999999994</v>
      </c>
      <c r="DY48" s="584">
        <v>423.34649999999999</v>
      </c>
      <c r="DZ48" s="584">
        <v>207.9</v>
      </c>
      <c r="EA48" s="1062">
        <v>0.71720000000000006</v>
      </c>
      <c r="EB48" s="1046">
        <v>0.3</v>
      </c>
      <c r="EC48" s="1093">
        <v>132.51783893985731</v>
      </c>
      <c r="ED48" s="1046">
        <v>0</v>
      </c>
      <c r="EE48" s="1046">
        <v>397.55351681957183</v>
      </c>
      <c r="EF48" s="1046">
        <v>20.661111111111108</v>
      </c>
      <c r="EG48" s="1046">
        <v>0</v>
      </c>
      <c r="EH48" s="1046">
        <v>0</v>
      </c>
      <c r="EI48" s="1046" t="s">
        <v>463</v>
      </c>
      <c r="EJ48" s="1046" t="s">
        <v>475</v>
      </c>
      <c r="EK48" s="1046">
        <v>0</v>
      </c>
      <c r="EL48" s="1046">
        <v>0</v>
      </c>
      <c r="EM48" s="1046">
        <v>0</v>
      </c>
      <c r="EN48" s="1046">
        <v>0</v>
      </c>
      <c r="EO48" s="1046">
        <v>0</v>
      </c>
      <c r="EP48" s="1094">
        <v>83.736254250000002</v>
      </c>
      <c r="EQ48" s="1094">
        <v>47.25</v>
      </c>
      <c r="ER48" s="1094">
        <v>167.4725085</v>
      </c>
      <c r="ES48" s="1095">
        <v>94.5</v>
      </c>
      <c r="ET48" s="1094">
        <v>334.94501700000001</v>
      </c>
      <c r="EU48" s="1094">
        <v>189</v>
      </c>
      <c r="EV48" s="1096">
        <v>0.60699999999999998</v>
      </c>
      <c r="EW48" s="1097">
        <v>0.15</v>
      </c>
      <c r="EX48" s="1096">
        <v>289.50050968399592</v>
      </c>
      <c r="EY48" s="1096">
        <v>1.5443934760448521</v>
      </c>
      <c r="EZ48" s="1096">
        <v>0</v>
      </c>
      <c r="FA48" s="1096">
        <v>15.755555555555555</v>
      </c>
      <c r="FB48" s="1098">
        <v>0</v>
      </c>
      <c r="FC48" s="1098">
        <v>0</v>
      </c>
      <c r="FD48" s="1098" t="s">
        <v>450</v>
      </c>
      <c r="FE48" s="1098" t="s">
        <v>481</v>
      </c>
      <c r="FF48" s="1098">
        <v>1</v>
      </c>
      <c r="FG48" s="1098">
        <v>0</v>
      </c>
      <c r="FH48" s="1098">
        <v>0</v>
      </c>
      <c r="FI48" s="1098">
        <v>0</v>
      </c>
      <c r="FJ48" s="1098">
        <v>0</v>
      </c>
      <c r="FK48" s="1096">
        <v>52.91611875000001</v>
      </c>
      <c r="FL48" s="1096">
        <v>47.25</v>
      </c>
      <c r="FM48" s="1096">
        <v>105.83223750000002</v>
      </c>
      <c r="FN48" s="1096">
        <v>94.5</v>
      </c>
      <c r="FO48" s="1096">
        <v>211.66447500000004</v>
      </c>
      <c r="FP48" s="1099">
        <v>189</v>
      </c>
      <c r="FQ48" s="1064">
        <v>0.64700000000000002</v>
      </c>
      <c r="FR48" s="1065">
        <v>0.15</v>
      </c>
      <c r="FS48" s="1066">
        <v>289.50050968399586</v>
      </c>
      <c r="FT48" s="1066">
        <v>3.2237153637237084</v>
      </c>
      <c r="FU48" s="1065"/>
      <c r="FV48" s="1066">
        <v>35.332258734637186</v>
      </c>
      <c r="FW48" s="1065"/>
      <c r="FX48" s="1065"/>
      <c r="FY48" s="1065" t="s">
        <v>479</v>
      </c>
      <c r="FZ48" s="1065" t="s">
        <v>481</v>
      </c>
      <c r="GA48" s="1065">
        <v>1</v>
      </c>
      <c r="GB48" s="1065"/>
      <c r="GC48" s="1065"/>
      <c r="GD48" s="1065"/>
      <c r="GE48" s="1065"/>
      <c r="GF48" s="1066">
        <v>54.246160429716419</v>
      </c>
      <c r="GG48" s="1066">
        <v>47.25</v>
      </c>
      <c r="GH48" s="1066">
        <v>108.49232085943284</v>
      </c>
      <c r="GI48" s="1066">
        <v>94.5</v>
      </c>
      <c r="GJ48" s="1066">
        <v>216.98464171886567</v>
      </c>
      <c r="GK48" s="1066">
        <v>189</v>
      </c>
      <c r="GL48" s="584">
        <v>0.63470000000000004</v>
      </c>
      <c r="GM48" s="584">
        <v>0.11</v>
      </c>
      <c r="GN48" s="584"/>
      <c r="GO48" s="584"/>
      <c r="GP48" s="584"/>
      <c r="GQ48" s="584">
        <v>27.711111111111101</v>
      </c>
      <c r="GR48" s="584"/>
      <c r="GS48" s="584">
        <v>56.065239551478101</v>
      </c>
      <c r="GT48" s="584" t="s">
        <v>461</v>
      </c>
      <c r="GU48" s="584" t="s">
        <v>438</v>
      </c>
      <c r="GV48" s="584">
        <v>1</v>
      </c>
      <c r="GW48" s="584"/>
      <c r="GX48" s="584"/>
      <c r="GY48" s="584"/>
      <c r="GZ48" s="584"/>
      <c r="HA48" s="584">
        <v>21.894921</v>
      </c>
      <c r="HB48" s="584">
        <v>47.25</v>
      </c>
      <c r="HC48" s="584">
        <v>43.789842</v>
      </c>
      <c r="HD48" s="584">
        <v>94.5</v>
      </c>
      <c r="HE48" s="584">
        <v>87.579684</v>
      </c>
      <c r="HF48" s="584">
        <v>189</v>
      </c>
      <c r="HG48" s="1100">
        <v>0.79</v>
      </c>
      <c r="HH48" s="1100">
        <v>0.11</v>
      </c>
      <c r="HI48" s="1101">
        <v>0</v>
      </c>
      <c r="HJ48" s="1101">
        <v>0</v>
      </c>
      <c r="HK48" s="1101">
        <v>0</v>
      </c>
      <c r="HL48" s="1101">
        <v>0</v>
      </c>
      <c r="HM48" s="1101">
        <v>40.200000000000003</v>
      </c>
      <c r="HN48" s="1101">
        <v>54.999999999999993</v>
      </c>
      <c r="HO48" s="1101">
        <v>0</v>
      </c>
      <c r="HP48" s="1101">
        <v>0</v>
      </c>
      <c r="HQ48" s="1101">
        <v>1</v>
      </c>
      <c r="HR48" s="1101">
        <v>0.64</v>
      </c>
      <c r="HS48" s="1101">
        <v>0.68</v>
      </c>
      <c r="HT48" s="1101">
        <v>0.3</v>
      </c>
      <c r="HU48" s="1101">
        <v>0.3</v>
      </c>
      <c r="HV48" s="1101">
        <v>23.407812</v>
      </c>
      <c r="HW48" s="1101">
        <v>47.25</v>
      </c>
      <c r="HX48" s="1101">
        <v>46.815624</v>
      </c>
      <c r="HY48" s="1101">
        <v>94.5</v>
      </c>
      <c r="HZ48" s="1101">
        <v>93.631247999999999</v>
      </c>
      <c r="IA48" s="1101">
        <v>189</v>
      </c>
      <c r="IB48" s="1062"/>
      <c r="ID48" s="1050"/>
      <c r="IE48" s="1050"/>
      <c r="IF48" s="1103"/>
      <c r="IG48" s="1103"/>
      <c r="IH48" s="1103"/>
      <c r="II48" s="1103"/>
      <c r="IJ48" s="1103"/>
      <c r="IK48" s="1103"/>
      <c r="IL48" s="1103"/>
      <c r="IM48" s="1050"/>
      <c r="IN48" s="1050"/>
      <c r="IO48" s="1050"/>
      <c r="IP48" s="1050"/>
      <c r="IQ48" s="1103"/>
      <c r="IR48" s="1103"/>
      <c r="IS48" s="1103"/>
      <c r="IT48" s="1103"/>
      <c r="IU48" s="1103"/>
      <c r="IV48" s="1103"/>
      <c r="JU48" s="1050"/>
      <c r="JV48" s="1103"/>
      <c r="JW48" s="1103"/>
      <c r="JX48" s="1103"/>
      <c r="JY48" s="1103"/>
      <c r="JZ48" s="1103"/>
      <c r="KA48" s="1103"/>
      <c r="KB48" s="1103"/>
      <c r="KC48" s="1050"/>
      <c r="KD48" s="1050"/>
      <c r="KE48" s="1050"/>
      <c r="KF48" s="1050"/>
      <c r="KG48" s="1103"/>
      <c r="KH48" s="1103"/>
      <c r="KI48" s="1103"/>
      <c r="KJ48" s="1103"/>
      <c r="KK48" s="1103"/>
      <c r="KL48" s="1103"/>
      <c r="KM48" s="1103"/>
      <c r="KN48" s="1103"/>
    </row>
    <row r="49" spans="2:300">
      <c r="B49" s="1048" t="str">
        <f t="shared" si="2"/>
        <v>O610</v>
      </c>
      <c r="C49" s="1046">
        <v>6</v>
      </c>
      <c r="D49" s="1092">
        <v>10</v>
      </c>
      <c r="E49" s="584">
        <v>0.36</v>
      </c>
      <c r="F49" s="584">
        <v>0.36</v>
      </c>
      <c r="G49" s="584">
        <v>864</v>
      </c>
      <c r="H49" s="584">
        <v>20.16</v>
      </c>
      <c r="I49" s="584">
        <v>0</v>
      </c>
      <c r="J49" s="584">
        <v>0</v>
      </c>
      <c r="K49" s="584">
        <v>0</v>
      </c>
      <c r="L49" s="584">
        <v>0</v>
      </c>
      <c r="M49" s="584">
        <v>0</v>
      </c>
      <c r="N49" s="584">
        <v>0</v>
      </c>
      <c r="O49" s="584">
        <v>0</v>
      </c>
      <c r="P49" s="584">
        <v>0</v>
      </c>
      <c r="Q49" s="584">
        <v>0</v>
      </c>
      <c r="R49" s="584">
        <v>0</v>
      </c>
      <c r="S49" s="584">
        <v>0</v>
      </c>
      <c r="T49" s="584">
        <v>255.0174375</v>
      </c>
      <c r="U49" s="584">
        <v>52.5</v>
      </c>
      <c r="V49" s="584">
        <v>448.15743750000001</v>
      </c>
      <c r="W49" s="584">
        <v>110.25</v>
      </c>
      <c r="X49" s="584">
        <v>655.79100000000005</v>
      </c>
      <c r="Y49" s="584">
        <v>231</v>
      </c>
      <c r="Z49" s="584">
        <v>0.28000000000000003</v>
      </c>
      <c r="AA49" s="584">
        <v>0.28000000000000003</v>
      </c>
      <c r="AB49" s="584">
        <v>672</v>
      </c>
      <c r="AC49" s="584">
        <v>17</v>
      </c>
      <c r="AD49" s="584">
        <v>0</v>
      </c>
      <c r="AE49" s="584">
        <v>0</v>
      </c>
      <c r="AF49" s="584">
        <v>0</v>
      </c>
      <c r="AG49" s="584">
        <v>0</v>
      </c>
      <c r="AH49" s="584">
        <v>0</v>
      </c>
      <c r="AI49" s="584">
        <v>0</v>
      </c>
      <c r="AJ49" s="584">
        <v>0</v>
      </c>
      <c r="AK49" s="584">
        <v>0</v>
      </c>
      <c r="AL49" s="584">
        <v>0</v>
      </c>
      <c r="AM49" s="584">
        <v>0</v>
      </c>
      <c r="AN49" s="584">
        <v>0</v>
      </c>
      <c r="AO49" s="584">
        <v>221.7374375</v>
      </c>
      <c r="AP49" s="584">
        <v>52.5</v>
      </c>
      <c r="AQ49" s="584">
        <v>380.95743750000003</v>
      </c>
      <c r="AR49" s="584">
        <v>110.25</v>
      </c>
      <c r="AS49" s="584">
        <v>523.79100000000005</v>
      </c>
      <c r="AT49" s="584">
        <v>231</v>
      </c>
      <c r="AU49" s="584">
        <v>0.625</v>
      </c>
      <c r="AV49" s="584">
        <v>0.25</v>
      </c>
      <c r="AW49" s="584">
        <v>482.55858375959099</v>
      </c>
      <c r="AX49" s="584">
        <v>19.829603580562701</v>
      </c>
      <c r="AY49" s="584">
        <v>0</v>
      </c>
      <c r="AZ49" s="584">
        <v>0</v>
      </c>
      <c r="BA49" s="584">
        <v>0</v>
      </c>
      <c r="BB49" s="584">
        <v>0</v>
      </c>
      <c r="BC49" s="584">
        <v>0</v>
      </c>
      <c r="BD49" s="584">
        <v>0</v>
      </c>
      <c r="BE49" s="584">
        <v>0</v>
      </c>
      <c r="BF49" s="584">
        <v>0</v>
      </c>
      <c r="BG49" s="584">
        <v>0.625</v>
      </c>
      <c r="BH49" s="584">
        <v>0</v>
      </c>
      <c r="BI49" s="584">
        <v>0.45</v>
      </c>
      <c r="BJ49" s="584">
        <v>198.340117647059</v>
      </c>
      <c r="BK49" s="584">
        <v>52.5</v>
      </c>
      <c r="BL49" s="584">
        <v>315.63241544117602</v>
      </c>
      <c r="BM49" s="584">
        <v>110.25</v>
      </c>
      <c r="BN49" s="584">
        <v>382.93409283088198</v>
      </c>
      <c r="BO49" s="584">
        <v>231</v>
      </c>
      <c r="BP49" s="584">
        <v>0</v>
      </c>
      <c r="BQ49" s="584">
        <v>0</v>
      </c>
      <c r="BR49" s="584">
        <v>0</v>
      </c>
      <c r="BS49" s="584">
        <v>0</v>
      </c>
      <c r="BT49" s="584">
        <v>0</v>
      </c>
      <c r="BU49" s="584">
        <v>0</v>
      </c>
      <c r="BV49" s="584">
        <v>0</v>
      </c>
      <c r="BW49" s="584">
        <v>0</v>
      </c>
      <c r="BX49" s="584">
        <v>0</v>
      </c>
      <c r="BY49" s="584">
        <v>0</v>
      </c>
      <c r="BZ49" s="584">
        <v>0</v>
      </c>
      <c r="CA49" s="584">
        <v>0</v>
      </c>
      <c r="CB49" s="584">
        <v>0</v>
      </c>
      <c r="CC49" s="584">
        <v>0</v>
      </c>
      <c r="CD49" s="584">
        <v>0</v>
      </c>
      <c r="CE49" s="584">
        <v>0</v>
      </c>
      <c r="CF49" s="584">
        <v>0</v>
      </c>
      <c r="CG49" s="584">
        <v>0</v>
      </c>
      <c r="CH49" s="584">
        <v>0</v>
      </c>
      <c r="CI49" s="584">
        <v>0</v>
      </c>
      <c r="CJ49" s="584">
        <v>0</v>
      </c>
      <c r="CK49" s="584">
        <v>0.625</v>
      </c>
      <c r="CL49" s="584">
        <v>0.17</v>
      </c>
      <c r="CM49" s="584">
        <v>491.69920875959099</v>
      </c>
      <c r="CN49" s="584">
        <v>19.348527813299199</v>
      </c>
      <c r="CO49" s="584">
        <v>0</v>
      </c>
      <c r="CP49" s="584">
        <v>0</v>
      </c>
      <c r="CQ49" s="584">
        <v>0</v>
      </c>
      <c r="CR49" s="584">
        <v>0</v>
      </c>
      <c r="CS49" s="584">
        <v>0</v>
      </c>
      <c r="CT49" s="584">
        <v>0</v>
      </c>
      <c r="CU49" s="584">
        <v>0</v>
      </c>
      <c r="CV49" s="584">
        <v>0</v>
      </c>
      <c r="CW49" s="584">
        <v>0.625</v>
      </c>
      <c r="CX49" s="584">
        <v>0</v>
      </c>
      <c r="CY49" s="584">
        <v>0.6</v>
      </c>
      <c r="CZ49" s="584">
        <v>200.40535</v>
      </c>
      <c r="DA49" s="584">
        <v>52.5</v>
      </c>
      <c r="DB49" s="584">
        <v>318.38535000000002</v>
      </c>
      <c r="DC49" s="584">
        <v>110.25</v>
      </c>
      <c r="DD49" s="584">
        <v>392.37285000000003</v>
      </c>
      <c r="DE49" s="584">
        <v>231</v>
      </c>
      <c r="DF49" s="584">
        <v>0.375</v>
      </c>
      <c r="DG49" s="584">
        <v>0.2</v>
      </c>
      <c r="DH49" s="584">
        <v>368.22650255754502</v>
      </c>
      <c r="DI49" s="584">
        <v>18.549541560102298</v>
      </c>
      <c r="DJ49" s="584">
        <v>300</v>
      </c>
      <c r="DK49" s="584">
        <v>0</v>
      </c>
      <c r="DL49" s="584">
        <v>0</v>
      </c>
      <c r="DM49" s="584">
        <v>0</v>
      </c>
      <c r="DN49" s="584">
        <v>0</v>
      </c>
      <c r="DO49" s="584">
        <v>0</v>
      </c>
      <c r="DP49" s="584">
        <v>0</v>
      </c>
      <c r="DQ49" s="584">
        <v>0</v>
      </c>
      <c r="DR49" s="584">
        <v>0.375</v>
      </c>
      <c r="DS49" s="584">
        <v>0</v>
      </c>
      <c r="DT49" s="584">
        <v>2.4</v>
      </c>
      <c r="DU49" s="584">
        <v>199.90025</v>
      </c>
      <c r="DV49" s="584">
        <v>52.5</v>
      </c>
      <c r="DW49" s="584">
        <v>334.52024999999998</v>
      </c>
      <c r="DX49" s="584">
        <v>110.25</v>
      </c>
      <c r="DY49" s="584">
        <v>484.36574999999999</v>
      </c>
      <c r="DZ49" s="584">
        <v>231</v>
      </c>
      <c r="EA49" s="1062">
        <v>0.76579999999999993</v>
      </c>
      <c r="EB49" s="1046">
        <v>0.3</v>
      </c>
      <c r="EC49" s="1093">
        <v>132.51783893985731</v>
      </c>
      <c r="ED49" s="1046">
        <v>0</v>
      </c>
      <c r="EE49" s="1046">
        <v>397.55351681957183</v>
      </c>
      <c r="EF49" s="1046">
        <v>20.576666666666664</v>
      </c>
      <c r="EG49" s="1046">
        <v>0</v>
      </c>
      <c r="EH49" s="1046">
        <v>0</v>
      </c>
      <c r="EI49" s="1046" t="s">
        <v>454</v>
      </c>
      <c r="EJ49" s="1046" t="s">
        <v>465</v>
      </c>
      <c r="EK49" s="1046">
        <v>0</v>
      </c>
      <c r="EL49" s="1046">
        <v>0</v>
      </c>
      <c r="EM49" s="1046">
        <v>0</v>
      </c>
      <c r="EN49" s="1046">
        <v>0</v>
      </c>
      <c r="EO49" s="1046">
        <v>0</v>
      </c>
      <c r="EP49" s="1094">
        <v>93.027856499999999</v>
      </c>
      <c r="EQ49" s="1094">
        <v>52.5</v>
      </c>
      <c r="ER49" s="1094">
        <v>186.055713</v>
      </c>
      <c r="ES49" s="1095">
        <v>105</v>
      </c>
      <c r="ET49" s="1094">
        <v>372.11142599999999</v>
      </c>
      <c r="EU49" s="1094">
        <v>210</v>
      </c>
      <c r="EV49" s="1096">
        <v>0.61</v>
      </c>
      <c r="EW49" s="1097">
        <v>0.15</v>
      </c>
      <c r="EX49" s="1096">
        <v>289.50050968399592</v>
      </c>
      <c r="EY49" s="1096">
        <v>1.5443934760448521</v>
      </c>
      <c r="EZ49" s="1096">
        <v>0</v>
      </c>
      <c r="FA49" s="1096">
        <v>17.216666666666665</v>
      </c>
      <c r="FB49" s="1098">
        <v>0</v>
      </c>
      <c r="FC49" s="1098">
        <v>0</v>
      </c>
      <c r="FD49" s="1098" t="s">
        <v>448</v>
      </c>
      <c r="FE49" s="1098" t="s">
        <v>468</v>
      </c>
      <c r="FF49" s="1098">
        <v>1</v>
      </c>
      <c r="FG49" s="1098">
        <v>0</v>
      </c>
      <c r="FH49" s="1098">
        <v>0</v>
      </c>
      <c r="FI49" s="1098">
        <v>0</v>
      </c>
      <c r="FJ49" s="1098">
        <v>0</v>
      </c>
      <c r="FK49" s="1096">
        <v>59.01068999999999</v>
      </c>
      <c r="FL49" s="1096">
        <v>52.5</v>
      </c>
      <c r="FM49" s="1096">
        <v>118.02137999999998</v>
      </c>
      <c r="FN49" s="1096">
        <v>105</v>
      </c>
      <c r="FO49" s="1096">
        <v>236.04275999999996</v>
      </c>
      <c r="FP49" s="1099">
        <v>210</v>
      </c>
      <c r="FQ49" s="1064">
        <v>0.78455946703562329</v>
      </c>
      <c r="FR49" s="1065">
        <v>0.15</v>
      </c>
      <c r="FS49" s="1066">
        <v>289.50050968399586</v>
      </c>
      <c r="FT49" s="1066">
        <v>3.2237153637237084</v>
      </c>
      <c r="FU49" s="1065"/>
      <c r="FV49" s="1066">
        <v>37.65847780843896</v>
      </c>
      <c r="FW49" s="1065"/>
      <c r="FX49" s="1065"/>
      <c r="FY49" s="1065" t="s">
        <v>461</v>
      </c>
      <c r="FZ49" s="1065" t="s">
        <v>461</v>
      </c>
      <c r="GA49" s="1065">
        <v>1</v>
      </c>
      <c r="GB49" s="1065"/>
      <c r="GC49" s="1065"/>
      <c r="GD49" s="1065"/>
      <c r="GE49" s="1065"/>
      <c r="GF49" s="1066">
        <v>60.615814725283727</v>
      </c>
      <c r="GG49" s="1066">
        <v>52.5</v>
      </c>
      <c r="GH49" s="1066">
        <v>121.23162945056745</v>
      </c>
      <c r="GI49" s="1066">
        <v>105</v>
      </c>
      <c r="GJ49" s="1066">
        <v>242.46325890113491</v>
      </c>
      <c r="GK49" s="1066">
        <v>210</v>
      </c>
      <c r="GL49" s="584">
        <v>0.70860000000000001</v>
      </c>
      <c r="GM49" s="584">
        <v>0.11</v>
      </c>
      <c r="GN49" s="584"/>
      <c r="GO49" s="584"/>
      <c r="GP49" s="584"/>
      <c r="GQ49" s="584">
        <v>32.496666666666698</v>
      </c>
      <c r="GR49" s="584"/>
      <c r="GS49" s="584">
        <v>56.065239551478101</v>
      </c>
      <c r="GT49" s="584" t="s">
        <v>461</v>
      </c>
      <c r="GU49" s="584" t="s">
        <v>416</v>
      </c>
      <c r="GV49" s="584">
        <v>1</v>
      </c>
      <c r="GW49" s="584"/>
      <c r="GX49" s="584"/>
      <c r="GY49" s="584"/>
      <c r="GZ49" s="584"/>
      <c r="HA49" s="584">
        <v>25.0318845</v>
      </c>
      <c r="HB49" s="584">
        <v>52.5</v>
      </c>
      <c r="HC49" s="584">
        <v>50.063769000000001</v>
      </c>
      <c r="HD49" s="584">
        <v>105</v>
      </c>
      <c r="HE49" s="584">
        <v>100.127538</v>
      </c>
      <c r="HF49" s="584">
        <v>210</v>
      </c>
      <c r="HG49" s="1100">
        <v>0.91</v>
      </c>
      <c r="HH49" s="1100">
        <v>0.11</v>
      </c>
      <c r="HI49" s="1101">
        <v>0</v>
      </c>
      <c r="HJ49" s="1101">
        <v>0</v>
      </c>
      <c r="HK49" s="1101">
        <v>0</v>
      </c>
      <c r="HL49" s="1101">
        <v>0</v>
      </c>
      <c r="HM49" s="1101">
        <v>42.78</v>
      </c>
      <c r="HN49" s="1101">
        <v>54.999999999999993</v>
      </c>
      <c r="HO49" s="1101">
        <v>0</v>
      </c>
      <c r="HP49" s="1101">
        <v>0</v>
      </c>
      <c r="HQ49" s="1101">
        <v>1</v>
      </c>
      <c r="HR49" s="1101">
        <v>0.68</v>
      </c>
      <c r="HS49" s="1101">
        <v>0.8</v>
      </c>
      <c r="HT49" s="1101">
        <v>0.3</v>
      </c>
      <c r="HU49" s="1101">
        <v>0.28000000000000003</v>
      </c>
      <c r="HV49" s="1101">
        <v>26.388327000000004</v>
      </c>
      <c r="HW49" s="1101">
        <v>52.5</v>
      </c>
      <c r="HX49" s="1101">
        <v>52.776654000000008</v>
      </c>
      <c r="HY49" s="1101">
        <v>105</v>
      </c>
      <c r="HZ49" s="1101">
        <v>105.55330800000002</v>
      </c>
      <c r="IA49" s="1101">
        <v>210</v>
      </c>
      <c r="IB49" s="1062"/>
      <c r="IC49" s="1092"/>
      <c r="ID49" s="1050"/>
      <c r="IE49" s="1050"/>
      <c r="IF49" s="1103"/>
      <c r="IG49" s="1103"/>
      <c r="IH49" s="1103"/>
      <c r="II49" s="1103"/>
      <c r="IJ49" s="1103"/>
      <c r="IK49" s="1103"/>
      <c r="IL49" s="1103"/>
      <c r="IM49" s="1050"/>
      <c r="IN49" s="1050"/>
      <c r="IO49" s="1050"/>
      <c r="IP49" s="1050"/>
      <c r="IQ49" s="1103"/>
      <c r="IR49" s="1103"/>
      <c r="IS49" s="1103"/>
      <c r="IT49" s="1103"/>
      <c r="IU49" s="1103"/>
      <c r="IV49" s="1103"/>
      <c r="JS49" s="1092"/>
      <c r="JU49" s="1050"/>
      <c r="JV49" s="1103"/>
      <c r="JW49" s="1103"/>
      <c r="JX49" s="1103"/>
      <c r="JY49" s="1103"/>
      <c r="JZ49" s="1103"/>
      <c r="KA49" s="1103"/>
      <c r="KB49" s="1103"/>
      <c r="KC49" s="1050"/>
      <c r="KD49" s="1050"/>
      <c r="KE49" s="1050"/>
      <c r="KF49" s="1050"/>
      <c r="KG49" s="1103"/>
      <c r="KH49" s="1103"/>
      <c r="KI49" s="1103"/>
      <c r="KJ49" s="1103"/>
      <c r="KK49" s="1103"/>
      <c r="KL49" s="1103"/>
      <c r="KM49" s="1103"/>
      <c r="KN49" s="1103"/>
    </row>
    <row r="50" spans="2:300">
      <c r="B50" s="1048" t="str">
        <f t="shared" si="2"/>
        <v>O611</v>
      </c>
      <c r="C50" s="1046">
        <v>6</v>
      </c>
      <c r="D50" s="1092">
        <v>11</v>
      </c>
      <c r="E50" s="584">
        <v>0.40500000000000003</v>
      </c>
      <c r="F50" s="584">
        <v>0.40500000000000003</v>
      </c>
      <c r="G50" s="584">
        <v>972</v>
      </c>
      <c r="H50" s="584">
        <v>22.274999999999999</v>
      </c>
      <c r="I50" s="584">
        <v>0</v>
      </c>
      <c r="J50" s="584">
        <v>0</v>
      </c>
      <c r="K50" s="584">
        <v>0</v>
      </c>
      <c r="L50" s="584">
        <v>0</v>
      </c>
      <c r="M50" s="584">
        <v>0</v>
      </c>
      <c r="N50" s="584">
        <v>0</v>
      </c>
      <c r="O50" s="584">
        <v>0</v>
      </c>
      <c r="P50" s="584">
        <v>0</v>
      </c>
      <c r="Q50" s="584">
        <v>0</v>
      </c>
      <c r="R50" s="584">
        <v>0</v>
      </c>
      <c r="S50" s="584">
        <v>0</v>
      </c>
      <c r="T50" s="584">
        <v>296.63743749999998</v>
      </c>
      <c r="U50" s="584">
        <v>57.75</v>
      </c>
      <c r="V50" s="584">
        <v>534.0474375</v>
      </c>
      <c r="W50" s="584">
        <v>121.27500000000001</v>
      </c>
      <c r="X50" s="584">
        <v>802.14599999999996</v>
      </c>
      <c r="Y50" s="584">
        <v>254.1</v>
      </c>
      <c r="Z50" s="584">
        <v>0.315</v>
      </c>
      <c r="AA50" s="584">
        <v>0.315</v>
      </c>
      <c r="AB50" s="584">
        <v>756</v>
      </c>
      <c r="AC50" s="584">
        <v>18</v>
      </c>
      <c r="AD50" s="584">
        <v>0</v>
      </c>
      <c r="AE50" s="584">
        <v>0</v>
      </c>
      <c r="AF50" s="584">
        <v>0</v>
      </c>
      <c r="AG50" s="584">
        <v>0</v>
      </c>
      <c r="AH50" s="584">
        <v>0</v>
      </c>
      <c r="AI50" s="584">
        <v>0</v>
      </c>
      <c r="AJ50" s="584">
        <v>0</v>
      </c>
      <c r="AK50" s="584">
        <v>0</v>
      </c>
      <c r="AL50" s="584">
        <v>0</v>
      </c>
      <c r="AM50" s="584">
        <v>0</v>
      </c>
      <c r="AN50" s="584">
        <v>0</v>
      </c>
      <c r="AO50" s="584">
        <v>255.59743750000001</v>
      </c>
      <c r="AP50" s="584">
        <v>57.75</v>
      </c>
      <c r="AQ50" s="584">
        <v>450.88743749999998</v>
      </c>
      <c r="AR50" s="584">
        <v>121.27500000000001</v>
      </c>
      <c r="AS50" s="584">
        <v>638.79600000000005</v>
      </c>
      <c r="AT50" s="584">
        <v>254.1</v>
      </c>
      <c r="AU50" s="584">
        <v>0.72499999999999998</v>
      </c>
      <c r="AV50" s="584">
        <v>0.25</v>
      </c>
      <c r="AW50" s="584">
        <v>500.33268633540399</v>
      </c>
      <c r="AX50" s="584">
        <v>20.0220788043478</v>
      </c>
      <c r="AY50" s="584">
        <v>0</v>
      </c>
      <c r="AZ50" s="584">
        <v>0</v>
      </c>
      <c r="BA50" s="584">
        <v>0</v>
      </c>
      <c r="BB50" s="584">
        <v>0</v>
      </c>
      <c r="BC50" s="584">
        <v>0</v>
      </c>
      <c r="BD50" s="584">
        <v>0</v>
      </c>
      <c r="BE50" s="584">
        <v>0</v>
      </c>
      <c r="BF50" s="584">
        <v>0</v>
      </c>
      <c r="BG50" s="584">
        <v>0.72499999999999998</v>
      </c>
      <c r="BH50" s="584">
        <v>0</v>
      </c>
      <c r="BI50" s="584">
        <v>0.45</v>
      </c>
      <c r="BJ50" s="584">
        <v>216.692921875</v>
      </c>
      <c r="BK50" s="584">
        <v>57.75</v>
      </c>
      <c r="BL50" s="584">
        <v>351.69803906250002</v>
      </c>
      <c r="BM50" s="584">
        <v>121.27500000000001</v>
      </c>
      <c r="BN50" s="584">
        <v>435.35722851562502</v>
      </c>
      <c r="BO50" s="584">
        <v>254.1</v>
      </c>
      <c r="BP50" s="584">
        <v>0</v>
      </c>
      <c r="BQ50" s="584">
        <v>0</v>
      </c>
      <c r="BR50" s="584">
        <v>0</v>
      </c>
      <c r="BS50" s="584">
        <v>0</v>
      </c>
      <c r="BT50" s="584">
        <v>0</v>
      </c>
      <c r="BU50" s="584">
        <v>0</v>
      </c>
      <c r="BV50" s="584">
        <v>0</v>
      </c>
      <c r="BW50" s="584">
        <v>0</v>
      </c>
      <c r="BX50" s="584">
        <v>0</v>
      </c>
      <c r="BY50" s="584">
        <v>0</v>
      </c>
      <c r="BZ50" s="584">
        <v>0</v>
      </c>
      <c r="CA50" s="584">
        <v>0</v>
      </c>
      <c r="CB50" s="584">
        <v>0</v>
      </c>
      <c r="CC50" s="584">
        <v>0</v>
      </c>
      <c r="CD50" s="584">
        <v>0</v>
      </c>
      <c r="CE50" s="584">
        <v>0</v>
      </c>
      <c r="CF50" s="584">
        <v>0</v>
      </c>
      <c r="CG50" s="584">
        <v>0</v>
      </c>
      <c r="CH50" s="584">
        <v>0</v>
      </c>
      <c r="CI50" s="584">
        <v>0</v>
      </c>
      <c r="CJ50" s="584">
        <v>0</v>
      </c>
      <c r="CK50" s="584">
        <v>0.9</v>
      </c>
      <c r="CL50" s="584">
        <v>0.17</v>
      </c>
      <c r="CM50" s="584">
        <v>499.584979134317</v>
      </c>
      <c r="CN50" s="584">
        <v>17.780686869177</v>
      </c>
      <c r="CO50" s="584">
        <v>0</v>
      </c>
      <c r="CP50" s="584">
        <v>0</v>
      </c>
      <c r="CQ50" s="584">
        <v>0</v>
      </c>
      <c r="CR50" s="584">
        <v>0</v>
      </c>
      <c r="CS50" s="584">
        <v>0</v>
      </c>
      <c r="CT50" s="584">
        <v>0</v>
      </c>
      <c r="CU50" s="584">
        <v>0</v>
      </c>
      <c r="CV50" s="584">
        <v>0</v>
      </c>
      <c r="CW50" s="584">
        <v>0.9</v>
      </c>
      <c r="CX50" s="584">
        <v>0</v>
      </c>
      <c r="CY50" s="584">
        <v>0.6</v>
      </c>
      <c r="CZ50" s="584">
        <v>218.17303749999999</v>
      </c>
      <c r="DA50" s="584">
        <v>57.75</v>
      </c>
      <c r="DB50" s="584">
        <v>353.40772500000003</v>
      </c>
      <c r="DC50" s="584">
        <v>121.27500000000001</v>
      </c>
      <c r="DD50" s="584">
        <v>434.07209999999998</v>
      </c>
      <c r="DE50" s="584">
        <v>254.1</v>
      </c>
      <c r="DF50" s="584">
        <v>0.42499999999999999</v>
      </c>
      <c r="DG50" s="584">
        <v>0.2</v>
      </c>
      <c r="DH50" s="584">
        <v>412.36243206521698</v>
      </c>
      <c r="DI50" s="584">
        <v>19.591133346273299</v>
      </c>
      <c r="DJ50" s="584">
        <v>300</v>
      </c>
      <c r="DK50" s="584">
        <v>0</v>
      </c>
      <c r="DL50" s="584">
        <v>0</v>
      </c>
      <c r="DM50" s="584">
        <v>0</v>
      </c>
      <c r="DN50" s="584">
        <v>0</v>
      </c>
      <c r="DO50" s="584">
        <v>0</v>
      </c>
      <c r="DP50" s="584">
        <v>0</v>
      </c>
      <c r="DQ50" s="584">
        <v>0</v>
      </c>
      <c r="DR50" s="584">
        <v>0.42499999999999999</v>
      </c>
      <c r="DS50" s="584">
        <v>0</v>
      </c>
      <c r="DT50" s="584">
        <v>2.4</v>
      </c>
      <c r="DU50" s="584">
        <v>222.1</v>
      </c>
      <c r="DV50" s="584">
        <v>57.75</v>
      </c>
      <c r="DW50" s="584">
        <v>375.01499999999999</v>
      </c>
      <c r="DX50" s="584">
        <v>121.27500000000001</v>
      </c>
      <c r="DY50" s="584">
        <v>564.82425000000001</v>
      </c>
      <c r="DZ50" s="584">
        <v>254.1</v>
      </c>
      <c r="EA50" s="1062">
        <v>0.81720000000000004</v>
      </c>
      <c r="EB50" s="1046">
        <v>0.35</v>
      </c>
      <c r="EC50" s="1093">
        <v>132.51783893985731</v>
      </c>
      <c r="ED50" s="1046">
        <v>0</v>
      </c>
      <c r="EE50" s="1046">
        <v>458.71559633027522</v>
      </c>
      <c r="EF50" s="1046">
        <v>24.50151515151515</v>
      </c>
      <c r="EG50" s="1046">
        <v>0</v>
      </c>
      <c r="EH50" s="1046">
        <v>0</v>
      </c>
      <c r="EI50" s="1046" t="s">
        <v>446</v>
      </c>
      <c r="EJ50" s="1046" t="s">
        <v>445</v>
      </c>
      <c r="EK50" s="1046">
        <v>0</v>
      </c>
      <c r="EL50" s="1046">
        <v>0</v>
      </c>
      <c r="EM50" s="1046">
        <v>0</v>
      </c>
      <c r="EN50" s="1046">
        <v>0</v>
      </c>
      <c r="EO50" s="1046">
        <v>0</v>
      </c>
      <c r="EP50" s="1094">
        <v>112.86593775000003</v>
      </c>
      <c r="EQ50" s="1094">
        <v>57.75</v>
      </c>
      <c r="ER50" s="1094">
        <v>225.73187550000006</v>
      </c>
      <c r="ES50" s="1095">
        <v>115.5</v>
      </c>
      <c r="ET50" s="1094">
        <v>451.46375100000012</v>
      </c>
      <c r="EU50" s="1094">
        <v>231</v>
      </c>
      <c r="EV50" s="1096">
        <v>0.61339999999999995</v>
      </c>
      <c r="EW50" s="1097">
        <v>0.15</v>
      </c>
      <c r="EX50" s="1096">
        <v>289.50050968399592</v>
      </c>
      <c r="EY50" s="1096">
        <v>1.5443934760448521</v>
      </c>
      <c r="EZ50" s="1096">
        <v>0</v>
      </c>
      <c r="FA50" s="1096">
        <v>16.834848484848482</v>
      </c>
      <c r="FB50" s="1098">
        <v>0</v>
      </c>
      <c r="FC50" s="1098">
        <v>0</v>
      </c>
      <c r="FD50" s="1098" t="s">
        <v>446</v>
      </c>
      <c r="FE50" s="1098" t="s">
        <v>461</v>
      </c>
      <c r="FF50" s="1098">
        <v>1</v>
      </c>
      <c r="FG50" s="1098">
        <v>0</v>
      </c>
      <c r="FH50" s="1098">
        <v>0</v>
      </c>
      <c r="FI50" s="1098">
        <v>0</v>
      </c>
      <c r="FJ50" s="1098">
        <v>0</v>
      </c>
      <c r="FK50" s="1096">
        <v>64.849955999999992</v>
      </c>
      <c r="FL50" s="1096">
        <v>57.75</v>
      </c>
      <c r="FM50" s="1096">
        <v>129.69991199999998</v>
      </c>
      <c r="FN50" s="1096">
        <v>115.5</v>
      </c>
      <c r="FO50" s="1096">
        <v>259.39982399999997</v>
      </c>
      <c r="FP50" s="1099">
        <v>231</v>
      </c>
      <c r="FQ50" s="1064">
        <v>0.78935946703562321</v>
      </c>
      <c r="FR50" s="1065">
        <v>0.15</v>
      </c>
      <c r="FS50" s="1066">
        <v>289.50050968399586</v>
      </c>
      <c r="FT50" s="1066">
        <v>3.2237153637237084</v>
      </c>
      <c r="FU50" s="1065"/>
      <c r="FV50" s="1066">
        <v>39.652841937158556</v>
      </c>
      <c r="FW50" s="1065"/>
      <c r="FX50" s="1065"/>
      <c r="FY50" s="1065" t="s">
        <v>461</v>
      </c>
      <c r="FZ50" s="1065" t="s">
        <v>459</v>
      </c>
      <c r="GA50" s="1065">
        <v>1</v>
      </c>
      <c r="GB50" s="1065"/>
      <c r="GC50" s="1065"/>
      <c r="GD50" s="1065"/>
      <c r="GE50" s="1065"/>
      <c r="GF50" s="1066">
        <v>67.000213947507305</v>
      </c>
      <c r="GG50" s="1066">
        <v>57.75</v>
      </c>
      <c r="GH50" s="1066">
        <v>134.00042789501461</v>
      </c>
      <c r="GI50" s="1066">
        <v>115.5</v>
      </c>
      <c r="GJ50" s="1066">
        <v>268.00085579002922</v>
      </c>
      <c r="GK50" s="1066">
        <v>231</v>
      </c>
      <c r="GL50" s="584">
        <v>0.71740000000000004</v>
      </c>
      <c r="GM50" s="584">
        <v>0.11</v>
      </c>
      <c r="GN50" s="584"/>
      <c r="GO50" s="584"/>
      <c r="GP50" s="584"/>
      <c r="GQ50" s="584">
        <v>38.187878787878802</v>
      </c>
      <c r="GR50" s="584"/>
      <c r="GS50" s="584">
        <v>56.065239551478101</v>
      </c>
      <c r="GT50" s="584" t="s">
        <v>461</v>
      </c>
      <c r="GU50" s="584" t="s">
        <v>412</v>
      </c>
      <c r="GV50" s="584">
        <v>1</v>
      </c>
      <c r="GW50" s="584"/>
      <c r="GX50" s="584"/>
      <c r="GY50" s="584"/>
      <c r="GZ50" s="584"/>
      <c r="HA50" s="584">
        <v>28.456281000000001</v>
      </c>
      <c r="HB50" s="584">
        <v>57.75</v>
      </c>
      <c r="HC50" s="584">
        <v>56.912562000000001</v>
      </c>
      <c r="HD50" s="584">
        <v>115.5</v>
      </c>
      <c r="HE50" s="584">
        <v>113.825124</v>
      </c>
      <c r="HF50" s="584">
        <v>231</v>
      </c>
      <c r="HG50" s="1100">
        <v>1.03</v>
      </c>
      <c r="HH50" s="1100">
        <v>0.11</v>
      </c>
      <c r="HI50" s="1101">
        <v>0</v>
      </c>
      <c r="HJ50" s="1101">
        <v>0</v>
      </c>
      <c r="HK50" s="1101">
        <v>0</v>
      </c>
      <c r="HL50" s="1101">
        <v>0</v>
      </c>
      <c r="HM50" s="1101">
        <v>47.476363636363629</v>
      </c>
      <c r="HN50" s="1101">
        <v>54.999999999999993</v>
      </c>
      <c r="HO50" s="1101">
        <v>0</v>
      </c>
      <c r="HP50" s="1101">
        <v>0</v>
      </c>
      <c r="HQ50" s="1101">
        <v>1</v>
      </c>
      <c r="HR50" s="1101">
        <v>0.72</v>
      </c>
      <c r="HS50" s="1101">
        <v>0.92</v>
      </c>
      <c r="HT50" s="1101">
        <v>0.3</v>
      </c>
      <c r="HU50" s="1101">
        <v>0.28000000000000003</v>
      </c>
      <c r="HV50" s="1101">
        <v>29.7873366</v>
      </c>
      <c r="HW50" s="1101">
        <v>57.75</v>
      </c>
      <c r="HX50" s="1101">
        <v>59.574673199999999</v>
      </c>
      <c r="HY50" s="1101">
        <v>115.5</v>
      </c>
      <c r="HZ50" s="1101">
        <v>119.1493464</v>
      </c>
      <c r="IA50" s="1101">
        <v>231</v>
      </c>
      <c r="IB50" s="1062"/>
      <c r="IC50" s="1092"/>
      <c r="ID50" s="1050"/>
      <c r="IE50" s="1050"/>
      <c r="IF50" s="1103"/>
      <c r="IG50" s="1103"/>
      <c r="IH50" s="1103"/>
      <c r="II50" s="1103"/>
      <c r="IJ50" s="1103"/>
      <c r="IK50" s="1103"/>
      <c r="IL50" s="1103"/>
      <c r="IM50" s="1050"/>
      <c r="IN50" s="1050"/>
      <c r="IO50" s="1050"/>
      <c r="IP50" s="1050"/>
      <c r="IQ50" s="1103"/>
      <c r="IR50" s="1103"/>
      <c r="IS50" s="1103"/>
      <c r="IT50" s="1103"/>
      <c r="IU50" s="1103"/>
      <c r="IV50" s="1103"/>
      <c r="JS50" s="1092"/>
      <c r="JU50" s="1050"/>
      <c r="JV50" s="1103"/>
      <c r="JW50" s="1103"/>
      <c r="JX50" s="1103"/>
      <c r="JY50" s="1103"/>
      <c r="JZ50" s="1103"/>
      <c r="KA50" s="1103"/>
      <c r="KB50" s="1103"/>
      <c r="KC50" s="1050"/>
      <c r="KD50" s="1050"/>
      <c r="KE50" s="1050"/>
      <c r="KF50" s="1050"/>
      <c r="KG50" s="1103"/>
      <c r="KH50" s="1103"/>
      <c r="KI50" s="1103"/>
      <c r="KJ50" s="1103"/>
      <c r="KK50" s="1103"/>
      <c r="KL50" s="1103"/>
      <c r="KM50" s="1103"/>
      <c r="KN50" s="1103"/>
    </row>
    <row r="51" spans="2:300">
      <c r="B51" s="1048" t="str">
        <f t="shared" si="2"/>
        <v>O612</v>
      </c>
      <c r="C51" s="1046">
        <v>6</v>
      </c>
      <c r="D51" s="1092">
        <v>12</v>
      </c>
      <c r="E51" s="584">
        <v>0.47</v>
      </c>
      <c r="F51" s="584">
        <v>0.47</v>
      </c>
      <c r="G51" s="584">
        <v>1128</v>
      </c>
      <c r="H51" s="584">
        <v>24.44</v>
      </c>
      <c r="I51" s="584">
        <v>0</v>
      </c>
      <c r="J51" s="584">
        <v>0</v>
      </c>
      <c r="K51" s="584">
        <v>0</v>
      </c>
      <c r="L51" s="584">
        <v>0</v>
      </c>
      <c r="M51" s="584">
        <v>0</v>
      </c>
      <c r="N51" s="584">
        <v>0</v>
      </c>
      <c r="O51" s="584">
        <v>0</v>
      </c>
      <c r="P51" s="584">
        <v>0</v>
      </c>
      <c r="Q51" s="584">
        <v>0</v>
      </c>
      <c r="R51" s="584">
        <v>0</v>
      </c>
      <c r="S51" s="584">
        <v>0</v>
      </c>
      <c r="T51" s="584">
        <v>351.77743750000002</v>
      </c>
      <c r="U51" s="584">
        <v>63</v>
      </c>
      <c r="V51" s="584">
        <v>647.65743750000001</v>
      </c>
      <c r="W51" s="584">
        <v>132.30000000000001</v>
      </c>
      <c r="X51" s="584">
        <v>1002.951</v>
      </c>
      <c r="Y51" s="584">
        <v>277.2</v>
      </c>
      <c r="Z51" s="584">
        <v>0.34499999999999997</v>
      </c>
      <c r="AA51" s="584">
        <v>0.34499999999999997</v>
      </c>
      <c r="AB51" s="584">
        <v>828</v>
      </c>
      <c r="AC51" s="584">
        <v>20</v>
      </c>
      <c r="AD51" s="584">
        <v>0</v>
      </c>
      <c r="AE51" s="584">
        <v>0</v>
      </c>
      <c r="AF51" s="584">
        <v>0</v>
      </c>
      <c r="AG51" s="584">
        <v>0</v>
      </c>
      <c r="AH51" s="584">
        <v>0</v>
      </c>
      <c r="AI51" s="584">
        <v>0</v>
      </c>
      <c r="AJ51" s="584">
        <v>0</v>
      </c>
      <c r="AK51" s="584">
        <v>0</v>
      </c>
      <c r="AL51" s="584">
        <v>0</v>
      </c>
      <c r="AM51" s="584">
        <v>0</v>
      </c>
      <c r="AN51" s="584">
        <v>0</v>
      </c>
      <c r="AO51" s="584">
        <v>289.77743750000002</v>
      </c>
      <c r="AP51" s="584">
        <v>63</v>
      </c>
      <c r="AQ51" s="584">
        <v>521.65743750000001</v>
      </c>
      <c r="AR51" s="584">
        <v>132.30000000000001</v>
      </c>
      <c r="AS51" s="584">
        <v>755.45100000000002</v>
      </c>
      <c r="AT51" s="584">
        <v>277.2</v>
      </c>
      <c r="AU51" s="584">
        <v>0.82499999999999996</v>
      </c>
      <c r="AV51" s="584">
        <v>0.25</v>
      </c>
      <c r="AW51" s="584">
        <v>507.94164290805401</v>
      </c>
      <c r="AX51" s="584">
        <v>20.177387740556</v>
      </c>
      <c r="AY51" s="584">
        <v>0</v>
      </c>
      <c r="AZ51" s="584">
        <v>0</v>
      </c>
      <c r="BA51" s="584">
        <v>0</v>
      </c>
      <c r="BB51" s="584">
        <v>0</v>
      </c>
      <c r="BC51" s="584">
        <v>0</v>
      </c>
      <c r="BD51" s="584">
        <v>0</v>
      </c>
      <c r="BE51" s="584">
        <v>0</v>
      </c>
      <c r="BF51" s="584">
        <v>0</v>
      </c>
      <c r="BG51" s="584">
        <v>0.82499999999999996</v>
      </c>
      <c r="BH51" s="584">
        <v>0</v>
      </c>
      <c r="BI51" s="584">
        <v>0.45</v>
      </c>
      <c r="BJ51" s="584">
        <v>234.54202868852499</v>
      </c>
      <c r="BK51" s="584">
        <v>63</v>
      </c>
      <c r="BL51" s="584">
        <v>385.556864754098</v>
      </c>
      <c r="BM51" s="584">
        <v>132.30000000000001</v>
      </c>
      <c r="BN51" s="584">
        <v>479.802725409836</v>
      </c>
      <c r="BO51" s="584">
        <v>277.2</v>
      </c>
      <c r="BP51" s="584">
        <v>0</v>
      </c>
      <c r="BQ51" s="584">
        <v>0</v>
      </c>
      <c r="BR51" s="584">
        <v>0</v>
      </c>
      <c r="BS51" s="584">
        <v>0</v>
      </c>
      <c r="BT51" s="584">
        <v>0</v>
      </c>
      <c r="BU51" s="584">
        <v>0</v>
      </c>
      <c r="BV51" s="584">
        <v>0</v>
      </c>
      <c r="BW51" s="584">
        <v>0</v>
      </c>
      <c r="BX51" s="584">
        <v>0</v>
      </c>
      <c r="BY51" s="584">
        <v>0</v>
      </c>
      <c r="BZ51" s="584">
        <v>0</v>
      </c>
      <c r="CA51" s="584">
        <v>0</v>
      </c>
      <c r="CB51" s="584">
        <v>0</v>
      </c>
      <c r="CC51" s="584">
        <v>0</v>
      </c>
      <c r="CD51" s="584">
        <v>0</v>
      </c>
      <c r="CE51" s="584">
        <v>0</v>
      </c>
      <c r="CF51" s="584">
        <v>0</v>
      </c>
      <c r="CG51" s="584">
        <v>0</v>
      </c>
      <c r="CH51" s="584">
        <v>0</v>
      </c>
      <c r="CI51" s="584">
        <v>0</v>
      </c>
      <c r="CJ51" s="584">
        <v>0</v>
      </c>
      <c r="CK51" s="584">
        <v>0.82499999999999996</v>
      </c>
      <c r="CL51" s="584">
        <v>0.17</v>
      </c>
      <c r="CM51" s="584">
        <v>526.35382884889498</v>
      </c>
      <c r="CN51" s="584">
        <v>19.6583379365645</v>
      </c>
      <c r="CO51" s="584">
        <v>0</v>
      </c>
      <c r="CP51" s="584">
        <v>0</v>
      </c>
      <c r="CQ51" s="584">
        <v>0</v>
      </c>
      <c r="CR51" s="584">
        <v>0</v>
      </c>
      <c r="CS51" s="584">
        <v>0</v>
      </c>
      <c r="CT51" s="584">
        <v>0</v>
      </c>
      <c r="CU51" s="584">
        <v>0</v>
      </c>
      <c r="CV51" s="584">
        <v>0</v>
      </c>
      <c r="CW51" s="584">
        <v>0.82499999999999996</v>
      </c>
      <c r="CX51" s="584">
        <v>0</v>
      </c>
      <c r="CY51" s="584">
        <v>0.6</v>
      </c>
      <c r="CZ51" s="584">
        <v>239.74435</v>
      </c>
      <c r="DA51" s="584">
        <v>63</v>
      </c>
      <c r="DB51" s="584">
        <v>393.49934999999999</v>
      </c>
      <c r="DC51" s="584">
        <v>132.30000000000001</v>
      </c>
      <c r="DD51" s="584">
        <v>495.78435000000002</v>
      </c>
      <c r="DE51" s="584">
        <v>277.2</v>
      </c>
      <c r="DF51" s="584">
        <v>0</v>
      </c>
      <c r="DG51" s="584">
        <v>0</v>
      </c>
      <c r="DH51" s="584">
        <v>0</v>
      </c>
      <c r="DI51" s="584">
        <v>0</v>
      </c>
      <c r="DJ51" s="584">
        <v>0</v>
      </c>
      <c r="DK51" s="584">
        <v>0</v>
      </c>
      <c r="DL51" s="584">
        <v>0</v>
      </c>
      <c r="DM51" s="584">
        <v>0</v>
      </c>
      <c r="DN51" s="584">
        <v>0</v>
      </c>
      <c r="DO51" s="584">
        <v>0</v>
      </c>
      <c r="DP51" s="584">
        <v>0</v>
      </c>
      <c r="DQ51" s="584">
        <v>0</v>
      </c>
      <c r="DR51" s="584">
        <v>0</v>
      </c>
      <c r="DS51" s="584">
        <v>0</v>
      </c>
      <c r="DT51" s="584">
        <v>0</v>
      </c>
      <c r="DU51" s="584">
        <v>0</v>
      </c>
      <c r="DV51" s="584">
        <v>0</v>
      </c>
      <c r="DW51" s="584">
        <v>0</v>
      </c>
      <c r="DX51" s="584">
        <v>0</v>
      </c>
      <c r="DY51" s="584">
        <v>0</v>
      </c>
      <c r="DZ51" s="584">
        <v>0</v>
      </c>
      <c r="EA51" s="1062">
        <v>0.8306</v>
      </c>
      <c r="EB51" s="1046">
        <v>0.35</v>
      </c>
      <c r="EC51" s="1093">
        <v>132.51783893985731</v>
      </c>
      <c r="ED51" s="1046">
        <v>0</v>
      </c>
      <c r="EE51" s="1046">
        <v>458.71559633027522</v>
      </c>
      <c r="EF51" s="1046">
        <v>30.408333333333335</v>
      </c>
      <c r="EG51" s="1046">
        <v>0</v>
      </c>
      <c r="EH51" s="1046">
        <v>0</v>
      </c>
      <c r="EI51" s="1046" t="s">
        <v>445</v>
      </c>
      <c r="EJ51" s="1046" t="s">
        <v>442</v>
      </c>
      <c r="EK51" s="1046">
        <v>0</v>
      </c>
      <c r="EL51" s="1046">
        <v>0</v>
      </c>
      <c r="EM51" s="1046">
        <v>0</v>
      </c>
      <c r="EN51" s="1046">
        <v>0</v>
      </c>
      <c r="EO51" s="1046">
        <v>0</v>
      </c>
      <c r="EP51" s="1094">
        <v>124.16950350000002</v>
      </c>
      <c r="EQ51" s="1094">
        <v>63</v>
      </c>
      <c r="ER51" s="1094">
        <v>248.33900700000004</v>
      </c>
      <c r="ES51" s="1095">
        <v>126</v>
      </c>
      <c r="ET51" s="1094">
        <v>496.67801400000008</v>
      </c>
      <c r="EU51" s="1094">
        <v>252</v>
      </c>
      <c r="EV51" s="1096">
        <v>0.61720000000000008</v>
      </c>
      <c r="EW51" s="1097">
        <v>0.15</v>
      </c>
      <c r="EX51" s="1096">
        <v>289.50050968399592</v>
      </c>
      <c r="EY51" s="1096">
        <v>1.5443934760448521</v>
      </c>
      <c r="EZ51" s="1096">
        <v>0</v>
      </c>
      <c r="FA51" s="1096">
        <v>16.908333333333331</v>
      </c>
      <c r="FB51" s="1098">
        <v>0</v>
      </c>
      <c r="FC51" s="1098">
        <v>0</v>
      </c>
      <c r="FD51" s="1098" t="s">
        <v>445</v>
      </c>
      <c r="FE51" s="1098" t="s">
        <v>461</v>
      </c>
      <c r="FF51" s="1098">
        <v>1</v>
      </c>
      <c r="FG51" s="1098">
        <v>0</v>
      </c>
      <c r="FH51" s="1098">
        <v>0</v>
      </c>
      <c r="FI51" s="1098">
        <v>0</v>
      </c>
      <c r="FJ51" s="1098">
        <v>0</v>
      </c>
      <c r="FK51" s="1096">
        <v>70.758382499999982</v>
      </c>
      <c r="FL51" s="1096">
        <v>63</v>
      </c>
      <c r="FM51" s="1096">
        <v>141.51676499999996</v>
      </c>
      <c r="FN51" s="1096">
        <v>126</v>
      </c>
      <c r="FO51" s="1096">
        <v>283.03352999999993</v>
      </c>
      <c r="FP51" s="1099">
        <v>252</v>
      </c>
      <c r="FQ51" s="1064">
        <v>0.89382878474779204</v>
      </c>
      <c r="FR51" s="1065">
        <v>0.15</v>
      </c>
      <c r="FS51" s="1066">
        <v>289.50050968399586</v>
      </c>
      <c r="FT51" s="1066">
        <v>3.2237153637237084</v>
      </c>
      <c r="FU51" s="1065"/>
      <c r="FV51" s="1066">
        <v>41.736033475663803</v>
      </c>
      <c r="FW51" s="1065"/>
      <c r="FX51" s="1065"/>
      <c r="FY51" s="1065" t="s">
        <v>467</v>
      </c>
      <c r="FZ51" s="1065" t="s">
        <v>438</v>
      </c>
      <c r="GA51" s="1065">
        <v>1</v>
      </c>
      <c r="GB51" s="1065"/>
      <c r="GC51" s="1065"/>
      <c r="GD51" s="1065"/>
      <c r="GE51" s="1065"/>
      <c r="GF51" s="1066">
        <v>73.458992450059043</v>
      </c>
      <c r="GG51" s="1066">
        <v>63</v>
      </c>
      <c r="GH51" s="1066">
        <v>146.91798490011809</v>
      </c>
      <c r="GI51" s="1066">
        <v>126</v>
      </c>
      <c r="GJ51" s="1066">
        <v>293.83596980023617</v>
      </c>
      <c r="GK51" s="1066">
        <v>252</v>
      </c>
      <c r="GL51" s="584">
        <v>0.72219999999999995</v>
      </c>
      <c r="GM51" s="584">
        <v>0.11</v>
      </c>
      <c r="GN51" s="584"/>
      <c r="GO51" s="584"/>
      <c r="GP51" s="584"/>
      <c r="GQ51" s="584">
        <v>46.683333333333302</v>
      </c>
      <c r="GR51" s="584"/>
      <c r="GS51" s="584">
        <v>56.065239551478101</v>
      </c>
      <c r="GT51" s="584" t="s">
        <v>459</v>
      </c>
      <c r="GU51" s="584" t="s">
        <v>406</v>
      </c>
      <c r="GV51" s="584">
        <v>1</v>
      </c>
      <c r="GW51" s="584"/>
      <c r="GX51" s="584"/>
      <c r="GY51" s="584"/>
      <c r="GZ51" s="584"/>
      <c r="HA51" s="584">
        <v>32.543343</v>
      </c>
      <c r="HB51" s="584">
        <v>63</v>
      </c>
      <c r="HC51" s="584">
        <v>65.086686</v>
      </c>
      <c r="HD51" s="584">
        <v>126</v>
      </c>
      <c r="HE51" s="584">
        <v>130.173372</v>
      </c>
      <c r="HF51" s="584">
        <v>252</v>
      </c>
      <c r="HG51" s="1100">
        <v>1.1100000000000001</v>
      </c>
      <c r="HH51" s="1100">
        <v>0.11</v>
      </c>
      <c r="HI51" s="1101">
        <v>0</v>
      </c>
      <c r="HJ51" s="1101">
        <v>0</v>
      </c>
      <c r="HK51" s="1101">
        <v>0</v>
      </c>
      <c r="HL51" s="1101">
        <v>0</v>
      </c>
      <c r="HM51" s="1101">
        <v>52.980000000000004</v>
      </c>
      <c r="HN51" s="1101">
        <v>54.999999999999993</v>
      </c>
      <c r="HO51" s="1101">
        <v>0</v>
      </c>
      <c r="HP51" s="1101">
        <v>0</v>
      </c>
      <c r="HQ51" s="1101">
        <v>1</v>
      </c>
      <c r="HR51" s="1101">
        <v>0.76</v>
      </c>
      <c r="HS51" s="1101">
        <v>1</v>
      </c>
      <c r="HT51" s="1101">
        <v>0.28000000000000003</v>
      </c>
      <c r="HU51" s="1101">
        <v>0.3</v>
      </c>
      <c r="HV51" s="1101">
        <v>33.467108400000001</v>
      </c>
      <c r="HW51" s="1101">
        <v>63</v>
      </c>
      <c r="HX51" s="1101">
        <v>66.934216800000002</v>
      </c>
      <c r="HY51" s="1101">
        <v>126</v>
      </c>
      <c r="HZ51" s="1101">
        <v>133.8684336</v>
      </c>
      <c r="IA51" s="1101">
        <v>252</v>
      </c>
      <c r="IB51" s="1062"/>
      <c r="IC51" s="1092"/>
      <c r="ID51" s="1050"/>
      <c r="IE51" s="1050"/>
      <c r="IF51" s="1103"/>
      <c r="IG51" s="1103"/>
      <c r="IH51" s="1103"/>
      <c r="II51" s="1103"/>
      <c r="IJ51" s="1103"/>
      <c r="IK51" s="1103"/>
      <c r="IL51" s="1103"/>
      <c r="IM51" s="1050"/>
      <c r="IN51" s="1050"/>
      <c r="IO51" s="1050"/>
      <c r="IP51" s="1050"/>
      <c r="IQ51" s="1103"/>
      <c r="IR51" s="1103"/>
      <c r="IS51" s="1103"/>
      <c r="IT51" s="1103"/>
      <c r="IU51" s="1103"/>
      <c r="IV51" s="1103"/>
      <c r="JS51" s="1092"/>
      <c r="JU51" s="1050"/>
      <c r="JV51" s="1103"/>
      <c r="JW51" s="1103"/>
      <c r="JX51" s="1103"/>
      <c r="JY51" s="1103"/>
      <c r="JZ51" s="1103"/>
      <c r="KA51" s="1103"/>
      <c r="KB51" s="1103"/>
      <c r="KC51" s="1050"/>
      <c r="KD51" s="1050"/>
      <c r="KE51" s="1050"/>
      <c r="KF51" s="1050"/>
      <c r="KG51" s="1103"/>
      <c r="KH51" s="1103"/>
      <c r="KI51" s="1103"/>
      <c r="KJ51" s="1103"/>
      <c r="KK51" s="1103"/>
      <c r="KL51" s="1103"/>
      <c r="KM51" s="1103"/>
      <c r="KN51" s="1103"/>
    </row>
    <row r="52" spans="2:300">
      <c r="B52" s="1048" t="str">
        <f t="shared" si="2"/>
        <v>O613</v>
      </c>
      <c r="C52" s="1046">
        <v>6</v>
      </c>
      <c r="D52" s="1092">
        <v>13</v>
      </c>
      <c r="E52" s="584">
        <v>0.47</v>
      </c>
      <c r="F52" s="584">
        <v>0.47</v>
      </c>
      <c r="G52" s="584">
        <v>1128</v>
      </c>
      <c r="H52" s="584">
        <v>23.97</v>
      </c>
      <c r="I52" s="584">
        <v>0</v>
      </c>
      <c r="J52" s="584">
        <v>0</v>
      </c>
      <c r="K52" s="584">
        <v>0</v>
      </c>
      <c r="L52" s="584">
        <v>0</v>
      </c>
      <c r="M52" s="584">
        <v>0</v>
      </c>
      <c r="N52" s="584">
        <v>0</v>
      </c>
      <c r="O52" s="584">
        <v>0</v>
      </c>
      <c r="P52" s="584">
        <v>0</v>
      </c>
      <c r="Q52" s="584">
        <v>0</v>
      </c>
      <c r="R52" s="584">
        <v>0</v>
      </c>
      <c r="S52" s="584">
        <v>0</v>
      </c>
      <c r="T52" s="584">
        <v>377.27743750000002</v>
      </c>
      <c r="U52" s="584">
        <v>68.25</v>
      </c>
      <c r="V52" s="584">
        <v>701.20743749999997</v>
      </c>
      <c r="W52" s="584">
        <v>143.32499999999999</v>
      </c>
      <c r="X52" s="584">
        <v>1085.7809999999999</v>
      </c>
      <c r="Y52" s="584">
        <v>300.3</v>
      </c>
      <c r="Z52" s="584">
        <v>0.39500000000000002</v>
      </c>
      <c r="AA52" s="584">
        <v>0.39500000000000002</v>
      </c>
      <c r="AB52" s="584">
        <v>948</v>
      </c>
      <c r="AC52" s="584">
        <v>23</v>
      </c>
      <c r="AD52" s="584">
        <v>0</v>
      </c>
      <c r="AE52" s="584">
        <v>0</v>
      </c>
      <c r="AF52" s="584">
        <v>0</v>
      </c>
      <c r="AG52" s="584">
        <v>0</v>
      </c>
      <c r="AH52" s="584">
        <v>0</v>
      </c>
      <c r="AI52" s="584">
        <v>0</v>
      </c>
      <c r="AJ52" s="584">
        <v>0</v>
      </c>
      <c r="AK52" s="584">
        <v>0</v>
      </c>
      <c r="AL52" s="584">
        <v>0</v>
      </c>
      <c r="AM52" s="584">
        <v>0</v>
      </c>
      <c r="AN52" s="584">
        <v>0</v>
      </c>
      <c r="AO52" s="584">
        <v>337.07743749999997</v>
      </c>
      <c r="AP52" s="584">
        <v>68.25</v>
      </c>
      <c r="AQ52" s="584">
        <v>619.30743749999999</v>
      </c>
      <c r="AR52" s="584">
        <v>143.32499999999999</v>
      </c>
      <c r="AS52" s="584">
        <v>924.90599999999995</v>
      </c>
      <c r="AT52" s="584">
        <v>300.3</v>
      </c>
      <c r="AU52" s="584">
        <v>0.82499999999999996</v>
      </c>
      <c r="AV52" s="584">
        <v>0.25</v>
      </c>
      <c r="AW52" s="584">
        <v>543.67199851778696</v>
      </c>
      <c r="AX52" s="584">
        <v>20.8389636857708</v>
      </c>
      <c r="AY52" s="584">
        <v>0</v>
      </c>
      <c r="AZ52" s="584">
        <v>0</v>
      </c>
      <c r="BA52" s="584">
        <v>0</v>
      </c>
      <c r="BB52" s="584">
        <v>0</v>
      </c>
      <c r="BC52" s="584">
        <v>0</v>
      </c>
      <c r="BD52" s="584">
        <v>0</v>
      </c>
      <c r="BE52" s="584">
        <v>0</v>
      </c>
      <c r="BF52" s="584">
        <v>0</v>
      </c>
      <c r="BG52" s="584">
        <v>0.82499999999999996</v>
      </c>
      <c r="BH52" s="584">
        <v>0</v>
      </c>
      <c r="BI52" s="584">
        <v>0.45</v>
      </c>
      <c r="BJ52" s="584">
        <v>264.668622159091</v>
      </c>
      <c r="BK52" s="584">
        <v>68.25</v>
      </c>
      <c r="BL52" s="584">
        <v>438.17895596590898</v>
      </c>
      <c r="BM52" s="584">
        <v>143.32499999999999</v>
      </c>
      <c r="BN52" s="584">
        <v>522.34576171875005</v>
      </c>
      <c r="BO52" s="584">
        <v>300.3</v>
      </c>
      <c r="BP52" s="584">
        <v>0</v>
      </c>
      <c r="BQ52" s="584">
        <v>0</v>
      </c>
      <c r="BR52" s="584">
        <v>0</v>
      </c>
      <c r="BS52" s="584">
        <v>0</v>
      </c>
      <c r="BT52" s="584">
        <v>0</v>
      </c>
      <c r="BU52" s="584">
        <v>0</v>
      </c>
      <c r="BV52" s="584">
        <v>0</v>
      </c>
      <c r="BW52" s="584">
        <v>0</v>
      </c>
      <c r="BX52" s="584">
        <v>0</v>
      </c>
      <c r="BY52" s="584">
        <v>0</v>
      </c>
      <c r="BZ52" s="584">
        <v>0</v>
      </c>
      <c r="CA52" s="584">
        <v>0</v>
      </c>
      <c r="CB52" s="584">
        <v>0</v>
      </c>
      <c r="CC52" s="584">
        <v>0</v>
      </c>
      <c r="CD52" s="584">
        <v>0</v>
      </c>
      <c r="CE52" s="584">
        <v>0</v>
      </c>
      <c r="CF52" s="584">
        <v>0</v>
      </c>
      <c r="CG52" s="584">
        <v>0</v>
      </c>
      <c r="CH52" s="584">
        <v>0</v>
      </c>
      <c r="CI52" s="584">
        <v>0</v>
      </c>
      <c r="CJ52" s="584">
        <v>0</v>
      </c>
      <c r="CK52" s="584">
        <v>0.82499999999999996</v>
      </c>
      <c r="CL52" s="584">
        <v>0.17</v>
      </c>
      <c r="CM52" s="584">
        <v>543.52766798418997</v>
      </c>
      <c r="CN52" s="584">
        <v>19.739962944664001</v>
      </c>
      <c r="CO52" s="584">
        <v>0</v>
      </c>
      <c r="CP52" s="584">
        <v>0</v>
      </c>
      <c r="CQ52" s="584">
        <v>0</v>
      </c>
      <c r="CR52" s="584">
        <v>0</v>
      </c>
      <c r="CS52" s="584">
        <v>0</v>
      </c>
      <c r="CT52" s="584">
        <v>0</v>
      </c>
      <c r="CU52" s="584">
        <v>0</v>
      </c>
      <c r="CV52" s="584">
        <v>0</v>
      </c>
      <c r="CW52" s="584">
        <v>0.82499999999999996</v>
      </c>
      <c r="CX52" s="584">
        <v>0</v>
      </c>
      <c r="CY52" s="584">
        <v>0.6</v>
      </c>
      <c r="CZ52" s="584">
        <v>270.83184999999997</v>
      </c>
      <c r="DA52" s="584">
        <v>68.25</v>
      </c>
      <c r="DB52" s="584">
        <v>447.12434999999999</v>
      </c>
      <c r="DC52" s="584">
        <v>143.32499999999999</v>
      </c>
      <c r="DD52" s="584">
        <v>536.48310000000004</v>
      </c>
      <c r="DE52" s="584">
        <v>300.3</v>
      </c>
      <c r="DF52" s="584">
        <v>0</v>
      </c>
      <c r="DG52" s="584">
        <v>0</v>
      </c>
      <c r="DH52" s="584">
        <v>0</v>
      </c>
      <c r="DI52" s="584">
        <v>0</v>
      </c>
      <c r="DJ52" s="584">
        <v>0</v>
      </c>
      <c r="DK52" s="584">
        <v>0</v>
      </c>
      <c r="DL52" s="584">
        <v>0</v>
      </c>
      <c r="DM52" s="584">
        <v>0</v>
      </c>
      <c r="DN52" s="584">
        <v>0</v>
      </c>
      <c r="DO52" s="584">
        <v>0</v>
      </c>
      <c r="DP52" s="584">
        <v>0</v>
      </c>
      <c r="DQ52" s="584">
        <v>0</v>
      </c>
      <c r="DR52" s="584">
        <v>0</v>
      </c>
      <c r="DS52" s="584">
        <v>0</v>
      </c>
      <c r="DT52" s="584">
        <v>0</v>
      </c>
      <c r="DU52" s="584">
        <v>0</v>
      </c>
      <c r="DV52" s="584">
        <v>0</v>
      </c>
      <c r="DW52" s="584">
        <v>0</v>
      </c>
      <c r="DX52" s="584">
        <v>0</v>
      </c>
      <c r="DY52" s="584">
        <v>0</v>
      </c>
      <c r="DZ52" s="584">
        <v>0</v>
      </c>
      <c r="EA52" s="1062">
        <v>0.9507000000000001</v>
      </c>
      <c r="EB52" s="1046">
        <v>0.4</v>
      </c>
      <c r="EC52" s="1093">
        <v>132.51783893985737</v>
      </c>
      <c r="ED52" s="1046">
        <v>0</v>
      </c>
      <c r="EE52" s="1046">
        <v>519.87767584097855</v>
      </c>
      <c r="EF52" s="1046">
        <v>40.503846153846155</v>
      </c>
      <c r="EG52" s="1046">
        <v>0</v>
      </c>
      <c r="EH52" s="1046">
        <v>0</v>
      </c>
      <c r="EI52" s="1046" t="s">
        <v>442</v>
      </c>
      <c r="EJ52" s="1046" t="s">
        <v>421</v>
      </c>
      <c r="EK52" s="1046">
        <v>0</v>
      </c>
      <c r="EL52" s="1046">
        <v>0</v>
      </c>
      <c r="EM52" s="1046">
        <v>0</v>
      </c>
      <c r="EN52" s="1046">
        <v>0</v>
      </c>
      <c r="EO52" s="1046">
        <v>0</v>
      </c>
      <c r="EP52" s="1094">
        <v>148.14818325000002</v>
      </c>
      <c r="EQ52" s="1094">
        <v>68.25</v>
      </c>
      <c r="ER52" s="1094">
        <v>296.29636650000003</v>
      </c>
      <c r="ES52" s="1095">
        <v>136.5</v>
      </c>
      <c r="ET52" s="1094">
        <v>592.59273300000007</v>
      </c>
      <c r="EU52" s="1094">
        <v>273</v>
      </c>
      <c r="EV52" s="1096">
        <v>0.68310000000000004</v>
      </c>
      <c r="EW52" s="1097">
        <v>0.15</v>
      </c>
      <c r="EX52" s="1096">
        <v>289.50050968399592</v>
      </c>
      <c r="EY52" s="1096">
        <v>1.5443934760448521</v>
      </c>
      <c r="EZ52" s="1096">
        <v>0</v>
      </c>
      <c r="FA52" s="1096">
        <v>20.784615384615385</v>
      </c>
      <c r="FB52" s="1098">
        <v>0</v>
      </c>
      <c r="FC52" s="1098">
        <v>0</v>
      </c>
      <c r="FD52" s="1098" t="s">
        <v>430</v>
      </c>
      <c r="FE52" s="1098" t="s">
        <v>432</v>
      </c>
      <c r="FF52" s="1098">
        <v>1</v>
      </c>
      <c r="FG52" s="1098">
        <v>0</v>
      </c>
      <c r="FH52" s="1098">
        <v>0</v>
      </c>
      <c r="FI52" s="1098">
        <v>0</v>
      </c>
      <c r="FJ52" s="1098">
        <v>0</v>
      </c>
      <c r="FK52" s="1096">
        <v>77.396427750000001</v>
      </c>
      <c r="FL52" s="1096">
        <v>68.25</v>
      </c>
      <c r="FM52" s="1096">
        <v>154.7928555</v>
      </c>
      <c r="FN52" s="1096">
        <v>136.5</v>
      </c>
      <c r="FO52" s="1096">
        <v>309.585711</v>
      </c>
      <c r="FP52" s="1099">
        <v>273</v>
      </c>
      <c r="FQ52" s="1064">
        <v>1.0020981024599609</v>
      </c>
      <c r="FR52" s="1065">
        <v>0.15</v>
      </c>
      <c r="FS52" s="1066">
        <v>289.50050968399586</v>
      </c>
      <c r="FT52" s="1066">
        <v>3.2237153637237084</v>
      </c>
      <c r="FU52" s="1065"/>
      <c r="FV52" s="1066">
        <v>47.118474585259619</v>
      </c>
      <c r="FW52" s="1065"/>
      <c r="FX52" s="1065"/>
      <c r="FY52" s="1065" t="s">
        <v>467</v>
      </c>
      <c r="FZ52" s="1065" t="s">
        <v>416</v>
      </c>
      <c r="GA52" s="1065">
        <v>1</v>
      </c>
      <c r="GB52" s="1065"/>
      <c r="GC52" s="1065"/>
      <c r="GD52" s="1065"/>
      <c r="GE52" s="1065"/>
      <c r="GF52" s="1066">
        <v>80.610209226290749</v>
      </c>
      <c r="GG52" s="1066">
        <v>68.25</v>
      </c>
      <c r="GH52" s="1066">
        <v>161.2204184525815</v>
      </c>
      <c r="GI52" s="1066">
        <v>136.5</v>
      </c>
      <c r="GJ52" s="1066">
        <v>322.440836905163</v>
      </c>
      <c r="GK52" s="1066">
        <v>273</v>
      </c>
      <c r="GL52" s="584">
        <v>0.86</v>
      </c>
      <c r="GM52" s="584">
        <v>0.11</v>
      </c>
      <c r="GN52" s="584"/>
      <c r="GO52" s="584"/>
      <c r="GP52" s="584"/>
      <c r="GQ52" s="584">
        <v>49.687179487179499</v>
      </c>
      <c r="GR52" s="584"/>
      <c r="GS52" s="584">
        <v>56.065239551478101</v>
      </c>
      <c r="GT52" s="584" t="s">
        <v>438</v>
      </c>
      <c r="GU52" s="584" t="s">
        <v>389</v>
      </c>
      <c r="GV52" s="584">
        <v>1</v>
      </c>
      <c r="GW52" s="584"/>
      <c r="GX52" s="584"/>
      <c r="GY52" s="584"/>
      <c r="GZ52" s="584"/>
      <c r="HA52" s="584">
        <v>35.829909000000001</v>
      </c>
      <c r="HB52" s="584">
        <v>68.25</v>
      </c>
      <c r="HC52" s="584">
        <v>71.659818000000001</v>
      </c>
      <c r="HD52" s="584">
        <v>136.5</v>
      </c>
      <c r="HE52" s="584">
        <v>143.319636</v>
      </c>
      <c r="HF52" s="584">
        <v>273</v>
      </c>
      <c r="HG52" s="1100">
        <v>1.2300000000000002</v>
      </c>
      <c r="HH52" s="1100">
        <v>0.11</v>
      </c>
      <c r="HI52" s="1101">
        <v>0</v>
      </c>
      <c r="HJ52" s="1101">
        <v>0</v>
      </c>
      <c r="HK52" s="1101">
        <v>0</v>
      </c>
      <c r="HL52" s="1101">
        <v>0</v>
      </c>
      <c r="HM52" s="1101">
        <v>58.15384615384616</v>
      </c>
      <c r="HN52" s="1101">
        <v>54.999999999999993</v>
      </c>
      <c r="HO52" s="1101">
        <v>0</v>
      </c>
      <c r="HP52" s="1101">
        <v>0</v>
      </c>
      <c r="HQ52" s="1101">
        <v>1</v>
      </c>
      <c r="HR52" s="1101">
        <v>0.8</v>
      </c>
      <c r="HS52" s="1101">
        <v>1.1200000000000001</v>
      </c>
      <c r="HT52" s="1101">
        <v>0.28000000000000003</v>
      </c>
      <c r="HU52" s="1101">
        <v>0.3</v>
      </c>
      <c r="HV52" s="1101">
        <v>37.245764999999999</v>
      </c>
      <c r="HW52" s="1101">
        <v>68.25</v>
      </c>
      <c r="HX52" s="1101">
        <v>74.491529999999997</v>
      </c>
      <c r="HY52" s="1101">
        <v>136.5</v>
      </c>
      <c r="HZ52" s="1101">
        <v>148.98305999999999</v>
      </c>
      <c r="IA52" s="1101">
        <v>273</v>
      </c>
      <c r="IB52" s="1062"/>
      <c r="IC52" s="1092"/>
      <c r="ID52" s="1050"/>
      <c r="IE52" s="1050"/>
      <c r="IF52" s="1103"/>
      <c r="IG52" s="1103"/>
      <c r="IH52" s="1103"/>
      <c r="II52" s="1103"/>
      <c r="IJ52" s="1103"/>
      <c r="IK52" s="1103"/>
      <c r="IL52" s="1103"/>
      <c r="IM52" s="1050"/>
      <c r="IN52" s="1050"/>
      <c r="IO52" s="1050"/>
      <c r="IP52" s="1050"/>
      <c r="IQ52" s="1103"/>
      <c r="IR52" s="1103"/>
      <c r="IS52" s="1103"/>
      <c r="IT52" s="1103"/>
      <c r="IU52" s="1103"/>
      <c r="IV52" s="1103"/>
      <c r="JS52" s="1092"/>
      <c r="JU52" s="1050"/>
      <c r="JV52" s="1103"/>
      <c r="JW52" s="1103"/>
      <c r="JX52" s="1103"/>
      <c r="JY52" s="1103"/>
      <c r="JZ52" s="1103"/>
      <c r="KA52" s="1103"/>
      <c r="KB52" s="1103"/>
      <c r="KC52" s="1050"/>
      <c r="KD52" s="1050"/>
      <c r="KE52" s="1050"/>
      <c r="KF52" s="1050"/>
      <c r="KG52" s="1103"/>
      <c r="KH52" s="1103"/>
      <c r="KI52" s="1103"/>
      <c r="KJ52" s="1103"/>
      <c r="KK52" s="1103"/>
      <c r="KL52" s="1103"/>
      <c r="KM52" s="1103"/>
      <c r="KN52" s="1103"/>
    </row>
    <row r="53" spans="2:300">
      <c r="B53" s="1048" t="str">
        <f t="shared" si="2"/>
        <v>O614</v>
      </c>
      <c r="C53" s="1046">
        <v>6</v>
      </c>
      <c r="D53" s="1092">
        <v>14</v>
      </c>
      <c r="E53" s="584">
        <v>0.47</v>
      </c>
      <c r="F53" s="584">
        <v>0.47</v>
      </c>
      <c r="G53" s="584">
        <v>1128</v>
      </c>
      <c r="H53" s="584">
        <v>23.5</v>
      </c>
      <c r="I53" s="584">
        <v>0</v>
      </c>
      <c r="J53" s="584">
        <v>0</v>
      </c>
      <c r="K53" s="584">
        <v>0</v>
      </c>
      <c r="L53" s="584">
        <v>0</v>
      </c>
      <c r="M53" s="584">
        <v>0</v>
      </c>
      <c r="N53" s="584">
        <v>0</v>
      </c>
      <c r="O53" s="584">
        <v>0</v>
      </c>
      <c r="P53" s="584">
        <v>0</v>
      </c>
      <c r="Q53" s="584">
        <v>0</v>
      </c>
      <c r="R53" s="584">
        <v>0</v>
      </c>
      <c r="S53" s="584">
        <v>0</v>
      </c>
      <c r="T53" s="584">
        <v>402.77743750000002</v>
      </c>
      <c r="U53" s="584">
        <v>73.5</v>
      </c>
      <c r="V53" s="584">
        <v>755.94375000000002</v>
      </c>
      <c r="W53" s="584">
        <v>154.35</v>
      </c>
      <c r="X53" s="584">
        <v>1168.6110000000001</v>
      </c>
      <c r="Y53" s="584">
        <v>323.39999999999998</v>
      </c>
      <c r="Z53" s="584">
        <v>0.48</v>
      </c>
      <c r="AA53" s="584">
        <v>0.48</v>
      </c>
      <c r="AB53" s="584">
        <v>1152</v>
      </c>
      <c r="AC53" s="584">
        <v>23</v>
      </c>
      <c r="AD53" s="584">
        <v>0</v>
      </c>
      <c r="AE53" s="584">
        <v>0</v>
      </c>
      <c r="AF53" s="584">
        <v>0</v>
      </c>
      <c r="AG53" s="584">
        <v>0</v>
      </c>
      <c r="AH53" s="584">
        <v>0</v>
      </c>
      <c r="AI53" s="584">
        <v>0</v>
      </c>
      <c r="AJ53" s="584">
        <v>0</v>
      </c>
      <c r="AK53" s="584">
        <v>0</v>
      </c>
      <c r="AL53" s="584">
        <v>0</v>
      </c>
      <c r="AM53" s="584">
        <v>0</v>
      </c>
      <c r="AN53" s="584">
        <v>0</v>
      </c>
      <c r="AO53" s="584">
        <v>408.53743750000001</v>
      </c>
      <c r="AP53" s="584">
        <v>73.5</v>
      </c>
      <c r="AQ53" s="584">
        <v>767.70375000000001</v>
      </c>
      <c r="AR53" s="584">
        <v>154.35</v>
      </c>
      <c r="AS53" s="584">
        <v>1191.711</v>
      </c>
      <c r="AT53" s="584">
        <v>323.39999999999998</v>
      </c>
      <c r="AU53" s="584">
        <v>0.82499999999999996</v>
      </c>
      <c r="AV53" s="584">
        <v>0.25</v>
      </c>
      <c r="AW53" s="584">
        <v>568.62779393753794</v>
      </c>
      <c r="AX53" s="584">
        <v>21.6548530312309</v>
      </c>
      <c r="AY53" s="584">
        <v>0</v>
      </c>
      <c r="AZ53" s="584">
        <v>0</v>
      </c>
      <c r="BA53" s="584">
        <v>0</v>
      </c>
      <c r="BB53" s="584">
        <v>0</v>
      </c>
      <c r="BC53" s="584">
        <v>0</v>
      </c>
      <c r="BD53" s="584">
        <v>0</v>
      </c>
      <c r="BE53" s="584">
        <v>0</v>
      </c>
      <c r="BF53" s="584">
        <v>0</v>
      </c>
      <c r="BG53" s="584">
        <v>0.82499999999999996</v>
      </c>
      <c r="BH53" s="584">
        <v>0</v>
      </c>
      <c r="BI53" s="584">
        <v>0.45</v>
      </c>
      <c r="BJ53" s="584">
        <v>288.79353873239398</v>
      </c>
      <c r="BK53" s="584">
        <v>73.5</v>
      </c>
      <c r="BL53" s="584">
        <v>483.30456866197198</v>
      </c>
      <c r="BM53" s="584">
        <v>154.35</v>
      </c>
      <c r="BN53" s="584">
        <v>564.89571522887297</v>
      </c>
      <c r="BO53" s="584">
        <v>323.39999999999998</v>
      </c>
      <c r="BP53" s="584">
        <v>0</v>
      </c>
      <c r="BQ53" s="584">
        <v>0</v>
      </c>
      <c r="BR53" s="584">
        <v>0</v>
      </c>
      <c r="BS53" s="584">
        <v>0</v>
      </c>
      <c r="BT53" s="584">
        <v>0</v>
      </c>
      <c r="BU53" s="584">
        <v>0</v>
      </c>
      <c r="BV53" s="584">
        <v>0</v>
      </c>
      <c r="BW53" s="584">
        <v>0</v>
      </c>
      <c r="BX53" s="584">
        <v>0</v>
      </c>
      <c r="BY53" s="584">
        <v>0</v>
      </c>
      <c r="BZ53" s="584">
        <v>0</v>
      </c>
      <c r="CA53" s="584">
        <v>0</v>
      </c>
      <c r="CB53" s="584">
        <v>0</v>
      </c>
      <c r="CC53" s="584">
        <v>0</v>
      </c>
      <c r="CD53" s="584">
        <v>0</v>
      </c>
      <c r="CE53" s="584">
        <v>0</v>
      </c>
      <c r="CF53" s="584">
        <v>0</v>
      </c>
      <c r="CG53" s="584">
        <v>0</v>
      </c>
      <c r="CH53" s="584">
        <v>0</v>
      </c>
      <c r="CI53" s="584">
        <v>0</v>
      </c>
      <c r="CJ53" s="584">
        <v>0</v>
      </c>
      <c r="CK53" s="584">
        <v>0.82499999999999996</v>
      </c>
      <c r="CL53" s="584">
        <v>0.17</v>
      </c>
      <c r="CM53" s="584">
        <v>551.08236374770399</v>
      </c>
      <c r="CN53" s="584">
        <v>19.740769289650899</v>
      </c>
      <c r="CO53" s="584">
        <v>0</v>
      </c>
      <c r="CP53" s="584">
        <v>0</v>
      </c>
      <c r="CQ53" s="584">
        <v>0</v>
      </c>
      <c r="CR53" s="584">
        <v>0</v>
      </c>
      <c r="CS53" s="584">
        <v>0</v>
      </c>
      <c r="CT53" s="584">
        <v>0</v>
      </c>
      <c r="CU53" s="584">
        <v>0</v>
      </c>
      <c r="CV53" s="584">
        <v>0</v>
      </c>
      <c r="CW53" s="584">
        <v>0.82499999999999996</v>
      </c>
      <c r="CX53" s="584">
        <v>0</v>
      </c>
      <c r="CY53" s="584">
        <v>0.6</v>
      </c>
      <c r="CZ53" s="584">
        <v>294.56934999999999</v>
      </c>
      <c r="DA53" s="584">
        <v>73.5</v>
      </c>
      <c r="DB53" s="584">
        <v>491.44934999999998</v>
      </c>
      <c r="DC53" s="584">
        <v>154.35</v>
      </c>
      <c r="DD53" s="584">
        <v>577.18185000000005</v>
      </c>
      <c r="DE53" s="584">
        <v>323.39999999999998</v>
      </c>
      <c r="DF53" s="584">
        <v>0</v>
      </c>
      <c r="DG53" s="584">
        <v>0</v>
      </c>
      <c r="DH53" s="584">
        <v>0</v>
      </c>
      <c r="DI53" s="584">
        <v>0</v>
      </c>
      <c r="DJ53" s="584">
        <v>0</v>
      </c>
      <c r="DK53" s="584">
        <v>0</v>
      </c>
      <c r="DL53" s="584">
        <v>0</v>
      </c>
      <c r="DM53" s="584">
        <v>0</v>
      </c>
      <c r="DN53" s="584">
        <v>0</v>
      </c>
      <c r="DO53" s="584">
        <v>0</v>
      </c>
      <c r="DP53" s="584">
        <v>0</v>
      </c>
      <c r="DQ53" s="584">
        <v>0</v>
      </c>
      <c r="DR53" s="584">
        <v>0</v>
      </c>
      <c r="DS53" s="584">
        <v>0</v>
      </c>
      <c r="DT53" s="584">
        <v>0</v>
      </c>
      <c r="DU53" s="584">
        <v>0</v>
      </c>
      <c r="DV53" s="584">
        <v>0</v>
      </c>
      <c r="DW53" s="584">
        <v>0</v>
      </c>
      <c r="DX53" s="584">
        <v>0</v>
      </c>
      <c r="DY53" s="584">
        <v>0</v>
      </c>
      <c r="DZ53" s="584">
        <v>0</v>
      </c>
      <c r="EA53" s="1062">
        <v>1.0103</v>
      </c>
      <c r="EB53" s="1046">
        <v>0.45</v>
      </c>
      <c r="EC53" s="1093">
        <v>132.51783893985726</v>
      </c>
      <c r="ED53" s="1046">
        <v>0</v>
      </c>
      <c r="EE53" s="1046">
        <v>581.03975535168195</v>
      </c>
      <c r="EF53" s="1046">
        <v>45.988095238095241</v>
      </c>
      <c r="EG53" s="1046">
        <v>0</v>
      </c>
      <c r="EH53" s="1046">
        <v>0</v>
      </c>
      <c r="EI53" s="1046" t="s">
        <v>442</v>
      </c>
      <c r="EJ53" s="1046" t="s">
        <v>420</v>
      </c>
      <c r="EK53" s="1046">
        <v>0</v>
      </c>
      <c r="EL53" s="1046">
        <v>0</v>
      </c>
      <c r="EM53" s="1046">
        <v>0</v>
      </c>
      <c r="EN53" s="1046">
        <v>0</v>
      </c>
      <c r="EO53" s="1046">
        <v>0</v>
      </c>
      <c r="EP53" s="1094">
        <v>173.27400750000001</v>
      </c>
      <c r="EQ53" s="1094">
        <v>73.5</v>
      </c>
      <c r="ER53" s="1094">
        <v>346.54801500000002</v>
      </c>
      <c r="ES53" s="1095">
        <v>147</v>
      </c>
      <c r="ET53" s="1094">
        <v>693.09603000000004</v>
      </c>
      <c r="EU53" s="1094">
        <v>294</v>
      </c>
      <c r="EV53" s="1096">
        <v>0.75260000000000005</v>
      </c>
      <c r="EW53" s="1097">
        <v>0.15</v>
      </c>
      <c r="EX53" s="1096">
        <v>289.50050968399592</v>
      </c>
      <c r="EY53" s="1096">
        <v>1.5443934760448521</v>
      </c>
      <c r="EZ53" s="1096">
        <v>0</v>
      </c>
      <c r="FA53" s="1096">
        <v>24.080952380952379</v>
      </c>
      <c r="FB53" s="1098">
        <v>0</v>
      </c>
      <c r="FC53" s="1098">
        <v>0</v>
      </c>
      <c r="FD53" s="1098" t="s">
        <v>429</v>
      </c>
      <c r="FE53" s="1098" t="s">
        <v>410</v>
      </c>
      <c r="FF53" s="1098">
        <v>1</v>
      </c>
      <c r="FG53" s="1098">
        <v>0</v>
      </c>
      <c r="FH53" s="1098">
        <v>0</v>
      </c>
      <c r="FI53" s="1098">
        <v>0</v>
      </c>
      <c r="FJ53" s="1098">
        <v>0</v>
      </c>
      <c r="FK53" s="1096">
        <v>84.029077500000014</v>
      </c>
      <c r="FL53" s="1096">
        <v>73.5</v>
      </c>
      <c r="FM53" s="1096">
        <v>168.05815500000003</v>
      </c>
      <c r="FN53" s="1096">
        <v>147</v>
      </c>
      <c r="FO53" s="1096">
        <v>336.11631000000006</v>
      </c>
      <c r="FP53" s="1099">
        <v>294</v>
      </c>
      <c r="FQ53" s="1064">
        <v>1.0108981024599608</v>
      </c>
      <c r="FR53" s="1065">
        <v>0.15</v>
      </c>
      <c r="FS53" s="1066">
        <v>289.50050968399586</v>
      </c>
      <c r="FT53" s="1066">
        <v>3.2237153637237084</v>
      </c>
      <c r="FU53" s="1065"/>
      <c r="FV53" s="1066">
        <v>55.61060082267489</v>
      </c>
      <c r="FW53" s="1065"/>
      <c r="FX53" s="1065"/>
      <c r="FY53" s="1065" t="s">
        <v>416</v>
      </c>
      <c r="FZ53" s="1065" t="s">
        <v>412</v>
      </c>
      <c r="GA53" s="1065">
        <v>1</v>
      </c>
      <c r="GB53" s="1065"/>
      <c r="GC53" s="1065"/>
      <c r="GD53" s="1065"/>
      <c r="GE53" s="1065"/>
      <c r="GF53" s="1066">
        <v>88.560457477559964</v>
      </c>
      <c r="GG53" s="1066">
        <v>73.5</v>
      </c>
      <c r="GH53" s="1066">
        <v>177.12091495511993</v>
      </c>
      <c r="GI53" s="1066">
        <v>147</v>
      </c>
      <c r="GJ53" s="1066">
        <v>354.24182991023986</v>
      </c>
      <c r="GK53" s="1066">
        <v>294</v>
      </c>
      <c r="GL53" s="584">
        <v>0.87219999999999998</v>
      </c>
      <c r="GM53" s="584">
        <v>0.11</v>
      </c>
      <c r="GN53" s="584"/>
      <c r="GO53" s="584"/>
      <c r="GP53" s="584"/>
      <c r="GQ53" s="584">
        <v>62.3595238095238</v>
      </c>
      <c r="GR53" s="584"/>
      <c r="GS53" s="584">
        <v>56.065239551478101</v>
      </c>
      <c r="GT53" s="584" t="s">
        <v>438</v>
      </c>
      <c r="GU53" s="584" t="s">
        <v>385</v>
      </c>
      <c r="GV53" s="584">
        <v>1</v>
      </c>
      <c r="GW53" s="584"/>
      <c r="GX53" s="584"/>
      <c r="GY53" s="584"/>
      <c r="GZ53" s="584"/>
      <c r="HA53" s="584">
        <v>41.196685500000001</v>
      </c>
      <c r="HB53" s="584">
        <v>73.5</v>
      </c>
      <c r="HC53" s="584">
        <v>82.393371000000002</v>
      </c>
      <c r="HD53" s="584">
        <v>147</v>
      </c>
      <c r="HE53" s="584">
        <v>164.786742</v>
      </c>
      <c r="HF53" s="584">
        <v>294</v>
      </c>
      <c r="HG53" s="1100">
        <v>1.35</v>
      </c>
      <c r="HH53" s="1100">
        <v>0.11</v>
      </c>
      <c r="HI53" s="1101">
        <v>0</v>
      </c>
      <c r="HJ53" s="1101">
        <v>0</v>
      </c>
      <c r="HK53" s="1101">
        <v>0</v>
      </c>
      <c r="HL53" s="1101">
        <v>0</v>
      </c>
      <c r="HM53" s="1101">
        <v>63.514285714285712</v>
      </c>
      <c r="HN53" s="1101">
        <v>54.999999999999993</v>
      </c>
      <c r="HO53" s="1101">
        <v>0</v>
      </c>
      <c r="HP53" s="1101">
        <v>0</v>
      </c>
      <c r="HQ53" s="1101">
        <v>1</v>
      </c>
      <c r="HR53" s="1101">
        <v>0.8</v>
      </c>
      <c r="HS53" s="1101">
        <v>1.24</v>
      </c>
      <c r="HT53" s="1101">
        <v>0.3</v>
      </c>
      <c r="HU53" s="1101">
        <v>0.3</v>
      </c>
      <c r="HV53" s="1101">
        <v>41.215128000000007</v>
      </c>
      <c r="HW53" s="1101">
        <v>73.5</v>
      </c>
      <c r="HX53" s="1101">
        <v>82.430256000000014</v>
      </c>
      <c r="HY53" s="1101">
        <v>147</v>
      </c>
      <c r="HZ53" s="1101">
        <v>164.86051200000003</v>
      </c>
      <c r="IA53" s="1101">
        <v>294</v>
      </c>
      <c r="IB53" s="1062"/>
      <c r="IC53" s="1092"/>
      <c r="ID53" s="1050"/>
      <c r="IE53" s="1050"/>
      <c r="IF53" s="1103"/>
      <c r="IG53" s="1103"/>
      <c r="IH53" s="1103"/>
      <c r="II53" s="1103"/>
      <c r="IJ53" s="1103"/>
      <c r="IK53" s="1103"/>
      <c r="IL53" s="1103"/>
      <c r="IM53" s="1050"/>
      <c r="IN53" s="1050"/>
      <c r="IO53" s="1050"/>
      <c r="IP53" s="1050"/>
      <c r="IQ53" s="1103"/>
      <c r="IR53" s="1103"/>
      <c r="IS53" s="1103"/>
      <c r="IT53" s="1103"/>
      <c r="IU53" s="1103"/>
      <c r="IV53" s="1103"/>
      <c r="JS53" s="1092"/>
      <c r="JU53" s="1050"/>
      <c r="JV53" s="1103"/>
      <c r="JW53" s="1103"/>
      <c r="JX53" s="1103"/>
      <c r="JY53" s="1103"/>
      <c r="JZ53" s="1103"/>
      <c r="KA53" s="1103"/>
      <c r="KB53" s="1103"/>
      <c r="KC53" s="1050"/>
      <c r="KD53" s="1050"/>
      <c r="KE53" s="1050"/>
      <c r="KF53" s="1050"/>
      <c r="KG53" s="1103"/>
      <c r="KH53" s="1103"/>
      <c r="KI53" s="1103"/>
      <c r="KJ53" s="1103"/>
      <c r="KK53" s="1103"/>
      <c r="KL53" s="1103"/>
      <c r="KM53" s="1103"/>
      <c r="KN53" s="1103"/>
    </row>
    <row r="54" spans="2:300">
      <c r="B54" s="1048" t="str">
        <f t="shared" si="2"/>
        <v>O615</v>
      </c>
      <c r="C54" s="1046">
        <v>6</v>
      </c>
      <c r="D54" s="1092">
        <v>15</v>
      </c>
      <c r="E54" s="584">
        <v>0</v>
      </c>
      <c r="F54" s="584">
        <v>0</v>
      </c>
      <c r="G54" s="584">
        <v>0</v>
      </c>
      <c r="H54" s="584">
        <v>0</v>
      </c>
      <c r="I54" s="584">
        <v>0</v>
      </c>
      <c r="J54" s="584">
        <v>0</v>
      </c>
      <c r="K54" s="584">
        <v>0</v>
      </c>
      <c r="L54" s="584">
        <v>0</v>
      </c>
      <c r="M54" s="584">
        <v>0</v>
      </c>
      <c r="N54" s="584">
        <v>0</v>
      </c>
      <c r="O54" s="584">
        <v>0</v>
      </c>
      <c r="P54" s="584">
        <v>0</v>
      </c>
      <c r="Q54" s="584">
        <v>0</v>
      </c>
      <c r="R54" s="584">
        <v>0</v>
      </c>
      <c r="S54" s="584">
        <v>0</v>
      </c>
      <c r="T54" s="584">
        <v>0</v>
      </c>
      <c r="U54" s="584">
        <v>0</v>
      </c>
      <c r="V54" s="584">
        <v>0</v>
      </c>
      <c r="W54" s="584">
        <v>0</v>
      </c>
      <c r="X54" s="584">
        <v>0</v>
      </c>
      <c r="Y54" s="584">
        <v>0</v>
      </c>
      <c r="Z54" s="584">
        <v>0</v>
      </c>
      <c r="AA54" s="584">
        <v>0</v>
      </c>
      <c r="AB54" s="584">
        <v>0</v>
      </c>
      <c r="AC54" s="584">
        <v>0</v>
      </c>
      <c r="AD54" s="584">
        <v>0</v>
      </c>
      <c r="AE54" s="584">
        <v>0</v>
      </c>
      <c r="AF54" s="584">
        <v>0</v>
      </c>
      <c r="AG54" s="584">
        <v>0</v>
      </c>
      <c r="AH54" s="584">
        <v>0</v>
      </c>
      <c r="AI54" s="584">
        <v>0</v>
      </c>
      <c r="AJ54" s="584">
        <v>0</v>
      </c>
      <c r="AK54" s="584">
        <v>0</v>
      </c>
      <c r="AL54" s="584">
        <v>0</v>
      </c>
      <c r="AM54" s="584">
        <v>0</v>
      </c>
      <c r="AN54" s="584">
        <v>0</v>
      </c>
      <c r="AO54" s="584">
        <v>0</v>
      </c>
      <c r="AP54" s="584">
        <v>0</v>
      </c>
      <c r="AQ54" s="584">
        <v>0</v>
      </c>
      <c r="AR54" s="584">
        <v>0</v>
      </c>
      <c r="AS54" s="584">
        <v>0</v>
      </c>
      <c r="AT54" s="584">
        <v>0</v>
      </c>
      <c r="AU54" s="584">
        <v>0</v>
      </c>
      <c r="AV54" s="584">
        <v>0</v>
      </c>
      <c r="AW54" s="584">
        <v>0</v>
      </c>
      <c r="AX54" s="584">
        <v>0</v>
      </c>
      <c r="AY54" s="584">
        <v>0</v>
      </c>
      <c r="AZ54" s="584">
        <v>0</v>
      </c>
      <c r="BA54" s="584">
        <v>0</v>
      </c>
      <c r="BB54" s="584">
        <v>0</v>
      </c>
      <c r="BC54" s="584">
        <v>0</v>
      </c>
      <c r="BD54" s="584">
        <v>0</v>
      </c>
      <c r="BE54" s="584">
        <v>0</v>
      </c>
      <c r="BF54" s="584">
        <v>0</v>
      </c>
      <c r="BG54" s="584">
        <v>0</v>
      </c>
      <c r="BH54" s="584">
        <v>0</v>
      </c>
      <c r="BI54" s="584">
        <v>0</v>
      </c>
      <c r="BJ54" s="584">
        <v>0</v>
      </c>
      <c r="BK54" s="584">
        <v>0</v>
      </c>
      <c r="BL54" s="584">
        <v>0</v>
      </c>
      <c r="BM54" s="584">
        <v>0</v>
      </c>
      <c r="BN54" s="584">
        <v>0</v>
      </c>
      <c r="BO54" s="584">
        <v>0</v>
      </c>
      <c r="BP54" s="584">
        <v>0</v>
      </c>
      <c r="BQ54" s="584">
        <v>0</v>
      </c>
      <c r="BR54" s="584">
        <v>0</v>
      </c>
      <c r="BS54" s="584">
        <v>0</v>
      </c>
      <c r="BT54" s="584">
        <v>0</v>
      </c>
      <c r="BU54" s="584">
        <v>0</v>
      </c>
      <c r="BV54" s="584">
        <v>0</v>
      </c>
      <c r="BW54" s="584">
        <v>0</v>
      </c>
      <c r="BX54" s="584">
        <v>0</v>
      </c>
      <c r="BY54" s="584">
        <v>0</v>
      </c>
      <c r="BZ54" s="584">
        <v>0</v>
      </c>
      <c r="CA54" s="584">
        <v>0</v>
      </c>
      <c r="CB54" s="584">
        <v>0</v>
      </c>
      <c r="CC54" s="584">
        <v>0</v>
      </c>
      <c r="CD54" s="584">
        <v>0</v>
      </c>
      <c r="CE54" s="584">
        <v>0</v>
      </c>
      <c r="CF54" s="584">
        <v>0</v>
      </c>
      <c r="CG54" s="584">
        <v>0</v>
      </c>
      <c r="CH54" s="584">
        <v>0</v>
      </c>
      <c r="CI54" s="584">
        <v>0</v>
      </c>
      <c r="CJ54" s="584">
        <v>0</v>
      </c>
      <c r="CK54" s="584">
        <v>0</v>
      </c>
      <c r="CL54" s="584">
        <v>0</v>
      </c>
      <c r="CM54" s="584">
        <v>0</v>
      </c>
      <c r="CN54" s="584">
        <v>0</v>
      </c>
      <c r="CO54" s="584">
        <v>0</v>
      </c>
      <c r="CP54" s="584">
        <v>0</v>
      </c>
      <c r="CQ54" s="584">
        <v>0</v>
      </c>
      <c r="CR54" s="584">
        <v>0</v>
      </c>
      <c r="CS54" s="584">
        <v>0</v>
      </c>
      <c r="CT54" s="584">
        <v>0</v>
      </c>
      <c r="CU54" s="584">
        <v>0</v>
      </c>
      <c r="CV54" s="584">
        <v>0</v>
      </c>
      <c r="CW54" s="584">
        <v>0</v>
      </c>
      <c r="CX54" s="584">
        <v>0</v>
      </c>
      <c r="CY54" s="584">
        <v>0</v>
      </c>
      <c r="CZ54" s="584">
        <v>0</v>
      </c>
      <c r="DA54" s="584">
        <v>0</v>
      </c>
      <c r="DB54" s="584">
        <v>0</v>
      </c>
      <c r="DC54" s="584">
        <v>0</v>
      </c>
      <c r="DD54" s="584">
        <v>0</v>
      </c>
      <c r="DE54" s="584">
        <v>0</v>
      </c>
      <c r="DF54" s="584">
        <v>0</v>
      </c>
      <c r="DG54" s="584">
        <v>0</v>
      </c>
      <c r="DH54" s="584">
        <v>0</v>
      </c>
      <c r="DI54" s="584">
        <v>0</v>
      </c>
      <c r="DJ54" s="584">
        <v>0</v>
      </c>
      <c r="DK54" s="584">
        <v>0</v>
      </c>
      <c r="DL54" s="584">
        <v>0</v>
      </c>
      <c r="DM54" s="584">
        <v>0</v>
      </c>
      <c r="DN54" s="584">
        <v>0</v>
      </c>
      <c r="DO54" s="584">
        <v>0</v>
      </c>
      <c r="DP54" s="584">
        <v>0</v>
      </c>
      <c r="DQ54" s="584">
        <v>0</v>
      </c>
      <c r="DR54" s="584">
        <v>0</v>
      </c>
      <c r="DS54" s="584">
        <v>0</v>
      </c>
      <c r="DT54" s="584">
        <v>0</v>
      </c>
      <c r="DU54" s="584">
        <v>0</v>
      </c>
      <c r="DV54" s="584">
        <v>0</v>
      </c>
      <c r="DW54" s="584">
        <v>0</v>
      </c>
      <c r="DX54" s="584">
        <v>0</v>
      </c>
      <c r="DY54" s="584">
        <v>0</v>
      </c>
      <c r="DZ54" s="584">
        <v>0</v>
      </c>
      <c r="EA54" s="1062">
        <v>0</v>
      </c>
      <c r="EB54" s="1046">
        <v>0</v>
      </c>
      <c r="EC54" s="1093">
        <v>0</v>
      </c>
      <c r="ED54" s="1046">
        <v>0</v>
      </c>
      <c r="EE54" s="1046">
        <v>0</v>
      </c>
      <c r="EF54" s="1046">
        <v>0</v>
      </c>
      <c r="EG54" s="1046">
        <v>0</v>
      </c>
      <c r="EH54" s="1046">
        <v>0</v>
      </c>
      <c r="EI54" s="1046">
        <v>0</v>
      </c>
      <c r="EJ54" s="1046">
        <v>0</v>
      </c>
      <c r="EK54" s="1046">
        <v>0</v>
      </c>
      <c r="EL54" s="1046">
        <v>0</v>
      </c>
      <c r="EM54" s="1046">
        <v>0</v>
      </c>
      <c r="EN54" s="1046">
        <v>0</v>
      </c>
      <c r="EO54" s="1046">
        <v>0</v>
      </c>
      <c r="EP54" s="1094">
        <v>0</v>
      </c>
      <c r="EQ54" s="1094">
        <v>0</v>
      </c>
      <c r="ER54" s="1094">
        <v>0</v>
      </c>
      <c r="ES54" s="1095">
        <v>0</v>
      </c>
      <c r="ET54" s="1094">
        <v>0</v>
      </c>
      <c r="EU54" s="1094">
        <v>0</v>
      </c>
      <c r="EV54" s="1096">
        <v>0.75260000000000005</v>
      </c>
      <c r="EW54" s="1097">
        <v>0.15</v>
      </c>
      <c r="EX54" s="1096">
        <v>289.50050968399592</v>
      </c>
      <c r="EY54" s="1096">
        <v>1.5443934760448521</v>
      </c>
      <c r="EZ54" s="1096">
        <v>0</v>
      </c>
      <c r="FA54" s="1096">
        <v>23.6</v>
      </c>
      <c r="FB54" s="1098">
        <v>0</v>
      </c>
      <c r="FC54" s="1098">
        <v>0</v>
      </c>
      <c r="FD54" s="1098" t="s">
        <v>429</v>
      </c>
      <c r="FE54" s="1098" t="s">
        <v>410</v>
      </c>
      <c r="FF54" s="1098">
        <v>1</v>
      </c>
      <c r="FG54" s="1098">
        <v>0</v>
      </c>
      <c r="FH54" s="1098">
        <v>0</v>
      </c>
      <c r="FI54" s="1098">
        <v>0</v>
      </c>
      <c r="FJ54" s="1098">
        <v>0</v>
      </c>
      <c r="FK54" s="1096">
        <v>89.924996249999992</v>
      </c>
      <c r="FL54" s="1096">
        <v>78.75</v>
      </c>
      <c r="FM54" s="1096">
        <v>179.84999249999998</v>
      </c>
      <c r="FN54" s="1096">
        <v>157.5</v>
      </c>
      <c r="FO54" s="1096">
        <v>359.69998499999997</v>
      </c>
      <c r="FP54" s="1099">
        <v>315</v>
      </c>
      <c r="FQ54" s="1064">
        <v>1.0156981024599609</v>
      </c>
      <c r="FR54" s="1065">
        <v>0.15</v>
      </c>
      <c r="FS54" s="1066">
        <v>289.50050968399586</v>
      </c>
      <c r="FT54" s="1066">
        <v>3.2237153637237084</v>
      </c>
      <c r="FU54" s="1065"/>
      <c r="FV54" s="1066">
        <v>65.043747038756436</v>
      </c>
      <c r="FW54" s="1065"/>
      <c r="FX54" s="1065"/>
      <c r="FY54" s="1065" t="s">
        <v>414</v>
      </c>
      <c r="FZ54" s="1065" t="s">
        <v>406</v>
      </c>
      <c r="GA54" s="1065">
        <v>1</v>
      </c>
      <c r="GB54" s="1065"/>
      <c r="GC54" s="1065"/>
      <c r="GD54" s="1065"/>
      <c r="GE54" s="1065"/>
      <c r="GF54" s="1066">
        <v>96.968335638787437</v>
      </c>
      <c r="GG54" s="1066">
        <v>78.75</v>
      </c>
      <c r="GH54" s="1066">
        <v>193.93667127757487</v>
      </c>
      <c r="GI54" s="1066">
        <v>157.5</v>
      </c>
      <c r="GJ54" s="1066">
        <v>387.87334255514975</v>
      </c>
      <c r="GK54" s="1066">
        <v>315</v>
      </c>
      <c r="GL54" s="584">
        <v>0.95069999999999999</v>
      </c>
      <c r="GM54" s="584">
        <v>0.11</v>
      </c>
      <c r="GN54" s="584"/>
      <c r="GO54" s="584"/>
      <c r="GP54" s="584"/>
      <c r="GQ54" s="584">
        <v>68.98</v>
      </c>
      <c r="GR54" s="584"/>
      <c r="GS54" s="584">
        <v>56.065239551478101</v>
      </c>
      <c r="GT54" s="584" t="s">
        <v>438</v>
      </c>
      <c r="GU54" s="584" t="s">
        <v>379</v>
      </c>
      <c r="GV54" s="584">
        <v>1</v>
      </c>
      <c r="GW54" s="584"/>
      <c r="GX54" s="584"/>
      <c r="GY54" s="584"/>
      <c r="GZ54" s="584"/>
      <c r="HA54" s="584">
        <v>45.600610500000002</v>
      </c>
      <c r="HB54" s="584">
        <v>78.75</v>
      </c>
      <c r="HC54" s="584">
        <v>91.201221000000004</v>
      </c>
      <c r="HD54" s="584">
        <v>157.5</v>
      </c>
      <c r="HE54" s="584">
        <v>182.40244200000001</v>
      </c>
      <c r="HF54" s="584">
        <v>315</v>
      </c>
      <c r="HG54" s="1100">
        <v>1.51</v>
      </c>
      <c r="HH54" s="1100">
        <v>0.11</v>
      </c>
      <c r="HI54" s="1101">
        <v>0</v>
      </c>
      <c r="HJ54" s="1101">
        <v>0</v>
      </c>
      <c r="HK54" s="1101">
        <v>0</v>
      </c>
      <c r="HL54" s="1101">
        <v>0</v>
      </c>
      <c r="HM54" s="1101">
        <v>66.36</v>
      </c>
      <c r="HN54" s="1101">
        <v>54.999999999999993</v>
      </c>
      <c r="HO54" s="1101">
        <v>0</v>
      </c>
      <c r="HP54" s="1101">
        <v>0</v>
      </c>
      <c r="HQ54" s="1101">
        <v>1</v>
      </c>
      <c r="HR54" s="1101">
        <v>0.84</v>
      </c>
      <c r="HS54" s="1101">
        <v>1.4</v>
      </c>
      <c r="HT54" s="1101">
        <v>0.3</v>
      </c>
      <c r="HU54" s="1101">
        <v>0.28000000000000003</v>
      </c>
      <c r="HV54" s="1101">
        <v>44.787185999999998</v>
      </c>
      <c r="HW54" s="1101">
        <v>78.75</v>
      </c>
      <c r="HX54" s="1101">
        <v>89.574371999999997</v>
      </c>
      <c r="HY54" s="1101">
        <v>157.5</v>
      </c>
      <c r="HZ54" s="1101">
        <v>179.14874399999999</v>
      </c>
      <c r="IA54" s="1101">
        <v>315</v>
      </c>
      <c r="IB54" s="1062"/>
      <c r="IC54" s="1092"/>
      <c r="ID54" s="1050"/>
      <c r="IE54" s="1050"/>
      <c r="IF54" s="1103"/>
      <c r="IG54" s="1103"/>
      <c r="IH54" s="1103"/>
      <c r="II54" s="1103"/>
      <c r="IJ54" s="1103"/>
      <c r="IK54" s="1103"/>
      <c r="IL54" s="1103"/>
      <c r="IM54" s="1050"/>
      <c r="IN54" s="1050"/>
      <c r="IO54" s="1050"/>
      <c r="IP54" s="1050"/>
      <c r="IQ54" s="1103"/>
      <c r="IR54" s="1103"/>
      <c r="IS54" s="1103"/>
      <c r="IT54" s="1103"/>
      <c r="IU54" s="1103"/>
      <c r="IV54" s="1103"/>
      <c r="JS54" s="1092"/>
      <c r="JU54" s="1050"/>
      <c r="JV54" s="1103"/>
      <c r="JW54" s="1103"/>
      <c r="JX54" s="1103"/>
      <c r="JY54" s="1103"/>
      <c r="JZ54" s="1103"/>
      <c r="KA54" s="1103"/>
      <c r="KB54" s="1103"/>
      <c r="KC54" s="1050"/>
      <c r="KD54" s="1050"/>
      <c r="KE54" s="1050"/>
      <c r="KF54" s="1050"/>
      <c r="KG54" s="1103"/>
      <c r="KH54" s="1103"/>
      <c r="KI54" s="1103"/>
      <c r="KJ54" s="1103"/>
      <c r="KK54" s="1103"/>
      <c r="KL54" s="1103"/>
      <c r="KM54" s="1103"/>
      <c r="KN54" s="1103"/>
    </row>
    <row r="55" spans="2:300">
      <c r="B55" s="1048" t="str">
        <f t="shared" si="2"/>
        <v>O616</v>
      </c>
      <c r="C55" s="1046">
        <v>6</v>
      </c>
      <c r="D55" s="1092">
        <v>16</v>
      </c>
      <c r="E55" s="584">
        <v>0</v>
      </c>
      <c r="F55" s="584">
        <v>0</v>
      </c>
      <c r="G55" s="584">
        <v>0</v>
      </c>
      <c r="H55" s="584">
        <v>0</v>
      </c>
      <c r="I55" s="584">
        <v>0</v>
      </c>
      <c r="J55" s="584">
        <v>0</v>
      </c>
      <c r="K55" s="584">
        <v>0</v>
      </c>
      <c r="L55" s="584">
        <v>0</v>
      </c>
      <c r="M55" s="584">
        <v>0</v>
      </c>
      <c r="N55" s="584">
        <v>0</v>
      </c>
      <c r="O55" s="584">
        <v>0</v>
      </c>
      <c r="P55" s="584">
        <v>0</v>
      </c>
      <c r="Q55" s="584">
        <v>0</v>
      </c>
      <c r="R55" s="584">
        <v>0</v>
      </c>
      <c r="S55" s="584">
        <v>0</v>
      </c>
      <c r="T55" s="584">
        <v>0</v>
      </c>
      <c r="U55" s="584">
        <v>0</v>
      </c>
      <c r="V55" s="584">
        <v>0</v>
      </c>
      <c r="W55" s="584">
        <v>0</v>
      </c>
      <c r="X55" s="584">
        <v>0</v>
      </c>
      <c r="Y55" s="584">
        <v>0</v>
      </c>
      <c r="Z55" s="584">
        <v>0</v>
      </c>
      <c r="AA55" s="584">
        <v>0</v>
      </c>
      <c r="AB55" s="584">
        <v>0</v>
      </c>
      <c r="AC55" s="584">
        <v>0</v>
      </c>
      <c r="AD55" s="584">
        <v>0</v>
      </c>
      <c r="AE55" s="584">
        <v>0</v>
      </c>
      <c r="AF55" s="584">
        <v>0</v>
      </c>
      <c r="AG55" s="584">
        <v>0</v>
      </c>
      <c r="AH55" s="584">
        <v>0</v>
      </c>
      <c r="AI55" s="584">
        <v>0</v>
      </c>
      <c r="AJ55" s="584">
        <v>0</v>
      </c>
      <c r="AK55" s="584">
        <v>0</v>
      </c>
      <c r="AL55" s="584">
        <v>0</v>
      </c>
      <c r="AM55" s="584">
        <v>0</v>
      </c>
      <c r="AN55" s="584">
        <v>0</v>
      </c>
      <c r="AO55" s="584">
        <v>145.4574375</v>
      </c>
      <c r="AP55" s="584">
        <v>84</v>
      </c>
      <c r="AQ55" s="584">
        <v>230.1774375</v>
      </c>
      <c r="AR55" s="584">
        <v>176.4</v>
      </c>
      <c r="AS55" s="584">
        <v>93.470999999999904</v>
      </c>
      <c r="AT55" s="584">
        <v>369.6</v>
      </c>
      <c r="AU55" s="584">
        <v>0</v>
      </c>
      <c r="AV55" s="584">
        <v>0</v>
      </c>
      <c r="AW55" s="584">
        <v>0</v>
      </c>
      <c r="AX55" s="584">
        <v>0</v>
      </c>
      <c r="AY55" s="584">
        <v>0</v>
      </c>
      <c r="AZ55" s="584">
        <v>0</v>
      </c>
      <c r="BA55" s="584">
        <v>0</v>
      </c>
      <c r="BB55" s="584">
        <v>0</v>
      </c>
      <c r="BC55" s="584">
        <v>0</v>
      </c>
      <c r="BD55" s="584">
        <v>0</v>
      </c>
      <c r="BE55" s="584">
        <v>0</v>
      </c>
      <c r="BF55" s="584">
        <v>0</v>
      </c>
      <c r="BG55" s="584">
        <v>0</v>
      </c>
      <c r="BH55" s="584">
        <v>0</v>
      </c>
      <c r="BI55" s="584">
        <v>0</v>
      </c>
      <c r="BJ55" s="584">
        <v>0</v>
      </c>
      <c r="BK55" s="584">
        <v>0</v>
      </c>
      <c r="BL55" s="584">
        <v>0</v>
      </c>
      <c r="BM55" s="584">
        <v>0</v>
      </c>
      <c r="BN55" s="584">
        <v>0</v>
      </c>
      <c r="BO55" s="584">
        <v>0</v>
      </c>
      <c r="BP55" s="584">
        <v>0</v>
      </c>
      <c r="BQ55" s="584">
        <v>0</v>
      </c>
      <c r="BR55" s="584">
        <v>0</v>
      </c>
      <c r="BS55" s="584">
        <v>0</v>
      </c>
      <c r="BT55" s="584">
        <v>0</v>
      </c>
      <c r="BU55" s="584">
        <v>0</v>
      </c>
      <c r="BV55" s="584">
        <v>0</v>
      </c>
      <c r="BW55" s="584">
        <v>0</v>
      </c>
      <c r="BX55" s="584">
        <v>0</v>
      </c>
      <c r="BY55" s="584">
        <v>0</v>
      </c>
      <c r="BZ55" s="584">
        <v>0</v>
      </c>
      <c r="CA55" s="584">
        <v>0</v>
      </c>
      <c r="CB55" s="584">
        <v>0</v>
      </c>
      <c r="CC55" s="584">
        <v>0</v>
      </c>
      <c r="CD55" s="584">
        <v>0</v>
      </c>
      <c r="CE55" s="584">
        <v>0</v>
      </c>
      <c r="CF55" s="584">
        <v>0</v>
      </c>
      <c r="CG55" s="584">
        <v>0</v>
      </c>
      <c r="CH55" s="584">
        <v>0</v>
      </c>
      <c r="CI55" s="584">
        <v>0</v>
      </c>
      <c r="CJ55" s="584">
        <v>0</v>
      </c>
      <c r="CK55" s="584">
        <v>0</v>
      </c>
      <c r="CL55" s="584">
        <v>0</v>
      </c>
      <c r="CM55" s="584">
        <v>0</v>
      </c>
      <c r="CN55" s="584">
        <v>0</v>
      </c>
      <c r="CO55" s="584">
        <v>0</v>
      </c>
      <c r="CP55" s="584">
        <v>0</v>
      </c>
      <c r="CQ55" s="584">
        <v>0</v>
      </c>
      <c r="CR55" s="584">
        <v>0</v>
      </c>
      <c r="CS55" s="584">
        <v>0</v>
      </c>
      <c r="CT55" s="584">
        <v>0</v>
      </c>
      <c r="CU55" s="584">
        <v>0</v>
      </c>
      <c r="CV55" s="584">
        <v>0</v>
      </c>
      <c r="CW55" s="584">
        <v>0</v>
      </c>
      <c r="CX55" s="584">
        <v>0</v>
      </c>
      <c r="CY55" s="584">
        <v>0</v>
      </c>
      <c r="CZ55" s="584">
        <v>0</v>
      </c>
      <c r="DA55" s="584">
        <v>0</v>
      </c>
      <c r="DB55" s="584">
        <v>0</v>
      </c>
      <c r="DC55" s="584">
        <v>0</v>
      </c>
      <c r="DD55" s="584">
        <v>0</v>
      </c>
      <c r="DE55" s="584">
        <v>0</v>
      </c>
      <c r="DF55" s="584">
        <v>0</v>
      </c>
      <c r="DG55" s="584">
        <v>0</v>
      </c>
      <c r="DH55" s="584">
        <v>0</v>
      </c>
      <c r="DI55" s="584">
        <v>0</v>
      </c>
      <c r="DJ55" s="584">
        <v>0</v>
      </c>
      <c r="DK55" s="584">
        <v>0</v>
      </c>
      <c r="DL55" s="584">
        <v>0</v>
      </c>
      <c r="DM55" s="584">
        <v>0</v>
      </c>
      <c r="DN55" s="584">
        <v>0</v>
      </c>
      <c r="DO55" s="584">
        <v>0</v>
      </c>
      <c r="DP55" s="584">
        <v>0</v>
      </c>
      <c r="DQ55" s="584">
        <v>0</v>
      </c>
      <c r="DR55" s="584">
        <v>0</v>
      </c>
      <c r="DS55" s="584">
        <v>0</v>
      </c>
      <c r="DT55" s="584">
        <v>0</v>
      </c>
      <c r="DU55" s="584">
        <v>0</v>
      </c>
      <c r="DV55" s="584">
        <v>0</v>
      </c>
      <c r="DW55" s="584">
        <v>0</v>
      </c>
      <c r="DX55" s="584">
        <v>0</v>
      </c>
      <c r="DY55" s="584">
        <v>0</v>
      </c>
      <c r="DZ55" s="584">
        <v>0</v>
      </c>
      <c r="EA55" s="1062">
        <v>0</v>
      </c>
      <c r="EB55" s="1046">
        <v>0</v>
      </c>
      <c r="EC55" s="1093">
        <v>0</v>
      </c>
      <c r="ED55" s="1046">
        <v>0</v>
      </c>
      <c r="EE55" s="1046">
        <v>0</v>
      </c>
      <c r="EF55" s="1046">
        <v>0</v>
      </c>
      <c r="EG55" s="1046">
        <v>0</v>
      </c>
      <c r="EH55" s="1046">
        <v>0</v>
      </c>
      <c r="EI55" s="1046">
        <v>0</v>
      </c>
      <c r="EJ55" s="1046">
        <v>0</v>
      </c>
      <c r="EK55" s="1046">
        <v>0</v>
      </c>
      <c r="EL55" s="1046">
        <v>0</v>
      </c>
      <c r="EM55" s="1046">
        <v>0</v>
      </c>
      <c r="EN55" s="1046">
        <v>0</v>
      </c>
      <c r="EO55" s="1046">
        <v>0</v>
      </c>
      <c r="EP55" s="1094">
        <v>0</v>
      </c>
      <c r="EQ55" s="1094">
        <v>0</v>
      </c>
      <c r="ER55" s="1094">
        <v>0</v>
      </c>
      <c r="ES55" s="1095">
        <v>0</v>
      </c>
      <c r="ET55" s="1094">
        <v>0</v>
      </c>
      <c r="EU55" s="1094">
        <v>0</v>
      </c>
      <c r="EV55" s="1096">
        <v>0.82789999999999997</v>
      </c>
      <c r="EW55" s="1097">
        <v>0.15</v>
      </c>
      <c r="EX55" s="1096">
        <v>289.50050968399592</v>
      </c>
      <c r="EY55" s="1096">
        <v>1.5443934760448521</v>
      </c>
      <c r="EZ55" s="1096">
        <v>0</v>
      </c>
      <c r="FA55" s="1096">
        <v>27.679166666666664</v>
      </c>
      <c r="FB55" s="1098">
        <v>0</v>
      </c>
      <c r="FC55" s="1098">
        <v>0</v>
      </c>
      <c r="FD55" s="1098" t="s">
        <v>428</v>
      </c>
      <c r="FE55" s="1098" t="s">
        <v>396</v>
      </c>
      <c r="FF55" s="1098">
        <v>1</v>
      </c>
      <c r="FG55" s="1098">
        <v>0</v>
      </c>
      <c r="FH55" s="1098">
        <v>0</v>
      </c>
      <c r="FI55" s="1098">
        <v>0</v>
      </c>
      <c r="FJ55" s="1098">
        <v>0</v>
      </c>
      <c r="FK55" s="1096">
        <v>96.880394999999993</v>
      </c>
      <c r="FL55" s="1096">
        <v>84</v>
      </c>
      <c r="FM55" s="1096">
        <v>193.76078999999999</v>
      </c>
      <c r="FN55" s="1096">
        <v>168</v>
      </c>
      <c r="FO55" s="1096">
        <v>387.52157999999997</v>
      </c>
      <c r="FP55" s="1099">
        <v>336</v>
      </c>
      <c r="FQ55" s="1064">
        <v>1.2222367378842984</v>
      </c>
      <c r="FR55" s="1065">
        <v>0.15</v>
      </c>
      <c r="FS55" s="1066">
        <v>289.50050968399586</v>
      </c>
      <c r="FT55" s="1066">
        <v>3.2237153637237084</v>
      </c>
      <c r="FU55" s="1065"/>
      <c r="FV55" s="1066">
        <v>68.733464209947755</v>
      </c>
      <c r="FW55" s="1065"/>
      <c r="FX55" s="1065"/>
      <c r="FY55" s="1065" t="s">
        <v>412</v>
      </c>
      <c r="FZ55" s="1065" t="s">
        <v>389</v>
      </c>
      <c r="GA55" s="1065">
        <v>1</v>
      </c>
      <c r="GB55" s="1065"/>
      <c r="GC55" s="1065"/>
      <c r="GD55" s="1065"/>
      <c r="GE55" s="1065"/>
      <c r="GF55" s="1066">
        <v>104.3015983588252</v>
      </c>
      <c r="GG55" s="1066">
        <v>84</v>
      </c>
      <c r="GH55" s="1066">
        <v>208.60319671765041</v>
      </c>
      <c r="GI55" s="1066">
        <v>168</v>
      </c>
      <c r="GJ55" s="1066">
        <v>417.20639343530081</v>
      </c>
      <c r="GK55" s="1066">
        <v>336</v>
      </c>
      <c r="GL55" s="584">
        <v>1.0803</v>
      </c>
      <c r="GM55" s="584">
        <v>0.11</v>
      </c>
      <c r="GN55" s="584"/>
      <c r="GO55" s="584"/>
      <c r="GP55" s="584"/>
      <c r="GQ55" s="584">
        <v>78.643749999999997</v>
      </c>
      <c r="GR55" s="584"/>
      <c r="GS55" s="584">
        <v>56.065239551478101</v>
      </c>
      <c r="GT55" s="584" t="s">
        <v>450</v>
      </c>
      <c r="GU55" s="584" t="s">
        <v>351</v>
      </c>
      <c r="GV55" s="584">
        <v>1</v>
      </c>
      <c r="GW55" s="584"/>
      <c r="GX55" s="584"/>
      <c r="GY55" s="584"/>
      <c r="GZ55" s="584"/>
      <c r="HA55" s="584">
        <v>50.915884499999997</v>
      </c>
      <c r="HB55" s="584">
        <v>84</v>
      </c>
      <c r="HC55" s="584">
        <v>101.83176899999999</v>
      </c>
      <c r="HD55" s="584">
        <v>168</v>
      </c>
      <c r="HE55" s="584">
        <v>203.66353799999999</v>
      </c>
      <c r="HF55" s="584">
        <v>336</v>
      </c>
      <c r="HG55" s="1100">
        <v>1.6300000000000001</v>
      </c>
      <c r="HH55" s="1100">
        <v>0.11</v>
      </c>
      <c r="HI55" s="1101">
        <v>0</v>
      </c>
      <c r="HJ55" s="1101">
        <v>0</v>
      </c>
      <c r="HK55" s="1101">
        <v>0</v>
      </c>
      <c r="HL55" s="1101">
        <v>0</v>
      </c>
      <c r="HM55" s="1101">
        <v>75.825000000000003</v>
      </c>
      <c r="HN55" s="1101">
        <v>54.999999999999993</v>
      </c>
      <c r="HO55" s="1101">
        <v>0</v>
      </c>
      <c r="HP55" s="1101">
        <v>0</v>
      </c>
      <c r="HQ55" s="1101">
        <v>1</v>
      </c>
      <c r="HR55" s="1101">
        <v>0.88</v>
      </c>
      <c r="HS55" s="1101">
        <v>1.52</v>
      </c>
      <c r="HT55" s="1101">
        <v>0.3</v>
      </c>
      <c r="HU55" s="1101">
        <v>0.3</v>
      </c>
      <c r="HV55" s="1101">
        <v>50.001437999999993</v>
      </c>
      <c r="HW55" s="1101">
        <v>84</v>
      </c>
      <c r="HX55" s="1101">
        <v>100.00287599999999</v>
      </c>
      <c r="HY55" s="1101">
        <v>168</v>
      </c>
      <c r="HZ55" s="1101">
        <v>200.00575199999997</v>
      </c>
      <c r="IA55" s="1101">
        <v>336</v>
      </c>
      <c r="IB55" s="1062"/>
      <c r="IC55" s="1092"/>
      <c r="ID55" s="1050"/>
      <c r="IE55" s="1050"/>
      <c r="IF55" s="1103"/>
      <c r="IG55" s="1103"/>
      <c r="IH55" s="1103"/>
      <c r="II55" s="1103"/>
      <c r="IJ55" s="1103"/>
      <c r="IK55" s="1103"/>
      <c r="IL55" s="1103"/>
      <c r="IM55" s="1050"/>
      <c r="IN55" s="1050"/>
      <c r="IO55" s="1050"/>
      <c r="IP55" s="1050"/>
      <c r="IQ55" s="1103"/>
      <c r="IR55" s="1103"/>
      <c r="IS55" s="1103"/>
      <c r="IT55" s="1103"/>
      <c r="IU55" s="1103"/>
      <c r="IV55" s="1103"/>
      <c r="JS55" s="1092"/>
      <c r="JU55" s="1050"/>
      <c r="JV55" s="1103"/>
      <c r="JW55" s="1103"/>
      <c r="JX55" s="1103"/>
      <c r="JY55" s="1103"/>
      <c r="JZ55" s="1103"/>
      <c r="KA55" s="1103"/>
      <c r="KB55" s="1103"/>
      <c r="KC55" s="1050"/>
      <c r="KD55" s="1050"/>
      <c r="KE55" s="1050"/>
      <c r="KF55" s="1050"/>
      <c r="KG55" s="1103"/>
      <c r="KH55" s="1103"/>
      <c r="KI55" s="1103"/>
      <c r="KJ55" s="1103"/>
      <c r="KK55" s="1103"/>
      <c r="KL55" s="1103"/>
      <c r="KM55" s="1103"/>
      <c r="KN55" s="1103"/>
    </row>
    <row r="56" spans="2:300">
      <c r="B56" s="1048" t="str">
        <f t="shared" si="2"/>
        <v>O77</v>
      </c>
      <c r="C56" s="1046">
        <v>7</v>
      </c>
      <c r="D56" s="1046">
        <v>7</v>
      </c>
      <c r="E56" s="584">
        <v>0.23</v>
      </c>
      <c r="F56" s="584">
        <v>0.23</v>
      </c>
      <c r="G56" s="584">
        <v>552</v>
      </c>
      <c r="H56" s="584">
        <v>18.63</v>
      </c>
      <c r="I56" s="584">
        <v>0</v>
      </c>
      <c r="J56" s="584">
        <v>0</v>
      </c>
      <c r="K56" s="584">
        <v>0</v>
      </c>
      <c r="L56" s="584">
        <v>0</v>
      </c>
      <c r="M56" s="584">
        <v>0</v>
      </c>
      <c r="N56" s="584">
        <v>0</v>
      </c>
      <c r="O56" s="584">
        <v>0</v>
      </c>
      <c r="P56" s="584">
        <v>0</v>
      </c>
      <c r="Q56" s="584">
        <v>0</v>
      </c>
      <c r="R56" s="584">
        <v>0</v>
      </c>
      <c r="S56" s="584">
        <v>0</v>
      </c>
      <c r="T56" s="584">
        <v>170.77493749999999</v>
      </c>
      <c r="U56" s="584">
        <v>42.875</v>
      </c>
      <c r="V56" s="584">
        <v>262.85868749999997</v>
      </c>
      <c r="W56" s="584">
        <v>90.037499999999994</v>
      </c>
      <c r="X56" s="584">
        <v>362.036</v>
      </c>
      <c r="Y56" s="584">
        <v>188.65</v>
      </c>
      <c r="Z56" s="584">
        <v>0.20499999999999999</v>
      </c>
      <c r="AA56" s="584">
        <v>0.20499999999999999</v>
      </c>
      <c r="AB56" s="584">
        <v>492</v>
      </c>
      <c r="AC56" s="584">
        <v>18</v>
      </c>
      <c r="AD56" s="584">
        <v>0</v>
      </c>
      <c r="AE56" s="584">
        <v>0</v>
      </c>
      <c r="AF56" s="584">
        <v>0</v>
      </c>
      <c r="AG56" s="584">
        <v>0</v>
      </c>
      <c r="AH56" s="584">
        <v>0</v>
      </c>
      <c r="AI56" s="584">
        <v>0</v>
      </c>
      <c r="AJ56" s="584">
        <v>0</v>
      </c>
      <c r="AK56" s="584">
        <v>0</v>
      </c>
      <c r="AL56" s="584">
        <v>0</v>
      </c>
      <c r="AM56" s="584">
        <v>0</v>
      </c>
      <c r="AN56" s="584">
        <v>0</v>
      </c>
      <c r="AO56" s="584">
        <v>162.21868749999999</v>
      </c>
      <c r="AP56" s="584">
        <v>42.875</v>
      </c>
      <c r="AQ56" s="584">
        <v>245.86181250000001</v>
      </c>
      <c r="AR56" s="584">
        <v>90.037499999999994</v>
      </c>
      <c r="AS56" s="584">
        <v>328.3485</v>
      </c>
      <c r="AT56" s="584">
        <v>188.65</v>
      </c>
      <c r="AU56" s="584">
        <v>0.4</v>
      </c>
      <c r="AV56" s="584">
        <v>0.26</v>
      </c>
      <c r="AW56" s="584">
        <v>451.69086448598102</v>
      </c>
      <c r="AX56" s="584">
        <v>29.892669392523398</v>
      </c>
      <c r="AY56" s="584">
        <v>0</v>
      </c>
      <c r="AZ56" s="584">
        <v>0</v>
      </c>
      <c r="BA56" s="584">
        <v>0</v>
      </c>
      <c r="BB56" s="584">
        <v>0</v>
      </c>
      <c r="BC56" s="584">
        <v>0</v>
      </c>
      <c r="BD56" s="584">
        <v>0</v>
      </c>
      <c r="BE56" s="584">
        <v>0</v>
      </c>
      <c r="BF56" s="584">
        <v>0</v>
      </c>
      <c r="BG56" s="584">
        <v>0.4</v>
      </c>
      <c r="BH56" s="584">
        <v>0</v>
      </c>
      <c r="BI56" s="584">
        <v>0.45</v>
      </c>
      <c r="BJ56" s="584">
        <v>160.987637850467</v>
      </c>
      <c r="BK56" s="584">
        <v>42.875</v>
      </c>
      <c r="BL56" s="584">
        <v>234.82196775700899</v>
      </c>
      <c r="BM56" s="584">
        <v>90.037499999999994</v>
      </c>
      <c r="BN56" s="584">
        <v>299.885276635514</v>
      </c>
      <c r="BO56" s="584">
        <v>188.65</v>
      </c>
      <c r="BP56" s="584">
        <v>0.35</v>
      </c>
      <c r="BQ56" s="584">
        <v>0.14499999999999999</v>
      </c>
      <c r="BR56" s="584">
        <v>400.43925233644899</v>
      </c>
      <c r="BS56" s="584">
        <v>15.716288940809999</v>
      </c>
      <c r="BT56" s="584">
        <v>0</v>
      </c>
      <c r="BU56" s="584">
        <v>0</v>
      </c>
      <c r="BV56" s="584">
        <v>0</v>
      </c>
      <c r="BW56" s="584">
        <v>0</v>
      </c>
      <c r="BX56" s="584">
        <v>0</v>
      </c>
      <c r="BY56" s="584">
        <v>0</v>
      </c>
      <c r="BZ56" s="584">
        <v>0</v>
      </c>
      <c r="CA56" s="584">
        <v>0.35</v>
      </c>
      <c r="CB56" s="584">
        <v>0.35</v>
      </c>
      <c r="CC56" s="584">
        <v>0.3</v>
      </c>
      <c r="CD56" s="584">
        <v>0.3</v>
      </c>
      <c r="CE56" s="584">
        <v>154.56909999999999</v>
      </c>
      <c r="CF56" s="584">
        <v>42.875</v>
      </c>
      <c r="CG56" s="584">
        <v>223.10534999999999</v>
      </c>
      <c r="CH56" s="584">
        <v>90.037499999999994</v>
      </c>
      <c r="CI56" s="584">
        <v>268.0641</v>
      </c>
      <c r="CJ56" s="584">
        <v>188.65</v>
      </c>
      <c r="CK56" s="584">
        <v>0.4</v>
      </c>
      <c r="CL56" s="584">
        <v>0.2</v>
      </c>
      <c r="CM56" s="584">
        <v>514.57943925233599</v>
      </c>
      <c r="CN56" s="584">
        <v>22.187169003115301</v>
      </c>
      <c r="CO56" s="584">
        <v>0</v>
      </c>
      <c r="CP56" s="584">
        <v>0</v>
      </c>
      <c r="CQ56" s="584">
        <v>0</v>
      </c>
      <c r="CR56" s="584">
        <v>0</v>
      </c>
      <c r="CS56" s="584">
        <v>0</v>
      </c>
      <c r="CT56" s="584">
        <v>0</v>
      </c>
      <c r="CU56" s="584">
        <v>0</v>
      </c>
      <c r="CV56" s="584">
        <v>0</v>
      </c>
      <c r="CW56" s="584">
        <v>0.4</v>
      </c>
      <c r="CX56" s="584">
        <v>0</v>
      </c>
      <c r="CY56" s="584">
        <v>0.45</v>
      </c>
      <c r="CZ56" s="584">
        <v>171.83</v>
      </c>
      <c r="DA56" s="584">
        <v>42.875</v>
      </c>
      <c r="DB56" s="584">
        <v>253.785</v>
      </c>
      <c r="DC56" s="584">
        <v>90.037499999999994</v>
      </c>
      <c r="DD56" s="584">
        <v>336.875</v>
      </c>
      <c r="DE56" s="584">
        <v>188.65</v>
      </c>
      <c r="DF56" s="584">
        <v>0.35</v>
      </c>
      <c r="DG56" s="584">
        <v>0.2</v>
      </c>
      <c r="DH56" s="584">
        <v>303.04906542056102</v>
      </c>
      <c r="DI56" s="584">
        <v>17.991589661214999</v>
      </c>
      <c r="DJ56" s="584">
        <v>300</v>
      </c>
      <c r="DK56" s="584">
        <v>0</v>
      </c>
      <c r="DL56" s="584">
        <v>0</v>
      </c>
      <c r="DM56" s="584">
        <v>0</v>
      </c>
      <c r="DN56" s="584">
        <v>0</v>
      </c>
      <c r="DO56" s="584">
        <v>0</v>
      </c>
      <c r="DP56" s="584">
        <v>0</v>
      </c>
      <c r="DQ56" s="584">
        <v>0</v>
      </c>
      <c r="DR56" s="584">
        <v>0.35</v>
      </c>
      <c r="DS56" s="584">
        <v>0</v>
      </c>
      <c r="DT56" s="584">
        <v>2.4</v>
      </c>
      <c r="DU56" s="584">
        <v>160.53043750000001</v>
      </c>
      <c r="DV56" s="584">
        <v>42.875</v>
      </c>
      <c r="DW56" s="584">
        <v>290.82762500000001</v>
      </c>
      <c r="DX56" s="584">
        <v>90.037499999999994</v>
      </c>
      <c r="DY56" s="584">
        <v>368.1465</v>
      </c>
      <c r="DZ56" s="584">
        <v>188.65</v>
      </c>
      <c r="EA56" s="1062">
        <v>0.66579999999999995</v>
      </c>
      <c r="EB56" s="1046">
        <v>0.2</v>
      </c>
      <c r="EC56" s="1093">
        <v>132.51783893985726</v>
      </c>
      <c r="ED56" s="1046">
        <v>0</v>
      </c>
      <c r="EE56" s="1046">
        <v>285.42303771661568</v>
      </c>
      <c r="EF56" s="1046">
        <v>17.014285714285712</v>
      </c>
      <c r="EG56" s="1046">
        <v>0</v>
      </c>
      <c r="EH56" s="1046">
        <v>0</v>
      </c>
      <c r="EI56" s="1046" t="s">
        <v>454</v>
      </c>
      <c r="EJ56" s="1046" t="s">
        <v>505</v>
      </c>
      <c r="EK56" s="1046">
        <v>0</v>
      </c>
      <c r="EL56" s="1046">
        <v>0</v>
      </c>
      <c r="EM56" s="1046">
        <v>0</v>
      </c>
      <c r="EN56" s="1046">
        <v>0</v>
      </c>
      <c r="EO56" s="1046">
        <v>0</v>
      </c>
      <c r="EP56" s="1094">
        <v>62.069649249999998</v>
      </c>
      <c r="EQ56" s="1094">
        <v>42.875</v>
      </c>
      <c r="ER56" s="1094">
        <v>124.1392985</v>
      </c>
      <c r="ES56" s="1095">
        <v>85.75</v>
      </c>
      <c r="ET56" s="1094">
        <v>248.27859699999999</v>
      </c>
      <c r="EU56" s="1094">
        <v>171.5</v>
      </c>
      <c r="EV56" s="1096">
        <v>0.60799999999999998</v>
      </c>
      <c r="EW56" s="1097">
        <v>0.15</v>
      </c>
      <c r="EX56" s="1096">
        <v>289.50050968399592</v>
      </c>
      <c r="EY56" s="1096">
        <v>1.5443934760448521</v>
      </c>
      <c r="EZ56" s="1096">
        <v>0</v>
      </c>
      <c r="FA56" s="1096">
        <v>21.114285714285714</v>
      </c>
      <c r="FB56" s="1098">
        <v>0</v>
      </c>
      <c r="FC56" s="1098">
        <v>0</v>
      </c>
      <c r="FD56" s="1098" t="s">
        <v>458</v>
      </c>
      <c r="FE56" s="1098" t="s">
        <v>490</v>
      </c>
      <c r="FF56" s="1098">
        <v>2</v>
      </c>
      <c r="FG56" s="1098">
        <v>0</v>
      </c>
      <c r="FH56" s="1098">
        <v>0</v>
      </c>
      <c r="FI56" s="1098">
        <v>0</v>
      </c>
      <c r="FJ56" s="1098">
        <v>0</v>
      </c>
      <c r="FK56" s="1096">
        <v>48.660450124999997</v>
      </c>
      <c r="FL56" s="1096">
        <v>42.875</v>
      </c>
      <c r="FM56" s="1096">
        <v>97.320900249999994</v>
      </c>
      <c r="FN56" s="1096">
        <v>85.75</v>
      </c>
      <c r="FO56" s="1096">
        <v>194.64180049999999</v>
      </c>
      <c r="FP56" s="1099">
        <v>171.5</v>
      </c>
      <c r="FQ56" s="1064">
        <v>0.77972000000000008</v>
      </c>
      <c r="FR56" s="1065">
        <v>0.15</v>
      </c>
      <c r="FS56" s="1066">
        <v>289.50050968399586</v>
      </c>
      <c r="FT56" s="1066">
        <v>3.1547324150233758</v>
      </c>
      <c r="FU56" s="1065"/>
      <c r="FV56" s="1066">
        <v>33.821598973618016</v>
      </c>
      <c r="FW56" s="1065"/>
      <c r="FX56" s="1065"/>
      <c r="FY56" s="1065" t="s">
        <v>461</v>
      </c>
      <c r="FZ56" s="1065" t="s">
        <v>490</v>
      </c>
      <c r="GA56" s="1065">
        <v>1</v>
      </c>
      <c r="GB56" s="1065"/>
      <c r="GC56" s="1065"/>
      <c r="GD56" s="1065"/>
      <c r="GE56" s="1065"/>
      <c r="GF56" s="1066">
        <v>49.033538183801504</v>
      </c>
      <c r="GG56" s="1066">
        <v>42.875</v>
      </c>
      <c r="GH56" s="1066">
        <v>98.067076367603008</v>
      </c>
      <c r="GI56" s="1066">
        <v>85.75</v>
      </c>
      <c r="GJ56" s="1066">
        <v>196.13415273520602</v>
      </c>
      <c r="GK56" s="1066">
        <v>171.5</v>
      </c>
      <c r="GL56" s="584">
        <v>0.57979999999999998</v>
      </c>
      <c r="GM56" s="584">
        <v>0.13</v>
      </c>
      <c r="GN56" s="584"/>
      <c r="GO56" s="584"/>
      <c r="GP56" s="584"/>
      <c r="GQ56" s="584">
        <v>22.4142857142857</v>
      </c>
      <c r="GR56" s="584"/>
      <c r="GS56" s="584">
        <v>66.2589194699286</v>
      </c>
      <c r="GT56" s="584" t="s">
        <v>461</v>
      </c>
      <c r="GU56" s="584" t="s">
        <v>461</v>
      </c>
      <c r="GV56" s="584">
        <v>1</v>
      </c>
      <c r="GW56" s="584"/>
      <c r="GX56" s="584"/>
      <c r="GY56" s="584"/>
      <c r="GZ56" s="584"/>
      <c r="HA56" s="584">
        <v>20.456080750000002</v>
      </c>
      <c r="HB56" s="584">
        <v>42.875</v>
      </c>
      <c r="HC56" s="584">
        <v>40.912161500000003</v>
      </c>
      <c r="HD56" s="584">
        <v>85.75</v>
      </c>
      <c r="HE56" s="584">
        <v>81.824323000000007</v>
      </c>
      <c r="HF56" s="584">
        <v>171.5</v>
      </c>
      <c r="HG56" s="1100">
        <v>0.81</v>
      </c>
      <c r="HH56" s="1100">
        <v>0.13</v>
      </c>
      <c r="HI56" s="1101">
        <v>0</v>
      </c>
      <c r="HJ56" s="1101">
        <v>0</v>
      </c>
      <c r="HK56" s="1101">
        <v>0</v>
      </c>
      <c r="HL56" s="1101">
        <v>0</v>
      </c>
      <c r="HM56" s="1101">
        <v>30.96</v>
      </c>
      <c r="HN56" s="1101">
        <v>65</v>
      </c>
      <c r="HO56" s="1101">
        <v>0</v>
      </c>
      <c r="HP56" s="1101">
        <v>0</v>
      </c>
      <c r="HQ56" s="1101">
        <v>1</v>
      </c>
      <c r="HR56" s="1101">
        <v>0.68</v>
      </c>
      <c r="HS56" s="1101">
        <v>0.52</v>
      </c>
      <c r="HT56" s="1101">
        <v>0.28000000000000003</v>
      </c>
      <c r="HU56" s="1101">
        <v>0.28000000000000003</v>
      </c>
      <c r="HV56" s="1101">
        <v>21.331753100000004</v>
      </c>
      <c r="HW56" s="1101">
        <v>42.875</v>
      </c>
      <c r="HX56" s="1101">
        <v>42.663506200000008</v>
      </c>
      <c r="HY56" s="1101">
        <v>85.75</v>
      </c>
      <c r="HZ56" s="1101">
        <v>85.327012400000015</v>
      </c>
      <c r="IA56" s="1101">
        <v>171.5</v>
      </c>
      <c r="IB56" s="1062"/>
      <c r="ID56" s="1050"/>
      <c r="IE56" s="1050"/>
      <c r="IF56" s="1103"/>
      <c r="IG56" s="1103"/>
      <c r="IH56" s="1103"/>
      <c r="II56" s="1103"/>
      <c r="IJ56" s="1103"/>
      <c r="IK56" s="1103"/>
      <c r="IL56" s="1103"/>
      <c r="IM56" s="1050"/>
      <c r="IN56" s="1050"/>
      <c r="IO56" s="1050"/>
      <c r="IP56" s="1050"/>
      <c r="IQ56" s="1103"/>
      <c r="IR56" s="1103"/>
      <c r="IS56" s="1103"/>
      <c r="IT56" s="1103"/>
      <c r="IU56" s="1103"/>
      <c r="IV56" s="1103"/>
      <c r="JU56" s="1050"/>
      <c r="JV56" s="1103"/>
      <c r="JW56" s="1103"/>
      <c r="JX56" s="1103"/>
      <c r="JY56" s="1103"/>
      <c r="JZ56" s="1103"/>
      <c r="KA56" s="1103"/>
      <c r="KB56" s="1103"/>
      <c r="KC56" s="1050"/>
      <c r="KD56" s="1050"/>
      <c r="KE56" s="1050"/>
      <c r="KF56" s="1050"/>
      <c r="KG56" s="1103"/>
      <c r="KH56" s="1103"/>
      <c r="KI56" s="1103"/>
      <c r="KJ56" s="1103"/>
      <c r="KK56" s="1103"/>
      <c r="KL56" s="1103"/>
      <c r="KM56" s="1103"/>
      <c r="KN56" s="1103"/>
    </row>
    <row r="57" spans="2:300">
      <c r="B57" s="1048" t="str">
        <f t="shared" si="2"/>
        <v>O78</v>
      </c>
      <c r="C57" s="1046">
        <v>7</v>
      </c>
      <c r="D57" s="1046">
        <v>8</v>
      </c>
      <c r="E57" s="1104">
        <v>0.26</v>
      </c>
      <c r="F57" s="1104">
        <v>0.26</v>
      </c>
      <c r="G57" s="1104">
        <v>624</v>
      </c>
      <c r="H57" s="1104">
        <v>20.54</v>
      </c>
      <c r="I57" s="584">
        <v>0</v>
      </c>
      <c r="J57" s="1104">
        <v>0</v>
      </c>
      <c r="K57" s="1104">
        <v>0</v>
      </c>
      <c r="L57" s="1104">
        <v>0</v>
      </c>
      <c r="M57" s="1104">
        <v>0</v>
      </c>
      <c r="N57" s="1104">
        <v>0</v>
      </c>
      <c r="O57" s="1104">
        <v>0</v>
      </c>
      <c r="P57" s="1104">
        <v>0</v>
      </c>
      <c r="Q57" s="1104">
        <v>0</v>
      </c>
      <c r="R57" s="1104">
        <v>0</v>
      </c>
      <c r="S57" s="1104">
        <v>0</v>
      </c>
      <c r="T57" s="1104">
        <v>199.96743749999999</v>
      </c>
      <c r="U57" s="1104">
        <v>49</v>
      </c>
      <c r="V57" s="1104">
        <v>322.99743749999999</v>
      </c>
      <c r="W57" s="1104">
        <v>102.9</v>
      </c>
      <c r="X57" s="1104">
        <v>458.67099999999999</v>
      </c>
      <c r="Y57" s="1104">
        <v>215.6</v>
      </c>
      <c r="Z57" s="1104">
        <v>0.22</v>
      </c>
      <c r="AA57" s="1104">
        <v>0.22</v>
      </c>
      <c r="AB57" s="1104">
        <v>528</v>
      </c>
      <c r="AC57" s="1104">
        <v>18</v>
      </c>
      <c r="AD57" s="1104">
        <v>0</v>
      </c>
      <c r="AE57" s="1104">
        <v>0</v>
      </c>
      <c r="AF57" s="1104">
        <v>0</v>
      </c>
      <c r="AG57" s="1104">
        <v>0</v>
      </c>
      <c r="AH57" s="1104">
        <v>0</v>
      </c>
      <c r="AI57" s="1104">
        <v>0</v>
      </c>
      <c r="AJ57" s="1104">
        <v>0</v>
      </c>
      <c r="AK57" s="1104">
        <v>0</v>
      </c>
      <c r="AL57" s="1104">
        <v>0</v>
      </c>
      <c r="AM57" s="1104">
        <v>0</v>
      </c>
      <c r="AN57" s="1104">
        <v>0</v>
      </c>
      <c r="AO57" s="1104">
        <v>184.4274375</v>
      </c>
      <c r="AP57" s="1104">
        <v>49</v>
      </c>
      <c r="AQ57" s="1104">
        <v>291.91743750000001</v>
      </c>
      <c r="AR57" s="1104">
        <v>102.9</v>
      </c>
      <c r="AS57" s="1104">
        <v>397.07100000000003</v>
      </c>
      <c r="AT57" s="1104">
        <v>215.6</v>
      </c>
      <c r="AU57" s="1104">
        <v>0.47499999999999998</v>
      </c>
      <c r="AV57" s="1104">
        <v>0.26</v>
      </c>
      <c r="AW57" s="1104">
        <v>463.17401413266498</v>
      </c>
      <c r="AX57" s="1104">
        <v>27.8444552085708</v>
      </c>
      <c r="AY57" s="1104">
        <v>0</v>
      </c>
      <c r="AZ57" s="1104">
        <v>0</v>
      </c>
      <c r="BA57" s="1104">
        <v>0</v>
      </c>
      <c r="BB57" s="1104">
        <v>0</v>
      </c>
      <c r="BC57" s="1104">
        <v>0</v>
      </c>
      <c r="BD57" s="1104">
        <v>0</v>
      </c>
      <c r="BE57" s="1104">
        <v>0</v>
      </c>
      <c r="BF57" s="1104">
        <v>0</v>
      </c>
      <c r="BG57" s="1104">
        <v>0.47499999999999998</v>
      </c>
      <c r="BH57" s="1104">
        <v>0</v>
      </c>
      <c r="BI57" s="1104">
        <v>0.45</v>
      </c>
      <c r="BJ57" s="1104">
        <v>180.80191442899499</v>
      </c>
      <c r="BK57" s="1104">
        <v>49</v>
      </c>
      <c r="BL57" s="1104">
        <v>272.59277885799003</v>
      </c>
      <c r="BM57" s="1104">
        <v>102.9</v>
      </c>
      <c r="BN57" s="1104">
        <v>351.21503962844798</v>
      </c>
      <c r="BO57" s="1104">
        <v>215.6</v>
      </c>
      <c r="BP57" s="1104">
        <v>0.45</v>
      </c>
      <c r="BQ57" s="1104">
        <v>0.155</v>
      </c>
      <c r="BR57" s="1104">
        <v>451.59881467973599</v>
      </c>
      <c r="BS57" s="1104">
        <v>19.2855063255072</v>
      </c>
      <c r="BT57" s="1104">
        <v>0</v>
      </c>
      <c r="BU57" s="1104">
        <v>0</v>
      </c>
      <c r="BV57" s="1104">
        <v>0</v>
      </c>
      <c r="BW57" s="1104">
        <v>0</v>
      </c>
      <c r="BX57" s="1104">
        <v>0</v>
      </c>
      <c r="BY57" s="1104">
        <v>0</v>
      </c>
      <c r="BZ57" s="1104">
        <v>0</v>
      </c>
      <c r="CA57" s="1104">
        <v>0.375</v>
      </c>
      <c r="CB57" s="1104">
        <v>0.45</v>
      </c>
      <c r="CC57" s="1104">
        <v>0.3</v>
      </c>
      <c r="CD57" s="1104">
        <v>0.3</v>
      </c>
      <c r="CE57" s="1104">
        <v>181.51665</v>
      </c>
      <c r="CF57" s="1104">
        <v>49</v>
      </c>
      <c r="CG57" s="1104">
        <v>279.5154</v>
      </c>
      <c r="CH57" s="1104">
        <v>102.9</v>
      </c>
      <c r="CI57" s="1104">
        <v>324.84039999999999</v>
      </c>
      <c r="CJ57" s="1104">
        <v>215.6</v>
      </c>
      <c r="CK57" s="1104">
        <v>0.47499999999999998</v>
      </c>
      <c r="CL57" s="1104">
        <v>0.2</v>
      </c>
      <c r="CM57" s="1104">
        <v>526.48734898563896</v>
      </c>
      <c r="CN57" s="1104">
        <v>22.0312229313882</v>
      </c>
      <c r="CO57" s="1104">
        <v>0</v>
      </c>
      <c r="CP57" s="1104">
        <v>0</v>
      </c>
      <c r="CQ57" s="1104">
        <v>0</v>
      </c>
      <c r="CR57" s="1104">
        <v>0</v>
      </c>
      <c r="CS57" s="1104">
        <v>0</v>
      </c>
      <c r="CT57" s="1104">
        <v>0</v>
      </c>
      <c r="CU57" s="1104">
        <v>0</v>
      </c>
      <c r="CV57" s="1104">
        <v>0</v>
      </c>
      <c r="CW57" s="1104">
        <v>0.47499999999999998</v>
      </c>
      <c r="CX57" s="1104">
        <v>0</v>
      </c>
      <c r="CY57" s="1104">
        <v>0.45</v>
      </c>
      <c r="CZ57" s="1104">
        <v>192.57900000000001</v>
      </c>
      <c r="DA57" s="1104">
        <v>49</v>
      </c>
      <c r="DB57" s="1104">
        <v>293.14274999999998</v>
      </c>
      <c r="DC57" s="1104">
        <v>102.9</v>
      </c>
      <c r="DD57" s="1104">
        <v>390.35275000000001</v>
      </c>
      <c r="DE57" s="1104">
        <v>215.6</v>
      </c>
      <c r="DF57" s="1104">
        <v>0.35</v>
      </c>
      <c r="DG57" s="1104">
        <v>0.2</v>
      </c>
      <c r="DH57" s="1104">
        <v>308.09322999772098</v>
      </c>
      <c r="DI57" s="1104">
        <v>18.000444124686599</v>
      </c>
      <c r="DJ57" s="1104">
        <v>300</v>
      </c>
      <c r="DK57" s="1104">
        <v>0</v>
      </c>
      <c r="DL57" s="1104">
        <v>0</v>
      </c>
      <c r="DM57" s="1104">
        <v>0</v>
      </c>
      <c r="DN57" s="1104">
        <v>0</v>
      </c>
      <c r="DO57" s="1104">
        <v>0</v>
      </c>
      <c r="DP57" s="1104">
        <v>0</v>
      </c>
      <c r="DQ57" s="1104">
        <v>0</v>
      </c>
      <c r="DR57" s="1104">
        <v>0.35</v>
      </c>
      <c r="DS57" s="1104">
        <v>0</v>
      </c>
      <c r="DT57" s="1104">
        <v>2.4</v>
      </c>
      <c r="DU57" s="1104">
        <v>178.5811875</v>
      </c>
      <c r="DV57" s="1104">
        <v>49</v>
      </c>
      <c r="DW57" s="1104">
        <v>316.99962499999998</v>
      </c>
      <c r="DX57" s="1104">
        <v>102.9</v>
      </c>
      <c r="DY57" s="1104">
        <v>419.50650000000002</v>
      </c>
      <c r="DZ57" s="1104">
        <v>215.6</v>
      </c>
      <c r="EA57" s="1062">
        <v>0.71720000000000006</v>
      </c>
      <c r="EB57" s="1046">
        <v>0.25</v>
      </c>
      <c r="EC57" s="1093">
        <v>132.51783893985731</v>
      </c>
      <c r="ED57" s="1046">
        <v>0</v>
      </c>
      <c r="EE57" s="1046">
        <v>346.58511722731902</v>
      </c>
      <c r="EF57" s="1046">
        <v>18.873214285714287</v>
      </c>
      <c r="EG57" s="1046">
        <v>0</v>
      </c>
      <c r="EH57" s="1046">
        <v>0</v>
      </c>
      <c r="EI57" s="1046" t="s">
        <v>445</v>
      </c>
      <c r="EJ57" s="1046" t="s">
        <v>488</v>
      </c>
      <c r="EK57" s="1046">
        <v>0</v>
      </c>
      <c r="EL57" s="1046">
        <v>0</v>
      </c>
      <c r="EM57" s="1046">
        <v>0</v>
      </c>
      <c r="EN57" s="1046">
        <v>0</v>
      </c>
      <c r="EO57" s="1046">
        <v>0</v>
      </c>
      <c r="EP57" s="1094">
        <v>79.592047249999993</v>
      </c>
      <c r="EQ57" s="1094">
        <v>49</v>
      </c>
      <c r="ER57" s="1094">
        <v>159.18409449999999</v>
      </c>
      <c r="ES57" s="1095">
        <v>98</v>
      </c>
      <c r="ET57" s="1094">
        <v>318.36818899999997</v>
      </c>
      <c r="EU57" s="1094">
        <v>196</v>
      </c>
      <c r="EV57" s="1096">
        <v>0.60699999999999998</v>
      </c>
      <c r="EW57" s="1097">
        <v>0.15</v>
      </c>
      <c r="EX57" s="1096">
        <v>289.50050968399592</v>
      </c>
      <c r="EY57" s="1096">
        <v>1.5443934760448521</v>
      </c>
      <c r="EZ57" s="1096">
        <v>0</v>
      </c>
      <c r="FA57" s="1096">
        <v>22.144642857142856</v>
      </c>
      <c r="FB57" s="1098">
        <v>0</v>
      </c>
      <c r="FC57" s="1098">
        <v>0</v>
      </c>
      <c r="FD57" s="1098" t="s">
        <v>450</v>
      </c>
      <c r="FE57" s="1098" t="s">
        <v>481</v>
      </c>
      <c r="FF57" s="1098">
        <v>2</v>
      </c>
      <c r="FG57" s="1098">
        <v>0</v>
      </c>
      <c r="FH57" s="1098">
        <v>0</v>
      </c>
      <c r="FI57" s="1098">
        <v>0</v>
      </c>
      <c r="FJ57" s="1098">
        <v>0</v>
      </c>
      <c r="FK57" s="1096">
        <v>55.753452250000009</v>
      </c>
      <c r="FL57" s="1096">
        <v>49</v>
      </c>
      <c r="FM57" s="1096">
        <v>111.50690450000002</v>
      </c>
      <c r="FN57" s="1096">
        <v>98</v>
      </c>
      <c r="FO57" s="1096">
        <v>223.01380900000004</v>
      </c>
      <c r="FP57" s="1099">
        <v>196</v>
      </c>
      <c r="FQ57" s="1064">
        <v>0.77972000000000008</v>
      </c>
      <c r="FR57" s="1065">
        <v>0.15</v>
      </c>
      <c r="FS57" s="1066">
        <v>289.50050968399586</v>
      </c>
      <c r="FT57" s="1066">
        <v>3.1547324150233758</v>
      </c>
      <c r="FU57" s="1065"/>
      <c r="FV57" s="1066">
        <v>32.655700381545898</v>
      </c>
      <c r="FW57" s="1065"/>
      <c r="FX57" s="1065"/>
      <c r="FY57" s="1065" t="s">
        <v>461</v>
      </c>
      <c r="FZ57" s="1065" t="s">
        <v>490</v>
      </c>
      <c r="GA57" s="1065">
        <v>1</v>
      </c>
      <c r="GB57" s="1065"/>
      <c r="GC57" s="1065"/>
      <c r="GD57" s="1065"/>
      <c r="GE57" s="1065"/>
      <c r="GF57" s="1066">
        <v>55.878204840280816</v>
      </c>
      <c r="GG57" s="1066">
        <v>49</v>
      </c>
      <c r="GH57" s="1066">
        <v>111.75640968056163</v>
      </c>
      <c r="GI57" s="1066">
        <v>98</v>
      </c>
      <c r="GJ57" s="1066">
        <v>223.51281936112326</v>
      </c>
      <c r="GK57" s="1066">
        <v>196</v>
      </c>
      <c r="GL57" s="584">
        <v>0.65469999999999995</v>
      </c>
      <c r="GM57" s="584">
        <v>0.13</v>
      </c>
      <c r="GN57" s="584"/>
      <c r="GO57" s="584"/>
      <c r="GP57" s="584"/>
      <c r="GQ57" s="584">
        <v>26.246428571428599</v>
      </c>
      <c r="GR57" s="584"/>
      <c r="GS57" s="584">
        <v>66.2589194699286</v>
      </c>
      <c r="GT57" s="584" t="s">
        <v>459</v>
      </c>
      <c r="GU57" s="584" t="s">
        <v>438</v>
      </c>
      <c r="GV57" s="584">
        <v>1</v>
      </c>
      <c r="GW57" s="584"/>
      <c r="GX57" s="584"/>
      <c r="GY57" s="584"/>
      <c r="GZ57" s="584"/>
      <c r="HA57" s="584">
        <v>23.904684499999998</v>
      </c>
      <c r="HB57" s="584">
        <v>49</v>
      </c>
      <c r="HC57" s="584">
        <v>47.809368999999997</v>
      </c>
      <c r="HD57" s="584">
        <v>98</v>
      </c>
      <c r="HE57" s="584">
        <v>95.618737999999993</v>
      </c>
      <c r="HF57" s="584">
        <v>196</v>
      </c>
      <c r="HG57" s="1100">
        <v>0.85</v>
      </c>
      <c r="HH57" s="1100">
        <v>0.13</v>
      </c>
      <c r="HI57" s="1101">
        <v>0</v>
      </c>
      <c r="HJ57" s="1101">
        <v>0</v>
      </c>
      <c r="HK57" s="1101">
        <v>0</v>
      </c>
      <c r="HL57" s="1101">
        <v>0</v>
      </c>
      <c r="HM57" s="1101">
        <v>32.734285714285711</v>
      </c>
      <c r="HN57" s="1101">
        <v>65</v>
      </c>
      <c r="HO57" s="1101">
        <v>0</v>
      </c>
      <c r="HP57" s="1101">
        <v>0</v>
      </c>
      <c r="HQ57" s="1101">
        <v>1</v>
      </c>
      <c r="HR57" s="1101">
        <v>0.72</v>
      </c>
      <c r="HS57" s="1101">
        <v>0.64</v>
      </c>
      <c r="HT57" s="1101">
        <v>0.28000000000000003</v>
      </c>
      <c r="HU57" s="1101">
        <v>0.26</v>
      </c>
      <c r="HV57" s="1101">
        <v>24.622826799999999</v>
      </c>
      <c r="HW57" s="1101">
        <v>49</v>
      </c>
      <c r="HX57" s="1101">
        <v>49.245653599999997</v>
      </c>
      <c r="HY57" s="1101">
        <v>98</v>
      </c>
      <c r="HZ57" s="1101">
        <v>98.491307199999994</v>
      </c>
      <c r="IA57" s="1101">
        <v>196</v>
      </c>
      <c r="IB57" s="1062"/>
      <c r="ID57" s="1050"/>
      <c r="IE57" s="1050"/>
      <c r="IF57" s="1103"/>
      <c r="IG57" s="1103"/>
      <c r="IH57" s="1103"/>
      <c r="II57" s="1103"/>
      <c r="IJ57" s="1103"/>
      <c r="IK57" s="1103"/>
      <c r="IL57" s="1103"/>
      <c r="IM57" s="1050"/>
      <c r="IN57" s="1050"/>
      <c r="IO57" s="1050"/>
      <c r="IP57" s="1050"/>
      <c r="IQ57" s="1103"/>
      <c r="IR57" s="1103"/>
      <c r="IS57" s="1103"/>
      <c r="IT57" s="1103"/>
      <c r="IU57" s="1103"/>
      <c r="IV57" s="1103"/>
      <c r="JU57" s="1050"/>
      <c r="JV57" s="1103"/>
      <c r="JW57" s="1103"/>
      <c r="JX57" s="1103"/>
      <c r="JY57" s="1103"/>
      <c r="JZ57" s="1103"/>
      <c r="KA57" s="1103"/>
      <c r="KB57" s="1103"/>
      <c r="KC57" s="1050"/>
      <c r="KD57" s="1050"/>
      <c r="KE57" s="1050"/>
      <c r="KF57" s="1050"/>
      <c r="KG57" s="1103"/>
      <c r="KH57" s="1103"/>
      <c r="KI57" s="1103"/>
      <c r="KJ57" s="1103"/>
      <c r="KK57" s="1103"/>
      <c r="KL57" s="1103"/>
      <c r="KM57" s="1103"/>
      <c r="KN57" s="1103"/>
    </row>
    <row r="58" spans="2:300">
      <c r="B58" s="1048" t="str">
        <f t="shared" si="2"/>
        <v>O79</v>
      </c>
      <c r="C58" s="1046">
        <v>7</v>
      </c>
      <c r="D58" s="1046">
        <v>9</v>
      </c>
      <c r="E58" s="584">
        <v>0.3</v>
      </c>
      <c r="F58" s="584">
        <v>0.3</v>
      </c>
      <c r="G58" s="584">
        <v>720</v>
      </c>
      <c r="H58" s="584">
        <v>21.3</v>
      </c>
      <c r="I58" s="584">
        <v>0</v>
      </c>
      <c r="J58" s="584">
        <v>0</v>
      </c>
      <c r="K58" s="584">
        <v>0</v>
      </c>
      <c r="L58" s="584">
        <v>0</v>
      </c>
      <c r="M58" s="584">
        <v>0</v>
      </c>
      <c r="N58" s="584">
        <v>0</v>
      </c>
      <c r="O58" s="584">
        <v>0</v>
      </c>
      <c r="P58" s="584">
        <v>0</v>
      </c>
      <c r="Q58" s="584">
        <v>0</v>
      </c>
      <c r="R58" s="584">
        <v>0</v>
      </c>
      <c r="S58" s="584">
        <v>0</v>
      </c>
      <c r="T58" s="584">
        <v>236.28243749999999</v>
      </c>
      <c r="U58" s="584">
        <v>55.125</v>
      </c>
      <c r="V58" s="584">
        <v>397.70493750000003</v>
      </c>
      <c r="W58" s="584">
        <v>115.7625</v>
      </c>
      <c r="X58" s="584">
        <v>584.18100000000004</v>
      </c>
      <c r="Y58" s="584">
        <v>242.55</v>
      </c>
      <c r="Z58" s="584">
        <v>0.245</v>
      </c>
      <c r="AA58" s="584">
        <v>0.245</v>
      </c>
      <c r="AB58" s="584">
        <v>588</v>
      </c>
      <c r="AC58" s="584">
        <v>18</v>
      </c>
      <c r="AD58" s="584">
        <v>0</v>
      </c>
      <c r="AE58" s="584">
        <v>0</v>
      </c>
      <c r="AF58" s="584">
        <v>0</v>
      </c>
      <c r="AG58" s="584">
        <v>0</v>
      </c>
      <c r="AH58" s="584">
        <v>0</v>
      </c>
      <c r="AI58" s="584">
        <v>0</v>
      </c>
      <c r="AJ58" s="584">
        <v>0</v>
      </c>
      <c r="AK58" s="584">
        <v>0</v>
      </c>
      <c r="AL58" s="584">
        <v>0</v>
      </c>
      <c r="AM58" s="584">
        <v>0</v>
      </c>
      <c r="AN58" s="584">
        <v>0</v>
      </c>
      <c r="AO58" s="584">
        <v>212.37118749999999</v>
      </c>
      <c r="AP58" s="584">
        <v>55.125</v>
      </c>
      <c r="AQ58" s="584">
        <v>349.6280625</v>
      </c>
      <c r="AR58" s="584">
        <v>115.7625</v>
      </c>
      <c r="AS58" s="584">
        <v>488.89350000000002</v>
      </c>
      <c r="AT58" s="584">
        <v>242.55</v>
      </c>
      <c r="AU58" s="584">
        <v>0.55000000000000004</v>
      </c>
      <c r="AV58" s="584">
        <v>0.26</v>
      </c>
      <c r="AW58" s="584">
        <v>463.51021535961002</v>
      </c>
      <c r="AX58" s="584">
        <v>27.888586956521699</v>
      </c>
      <c r="AY58" s="584">
        <v>0</v>
      </c>
      <c r="AZ58" s="584">
        <v>0</v>
      </c>
      <c r="BA58" s="584">
        <v>0</v>
      </c>
      <c r="BB58" s="584">
        <v>0</v>
      </c>
      <c r="BC58" s="584">
        <v>0</v>
      </c>
      <c r="BD58" s="584">
        <v>0</v>
      </c>
      <c r="BE58" s="584">
        <v>0</v>
      </c>
      <c r="BF58" s="584">
        <v>0</v>
      </c>
      <c r="BG58" s="584">
        <v>0.55000000000000004</v>
      </c>
      <c r="BH58" s="584">
        <v>0</v>
      </c>
      <c r="BI58" s="584">
        <v>0.45</v>
      </c>
      <c r="BJ58" s="584">
        <v>198.39077484762299</v>
      </c>
      <c r="BK58" s="584">
        <v>55.125</v>
      </c>
      <c r="BL58" s="584">
        <v>305.50210581064601</v>
      </c>
      <c r="BM58" s="584">
        <v>115.7625</v>
      </c>
      <c r="BN58" s="584">
        <v>391.586793498578</v>
      </c>
      <c r="BO58" s="584">
        <v>242.55</v>
      </c>
      <c r="BP58" s="584">
        <v>0.57499999999999996</v>
      </c>
      <c r="BQ58" s="584">
        <v>0.16500000000000001</v>
      </c>
      <c r="BR58" s="584">
        <v>471.28585940674498</v>
      </c>
      <c r="BS58" s="584">
        <v>21.824310493701699</v>
      </c>
      <c r="BT58" s="584">
        <v>0</v>
      </c>
      <c r="BU58" s="584">
        <v>0</v>
      </c>
      <c r="BV58" s="584">
        <v>0</v>
      </c>
      <c r="BW58" s="584">
        <v>0</v>
      </c>
      <c r="BX58" s="584">
        <v>0</v>
      </c>
      <c r="BY58" s="584">
        <v>0</v>
      </c>
      <c r="BZ58" s="584">
        <v>0</v>
      </c>
      <c r="CA58" s="584">
        <v>0.375</v>
      </c>
      <c r="CB58" s="584">
        <v>0.57499999999999996</v>
      </c>
      <c r="CC58" s="584">
        <v>0.3</v>
      </c>
      <c r="CD58" s="584">
        <v>0.3</v>
      </c>
      <c r="CE58" s="584">
        <v>197.62844999999999</v>
      </c>
      <c r="CF58" s="584">
        <v>55.125</v>
      </c>
      <c r="CG58" s="584">
        <v>310.97407500000003</v>
      </c>
      <c r="CH58" s="584">
        <v>115.7625</v>
      </c>
      <c r="CI58" s="584">
        <v>387.07470000000001</v>
      </c>
      <c r="CJ58" s="584">
        <v>242.55</v>
      </c>
      <c r="CK58" s="584">
        <v>0.57499999999999996</v>
      </c>
      <c r="CL58" s="584">
        <v>0.2</v>
      </c>
      <c r="CM58" s="584">
        <v>541.07273466070706</v>
      </c>
      <c r="CN58" s="584">
        <v>22.354500203169401</v>
      </c>
      <c r="CO58" s="584">
        <v>0</v>
      </c>
      <c r="CP58" s="584">
        <v>0</v>
      </c>
      <c r="CQ58" s="584">
        <v>0</v>
      </c>
      <c r="CR58" s="584">
        <v>0</v>
      </c>
      <c r="CS58" s="584">
        <v>0</v>
      </c>
      <c r="CT58" s="584">
        <v>0</v>
      </c>
      <c r="CU58" s="584">
        <v>0</v>
      </c>
      <c r="CV58" s="584">
        <v>0</v>
      </c>
      <c r="CW58" s="584">
        <v>0.57499999999999996</v>
      </c>
      <c r="CX58" s="584">
        <v>0</v>
      </c>
      <c r="CY58" s="584">
        <v>0.6</v>
      </c>
      <c r="CZ58" s="584">
        <v>213.82974999999999</v>
      </c>
      <c r="DA58" s="584">
        <v>55.125</v>
      </c>
      <c r="DB58" s="584">
        <v>333.56475</v>
      </c>
      <c r="DC58" s="584">
        <v>115.7625</v>
      </c>
      <c r="DD58" s="584">
        <v>447.98849999999999</v>
      </c>
      <c r="DE58" s="584">
        <v>242.55</v>
      </c>
      <c r="DF58" s="584">
        <v>0.35</v>
      </c>
      <c r="DG58" s="584">
        <v>0.2</v>
      </c>
      <c r="DH58" s="584">
        <v>315.14475822836198</v>
      </c>
      <c r="DI58" s="584">
        <v>17.218898491466899</v>
      </c>
      <c r="DJ58" s="584">
        <v>300</v>
      </c>
      <c r="DK58" s="584">
        <v>0</v>
      </c>
      <c r="DL58" s="584">
        <v>0</v>
      </c>
      <c r="DM58" s="584">
        <v>0</v>
      </c>
      <c r="DN58" s="584">
        <v>0</v>
      </c>
      <c r="DO58" s="584">
        <v>0</v>
      </c>
      <c r="DP58" s="584">
        <v>0</v>
      </c>
      <c r="DQ58" s="584">
        <v>0</v>
      </c>
      <c r="DR58" s="584">
        <v>0.35</v>
      </c>
      <c r="DS58" s="584">
        <v>0</v>
      </c>
      <c r="DT58" s="584">
        <v>2.4</v>
      </c>
      <c r="DU58" s="584">
        <v>198.16493750000001</v>
      </c>
      <c r="DV58" s="584">
        <v>55.125</v>
      </c>
      <c r="DW58" s="584">
        <v>343.11087500000002</v>
      </c>
      <c r="DX58" s="584">
        <v>115.7625</v>
      </c>
      <c r="DY58" s="584">
        <v>470.86649999999997</v>
      </c>
      <c r="DZ58" s="584">
        <v>242.55</v>
      </c>
      <c r="EA58" s="1062">
        <v>0.78060000000000007</v>
      </c>
      <c r="EB58" s="1046">
        <v>0.3</v>
      </c>
      <c r="EC58" s="1093">
        <v>132.51783893985731</v>
      </c>
      <c r="ED58" s="1046">
        <v>0</v>
      </c>
      <c r="EE58" s="1046">
        <v>397.55351681957183</v>
      </c>
      <c r="EF58" s="1046">
        <v>24.396825396825395</v>
      </c>
      <c r="EG58" s="1046">
        <v>0</v>
      </c>
      <c r="EH58" s="1046">
        <v>0</v>
      </c>
      <c r="EI58" s="1046" t="s">
        <v>442</v>
      </c>
      <c r="EJ58" s="1046" t="s">
        <v>475</v>
      </c>
      <c r="EK58" s="1046">
        <v>0</v>
      </c>
      <c r="EL58" s="1046">
        <v>0</v>
      </c>
      <c r="EM58" s="1046">
        <v>0</v>
      </c>
      <c r="EN58" s="1046">
        <v>0</v>
      </c>
      <c r="EO58" s="1046">
        <v>0</v>
      </c>
      <c r="EP58" s="1094">
        <v>98.269492500000013</v>
      </c>
      <c r="EQ58" s="1094">
        <v>55.125</v>
      </c>
      <c r="ER58" s="1094">
        <v>196.53898500000003</v>
      </c>
      <c r="ES58" s="1095">
        <v>110.25</v>
      </c>
      <c r="ET58" s="1094">
        <v>393.07797000000005</v>
      </c>
      <c r="EU58" s="1094">
        <v>220.5</v>
      </c>
      <c r="EV58" s="1096">
        <v>0.61339999999999995</v>
      </c>
      <c r="EW58" s="1097">
        <v>0.15</v>
      </c>
      <c r="EX58" s="1096">
        <v>289.50050968399592</v>
      </c>
      <c r="EY58" s="1096">
        <v>1.5443934760448521</v>
      </c>
      <c r="EZ58" s="1096">
        <v>0</v>
      </c>
      <c r="FA58" s="1096">
        <v>22.779365079365078</v>
      </c>
      <c r="FB58" s="1098">
        <v>0</v>
      </c>
      <c r="FC58" s="1098">
        <v>0</v>
      </c>
      <c r="FD58" s="1098" t="s">
        <v>446</v>
      </c>
      <c r="FE58" s="1098" t="s">
        <v>481</v>
      </c>
      <c r="FF58" s="1098">
        <v>2</v>
      </c>
      <c r="FG58" s="1098">
        <v>0</v>
      </c>
      <c r="FH58" s="1098">
        <v>0</v>
      </c>
      <c r="FI58" s="1098">
        <v>0</v>
      </c>
      <c r="FJ58" s="1098">
        <v>0</v>
      </c>
      <c r="FK58" s="1096">
        <v>62.820703125000009</v>
      </c>
      <c r="FL58" s="1096">
        <v>55.125</v>
      </c>
      <c r="FM58" s="1096">
        <v>125.64140625000002</v>
      </c>
      <c r="FN58" s="1096">
        <v>110.25</v>
      </c>
      <c r="FO58" s="1096">
        <v>251.28281250000003</v>
      </c>
      <c r="FP58" s="1099">
        <v>220.5</v>
      </c>
      <c r="FQ58" s="1064">
        <v>0.78643999999999992</v>
      </c>
      <c r="FR58" s="1065">
        <v>0.15</v>
      </c>
      <c r="FS58" s="1066">
        <v>289.50050968399586</v>
      </c>
      <c r="FT58" s="1066">
        <v>3.1547324150233758</v>
      </c>
      <c r="FU58" s="1065"/>
      <c r="FV58" s="1066">
        <v>34.07694215888106</v>
      </c>
      <c r="FW58" s="1065"/>
      <c r="FX58" s="1065"/>
      <c r="FY58" s="1065" t="s">
        <v>459</v>
      </c>
      <c r="FZ58" s="1065" t="s">
        <v>481</v>
      </c>
      <c r="GA58" s="1065">
        <v>1</v>
      </c>
      <c r="GB58" s="1065"/>
      <c r="GC58" s="1065"/>
      <c r="GD58" s="1065"/>
      <c r="GE58" s="1065"/>
      <c r="GF58" s="1066">
        <v>63.082572959227534</v>
      </c>
      <c r="GG58" s="1066">
        <v>55.125</v>
      </c>
      <c r="GH58" s="1066">
        <v>126.16514591845507</v>
      </c>
      <c r="GI58" s="1066">
        <v>110.25</v>
      </c>
      <c r="GJ58" s="1066">
        <v>252.33029183691013</v>
      </c>
      <c r="GK58" s="1066">
        <v>220.5</v>
      </c>
      <c r="GL58" s="584">
        <v>0.65910000000000002</v>
      </c>
      <c r="GM58" s="584">
        <v>0.13</v>
      </c>
      <c r="GN58" s="584"/>
      <c r="GO58" s="584"/>
      <c r="GP58" s="584"/>
      <c r="GQ58" s="584">
        <v>28.6428571428571</v>
      </c>
      <c r="GR58" s="584"/>
      <c r="GS58" s="584">
        <v>66.2589194699286</v>
      </c>
      <c r="GT58" s="584" t="s">
        <v>438</v>
      </c>
      <c r="GU58" s="584" t="s">
        <v>436</v>
      </c>
      <c r="GV58" s="584">
        <v>1</v>
      </c>
      <c r="GW58" s="584"/>
      <c r="GX58" s="584"/>
      <c r="GY58" s="584"/>
      <c r="GZ58" s="584"/>
      <c r="HA58" s="584">
        <v>27.263036249999999</v>
      </c>
      <c r="HB58" s="584">
        <v>55.125</v>
      </c>
      <c r="HC58" s="584">
        <v>54.526072499999998</v>
      </c>
      <c r="HD58" s="584">
        <v>110.25</v>
      </c>
      <c r="HE58" s="584">
        <v>109.052145</v>
      </c>
      <c r="HF58" s="584">
        <v>220.5</v>
      </c>
      <c r="HG58" s="1100">
        <v>0.89</v>
      </c>
      <c r="HH58" s="1100">
        <v>0.13</v>
      </c>
      <c r="HI58" s="1101">
        <v>0</v>
      </c>
      <c r="HJ58" s="1101">
        <v>0</v>
      </c>
      <c r="HK58" s="1101">
        <v>0</v>
      </c>
      <c r="HL58" s="1101">
        <v>0</v>
      </c>
      <c r="HM58" s="1101">
        <v>39.171428571428571</v>
      </c>
      <c r="HN58" s="1101">
        <v>65</v>
      </c>
      <c r="HO58" s="1101">
        <v>0</v>
      </c>
      <c r="HP58" s="1101">
        <v>0</v>
      </c>
      <c r="HQ58" s="1101">
        <v>1</v>
      </c>
      <c r="HR58" s="1101">
        <v>0.76</v>
      </c>
      <c r="HS58" s="1101">
        <v>0.72</v>
      </c>
      <c r="HT58" s="1101">
        <v>0.3</v>
      </c>
      <c r="HU58" s="1101">
        <v>0.3</v>
      </c>
      <c r="HV58" s="1101">
        <v>28.695267000000008</v>
      </c>
      <c r="HW58" s="1101">
        <v>55.125</v>
      </c>
      <c r="HX58" s="1101">
        <v>57.390534000000017</v>
      </c>
      <c r="HY58" s="1101">
        <v>110.25</v>
      </c>
      <c r="HZ58" s="1101">
        <v>114.78106800000003</v>
      </c>
      <c r="IA58" s="1101">
        <v>220.5</v>
      </c>
      <c r="IB58" s="1062"/>
      <c r="ID58" s="1050"/>
      <c r="IE58" s="1050"/>
      <c r="IF58" s="1103"/>
      <c r="IG58" s="1103"/>
      <c r="IH58" s="1103"/>
      <c r="II58" s="1103"/>
      <c r="IJ58" s="1103"/>
      <c r="IK58" s="1103"/>
      <c r="IL58" s="1103"/>
      <c r="IM58" s="1050"/>
      <c r="IN58" s="1050"/>
      <c r="IO58" s="1050"/>
      <c r="IP58" s="1050"/>
      <c r="IQ58" s="1103"/>
      <c r="IR58" s="1103"/>
      <c r="IS58" s="1103"/>
      <c r="IT58" s="1103"/>
      <c r="IU58" s="1103"/>
      <c r="IV58" s="1103"/>
      <c r="JU58" s="1050"/>
      <c r="JV58" s="1103"/>
      <c r="JW58" s="1103"/>
      <c r="JX58" s="1103"/>
      <c r="JY58" s="1103"/>
      <c r="JZ58" s="1103"/>
      <c r="KA58" s="1103"/>
      <c r="KB58" s="1103"/>
      <c r="KC58" s="1050"/>
      <c r="KD58" s="1050"/>
      <c r="KE58" s="1050"/>
      <c r="KF58" s="1050"/>
      <c r="KG58" s="1103"/>
      <c r="KH58" s="1103"/>
      <c r="KI58" s="1103"/>
      <c r="KJ58" s="1103"/>
      <c r="KK58" s="1103"/>
      <c r="KL58" s="1103"/>
      <c r="KM58" s="1103"/>
      <c r="KN58" s="1103"/>
    </row>
    <row r="59" spans="2:300">
      <c r="B59" s="1048" t="str">
        <f t="shared" si="2"/>
        <v>O710</v>
      </c>
      <c r="C59" s="1046">
        <v>7</v>
      </c>
      <c r="D59" s="1092">
        <v>10</v>
      </c>
      <c r="E59" s="584">
        <v>0.36</v>
      </c>
      <c r="F59" s="584">
        <v>0.36</v>
      </c>
      <c r="G59" s="584">
        <v>864</v>
      </c>
      <c r="H59" s="584">
        <v>21.96</v>
      </c>
      <c r="I59" s="584">
        <v>0</v>
      </c>
      <c r="J59" s="584">
        <v>0</v>
      </c>
      <c r="K59" s="584">
        <v>0</v>
      </c>
      <c r="L59" s="584">
        <v>0</v>
      </c>
      <c r="M59" s="584">
        <v>0</v>
      </c>
      <c r="N59" s="584">
        <v>0</v>
      </c>
      <c r="O59" s="584">
        <v>0</v>
      </c>
      <c r="P59" s="584">
        <v>0</v>
      </c>
      <c r="Q59" s="584">
        <v>0</v>
      </c>
      <c r="R59" s="584">
        <v>0</v>
      </c>
      <c r="S59" s="584">
        <v>0</v>
      </c>
      <c r="T59" s="584">
        <v>285.91743750000001</v>
      </c>
      <c r="U59" s="584">
        <v>61.25</v>
      </c>
      <c r="V59" s="584">
        <v>499.6074375</v>
      </c>
      <c r="W59" s="584">
        <v>128.625</v>
      </c>
      <c r="X59" s="584">
        <v>763.59100000000001</v>
      </c>
      <c r="Y59" s="584">
        <v>269.5</v>
      </c>
      <c r="Z59" s="584">
        <v>0.28000000000000003</v>
      </c>
      <c r="AA59" s="584">
        <v>0.28000000000000003</v>
      </c>
      <c r="AB59" s="584">
        <v>672</v>
      </c>
      <c r="AC59" s="584">
        <v>18</v>
      </c>
      <c r="AD59" s="584">
        <v>0</v>
      </c>
      <c r="AE59" s="584">
        <v>0</v>
      </c>
      <c r="AF59" s="584">
        <v>0</v>
      </c>
      <c r="AG59" s="584">
        <v>0</v>
      </c>
      <c r="AH59" s="584">
        <v>0</v>
      </c>
      <c r="AI59" s="584">
        <v>0</v>
      </c>
      <c r="AJ59" s="584">
        <v>0</v>
      </c>
      <c r="AK59" s="584">
        <v>0</v>
      </c>
      <c r="AL59" s="584">
        <v>0</v>
      </c>
      <c r="AM59" s="584">
        <v>0</v>
      </c>
      <c r="AN59" s="584">
        <v>0</v>
      </c>
      <c r="AO59" s="584">
        <v>247.43743749999999</v>
      </c>
      <c r="AP59" s="584">
        <v>61.25</v>
      </c>
      <c r="AQ59" s="584">
        <v>421.90743750000001</v>
      </c>
      <c r="AR59" s="584">
        <v>128.625</v>
      </c>
      <c r="AS59" s="584">
        <v>609.59100000000001</v>
      </c>
      <c r="AT59" s="584">
        <v>269.5</v>
      </c>
      <c r="AU59" s="584">
        <v>0.65</v>
      </c>
      <c r="AV59" s="584">
        <v>0.26</v>
      </c>
      <c r="AW59" s="584">
        <v>487.40310060472802</v>
      </c>
      <c r="AX59" s="584">
        <v>28.2625068719076</v>
      </c>
      <c r="AY59" s="584">
        <v>0</v>
      </c>
      <c r="AZ59" s="584">
        <v>0</v>
      </c>
      <c r="BA59" s="584">
        <v>0</v>
      </c>
      <c r="BB59" s="584">
        <v>0</v>
      </c>
      <c r="BC59" s="584">
        <v>0</v>
      </c>
      <c r="BD59" s="584">
        <v>0</v>
      </c>
      <c r="BE59" s="584">
        <v>0</v>
      </c>
      <c r="BF59" s="584">
        <v>0</v>
      </c>
      <c r="BG59" s="584">
        <v>0.65</v>
      </c>
      <c r="BH59" s="584">
        <v>0</v>
      </c>
      <c r="BI59" s="584">
        <v>0.45</v>
      </c>
      <c r="BJ59" s="584">
        <v>221.256397269562</v>
      </c>
      <c r="BK59" s="584">
        <v>61.25</v>
      </c>
      <c r="BL59" s="584">
        <v>347.73176564046202</v>
      </c>
      <c r="BM59" s="584">
        <v>128.625</v>
      </c>
      <c r="BN59" s="584">
        <v>449.04498865677101</v>
      </c>
      <c r="BO59" s="584">
        <v>269.5</v>
      </c>
      <c r="BP59" s="584">
        <v>0</v>
      </c>
      <c r="BQ59" s="584">
        <v>0</v>
      </c>
      <c r="BR59" s="584">
        <v>0</v>
      </c>
      <c r="BS59" s="584">
        <v>0</v>
      </c>
      <c r="BT59" s="584">
        <v>0</v>
      </c>
      <c r="BU59" s="584">
        <v>0</v>
      </c>
      <c r="BV59" s="584">
        <v>0</v>
      </c>
      <c r="BW59" s="584">
        <v>0</v>
      </c>
      <c r="BX59" s="584">
        <v>0</v>
      </c>
      <c r="BY59" s="584">
        <v>0</v>
      </c>
      <c r="BZ59" s="584">
        <v>0</v>
      </c>
      <c r="CA59" s="584">
        <v>0</v>
      </c>
      <c r="CB59" s="584">
        <v>0</v>
      </c>
      <c r="CC59" s="584">
        <v>0</v>
      </c>
      <c r="CD59" s="584">
        <v>0</v>
      </c>
      <c r="CE59" s="584">
        <v>0</v>
      </c>
      <c r="CF59" s="584">
        <v>0</v>
      </c>
      <c r="CG59" s="584">
        <v>0</v>
      </c>
      <c r="CH59" s="584">
        <v>0</v>
      </c>
      <c r="CI59" s="584">
        <v>0</v>
      </c>
      <c r="CJ59" s="584">
        <v>0</v>
      </c>
      <c r="CK59" s="584">
        <v>0.67500000000000004</v>
      </c>
      <c r="CL59" s="584">
        <v>0.2</v>
      </c>
      <c r="CM59" s="584">
        <v>557.39967014843296</v>
      </c>
      <c r="CN59" s="584">
        <v>22.662561847168799</v>
      </c>
      <c r="CO59" s="584">
        <v>0</v>
      </c>
      <c r="CP59" s="584">
        <v>0</v>
      </c>
      <c r="CQ59" s="584">
        <v>0</v>
      </c>
      <c r="CR59" s="584">
        <v>0</v>
      </c>
      <c r="CS59" s="584">
        <v>0</v>
      </c>
      <c r="CT59" s="584">
        <v>0</v>
      </c>
      <c r="CU59" s="584">
        <v>0</v>
      </c>
      <c r="CV59" s="584">
        <v>0</v>
      </c>
      <c r="CW59" s="584">
        <v>0.67500000000000004</v>
      </c>
      <c r="CX59" s="584">
        <v>0</v>
      </c>
      <c r="CY59" s="584">
        <v>0.6</v>
      </c>
      <c r="CZ59" s="584">
        <v>237.23675</v>
      </c>
      <c r="DA59" s="584">
        <v>61.25</v>
      </c>
      <c r="DB59" s="584">
        <v>376.98674999999997</v>
      </c>
      <c r="DC59" s="584">
        <v>128.625</v>
      </c>
      <c r="DD59" s="584">
        <v>507.87425000000002</v>
      </c>
      <c r="DE59" s="584">
        <v>269.5</v>
      </c>
      <c r="DF59" s="584">
        <v>0.4</v>
      </c>
      <c r="DG59" s="584">
        <v>0.2</v>
      </c>
      <c r="DH59" s="584">
        <v>349.37877954920299</v>
      </c>
      <c r="DI59" s="584">
        <v>17.531636132490402</v>
      </c>
      <c r="DJ59" s="584">
        <v>300</v>
      </c>
      <c r="DK59" s="584">
        <v>0</v>
      </c>
      <c r="DL59" s="584">
        <v>0</v>
      </c>
      <c r="DM59" s="584">
        <v>0</v>
      </c>
      <c r="DN59" s="584">
        <v>0</v>
      </c>
      <c r="DO59" s="584">
        <v>0</v>
      </c>
      <c r="DP59" s="584">
        <v>0</v>
      </c>
      <c r="DQ59" s="584">
        <v>0</v>
      </c>
      <c r="DR59" s="584">
        <v>0.4</v>
      </c>
      <c r="DS59" s="584">
        <v>0</v>
      </c>
      <c r="DT59" s="584">
        <v>2.4</v>
      </c>
      <c r="DU59" s="584">
        <v>218.68618749999999</v>
      </c>
      <c r="DV59" s="584">
        <v>61.25</v>
      </c>
      <c r="DW59" s="584">
        <v>384.22212500000001</v>
      </c>
      <c r="DX59" s="584">
        <v>128.625</v>
      </c>
      <c r="DY59" s="584">
        <v>552.10500000000002</v>
      </c>
      <c r="DZ59" s="584">
        <v>269.5</v>
      </c>
      <c r="EA59" s="1062">
        <v>0.78060000000000007</v>
      </c>
      <c r="EB59" s="1046">
        <v>0.3</v>
      </c>
      <c r="EC59" s="1093">
        <v>132.51783893985731</v>
      </c>
      <c r="ED59" s="1046">
        <v>0</v>
      </c>
      <c r="EE59" s="1046">
        <v>397.55351681957183</v>
      </c>
      <c r="EF59" s="1046">
        <v>23.930000000000003</v>
      </c>
      <c r="EG59" s="1046">
        <v>0</v>
      </c>
      <c r="EH59" s="1046">
        <v>0</v>
      </c>
      <c r="EI59" s="1046" t="s">
        <v>442</v>
      </c>
      <c r="EJ59" s="1046" t="s">
        <v>465</v>
      </c>
      <c r="EK59" s="1046">
        <v>0</v>
      </c>
      <c r="EL59" s="1046">
        <v>0</v>
      </c>
      <c r="EM59" s="1046">
        <v>0</v>
      </c>
      <c r="EN59" s="1046">
        <v>0</v>
      </c>
      <c r="EO59" s="1046">
        <v>0</v>
      </c>
      <c r="EP59" s="1094">
        <v>109.10818275</v>
      </c>
      <c r="EQ59" s="1094">
        <v>61.25</v>
      </c>
      <c r="ER59" s="1094">
        <v>218.21636549999999</v>
      </c>
      <c r="ES59" s="1095">
        <v>122.5</v>
      </c>
      <c r="ET59" s="1094">
        <v>436.43273099999999</v>
      </c>
      <c r="EU59" s="1094">
        <v>245</v>
      </c>
      <c r="EV59" s="1096">
        <v>0.61720000000000008</v>
      </c>
      <c r="EW59" s="1097">
        <v>0.15</v>
      </c>
      <c r="EX59" s="1096">
        <v>289.50050968399592</v>
      </c>
      <c r="EY59" s="1096">
        <v>1.5443934760448521</v>
      </c>
      <c r="EZ59" s="1096">
        <v>0</v>
      </c>
      <c r="FA59" s="1096">
        <v>25.287142857142857</v>
      </c>
      <c r="FB59" s="1098">
        <v>0</v>
      </c>
      <c r="FC59" s="1098">
        <v>0</v>
      </c>
      <c r="FD59" s="1098" t="s">
        <v>445</v>
      </c>
      <c r="FE59" s="1098" t="s">
        <v>468</v>
      </c>
      <c r="FF59" s="1098">
        <v>2</v>
      </c>
      <c r="FG59" s="1098">
        <v>0</v>
      </c>
      <c r="FH59" s="1098">
        <v>0</v>
      </c>
      <c r="FI59" s="1098">
        <v>0</v>
      </c>
      <c r="FJ59" s="1098">
        <v>0</v>
      </c>
      <c r="FK59" s="1096">
        <v>70.231303999999994</v>
      </c>
      <c r="FL59" s="1096">
        <v>61.25</v>
      </c>
      <c r="FM59" s="1096">
        <v>140.46260799999999</v>
      </c>
      <c r="FN59" s="1096">
        <v>122.5</v>
      </c>
      <c r="FO59" s="1096">
        <v>280.92521599999998</v>
      </c>
      <c r="FP59" s="1099">
        <v>245</v>
      </c>
      <c r="FQ59" s="1064">
        <v>0.7847599999999999</v>
      </c>
      <c r="FR59" s="1065">
        <v>0.15</v>
      </c>
      <c r="FS59" s="1066">
        <v>289.50050968399586</v>
      </c>
      <c r="FT59" s="1066">
        <v>3.1547324150233758</v>
      </c>
      <c r="FU59" s="1065"/>
      <c r="FV59" s="1066">
        <v>36.475631898323599</v>
      </c>
      <c r="FW59" s="1065"/>
      <c r="FX59" s="1065"/>
      <c r="FY59" s="1065" t="s">
        <v>452</v>
      </c>
      <c r="FZ59" s="1065" t="s">
        <v>461</v>
      </c>
      <c r="GA59" s="1065">
        <v>1</v>
      </c>
      <c r="GB59" s="1065"/>
      <c r="GC59" s="1065"/>
      <c r="GD59" s="1065"/>
      <c r="GE59" s="1065"/>
      <c r="GF59" s="1066">
        <v>70.503542793493835</v>
      </c>
      <c r="GG59" s="1066">
        <v>61.25</v>
      </c>
      <c r="GH59" s="1066">
        <v>141.00708558698767</v>
      </c>
      <c r="GI59" s="1066">
        <v>122.5</v>
      </c>
      <c r="GJ59" s="1066">
        <v>282.01417117397534</v>
      </c>
      <c r="GK59" s="1066">
        <v>245</v>
      </c>
      <c r="GL59" s="584">
        <v>0.72860000000000003</v>
      </c>
      <c r="GM59" s="584">
        <v>0.13</v>
      </c>
      <c r="GN59" s="584"/>
      <c r="GO59" s="584"/>
      <c r="GP59" s="584"/>
      <c r="GQ59" s="584">
        <v>30.841428571428601</v>
      </c>
      <c r="GR59" s="584"/>
      <c r="GS59" s="584">
        <v>66.2589194699286</v>
      </c>
      <c r="GT59" s="584" t="s">
        <v>436</v>
      </c>
      <c r="GU59" s="584" t="s">
        <v>416</v>
      </c>
      <c r="GV59" s="584">
        <v>1</v>
      </c>
      <c r="GW59" s="584"/>
      <c r="GX59" s="584"/>
      <c r="GY59" s="584"/>
      <c r="GZ59" s="584"/>
      <c r="HA59" s="584">
        <v>30.66970225</v>
      </c>
      <c r="HB59" s="584">
        <v>61.25</v>
      </c>
      <c r="HC59" s="584">
        <v>61.339404500000001</v>
      </c>
      <c r="HD59" s="584">
        <v>122.5</v>
      </c>
      <c r="HE59" s="584">
        <v>122.678809</v>
      </c>
      <c r="HF59" s="584">
        <v>245</v>
      </c>
      <c r="HG59" s="1100">
        <v>0.97</v>
      </c>
      <c r="HH59" s="1100">
        <v>0.13</v>
      </c>
      <c r="HI59" s="1101">
        <v>0</v>
      </c>
      <c r="HJ59" s="1101">
        <v>0</v>
      </c>
      <c r="HK59" s="1101">
        <v>0</v>
      </c>
      <c r="HL59" s="1101">
        <v>0</v>
      </c>
      <c r="HM59" s="1101">
        <v>43.2</v>
      </c>
      <c r="HN59" s="1101">
        <v>65</v>
      </c>
      <c r="HO59" s="1101">
        <v>0</v>
      </c>
      <c r="HP59" s="1101">
        <v>0</v>
      </c>
      <c r="HQ59" s="1101">
        <v>1</v>
      </c>
      <c r="HR59" s="1101">
        <v>0.8</v>
      </c>
      <c r="HS59" s="1101">
        <v>0.84</v>
      </c>
      <c r="HT59" s="1101">
        <v>0.3</v>
      </c>
      <c r="HU59" s="1101">
        <v>0.3</v>
      </c>
      <c r="HV59" s="1101">
        <v>32.575235000000006</v>
      </c>
      <c r="HW59" s="1101">
        <v>61.25</v>
      </c>
      <c r="HX59" s="1101">
        <v>65.150470000000013</v>
      </c>
      <c r="HY59" s="1101">
        <v>122.5</v>
      </c>
      <c r="HZ59" s="1101">
        <v>130.30094000000003</v>
      </c>
      <c r="IA59" s="1101">
        <v>245</v>
      </c>
      <c r="IB59" s="1062"/>
      <c r="IC59" s="1092"/>
      <c r="ID59" s="1050"/>
      <c r="IE59" s="1050"/>
      <c r="IF59" s="1103"/>
      <c r="IG59" s="1103"/>
      <c r="IH59" s="1103"/>
      <c r="II59" s="1103"/>
      <c r="IJ59" s="1103"/>
      <c r="IK59" s="1103"/>
      <c r="IL59" s="1103"/>
      <c r="IM59" s="1050"/>
      <c r="IN59" s="1050"/>
      <c r="IO59" s="1050"/>
      <c r="IP59" s="1050"/>
      <c r="IQ59" s="1103"/>
      <c r="IR59" s="1103"/>
      <c r="IS59" s="1103"/>
      <c r="IT59" s="1103"/>
      <c r="IU59" s="1103"/>
      <c r="IV59" s="1103"/>
      <c r="JS59" s="1092"/>
      <c r="JU59" s="1050"/>
      <c r="JV59" s="1103"/>
      <c r="JW59" s="1103"/>
      <c r="JX59" s="1103"/>
      <c r="JY59" s="1103"/>
      <c r="JZ59" s="1103"/>
      <c r="KA59" s="1103"/>
      <c r="KB59" s="1103"/>
      <c r="KC59" s="1050"/>
      <c r="KD59" s="1050"/>
      <c r="KE59" s="1050"/>
      <c r="KF59" s="1050"/>
      <c r="KG59" s="1103"/>
      <c r="KH59" s="1103"/>
      <c r="KI59" s="1103"/>
      <c r="KJ59" s="1103"/>
      <c r="KK59" s="1103"/>
      <c r="KL59" s="1103"/>
      <c r="KM59" s="1103"/>
      <c r="KN59" s="1103"/>
    </row>
    <row r="60" spans="2:300">
      <c r="B60" s="1048" t="str">
        <f t="shared" si="2"/>
        <v>O711</v>
      </c>
      <c r="C60" s="1046">
        <v>7</v>
      </c>
      <c r="D60" s="1092">
        <v>11</v>
      </c>
      <c r="E60" s="584">
        <v>0.40500000000000003</v>
      </c>
      <c r="F60" s="584">
        <v>0.40500000000000003</v>
      </c>
      <c r="G60" s="584">
        <v>972</v>
      </c>
      <c r="H60" s="584">
        <v>23.895</v>
      </c>
      <c r="I60" s="584">
        <v>0</v>
      </c>
      <c r="J60" s="584">
        <v>0</v>
      </c>
      <c r="K60" s="584">
        <v>0</v>
      </c>
      <c r="L60" s="584">
        <v>0</v>
      </c>
      <c r="M60" s="584">
        <v>0</v>
      </c>
      <c r="N60" s="584">
        <v>0</v>
      </c>
      <c r="O60" s="584">
        <v>0</v>
      </c>
      <c r="P60" s="584">
        <v>0</v>
      </c>
      <c r="Q60" s="584">
        <v>0</v>
      </c>
      <c r="R60" s="584">
        <v>0</v>
      </c>
      <c r="S60" s="584">
        <v>0</v>
      </c>
      <c r="T60" s="584">
        <v>333.19368750000001</v>
      </c>
      <c r="U60" s="584">
        <v>67.375</v>
      </c>
      <c r="V60" s="584">
        <v>597.13931249999996</v>
      </c>
      <c r="W60" s="584">
        <v>141.48750000000001</v>
      </c>
      <c r="X60" s="584">
        <v>934.33849999999995</v>
      </c>
      <c r="Y60" s="584">
        <v>296.45</v>
      </c>
      <c r="Z60" s="584">
        <v>0.315</v>
      </c>
      <c r="AA60" s="584">
        <v>0.315</v>
      </c>
      <c r="AB60" s="584">
        <v>756</v>
      </c>
      <c r="AC60" s="584">
        <v>20</v>
      </c>
      <c r="AD60" s="584">
        <v>0</v>
      </c>
      <c r="AE60" s="584">
        <v>0</v>
      </c>
      <c r="AF60" s="584">
        <v>0</v>
      </c>
      <c r="AG60" s="584">
        <v>0</v>
      </c>
      <c r="AH60" s="584">
        <v>0</v>
      </c>
      <c r="AI60" s="584">
        <v>0</v>
      </c>
      <c r="AJ60" s="584">
        <v>0</v>
      </c>
      <c r="AK60" s="584">
        <v>0</v>
      </c>
      <c r="AL60" s="584">
        <v>0</v>
      </c>
      <c r="AM60" s="584">
        <v>0</v>
      </c>
      <c r="AN60" s="584">
        <v>0</v>
      </c>
      <c r="AO60" s="584">
        <v>285.74118750000002</v>
      </c>
      <c r="AP60" s="584">
        <v>67.375</v>
      </c>
      <c r="AQ60" s="584">
        <v>500.98556250000001</v>
      </c>
      <c r="AR60" s="584">
        <v>141.48750000000001</v>
      </c>
      <c r="AS60" s="584">
        <v>743.76350000000002</v>
      </c>
      <c r="AT60" s="584">
        <v>296.45</v>
      </c>
      <c r="AU60" s="584">
        <v>0.75</v>
      </c>
      <c r="AV60" s="584">
        <v>0.26</v>
      </c>
      <c r="AW60" s="584">
        <v>509.58280373831798</v>
      </c>
      <c r="AX60" s="584">
        <v>28.371829105473999</v>
      </c>
      <c r="AY60" s="584">
        <v>0</v>
      </c>
      <c r="AZ60" s="584">
        <v>0</v>
      </c>
      <c r="BA60" s="584">
        <v>0</v>
      </c>
      <c r="BB60" s="584">
        <v>0</v>
      </c>
      <c r="BC60" s="584">
        <v>0</v>
      </c>
      <c r="BD60" s="584">
        <v>0</v>
      </c>
      <c r="BE60" s="584">
        <v>0</v>
      </c>
      <c r="BF60" s="584">
        <v>0</v>
      </c>
      <c r="BG60" s="584">
        <v>0.75</v>
      </c>
      <c r="BH60" s="584">
        <v>0</v>
      </c>
      <c r="BI60" s="584">
        <v>0.45</v>
      </c>
      <c r="BJ60" s="584">
        <v>244.86870560747701</v>
      </c>
      <c r="BK60" s="584">
        <v>67.375</v>
      </c>
      <c r="BL60" s="584">
        <v>391.468385046729</v>
      </c>
      <c r="BM60" s="584">
        <v>141.48750000000001</v>
      </c>
      <c r="BN60" s="584">
        <v>508.76697757009401</v>
      </c>
      <c r="BO60" s="584">
        <v>296.45</v>
      </c>
      <c r="BP60" s="584">
        <v>0</v>
      </c>
      <c r="BQ60" s="584">
        <v>0</v>
      </c>
      <c r="BR60" s="584">
        <v>0</v>
      </c>
      <c r="BS60" s="584">
        <v>0</v>
      </c>
      <c r="BT60" s="584">
        <v>0</v>
      </c>
      <c r="BU60" s="584">
        <v>0</v>
      </c>
      <c r="BV60" s="584">
        <v>0</v>
      </c>
      <c r="BW60" s="584">
        <v>0</v>
      </c>
      <c r="BX60" s="584">
        <v>0</v>
      </c>
      <c r="BY60" s="584">
        <v>0</v>
      </c>
      <c r="BZ60" s="584">
        <v>0</v>
      </c>
      <c r="CA60" s="584">
        <v>0</v>
      </c>
      <c r="CB60" s="584">
        <v>0</v>
      </c>
      <c r="CC60" s="584">
        <v>0</v>
      </c>
      <c r="CD60" s="584">
        <v>0</v>
      </c>
      <c r="CE60" s="584">
        <v>0</v>
      </c>
      <c r="CF60" s="584">
        <v>0</v>
      </c>
      <c r="CG60" s="584">
        <v>0</v>
      </c>
      <c r="CH60" s="584">
        <v>0</v>
      </c>
      <c r="CI60" s="584">
        <v>0</v>
      </c>
      <c r="CJ60" s="584">
        <v>0</v>
      </c>
      <c r="CK60" s="584">
        <v>0.77500000000000002</v>
      </c>
      <c r="CL60" s="584">
        <v>0.2</v>
      </c>
      <c r="CM60" s="584">
        <v>573.81508678237697</v>
      </c>
      <c r="CN60" s="584">
        <v>22.7035797730307</v>
      </c>
      <c r="CO60" s="584">
        <v>0</v>
      </c>
      <c r="CP60" s="584">
        <v>0</v>
      </c>
      <c r="CQ60" s="584">
        <v>0</v>
      </c>
      <c r="CR60" s="584">
        <v>0</v>
      </c>
      <c r="CS60" s="584">
        <v>0</v>
      </c>
      <c r="CT60" s="584">
        <v>0</v>
      </c>
      <c r="CU60" s="584">
        <v>0</v>
      </c>
      <c r="CV60" s="584">
        <v>0</v>
      </c>
      <c r="CW60" s="584">
        <v>0.77500000000000002</v>
      </c>
      <c r="CX60" s="584">
        <v>0</v>
      </c>
      <c r="CY60" s="584">
        <v>0.6</v>
      </c>
      <c r="CZ60" s="584">
        <v>261.39375000000001</v>
      </c>
      <c r="DA60" s="584">
        <v>67.375</v>
      </c>
      <c r="DB60" s="584">
        <v>421.90875</v>
      </c>
      <c r="DC60" s="584">
        <v>141.48750000000001</v>
      </c>
      <c r="DD60" s="584">
        <v>570.01</v>
      </c>
      <c r="DE60" s="584">
        <v>296.45</v>
      </c>
      <c r="DF60" s="584">
        <v>0.45</v>
      </c>
      <c r="DG60" s="584">
        <v>0.2</v>
      </c>
      <c r="DH60" s="584">
        <v>400.21643441254997</v>
      </c>
      <c r="DI60" s="584">
        <v>19.418638747496701</v>
      </c>
      <c r="DJ60" s="584">
        <v>300</v>
      </c>
      <c r="DK60" s="584">
        <v>0</v>
      </c>
      <c r="DL60" s="584">
        <v>0</v>
      </c>
      <c r="DM60" s="584">
        <v>0</v>
      </c>
      <c r="DN60" s="584">
        <v>0</v>
      </c>
      <c r="DO60" s="584">
        <v>0</v>
      </c>
      <c r="DP60" s="584">
        <v>0</v>
      </c>
      <c r="DQ60" s="584">
        <v>0</v>
      </c>
      <c r="DR60" s="584">
        <v>0.45</v>
      </c>
      <c r="DS60" s="584">
        <v>0</v>
      </c>
      <c r="DT60" s="584">
        <v>2.4</v>
      </c>
      <c r="DU60" s="584">
        <v>249.46293750000001</v>
      </c>
      <c r="DV60" s="584">
        <v>67.375</v>
      </c>
      <c r="DW60" s="584">
        <v>428.57637499999998</v>
      </c>
      <c r="DX60" s="584">
        <v>141.48750000000001</v>
      </c>
      <c r="DY60" s="584">
        <v>639.34349999999995</v>
      </c>
      <c r="DZ60" s="584">
        <v>296.45</v>
      </c>
      <c r="EA60" s="1062">
        <v>0.84199999999999997</v>
      </c>
      <c r="EB60" s="1046">
        <v>0.35</v>
      </c>
      <c r="EC60" s="1093">
        <v>132.51783893985731</v>
      </c>
      <c r="ED60" s="1046">
        <v>0</v>
      </c>
      <c r="EE60" s="1046">
        <v>458.71559633027522</v>
      </c>
      <c r="EF60" s="1046">
        <v>28.715584415584413</v>
      </c>
      <c r="EG60" s="1046">
        <v>0</v>
      </c>
      <c r="EH60" s="1046">
        <v>0</v>
      </c>
      <c r="EI60" s="1046" t="s">
        <v>440</v>
      </c>
      <c r="EJ60" s="1046" t="s">
        <v>445</v>
      </c>
      <c r="EK60" s="1046">
        <v>0</v>
      </c>
      <c r="EL60" s="1046">
        <v>0</v>
      </c>
      <c r="EM60" s="1046">
        <v>0</v>
      </c>
      <c r="EN60" s="1046">
        <v>0</v>
      </c>
      <c r="EO60" s="1046">
        <v>0</v>
      </c>
      <c r="EP60" s="1094">
        <v>132.47272275</v>
      </c>
      <c r="EQ60" s="1094">
        <v>67.375</v>
      </c>
      <c r="ER60" s="1094">
        <v>264.94544550000001</v>
      </c>
      <c r="ES60" s="1095">
        <v>134.75</v>
      </c>
      <c r="ET60" s="1094">
        <v>529.89089100000001</v>
      </c>
      <c r="EU60" s="1094">
        <v>269.5</v>
      </c>
      <c r="EV60" s="1096">
        <v>0.68310000000000004</v>
      </c>
      <c r="EW60" s="1097">
        <v>0.15</v>
      </c>
      <c r="EX60" s="1096">
        <v>289.50050968399592</v>
      </c>
      <c r="EY60" s="1096">
        <v>1.5443934760448521</v>
      </c>
      <c r="EZ60" s="1096">
        <v>0</v>
      </c>
      <c r="FA60" s="1096">
        <v>23.315584415584411</v>
      </c>
      <c r="FB60" s="1098">
        <v>0</v>
      </c>
      <c r="FC60" s="1098">
        <v>0</v>
      </c>
      <c r="FD60" s="1098" t="s">
        <v>430</v>
      </c>
      <c r="FE60" s="1098" t="s">
        <v>461</v>
      </c>
      <c r="FF60" s="1098">
        <v>2</v>
      </c>
      <c r="FG60" s="1098">
        <v>0</v>
      </c>
      <c r="FH60" s="1098">
        <v>0</v>
      </c>
      <c r="FI60" s="1098">
        <v>0</v>
      </c>
      <c r="FJ60" s="1098">
        <v>0</v>
      </c>
      <c r="FK60" s="1096">
        <v>76.882120375000014</v>
      </c>
      <c r="FL60" s="1096">
        <v>67.375</v>
      </c>
      <c r="FM60" s="1096">
        <v>153.76424075000003</v>
      </c>
      <c r="FN60" s="1096">
        <v>134.75</v>
      </c>
      <c r="FO60" s="1096">
        <v>307.52848150000005</v>
      </c>
      <c r="FP60" s="1099">
        <v>269.5</v>
      </c>
      <c r="FQ60" s="1064">
        <v>0.89382878474779204</v>
      </c>
      <c r="FR60" s="1065">
        <v>0.15</v>
      </c>
      <c r="FS60" s="1066">
        <v>289.50050968399586</v>
      </c>
      <c r="FT60" s="1066">
        <v>3.1547324150233758</v>
      </c>
      <c r="FU60" s="1065"/>
      <c r="FV60" s="1066">
        <v>39.968433608759078</v>
      </c>
      <c r="FW60" s="1065"/>
      <c r="FX60" s="1065"/>
      <c r="FY60" s="1065" t="s">
        <v>452</v>
      </c>
      <c r="FZ60" s="1065" t="s">
        <v>438</v>
      </c>
      <c r="GA60" s="1065">
        <v>1</v>
      </c>
      <c r="GB60" s="1065"/>
      <c r="GC60" s="1065"/>
      <c r="GD60" s="1065"/>
      <c r="GE60" s="1065"/>
      <c r="GF60" s="1066">
        <v>78.213486479846139</v>
      </c>
      <c r="GG60" s="1066">
        <v>67.375</v>
      </c>
      <c r="GH60" s="1066">
        <v>156.42697295969228</v>
      </c>
      <c r="GI60" s="1066">
        <v>134.75</v>
      </c>
      <c r="GJ60" s="1066">
        <v>312.85394591938456</v>
      </c>
      <c r="GK60" s="1066">
        <v>269.5</v>
      </c>
      <c r="GL60" s="584">
        <v>0.73760000000000003</v>
      </c>
      <c r="GM60" s="584">
        <v>0.13</v>
      </c>
      <c r="GN60" s="584"/>
      <c r="GO60" s="584"/>
      <c r="GP60" s="584"/>
      <c r="GQ60" s="584">
        <v>39.076623376623402</v>
      </c>
      <c r="GR60" s="584"/>
      <c r="GS60" s="584">
        <v>66.2589194699286</v>
      </c>
      <c r="GT60" s="584" t="s">
        <v>436</v>
      </c>
      <c r="GU60" s="584" t="s">
        <v>408</v>
      </c>
      <c r="GV60" s="584">
        <v>1</v>
      </c>
      <c r="GW60" s="584"/>
      <c r="GX60" s="584"/>
      <c r="GY60" s="584"/>
      <c r="GZ60" s="584"/>
      <c r="HA60" s="584">
        <v>35.291827249999997</v>
      </c>
      <c r="HB60" s="584">
        <v>67.375</v>
      </c>
      <c r="HC60" s="584">
        <v>70.583654499999994</v>
      </c>
      <c r="HD60" s="584">
        <v>134.75</v>
      </c>
      <c r="HE60" s="584">
        <v>141.16730899999999</v>
      </c>
      <c r="HF60" s="584">
        <v>269.5</v>
      </c>
      <c r="HG60" s="1100">
        <v>1.0899999999999999</v>
      </c>
      <c r="HH60" s="1100">
        <v>0.13</v>
      </c>
      <c r="HI60" s="1101">
        <v>0</v>
      </c>
      <c r="HJ60" s="1101">
        <v>0</v>
      </c>
      <c r="HK60" s="1101">
        <v>0</v>
      </c>
      <c r="HL60" s="1101">
        <v>0</v>
      </c>
      <c r="HM60" s="1101">
        <v>44.869090909090907</v>
      </c>
      <c r="HN60" s="1101">
        <v>65</v>
      </c>
      <c r="HO60" s="1101">
        <v>0</v>
      </c>
      <c r="HP60" s="1101">
        <v>0</v>
      </c>
      <c r="HQ60" s="1101">
        <v>1</v>
      </c>
      <c r="HR60" s="1101">
        <v>0.84</v>
      </c>
      <c r="HS60" s="1101">
        <v>0.96</v>
      </c>
      <c r="HT60" s="1101">
        <v>0.3</v>
      </c>
      <c r="HU60" s="1101">
        <v>0.28000000000000003</v>
      </c>
      <c r="HV60" s="1101">
        <v>36.14795380000001</v>
      </c>
      <c r="HW60" s="1101">
        <v>67.375</v>
      </c>
      <c r="HX60" s="1101">
        <v>72.295907600000021</v>
      </c>
      <c r="HY60" s="1101">
        <v>134.75</v>
      </c>
      <c r="HZ60" s="1101">
        <v>144.59181520000004</v>
      </c>
      <c r="IA60" s="1101">
        <v>269.5</v>
      </c>
      <c r="IB60" s="1062"/>
      <c r="IC60" s="1092"/>
      <c r="ID60" s="1050"/>
      <c r="IE60" s="1050"/>
      <c r="IF60" s="1103"/>
      <c r="IG60" s="1103"/>
      <c r="IH60" s="1103"/>
      <c r="II60" s="1103"/>
      <c r="IJ60" s="1103"/>
      <c r="IK60" s="1103"/>
      <c r="IL60" s="1103"/>
      <c r="IM60" s="1050"/>
      <c r="IN60" s="1050"/>
      <c r="IO60" s="1050"/>
      <c r="IP60" s="1050"/>
      <c r="IQ60" s="1103"/>
      <c r="IR60" s="1103"/>
      <c r="IS60" s="1103"/>
      <c r="IT60" s="1103"/>
      <c r="IU60" s="1103"/>
      <c r="IV60" s="1103"/>
      <c r="JS60" s="1092"/>
      <c r="JU60" s="1050"/>
      <c r="JV60" s="1103"/>
      <c r="JW60" s="1103"/>
      <c r="JX60" s="1103"/>
      <c r="JY60" s="1103"/>
      <c r="JZ60" s="1103"/>
      <c r="KA60" s="1103"/>
      <c r="KB60" s="1103"/>
      <c r="KC60" s="1050"/>
      <c r="KD60" s="1050"/>
      <c r="KE60" s="1050"/>
      <c r="KF60" s="1050"/>
      <c r="KG60" s="1103"/>
      <c r="KH60" s="1103"/>
      <c r="KI60" s="1103"/>
      <c r="KJ60" s="1103"/>
      <c r="KK60" s="1103"/>
      <c r="KL60" s="1103"/>
      <c r="KM60" s="1103"/>
      <c r="KN60" s="1103"/>
    </row>
    <row r="61" spans="2:300">
      <c r="B61" s="1048" t="str">
        <f t="shared" si="2"/>
        <v>O712</v>
      </c>
      <c r="C61" s="1046">
        <v>7</v>
      </c>
      <c r="D61" s="1092">
        <v>12</v>
      </c>
      <c r="E61" s="584">
        <v>0.47</v>
      </c>
      <c r="F61" s="584">
        <v>0.47</v>
      </c>
      <c r="G61" s="584">
        <v>1128</v>
      </c>
      <c r="H61" s="584">
        <v>25.85</v>
      </c>
      <c r="I61" s="584">
        <v>0</v>
      </c>
      <c r="J61" s="584">
        <v>0</v>
      </c>
      <c r="K61" s="584">
        <v>0</v>
      </c>
      <c r="L61" s="584">
        <v>0</v>
      </c>
      <c r="M61" s="584">
        <v>0</v>
      </c>
      <c r="N61" s="584">
        <v>0</v>
      </c>
      <c r="O61" s="584">
        <v>0</v>
      </c>
      <c r="P61" s="584">
        <v>0</v>
      </c>
      <c r="Q61" s="584">
        <v>0</v>
      </c>
      <c r="R61" s="584">
        <v>0</v>
      </c>
      <c r="S61" s="584">
        <v>0</v>
      </c>
      <c r="T61" s="584">
        <v>396.10243750000001</v>
      </c>
      <c r="U61" s="584">
        <v>73.5</v>
      </c>
      <c r="V61" s="584">
        <v>727.90875000000005</v>
      </c>
      <c r="W61" s="584">
        <v>154.35</v>
      </c>
      <c r="X61" s="584">
        <v>1168.6110000000001</v>
      </c>
      <c r="Y61" s="584">
        <v>323.39999999999998</v>
      </c>
      <c r="Z61" s="584">
        <v>0.34499999999999997</v>
      </c>
      <c r="AA61" s="584">
        <v>0.34499999999999997</v>
      </c>
      <c r="AB61" s="584">
        <v>828</v>
      </c>
      <c r="AC61" s="584">
        <v>20</v>
      </c>
      <c r="AD61" s="584">
        <v>0</v>
      </c>
      <c r="AE61" s="584">
        <v>0</v>
      </c>
      <c r="AF61" s="584">
        <v>0</v>
      </c>
      <c r="AG61" s="584">
        <v>0</v>
      </c>
      <c r="AH61" s="584">
        <v>0</v>
      </c>
      <c r="AI61" s="584">
        <v>0</v>
      </c>
      <c r="AJ61" s="584">
        <v>0</v>
      </c>
      <c r="AK61" s="584">
        <v>0</v>
      </c>
      <c r="AL61" s="584">
        <v>0</v>
      </c>
      <c r="AM61" s="584">
        <v>0</v>
      </c>
      <c r="AN61" s="584">
        <v>0</v>
      </c>
      <c r="AO61" s="584">
        <v>324.41493750000001</v>
      </c>
      <c r="AP61" s="584">
        <v>73.5</v>
      </c>
      <c r="AQ61" s="584">
        <v>581.03493749999996</v>
      </c>
      <c r="AR61" s="584">
        <v>154.35</v>
      </c>
      <c r="AS61" s="584">
        <v>879.86099999999999</v>
      </c>
      <c r="AT61" s="584">
        <v>323.39999999999998</v>
      </c>
      <c r="AU61" s="584">
        <v>0.85</v>
      </c>
      <c r="AV61" s="584">
        <v>0.26</v>
      </c>
      <c r="AW61" s="584">
        <v>539.99226903631097</v>
      </c>
      <c r="AX61" s="584">
        <v>29.6875670292631</v>
      </c>
      <c r="AY61" s="584">
        <v>0</v>
      </c>
      <c r="AZ61" s="584">
        <v>0</v>
      </c>
      <c r="BA61" s="584">
        <v>0</v>
      </c>
      <c r="BB61" s="584">
        <v>0</v>
      </c>
      <c r="BC61" s="584">
        <v>0</v>
      </c>
      <c r="BD61" s="584">
        <v>0</v>
      </c>
      <c r="BE61" s="584">
        <v>0</v>
      </c>
      <c r="BF61" s="584">
        <v>0</v>
      </c>
      <c r="BG61" s="584">
        <v>0.85</v>
      </c>
      <c r="BH61" s="584">
        <v>0</v>
      </c>
      <c r="BI61" s="584">
        <v>0.45</v>
      </c>
      <c r="BJ61" s="584">
        <v>279.96134578673201</v>
      </c>
      <c r="BK61" s="584">
        <v>73.5</v>
      </c>
      <c r="BL61" s="584">
        <v>447.83644950206798</v>
      </c>
      <c r="BM61" s="584">
        <v>154.35</v>
      </c>
      <c r="BN61" s="584">
        <v>558.01750622031602</v>
      </c>
      <c r="BO61" s="584">
        <v>323.39999999999998</v>
      </c>
      <c r="BP61" s="584">
        <v>0.97499999999999998</v>
      </c>
      <c r="BQ61" s="584">
        <v>0.17499999999999999</v>
      </c>
      <c r="BR61" s="584">
        <v>549.49823808794201</v>
      </c>
      <c r="BS61" s="584">
        <v>44.296538417343299</v>
      </c>
      <c r="BT61" s="584">
        <v>0</v>
      </c>
      <c r="BU61" s="584">
        <v>0</v>
      </c>
      <c r="BV61" s="584">
        <v>0</v>
      </c>
      <c r="BW61" s="584">
        <v>0</v>
      </c>
      <c r="BX61" s="584">
        <v>0</v>
      </c>
      <c r="BY61" s="584">
        <v>0</v>
      </c>
      <c r="BZ61" s="584">
        <v>0</v>
      </c>
      <c r="CA61" s="584">
        <v>0.375</v>
      </c>
      <c r="CB61" s="584">
        <v>0.97499999999999998</v>
      </c>
      <c r="CC61" s="584">
        <v>0.3</v>
      </c>
      <c r="CD61" s="584">
        <v>0.3</v>
      </c>
      <c r="CE61" s="584">
        <v>269.87824999999998</v>
      </c>
      <c r="CF61" s="584">
        <v>73.5</v>
      </c>
      <c r="CG61" s="584">
        <v>450.17700000000002</v>
      </c>
      <c r="CH61" s="584">
        <v>154.35</v>
      </c>
      <c r="CI61" s="584">
        <v>565.91700000000003</v>
      </c>
      <c r="CJ61" s="584">
        <v>323.39999999999998</v>
      </c>
      <c r="CK61" s="584">
        <v>0.875</v>
      </c>
      <c r="CL61" s="584">
        <v>0.2</v>
      </c>
      <c r="CM61" s="584">
        <v>605.744216332159</v>
      </c>
      <c r="CN61" s="584">
        <v>23.816450896277001</v>
      </c>
      <c r="CO61" s="584">
        <v>0</v>
      </c>
      <c r="CP61" s="584">
        <v>0</v>
      </c>
      <c r="CQ61" s="584">
        <v>0</v>
      </c>
      <c r="CR61" s="584">
        <v>0</v>
      </c>
      <c r="CS61" s="584">
        <v>0</v>
      </c>
      <c r="CT61" s="584">
        <v>0</v>
      </c>
      <c r="CU61" s="584">
        <v>0</v>
      </c>
      <c r="CV61" s="584">
        <v>0</v>
      </c>
      <c r="CW61" s="584">
        <v>0.875</v>
      </c>
      <c r="CX61" s="584">
        <v>0</v>
      </c>
      <c r="CY61" s="584">
        <v>0.6</v>
      </c>
      <c r="CZ61" s="584">
        <v>302.33199999999999</v>
      </c>
      <c r="DA61" s="584">
        <v>73.5</v>
      </c>
      <c r="DB61" s="584">
        <v>488.58075000000002</v>
      </c>
      <c r="DC61" s="584">
        <v>154.35</v>
      </c>
      <c r="DD61" s="584">
        <v>634.39575000000002</v>
      </c>
      <c r="DE61" s="584">
        <v>323.39999999999998</v>
      </c>
      <c r="DF61" s="584">
        <v>0.52500000000000002</v>
      </c>
      <c r="DG61" s="584">
        <v>0.2</v>
      </c>
      <c r="DH61" s="584">
        <v>452.41276620193003</v>
      </c>
      <c r="DI61" s="584">
        <v>21.3915778113988</v>
      </c>
      <c r="DJ61" s="584">
        <v>300</v>
      </c>
      <c r="DK61" s="584">
        <v>0</v>
      </c>
      <c r="DL61" s="584">
        <v>0</v>
      </c>
      <c r="DM61" s="584">
        <v>0</v>
      </c>
      <c r="DN61" s="584">
        <v>0</v>
      </c>
      <c r="DO61" s="584">
        <v>0</v>
      </c>
      <c r="DP61" s="584">
        <v>0</v>
      </c>
      <c r="DQ61" s="584">
        <v>0</v>
      </c>
      <c r="DR61" s="584">
        <v>0.52500000000000002</v>
      </c>
      <c r="DS61" s="584">
        <v>0</v>
      </c>
      <c r="DT61" s="584">
        <v>2.4</v>
      </c>
      <c r="DU61" s="584">
        <v>275.49668750000001</v>
      </c>
      <c r="DV61" s="584">
        <v>73.5</v>
      </c>
      <c r="DW61" s="584">
        <v>484.68762500000003</v>
      </c>
      <c r="DX61" s="584">
        <v>154.35</v>
      </c>
      <c r="DY61" s="584">
        <v>750.52125000000001</v>
      </c>
      <c r="DZ61" s="584">
        <v>323.39999999999998</v>
      </c>
      <c r="EA61" s="1062">
        <v>0.84199999999999997</v>
      </c>
      <c r="EB61" s="1046">
        <v>0.35</v>
      </c>
      <c r="EC61" s="1093">
        <v>132.51783893985731</v>
      </c>
      <c r="ED61" s="1046">
        <v>0</v>
      </c>
      <c r="EE61" s="1046">
        <v>458.71559633027522</v>
      </c>
      <c r="EF61" s="1046">
        <v>32.492857142857147</v>
      </c>
      <c r="EG61" s="1046">
        <v>0</v>
      </c>
      <c r="EH61" s="1046">
        <v>0</v>
      </c>
      <c r="EI61" s="1046" t="s">
        <v>440</v>
      </c>
      <c r="EJ61" s="1046" t="s">
        <v>442</v>
      </c>
      <c r="EK61" s="1046">
        <v>0</v>
      </c>
      <c r="EL61" s="1046">
        <v>0</v>
      </c>
      <c r="EM61" s="1046">
        <v>0</v>
      </c>
      <c r="EN61" s="1046">
        <v>0</v>
      </c>
      <c r="EO61" s="1046">
        <v>0</v>
      </c>
      <c r="EP61" s="1094">
        <v>145.29385350000001</v>
      </c>
      <c r="EQ61" s="1094">
        <v>73.5</v>
      </c>
      <c r="ER61" s="1094">
        <v>290.58770700000002</v>
      </c>
      <c r="ES61" s="1095">
        <v>147</v>
      </c>
      <c r="ET61" s="1094">
        <v>581.17541400000005</v>
      </c>
      <c r="EU61" s="1094">
        <v>294</v>
      </c>
      <c r="EV61" s="1096">
        <v>0.68670000000000009</v>
      </c>
      <c r="EW61" s="1097">
        <v>0.15</v>
      </c>
      <c r="EX61" s="1096">
        <v>289.50050968399592</v>
      </c>
      <c r="EY61" s="1096">
        <v>1.5443934760448521</v>
      </c>
      <c r="EZ61" s="1096">
        <v>0</v>
      </c>
      <c r="FA61" s="1096">
        <v>23.359523809523807</v>
      </c>
      <c r="FB61" s="1098">
        <v>0</v>
      </c>
      <c r="FC61" s="1098">
        <v>0</v>
      </c>
      <c r="FD61" s="1098" t="s">
        <v>429</v>
      </c>
      <c r="FE61" s="1098" t="s">
        <v>461</v>
      </c>
      <c r="FF61" s="1098">
        <v>2</v>
      </c>
      <c r="FG61" s="1098">
        <v>0</v>
      </c>
      <c r="FH61" s="1098">
        <v>0</v>
      </c>
      <c r="FI61" s="1098">
        <v>0</v>
      </c>
      <c r="FJ61" s="1098">
        <v>0</v>
      </c>
      <c r="FK61" s="1096">
        <v>83.880456000000009</v>
      </c>
      <c r="FL61" s="1096">
        <v>73.5</v>
      </c>
      <c r="FM61" s="1096">
        <v>167.76091200000002</v>
      </c>
      <c r="FN61" s="1096">
        <v>147</v>
      </c>
      <c r="FO61" s="1096">
        <v>335.52182400000004</v>
      </c>
      <c r="FP61" s="1099">
        <v>294</v>
      </c>
      <c r="FQ61" s="1064">
        <v>0.99419999999999997</v>
      </c>
      <c r="FR61" s="1065">
        <v>0.15</v>
      </c>
      <c r="FS61" s="1066">
        <v>289.50050968399586</v>
      </c>
      <c r="FT61" s="1066">
        <v>3.1547324150233758</v>
      </c>
      <c r="FU61" s="1065"/>
      <c r="FV61" s="1066">
        <v>44.867330690194358</v>
      </c>
      <c r="FW61" s="1065"/>
      <c r="FX61" s="1065"/>
      <c r="FY61" s="1065" t="s">
        <v>414</v>
      </c>
      <c r="FZ61" s="1065" t="s">
        <v>436</v>
      </c>
      <c r="GA61" s="1065">
        <v>1</v>
      </c>
      <c r="GB61" s="1065"/>
      <c r="GC61" s="1065"/>
      <c r="GD61" s="1065"/>
      <c r="GE61" s="1065"/>
      <c r="GF61" s="1066">
        <v>86.333025220305899</v>
      </c>
      <c r="GG61" s="1066">
        <v>73.5</v>
      </c>
      <c r="GH61" s="1066">
        <v>172.6660504406118</v>
      </c>
      <c r="GI61" s="1066">
        <v>147</v>
      </c>
      <c r="GJ61" s="1066">
        <v>345.3321008812236</v>
      </c>
      <c r="GK61" s="1066">
        <v>294</v>
      </c>
      <c r="GL61" s="584">
        <v>0.88</v>
      </c>
      <c r="GM61" s="584">
        <v>0.13</v>
      </c>
      <c r="GN61" s="584"/>
      <c r="GO61" s="584"/>
      <c r="GP61" s="584"/>
      <c r="GQ61" s="584">
        <v>44.482142857142897</v>
      </c>
      <c r="GR61" s="584"/>
      <c r="GS61" s="584">
        <v>66.2589194699286</v>
      </c>
      <c r="GT61" s="584" t="s">
        <v>436</v>
      </c>
      <c r="GU61" s="584" t="s">
        <v>389</v>
      </c>
      <c r="GV61" s="584">
        <v>1</v>
      </c>
      <c r="GW61" s="584"/>
      <c r="GX61" s="584"/>
      <c r="GY61" s="584"/>
      <c r="GZ61" s="584"/>
      <c r="HA61" s="584">
        <v>39.613766249999998</v>
      </c>
      <c r="HB61" s="584">
        <v>73.5</v>
      </c>
      <c r="HC61" s="584">
        <v>79.227532499999995</v>
      </c>
      <c r="HD61" s="584">
        <v>147</v>
      </c>
      <c r="HE61" s="584">
        <v>158.45506499999999</v>
      </c>
      <c r="HF61" s="584">
        <v>294</v>
      </c>
      <c r="HG61" s="1100">
        <v>1.21</v>
      </c>
      <c r="HH61" s="1100">
        <v>0.13</v>
      </c>
      <c r="HI61" s="1101">
        <v>0</v>
      </c>
      <c r="HJ61" s="1101">
        <v>0</v>
      </c>
      <c r="HK61" s="1101">
        <v>0</v>
      </c>
      <c r="HL61" s="1101">
        <v>0</v>
      </c>
      <c r="HM61" s="1101">
        <v>48.78</v>
      </c>
      <c r="HN61" s="1101">
        <v>65</v>
      </c>
      <c r="HO61" s="1101">
        <v>0</v>
      </c>
      <c r="HP61" s="1101">
        <v>0</v>
      </c>
      <c r="HQ61" s="1101">
        <v>1</v>
      </c>
      <c r="HR61" s="1101">
        <v>0.88</v>
      </c>
      <c r="HS61" s="1101">
        <v>1.08</v>
      </c>
      <c r="HT61" s="1101">
        <v>0.3</v>
      </c>
      <c r="HU61" s="1101">
        <v>0.28000000000000003</v>
      </c>
      <c r="HV61" s="1101">
        <v>40.239817800000012</v>
      </c>
      <c r="HW61" s="1101">
        <v>73.5</v>
      </c>
      <c r="HX61" s="1101">
        <v>80.479635600000023</v>
      </c>
      <c r="HY61" s="1101">
        <v>147</v>
      </c>
      <c r="HZ61" s="1101">
        <v>160.95927120000005</v>
      </c>
      <c r="IA61" s="1101">
        <v>294</v>
      </c>
      <c r="IB61" s="1062"/>
      <c r="IC61" s="1092"/>
      <c r="ID61" s="1050"/>
      <c r="IE61" s="1050"/>
      <c r="IF61" s="1103"/>
      <c r="IG61" s="1103"/>
      <c r="IH61" s="1103"/>
      <c r="II61" s="1103"/>
      <c r="IJ61" s="1103"/>
      <c r="IK61" s="1103"/>
      <c r="IL61" s="1103"/>
      <c r="IM61" s="1050"/>
      <c r="IN61" s="1050"/>
      <c r="IO61" s="1050"/>
      <c r="IP61" s="1050"/>
      <c r="IQ61" s="1103"/>
      <c r="IR61" s="1103"/>
      <c r="IS61" s="1103"/>
      <c r="IT61" s="1103"/>
      <c r="IU61" s="1103"/>
      <c r="IV61" s="1103"/>
      <c r="JS61" s="1092"/>
      <c r="JU61" s="1050"/>
      <c r="JV61" s="1103"/>
      <c r="JW61" s="1103"/>
      <c r="JX61" s="1103"/>
      <c r="JY61" s="1103"/>
      <c r="JZ61" s="1103"/>
      <c r="KA61" s="1103"/>
      <c r="KB61" s="1103"/>
      <c r="KC61" s="1050"/>
      <c r="KD61" s="1050"/>
      <c r="KE61" s="1050"/>
      <c r="KF61" s="1050"/>
      <c r="KG61" s="1103"/>
      <c r="KH61" s="1103"/>
      <c r="KI61" s="1103"/>
      <c r="KJ61" s="1103"/>
      <c r="KK61" s="1103"/>
      <c r="KL61" s="1103"/>
      <c r="KM61" s="1103"/>
      <c r="KN61" s="1103"/>
    </row>
    <row r="62" spans="2:300">
      <c r="B62" s="1048" t="str">
        <f t="shared" si="2"/>
        <v>O713</v>
      </c>
      <c r="C62" s="1046">
        <v>7</v>
      </c>
      <c r="D62" s="1092">
        <v>13</v>
      </c>
      <c r="E62" s="584">
        <v>0.47</v>
      </c>
      <c r="F62" s="584">
        <v>0.47</v>
      </c>
      <c r="G62" s="584">
        <v>1128</v>
      </c>
      <c r="H62" s="584">
        <v>24.91</v>
      </c>
      <c r="I62" s="584">
        <v>0</v>
      </c>
      <c r="J62" s="584">
        <v>0</v>
      </c>
      <c r="K62" s="584">
        <v>0</v>
      </c>
      <c r="L62" s="584">
        <v>0</v>
      </c>
      <c r="M62" s="584">
        <v>0</v>
      </c>
      <c r="N62" s="584">
        <v>0</v>
      </c>
      <c r="O62" s="584">
        <v>0</v>
      </c>
      <c r="P62" s="584">
        <v>0</v>
      </c>
      <c r="Q62" s="584">
        <v>0</v>
      </c>
      <c r="R62" s="584">
        <v>0</v>
      </c>
      <c r="S62" s="584">
        <v>0</v>
      </c>
      <c r="T62" s="584">
        <v>424.7399375</v>
      </c>
      <c r="U62" s="584">
        <v>79.625</v>
      </c>
      <c r="V62" s="584">
        <v>788.04750000000001</v>
      </c>
      <c r="W62" s="584">
        <v>167.21250000000001</v>
      </c>
      <c r="X62" s="584">
        <v>1265.2460000000001</v>
      </c>
      <c r="Y62" s="584">
        <v>350.35</v>
      </c>
      <c r="Z62" s="584">
        <v>0.39500000000000002</v>
      </c>
      <c r="AA62" s="584">
        <v>0.39500000000000002</v>
      </c>
      <c r="AB62" s="584">
        <v>948</v>
      </c>
      <c r="AC62" s="584">
        <v>24</v>
      </c>
      <c r="AD62" s="584">
        <v>0</v>
      </c>
      <c r="AE62" s="584">
        <v>0</v>
      </c>
      <c r="AF62" s="584">
        <v>0</v>
      </c>
      <c r="AG62" s="584">
        <v>0</v>
      </c>
      <c r="AH62" s="584">
        <v>0</v>
      </c>
      <c r="AI62" s="584">
        <v>0</v>
      </c>
      <c r="AJ62" s="584">
        <v>0</v>
      </c>
      <c r="AK62" s="584">
        <v>0</v>
      </c>
      <c r="AL62" s="584">
        <v>0</v>
      </c>
      <c r="AM62" s="584">
        <v>0</v>
      </c>
      <c r="AN62" s="584">
        <v>0</v>
      </c>
      <c r="AO62" s="584">
        <v>378.25868750000001</v>
      </c>
      <c r="AP62" s="584">
        <v>79.625</v>
      </c>
      <c r="AQ62" s="584">
        <v>693.35062500000004</v>
      </c>
      <c r="AR62" s="584">
        <v>167.21250000000001</v>
      </c>
      <c r="AS62" s="584">
        <v>1077.5585000000001</v>
      </c>
      <c r="AT62" s="584">
        <v>350.35</v>
      </c>
      <c r="AU62" s="584">
        <v>0</v>
      </c>
      <c r="AV62" s="584">
        <v>0</v>
      </c>
      <c r="AW62" s="584">
        <v>0</v>
      </c>
      <c r="AX62" s="584">
        <v>0</v>
      </c>
      <c r="AY62" s="584">
        <v>0</v>
      </c>
      <c r="AZ62" s="584">
        <v>0</v>
      </c>
      <c r="BA62" s="584">
        <v>0</v>
      </c>
      <c r="BB62" s="584">
        <v>0</v>
      </c>
      <c r="BC62" s="584">
        <v>0</v>
      </c>
      <c r="BD62" s="584">
        <v>0</v>
      </c>
      <c r="BE62" s="584">
        <v>0</v>
      </c>
      <c r="BF62" s="584">
        <v>0</v>
      </c>
      <c r="BG62" s="584">
        <v>0</v>
      </c>
      <c r="BH62" s="584">
        <v>0</v>
      </c>
      <c r="BI62" s="584">
        <v>0</v>
      </c>
      <c r="BJ62" s="584">
        <v>0</v>
      </c>
      <c r="BK62" s="584">
        <v>0</v>
      </c>
      <c r="BL62" s="584">
        <v>0</v>
      </c>
      <c r="BM62" s="584">
        <v>0</v>
      </c>
      <c r="BN62" s="584">
        <v>0</v>
      </c>
      <c r="BO62" s="584">
        <v>0</v>
      </c>
      <c r="BP62" s="584">
        <v>1.1499999999999999</v>
      </c>
      <c r="BQ62" s="584">
        <v>0.17499999999999999</v>
      </c>
      <c r="BR62" s="584">
        <v>573.16057774001695</v>
      </c>
      <c r="BS62" s="584">
        <v>50.163607158028903</v>
      </c>
      <c r="BT62" s="584">
        <v>0</v>
      </c>
      <c r="BU62" s="584">
        <v>0</v>
      </c>
      <c r="BV62" s="584">
        <v>0</v>
      </c>
      <c r="BW62" s="584">
        <v>0</v>
      </c>
      <c r="BX62" s="584">
        <v>0</v>
      </c>
      <c r="BY62" s="584">
        <v>0</v>
      </c>
      <c r="BZ62" s="584">
        <v>0</v>
      </c>
      <c r="CA62" s="584">
        <v>0.375</v>
      </c>
      <c r="CB62" s="584">
        <v>1.1499999999999999</v>
      </c>
      <c r="CC62" s="584">
        <v>0.3</v>
      </c>
      <c r="CD62" s="584">
        <v>0.3</v>
      </c>
      <c r="CE62" s="584">
        <v>295.97800000000001</v>
      </c>
      <c r="CF62" s="584">
        <v>79.625</v>
      </c>
      <c r="CG62" s="584">
        <v>499.13549999999998</v>
      </c>
      <c r="CH62" s="584">
        <v>167.21250000000001</v>
      </c>
      <c r="CI62" s="584">
        <v>628.00800000000004</v>
      </c>
      <c r="CJ62" s="584">
        <v>350.35</v>
      </c>
      <c r="CK62" s="584">
        <v>0</v>
      </c>
      <c r="CL62" s="584">
        <v>0</v>
      </c>
      <c r="CM62" s="584">
        <v>0</v>
      </c>
      <c r="CN62" s="584">
        <v>0</v>
      </c>
      <c r="CO62" s="584">
        <v>0</v>
      </c>
      <c r="CP62" s="584">
        <v>0</v>
      </c>
      <c r="CQ62" s="584">
        <v>0</v>
      </c>
      <c r="CR62" s="584">
        <v>0</v>
      </c>
      <c r="CS62" s="584">
        <v>0</v>
      </c>
      <c r="CT62" s="584">
        <v>0</v>
      </c>
      <c r="CU62" s="584">
        <v>0</v>
      </c>
      <c r="CV62" s="584">
        <v>0</v>
      </c>
      <c r="CW62" s="584">
        <v>0</v>
      </c>
      <c r="CX62" s="584">
        <v>0</v>
      </c>
      <c r="CY62" s="584">
        <v>0</v>
      </c>
      <c r="CZ62" s="584">
        <v>0</v>
      </c>
      <c r="DA62" s="584">
        <v>0</v>
      </c>
      <c r="DB62" s="584">
        <v>0</v>
      </c>
      <c r="DC62" s="584">
        <v>0</v>
      </c>
      <c r="DD62" s="584">
        <v>0</v>
      </c>
      <c r="DE62" s="584">
        <v>0</v>
      </c>
      <c r="DF62" s="584">
        <v>0.57499999999999996</v>
      </c>
      <c r="DG62" s="584">
        <v>0.2</v>
      </c>
      <c r="DH62" s="584">
        <v>512.70337723024602</v>
      </c>
      <c r="DI62" s="584">
        <v>23.368103706457099</v>
      </c>
      <c r="DJ62" s="584">
        <v>300</v>
      </c>
      <c r="DK62" s="584">
        <v>0</v>
      </c>
      <c r="DL62" s="584">
        <v>0</v>
      </c>
      <c r="DM62" s="584">
        <v>0</v>
      </c>
      <c r="DN62" s="584">
        <v>0</v>
      </c>
      <c r="DO62" s="584">
        <v>0</v>
      </c>
      <c r="DP62" s="584">
        <v>0</v>
      </c>
      <c r="DQ62" s="584">
        <v>0</v>
      </c>
      <c r="DR62" s="584">
        <v>0.57499999999999996</v>
      </c>
      <c r="DS62" s="584">
        <v>0</v>
      </c>
      <c r="DT62" s="584">
        <v>2.4</v>
      </c>
      <c r="DU62" s="584">
        <v>317.50018749999998</v>
      </c>
      <c r="DV62" s="584">
        <v>79.625</v>
      </c>
      <c r="DW62" s="584">
        <v>535.73112500000002</v>
      </c>
      <c r="DX62" s="584">
        <v>167.21250000000001</v>
      </c>
      <c r="DY62" s="584">
        <v>851.25975000000005</v>
      </c>
      <c r="DZ62" s="584">
        <v>350.35</v>
      </c>
      <c r="EA62" s="1062">
        <v>0.9425</v>
      </c>
      <c r="EB62" s="1046">
        <v>0.4</v>
      </c>
      <c r="EC62" s="1093">
        <v>132.51783893985737</v>
      </c>
      <c r="ED62" s="1046">
        <v>0</v>
      </c>
      <c r="EE62" s="1046">
        <v>519.87767584097855</v>
      </c>
      <c r="EF62" s="1046">
        <v>33.098901098901102</v>
      </c>
      <c r="EG62" s="1046">
        <v>0</v>
      </c>
      <c r="EH62" s="1046">
        <v>0</v>
      </c>
      <c r="EI62" s="1046" t="s">
        <v>423</v>
      </c>
      <c r="EJ62" s="1046" t="s">
        <v>423</v>
      </c>
      <c r="EK62" s="1046">
        <v>0</v>
      </c>
      <c r="EL62" s="1046">
        <v>0</v>
      </c>
      <c r="EM62" s="1046">
        <v>0</v>
      </c>
      <c r="EN62" s="1046">
        <v>0</v>
      </c>
      <c r="EO62" s="1046">
        <v>0</v>
      </c>
      <c r="EP62" s="1094">
        <v>171.18692999999999</v>
      </c>
      <c r="EQ62" s="1094">
        <v>79.625</v>
      </c>
      <c r="ER62" s="1094">
        <v>342.37385999999998</v>
      </c>
      <c r="ES62" s="1095">
        <v>159.25</v>
      </c>
      <c r="ET62" s="1094">
        <v>684.74771999999996</v>
      </c>
      <c r="EU62" s="1094">
        <v>318.5</v>
      </c>
      <c r="EV62" s="1096">
        <v>0.6895</v>
      </c>
      <c r="EW62" s="1097">
        <v>0.15</v>
      </c>
      <c r="EX62" s="1096">
        <v>289.50050968399592</v>
      </c>
      <c r="EY62" s="1096">
        <v>1.5443934760448521</v>
      </c>
      <c r="EZ62" s="1096">
        <v>0</v>
      </c>
      <c r="FA62" s="1096">
        <v>31.870329670329674</v>
      </c>
      <c r="FB62" s="1098">
        <v>0</v>
      </c>
      <c r="FC62" s="1098">
        <v>0</v>
      </c>
      <c r="FD62" s="1098" t="s">
        <v>428</v>
      </c>
      <c r="FE62" s="1098" t="s">
        <v>432</v>
      </c>
      <c r="FF62" s="1098">
        <v>2</v>
      </c>
      <c r="FG62" s="1098">
        <v>0</v>
      </c>
      <c r="FH62" s="1098">
        <v>0</v>
      </c>
      <c r="FI62" s="1098">
        <v>0</v>
      </c>
      <c r="FJ62" s="1098">
        <v>0</v>
      </c>
      <c r="FK62" s="1096">
        <v>92.769914375000013</v>
      </c>
      <c r="FL62" s="1096">
        <v>79.625</v>
      </c>
      <c r="FM62" s="1096">
        <v>185.53982875000003</v>
      </c>
      <c r="FN62" s="1096">
        <v>159.25</v>
      </c>
      <c r="FO62" s="1096">
        <v>371.07965750000005</v>
      </c>
      <c r="FP62" s="1099">
        <v>318.5</v>
      </c>
      <c r="FQ62" s="1064">
        <v>1.0020981024599609</v>
      </c>
      <c r="FR62" s="1065">
        <v>0.15</v>
      </c>
      <c r="FS62" s="1066">
        <v>289.50050968399586</v>
      </c>
      <c r="FT62" s="1066">
        <v>3.1547324150233758</v>
      </c>
      <c r="FU62" s="1065"/>
      <c r="FV62" s="1066">
        <v>47.076030527736378</v>
      </c>
      <c r="FW62" s="1065"/>
      <c r="FX62" s="1065"/>
      <c r="FY62" s="1065" t="s">
        <v>412</v>
      </c>
      <c r="FZ62" s="1065" t="s">
        <v>416</v>
      </c>
      <c r="GA62" s="1065">
        <v>1</v>
      </c>
      <c r="GB62" s="1065"/>
      <c r="GC62" s="1065"/>
      <c r="GD62" s="1065"/>
      <c r="GE62" s="1065"/>
      <c r="GF62" s="1066">
        <v>94.020376096657756</v>
      </c>
      <c r="GG62" s="1066">
        <v>79.625</v>
      </c>
      <c r="GH62" s="1066">
        <v>188.04075219331551</v>
      </c>
      <c r="GI62" s="1066">
        <v>159.25</v>
      </c>
      <c r="GJ62" s="1066">
        <v>376.08150438663102</v>
      </c>
      <c r="GK62" s="1066">
        <v>318.5</v>
      </c>
      <c r="GL62" s="584">
        <v>0.88400000000000001</v>
      </c>
      <c r="GM62" s="584">
        <v>0.13</v>
      </c>
      <c r="GN62" s="584"/>
      <c r="GO62" s="584"/>
      <c r="GP62" s="584"/>
      <c r="GQ62" s="584">
        <v>48.263736263736298</v>
      </c>
      <c r="GR62" s="584"/>
      <c r="GS62" s="584">
        <v>66.2589194699286</v>
      </c>
      <c r="GT62" s="584" t="s">
        <v>416</v>
      </c>
      <c r="GU62" s="584" t="s">
        <v>387</v>
      </c>
      <c r="GV62" s="584">
        <v>1</v>
      </c>
      <c r="GW62" s="584"/>
      <c r="GX62" s="584"/>
      <c r="GY62" s="584"/>
      <c r="GZ62" s="584"/>
      <c r="HA62" s="584">
        <v>43.758879999999998</v>
      </c>
      <c r="HB62" s="584">
        <v>79.625</v>
      </c>
      <c r="HC62" s="584">
        <v>87.517759999999996</v>
      </c>
      <c r="HD62" s="584">
        <v>159.25</v>
      </c>
      <c r="HE62" s="584">
        <v>175.03551999999999</v>
      </c>
      <c r="HF62" s="584">
        <v>318.5</v>
      </c>
      <c r="HG62" s="1100">
        <v>1.33</v>
      </c>
      <c r="HH62" s="1100">
        <v>0.13</v>
      </c>
      <c r="HI62" s="1101">
        <v>0</v>
      </c>
      <c r="HJ62" s="1101">
        <v>0</v>
      </c>
      <c r="HK62" s="1101">
        <v>0</v>
      </c>
      <c r="HL62" s="1101">
        <v>0</v>
      </c>
      <c r="HM62" s="1101">
        <v>55.839560439560444</v>
      </c>
      <c r="HN62" s="1101">
        <v>65</v>
      </c>
      <c r="HO62" s="1101">
        <v>0</v>
      </c>
      <c r="HP62" s="1101">
        <v>0</v>
      </c>
      <c r="HQ62" s="1101">
        <v>1</v>
      </c>
      <c r="HR62" s="1101">
        <v>0.92</v>
      </c>
      <c r="HS62" s="1101">
        <v>1.2</v>
      </c>
      <c r="HT62" s="1101">
        <v>0.3</v>
      </c>
      <c r="HU62" s="1101">
        <v>0.3</v>
      </c>
      <c r="HV62" s="1101">
        <v>45.16867100000001</v>
      </c>
      <c r="HW62" s="1101">
        <v>79.625</v>
      </c>
      <c r="HX62" s="1101">
        <v>90.337342000000021</v>
      </c>
      <c r="HY62" s="1101">
        <v>159.25</v>
      </c>
      <c r="HZ62" s="1101">
        <v>180.67468400000004</v>
      </c>
      <c r="IA62" s="1101">
        <v>318.5</v>
      </c>
      <c r="IB62" s="1062"/>
      <c r="IC62" s="1092"/>
      <c r="ID62" s="1050"/>
      <c r="IE62" s="1050"/>
      <c r="IF62" s="1103"/>
      <c r="IG62" s="1103"/>
      <c r="IH62" s="1103"/>
      <c r="II62" s="1103"/>
      <c r="IJ62" s="1103"/>
      <c r="IK62" s="1103"/>
      <c r="IL62" s="1103"/>
      <c r="IM62" s="1050"/>
      <c r="IN62" s="1050"/>
      <c r="IO62" s="1050"/>
      <c r="IP62" s="1050"/>
      <c r="IQ62" s="1103"/>
      <c r="IR62" s="1103"/>
      <c r="IS62" s="1103"/>
      <c r="IT62" s="1103"/>
      <c r="IU62" s="1103"/>
      <c r="IV62" s="1103"/>
      <c r="JS62" s="1092"/>
      <c r="JU62" s="1050"/>
      <c r="JV62" s="1103"/>
      <c r="JW62" s="1103"/>
      <c r="JX62" s="1103"/>
      <c r="JY62" s="1103"/>
      <c r="JZ62" s="1103"/>
      <c r="KA62" s="1103"/>
      <c r="KB62" s="1103"/>
      <c r="KC62" s="1050"/>
      <c r="KD62" s="1050"/>
      <c r="KE62" s="1050"/>
      <c r="KF62" s="1050"/>
      <c r="KG62" s="1103"/>
      <c r="KH62" s="1103"/>
      <c r="KI62" s="1103"/>
      <c r="KJ62" s="1103"/>
      <c r="KK62" s="1103"/>
      <c r="KL62" s="1103"/>
      <c r="KM62" s="1103"/>
      <c r="KN62" s="1103"/>
    </row>
    <row r="63" spans="2:300">
      <c r="B63" s="1048" t="str">
        <f t="shared" si="2"/>
        <v>O714</v>
      </c>
      <c r="C63" s="1046">
        <v>7</v>
      </c>
      <c r="D63" s="1092">
        <v>14</v>
      </c>
      <c r="E63" s="584">
        <v>0.47</v>
      </c>
      <c r="F63" s="584">
        <v>0.47</v>
      </c>
      <c r="G63" s="584">
        <v>1128</v>
      </c>
      <c r="H63" s="584">
        <v>24.44</v>
      </c>
      <c r="I63" s="584">
        <v>0</v>
      </c>
      <c r="J63" s="584">
        <v>0</v>
      </c>
      <c r="K63" s="584">
        <v>0</v>
      </c>
      <c r="L63" s="584">
        <v>0</v>
      </c>
      <c r="M63" s="584">
        <v>0</v>
      </c>
      <c r="N63" s="584">
        <v>0</v>
      </c>
      <c r="O63" s="584">
        <v>0</v>
      </c>
      <c r="P63" s="584">
        <v>0</v>
      </c>
      <c r="Q63" s="584">
        <v>0</v>
      </c>
      <c r="R63" s="584">
        <v>0</v>
      </c>
      <c r="S63" s="584">
        <v>0</v>
      </c>
      <c r="T63" s="584">
        <v>453.37743749999998</v>
      </c>
      <c r="U63" s="584">
        <v>85.75</v>
      </c>
      <c r="V63" s="584">
        <v>848.18624999999997</v>
      </c>
      <c r="W63" s="584">
        <v>180.07499999999999</v>
      </c>
      <c r="X63" s="584">
        <v>1361.8810000000001</v>
      </c>
      <c r="Y63" s="584">
        <v>377.3</v>
      </c>
      <c r="Z63" s="584">
        <v>0.48</v>
      </c>
      <c r="AA63" s="584">
        <v>0.48</v>
      </c>
      <c r="AB63" s="584">
        <v>1152</v>
      </c>
      <c r="AC63" s="584">
        <v>24</v>
      </c>
      <c r="AD63" s="584">
        <v>0</v>
      </c>
      <c r="AE63" s="584">
        <v>0</v>
      </c>
      <c r="AF63" s="584">
        <v>0</v>
      </c>
      <c r="AG63" s="584">
        <v>0</v>
      </c>
      <c r="AH63" s="584">
        <v>0</v>
      </c>
      <c r="AI63" s="584">
        <v>0</v>
      </c>
      <c r="AJ63" s="584">
        <v>0</v>
      </c>
      <c r="AK63" s="584">
        <v>0</v>
      </c>
      <c r="AL63" s="584">
        <v>0</v>
      </c>
      <c r="AM63" s="584">
        <v>0</v>
      </c>
      <c r="AN63" s="584">
        <v>0</v>
      </c>
      <c r="AO63" s="584">
        <v>460.03743750000001</v>
      </c>
      <c r="AP63" s="584">
        <v>85.75</v>
      </c>
      <c r="AQ63" s="584">
        <v>861.78375000000005</v>
      </c>
      <c r="AR63" s="584">
        <v>180.07499999999999</v>
      </c>
      <c r="AS63" s="584">
        <v>1388.8309999999999</v>
      </c>
      <c r="AT63" s="584">
        <v>377.3</v>
      </c>
      <c r="AU63" s="584">
        <v>0</v>
      </c>
      <c r="AV63" s="584">
        <v>0</v>
      </c>
      <c r="AW63" s="584">
        <v>0</v>
      </c>
      <c r="AX63" s="584">
        <v>0</v>
      </c>
      <c r="AY63" s="584">
        <v>0</v>
      </c>
      <c r="AZ63" s="584">
        <v>0</v>
      </c>
      <c r="BA63" s="584">
        <v>0</v>
      </c>
      <c r="BB63" s="584">
        <v>0</v>
      </c>
      <c r="BC63" s="584">
        <v>0</v>
      </c>
      <c r="BD63" s="584">
        <v>0</v>
      </c>
      <c r="BE63" s="584">
        <v>0</v>
      </c>
      <c r="BF63" s="584">
        <v>0</v>
      </c>
      <c r="BG63" s="584">
        <v>0</v>
      </c>
      <c r="BH63" s="584">
        <v>0</v>
      </c>
      <c r="BI63" s="584">
        <v>0</v>
      </c>
      <c r="BJ63" s="584">
        <v>0</v>
      </c>
      <c r="BK63" s="584">
        <v>0</v>
      </c>
      <c r="BL63" s="584">
        <v>0</v>
      </c>
      <c r="BM63" s="584">
        <v>0</v>
      </c>
      <c r="BN63" s="584">
        <v>0</v>
      </c>
      <c r="BO63" s="584">
        <v>0</v>
      </c>
      <c r="BP63" s="584">
        <v>1</v>
      </c>
      <c r="BQ63" s="584">
        <v>0.18</v>
      </c>
      <c r="BR63" s="584">
        <v>612.62639857838599</v>
      </c>
      <c r="BS63" s="584">
        <v>59.905995787811001</v>
      </c>
      <c r="BT63" s="584">
        <v>0</v>
      </c>
      <c r="BU63" s="584">
        <v>0</v>
      </c>
      <c r="BV63" s="584">
        <v>0</v>
      </c>
      <c r="BW63" s="584">
        <v>0</v>
      </c>
      <c r="BX63" s="584">
        <v>0</v>
      </c>
      <c r="BY63" s="584">
        <v>0</v>
      </c>
      <c r="BZ63" s="584">
        <v>0</v>
      </c>
      <c r="CA63" s="584">
        <v>0.32500000000000001</v>
      </c>
      <c r="CB63" s="584">
        <v>1</v>
      </c>
      <c r="CC63" s="584">
        <v>0.45</v>
      </c>
      <c r="CD63" s="584">
        <v>0.45</v>
      </c>
      <c r="CE63" s="584">
        <v>326.7534</v>
      </c>
      <c r="CF63" s="584">
        <v>85.75</v>
      </c>
      <c r="CG63" s="584">
        <v>539.32965000000002</v>
      </c>
      <c r="CH63" s="584">
        <v>180.07499999999999</v>
      </c>
      <c r="CI63" s="584">
        <v>714.7559</v>
      </c>
      <c r="CJ63" s="584">
        <v>377.3</v>
      </c>
      <c r="CK63" s="584">
        <v>0</v>
      </c>
      <c r="CL63" s="584">
        <v>0</v>
      </c>
      <c r="CM63" s="584">
        <v>0</v>
      </c>
      <c r="CN63" s="584">
        <v>0</v>
      </c>
      <c r="CO63" s="584">
        <v>0</v>
      </c>
      <c r="CP63" s="584">
        <v>0</v>
      </c>
      <c r="CQ63" s="584">
        <v>0</v>
      </c>
      <c r="CR63" s="584">
        <v>0</v>
      </c>
      <c r="CS63" s="584">
        <v>0</v>
      </c>
      <c r="CT63" s="584">
        <v>0</v>
      </c>
      <c r="CU63" s="584">
        <v>0</v>
      </c>
      <c r="CV63" s="584">
        <v>0</v>
      </c>
      <c r="CW63" s="584">
        <v>0</v>
      </c>
      <c r="CX63" s="584">
        <v>0</v>
      </c>
      <c r="CY63" s="584">
        <v>0</v>
      </c>
      <c r="CZ63" s="584">
        <v>0</v>
      </c>
      <c r="DA63" s="584">
        <v>0</v>
      </c>
      <c r="DB63" s="584">
        <v>0</v>
      </c>
      <c r="DC63" s="584">
        <v>0</v>
      </c>
      <c r="DD63" s="584">
        <v>0</v>
      </c>
      <c r="DE63" s="584">
        <v>0</v>
      </c>
      <c r="DF63" s="584">
        <v>0.65</v>
      </c>
      <c r="DG63" s="584">
        <v>0.2</v>
      </c>
      <c r="DH63" s="584">
        <v>569.28475055943102</v>
      </c>
      <c r="DI63" s="584">
        <v>25.0810541496643</v>
      </c>
      <c r="DJ63" s="584">
        <v>300</v>
      </c>
      <c r="DK63" s="584">
        <v>0</v>
      </c>
      <c r="DL63" s="584">
        <v>0</v>
      </c>
      <c r="DM63" s="584">
        <v>0</v>
      </c>
      <c r="DN63" s="584">
        <v>0</v>
      </c>
      <c r="DO63" s="584">
        <v>0</v>
      </c>
      <c r="DP63" s="584">
        <v>0</v>
      </c>
      <c r="DQ63" s="584">
        <v>0</v>
      </c>
      <c r="DR63" s="584">
        <v>0.65</v>
      </c>
      <c r="DS63" s="584">
        <v>0</v>
      </c>
      <c r="DT63" s="584">
        <v>2.4</v>
      </c>
      <c r="DU63" s="584">
        <v>350.73393750000002</v>
      </c>
      <c r="DV63" s="584">
        <v>85.75</v>
      </c>
      <c r="DW63" s="584">
        <v>600.09237499999995</v>
      </c>
      <c r="DX63" s="584">
        <v>180.07499999999999</v>
      </c>
      <c r="DY63" s="584">
        <v>978.9375</v>
      </c>
      <c r="DZ63" s="584">
        <v>377.3</v>
      </c>
      <c r="EA63" s="1062">
        <v>1.0103</v>
      </c>
      <c r="EB63" s="1046">
        <v>0.45</v>
      </c>
      <c r="EC63" s="1093">
        <v>132.51783893985726</v>
      </c>
      <c r="ED63" s="1046">
        <v>0</v>
      </c>
      <c r="EE63" s="1046">
        <v>581.03975535168195</v>
      </c>
      <c r="EF63" s="1046">
        <v>44.221428571428582</v>
      </c>
      <c r="EG63" s="1046">
        <v>0</v>
      </c>
      <c r="EH63" s="1046">
        <v>0</v>
      </c>
      <c r="EI63" s="1046" t="s">
        <v>421</v>
      </c>
      <c r="EJ63" s="1046" t="s">
        <v>420</v>
      </c>
      <c r="EK63" s="1046">
        <v>0</v>
      </c>
      <c r="EL63" s="1046">
        <v>0</v>
      </c>
      <c r="EM63" s="1046">
        <v>0</v>
      </c>
      <c r="EN63" s="1046">
        <v>0</v>
      </c>
      <c r="EO63" s="1046">
        <v>0</v>
      </c>
      <c r="EP63" s="1094">
        <v>201.72839925</v>
      </c>
      <c r="EQ63" s="1094">
        <v>85.75</v>
      </c>
      <c r="ER63" s="1094">
        <v>403.45679849999999</v>
      </c>
      <c r="ES63" s="1095">
        <v>171.5</v>
      </c>
      <c r="ET63" s="1094">
        <v>806.91359699999998</v>
      </c>
      <c r="EU63" s="1094">
        <v>343</v>
      </c>
      <c r="EV63" s="1096">
        <v>0.75260000000000005</v>
      </c>
      <c r="EW63" s="1097">
        <v>0.15</v>
      </c>
      <c r="EX63" s="1096">
        <v>289.50050968399592</v>
      </c>
      <c r="EY63" s="1096">
        <v>1.5443934760448521</v>
      </c>
      <c r="EZ63" s="1096">
        <v>0</v>
      </c>
      <c r="FA63" s="1096">
        <v>37.628571428571426</v>
      </c>
      <c r="FB63" s="1098">
        <v>0</v>
      </c>
      <c r="FC63" s="1098">
        <v>0</v>
      </c>
      <c r="FD63" s="1098" t="s">
        <v>427</v>
      </c>
      <c r="FE63" s="1098" t="s">
        <v>410</v>
      </c>
      <c r="FF63" s="1098">
        <v>2</v>
      </c>
      <c r="FG63" s="1098">
        <v>0</v>
      </c>
      <c r="FH63" s="1098">
        <v>0</v>
      </c>
      <c r="FI63" s="1098">
        <v>0</v>
      </c>
      <c r="FJ63" s="1098">
        <v>0</v>
      </c>
      <c r="FK63" s="1096">
        <v>101.29002625</v>
      </c>
      <c r="FL63" s="1096">
        <v>85.75</v>
      </c>
      <c r="FM63" s="1096">
        <v>202.58005249999999</v>
      </c>
      <c r="FN63" s="1096">
        <v>171.5</v>
      </c>
      <c r="FO63" s="1096">
        <v>405.16010499999999</v>
      </c>
      <c r="FP63" s="1099">
        <v>343</v>
      </c>
      <c r="FQ63" s="1064">
        <v>1.0110981024599608</v>
      </c>
      <c r="FR63" s="1065">
        <v>0.15</v>
      </c>
      <c r="FS63" s="1066">
        <v>289.50050968399586</v>
      </c>
      <c r="FT63" s="1066">
        <v>3.1547324150233758</v>
      </c>
      <c r="FU63" s="1065"/>
      <c r="FV63" s="1066">
        <v>58.16955718269493</v>
      </c>
      <c r="FW63" s="1065"/>
      <c r="FX63" s="1065"/>
      <c r="FY63" s="1065" t="s">
        <v>406</v>
      </c>
      <c r="FZ63" s="1065" t="s">
        <v>408</v>
      </c>
      <c r="GA63" s="1065">
        <v>1</v>
      </c>
      <c r="GB63" s="1065"/>
      <c r="GC63" s="1065"/>
      <c r="GD63" s="1065"/>
      <c r="GE63" s="1065"/>
      <c r="GF63" s="1066">
        <v>103.9189863833636</v>
      </c>
      <c r="GG63" s="1066">
        <v>85.75</v>
      </c>
      <c r="GH63" s="1066">
        <v>207.8379727667272</v>
      </c>
      <c r="GI63" s="1066">
        <v>171.5</v>
      </c>
      <c r="GJ63" s="1066">
        <v>415.67594553345441</v>
      </c>
      <c r="GK63" s="1066">
        <v>343</v>
      </c>
      <c r="GL63" s="584">
        <v>0.96489999999999998</v>
      </c>
      <c r="GM63" s="584">
        <v>0.13</v>
      </c>
      <c r="GN63" s="584"/>
      <c r="GO63" s="584"/>
      <c r="GP63" s="584"/>
      <c r="GQ63" s="584">
        <v>56.1</v>
      </c>
      <c r="GR63" s="584"/>
      <c r="GS63" s="584">
        <v>66.2589194699286</v>
      </c>
      <c r="GT63" s="584" t="s">
        <v>416</v>
      </c>
      <c r="GU63" s="584" t="s">
        <v>381</v>
      </c>
      <c r="GV63" s="584">
        <v>1</v>
      </c>
      <c r="GW63" s="584"/>
      <c r="GX63" s="584"/>
      <c r="GY63" s="584"/>
      <c r="GZ63" s="584"/>
      <c r="HA63" s="584">
        <v>49.008354500000003</v>
      </c>
      <c r="HB63" s="584">
        <v>85.75</v>
      </c>
      <c r="HC63" s="584">
        <v>98.016709000000006</v>
      </c>
      <c r="HD63" s="584">
        <v>171.5</v>
      </c>
      <c r="HE63" s="584">
        <v>196.03341800000001</v>
      </c>
      <c r="HF63" s="584">
        <v>343</v>
      </c>
      <c r="HG63" s="1100">
        <v>1.4500000000000002</v>
      </c>
      <c r="HH63" s="1100">
        <v>0.13</v>
      </c>
      <c r="HI63" s="1101">
        <v>0</v>
      </c>
      <c r="HJ63" s="1101">
        <v>0</v>
      </c>
      <c r="HK63" s="1101">
        <v>0</v>
      </c>
      <c r="HL63" s="1101">
        <v>0</v>
      </c>
      <c r="HM63" s="1101">
        <v>60.171428571428578</v>
      </c>
      <c r="HN63" s="1101">
        <v>65</v>
      </c>
      <c r="HO63" s="1101">
        <v>0</v>
      </c>
      <c r="HP63" s="1101">
        <v>0</v>
      </c>
      <c r="HQ63" s="1101">
        <v>1</v>
      </c>
      <c r="HR63" s="1101">
        <v>0.96</v>
      </c>
      <c r="HS63" s="1101">
        <v>1.32</v>
      </c>
      <c r="HT63" s="1101">
        <v>0.3</v>
      </c>
      <c r="HU63" s="1101">
        <v>0.3</v>
      </c>
      <c r="HV63" s="1101">
        <v>49.68432700000001</v>
      </c>
      <c r="HW63" s="1101">
        <v>85.75</v>
      </c>
      <c r="HX63" s="1101">
        <v>99.368654000000021</v>
      </c>
      <c r="HY63" s="1101">
        <v>171.5</v>
      </c>
      <c r="HZ63" s="1101">
        <v>198.73730800000004</v>
      </c>
      <c r="IA63" s="1101">
        <v>343</v>
      </c>
      <c r="IB63" s="1062"/>
      <c r="IC63" s="1092"/>
      <c r="ID63" s="1050"/>
      <c r="IE63" s="1050"/>
      <c r="IF63" s="1103"/>
      <c r="IG63" s="1103"/>
      <c r="IH63" s="1103"/>
      <c r="II63" s="1103"/>
      <c r="IJ63" s="1103"/>
      <c r="IK63" s="1103"/>
      <c r="IL63" s="1103"/>
      <c r="IM63" s="1050"/>
      <c r="IN63" s="1050"/>
      <c r="IO63" s="1050"/>
      <c r="IP63" s="1050"/>
      <c r="IQ63" s="1103"/>
      <c r="IR63" s="1103"/>
      <c r="IS63" s="1103"/>
      <c r="IT63" s="1103"/>
      <c r="IU63" s="1103"/>
      <c r="IV63" s="1103"/>
      <c r="JS63" s="1092"/>
      <c r="JU63" s="1050"/>
      <c r="JV63" s="1103"/>
      <c r="JW63" s="1103"/>
      <c r="JX63" s="1103"/>
      <c r="JY63" s="1103"/>
      <c r="JZ63" s="1103"/>
      <c r="KA63" s="1103"/>
      <c r="KB63" s="1103"/>
      <c r="KC63" s="1050"/>
      <c r="KD63" s="1050"/>
      <c r="KE63" s="1050"/>
      <c r="KF63" s="1050"/>
      <c r="KG63" s="1103"/>
      <c r="KH63" s="1103"/>
      <c r="KI63" s="1103"/>
      <c r="KJ63" s="1103"/>
      <c r="KK63" s="1103"/>
      <c r="KL63" s="1103"/>
      <c r="KM63" s="1103"/>
      <c r="KN63" s="1103"/>
    </row>
    <row r="64" spans="2:300">
      <c r="B64" s="1048" t="str">
        <f t="shared" si="2"/>
        <v>O715</v>
      </c>
      <c r="C64" s="1046">
        <v>7</v>
      </c>
      <c r="D64" s="1092">
        <v>15</v>
      </c>
      <c r="E64" s="584">
        <v>0</v>
      </c>
      <c r="F64" s="584">
        <v>0</v>
      </c>
      <c r="G64" s="584">
        <v>0</v>
      </c>
      <c r="H64" s="584">
        <v>0</v>
      </c>
      <c r="I64" s="584">
        <v>0</v>
      </c>
      <c r="J64" s="584">
        <v>0</v>
      </c>
      <c r="K64" s="584">
        <v>0</v>
      </c>
      <c r="L64" s="584">
        <v>0</v>
      </c>
      <c r="M64" s="584">
        <v>0</v>
      </c>
      <c r="N64" s="584">
        <v>0</v>
      </c>
      <c r="O64" s="584">
        <v>0</v>
      </c>
      <c r="P64" s="584">
        <v>0</v>
      </c>
      <c r="Q64" s="584">
        <v>0</v>
      </c>
      <c r="R64" s="584">
        <v>0</v>
      </c>
      <c r="S64" s="584">
        <v>0</v>
      </c>
      <c r="T64" s="584">
        <v>0</v>
      </c>
      <c r="U64" s="584">
        <v>0</v>
      </c>
      <c r="V64" s="584">
        <v>0</v>
      </c>
      <c r="W64" s="584">
        <v>0</v>
      </c>
      <c r="X64" s="584">
        <v>0</v>
      </c>
      <c r="Y64" s="584">
        <v>0</v>
      </c>
      <c r="Z64" s="584">
        <v>0</v>
      </c>
      <c r="AA64" s="584">
        <v>0</v>
      </c>
      <c r="AB64" s="584">
        <v>0</v>
      </c>
      <c r="AC64" s="584">
        <v>0</v>
      </c>
      <c r="AD64" s="584">
        <v>0</v>
      </c>
      <c r="AE64" s="584">
        <v>0</v>
      </c>
      <c r="AF64" s="584">
        <v>0</v>
      </c>
      <c r="AG64" s="584">
        <v>0</v>
      </c>
      <c r="AH64" s="584">
        <v>0</v>
      </c>
      <c r="AI64" s="584">
        <v>0</v>
      </c>
      <c r="AJ64" s="584">
        <v>0</v>
      </c>
      <c r="AK64" s="584">
        <v>0</v>
      </c>
      <c r="AL64" s="584">
        <v>0</v>
      </c>
      <c r="AM64" s="584">
        <v>0</v>
      </c>
      <c r="AN64" s="584">
        <v>0</v>
      </c>
      <c r="AO64" s="584">
        <v>0</v>
      </c>
      <c r="AP64" s="584">
        <v>0</v>
      </c>
      <c r="AQ64" s="584">
        <v>0</v>
      </c>
      <c r="AR64" s="584">
        <v>0</v>
      </c>
      <c r="AS64" s="584">
        <v>0</v>
      </c>
      <c r="AT64" s="584">
        <v>0</v>
      </c>
      <c r="AU64" s="584">
        <v>0</v>
      </c>
      <c r="AV64" s="584">
        <v>0</v>
      </c>
      <c r="AW64" s="584">
        <v>0</v>
      </c>
      <c r="AX64" s="584">
        <v>0</v>
      </c>
      <c r="AY64" s="584">
        <v>0</v>
      </c>
      <c r="AZ64" s="584">
        <v>0</v>
      </c>
      <c r="BA64" s="584">
        <v>0</v>
      </c>
      <c r="BB64" s="584">
        <v>0</v>
      </c>
      <c r="BC64" s="584">
        <v>0</v>
      </c>
      <c r="BD64" s="584">
        <v>0</v>
      </c>
      <c r="BE64" s="584">
        <v>0</v>
      </c>
      <c r="BF64" s="584">
        <v>0</v>
      </c>
      <c r="BG64" s="584">
        <v>0</v>
      </c>
      <c r="BH64" s="584">
        <v>0</v>
      </c>
      <c r="BI64" s="584">
        <v>0</v>
      </c>
      <c r="BJ64" s="584">
        <v>0</v>
      </c>
      <c r="BK64" s="584">
        <v>0</v>
      </c>
      <c r="BL64" s="584">
        <v>0</v>
      </c>
      <c r="BM64" s="584">
        <v>0</v>
      </c>
      <c r="BN64" s="584">
        <v>0</v>
      </c>
      <c r="BO64" s="584">
        <v>0</v>
      </c>
      <c r="BP64" s="584">
        <v>0</v>
      </c>
      <c r="BQ64" s="584">
        <v>0</v>
      </c>
      <c r="BR64" s="584">
        <v>0</v>
      </c>
      <c r="BS64" s="584">
        <v>0</v>
      </c>
      <c r="BT64" s="584">
        <v>0</v>
      </c>
      <c r="BU64" s="584">
        <v>0</v>
      </c>
      <c r="BV64" s="584">
        <v>0</v>
      </c>
      <c r="BW64" s="584">
        <v>0</v>
      </c>
      <c r="BX64" s="584">
        <v>0</v>
      </c>
      <c r="BY64" s="584">
        <v>0</v>
      </c>
      <c r="BZ64" s="584">
        <v>0</v>
      </c>
      <c r="CA64" s="584">
        <v>0</v>
      </c>
      <c r="CB64" s="584">
        <v>0</v>
      </c>
      <c r="CC64" s="584">
        <v>0</v>
      </c>
      <c r="CD64" s="584">
        <v>0</v>
      </c>
      <c r="CE64" s="584">
        <v>0</v>
      </c>
      <c r="CF64" s="584">
        <v>0</v>
      </c>
      <c r="CG64" s="584">
        <v>0</v>
      </c>
      <c r="CH64" s="584">
        <v>0</v>
      </c>
      <c r="CI64" s="584">
        <v>0</v>
      </c>
      <c r="CJ64" s="584">
        <v>0</v>
      </c>
      <c r="CK64" s="584">
        <v>0</v>
      </c>
      <c r="CL64" s="584">
        <v>0</v>
      </c>
      <c r="CM64" s="584">
        <v>0</v>
      </c>
      <c r="CN64" s="584">
        <v>0</v>
      </c>
      <c r="CO64" s="584">
        <v>0</v>
      </c>
      <c r="CP64" s="584">
        <v>0</v>
      </c>
      <c r="CQ64" s="584">
        <v>0</v>
      </c>
      <c r="CR64" s="584">
        <v>0</v>
      </c>
      <c r="CS64" s="584">
        <v>0</v>
      </c>
      <c r="CT64" s="584">
        <v>0</v>
      </c>
      <c r="CU64" s="584">
        <v>0</v>
      </c>
      <c r="CV64" s="584">
        <v>0</v>
      </c>
      <c r="CW64" s="584">
        <v>0</v>
      </c>
      <c r="CX64" s="584">
        <v>0</v>
      </c>
      <c r="CY64" s="584">
        <v>0</v>
      </c>
      <c r="CZ64" s="584">
        <v>0</v>
      </c>
      <c r="DA64" s="584">
        <v>0</v>
      </c>
      <c r="DB64" s="584">
        <v>0</v>
      </c>
      <c r="DC64" s="584">
        <v>0</v>
      </c>
      <c r="DD64" s="584">
        <v>0</v>
      </c>
      <c r="DE64" s="584">
        <v>0</v>
      </c>
      <c r="DF64" s="584">
        <v>0</v>
      </c>
      <c r="DG64" s="584">
        <v>0</v>
      </c>
      <c r="DH64" s="584">
        <v>0</v>
      </c>
      <c r="DI64" s="584">
        <v>0</v>
      </c>
      <c r="DJ64" s="584">
        <v>0</v>
      </c>
      <c r="DK64" s="584">
        <v>0</v>
      </c>
      <c r="DL64" s="584">
        <v>0</v>
      </c>
      <c r="DM64" s="584">
        <v>0</v>
      </c>
      <c r="DN64" s="584">
        <v>0</v>
      </c>
      <c r="DO64" s="584">
        <v>0</v>
      </c>
      <c r="DP64" s="584">
        <v>0</v>
      </c>
      <c r="DQ64" s="584">
        <v>0</v>
      </c>
      <c r="DR64" s="584">
        <v>0</v>
      </c>
      <c r="DS64" s="584">
        <v>0</v>
      </c>
      <c r="DT64" s="584">
        <v>0</v>
      </c>
      <c r="DU64" s="584">
        <v>0</v>
      </c>
      <c r="DV64" s="584">
        <v>0</v>
      </c>
      <c r="DW64" s="584">
        <v>0</v>
      </c>
      <c r="DX64" s="584">
        <v>0</v>
      </c>
      <c r="DY64" s="584">
        <v>0</v>
      </c>
      <c r="DZ64" s="584">
        <v>0</v>
      </c>
      <c r="EA64" s="1062">
        <v>0</v>
      </c>
      <c r="EB64" s="1046">
        <v>0</v>
      </c>
      <c r="EC64" s="1093">
        <v>0</v>
      </c>
      <c r="ED64" s="1046">
        <v>0</v>
      </c>
      <c r="EE64" s="1046">
        <v>0</v>
      </c>
      <c r="EF64" s="1046">
        <v>0</v>
      </c>
      <c r="EG64" s="1046">
        <v>0</v>
      </c>
      <c r="EH64" s="1046">
        <v>0</v>
      </c>
      <c r="EI64" s="1046">
        <v>0</v>
      </c>
      <c r="EJ64" s="1046">
        <v>0</v>
      </c>
      <c r="EK64" s="1046">
        <v>0</v>
      </c>
      <c r="EL64" s="1046">
        <v>0</v>
      </c>
      <c r="EM64" s="1046">
        <v>0</v>
      </c>
      <c r="EN64" s="1046">
        <v>0</v>
      </c>
      <c r="EO64" s="1046">
        <v>0</v>
      </c>
      <c r="EP64" s="1094">
        <v>0</v>
      </c>
      <c r="EQ64" s="1094">
        <v>0</v>
      </c>
      <c r="ER64" s="1094">
        <v>0</v>
      </c>
      <c r="ES64" s="1095">
        <v>0</v>
      </c>
      <c r="ET64" s="1094">
        <v>0</v>
      </c>
      <c r="EU64" s="1094">
        <v>0</v>
      </c>
      <c r="EV64" s="1096">
        <v>0.75760000000000005</v>
      </c>
      <c r="EW64" s="1097">
        <v>0.15</v>
      </c>
      <c r="EX64" s="1096">
        <v>289.50050968399592</v>
      </c>
      <c r="EY64" s="1096">
        <v>1.5443934760448521</v>
      </c>
      <c r="EZ64" s="1096">
        <v>0</v>
      </c>
      <c r="FA64" s="1096">
        <v>36.44761904761905</v>
      </c>
      <c r="FB64" s="1098">
        <v>0</v>
      </c>
      <c r="FC64" s="1098">
        <v>0</v>
      </c>
      <c r="FD64" s="1098" t="s">
        <v>408</v>
      </c>
      <c r="FE64" s="1098" t="s">
        <v>410</v>
      </c>
      <c r="FF64" s="1098">
        <v>2</v>
      </c>
      <c r="FG64" s="1098">
        <v>0</v>
      </c>
      <c r="FH64" s="1098">
        <v>0</v>
      </c>
      <c r="FI64" s="1098">
        <v>0</v>
      </c>
      <c r="FJ64" s="1098">
        <v>0</v>
      </c>
      <c r="FK64" s="1096">
        <v>108.22091812500003</v>
      </c>
      <c r="FL64" s="1096">
        <v>91.875</v>
      </c>
      <c r="FM64" s="1096">
        <v>216.44183625000005</v>
      </c>
      <c r="FN64" s="1096">
        <v>183.75</v>
      </c>
      <c r="FO64" s="1096">
        <v>432.8836725000001</v>
      </c>
      <c r="FP64" s="1099">
        <v>367.5</v>
      </c>
      <c r="FQ64" s="1064">
        <v>1.1157674201721295</v>
      </c>
      <c r="FR64" s="1065">
        <v>0.15</v>
      </c>
      <c r="FS64" s="1066">
        <v>289.50050968399586</v>
      </c>
      <c r="FT64" s="1066">
        <v>3.1547324150233758</v>
      </c>
      <c r="FU64" s="1065"/>
      <c r="FV64" s="1066">
        <v>61.282243972185292</v>
      </c>
      <c r="FW64" s="1065"/>
      <c r="FX64" s="1065"/>
      <c r="FY64" s="1065" t="s">
        <v>396</v>
      </c>
      <c r="FZ64" s="1065" t="s">
        <v>396</v>
      </c>
      <c r="GA64" s="1065">
        <v>1</v>
      </c>
      <c r="GB64" s="1065"/>
      <c r="GC64" s="1065"/>
      <c r="GD64" s="1065"/>
      <c r="GE64" s="1065"/>
      <c r="GF64" s="1066">
        <v>112.14332688191107</v>
      </c>
      <c r="GG64" s="1066">
        <v>91.875</v>
      </c>
      <c r="GH64" s="1066">
        <v>224.28665376382213</v>
      </c>
      <c r="GI64" s="1066">
        <v>183.75</v>
      </c>
      <c r="GJ64" s="1066">
        <v>448.57330752764426</v>
      </c>
      <c r="GK64" s="1066">
        <v>367.5</v>
      </c>
      <c r="GL64" s="584">
        <v>1.0329999999999999</v>
      </c>
      <c r="GM64" s="584">
        <v>0.13</v>
      </c>
      <c r="GN64" s="584"/>
      <c r="GO64" s="584"/>
      <c r="GP64" s="584"/>
      <c r="GQ64" s="584">
        <v>62.853333333333303</v>
      </c>
      <c r="GR64" s="584"/>
      <c r="GS64" s="584">
        <v>66.2589194699286</v>
      </c>
      <c r="GT64" s="584" t="s">
        <v>416</v>
      </c>
      <c r="GU64" s="584" t="s">
        <v>375</v>
      </c>
      <c r="GV64" s="584">
        <v>1</v>
      </c>
      <c r="GW64" s="584"/>
      <c r="GX64" s="584"/>
      <c r="GY64" s="584"/>
      <c r="GZ64" s="584"/>
      <c r="HA64" s="584">
        <v>54.248018999999999</v>
      </c>
      <c r="HB64" s="584">
        <v>91.875</v>
      </c>
      <c r="HC64" s="584">
        <v>108.496038</v>
      </c>
      <c r="HD64" s="584">
        <v>183.75</v>
      </c>
      <c r="HE64" s="584">
        <v>216.992076</v>
      </c>
      <c r="HF64" s="584">
        <v>367.5</v>
      </c>
      <c r="HG64" s="1100">
        <v>1.5699999999999998</v>
      </c>
      <c r="HH64" s="1100">
        <v>0.13</v>
      </c>
      <c r="HI64" s="1101">
        <v>0</v>
      </c>
      <c r="HJ64" s="1101">
        <v>0</v>
      </c>
      <c r="HK64" s="1101">
        <v>0</v>
      </c>
      <c r="HL64" s="1101">
        <v>0</v>
      </c>
      <c r="HM64" s="1101">
        <v>64.542857142857144</v>
      </c>
      <c r="HN64" s="1101">
        <v>65</v>
      </c>
      <c r="HO64" s="1101">
        <v>0</v>
      </c>
      <c r="HP64" s="1101">
        <v>0</v>
      </c>
      <c r="HQ64" s="1101">
        <v>1</v>
      </c>
      <c r="HR64" s="1101">
        <v>1</v>
      </c>
      <c r="HS64" s="1101">
        <v>1.44</v>
      </c>
      <c r="HT64" s="1101">
        <v>0.3</v>
      </c>
      <c r="HU64" s="1101">
        <v>0.3</v>
      </c>
      <c r="HV64" s="1101">
        <v>54.358905</v>
      </c>
      <c r="HW64" s="1101">
        <v>91.875</v>
      </c>
      <c r="HX64" s="1101">
        <v>108.71781</v>
      </c>
      <c r="HY64" s="1101">
        <v>183.75</v>
      </c>
      <c r="HZ64" s="1101">
        <v>217.43562</v>
      </c>
      <c r="IA64" s="1101">
        <v>367.5</v>
      </c>
      <c r="IB64" s="1062"/>
      <c r="IC64" s="1092"/>
      <c r="ID64" s="1050"/>
      <c r="IE64" s="1050"/>
      <c r="IF64" s="1103"/>
      <c r="IG64" s="1103"/>
      <c r="IH64" s="1103"/>
      <c r="II64" s="1103"/>
      <c r="IJ64" s="1103"/>
      <c r="IK64" s="1103"/>
      <c r="IL64" s="1103"/>
      <c r="IM64" s="1050"/>
      <c r="IN64" s="1050"/>
      <c r="IO64" s="1050"/>
      <c r="IP64" s="1050"/>
      <c r="IQ64" s="1103"/>
      <c r="IR64" s="1103"/>
      <c r="IS64" s="1103"/>
      <c r="IT64" s="1103"/>
      <c r="IU64" s="1103"/>
      <c r="IV64" s="1103"/>
      <c r="JS64" s="1092"/>
      <c r="JU64" s="1050"/>
      <c r="JV64" s="1103"/>
      <c r="JW64" s="1103"/>
      <c r="JX64" s="1103"/>
      <c r="JY64" s="1103"/>
      <c r="JZ64" s="1103"/>
      <c r="KA64" s="1103"/>
      <c r="KB64" s="1103"/>
      <c r="KC64" s="1050"/>
      <c r="KD64" s="1050"/>
      <c r="KE64" s="1050"/>
      <c r="KF64" s="1050"/>
      <c r="KG64" s="1103"/>
      <c r="KH64" s="1103"/>
      <c r="KI64" s="1103"/>
      <c r="KJ64" s="1103"/>
      <c r="KK64" s="1103"/>
      <c r="KL64" s="1103"/>
      <c r="KM64" s="1103"/>
      <c r="KN64" s="1103"/>
    </row>
    <row r="65" spans="2:300">
      <c r="B65" s="1048" t="str">
        <f t="shared" si="2"/>
        <v>O716</v>
      </c>
      <c r="C65" s="1046">
        <v>7</v>
      </c>
      <c r="D65" s="1092">
        <v>16</v>
      </c>
      <c r="E65" s="584">
        <v>0</v>
      </c>
      <c r="F65" s="584">
        <v>0</v>
      </c>
      <c r="G65" s="584">
        <v>0</v>
      </c>
      <c r="H65" s="584">
        <v>0</v>
      </c>
      <c r="I65" s="584">
        <v>0</v>
      </c>
      <c r="J65" s="584">
        <v>0</v>
      </c>
      <c r="K65" s="584">
        <v>0</v>
      </c>
      <c r="L65" s="584">
        <v>0</v>
      </c>
      <c r="M65" s="584">
        <v>0</v>
      </c>
      <c r="N65" s="584">
        <v>0</v>
      </c>
      <c r="O65" s="584">
        <v>0</v>
      </c>
      <c r="P65" s="584">
        <v>0</v>
      </c>
      <c r="Q65" s="584">
        <v>0</v>
      </c>
      <c r="R65" s="584">
        <v>0</v>
      </c>
      <c r="S65" s="584">
        <v>0</v>
      </c>
      <c r="T65" s="584">
        <v>0</v>
      </c>
      <c r="U65" s="584">
        <v>0</v>
      </c>
      <c r="V65" s="584">
        <v>0</v>
      </c>
      <c r="W65" s="584">
        <v>0</v>
      </c>
      <c r="X65" s="584">
        <v>0</v>
      </c>
      <c r="Y65" s="584">
        <v>0</v>
      </c>
      <c r="Z65" s="584">
        <v>0</v>
      </c>
      <c r="AA65" s="584">
        <v>0</v>
      </c>
      <c r="AB65" s="584">
        <v>0</v>
      </c>
      <c r="AC65" s="584">
        <v>0</v>
      </c>
      <c r="AD65" s="584">
        <v>0</v>
      </c>
      <c r="AE65" s="584">
        <v>0</v>
      </c>
      <c r="AF65" s="584">
        <v>0</v>
      </c>
      <c r="AG65" s="584">
        <v>0</v>
      </c>
      <c r="AH65" s="584">
        <v>0</v>
      </c>
      <c r="AI65" s="584">
        <v>0</v>
      </c>
      <c r="AJ65" s="584">
        <v>0</v>
      </c>
      <c r="AK65" s="584">
        <v>0</v>
      </c>
      <c r="AL65" s="584">
        <v>0</v>
      </c>
      <c r="AM65" s="584">
        <v>0</v>
      </c>
      <c r="AN65" s="584">
        <v>0</v>
      </c>
      <c r="AO65" s="584">
        <v>154.15743749999999</v>
      </c>
      <c r="AP65" s="584">
        <v>98</v>
      </c>
      <c r="AQ65" s="584">
        <v>236.8974375</v>
      </c>
      <c r="AR65" s="584">
        <v>205.8</v>
      </c>
      <c r="AS65" s="584">
        <v>107.551</v>
      </c>
      <c r="AT65" s="584">
        <v>431.2</v>
      </c>
      <c r="AU65" s="584">
        <v>0</v>
      </c>
      <c r="AV65" s="584">
        <v>0</v>
      </c>
      <c r="AW65" s="584">
        <v>0</v>
      </c>
      <c r="AX65" s="584">
        <v>0</v>
      </c>
      <c r="AY65" s="584">
        <v>0</v>
      </c>
      <c r="AZ65" s="584">
        <v>0</v>
      </c>
      <c r="BA65" s="584">
        <v>0</v>
      </c>
      <c r="BB65" s="584">
        <v>0</v>
      </c>
      <c r="BC65" s="584">
        <v>0</v>
      </c>
      <c r="BD65" s="584">
        <v>0</v>
      </c>
      <c r="BE65" s="584">
        <v>0</v>
      </c>
      <c r="BF65" s="584">
        <v>0</v>
      </c>
      <c r="BG65" s="584">
        <v>0</v>
      </c>
      <c r="BH65" s="584">
        <v>0</v>
      </c>
      <c r="BI65" s="584">
        <v>0</v>
      </c>
      <c r="BJ65" s="584">
        <v>0</v>
      </c>
      <c r="BK65" s="584">
        <v>0</v>
      </c>
      <c r="BL65" s="584">
        <v>0</v>
      </c>
      <c r="BM65" s="584">
        <v>0</v>
      </c>
      <c r="BN65" s="584">
        <v>0</v>
      </c>
      <c r="BO65" s="584">
        <v>0</v>
      </c>
      <c r="BP65" s="584">
        <v>0</v>
      </c>
      <c r="BQ65" s="584">
        <v>0</v>
      </c>
      <c r="BR65" s="584">
        <v>0</v>
      </c>
      <c r="BS65" s="584">
        <v>0</v>
      </c>
      <c r="BT65" s="584">
        <v>0</v>
      </c>
      <c r="BU65" s="584">
        <v>0</v>
      </c>
      <c r="BV65" s="584">
        <v>0</v>
      </c>
      <c r="BW65" s="584">
        <v>0</v>
      </c>
      <c r="BX65" s="584">
        <v>0</v>
      </c>
      <c r="BY65" s="584">
        <v>0</v>
      </c>
      <c r="BZ65" s="584">
        <v>0</v>
      </c>
      <c r="CA65" s="584">
        <v>0</v>
      </c>
      <c r="CB65" s="584">
        <v>0</v>
      </c>
      <c r="CC65" s="584">
        <v>0</v>
      </c>
      <c r="CD65" s="584">
        <v>0</v>
      </c>
      <c r="CE65" s="584">
        <v>0</v>
      </c>
      <c r="CF65" s="584">
        <v>0</v>
      </c>
      <c r="CG65" s="584">
        <v>0</v>
      </c>
      <c r="CH65" s="584">
        <v>0</v>
      </c>
      <c r="CI65" s="584">
        <v>0</v>
      </c>
      <c r="CJ65" s="584">
        <v>0</v>
      </c>
      <c r="CK65" s="584">
        <v>0</v>
      </c>
      <c r="CL65" s="584">
        <v>0</v>
      </c>
      <c r="CM65" s="584">
        <v>0</v>
      </c>
      <c r="CN65" s="584">
        <v>0</v>
      </c>
      <c r="CO65" s="584">
        <v>0</v>
      </c>
      <c r="CP65" s="584">
        <v>0</v>
      </c>
      <c r="CQ65" s="584">
        <v>0</v>
      </c>
      <c r="CR65" s="584">
        <v>0</v>
      </c>
      <c r="CS65" s="584">
        <v>0</v>
      </c>
      <c r="CT65" s="584">
        <v>0</v>
      </c>
      <c r="CU65" s="584">
        <v>0</v>
      </c>
      <c r="CV65" s="584">
        <v>0</v>
      </c>
      <c r="CW65" s="584">
        <v>0</v>
      </c>
      <c r="CX65" s="584">
        <v>0</v>
      </c>
      <c r="CY65" s="584">
        <v>0</v>
      </c>
      <c r="CZ65" s="584">
        <v>0</v>
      </c>
      <c r="DA65" s="584">
        <v>0</v>
      </c>
      <c r="DB65" s="584">
        <v>0</v>
      </c>
      <c r="DC65" s="584">
        <v>0</v>
      </c>
      <c r="DD65" s="584">
        <v>0</v>
      </c>
      <c r="DE65" s="584">
        <v>0</v>
      </c>
      <c r="DF65" s="584">
        <v>0</v>
      </c>
      <c r="DG65" s="584">
        <v>0</v>
      </c>
      <c r="DH65" s="584">
        <v>0</v>
      </c>
      <c r="DI65" s="584">
        <v>0</v>
      </c>
      <c r="DJ65" s="584">
        <v>0</v>
      </c>
      <c r="DK65" s="584">
        <v>0</v>
      </c>
      <c r="DL65" s="584">
        <v>0</v>
      </c>
      <c r="DM65" s="584">
        <v>0</v>
      </c>
      <c r="DN65" s="584">
        <v>0</v>
      </c>
      <c r="DO65" s="584">
        <v>0</v>
      </c>
      <c r="DP65" s="584">
        <v>0</v>
      </c>
      <c r="DQ65" s="584">
        <v>0</v>
      </c>
      <c r="DR65" s="584">
        <v>0</v>
      </c>
      <c r="DS65" s="584">
        <v>0</v>
      </c>
      <c r="DT65" s="584">
        <v>0</v>
      </c>
      <c r="DU65" s="584">
        <v>0</v>
      </c>
      <c r="DV65" s="584">
        <v>0</v>
      </c>
      <c r="DW65" s="584">
        <v>0</v>
      </c>
      <c r="DX65" s="584">
        <v>0</v>
      </c>
      <c r="DY65" s="584">
        <v>0</v>
      </c>
      <c r="DZ65" s="584">
        <v>0</v>
      </c>
      <c r="EA65" s="1062">
        <v>0</v>
      </c>
      <c r="EB65" s="1046">
        <v>0</v>
      </c>
      <c r="EC65" s="1093">
        <v>0</v>
      </c>
      <c r="ED65" s="1046">
        <v>0</v>
      </c>
      <c r="EE65" s="1046">
        <v>0</v>
      </c>
      <c r="EF65" s="1046">
        <v>0</v>
      </c>
      <c r="EG65" s="1046">
        <v>0</v>
      </c>
      <c r="EH65" s="1046">
        <v>0</v>
      </c>
      <c r="EI65" s="1046">
        <v>0</v>
      </c>
      <c r="EJ65" s="1046">
        <v>0</v>
      </c>
      <c r="EK65" s="1046">
        <v>0</v>
      </c>
      <c r="EL65" s="1046">
        <v>0</v>
      </c>
      <c r="EM65" s="1046">
        <v>0</v>
      </c>
      <c r="EN65" s="1046">
        <v>0</v>
      </c>
      <c r="EO65" s="1046">
        <v>0</v>
      </c>
      <c r="EP65" s="1094">
        <v>0</v>
      </c>
      <c r="EQ65" s="1094">
        <v>0</v>
      </c>
      <c r="ER65" s="1094">
        <v>0</v>
      </c>
      <c r="ES65" s="1095">
        <v>0</v>
      </c>
      <c r="ET65" s="1094">
        <v>0</v>
      </c>
      <c r="EU65" s="1094">
        <v>0</v>
      </c>
      <c r="EV65" s="1096">
        <v>0.82789999999999997</v>
      </c>
      <c r="EW65" s="1097">
        <v>0.15</v>
      </c>
      <c r="EX65" s="1096">
        <v>289.50050968399592</v>
      </c>
      <c r="EY65" s="1096">
        <v>1.5443934760448521</v>
      </c>
      <c r="EZ65" s="1096">
        <v>0</v>
      </c>
      <c r="FA65" s="1096">
        <v>43.590178571428574</v>
      </c>
      <c r="FB65" s="1098">
        <v>0</v>
      </c>
      <c r="FC65" s="1098">
        <v>0</v>
      </c>
      <c r="FD65" s="1098" t="s">
        <v>406</v>
      </c>
      <c r="FE65" s="1098" t="s">
        <v>396</v>
      </c>
      <c r="FF65" s="1098">
        <v>2</v>
      </c>
      <c r="FG65" s="1098">
        <v>0</v>
      </c>
      <c r="FH65" s="1098">
        <v>0</v>
      </c>
      <c r="FI65" s="1098">
        <v>0</v>
      </c>
      <c r="FJ65" s="1098">
        <v>0</v>
      </c>
      <c r="FK65" s="1096">
        <v>117.39756424999999</v>
      </c>
      <c r="FL65" s="1096">
        <v>98</v>
      </c>
      <c r="FM65" s="1096">
        <v>234.79512849999998</v>
      </c>
      <c r="FN65" s="1096">
        <v>196</v>
      </c>
      <c r="FO65" s="1096">
        <v>469.59025699999995</v>
      </c>
      <c r="FP65" s="1099">
        <v>392</v>
      </c>
      <c r="FQ65" s="1064">
        <v>1.2222367378842984</v>
      </c>
      <c r="FR65" s="1065">
        <v>0.15</v>
      </c>
      <c r="FS65" s="1066">
        <v>289.50050968399586</v>
      </c>
      <c r="FT65" s="1066">
        <v>3.1547324150233758</v>
      </c>
      <c r="FU65" s="1065"/>
      <c r="FV65" s="1066">
        <v>64.173452609929015</v>
      </c>
      <c r="FW65" s="1065"/>
      <c r="FX65" s="1065"/>
      <c r="FY65" s="1065" t="s">
        <v>389</v>
      </c>
      <c r="FZ65" s="1065" t="s">
        <v>389</v>
      </c>
      <c r="GA65" s="1065">
        <v>1</v>
      </c>
      <c r="GB65" s="1065"/>
      <c r="GC65" s="1065"/>
      <c r="GD65" s="1065"/>
      <c r="GE65" s="1065"/>
      <c r="GF65" s="1066">
        <v>120.41370586265391</v>
      </c>
      <c r="GG65" s="1066">
        <v>98</v>
      </c>
      <c r="GH65" s="1066">
        <v>240.82741172530783</v>
      </c>
      <c r="GI65" s="1066">
        <v>196</v>
      </c>
      <c r="GJ65" s="1066">
        <v>481.65482345061565</v>
      </c>
      <c r="GK65" s="1066">
        <v>392</v>
      </c>
      <c r="GL65" s="584">
        <v>1.1101000000000001</v>
      </c>
      <c r="GM65" s="584">
        <v>0.13</v>
      </c>
      <c r="GN65" s="584"/>
      <c r="GO65" s="584"/>
      <c r="GP65" s="584"/>
      <c r="GQ65" s="584">
        <v>76.813392857142901</v>
      </c>
      <c r="GR65" s="584"/>
      <c r="GS65" s="584">
        <v>66.2589194699286</v>
      </c>
      <c r="GT65" s="584" t="s">
        <v>430</v>
      </c>
      <c r="GU65" s="584" t="s">
        <v>349</v>
      </c>
      <c r="GV65" s="584">
        <v>1</v>
      </c>
      <c r="GW65" s="584"/>
      <c r="GX65" s="584"/>
      <c r="GY65" s="584"/>
      <c r="GZ65" s="584"/>
      <c r="HA65" s="584">
        <v>61.699102750000002</v>
      </c>
      <c r="HB65" s="584">
        <v>98</v>
      </c>
      <c r="HC65" s="584">
        <v>123.3982055</v>
      </c>
      <c r="HD65" s="584">
        <v>196</v>
      </c>
      <c r="HE65" s="584">
        <v>246.79641100000001</v>
      </c>
      <c r="HF65" s="584">
        <v>392</v>
      </c>
      <c r="HG65" s="1100">
        <v>1.73</v>
      </c>
      <c r="HH65" s="1100">
        <v>0.13</v>
      </c>
      <c r="HI65" s="1101">
        <v>0</v>
      </c>
      <c r="HJ65" s="1101">
        <v>0</v>
      </c>
      <c r="HK65" s="1101">
        <v>0</v>
      </c>
      <c r="HL65" s="1101">
        <v>0</v>
      </c>
      <c r="HM65" s="1101">
        <v>70.489285714285714</v>
      </c>
      <c r="HN65" s="1101">
        <v>65</v>
      </c>
      <c r="HO65" s="1101">
        <v>0</v>
      </c>
      <c r="HP65" s="1101">
        <v>0</v>
      </c>
      <c r="HQ65" s="1101">
        <v>1</v>
      </c>
      <c r="HR65" s="1101">
        <v>1.04</v>
      </c>
      <c r="HS65" s="1101">
        <v>1.6</v>
      </c>
      <c r="HT65" s="1101">
        <v>0.3</v>
      </c>
      <c r="HU65" s="1101">
        <v>0.3</v>
      </c>
      <c r="HV65" s="1101">
        <v>59.616197</v>
      </c>
      <c r="HW65" s="1101">
        <v>98</v>
      </c>
      <c r="HX65" s="1101">
        <v>119.232394</v>
      </c>
      <c r="HY65" s="1101">
        <v>196</v>
      </c>
      <c r="HZ65" s="1101">
        <v>238.464788</v>
      </c>
      <c r="IA65" s="1101">
        <v>392</v>
      </c>
      <c r="IB65" s="1062"/>
      <c r="IC65" s="1092"/>
      <c r="ID65" s="1050"/>
      <c r="IE65" s="1050"/>
      <c r="IF65" s="1103"/>
      <c r="IG65" s="1103"/>
      <c r="IH65" s="1103"/>
      <c r="II65" s="1103"/>
      <c r="IJ65" s="1103"/>
      <c r="IK65" s="1103"/>
      <c r="IL65" s="1103"/>
      <c r="IM65" s="1050"/>
      <c r="IN65" s="1050"/>
      <c r="IO65" s="1050"/>
      <c r="IP65" s="1050"/>
      <c r="IQ65" s="1103"/>
      <c r="IR65" s="1103"/>
      <c r="IS65" s="1103"/>
      <c r="IT65" s="1103"/>
      <c r="IU65" s="1103"/>
      <c r="IV65" s="1103"/>
      <c r="JS65" s="1092"/>
      <c r="JU65" s="1050"/>
      <c r="JV65" s="1103"/>
      <c r="JW65" s="1103"/>
      <c r="JX65" s="1103"/>
      <c r="JY65" s="1103"/>
      <c r="JZ65" s="1103"/>
      <c r="KA65" s="1103"/>
      <c r="KB65" s="1103"/>
      <c r="KC65" s="1050"/>
      <c r="KD65" s="1050"/>
      <c r="KE65" s="1050"/>
      <c r="KF65" s="1050"/>
      <c r="KG65" s="1103"/>
      <c r="KH65" s="1103"/>
      <c r="KI65" s="1103"/>
      <c r="KJ65" s="1103"/>
      <c r="KK65" s="1103"/>
      <c r="KL65" s="1103"/>
      <c r="KM65" s="1103"/>
      <c r="KN65" s="1103"/>
    </row>
    <row r="66" spans="2:300">
      <c r="B66" s="1048" t="str">
        <f t="shared" si="2"/>
        <v>O88</v>
      </c>
      <c r="C66" s="1046">
        <v>8</v>
      </c>
      <c r="D66" s="1046">
        <v>8</v>
      </c>
      <c r="E66" s="584">
        <v>0.26</v>
      </c>
      <c r="F66" s="584">
        <v>0.26</v>
      </c>
      <c r="G66" s="584">
        <v>624</v>
      </c>
      <c r="H66" s="584">
        <v>23.14</v>
      </c>
      <c r="I66" s="584">
        <v>0</v>
      </c>
      <c r="J66" s="584">
        <v>0</v>
      </c>
      <c r="K66" s="584">
        <v>0</v>
      </c>
      <c r="L66" s="584">
        <v>0</v>
      </c>
      <c r="M66" s="584">
        <v>0</v>
      </c>
      <c r="N66" s="584">
        <v>0</v>
      </c>
      <c r="O66" s="584">
        <v>0</v>
      </c>
      <c r="P66" s="584">
        <v>0</v>
      </c>
      <c r="Q66" s="584">
        <v>0</v>
      </c>
      <c r="R66" s="584">
        <v>0</v>
      </c>
      <c r="S66" s="584">
        <v>0</v>
      </c>
      <c r="T66" s="584">
        <v>220.71743749999999</v>
      </c>
      <c r="U66" s="584">
        <v>56</v>
      </c>
      <c r="V66" s="584">
        <v>353.65743750000001</v>
      </c>
      <c r="W66" s="584">
        <v>117.6</v>
      </c>
      <c r="X66" s="584">
        <v>522.91099999999994</v>
      </c>
      <c r="Y66" s="584">
        <v>246.4</v>
      </c>
      <c r="Z66" s="584">
        <v>0.22</v>
      </c>
      <c r="AA66" s="584">
        <v>0.22</v>
      </c>
      <c r="AB66" s="584">
        <v>528</v>
      </c>
      <c r="AC66" s="584">
        <v>20</v>
      </c>
      <c r="AD66" s="584">
        <v>0</v>
      </c>
      <c r="AE66" s="584">
        <v>0</v>
      </c>
      <c r="AF66" s="584">
        <v>0</v>
      </c>
      <c r="AG66" s="584">
        <v>0</v>
      </c>
      <c r="AH66" s="584">
        <v>0</v>
      </c>
      <c r="AI66" s="584">
        <v>0</v>
      </c>
      <c r="AJ66" s="584">
        <v>0</v>
      </c>
      <c r="AK66" s="584">
        <v>0</v>
      </c>
      <c r="AL66" s="584">
        <v>0</v>
      </c>
      <c r="AM66" s="584">
        <v>0</v>
      </c>
      <c r="AN66" s="584">
        <v>0</v>
      </c>
      <c r="AO66" s="584">
        <v>203.0774375</v>
      </c>
      <c r="AP66" s="584">
        <v>56</v>
      </c>
      <c r="AQ66" s="584">
        <v>318.37743749999998</v>
      </c>
      <c r="AR66" s="584">
        <v>117.6</v>
      </c>
      <c r="AS66" s="584">
        <v>452.51100000000002</v>
      </c>
      <c r="AT66" s="584">
        <v>246.4</v>
      </c>
      <c r="AU66" s="584">
        <v>0.5</v>
      </c>
      <c r="AV66" s="584">
        <v>0.315</v>
      </c>
      <c r="AW66" s="584">
        <v>525.23462614953996</v>
      </c>
      <c r="AX66" s="584">
        <v>31.5749160335866</v>
      </c>
      <c r="AY66" s="584">
        <v>0</v>
      </c>
      <c r="AZ66" s="584">
        <v>0</v>
      </c>
      <c r="BA66" s="584">
        <v>0</v>
      </c>
      <c r="BB66" s="584">
        <v>0</v>
      </c>
      <c r="BC66" s="584">
        <v>0</v>
      </c>
      <c r="BD66" s="584">
        <v>0</v>
      </c>
      <c r="BE66" s="584">
        <v>0</v>
      </c>
      <c r="BF66" s="584">
        <v>0</v>
      </c>
      <c r="BG66" s="584">
        <v>0.5</v>
      </c>
      <c r="BH66" s="584">
        <v>0</v>
      </c>
      <c r="BI66" s="584">
        <v>0.45</v>
      </c>
      <c r="BJ66" s="584">
        <v>206.807329448221</v>
      </c>
      <c r="BK66" s="584">
        <v>56</v>
      </c>
      <c r="BL66" s="584">
        <v>315.75320889644098</v>
      </c>
      <c r="BM66" s="584">
        <v>117.6</v>
      </c>
      <c r="BN66" s="584">
        <v>443.35260153938401</v>
      </c>
      <c r="BO66" s="584">
        <v>246.4</v>
      </c>
      <c r="BP66" s="584">
        <v>0.47499999999999998</v>
      </c>
      <c r="BQ66" s="584">
        <v>0.17</v>
      </c>
      <c r="BR66" s="584">
        <v>474.94042383046798</v>
      </c>
      <c r="BS66" s="584">
        <v>18.169460215913599</v>
      </c>
      <c r="BT66" s="584">
        <v>0</v>
      </c>
      <c r="BU66" s="584">
        <v>0</v>
      </c>
      <c r="BV66" s="584">
        <v>0</v>
      </c>
      <c r="BW66" s="584">
        <v>0</v>
      </c>
      <c r="BX66" s="584">
        <v>0</v>
      </c>
      <c r="BY66" s="584">
        <v>0</v>
      </c>
      <c r="BZ66" s="584">
        <v>0</v>
      </c>
      <c r="CA66" s="584">
        <v>0.47499999999999998</v>
      </c>
      <c r="CB66" s="584">
        <v>0.47499999999999998</v>
      </c>
      <c r="CC66" s="584">
        <v>0.3</v>
      </c>
      <c r="CD66" s="584">
        <v>0.3</v>
      </c>
      <c r="CE66" s="584">
        <v>199.51984999999999</v>
      </c>
      <c r="CF66" s="584">
        <v>56</v>
      </c>
      <c r="CG66" s="584">
        <v>301.57672500000001</v>
      </c>
      <c r="CH66" s="584">
        <v>117.6</v>
      </c>
      <c r="CI66" s="584">
        <v>399.68360000000001</v>
      </c>
      <c r="CJ66" s="584">
        <v>246.4</v>
      </c>
      <c r="CK66" s="584">
        <v>0.5</v>
      </c>
      <c r="CL66" s="584">
        <v>0.24</v>
      </c>
      <c r="CM66" s="584">
        <v>615.96561375449801</v>
      </c>
      <c r="CN66" s="584">
        <v>23.068644542183101</v>
      </c>
      <c r="CO66" s="584">
        <v>0</v>
      </c>
      <c r="CP66" s="584">
        <v>0</v>
      </c>
      <c r="CQ66" s="584">
        <v>0</v>
      </c>
      <c r="CR66" s="584">
        <v>0</v>
      </c>
      <c r="CS66" s="584">
        <v>0</v>
      </c>
      <c r="CT66" s="584">
        <v>0</v>
      </c>
      <c r="CU66" s="584">
        <v>0</v>
      </c>
      <c r="CV66" s="584">
        <v>0</v>
      </c>
      <c r="CW66" s="584">
        <v>0.5</v>
      </c>
      <c r="CX66" s="584">
        <v>0</v>
      </c>
      <c r="CY66" s="584">
        <v>0.45</v>
      </c>
      <c r="CZ66" s="584">
        <v>227.79920000000001</v>
      </c>
      <c r="DA66" s="584">
        <v>56</v>
      </c>
      <c r="DB66" s="584">
        <v>351.91919999999999</v>
      </c>
      <c r="DC66" s="584">
        <v>117.6</v>
      </c>
      <c r="DD66" s="584">
        <v>510.47919999999999</v>
      </c>
      <c r="DE66" s="584">
        <v>246.4</v>
      </c>
      <c r="DF66" s="584">
        <v>0.35</v>
      </c>
      <c r="DG66" s="584">
        <v>0.2</v>
      </c>
      <c r="DH66" s="584">
        <v>290.69547181127501</v>
      </c>
      <c r="DI66" s="584">
        <v>16.816872051179502</v>
      </c>
      <c r="DJ66" s="584">
        <v>300</v>
      </c>
      <c r="DK66" s="584">
        <v>0</v>
      </c>
      <c r="DL66" s="584">
        <v>0</v>
      </c>
      <c r="DM66" s="584">
        <v>0</v>
      </c>
      <c r="DN66" s="584">
        <v>0</v>
      </c>
      <c r="DO66" s="584">
        <v>0</v>
      </c>
      <c r="DP66" s="584">
        <v>0</v>
      </c>
      <c r="DQ66" s="584">
        <v>0</v>
      </c>
      <c r="DR66" s="584">
        <v>0.35</v>
      </c>
      <c r="DS66" s="584">
        <v>0</v>
      </c>
      <c r="DT66" s="584">
        <v>2.4</v>
      </c>
      <c r="DU66" s="584">
        <v>196.23275000000001</v>
      </c>
      <c r="DV66" s="584">
        <v>56</v>
      </c>
      <c r="DW66" s="584">
        <v>356.24275</v>
      </c>
      <c r="DX66" s="584">
        <v>117.6</v>
      </c>
      <c r="DY66" s="584">
        <v>461.74650000000003</v>
      </c>
      <c r="DZ66" s="584">
        <v>246.4</v>
      </c>
      <c r="EA66" s="1062">
        <v>0.74199999999999999</v>
      </c>
      <c r="EB66" s="1046">
        <v>0.25</v>
      </c>
      <c r="EC66" s="1093">
        <v>132.51783893985731</v>
      </c>
      <c r="ED66" s="1046">
        <v>0</v>
      </c>
      <c r="EE66" s="1046">
        <v>346.58511722731902</v>
      </c>
      <c r="EF66" s="1046">
        <v>26.925000000000001</v>
      </c>
      <c r="EG66" s="1046">
        <v>0</v>
      </c>
      <c r="EH66" s="1046">
        <v>0</v>
      </c>
      <c r="EI66" s="1046" t="s">
        <v>440</v>
      </c>
      <c r="EJ66" s="1046" t="s">
        <v>486</v>
      </c>
      <c r="EK66" s="1046">
        <v>0</v>
      </c>
      <c r="EL66" s="1046">
        <v>0</v>
      </c>
      <c r="EM66" s="1046">
        <v>0</v>
      </c>
      <c r="EN66" s="1046">
        <v>0</v>
      </c>
      <c r="EO66" s="1046">
        <v>0</v>
      </c>
      <c r="EP66" s="1094">
        <v>92.226147999999995</v>
      </c>
      <c r="EQ66" s="1094">
        <v>56</v>
      </c>
      <c r="ER66" s="1094">
        <v>184.45229599999999</v>
      </c>
      <c r="ES66" s="1095">
        <v>112</v>
      </c>
      <c r="ET66" s="1094">
        <v>368.90459199999998</v>
      </c>
      <c r="EU66" s="1094">
        <v>224</v>
      </c>
      <c r="EV66" s="1096">
        <v>0.68310000000000004</v>
      </c>
      <c r="EW66" s="1097">
        <v>0.15</v>
      </c>
      <c r="EX66" s="1096">
        <v>289.50050968399592</v>
      </c>
      <c r="EY66" s="1096">
        <v>1.5443934760448521</v>
      </c>
      <c r="EZ66" s="1096">
        <v>0</v>
      </c>
      <c r="FA66" s="1096">
        <v>22.762499999999999</v>
      </c>
      <c r="FB66" s="1098">
        <v>0</v>
      </c>
      <c r="FC66" s="1098">
        <v>0</v>
      </c>
      <c r="FD66" s="1098" t="s">
        <v>430</v>
      </c>
      <c r="FE66" s="1098" t="s">
        <v>481</v>
      </c>
      <c r="FF66" s="1098">
        <v>2</v>
      </c>
      <c r="FG66" s="1098">
        <v>0</v>
      </c>
      <c r="FH66" s="1098">
        <v>0</v>
      </c>
      <c r="FI66" s="1098">
        <v>0</v>
      </c>
      <c r="FJ66" s="1098">
        <v>0</v>
      </c>
      <c r="FK66" s="1096">
        <v>63.815209999999993</v>
      </c>
      <c r="FL66" s="1096">
        <v>56</v>
      </c>
      <c r="FM66" s="1096">
        <v>127.63041999999999</v>
      </c>
      <c r="FN66" s="1096">
        <v>112</v>
      </c>
      <c r="FO66" s="1096">
        <v>255.26083999999997</v>
      </c>
      <c r="FP66" s="1099">
        <v>224</v>
      </c>
      <c r="FQ66" s="1064">
        <v>0.79679999999999995</v>
      </c>
      <c r="FR66" s="1065">
        <v>0.15</v>
      </c>
      <c r="FS66" s="1066">
        <v>289.50050968399586</v>
      </c>
      <c r="FT66" s="1066">
        <v>3.1935353236673123</v>
      </c>
      <c r="FU66" s="1065"/>
      <c r="FV66" s="1066">
        <v>45.666252518741338</v>
      </c>
      <c r="FW66" s="1065"/>
      <c r="FX66" s="1065"/>
      <c r="FY66" s="1065" t="s">
        <v>456</v>
      </c>
      <c r="FZ66" s="1065" t="s">
        <v>490</v>
      </c>
      <c r="GA66" s="1065">
        <v>3</v>
      </c>
      <c r="GB66" s="1065"/>
      <c r="GC66" s="1065"/>
      <c r="GD66" s="1065"/>
      <c r="GE66" s="1065"/>
      <c r="GF66" s="1066">
        <v>65.909032299744453</v>
      </c>
      <c r="GG66" s="1066">
        <v>56</v>
      </c>
      <c r="GH66" s="1066">
        <v>131.81806459948891</v>
      </c>
      <c r="GI66" s="1066">
        <v>112</v>
      </c>
      <c r="GJ66" s="1066">
        <v>263.63612919897781</v>
      </c>
      <c r="GK66" s="1066">
        <v>224</v>
      </c>
      <c r="GL66" s="584">
        <v>0.65910000000000002</v>
      </c>
      <c r="GM66" s="584">
        <v>0.13</v>
      </c>
      <c r="GN66" s="584"/>
      <c r="GO66" s="584"/>
      <c r="GP66" s="584"/>
      <c r="GQ66" s="584">
        <v>25.762499999999999</v>
      </c>
      <c r="GR66" s="584"/>
      <c r="GS66" s="584">
        <v>66.2589194699286</v>
      </c>
      <c r="GT66" s="584" t="s">
        <v>436</v>
      </c>
      <c r="GU66" s="584" t="s">
        <v>438</v>
      </c>
      <c r="GV66" s="584">
        <v>1</v>
      </c>
      <c r="GW66" s="584"/>
      <c r="GX66" s="584"/>
      <c r="GY66" s="584"/>
      <c r="GZ66" s="584"/>
      <c r="HA66" s="584">
        <v>27.243682</v>
      </c>
      <c r="HB66" s="584">
        <v>56</v>
      </c>
      <c r="HC66" s="584">
        <v>54.487363999999999</v>
      </c>
      <c r="HD66" s="584">
        <v>112</v>
      </c>
      <c r="HE66" s="584">
        <v>108.974728</v>
      </c>
      <c r="HF66" s="584">
        <v>224</v>
      </c>
      <c r="HG66" s="1100">
        <v>0.95</v>
      </c>
      <c r="HH66" s="1100">
        <v>0.11</v>
      </c>
      <c r="HI66" s="1101">
        <v>0</v>
      </c>
      <c r="HJ66" s="1101">
        <v>0</v>
      </c>
      <c r="HK66" s="1101">
        <v>0</v>
      </c>
      <c r="HL66" s="1101">
        <v>0</v>
      </c>
      <c r="HM66" s="1101">
        <v>46.935000000000002</v>
      </c>
      <c r="HN66" s="1101">
        <v>54.999999999999993</v>
      </c>
      <c r="HO66" s="1101">
        <v>0</v>
      </c>
      <c r="HP66" s="1101">
        <v>0</v>
      </c>
      <c r="HQ66" s="1101">
        <v>3</v>
      </c>
      <c r="HR66" s="1101">
        <v>0.84</v>
      </c>
      <c r="HS66" s="1101">
        <v>0.52</v>
      </c>
      <c r="HT66" s="1101">
        <v>0.3</v>
      </c>
      <c r="HU66" s="1101">
        <v>0.28000000000000003</v>
      </c>
      <c r="HV66" s="1101">
        <v>28.799717600000001</v>
      </c>
      <c r="HW66" s="1101">
        <v>56</v>
      </c>
      <c r="HX66" s="1101">
        <v>57.599435200000002</v>
      </c>
      <c r="HY66" s="1101">
        <v>112</v>
      </c>
      <c r="HZ66" s="1101">
        <v>115.1988704</v>
      </c>
      <c r="IA66" s="1101">
        <v>224</v>
      </c>
      <c r="IB66" s="1062"/>
      <c r="ID66" s="1050"/>
      <c r="IE66" s="1050"/>
      <c r="IF66" s="1103"/>
      <c r="IG66" s="1103"/>
      <c r="IH66" s="1103"/>
      <c r="II66" s="1103"/>
      <c r="IJ66" s="1103"/>
      <c r="IK66" s="1103"/>
      <c r="IL66" s="1103"/>
      <c r="IM66" s="1050"/>
      <c r="IN66" s="1050"/>
      <c r="IO66" s="1050"/>
      <c r="IP66" s="1050"/>
      <c r="IQ66" s="1103"/>
      <c r="IR66" s="1103"/>
      <c r="IS66" s="1103"/>
      <c r="IT66" s="1103"/>
      <c r="IU66" s="1103"/>
      <c r="IV66" s="1103"/>
      <c r="JU66" s="1050"/>
      <c r="JV66" s="1103"/>
      <c r="JW66" s="1103"/>
      <c r="JX66" s="1103"/>
      <c r="JY66" s="1103"/>
      <c r="JZ66" s="1103"/>
      <c r="KA66" s="1103"/>
      <c r="KB66" s="1103"/>
      <c r="KC66" s="1050"/>
      <c r="KD66" s="1050"/>
      <c r="KE66" s="1050"/>
      <c r="KF66" s="1050"/>
      <c r="KG66" s="1103"/>
      <c r="KH66" s="1103"/>
      <c r="KI66" s="1103"/>
      <c r="KJ66" s="1103"/>
      <c r="KK66" s="1103"/>
      <c r="KL66" s="1103"/>
      <c r="KM66" s="1103"/>
      <c r="KN66" s="1103"/>
    </row>
    <row r="67" spans="2:300">
      <c r="B67" s="1048" t="str">
        <f t="shared" si="2"/>
        <v>O89</v>
      </c>
      <c r="C67" s="1046">
        <v>8</v>
      </c>
      <c r="D67" s="1046">
        <v>9</v>
      </c>
      <c r="E67" s="584">
        <v>0.3</v>
      </c>
      <c r="F67" s="584">
        <v>0.3</v>
      </c>
      <c r="G67" s="584">
        <v>720</v>
      </c>
      <c r="H67" s="584">
        <v>23.7</v>
      </c>
      <c r="I67" s="584">
        <v>0</v>
      </c>
      <c r="J67" s="584">
        <v>0</v>
      </c>
      <c r="K67" s="584">
        <v>0</v>
      </c>
      <c r="L67" s="584">
        <v>0</v>
      </c>
      <c r="M67" s="584">
        <v>0</v>
      </c>
      <c r="N67" s="584">
        <v>0</v>
      </c>
      <c r="O67" s="584">
        <v>0</v>
      </c>
      <c r="P67" s="584">
        <v>0</v>
      </c>
      <c r="Q67" s="584">
        <v>0</v>
      </c>
      <c r="R67" s="584">
        <v>0</v>
      </c>
      <c r="S67" s="584">
        <v>0</v>
      </c>
      <c r="T67" s="584">
        <v>261.20743750000003</v>
      </c>
      <c r="U67" s="584">
        <v>63</v>
      </c>
      <c r="V67" s="584">
        <v>436.9224375</v>
      </c>
      <c r="W67" s="584">
        <v>132.30000000000001</v>
      </c>
      <c r="X67" s="584">
        <v>666.351</v>
      </c>
      <c r="Y67" s="584">
        <v>277.2</v>
      </c>
      <c r="Z67" s="584">
        <v>0.245</v>
      </c>
      <c r="AA67" s="584">
        <v>0.245</v>
      </c>
      <c r="AB67" s="584">
        <v>588</v>
      </c>
      <c r="AC67" s="584">
        <v>19</v>
      </c>
      <c r="AD67" s="584">
        <v>0</v>
      </c>
      <c r="AE67" s="584">
        <v>0</v>
      </c>
      <c r="AF67" s="584">
        <v>0</v>
      </c>
      <c r="AG67" s="584">
        <v>0</v>
      </c>
      <c r="AH67" s="584">
        <v>0</v>
      </c>
      <c r="AI67" s="584">
        <v>0</v>
      </c>
      <c r="AJ67" s="584">
        <v>0</v>
      </c>
      <c r="AK67" s="584">
        <v>0</v>
      </c>
      <c r="AL67" s="584">
        <v>0</v>
      </c>
      <c r="AM67" s="584">
        <v>0</v>
      </c>
      <c r="AN67" s="584">
        <v>0</v>
      </c>
      <c r="AO67" s="584">
        <v>234.06493750000001</v>
      </c>
      <c r="AP67" s="584">
        <v>63</v>
      </c>
      <c r="AQ67" s="584">
        <v>382.34868749999998</v>
      </c>
      <c r="AR67" s="584">
        <v>132.30000000000001</v>
      </c>
      <c r="AS67" s="584">
        <v>557.45100000000002</v>
      </c>
      <c r="AT67" s="584">
        <v>277.2</v>
      </c>
      <c r="AU67" s="584">
        <v>0.57499999999999996</v>
      </c>
      <c r="AV67" s="584">
        <v>0.315</v>
      </c>
      <c r="AW67" s="584">
        <v>516.93305773342797</v>
      </c>
      <c r="AX67" s="584">
        <v>30.810318068424799</v>
      </c>
      <c r="AY67" s="584">
        <v>0</v>
      </c>
      <c r="AZ67" s="584">
        <v>0</v>
      </c>
      <c r="BA67" s="584">
        <v>0</v>
      </c>
      <c r="BB67" s="584">
        <v>0</v>
      </c>
      <c r="BC67" s="584">
        <v>0</v>
      </c>
      <c r="BD67" s="584">
        <v>0</v>
      </c>
      <c r="BE67" s="584">
        <v>0</v>
      </c>
      <c r="BF67" s="584">
        <v>0</v>
      </c>
      <c r="BG67" s="584">
        <v>0.57499999999999996</v>
      </c>
      <c r="BH67" s="584">
        <v>0</v>
      </c>
      <c r="BI67" s="584">
        <v>0.45</v>
      </c>
      <c r="BJ67" s="584">
        <v>227.55009732715601</v>
      </c>
      <c r="BK67" s="584">
        <v>63</v>
      </c>
      <c r="BL67" s="584">
        <v>353.17039249821801</v>
      </c>
      <c r="BM67" s="584">
        <v>132.30000000000001</v>
      </c>
      <c r="BN67" s="584">
        <v>490.04567255880301</v>
      </c>
      <c r="BO67" s="584">
        <v>277.2</v>
      </c>
      <c r="BP67" s="584">
        <v>0.57499999999999996</v>
      </c>
      <c r="BQ67" s="584">
        <v>0.18</v>
      </c>
      <c r="BR67" s="584">
        <v>505.45937277262999</v>
      </c>
      <c r="BS67" s="584">
        <v>20.928191375623701</v>
      </c>
      <c r="BT67" s="584">
        <v>0</v>
      </c>
      <c r="BU67" s="584">
        <v>0</v>
      </c>
      <c r="BV67" s="584">
        <v>0</v>
      </c>
      <c r="BW67" s="584">
        <v>0</v>
      </c>
      <c r="BX67" s="584">
        <v>0</v>
      </c>
      <c r="BY67" s="584">
        <v>0</v>
      </c>
      <c r="BZ67" s="584">
        <v>0</v>
      </c>
      <c r="CA67" s="584">
        <v>0.47499999999999998</v>
      </c>
      <c r="CB67" s="584">
        <v>0.57499999999999996</v>
      </c>
      <c r="CC67" s="584">
        <v>0.3</v>
      </c>
      <c r="CD67" s="584">
        <v>0.3</v>
      </c>
      <c r="CE67" s="584">
        <v>223.76740000000001</v>
      </c>
      <c r="CF67" s="584">
        <v>63</v>
      </c>
      <c r="CG67" s="584">
        <v>351.413025</v>
      </c>
      <c r="CH67" s="584">
        <v>132.30000000000001</v>
      </c>
      <c r="CI67" s="584">
        <v>471.26490000000001</v>
      </c>
      <c r="CJ67" s="584">
        <v>277.2</v>
      </c>
      <c r="CK67" s="584">
        <v>0.6</v>
      </c>
      <c r="CL67" s="584">
        <v>0.24</v>
      </c>
      <c r="CM67" s="584">
        <v>628.60477548111203</v>
      </c>
      <c r="CN67" s="584">
        <v>23.172939237348501</v>
      </c>
      <c r="CO67" s="584">
        <v>0</v>
      </c>
      <c r="CP67" s="584">
        <v>0</v>
      </c>
      <c r="CQ67" s="584">
        <v>0</v>
      </c>
      <c r="CR67" s="584">
        <v>0</v>
      </c>
      <c r="CS67" s="584">
        <v>0</v>
      </c>
      <c r="CT67" s="584">
        <v>0</v>
      </c>
      <c r="CU67" s="584">
        <v>0</v>
      </c>
      <c r="CV67" s="584">
        <v>0</v>
      </c>
      <c r="CW67" s="584">
        <v>0.6</v>
      </c>
      <c r="CX67" s="584">
        <v>0</v>
      </c>
      <c r="CY67" s="584">
        <v>0.45</v>
      </c>
      <c r="CZ67" s="584">
        <v>252.82495</v>
      </c>
      <c r="DA67" s="584">
        <v>63</v>
      </c>
      <c r="DB67" s="584">
        <v>399.68369999999999</v>
      </c>
      <c r="DC67" s="584">
        <v>132.30000000000001</v>
      </c>
      <c r="DD67" s="584">
        <v>583.12620000000004</v>
      </c>
      <c r="DE67" s="584">
        <v>277.2</v>
      </c>
      <c r="DF67" s="584">
        <v>0.35</v>
      </c>
      <c r="DG67" s="584">
        <v>0.2</v>
      </c>
      <c r="DH67" s="584">
        <v>296.25735032074101</v>
      </c>
      <c r="DI67" s="584">
        <v>16.026481468282299</v>
      </c>
      <c r="DJ67" s="584">
        <v>300</v>
      </c>
      <c r="DK67" s="584">
        <v>0</v>
      </c>
      <c r="DL67" s="584">
        <v>0</v>
      </c>
      <c r="DM67" s="584">
        <v>0</v>
      </c>
      <c r="DN67" s="584">
        <v>0</v>
      </c>
      <c r="DO67" s="584">
        <v>0</v>
      </c>
      <c r="DP67" s="584">
        <v>0</v>
      </c>
      <c r="DQ67" s="584">
        <v>0</v>
      </c>
      <c r="DR67" s="584">
        <v>0.35</v>
      </c>
      <c r="DS67" s="584">
        <v>0</v>
      </c>
      <c r="DT67" s="584">
        <v>2.4</v>
      </c>
      <c r="DU67" s="584">
        <v>217.01650000000001</v>
      </c>
      <c r="DV67" s="584">
        <v>63</v>
      </c>
      <c r="DW67" s="584">
        <v>385.09899999999999</v>
      </c>
      <c r="DX67" s="584">
        <v>132.30000000000001</v>
      </c>
      <c r="DY67" s="584">
        <v>518.38649999999996</v>
      </c>
      <c r="DZ67" s="584">
        <v>277.2</v>
      </c>
      <c r="EA67" s="1062">
        <v>0.84250000000000003</v>
      </c>
      <c r="EB67" s="1046">
        <v>0.3</v>
      </c>
      <c r="EC67" s="1093">
        <v>132.51783893985731</v>
      </c>
      <c r="ED67" s="1046">
        <v>0</v>
      </c>
      <c r="EE67" s="1046">
        <v>397.55351681957183</v>
      </c>
      <c r="EF67" s="1046">
        <v>25.12083333333333</v>
      </c>
      <c r="EG67" s="1046">
        <v>0</v>
      </c>
      <c r="EH67" s="1046">
        <v>0</v>
      </c>
      <c r="EI67" s="1046" t="s">
        <v>423</v>
      </c>
      <c r="EJ67" s="1046" t="s">
        <v>475</v>
      </c>
      <c r="EK67" s="1046">
        <v>0</v>
      </c>
      <c r="EL67" s="1046">
        <v>0</v>
      </c>
      <c r="EM67" s="1046">
        <v>0</v>
      </c>
      <c r="EN67" s="1046">
        <v>0</v>
      </c>
      <c r="EO67" s="1046">
        <v>0</v>
      </c>
      <c r="EP67" s="1094">
        <v>112.43583674999999</v>
      </c>
      <c r="EQ67" s="1094">
        <v>63</v>
      </c>
      <c r="ER67" s="1094">
        <v>224.87167349999999</v>
      </c>
      <c r="ES67" s="1095">
        <v>126</v>
      </c>
      <c r="ET67" s="1094">
        <v>449.74334699999997</v>
      </c>
      <c r="EU67" s="1094">
        <v>252</v>
      </c>
      <c r="EV67" s="1096">
        <v>0.68670000000000009</v>
      </c>
      <c r="EW67" s="1097">
        <v>0.15</v>
      </c>
      <c r="EX67" s="1096">
        <v>289.50050968399592</v>
      </c>
      <c r="EY67" s="1096">
        <v>1.5443934760448521</v>
      </c>
      <c r="EZ67" s="1096">
        <v>0</v>
      </c>
      <c r="FA67" s="1096">
        <v>22.472222222222221</v>
      </c>
      <c r="FB67" s="1098">
        <v>0</v>
      </c>
      <c r="FC67" s="1098">
        <v>0</v>
      </c>
      <c r="FD67" s="1098" t="s">
        <v>429</v>
      </c>
      <c r="FE67" s="1098" t="s">
        <v>481</v>
      </c>
      <c r="FF67" s="1098">
        <v>2</v>
      </c>
      <c r="FG67" s="1098">
        <v>0</v>
      </c>
      <c r="FH67" s="1098">
        <v>0</v>
      </c>
      <c r="FI67" s="1098">
        <v>0</v>
      </c>
      <c r="FJ67" s="1098">
        <v>0</v>
      </c>
      <c r="FK67" s="1096">
        <v>71.740853999999999</v>
      </c>
      <c r="FL67" s="1096">
        <v>63</v>
      </c>
      <c r="FM67" s="1096">
        <v>143.481708</v>
      </c>
      <c r="FN67" s="1096">
        <v>126</v>
      </c>
      <c r="FO67" s="1096">
        <v>286.963416</v>
      </c>
      <c r="FP67" s="1099">
        <v>252</v>
      </c>
      <c r="FQ67" s="1064">
        <v>0.98803999999999992</v>
      </c>
      <c r="FR67" s="1065">
        <v>0.15</v>
      </c>
      <c r="FS67" s="1066">
        <v>289.50050968399586</v>
      </c>
      <c r="FT67" s="1066">
        <v>3.1935353236673123</v>
      </c>
      <c r="FU67" s="1065"/>
      <c r="FV67" s="1066">
        <v>46.518929173610935</v>
      </c>
      <c r="FW67" s="1065"/>
      <c r="FX67" s="1065"/>
      <c r="FY67" s="1065" t="s">
        <v>416</v>
      </c>
      <c r="FZ67" s="1065" t="s">
        <v>490</v>
      </c>
      <c r="GA67" s="1065">
        <v>3</v>
      </c>
      <c r="GB67" s="1065"/>
      <c r="GC67" s="1065"/>
      <c r="GD67" s="1065"/>
      <c r="GE67" s="1065"/>
      <c r="GF67" s="1066">
        <v>74.298226980929385</v>
      </c>
      <c r="GG67" s="1066">
        <v>63</v>
      </c>
      <c r="GH67" s="1066">
        <v>148.59645396185877</v>
      </c>
      <c r="GI67" s="1066">
        <v>126</v>
      </c>
      <c r="GJ67" s="1066">
        <v>297.19290792371754</v>
      </c>
      <c r="GK67" s="1066">
        <v>252</v>
      </c>
      <c r="GL67" s="584">
        <v>0.72860000000000003</v>
      </c>
      <c r="GM67" s="584">
        <v>0.13</v>
      </c>
      <c r="GN67" s="584"/>
      <c r="GO67" s="584"/>
      <c r="GP67" s="584"/>
      <c r="GQ67" s="584">
        <v>29.538888888888899</v>
      </c>
      <c r="GR67" s="584"/>
      <c r="GS67" s="584">
        <v>66.2589194699286</v>
      </c>
      <c r="GT67" s="584" t="s">
        <v>416</v>
      </c>
      <c r="GU67" s="584" t="s">
        <v>416</v>
      </c>
      <c r="GV67" s="584">
        <v>1</v>
      </c>
      <c r="GW67" s="584"/>
      <c r="GX67" s="584"/>
      <c r="GY67" s="584"/>
      <c r="GZ67" s="584"/>
      <c r="HA67" s="584">
        <v>31.315977</v>
      </c>
      <c r="HB67" s="584">
        <v>63</v>
      </c>
      <c r="HC67" s="584">
        <v>62.631954</v>
      </c>
      <c r="HD67" s="584">
        <v>126</v>
      </c>
      <c r="HE67" s="584">
        <v>125.263908</v>
      </c>
      <c r="HF67" s="584">
        <v>252</v>
      </c>
      <c r="HG67" s="1100">
        <v>0.99</v>
      </c>
      <c r="HH67" s="1100">
        <v>0.11</v>
      </c>
      <c r="HI67" s="1101">
        <v>0</v>
      </c>
      <c r="HJ67" s="1101">
        <v>0</v>
      </c>
      <c r="HK67" s="1101">
        <v>0</v>
      </c>
      <c r="HL67" s="1101">
        <v>0</v>
      </c>
      <c r="HM67" s="1101">
        <v>53.7</v>
      </c>
      <c r="HN67" s="1101">
        <v>54.999999999999993</v>
      </c>
      <c r="HO67" s="1101">
        <v>0</v>
      </c>
      <c r="HP67" s="1101">
        <v>0</v>
      </c>
      <c r="HQ67" s="1101">
        <v>3</v>
      </c>
      <c r="HR67" s="1101">
        <v>0.88</v>
      </c>
      <c r="HS67" s="1101">
        <v>0.6</v>
      </c>
      <c r="HT67" s="1101">
        <v>0.3</v>
      </c>
      <c r="HU67" s="1101">
        <v>0.3</v>
      </c>
      <c r="HV67" s="1101">
        <v>33.594245999999998</v>
      </c>
      <c r="HW67" s="1101">
        <v>63</v>
      </c>
      <c r="HX67" s="1101">
        <v>67.188491999999997</v>
      </c>
      <c r="HY67" s="1101">
        <v>126</v>
      </c>
      <c r="HZ67" s="1101">
        <v>134.37698399999999</v>
      </c>
      <c r="IA67" s="1101">
        <v>252</v>
      </c>
      <c r="IB67" s="1062"/>
      <c r="ID67" s="1050"/>
      <c r="IE67" s="1050"/>
      <c r="IF67" s="1103"/>
      <c r="IG67" s="1103"/>
      <c r="IH67" s="1103"/>
      <c r="II67" s="1103"/>
      <c r="IJ67" s="1103"/>
      <c r="IK67" s="1103"/>
      <c r="IL67" s="1103"/>
      <c r="IM67" s="1050"/>
      <c r="IN67" s="1050"/>
      <c r="IO67" s="1050"/>
      <c r="IP67" s="1050"/>
      <c r="IQ67" s="1103"/>
      <c r="IR67" s="1103"/>
      <c r="IS67" s="1103"/>
      <c r="IT67" s="1103"/>
      <c r="IU67" s="1103"/>
      <c r="IV67" s="1103"/>
      <c r="JU67" s="1050"/>
      <c r="JV67" s="1103"/>
      <c r="JW67" s="1103"/>
      <c r="JX67" s="1103"/>
      <c r="JY67" s="1103"/>
      <c r="JZ67" s="1103"/>
      <c r="KA67" s="1103"/>
      <c r="KB67" s="1103"/>
      <c r="KC67" s="1050"/>
      <c r="KD67" s="1050"/>
      <c r="KE67" s="1050"/>
      <c r="KF67" s="1050"/>
      <c r="KG67" s="1103"/>
      <c r="KH67" s="1103"/>
      <c r="KI67" s="1103"/>
      <c r="KJ67" s="1103"/>
      <c r="KK67" s="1103"/>
      <c r="KL67" s="1103"/>
      <c r="KM67" s="1103"/>
      <c r="KN67" s="1103"/>
    </row>
    <row r="68" spans="2:300">
      <c r="B68" s="1048" t="str">
        <f t="shared" si="2"/>
        <v>O810</v>
      </c>
      <c r="C68" s="1046">
        <v>8</v>
      </c>
      <c r="D68" s="1092">
        <v>10</v>
      </c>
      <c r="E68" s="584">
        <v>0.36</v>
      </c>
      <c r="F68" s="584">
        <v>0.36</v>
      </c>
      <c r="G68" s="584">
        <v>864</v>
      </c>
      <c r="H68" s="584">
        <v>24.12</v>
      </c>
      <c r="I68" s="584">
        <v>0</v>
      </c>
      <c r="J68" s="584">
        <v>0</v>
      </c>
      <c r="K68" s="584">
        <v>0</v>
      </c>
      <c r="L68" s="584">
        <v>0</v>
      </c>
      <c r="M68" s="584">
        <v>0</v>
      </c>
      <c r="N68" s="584">
        <v>0</v>
      </c>
      <c r="O68" s="584">
        <v>0</v>
      </c>
      <c r="P68" s="584">
        <v>0</v>
      </c>
      <c r="Q68" s="584">
        <v>0</v>
      </c>
      <c r="R68" s="584">
        <v>0</v>
      </c>
      <c r="S68" s="584">
        <v>0</v>
      </c>
      <c r="T68" s="584">
        <v>316.81743749999998</v>
      </c>
      <c r="U68" s="584">
        <v>70</v>
      </c>
      <c r="V68" s="584">
        <v>551.05743749999999</v>
      </c>
      <c r="W68" s="584">
        <v>147</v>
      </c>
      <c r="X68" s="584">
        <v>871.39099999999996</v>
      </c>
      <c r="Y68" s="584">
        <v>308</v>
      </c>
      <c r="Z68" s="584">
        <v>0.28000000000000003</v>
      </c>
      <c r="AA68" s="584">
        <v>0.28000000000000003</v>
      </c>
      <c r="AB68" s="584">
        <v>672</v>
      </c>
      <c r="AC68" s="584">
        <v>19</v>
      </c>
      <c r="AD68" s="584">
        <v>0</v>
      </c>
      <c r="AE68" s="584">
        <v>0</v>
      </c>
      <c r="AF68" s="584">
        <v>0</v>
      </c>
      <c r="AG68" s="584">
        <v>0</v>
      </c>
      <c r="AH68" s="584">
        <v>0</v>
      </c>
      <c r="AI68" s="584">
        <v>0</v>
      </c>
      <c r="AJ68" s="584">
        <v>0</v>
      </c>
      <c r="AK68" s="584">
        <v>0</v>
      </c>
      <c r="AL68" s="584">
        <v>0</v>
      </c>
      <c r="AM68" s="584">
        <v>0</v>
      </c>
      <c r="AN68" s="584">
        <v>0</v>
      </c>
      <c r="AO68" s="584">
        <v>273.13743749999998</v>
      </c>
      <c r="AP68" s="584">
        <v>70</v>
      </c>
      <c r="AQ68" s="584">
        <v>462.8574375</v>
      </c>
      <c r="AR68" s="584">
        <v>147</v>
      </c>
      <c r="AS68" s="584">
        <v>695.39099999999996</v>
      </c>
      <c r="AT68" s="584">
        <v>308</v>
      </c>
      <c r="AU68" s="584">
        <v>0.7</v>
      </c>
      <c r="AV68" s="584">
        <v>0.315</v>
      </c>
      <c r="AW68" s="584">
        <v>533.408177434908</v>
      </c>
      <c r="AX68" s="584">
        <v>30.471075216972</v>
      </c>
      <c r="AY68" s="584">
        <v>0</v>
      </c>
      <c r="AZ68" s="584">
        <v>0</v>
      </c>
      <c r="BA68" s="584">
        <v>0</v>
      </c>
      <c r="BB68" s="584">
        <v>0</v>
      </c>
      <c r="BC68" s="584">
        <v>0</v>
      </c>
      <c r="BD68" s="584">
        <v>0</v>
      </c>
      <c r="BE68" s="584">
        <v>0</v>
      </c>
      <c r="BF68" s="584">
        <v>0</v>
      </c>
      <c r="BG68" s="584">
        <v>0.7</v>
      </c>
      <c r="BH68" s="584">
        <v>0</v>
      </c>
      <c r="BI68" s="584">
        <v>0.45</v>
      </c>
      <c r="BJ68" s="584">
        <v>252.05192174542</v>
      </c>
      <c r="BK68" s="584">
        <v>70</v>
      </c>
      <c r="BL68" s="584">
        <v>399.75529679363598</v>
      </c>
      <c r="BM68" s="584">
        <v>147</v>
      </c>
      <c r="BN68" s="584">
        <v>563.21435630022495</v>
      </c>
      <c r="BO68" s="584">
        <v>308</v>
      </c>
      <c r="BP68" s="584">
        <v>0.72499999999999998</v>
      </c>
      <c r="BQ68" s="584">
        <v>0.19</v>
      </c>
      <c r="BR68" s="584">
        <v>545.38958534233404</v>
      </c>
      <c r="BS68" s="584">
        <v>25.674594985535201</v>
      </c>
      <c r="BT68" s="584">
        <v>0</v>
      </c>
      <c r="BU68" s="584">
        <v>0</v>
      </c>
      <c r="BV68" s="584">
        <v>0</v>
      </c>
      <c r="BW68" s="584">
        <v>0</v>
      </c>
      <c r="BX68" s="584">
        <v>0</v>
      </c>
      <c r="BY68" s="584">
        <v>0</v>
      </c>
      <c r="BZ68" s="584">
        <v>0</v>
      </c>
      <c r="CA68" s="584">
        <v>0.47499999999999998</v>
      </c>
      <c r="CB68" s="584">
        <v>0.72499999999999998</v>
      </c>
      <c r="CC68" s="584">
        <v>0.3</v>
      </c>
      <c r="CD68" s="584">
        <v>0.3</v>
      </c>
      <c r="CE68" s="584">
        <v>252.61845</v>
      </c>
      <c r="CF68" s="584">
        <v>70</v>
      </c>
      <c r="CG68" s="584">
        <v>408.82657499999999</v>
      </c>
      <c r="CH68" s="584">
        <v>147</v>
      </c>
      <c r="CI68" s="584">
        <v>552.11220000000003</v>
      </c>
      <c r="CJ68" s="584">
        <v>308</v>
      </c>
      <c r="CK68" s="584">
        <v>0.7</v>
      </c>
      <c r="CL68" s="584">
        <v>0.24</v>
      </c>
      <c r="CM68" s="584">
        <v>642.80135004821602</v>
      </c>
      <c r="CN68" s="584">
        <v>23.250515911282498</v>
      </c>
      <c r="CO68" s="584">
        <v>0</v>
      </c>
      <c r="CP68" s="584">
        <v>0</v>
      </c>
      <c r="CQ68" s="584">
        <v>0</v>
      </c>
      <c r="CR68" s="584">
        <v>0</v>
      </c>
      <c r="CS68" s="584">
        <v>0</v>
      </c>
      <c r="CT68" s="584">
        <v>0</v>
      </c>
      <c r="CU68" s="584">
        <v>0</v>
      </c>
      <c r="CV68" s="584">
        <v>0</v>
      </c>
      <c r="CW68" s="584">
        <v>0.7</v>
      </c>
      <c r="CX68" s="584">
        <v>0</v>
      </c>
      <c r="CY68" s="584">
        <v>0.6</v>
      </c>
      <c r="CZ68" s="584">
        <v>280.10070000000002</v>
      </c>
      <c r="DA68" s="584">
        <v>70</v>
      </c>
      <c r="DB68" s="584">
        <v>450.44819999999999</v>
      </c>
      <c r="DC68" s="584">
        <v>147</v>
      </c>
      <c r="DD68" s="584">
        <v>658.02319999999997</v>
      </c>
      <c r="DE68" s="584">
        <v>308</v>
      </c>
      <c r="DF68" s="584">
        <v>0.42499999999999999</v>
      </c>
      <c r="DG68" s="584">
        <v>0.2</v>
      </c>
      <c r="DH68" s="584">
        <v>337.58498071359702</v>
      </c>
      <c r="DI68" s="584">
        <v>16.868287367406001</v>
      </c>
      <c r="DJ68" s="584">
        <v>300</v>
      </c>
      <c r="DK68" s="584">
        <v>0</v>
      </c>
      <c r="DL68" s="584">
        <v>0</v>
      </c>
      <c r="DM68" s="584">
        <v>0</v>
      </c>
      <c r="DN68" s="584">
        <v>0</v>
      </c>
      <c r="DO68" s="584">
        <v>0</v>
      </c>
      <c r="DP68" s="584">
        <v>0</v>
      </c>
      <c r="DQ68" s="584">
        <v>0</v>
      </c>
      <c r="DR68" s="584">
        <v>0.42499999999999999</v>
      </c>
      <c r="DS68" s="584">
        <v>0</v>
      </c>
      <c r="DT68" s="584">
        <v>2.4</v>
      </c>
      <c r="DU68" s="584">
        <v>238.73775000000001</v>
      </c>
      <c r="DV68" s="584">
        <v>70</v>
      </c>
      <c r="DW68" s="584">
        <v>436.45524999999998</v>
      </c>
      <c r="DX68" s="584">
        <v>147</v>
      </c>
      <c r="DY68" s="584">
        <v>619.84424999999999</v>
      </c>
      <c r="DZ68" s="584">
        <v>308</v>
      </c>
      <c r="EA68" s="1062">
        <v>0.85070000000000001</v>
      </c>
      <c r="EB68" s="1046">
        <v>0.3</v>
      </c>
      <c r="EC68" s="1093">
        <v>132.51783893985731</v>
      </c>
      <c r="ED68" s="1046">
        <v>0</v>
      </c>
      <c r="EE68" s="1046">
        <v>397.55351681957183</v>
      </c>
      <c r="EF68" s="1046">
        <v>27.425000000000001</v>
      </c>
      <c r="EG68" s="1046">
        <v>0</v>
      </c>
      <c r="EH68" s="1046">
        <v>0</v>
      </c>
      <c r="EI68" s="1046" t="s">
        <v>421</v>
      </c>
      <c r="EJ68" s="1046" t="s">
        <v>465</v>
      </c>
      <c r="EK68" s="1046">
        <v>0</v>
      </c>
      <c r="EL68" s="1046">
        <v>0</v>
      </c>
      <c r="EM68" s="1046">
        <v>0</v>
      </c>
      <c r="EN68" s="1046">
        <v>0</v>
      </c>
      <c r="EO68" s="1046">
        <v>0</v>
      </c>
      <c r="EP68" s="1094">
        <v>125.380785</v>
      </c>
      <c r="EQ68" s="1094">
        <v>70</v>
      </c>
      <c r="ER68" s="1094">
        <v>250.76157000000001</v>
      </c>
      <c r="ES68" s="1095">
        <v>140</v>
      </c>
      <c r="ET68" s="1094">
        <v>501.52314000000001</v>
      </c>
      <c r="EU68" s="1094">
        <v>280</v>
      </c>
      <c r="EV68" s="1096">
        <v>0.6895</v>
      </c>
      <c r="EW68" s="1097">
        <v>0.15</v>
      </c>
      <c r="EX68" s="1096">
        <v>289.50050968399592</v>
      </c>
      <c r="EY68" s="1096">
        <v>1.5443934760448521</v>
      </c>
      <c r="EZ68" s="1096">
        <v>0</v>
      </c>
      <c r="FA68" s="1096">
        <v>24.425000000000001</v>
      </c>
      <c r="FB68" s="1098">
        <v>0</v>
      </c>
      <c r="FC68" s="1098">
        <v>0</v>
      </c>
      <c r="FD68" s="1098" t="s">
        <v>428</v>
      </c>
      <c r="FE68" s="1098" t="s">
        <v>468</v>
      </c>
      <c r="FF68" s="1098">
        <v>2</v>
      </c>
      <c r="FG68" s="1098">
        <v>0</v>
      </c>
      <c r="FH68" s="1098">
        <v>0</v>
      </c>
      <c r="FI68" s="1098">
        <v>0</v>
      </c>
      <c r="FJ68" s="1098">
        <v>0</v>
      </c>
      <c r="FK68" s="1096">
        <v>80.09519499999999</v>
      </c>
      <c r="FL68" s="1096">
        <v>70</v>
      </c>
      <c r="FM68" s="1096">
        <v>160.19038999999998</v>
      </c>
      <c r="FN68" s="1096">
        <v>140</v>
      </c>
      <c r="FO68" s="1096">
        <v>320.38077999999996</v>
      </c>
      <c r="FP68" s="1099">
        <v>280</v>
      </c>
      <c r="FQ68" s="1064">
        <v>0.99419999999999997</v>
      </c>
      <c r="FR68" s="1065">
        <v>0.15</v>
      </c>
      <c r="FS68" s="1066">
        <v>289.50050968399586</v>
      </c>
      <c r="FT68" s="1066">
        <v>3.1935353236673123</v>
      </c>
      <c r="FU68" s="1065"/>
      <c r="FV68" s="1066">
        <v>48.875685657754467</v>
      </c>
      <c r="FW68" s="1065"/>
      <c r="FX68" s="1065"/>
      <c r="FY68" s="1065" t="s">
        <v>414</v>
      </c>
      <c r="FZ68" s="1065" t="s">
        <v>481</v>
      </c>
      <c r="GA68" s="1065">
        <v>3</v>
      </c>
      <c r="GB68" s="1065"/>
      <c r="GC68" s="1065"/>
      <c r="GD68" s="1065"/>
      <c r="GE68" s="1065"/>
      <c r="GF68" s="1066">
        <v>83.015981156554943</v>
      </c>
      <c r="GG68" s="1066">
        <v>70</v>
      </c>
      <c r="GH68" s="1066">
        <v>166.03196231310989</v>
      </c>
      <c r="GI68" s="1066">
        <v>140</v>
      </c>
      <c r="GJ68" s="1066">
        <v>332.06392462621977</v>
      </c>
      <c r="GK68" s="1066">
        <v>280</v>
      </c>
      <c r="GL68" s="584">
        <v>0.73740000000000006</v>
      </c>
      <c r="GM68" s="584">
        <v>0.13</v>
      </c>
      <c r="GN68" s="584"/>
      <c r="GO68" s="584"/>
      <c r="GP68" s="584"/>
      <c r="GQ68" s="584">
        <v>33.255000000000003</v>
      </c>
      <c r="GR68" s="584"/>
      <c r="GS68" s="584">
        <v>66.2589194699286</v>
      </c>
      <c r="GT68" s="584" t="s">
        <v>416</v>
      </c>
      <c r="GU68" s="584" t="s">
        <v>412</v>
      </c>
      <c r="GV68" s="584">
        <v>1</v>
      </c>
      <c r="GW68" s="584"/>
      <c r="GX68" s="584"/>
      <c r="GY68" s="584"/>
      <c r="GZ68" s="584"/>
      <c r="HA68" s="584">
        <v>35.524630999999999</v>
      </c>
      <c r="HB68" s="584">
        <v>70</v>
      </c>
      <c r="HC68" s="584">
        <v>71.049261999999999</v>
      </c>
      <c r="HD68" s="584">
        <v>140</v>
      </c>
      <c r="HE68" s="584">
        <v>142.098524</v>
      </c>
      <c r="HF68" s="584">
        <v>280</v>
      </c>
      <c r="HG68" s="1100">
        <v>1.07</v>
      </c>
      <c r="HH68" s="1100">
        <v>0.11</v>
      </c>
      <c r="HI68" s="1101">
        <v>0</v>
      </c>
      <c r="HJ68" s="1101">
        <v>0</v>
      </c>
      <c r="HK68" s="1101">
        <v>0</v>
      </c>
      <c r="HL68" s="1101">
        <v>0</v>
      </c>
      <c r="HM68" s="1101">
        <v>55.08</v>
      </c>
      <c r="HN68" s="1101">
        <v>54.999999999999993</v>
      </c>
      <c r="HO68" s="1101">
        <v>0</v>
      </c>
      <c r="HP68" s="1101">
        <v>0</v>
      </c>
      <c r="HQ68" s="1101">
        <v>3</v>
      </c>
      <c r="HR68" s="1101">
        <v>0.96</v>
      </c>
      <c r="HS68" s="1101">
        <v>0.72</v>
      </c>
      <c r="HT68" s="1101">
        <v>0.3</v>
      </c>
      <c r="HU68" s="1101">
        <v>0.26</v>
      </c>
      <c r="HV68" s="1101">
        <v>37.597695999999999</v>
      </c>
      <c r="HW68" s="1101">
        <v>70</v>
      </c>
      <c r="HX68" s="1101">
        <v>75.195391999999998</v>
      </c>
      <c r="HY68" s="1101">
        <v>140</v>
      </c>
      <c r="HZ68" s="1101">
        <v>150.390784</v>
      </c>
      <c r="IA68" s="1101">
        <v>280</v>
      </c>
      <c r="IB68" s="1062"/>
      <c r="IC68" s="1092"/>
      <c r="ID68" s="1050"/>
      <c r="IE68" s="1050"/>
      <c r="IF68" s="1103"/>
      <c r="IG68" s="1103"/>
      <c r="IH68" s="1103"/>
      <c r="II68" s="1103"/>
      <c r="IJ68" s="1103"/>
      <c r="IK68" s="1103"/>
      <c r="IL68" s="1103"/>
      <c r="IM68" s="1050"/>
      <c r="IN68" s="1050"/>
      <c r="IO68" s="1050"/>
      <c r="IP68" s="1050"/>
      <c r="IQ68" s="1103"/>
      <c r="IR68" s="1103"/>
      <c r="IS68" s="1103"/>
      <c r="IT68" s="1103"/>
      <c r="IU68" s="1103"/>
      <c r="IV68" s="1103"/>
      <c r="JS68" s="1092"/>
      <c r="JU68" s="1050"/>
      <c r="JV68" s="1103"/>
      <c r="JW68" s="1103"/>
      <c r="JX68" s="1103"/>
      <c r="JY68" s="1103"/>
      <c r="JZ68" s="1103"/>
      <c r="KA68" s="1103"/>
      <c r="KB68" s="1103"/>
      <c r="KC68" s="1050"/>
      <c r="KD68" s="1050"/>
      <c r="KE68" s="1050"/>
      <c r="KF68" s="1050"/>
      <c r="KG68" s="1103"/>
      <c r="KH68" s="1103"/>
      <c r="KI68" s="1103"/>
      <c r="KJ68" s="1103"/>
      <c r="KK68" s="1103"/>
      <c r="KL68" s="1103"/>
      <c r="KM68" s="1103"/>
      <c r="KN68" s="1103"/>
    </row>
    <row r="69" spans="2:300">
      <c r="B69" s="1048" t="str">
        <f t="shared" si="2"/>
        <v>O811</v>
      </c>
      <c r="C69" s="1046">
        <v>8</v>
      </c>
      <c r="D69" s="1092">
        <v>11</v>
      </c>
      <c r="E69" s="584">
        <v>0.40500000000000003</v>
      </c>
      <c r="F69" s="584">
        <v>0.40500000000000003</v>
      </c>
      <c r="G69" s="584">
        <v>972</v>
      </c>
      <c r="H69" s="584">
        <v>25.515000000000001</v>
      </c>
      <c r="I69" s="584">
        <v>0</v>
      </c>
      <c r="J69" s="584">
        <v>0</v>
      </c>
      <c r="K69" s="584">
        <v>0</v>
      </c>
      <c r="L69" s="584">
        <v>0</v>
      </c>
      <c r="M69" s="584">
        <v>0</v>
      </c>
      <c r="N69" s="584">
        <v>0</v>
      </c>
      <c r="O69" s="584">
        <v>0</v>
      </c>
      <c r="P69" s="584">
        <v>0</v>
      </c>
      <c r="Q69" s="584">
        <v>0</v>
      </c>
      <c r="R69" s="584">
        <v>0</v>
      </c>
      <c r="S69" s="584">
        <v>0</v>
      </c>
      <c r="T69" s="584">
        <v>369.74993749999999</v>
      </c>
      <c r="U69" s="584">
        <v>77</v>
      </c>
      <c r="V69" s="584">
        <v>660.23118750000003</v>
      </c>
      <c r="W69" s="584">
        <v>161.69999999999999</v>
      </c>
      <c r="X69" s="584">
        <v>1066.5309999999999</v>
      </c>
      <c r="Y69" s="584">
        <v>338.8</v>
      </c>
      <c r="Z69" s="584">
        <v>0.315</v>
      </c>
      <c r="AA69" s="584">
        <v>0.315</v>
      </c>
      <c r="AB69" s="584">
        <v>756</v>
      </c>
      <c r="AC69" s="584">
        <v>21</v>
      </c>
      <c r="AD69" s="584">
        <v>0</v>
      </c>
      <c r="AE69" s="584">
        <v>0</v>
      </c>
      <c r="AF69" s="584">
        <v>0</v>
      </c>
      <c r="AG69" s="584">
        <v>0</v>
      </c>
      <c r="AH69" s="584">
        <v>0</v>
      </c>
      <c r="AI69" s="584">
        <v>0</v>
      </c>
      <c r="AJ69" s="584">
        <v>0</v>
      </c>
      <c r="AK69" s="584">
        <v>0</v>
      </c>
      <c r="AL69" s="584">
        <v>0</v>
      </c>
      <c r="AM69" s="584">
        <v>0</v>
      </c>
      <c r="AN69" s="584">
        <v>0</v>
      </c>
      <c r="AO69" s="584">
        <v>315.88493749999998</v>
      </c>
      <c r="AP69" s="584">
        <v>77</v>
      </c>
      <c r="AQ69" s="584">
        <v>551.0836875</v>
      </c>
      <c r="AR69" s="584">
        <v>161.69999999999999</v>
      </c>
      <c r="AS69" s="584">
        <v>848.73099999999999</v>
      </c>
      <c r="AT69" s="584">
        <v>338.8</v>
      </c>
      <c r="AU69" s="584">
        <v>0.8</v>
      </c>
      <c r="AV69" s="584">
        <v>0.315</v>
      </c>
      <c r="AW69" s="584">
        <v>558.48112412178</v>
      </c>
      <c r="AX69" s="584">
        <v>30.685312499999998</v>
      </c>
      <c r="AY69" s="584">
        <v>0</v>
      </c>
      <c r="AZ69" s="584">
        <v>0</v>
      </c>
      <c r="BA69" s="584">
        <v>0</v>
      </c>
      <c r="BB69" s="584">
        <v>0</v>
      </c>
      <c r="BC69" s="584">
        <v>0</v>
      </c>
      <c r="BD69" s="584">
        <v>0</v>
      </c>
      <c r="BE69" s="584">
        <v>0</v>
      </c>
      <c r="BF69" s="584">
        <v>0</v>
      </c>
      <c r="BG69" s="584">
        <v>0.8</v>
      </c>
      <c r="BH69" s="584">
        <v>0</v>
      </c>
      <c r="BI69" s="584">
        <v>0.45</v>
      </c>
      <c r="BJ69" s="584">
        <v>280.73447694672097</v>
      </c>
      <c r="BK69" s="584">
        <v>77</v>
      </c>
      <c r="BL69" s="584">
        <v>451.66149144467198</v>
      </c>
      <c r="BM69" s="584">
        <v>161.69999999999999</v>
      </c>
      <c r="BN69" s="584">
        <v>636.18357295082001</v>
      </c>
      <c r="BO69" s="584">
        <v>338.8</v>
      </c>
      <c r="BP69" s="584">
        <v>0.85</v>
      </c>
      <c r="BQ69" s="584">
        <v>0.19500000000000001</v>
      </c>
      <c r="BR69" s="584">
        <v>575.44013466042202</v>
      </c>
      <c r="BS69" s="584">
        <v>31.9790910421546</v>
      </c>
      <c r="BT69" s="584">
        <v>0</v>
      </c>
      <c r="BU69" s="584">
        <v>0</v>
      </c>
      <c r="BV69" s="584">
        <v>0</v>
      </c>
      <c r="BW69" s="584">
        <v>0</v>
      </c>
      <c r="BX69" s="584">
        <v>0</v>
      </c>
      <c r="BY69" s="584">
        <v>0</v>
      </c>
      <c r="BZ69" s="584">
        <v>0</v>
      </c>
      <c r="CA69" s="584">
        <v>0.47499999999999998</v>
      </c>
      <c r="CB69" s="584">
        <v>0.85</v>
      </c>
      <c r="CC69" s="584">
        <v>0.3</v>
      </c>
      <c r="CD69" s="584">
        <v>0.3</v>
      </c>
      <c r="CE69" s="584">
        <v>282.38810000000001</v>
      </c>
      <c r="CF69" s="584">
        <v>77</v>
      </c>
      <c r="CG69" s="584">
        <v>464.47747500000003</v>
      </c>
      <c r="CH69" s="584">
        <v>161.69999999999999</v>
      </c>
      <c r="CI69" s="584">
        <v>626.10310000000004</v>
      </c>
      <c r="CJ69" s="584">
        <v>338.8</v>
      </c>
      <c r="CK69" s="584">
        <v>0.82499999999999996</v>
      </c>
      <c r="CL69" s="584">
        <v>0.24</v>
      </c>
      <c r="CM69" s="584">
        <v>659.31059718969595</v>
      </c>
      <c r="CN69" s="584">
        <v>23.4140273711944</v>
      </c>
      <c r="CO69" s="584">
        <v>0</v>
      </c>
      <c r="CP69" s="584">
        <v>0</v>
      </c>
      <c r="CQ69" s="584">
        <v>0</v>
      </c>
      <c r="CR69" s="584">
        <v>0</v>
      </c>
      <c r="CS69" s="584">
        <v>0</v>
      </c>
      <c r="CT69" s="584">
        <v>0</v>
      </c>
      <c r="CU69" s="584">
        <v>0</v>
      </c>
      <c r="CV69" s="584">
        <v>0</v>
      </c>
      <c r="CW69" s="584">
        <v>0.82499999999999996</v>
      </c>
      <c r="CX69" s="584">
        <v>0</v>
      </c>
      <c r="CY69" s="584">
        <v>0.6</v>
      </c>
      <c r="CZ69" s="584">
        <v>308.06569999999999</v>
      </c>
      <c r="DA69" s="584">
        <v>77</v>
      </c>
      <c r="DB69" s="584">
        <v>502.65195</v>
      </c>
      <c r="DC69" s="584">
        <v>161.69999999999999</v>
      </c>
      <c r="DD69" s="584">
        <v>738.20320000000004</v>
      </c>
      <c r="DE69" s="584">
        <v>338.8</v>
      </c>
      <c r="DF69" s="584">
        <v>0.47499999999999998</v>
      </c>
      <c r="DG69" s="584">
        <v>0.2</v>
      </c>
      <c r="DH69" s="584">
        <v>381.73869291569099</v>
      </c>
      <c r="DI69" s="584">
        <v>18.431788495316201</v>
      </c>
      <c r="DJ69" s="584">
        <v>300</v>
      </c>
      <c r="DK69" s="584">
        <v>0</v>
      </c>
      <c r="DL69" s="584">
        <v>0</v>
      </c>
      <c r="DM69" s="584">
        <v>0</v>
      </c>
      <c r="DN69" s="584">
        <v>0</v>
      </c>
      <c r="DO69" s="584">
        <v>0</v>
      </c>
      <c r="DP69" s="584">
        <v>0</v>
      </c>
      <c r="DQ69" s="584">
        <v>0</v>
      </c>
      <c r="DR69" s="584">
        <v>0.47499999999999998</v>
      </c>
      <c r="DS69" s="584">
        <v>0</v>
      </c>
      <c r="DT69" s="584">
        <v>2.4</v>
      </c>
      <c r="DU69" s="584">
        <v>270.71449999999999</v>
      </c>
      <c r="DV69" s="584">
        <v>77</v>
      </c>
      <c r="DW69" s="584">
        <v>484.30450000000002</v>
      </c>
      <c r="DX69" s="584">
        <v>161.69999999999999</v>
      </c>
      <c r="DY69" s="584">
        <v>713.86275000000001</v>
      </c>
      <c r="DZ69" s="584">
        <v>338.8</v>
      </c>
      <c r="EA69" s="1062">
        <v>0.9103</v>
      </c>
      <c r="EB69" s="1046">
        <v>0.35</v>
      </c>
      <c r="EC69" s="1093">
        <v>132.51783893985731</v>
      </c>
      <c r="ED69" s="1046">
        <v>0</v>
      </c>
      <c r="EE69" s="1046">
        <v>458.71559633027522</v>
      </c>
      <c r="EF69" s="1046">
        <v>32.178409090909092</v>
      </c>
      <c r="EG69" s="1046">
        <v>0</v>
      </c>
      <c r="EH69" s="1046">
        <v>0</v>
      </c>
      <c r="EI69" s="1046" t="s">
        <v>420</v>
      </c>
      <c r="EJ69" s="1046" t="s">
        <v>445</v>
      </c>
      <c r="EK69" s="1046">
        <v>0</v>
      </c>
      <c r="EL69" s="1046">
        <v>0</v>
      </c>
      <c r="EM69" s="1046">
        <v>0</v>
      </c>
      <c r="EN69" s="1046">
        <v>0</v>
      </c>
      <c r="EO69" s="1046">
        <v>0</v>
      </c>
      <c r="EP69" s="1094">
        <v>152.14474425</v>
      </c>
      <c r="EQ69" s="1094">
        <v>77</v>
      </c>
      <c r="ER69" s="1094">
        <v>304.2894885</v>
      </c>
      <c r="ES69" s="1095">
        <v>154</v>
      </c>
      <c r="ET69" s="1094">
        <v>608.57897700000001</v>
      </c>
      <c r="EU69" s="1094">
        <v>308</v>
      </c>
      <c r="EV69" s="1096">
        <v>0.75760000000000005</v>
      </c>
      <c r="EW69" s="1097">
        <v>0.15</v>
      </c>
      <c r="EX69" s="1096">
        <v>289.50050968399592</v>
      </c>
      <c r="EY69" s="1096">
        <v>1.5443934760448521</v>
      </c>
      <c r="EZ69" s="1096">
        <v>0</v>
      </c>
      <c r="FA69" s="1096">
        <v>23.347727272727273</v>
      </c>
      <c r="FB69" s="1098">
        <v>0</v>
      </c>
      <c r="FC69" s="1098">
        <v>0</v>
      </c>
      <c r="FD69" s="1098" t="s">
        <v>408</v>
      </c>
      <c r="FE69" s="1098" t="s">
        <v>461</v>
      </c>
      <c r="FF69" s="1098">
        <v>2</v>
      </c>
      <c r="FG69" s="1098">
        <v>0</v>
      </c>
      <c r="FH69" s="1098">
        <v>0</v>
      </c>
      <c r="FI69" s="1098">
        <v>0</v>
      </c>
      <c r="FJ69" s="1098">
        <v>0</v>
      </c>
      <c r="FK69" s="1096">
        <v>87.872217500000005</v>
      </c>
      <c r="FL69" s="1096">
        <v>77</v>
      </c>
      <c r="FM69" s="1096">
        <v>175.74443500000001</v>
      </c>
      <c r="FN69" s="1096">
        <v>154</v>
      </c>
      <c r="FO69" s="1096">
        <v>351.48887000000002</v>
      </c>
      <c r="FP69" s="1099">
        <v>308</v>
      </c>
      <c r="FQ69" s="1064">
        <v>1.00708</v>
      </c>
      <c r="FR69" s="1065">
        <v>0.15</v>
      </c>
      <c r="FS69" s="1066">
        <v>289.50050968399586</v>
      </c>
      <c r="FT69" s="1066">
        <v>3.1935353236673123</v>
      </c>
      <c r="FU69" s="1065"/>
      <c r="FV69" s="1066">
        <v>55.086519706468025</v>
      </c>
      <c r="FW69" s="1065"/>
      <c r="FX69" s="1065"/>
      <c r="FY69" s="1065" t="s">
        <v>406</v>
      </c>
      <c r="FZ69" s="1065" t="s">
        <v>461</v>
      </c>
      <c r="GA69" s="1065">
        <v>3</v>
      </c>
      <c r="GB69" s="1065"/>
      <c r="GC69" s="1065"/>
      <c r="GD69" s="1065"/>
      <c r="GE69" s="1065"/>
      <c r="GF69" s="1066">
        <v>92.658001476603815</v>
      </c>
      <c r="GG69" s="1066">
        <v>77</v>
      </c>
      <c r="GH69" s="1066">
        <v>185.31600295320763</v>
      </c>
      <c r="GI69" s="1066">
        <v>154</v>
      </c>
      <c r="GJ69" s="1066">
        <v>370.63200590641526</v>
      </c>
      <c r="GK69" s="1066">
        <v>308</v>
      </c>
      <c r="GL69" s="584">
        <v>0.80789999999999995</v>
      </c>
      <c r="GM69" s="584">
        <v>0.13</v>
      </c>
      <c r="GN69" s="584"/>
      <c r="GO69" s="584"/>
      <c r="GP69" s="584"/>
      <c r="GQ69" s="584">
        <v>38.736363636363599</v>
      </c>
      <c r="GR69" s="584"/>
      <c r="GS69" s="584">
        <v>66.2589194699286</v>
      </c>
      <c r="GT69" s="584" t="s">
        <v>416</v>
      </c>
      <c r="GU69" s="584" t="s">
        <v>396</v>
      </c>
      <c r="GV69" s="584">
        <v>1</v>
      </c>
      <c r="GW69" s="584"/>
      <c r="GX69" s="584"/>
      <c r="GY69" s="584"/>
      <c r="GZ69" s="584"/>
      <c r="HA69" s="584">
        <v>40.260081999999997</v>
      </c>
      <c r="HB69" s="584">
        <v>77</v>
      </c>
      <c r="HC69" s="584">
        <v>80.520163999999994</v>
      </c>
      <c r="HD69" s="584">
        <v>154</v>
      </c>
      <c r="HE69" s="584">
        <v>161.04032799999999</v>
      </c>
      <c r="HF69" s="584">
        <v>308</v>
      </c>
      <c r="HG69" s="1100">
        <v>1.1900000000000002</v>
      </c>
      <c r="HH69" s="1100">
        <v>0.11</v>
      </c>
      <c r="HI69" s="1101">
        <v>0</v>
      </c>
      <c r="HJ69" s="1101">
        <v>0</v>
      </c>
      <c r="HK69" s="1101">
        <v>0</v>
      </c>
      <c r="HL69" s="1101">
        <v>0</v>
      </c>
      <c r="HM69" s="1101">
        <v>63.654545454545456</v>
      </c>
      <c r="HN69" s="1101">
        <v>54.999999999999993</v>
      </c>
      <c r="HO69" s="1101">
        <v>0</v>
      </c>
      <c r="HP69" s="1101">
        <v>0</v>
      </c>
      <c r="HQ69" s="1101">
        <v>3</v>
      </c>
      <c r="HR69" s="1101">
        <v>1.08</v>
      </c>
      <c r="HS69" s="1101">
        <v>0.8</v>
      </c>
      <c r="HT69" s="1101">
        <v>0.3</v>
      </c>
      <c r="HU69" s="1101">
        <v>0.28000000000000003</v>
      </c>
      <c r="HV69" s="1101">
        <v>43.208024000000002</v>
      </c>
      <c r="HW69" s="1101">
        <v>77</v>
      </c>
      <c r="HX69" s="1101">
        <v>86.416048000000004</v>
      </c>
      <c r="HY69" s="1101">
        <v>154</v>
      </c>
      <c r="HZ69" s="1101">
        <v>172.83209600000001</v>
      </c>
      <c r="IA69" s="1101">
        <v>308</v>
      </c>
      <c r="IB69" s="1062"/>
      <c r="IC69" s="1092"/>
      <c r="ID69" s="1050"/>
      <c r="IE69" s="1050"/>
      <c r="IF69" s="1103"/>
      <c r="IG69" s="1103"/>
      <c r="IH69" s="1103"/>
      <c r="II69" s="1103"/>
      <c r="IJ69" s="1103"/>
      <c r="IK69" s="1103"/>
      <c r="IL69" s="1103"/>
      <c r="IM69" s="1050"/>
      <c r="IN69" s="1050"/>
      <c r="IO69" s="1050"/>
      <c r="IP69" s="1050"/>
      <c r="IQ69" s="1103"/>
      <c r="IR69" s="1103"/>
      <c r="IS69" s="1103"/>
      <c r="IT69" s="1103"/>
      <c r="IU69" s="1103"/>
      <c r="IV69" s="1103"/>
      <c r="JS69" s="1092"/>
      <c r="JU69" s="1050"/>
      <c r="JV69" s="1103"/>
      <c r="JW69" s="1103"/>
      <c r="JX69" s="1103"/>
      <c r="JY69" s="1103"/>
      <c r="JZ69" s="1103"/>
      <c r="KA69" s="1103"/>
      <c r="KB69" s="1103"/>
      <c r="KC69" s="1050"/>
      <c r="KD69" s="1050"/>
      <c r="KE69" s="1050"/>
      <c r="KF69" s="1050"/>
      <c r="KG69" s="1103"/>
      <c r="KH69" s="1103"/>
      <c r="KI69" s="1103"/>
      <c r="KJ69" s="1103"/>
      <c r="KK69" s="1103"/>
      <c r="KL69" s="1103"/>
      <c r="KM69" s="1103"/>
      <c r="KN69" s="1103"/>
    </row>
    <row r="70" spans="2:300">
      <c r="B70" s="1048" t="str">
        <f t="shared" si="2"/>
        <v>O812</v>
      </c>
      <c r="C70" s="1046">
        <v>8</v>
      </c>
      <c r="D70" s="1092">
        <v>12</v>
      </c>
      <c r="E70" s="584">
        <v>0.47</v>
      </c>
      <c r="F70" s="584">
        <v>0.47</v>
      </c>
      <c r="G70" s="584">
        <v>1128</v>
      </c>
      <c r="H70" s="584">
        <v>27.26</v>
      </c>
      <c r="I70" s="584">
        <v>0</v>
      </c>
      <c r="J70" s="584">
        <v>0</v>
      </c>
      <c r="K70" s="584">
        <v>0</v>
      </c>
      <c r="L70" s="584">
        <v>0</v>
      </c>
      <c r="M70" s="584">
        <v>0</v>
      </c>
      <c r="N70" s="584">
        <v>0</v>
      </c>
      <c r="O70" s="584">
        <v>0</v>
      </c>
      <c r="P70" s="584">
        <v>0</v>
      </c>
      <c r="Q70" s="584">
        <v>0</v>
      </c>
      <c r="R70" s="584">
        <v>0</v>
      </c>
      <c r="S70" s="584">
        <v>0</v>
      </c>
      <c r="T70" s="584">
        <v>440.4274375</v>
      </c>
      <c r="U70" s="584">
        <v>84</v>
      </c>
      <c r="V70" s="584">
        <v>806.97375</v>
      </c>
      <c r="W70" s="584">
        <v>176.4</v>
      </c>
      <c r="X70" s="584">
        <v>1334.271</v>
      </c>
      <c r="Y70" s="584">
        <v>369.6</v>
      </c>
      <c r="Z70" s="584">
        <v>0.34499999999999997</v>
      </c>
      <c r="AA70" s="584">
        <v>0.34499999999999997</v>
      </c>
      <c r="AB70" s="584">
        <v>828</v>
      </c>
      <c r="AC70" s="584">
        <v>21</v>
      </c>
      <c r="AD70" s="584">
        <v>0</v>
      </c>
      <c r="AE70" s="584">
        <v>0</v>
      </c>
      <c r="AF70" s="584">
        <v>0</v>
      </c>
      <c r="AG70" s="584">
        <v>0</v>
      </c>
      <c r="AH70" s="584">
        <v>0</v>
      </c>
      <c r="AI70" s="584">
        <v>0</v>
      </c>
      <c r="AJ70" s="584">
        <v>0</v>
      </c>
      <c r="AK70" s="584">
        <v>0</v>
      </c>
      <c r="AL70" s="584">
        <v>0</v>
      </c>
      <c r="AM70" s="584">
        <v>0</v>
      </c>
      <c r="AN70" s="584">
        <v>0</v>
      </c>
      <c r="AO70" s="584">
        <v>359.0524375</v>
      </c>
      <c r="AP70" s="584">
        <v>84</v>
      </c>
      <c r="AQ70" s="584">
        <v>640.41243750000001</v>
      </c>
      <c r="AR70" s="584">
        <v>176.4</v>
      </c>
      <c r="AS70" s="584">
        <v>1004.271</v>
      </c>
      <c r="AT70" s="584">
        <v>369.6</v>
      </c>
      <c r="AU70" s="584">
        <v>0.9</v>
      </c>
      <c r="AV70" s="584">
        <v>0.315</v>
      </c>
      <c r="AW70" s="584">
        <v>576.73978903520594</v>
      </c>
      <c r="AX70" s="584">
        <v>31.681850309056699</v>
      </c>
      <c r="AY70" s="584">
        <v>0</v>
      </c>
      <c r="AZ70" s="584">
        <v>0</v>
      </c>
      <c r="BA70" s="584">
        <v>0</v>
      </c>
      <c r="BB70" s="584">
        <v>0</v>
      </c>
      <c r="BC70" s="584">
        <v>0</v>
      </c>
      <c r="BD70" s="584">
        <v>0</v>
      </c>
      <c r="BE70" s="584">
        <v>0</v>
      </c>
      <c r="BF70" s="584">
        <v>0</v>
      </c>
      <c r="BG70" s="584">
        <v>0.9</v>
      </c>
      <c r="BH70" s="584">
        <v>0</v>
      </c>
      <c r="BI70" s="584">
        <v>0.45</v>
      </c>
      <c r="BJ70" s="584">
        <v>314.37600030905702</v>
      </c>
      <c r="BK70" s="584">
        <v>84</v>
      </c>
      <c r="BL70" s="584">
        <v>506.29671353130902</v>
      </c>
      <c r="BM70" s="584">
        <v>176.4</v>
      </c>
      <c r="BN70" s="584">
        <v>692.00493051599005</v>
      </c>
      <c r="BO70" s="584">
        <v>369.6</v>
      </c>
      <c r="BP70" s="584">
        <v>1.0249999999999999</v>
      </c>
      <c r="BQ70" s="584">
        <v>0.19500000000000001</v>
      </c>
      <c r="BR70" s="584">
        <v>593.96492878258505</v>
      </c>
      <c r="BS70" s="584">
        <v>40.112394517602802</v>
      </c>
      <c r="BT70" s="584">
        <v>0</v>
      </c>
      <c r="BU70" s="584">
        <v>0</v>
      </c>
      <c r="BV70" s="584">
        <v>0</v>
      </c>
      <c r="BW70" s="584">
        <v>0</v>
      </c>
      <c r="BX70" s="584">
        <v>0</v>
      </c>
      <c r="BY70" s="584">
        <v>0</v>
      </c>
      <c r="BZ70" s="584">
        <v>0</v>
      </c>
      <c r="CA70" s="584">
        <v>0.47499999999999998</v>
      </c>
      <c r="CB70" s="584">
        <v>1.0249999999999999</v>
      </c>
      <c r="CC70" s="584">
        <v>0.3</v>
      </c>
      <c r="CD70" s="584">
        <v>0.3</v>
      </c>
      <c r="CE70" s="584">
        <v>308.69409999999999</v>
      </c>
      <c r="CF70" s="584">
        <v>84</v>
      </c>
      <c r="CG70" s="584">
        <v>516.59535000000005</v>
      </c>
      <c r="CH70" s="584">
        <v>176.4</v>
      </c>
      <c r="CI70" s="584">
        <v>695.88660000000004</v>
      </c>
      <c r="CJ70" s="584">
        <v>369.6</v>
      </c>
      <c r="CK70" s="584">
        <v>0.92500000000000004</v>
      </c>
      <c r="CL70" s="584">
        <v>0.24</v>
      </c>
      <c r="CM70" s="584">
        <v>687.27069336199997</v>
      </c>
      <c r="CN70" s="584">
        <v>24.330161246976601</v>
      </c>
      <c r="CO70" s="584">
        <v>0</v>
      </c>
      <c r="CP70" s="584">
        <v>0</v>
      </c>
      <c r="CQ70" s="584">
        <v>0</v>
      </c>
      <c r="CR70" s="584">
        <v>0</v>
      </c>
      <c r="CS70" s="584">
        <v>0</v>
      </c>
      <c r="CT70" s="584">
        <v>0</v>
      </c>
      <c r="CU70" s="584">
        <v>0</v>
      </c>
      <c r="CV70" s="584">
        <v>0</v>
      </c>
      <c r="CW70" s="584">
        <v>0.92500000000000004</v>
      </c>
      <c r="CX70" s="584">
        <v>0</v>
      </c>
      <c r="CY70" s="584">
        <v>0.6</v>
      </c>
      <c r="CZ70" s="584">
        <v>353.15395000000001</v>
      </c>
      <c r="DA70" s="584">
        <v>84</v>
      </c>
      <c r="DB70" s="584">
        <v>575.99144999999999</v>
      </c>
      <c r="DC70" s="584">
        <v>176.4</v>
      </c>
      <c r="DD70" s="584">
        <v>817.88144999999997</v>
      </c>
      <c r="DE70" s="584">
        <v>369.6</v>
      </c>
      <c r="DF70" s="584">
        <v>0.55000000000000004</v>
      </c>
      <c r="DG70" s="584">
        <v>0.2</v>
      </c>
      <c r="DH70" s="584">
        <v>427.175490459554</v>
      </c>
      <c r="DI70" s="584">
        <v>20.079209083579698</v>
      </c>
      <c r="DJ70" s="584">
        <v>300</v>
      </c>
      <c r="DK70" s="584">
        <v>0</v>
      </c>
      <c r="DL70" s="584">
        <v>0</v>
      </c>
      <c r="DM70" s="584">
        <v>0</v>
      </c>
      <c r="DN70" s="584">
        <v>0</v>
      </c>
      <c r="DO70" s="584">
        <v>0</v>
      </c>
      <c r="DP70" s="584">
        <v>0</v>
      </c>
      <c r="DQ70" s="584">
        <v>0</v>
      </c>
      <c r="DR70" s="584">
        <v>0.55000000000000004</v>
      </c>
      <c r="DS70" s="584">
        <v>0</v>
      </c>
      <c r="DT70" s="584">
        <v>2.4</v>
      </c>
      <c r="DU70" s="584">
        <v>297.94824999999997</v>
      </c>
      <c r="DV70" s="584">
        <v>84</v>
      </c>
      <c r="DW70" s="584">
        <v>543.91075000000001</v>
      </c>
      <c r="DX70" s="584">
        <v>176.4</v>
      </c>
      <c r="DY70" s="584">
        <v>831.82050000000004</v>
      </c>
      <c r="DZ70" s="584">
        <v>369.6</v>
      </c>
      <c r="EA70" s="1062">
        <v>0.9103</v>
      </c>
      <c r="EB70" s="1046">
        <v>0.35</v>
      </c>
      <c r="EC70" s="1093">
        <v>132.51783893985731</v>
      </c>
      <c r="ED70" s="1046">
        <v>0</v>
      </c>
      <c r="EE70" s="1046">
        <v>458.71559633027522</v>
      </c>
      <c r="EF70" s="1046">
        <v>34.895833333333336</v>
      </c>
      <c r="EG70" s="1046">
        <v>0</v>
      </c>
      <c r="EH70" s="1046">
        <v>0</v>
      </c>
      <c r="EI70" s="1046" t="s">
        <v>420</v>
      </c>
      <c r="EJ70" s="1046" t="s">
        <v>442</v>
      </c>
      <c r="EK70" s="1046">
        <v>0</v>
      </c>
      <c r="EL70" s="1046">
        <v>0</v>
      </c>
      <c r="EM70" s="1046">
        <v>0</v>
      </c>
      <c r="EN70" s="1046">
        <v>0</v>
      </c>
      <c r="EO70" s="1046">
        <v>0</v>
      </c>
      <c r="EP70" s="1094">
        <v>166.61587499999999</v>
      </c>
      <c r="EQ70" s="1094">
        <v>84</v>
      </c>
      <c r="ER70" s="1094">
        <v>333.23174999999998</v>
      </c>
      <c r="ES70" s="1095">
        <v>168</v>
      </c>
      <c r="ET70" s="1094">
        <v>666.46349999999995</v>
      </c>
      <c r="EU70" s="1094">
        <v>336</v>
      </c>
      <c r="EV70" s="1096">
        <v>0.75760000000000005</v>
      </c>
      <c r="EW70" s="1097">
        <v>0.15</v>
      </c>
      <c r="EX70" s="1096">
        <v>289.50050968399592</v>
      </c>
      <c r="EY70" s="1096">
        <v>1.5443934760448521</v>
      </c>
      <c r="EZ70" s="1096">
        <v>0</v>
      </c>
      <c r="FA70" s="1096">
        <v>22.491666666666664</v>
      </c>
      <c r="FB70" s="1098">
        <v>0</v>
      </c>
      <c r="FC70" s="1098">
        <v>0</v>
      </c>
      <c r="FD70" s="1098" t="s">
        <v>408</v>
      </c>
      <c r="FE70" s="1098" t="s">
        <v>461</v>
      </c>
      <c r="FF70" s="1098">
        <v>2</v>
      </c>
      <c r="FG70" s="1098">
        <v>0</v>
      </c>
      <c r="FH70" s="1098">
        <v>0</v>
      </c>
      <c r="FI70" s="1098">
        <v>0</v>
      </c>
      <c r="FJ70" s="1098">
        <v>0</v>
      </c>
      <c r="FK70" s="1096">
        <v>95.659050000000008</v>
      </c>
      <c r="FL70" s="1096">
        <v>84</v>
      </c>
      <c r="FM70" s="1096">
        <v>191.31810000000002</v>
      </c>
      <c r="FN70" s="1096">
        <v>168</v>
      </c>
      <c r="FO70" s="1096">
        <v>382.63620000000003</v>
      </c>
      <c r="FP70" s="1099">
        <v>336</v>
      </c>
      <c r="FQ70" s="1064">
        <v>1.0990599999999999</v>
      </c>
      <c r="FR70" s="1065">
        <v>0.15</v>
      </c>
      <c r="FS70" s="1066">
        <v>289.50050968399586</v>
      </c>
      <c r="FT70" s="1066">
        <v>3.1935353236673123</v>
      </c>
      <c r="FU70" s="1065"/>
      <c r="FV70" s="1066">
        <v>57.858981786237734</v>
      </c>
      <c r="FW70" s="1065"/>
      <c r="FX70" s="1065"/>
      <c r="FY70" s="1065" t="s">
        <v>396</v>
      </c>
      <c r="FZ70" s="1065" t="s">
        <v>459</v>
      </c>
      <c r="GA70" s="1065">
        <v>3</v>
      </c>
      <c r="GB70" s="1065"/>
      <c r="GC70" s="1065"/>
      <c r="GD70" s="1065"/>
      <c r="GE70" s="1065"/>
      <c r="GF70" s="1066">
        <v>101.73420462835603</v>
      </c>
      <c r="GG70" s="1066">
        <v>84</v>
      </c>
      <c r="GH70" s="1066">
        <v>203.46840925671205</v>
      </c>
      <c r="GI70" s="1066">
        <v>168</v>
      </c>
      <c r="GJ70" s="1066">
        <v>406.9368185134241</v>
      </c>
      <c r="GK70" s="1066">
        <v>336</v>
      </c>
      <c r="GL70" s="584">
        <v>0.88</v>
      </c>
      <c r="GM70" s="584">
        <v>0.13</v>
      </c>
      <c r="GN70" s="584"/>
      <c r="GO70" s="584"/>
      <c r="GP70" s="584"/>
      <c r="GQ70" s="584">
        <v>41.8333333333333</v>
      </c>
      <c r="GR70" s="584"/>
      <c r="GS70" s="584">
        <v>66.2589194699286</v>
      </c>
      <c r="GT70" s="584" t="s">
        <v>412</v>
      </c>
      <c r="GU70" s="584" t="s">
        <v>389</v>
      </c>
      <c r="GV70" s="584">
        <v>1</v>
      </c>
      <c r="GW70" s="584"/>
      <c r="GX70" s="584"/>
      <c r="GY70" s="584"/>
      <c r="GZ70" s="584"/>
      <c r="HA70" s="584">
        <v>44.649239999999999</v>
      </c>
      <c r="HB70" s="584">
        <v>84</v>
      </c>
      <c r="HC70" s="584">
        <v>89.298479999999998</v>
      </c>
      <c r="HD70" s="584">
        <v>168</v>
      </c>
      <c r="HE70" s="584">
        <v>178.59696</v>
      </c>
      <c r="HF70" s="584">
        <v>336</v>
      </c>
      <c r="HG70" s="1100">
        <v>1.31</v>
      </c>
      <c r="HH70" s="1100">
        <v>0.11</v>
      </c>
      <c r="HI70" s="1101">
        <v>0</v>
      </c>
      <c r="HJ70" s="1101">
        <v>0</v>
      </c>
      <c r="HK70" s="1101">
        <v>0</v>
      </c>
      <c r="HL70" s="1101">
        <v>0</v>
      </c>
      <c r="HM70" s="1101">
        <v>71.460000000000008</v>
      </c>
      <c r="HN70" s="1101">
        <v>54.999999999999993</v>
      </c>
      <c r="HO70" s="1101">
        <v>0</v>
      </c>
      <c r="HP70" s="1101">
        <v>0</v>
      </c>
      <c r="HQ70" s="1101">
        <v>3</v>
      </c>
      <c r="HR70" s="1101">
        <v>1.2</v>
      </c>
      <c r="HS70" s="1101">
        <v>0.92</v>
      </c>
      <c r="HT70" s="1101">
        <v>0.3</v>
      </c>
      <c r="HU70" s="1101">
        <v>0.28000000000000003</v>
      </c>
      <c r="HV70" s="1101">
        <v>48.973742399999999</v>
      </c>
      <c r="HW70" s="1101">
        <v>84</v>
      </c>
      <c r="HX70" s="1101">
        <v>97.947484799999998</v>
      </c>
      <c r="HY70" s="1101">
        <v>168</v>
      </c>
      <c r="HZ70" s="1101">
        <v>195.8949696</v>
      </c>
      <c r="IA70" s="1101">
        <v>336</v>
      </c>
      <c r="IB70" s="1062"/>
      <c r="IC70" s="1092"/>
      <c r="ID70" s="1050"/>
      <c r="IE70" s="1050"/>
      <c r="IF70" s="1103"/>
      <c r="IG70" s="1103"/>
      <c r="IH70" s="1103"/>
      <c r="II70" s="1103"/>
      <c r="IJ70" s="1103"/>
      <c r="IK70" s="1103"/>
      <c r="IL70" s="1103"/>
      <c r="IM70" s="1050"/>
      <c r="IN70" s="1050"/>
      <c r="IO70" s="1050"/>
      <c r="IP70" s="1050"/>
      <c r="IQ70" s="1103"/>
      <c r="IR70" s="1103"/>
      <c r="IS70" s="1103"/>
      <c r="IT70" s="1103"/>
      <c r="IU70" s="1103"/>
      <c r="IV70" s="1103"/>
      <c r="JS70" s="1092"/>
      <c r="JU70" s="1050"/>
      <c r="JV70" s="1103"/>
      <c r="JW70" s="1103"/>
      <c r="JX70" s="1103"/>
      <c r="JY70" s="1103"/>
      <c r="JZ70" s="1103"/>
      <c r="KA70" s="1103"/>
      <c r="KB70" s="1103"/>
      <c r="KC70" s="1050"/>
      <c r="KD70" s="1050"/>
      <c r="KE70" s="1050"/>
      <c r="KF70" s="1050"/>
      <c r="KG70" s="1103"/>
      <c r="KH70" s="1103"/>
      <c r="KI70" s="1103"/>
      <c r="KJ70" s="1103"/>
      <c r="KK70" s="1103"/>
      <c r="KL70" s="1103"/>
      <c r="KM70" s="1103"/>
      <c r="KN70" s="1103"/>
    </row>
    <row r="71" spans="2:300">
      <c r="B71" s="1048" t="str">
        <f t="shared" si="2"/>
        <v>O813</v>
      </c>
      <c r="C71" s="1046">
        <v>8</v>
      </c>
      <c r="D71" s="1092">
        <v>13</v>
      </c>
      <c r="E71" s="584">
        <v>0.47</v>
      </c>
      <c r="F71" s="584">
        <v>0.47</v>
      </c>
      <c r="G71" s="584">
        <v>1128</v>
      </c>
      <c r="H71" s="584">
        <v>26.32</v>
      </c>
      <c r="I71" s="584">
        <v>0</v>
      </c>
      <c r="J71" s="584">
        <v>0</v>
      </c>
      <c r="K71" s="584">
        <v>0</v>
      </c>
      <c r="L71" s="584">
        <v>0</v>
      </c>
      <c r="M71" s="584">
        <v>0</v>
      </c>
      <c r="N71" s="584">
        <v>0</v>
      </c>
      <c r="O71" s="584">
        <v>0</v>
      </c>
      <c r="P71" s="584">
        <v>0</v>
      </c>
      <c r="Q71" s="584">
        <v>0</v>
      </c>
      <c r="R71" s="584">
        <v>0</v>
      </c>
      <c r="S71" s="584">
        <v>0</v>
      </c>
      <c r="T71" s="584">
        <v>472.20243749999997</v>
      </c>
      <c r="U71" s="584">
        <v>91</v>
      </c>
      <c r="V71" s="584">
        <v>875.01243750000003</v>
      </c>
      <c r="W71" s="584">
        <v>191.1</v>
      </c>
      <c r="X71" s="584">
        <v>1444.711</v>
      </c>
      <c r="Y71" s="584">
        <v>400.4</v>
      </c>
      <c r="Z71" s="584">
        <v>0.39500000000000002</v>
      </c>
      <c r="AA71" s="584">
        <v>0.39500000000000002</v>
      </c>
      <c r="AB71" s="584">
        <v>948</v>
      </c>
      <c r="AC71" s="584">
        <v>25</v>
      </c>
      <c r="AD71" s="584">
        <v>0</v>
      </c>
      <c r="AE71" s="584">
        <v>0</v>
      </c>
      <c r="AF71" s="584">
        <v>0</v>
      </c>
      <c r="AG71" s="584">
        <v>0</v>
      </c>
      <c r="AH71" s="584">
        <v>0</v>
      </c>
      <c r="AI71" s="584">
        <v>0</v>
      </c>
      <c r="AJ71" s="584">
        <v>0</v>
      </c>
      <c r="AK71" s="584">
        <v>0</v>
      </c>
      <c r="AL71" s="584">
        <v>0</v>
      </c>
      <c r="AM71" s="584">
        <v>0</v>
      </c>
      <c r="AN71" s="584">
        <v>0</v>
      </c>
      <c r="AO71" s="584">
        <v>419.43993749999998</v>
      </c>
      <c r="AP71" s="584">
        <v>91</v>
      </c>
      <c r="AQ71" s="584">
        <v>766.20749999999998</v>
      </c>
      <c r="AR71" s="584">
        <v>191.1</v>
      </c>
      <c r="AS71" s="584">
        <v>1230.211</v>
      </c>
      <c r="AT71" s="584">
        <v>400.4</v>
      </c>
      <c r="AU71" s="584">
        <v>0</v>
      </c>
      <c r="AV71" s="584">
        <v>0</v>
      </c>
      <c r="AW71" s="584">
        <v>0</v>
      </c>
      <c r="AX71" s="584">
        <v>0</v>
      </c>
      <c r="AY71" s="584">
        <v>0</v>
      </c>
      <c r="AZ71" s="584">
        <v>0</v>
      </c>
      <c r="BA71" s="584">
        <v>0</v>
      </c>
      <c r="BB71" s="584">
        <v>0</v>
      </c>
      <c r="BC71" s="584">
        <v>0</v>
      </c>
      <c r="BD71" s="584">
        <v>0</v>
      </c>
      <c r="BE71" s="584">
        <v>0</v>
      </c>
      <c r="BF71" s="584">
        <v>0</v>
      </c>
      <c r="BG71" s="584">
        <v>0</v>
      </c>
      <c r="BH71" s="584">
        <v>0</v>
      </c>
      <c r="BI71" s="584">
        <v>0</v>
      </c>
      <c r="BJ71" s="584">
        <v>0</v>
      </c>
      <c r="BK71" s="584">
        <v>0</v>
      </c>
      <c r="BL71" s="584">
        <v>0</v>
      </c>
      <c r="BM71" s="584">
        <v>0</v>
      </c>
      <c r="BN71" s="584">
        <v>0</v>
      </c>
      <c r="BO71" s="584">
        <v>0</v>
      </c>
      <c r="BP71" s="584">
        <v>0.92500000000000004</v>
      </c>
      <c r="BQ71" s="584">
        <v>0.20499999999999999</v>
      </c>
      <c r="BR71" s="584">
        <v>645.428651266766</v>
      </c>
      <c r="BS71" s="584">
        <v>47.660206780924</v>
      </c>
      <c r="BT71" s="584">
        <v>0</v>
      </c>
      <c r="BU71" s="584">
        <v>0</v>
      </c>
      <c r="BV71" s="584">
        <v>0</v>
      </c>
      <c r="BW71" s="584">
        <v>0</v>
      </c>
      <c r="BX71" s="584">
        <v>0</v>
      </c>
      <c r="BY71" s="584">
        <v>0</v>
      </c>
      <c r="BZ71" s="584">
        <v>0</v>
      </c>
      <c r="CA71" s="584">
        <v>0.42499999999999999</v>
      </c>
      <c r="CB71" s="584">
        <v>0.92500000000000004</v>
      </c>
      <c r="CC71" s="584">
        <v>0.45</v>
      </c>
      <c r="CD71" s="584">
        <v>0.45</v>
      </c>
      <c r="CE71" s="584">
        <v>346.62765000000002</v>
      </c>
      <c r="CF71" s="584">
        <v>91</v>
      </c>
      <c r="CG71" s="584">
        <v>573.47265000000004</v>
      </c>
      <c r="CH71" s="584">
        <v>191.1</v>
      </c>
      <c r="CI71" s="584">
        <v>806.51639999999998</v>
      </c>
      <c r="CJ71" s="584">
        <v>400.4</v>
      </c>
      <c r="CK71" s="584">
        <v>0</v>
      </c>
      <c r="CL71" s="584">
        <v>0</v>
      </c>
      <c r="CM71" s="584">
        <v>0</v>
      </c>
      <c r="CN71" s="584">
        <v>0</v>
      </c>
      <c r="CO71" s="584">
        <v>0</v>
      </c>
      <c r="CP71" s="584">
        <v>0</v>
      </c>
      <c r="CQ71" s="584">
        <v>0</v>
      </c>
      <c r="CR71" s="584">
        <v>0</v>
      </c>
      <c r="CS71" s="584">
        <v>0</v>
      </c>
      <c r="CT71" s="584">
        <v>0</v>
      </c>
      <c r="CU71" s="584">
        <v>0</v>
      </c>
      <c r="CV71" s="584">
        <v>0</v>
      </c>
      <c r="CW71" s="584">
        <v>0</v>
      </c>
      <c r="CX71" s="584">
        <v>0</v>
      </c>
      <c r="CY71" s="584">
        <v>0</v>
      </c>
      <c r="CZ71" s="584">
        <v>0</v>
      </c>
      <c r="DA71" s="584">
        <v>0</v>
      </c>
      <c r="DB71" s="584">
        <v>0</v>
      </c>
      <c r="DC71" s="584">
        <v>0</v>
      </c>
      <c r="DD71" s="584">
        <v>0</v>
      </c>
      <c r="DE71" s="584">
        <v>0</v>
      </c>
      <c r="DF71" s="584">
        <v>0.6</v>
      </c>
      <c r="DG71" s="584">
        <v>0.2</v>
      </c>
      <c r="DH71" s="584">
        <v>479.74431818181802</v>
      </c>
      <c r="DI71" s="584">
        <v>21.810152011922501</v>
      </c>
      <c r="DJ71" s="584">
        <v>300</v>
      </c>
      <c r="DK71" s="584">
        <v>0</v>
      </c>
      <c r="DL71" s="584">
        <v>0</v>
      </c>
      <c r="DM71" s="584">
        <v>0</v>
      </c>
      <c r="DN71" s="584">
        <v>0</v>
      </c>
      <c r="DO71" s="584">
        <v>0</v>
      </c>
      <c r="DP71" s="584">
        <v>0</v>
      </c>
      <c r="DQ71" s="584">
        <v>0</v>
      </c>
      <c r="DR71" s="584">
        <v>0.6</v>
      </c>
      <c r="DS71" s="584">
        <v>0</v>
      </c>
      <c r="DT71" s="584">
        <v>2.4</v>
      </c>
      <c r="DU71" s="584">
        <v>341.15174999999999</v>
      </c>
      <c r="DV71" s="584">
        <v>91</v>
      </c>
      <c r="DW71" s="584">
        <v>598.44925000000001</v>
      </c>
      <c r="DX71" s="584">
        <v>191.1</v>
      </c>
      <c r="DY71" s="584">
        <v>939.33900000000006</v>
      </c>
      <c r="DZ71" s="584">
        <v>400.4</v>
      </c>
      <c r="EA71" s="1062">
        <v>0.97709999999999997</v>
      </c>
      <c r="EB71" s="1046">
        <v>0.4</v>
      </c>
      <c r="EC71" s="1093">
        <v>132.51783893985737</v>
      </c>
      <c r="ED71" s="1046">
        <v>0</v>
      </c>
      <c r="EE71" s="1046">
        <v>519.87767584097855</v>
      </c>
      <c r="EF71" s="1046">
        <v>39.848076923076924</v>
      </c>
      <c r="EG71" s="1046">
        <v>0</v>
      </c>
      <c r="EH71" s="1046">
        <v>0</v>
      </c>
      <c r="EI71" s="1046" t="s">
        <v>418</v>
      </c>
      <c r="EJ71" s="1046" t="s">
        <v>423</v>
      </c>
      <c r="EK71" s="1046">
        <v>0</v>
      </c>
      <c r="EL71" s="1046">
        <v>0</v>
      </c>
      <c r="EM71" s="1046">
        <v>0</v>
      </c>
      <c r="EN71" s="1046">
        <v>0</v>
      </c>
      <c r="EO71" s="1046">
        <v>0</v>
      </c>
      <c r="EP71" s="1094">
        <v>197.36365050000001</v>
      </c>
      <c r="EQ71" s="1094">
        <v>91</v>
      </c>
      <c r="ER71" s="1094">
        <v>394.72730100000001</v>
      </c>
      <c r="ES71" s="1095">
        <v>182</v>
      </c>
      <c r="ET71" s="1094">
        <v>789.45460200000002</v>
      </c>
      <c r="EU71" s="1094">
        <v>364</v>
      </c>
      <c r="EV71" s="1096">
        <v>0.7622000000000001</v>
      </c>
      <c r="EW71" s="1097">
        <v>0.15</v>
      </c>
      <c r="EX71" s="1096">
        <v>289.50050968399592</v>
      </c>
      <c r="EY71" s="1096">
        <v>1.5443934760448521</v>
      </c>
      <c r="EZ71" s="1096">
        <v>0</v>
      </c>
      <c r="FA71" s="1096">
        <v>30.173076923076923</v>
      </c>
      <c r="FB71" s="1098">
        <v>0</v>
      </c>
      <c r="FC71" s="1098">
        <v>0</v>
      </c>
      <c r="FD71" s="1098" t="s">
        <v>406</v>
      </c>
      <c r="FE71" s="1098" t="s">
        <v>432</v>
      </c>
      <c r="FF71" s="1098">
        <v>2</v>
      </c>
      <c r="FG71" s="1098">
        <v>0</v>
      </c>
      <c r="FH71" s="1098">
        <v>0</v>
      </c>
      <c r="FI71" s="1098">
        <v>0</v>
      </c>
      <c r="FJ71" s="1098">
        <v>0</v>
      </c>
      <c r="FK71" s="1096">
        <v>105.58985800000001</v>
      </c>
      <c r="FL71" s="1096">
        <v>91</v>
      </c>
      <c r="FM71" s="1096">
        <v>211.17971600000001</v>
      </c>
      <c r="FN71" s="1096">
        <v>182</v>
      </c>
      <c r="FO71" s="1096">
        <v>422.35943200000003</v>
      </c>
      <c r="FP71" s="1099">
        <v>364</v>
      </c>
      <c r="FQ71" s="1064">
        <v>1.2</v>
      </c>
      <c r="FR71" s="1065">
        <v>0.15</v>
      </c>
      <c r="FS71" s="1066">
        <v>289.50050968399586</v>
      </c>
      <c r="FT71" s="1066">
        <v>3.1935353236673123</v>
      </c>
      <c r="FU71" s="1065"/>
      <c r="FV71" s="1066">
        <v>65.948750178895708</v>
      </c>
      <c r="FW71" s="1065"/>
      <c r="FX71" s="1065"/>
      <c r="FY71" s="1065" t="s">
        <v>389</v>
      </c>
      <c r="FZ71" s="1065" t="s">
        <v>436</v>
      </c>
      <c r="GA71" s="1065">
        <v>3</v>
      </c>
      <c r="GB71" s="1065"/>
      <c r="GC71" s="1065"/>
      <c r="GD71" s="1065"/>
      <c r="GE71" s="1065"/>
      <c r="GF71" s="1066">
        <v>112.27543134028372</v>
      </c>
      <c r="GG71" s="1066">
        <v>91</v>
      </c>
      <c r="GH71" s="1066">
        <v>224.55086268056743</v>
      </c>
      <c r="GI71" s="1066">
        <v>182</v>
      </c>
      <c r="GJ71" s="1066">
        <v>449.10172536113487</v>
      </c>
      <c r="GK71" s="1066">
        <v>364</v>
      </c>
      <c r="GL71" s="584">
        <v>0.96489999999999998</v>
      </c>
      <c r="GM71" s="584">
        <v>0.13</v>
      </c>
      <c r="GN71" s="584"/>
      <c r="GO71" s="584"/>
      <c r="GP71" s="584"/>
      <c r="GQ71" s="584">
        <v>51.067307692307701</v>
      </c>
      <c r="GR71" s="584"/>
      <c r="GS71" s="584">
        <v>66.2589194699286</v>
      </c>
      <c r="GT71" s="584" t="s">
        <v>414</v>
      </c>
      <c r="GU71" s="584" t="s">
        <v>381</v>
      </c>
      <c r="GV71" s="584">
        <v>1</v>
      </c>
      <c r="GW71" s="584"/>
      <c r="GX71" s="584"/>
      <c r="GY71" s="584"/>
      <c r="GZ71" s="584"/>
      <c r="HA71" s="584">
        <v>50.725227500000003</v>
      </c>
      <c r="HB71" s="584">
        <v>91</v>
      </c>
      <c r="HC71" s="584">
        <v>101.45045500000001</v>
      </c>
      <c r="HD71" s="584">
        <v>182</v>
      </c>
      <c r="HE71" s="584">
        <v>202.90091000000001</v>
      </c>
      <c r="HF71" s="584">
        <v>364</v>
      </c>
      <c r="HG71" s="1100">
        <v>1.3900000000000001</v>
      </c>
      <c r="HH71" s="1100">
        <v>0.11</v>
      </c>
      <c r="HI71" s="1101">
        <v>0</v>
      </c>
      <c r="HJ71" s="1101">
        <v>0</v>
      </c>
      <c r="HK71" s="1101">
        <v>0</v>
      </c>
      <c r="HL71" s="1101">
        <v>0</v>
      </c>
      <c r="HM71" s="1101">
        <v>80.792307692307688</v>
      </c>
      <c r="HN71" s="1101">
        <v>54.999999999999993</v>
      </c>
      <c r="HO71" s="1101">
        <v>0</v>
      </c>
      <c r="HP71" s="1101">
        <v>0</v>
      </c>
      <c r="HQ71" s="1101">
        <v>3</v>
      </c>
      <c r="HR71" s="1101">
        <v>1.28</v>
      </c>
      <c r="HS71" s="1101">
        <v>1</v>
      </c>
      <c r="HT71" s="1101">
        <v>0.3</v>
      </c>
      <c r="HU71" s="1101">
        <v>0.3</v>
      </c>
      <c r="HV71" s="1101">
        <v>55.435185999999995</v>
      </c>
      <c r="HW71" s="1101">
        <v>91</v>
      </c>
      <c r="HX71" s="1101">
        <v>110.87037199999999</v>
      </c>
      <c r="HY71" s="1101">
        <v>182</v>
      </c>
      <c r="HZ71" s="1101">
        <v>221.74074399999998</v>
      </c>
      <c r="IA71" s="1101">
        <v>364</v>
      </c>
      <c r="IB71" s="1062"/>
      <c r="IC71" s="1092"/>
      <c r="ID71" s="1050"/>
      <c r="IE71" s="1050"/>
      <c r="IF71" s="1103"/>
      <c r="IG71" s="1103"/>
      <c r="IH71" s="1103"/>
      <c r="II71" s="1103"/>
      <c r="IJ71" s="1103"/>
      <c r="IK71" s="1103"/>
      <c r="IL71" s="1103"/>
      <c r="IM71" s="1050"/>
      <c r="IN71" s="1050"/>
      <c r="IO71" s="1050"/>
      <c r="IP71" s="1050"/>
      <c r="IQ71" s="1103"/>
      <c r="IR71" s="1103"/>
      <c r="IS71" s="1103"/>
      <c r="IT71" s="1103"/>
      <c r="IU71" s="1103"/>
      <c r="IV71" s="1103"/>
      <c r="JS71" s="1092"/>
      <c r="JU71" s="1050"/>
      <c r="JV71" s="1103"/>
      <c r="JW71" s="1103"/>
      <c r="JX71" s="1103"/>
      <c r="JY71" s="1103"/>
      <c r="JZ71" s="1103"/>
      <c r="KA71" s="1103"/>
      <c r="KB71" s="1103"/>
      <c r="KC71" s="1050"/>
      <c r="KD71" s="1050"/>
      <c r="KE71" s="1050"/>
      <c r="KF71" s="1050"/>
      <c r="KG71" s="1103"/>
      <c r="KH71" s="1103"/>
      <c r="KI71" s="1103"/>
      <c r="KJ71" s="1103"/>
      <c r="KK71" s="1103"/>
      <c r="KL71" s="1103"/>
      <c r="KM71" s="1103"/>
      <c r="KN71" s="1103"/>
    </row>
    <row r="72" spans="2:300">
      <c r="B72" s="1048" t="str">
        <f t="shared" si="2"/>
        <v>O814</v>
      </c>
      <c r="C72" s="1046">
        <v>8</v>
      </c>
      <c r="D72" s="1092">
        <v>14</v>
      </c>
      <c r="E72" s="584">
        <v>0.47</v>
      </c>
      <c r="F72" s="584">
        <v>0.47</v>
      </c>
      <c r="G72" s="584">
        <v>1128</v>
      </c>
      <c r="H72" s="584">
        <v>25.38</v>
      </c>
      <c r="I72" s="584">
        <v>0</v>
      </c>
      <c r="J72" s="584">
        <v>0</v>
      </c>
      <c r="K72" s="584">
        <v>0</v>
      </c>
      <c r="L72" s="584">
        <v>0</v>
      </c>
      <c r="M72" s="584">
        <v>0</v>
      </c>
      <c r="N72" s="584">
        <v>0</v>
      </c>
      <c r="O72" s="584">
        <v>0</v>
      </c>
      <c r="P72" s="584">
        <v>0</v>
      </c>
      <c r="Q72" s="584">
        <v>0</v>
      </c>
      <c r="R72" s="584">
        <v>0</v>
      </c>
      <c r="S72" s="584">
        <v>0</v>
      </c>
      <c r="T72" s="584">
        <v>503.97743750000001</v>
      </c>
      <c r="U72" s="584">
        <v>98</v>
      </c>
      <c r="V72" s="584">
        <v>941.7399375</v>
      </c>
      <c r="W72" s="584">
        <v>205.8</v>
      </c>
      <c r="X72" s="584">
        <v>1555.1510000000001</v>
      </c>
      <c r="Y72" s="584">
        <v>431.2</v>
      </c>
      <c r="Z72" s="584">
        <v>0.48</v>
      </c>
      <c r="AA72" s="584">
        <v>0.48</v>
      </c>
      <c r="AB72" s="584">
        <v>1152</v>
      </c>
      <c r="AC72" s="584">
        <v>25</v>
      </c>
      <c r="AD72" s="584">
        <v>0</v>
      </c>
      <c r="AE72" s="584">
        <v>0</v>
      </c>
      <c r="AF72" s="584">
        <v>0</v>
      </c>
      <c r="AG72" s="584">
        <v>0</v>
      </c>
      <c r="AH72" s="584">
        <v>0</v>
      </c>
      <c r="AI72" s="584">
        <v>0</v>
      </c>
      <c r="AJ72" s="584">
        <v>0</v>
      </c>
      <c r="AK72" s="584">
        <v>0</v>
      </c>
      <c r="AL72" s="584">
        <v>0</v>
      </c>
      <c r="AM72" s="584">
        <v>0</v>
      </c>
      <c r="AN72" s="584">
        <v>0</v>
      </c>
      <c r="AO72" s="584">
        <v>511.53743750000001</v>
      </c>
      <c r="AP72" s="584">
        <v>98</v>
      </c>
      <c r="AQ72" s="584">
        <v>957.17493750000006</v>
      </c>
      <c r="AR72" s="584">
        <v>205.8</v>
      </c>
      <c r="AS72" s="584">
        <v>1587.5119374999999</v>
      </c>
      <c r="AT72" s="584">
        <v>431.2</v>
      </c>
      <c r="AU72" s="584">
        <v>0</v>
      </c>
      <c r="AV72" s="584">
        <v>0</v>
      </c>
      <c r="AW72" s="584">
        <v>0</v>
      </c>
      <c r="AX72" s="584">
        <v>0</v>
      </c>
      <c r="AY72" s="584">
        <v>0</v>
      </c>
      <c r="AZ72" s="584">
        <v>0</v>
      </c>
      <c r="BA72" s="584">
        <v>0</v>
      </c>
      <c r="BB72" s="584">
        <v>0</v>
      </c>
      <c r="BC72" s="584">
        <v>0</v>
      </c>
      <c r="BD72" s="584">
        <v>0</v>
      </c>
      <c r="BE72" s="584">
        <v>0</v>
      </c>
      <c r="BF72" s="584">
        <v>0</v>
      </c>
      <c r="BG72" s="584">
        <v>0</v>
      </c>
      <c r="BH72" s="584">
        <v>0</v>
      </c>
      <c r="BI72" s="584">
        <v>0</v>
      </c>
      <c r="BJ72" s="584">
        <v>0</v>
      </c>
      <c r="BK72" s="584">
        <v>0</v>
      </c>
      <c r="BL72" s="584">
        <v>0</v>
      </c>
      <c r="BM72" s="584">
        <v>0</v>
      </c>
      <c r="BN72" s="584">
        <v>0</v>
      </c>
      <c r="BO72" s="584">
        <v>0</v>
      </c>
      <c r="BP72" s="584">
        <v>1.05</v>
      </c>
      <c r="BQ72" s="584">
        <v>0.20499999999999999</v>
      </c>
      <c r="BR72" s="584">
        <v>726.42495959362702</v>
      </c>
      <c r="BS72" s="584">
        <v>56.047385707688797</v>
      </c>
      <c r="BT72" s="584">
        <v>0</v>
      </c>
      <c r="BU72" s="584">
        <v>0</v>
      </c>
      <c r="BV72" s="584">
        <v>0</v>
      </c>
      <c r="BW72" s="584">
        <v>0</v>
      </c>
      <c r="BX72" s="584">
        <v>0</v>
      </c>
      <c r="BY72" s="584">
        <v>0</v>
      </c>
      <c r="BZ72" s="584">
        <v>0</v>
      </c>
      <c r="CA72" s="584">
        <v>0.42499999999999999</v>
      </c>
      <c r="CB72" s="584">
        <v>1.05</v>
      </c>
      <c r="CC72" s="584">
        <v>0.45</v>
      </c>
      <c r="CD72" s="584">
        <v>0.45</v>
      </c>
      <c r="CE72" s="584">
        <v>424.31765000000001</v>
      </c>
      <c r="CF72" s="584">
        <v>98</v>
      </c>
      <c r="CG72" s="584">
        <v>704.36827500000004</v>
      </c>
      <c r="CH72" s="584">
        <v>205.8</v>
      </c>
      <c r="CI72" s="584">
        <v>885.50733749999995</v>
      </c>
      <c r="CJ72" s="584">
        <v>431.2</v>
      </c>
      <c r="CK72" s="584">
        <v>0</v>
      </c>
      <c r="CL72" s="584">
        <v>0</v>
      </c>
      <c r="CM72" s="584">
        <v>0</v>
      </c>
      <c r="CN72" s="584">
        <v>0</v>
      </c>
      <c r="CO72" s="584">
        <v>0</v>
      </c>
      <c r="CP72" s="584">
        <v>0</v>
      </c>
      <c r="CQ72" s="584">
        <v>0</v>
      </c>
      <c r="CR72" s="584">
        <v>0</v>
      </c>
      <c r="CS72" s="584">
        <v>0</v>
      </c>
      <c r="CT72" s="584">
        <v>0</v>
      </c>
      <c r="CU72" s="584">
        <v>0</v>
      </c>
      <c r="CV72" s="584">
        <v>0</v>
      </c>
      <c r="CW72" s="584">
        <v>0</v>
      </c>
      <c r="CX72" s="584">
        <v>0</v>
      </c>
      <c r="CY72" s="584">
        <v>0</v>
      </c>
      <c r="CZ72" s="584">
        <v>0</v>
      </c>
      <c r="DA72" s="584">
        <v>0</v>
      </c>
      <c r="DB72" s="584">
        <v>0</v>
      </c>
      <c r="DC72" s="584">
        <v>0</v>
      </c>
      <c r="DD72" s="584">
        <v>0</v>
      </c>
      <c r="DE72" s="584">
        <v>0</v>
      </c>
      <c r="DF72" s="584">
        <v>0.67500000000000004</v>
      </c>
      <c r="DG72" s="584">
        <v>0.2</v>
      </c>
      <c r="DH72" s="584">
        <v>529.12101708612295</v>
      </c>
      <c r="DI72" s="584">
        <v>23.3220634957285</v>
      </c>
      <c r="DJ72" s="584">
        <v>300</v>
      </c>
      <c r="DK72" s="584">
        <v>0</v>
      </c>
      <c r="DL72" s="584">
        <v>0</v>
      </c>
      <c r="DM72" s="584">
        <v>0</v>
      </c>
      <c r="DN72" s="584">
        <v>0</v>
      </c>
      <c r="DO72" s="584">
        <v>0</v>
      </c>
      <c r="DP72" s="584">
        <v>0</v>
      </c>
      <c r="DQ72" s="584">
        <v>0</v>
      </c>
      <c r="DR72" s="584">
        <v>0.67500000000000004</v>
      </c>
      <c r="DS72" s="584">
        <v>0</v>
      </c>
      <c r="DT72" s="584">
        <v>2.4</v>
      </c>
      <c r="DU72" s="584">
        <v>375.58550000000002</v>
      </c>
      <c r="DV72" s="584">
        <v>98</v>
      </c>
      <c r="DW72" s="584">
        <v>666.30550000000005</v>
      </c>
      <c r="DX72" s="584">
        <v>205.8</v>
      </c>
      <c r="DY72" s="584">
        <v>1073.79675</v>
      </c>
      <c r="DZ72" s="584">
        <v>431.2</v>
      </c>
      <c r="EA72" s="1062">
        <v>1.0270999999999999</v>
      </c>
      <c r="EB72" s="1046">
        <v>0.45</v>
      </c>
      <c r="EC72" s="1093">
        <v>132.51783893985726</v>
      </c>
      <c r="ED72" s="1046">
        <v>0</v>
      </c>
      <c r="EE72" s="1046">
        <v>581.03975535168195</v>
      </c>
      <c r="EF72" s="1046">
        <v>46.871428571428574</v>
      </c>
      <c r="EG72" s="1046">
        <v>0</v>
      </c>
      <c r="EH72" s="1046">
        <v>0</v>
      </c>
      <c r="EI72" s="1046" t="s">
        <v>418</v>
      </c>
      <c r="EJ72" s="1046" t="s">
        <v>420</v>
      </c>
      <c r="EK72" s="1046">
        <v>0</v>
      </c>
      <c r="EL72" s="1046">
        <v>0</v>
      </c>
      <c r="EM72" s="1046">
        <v>0</v>
      </c>
      <c r="EN72" s="1046">
        <v>0</v>
      </c>
      <c r="EO72" s="1046">
        <v>0</v>
      </c>
      <c r="EP72" s="1094">
        <v>231.274644</v>
      </c>
      <c r="EQ72" s="1094">
        <v>98</v>
      </c>
      <c r="ER72" s="1094">
        <v>462.54928799999999</v>
      </c>
      <c r="ES72" s="1095">
        <v>196</v>
      </c>
      <c r="ET72" s="1094">
        <v>925.09857599999998</v>
      </c>
      <c r="EU72" s="1094">
        <v>392</v>
      </c>
      <c r="EV72" s="1096">
        <v>0.76719999999999999</v>
      </c>
      <c r="EW72" s="1097">
        <v>0.15</v>
      </c>
      <c r="EX72" s="1096">
        <v>289.50050968399592</v>
      </c>
      <c r="EY72" s="1096">
        <v>1.5443934760448521</v>
      </c>
      <c r="EZ72" s="1096">
        <v>0</v>
      </c>
      <c r="FA72" s="1096">
        <v>35.292857142857144</v>
      </c>
      <c r="FB72" s="1098">
        <v>0</v>
      </c>
      <c r="FC72" s="1098">
        <v>0</v>
      </c>
      <c r="FD72" s="1098" t="s">
        <v>404</v>
      </c>
      <c r="FE72" s="1098" t="s">
        <v>410</v>
      </c>
      <c r="FF72" s="1098">
        <v>2</v>
      </c>
      <c r="FG72" s="1098">
        <v>0</v>
      </c>
      <c r="FH72" s="1098">
        <v>0</v>
      </c>
      <c r="FI72" s="1098">
        <v>0</v>
      </c>
      <c r="FJ72" s="1098">
        <v>0</v>
      </c>
      <c r="FK72" s="1096">
        <v>115.11845599999999</v>
      </c>
      <c r="FL72" s="1096">
        <v>98</v>
      </c>
      <c r="FM72" s="1096">
        <v>230.23691199999999</v>
      </c>
      <c r="FN72" s="1096">
        <v>196</v>
      </c>
      <c r="FO72" s="1096">
        <v>460.47382399999998</v>
      </c>
      <c r="FP72" s="1099">
        <v>392</v>
      </c>
      <c r="FQ72" s="1064">
        <v>1.2</v>
      </c>
      <c r="FR72" s="1065">
        <v>0.15</v>
      </c>
      <c r="FS72" s="1066">
        <v>289.50050968399586</v>
      </c>
      <c r="FT72" s="1066">
        <v>3.1935353236673123</v>
      </c>
      <c r="FU72" s="1065"/>
      <c r="FV72" s="1066">
        <v>68.780014524881167</v>
      </c>
      <c r="FW72" s="1065"/>
      <c r="FX72" s="1065"/>
      <c r="FY72" s="1065" t="s">
        <v>389</v>
      </c>
      <c r="FZ72" s="1065" t="s">
        <v>416</v>
      </c>
      <c r="GA72" s="1065">
        <v>3</v>
      </c>
      <c r="GB72" s="1065"/>
      <c r="GC72" s="1065"/>
      <c r="GD72" s="1065"/>
      <c r="GE72" s="1065"/>
      <c r="GF72" s="1066">
        <v>121.68969467239928</v>
      </c>
      <c r="GG72" s="1066">
        <v>98</v>
      </c>
      <c r="GH72" s="1066">
        <v>243.37938934479857</v>
      </c>
      <c r="GI72" s="1066">
        <v>196</v>
      </c>
      <c r="GJ72" s="1066">
        <v>486.75877868959714</v>
      </c>
      <c r="GK72" s="1066">
        <v>392</v>
      </c>
      <c r="GL72" s="584">
        <v>1.0329999999999999</v>
      </c>
      <c r="GM72" s="584">
        <v>0.13</v>
      </c>
      <c r="GN72" s="584"/>
      <c r="GO72" s="584"/>
      <c r="GP72" s="584"/>
      <c r="GQ72" s="584">
        <v>57.389285714285698</v>
      </c>
      <c r="GR72" s="584"/>
      <c r="GS72" s="584">
        <v>66.2589194699286</v>
      </c>
      <c r="GT72" s="584" t="s">
        <v>412</v>
      </c>
      <c r="GU72" s="584" t="s">
        <v>375</v>
      </c>
      <c r="GV72" s="584">
        <v>1</v>
      </c>
      <c r="GW72" s="584"/>
      <c r="GX72" s="584"/>
      <c r="GY72" s="584"/>
      <c r="GZ72" s="584"/>
      <c r="HA72" s="584">
        <v>56.363689000000001</v>
      </c>
      <c r="HB72" s="584">
        <v>98</v>
      </c>
      <c r="HC72" s="584">
        <v>112.727378</v>
      </c>
      <c r="HD72" s="584">
        <v>196</v>
      </c>
      <c r="HE72" s="584">
        <v>225.454756</v>
      </c>
      <c r="HF72" s="584">
        <v>392</v>
      </c>
      <c r="HG72" s="1100">
        <v>1.51</v>
      </c>
      <c r="HH72" s="1100">
        <v>0.11</v>
      </c>
      <c r="HI72" s="1101">
        <v>0</v>
      </c>
      <c r="HJ72" s="1101">
        <v>0</v>
      </c>
      <c r="HK72" s="1101">
        <v>0</v>
      </c>
      <c r="HL72" s="1101">
        <v>0</v>
      </c>
      <c r="HM72" s="1101">
        <v>84.06</v>
      </c>
      <c r="HN72" s="1101">
        <v>54.999999999999993</v>
      </c>
      <c r="HO72" s="1101">
        <v>0</v>
      </c>
      <c r="HP72" s="1101">
        <v>0</v>
      </c>
      <c r="HQ72" s="1101">
        <v>3</v>
      </c>
      <c r="HR72" s="1101">
        <v>1.4</v>
      </c>
      <c r="HS72" s="1101">
        <v>1.1200000000000001</v>
      </c>
      <c r="HT72" s="1101">
        <v>0.3</v>
      </c>
      <c r="HU72" s="1101">
        <v>0.28000000000000003</v>
      </c>
      <c r="HV72" s="1101">
        <v>60.597000800000018</v>
      </c>
      <c r="HW72" s="1101">
        <v>98</v>
      </c>
      <c r="HX72" s="1101">
        <v>121.19400160000004</v>
      </c>
      <c r="HY72" s="1101">
        <v>196</v>
      </c>
      <c r="HZ72" s="1101">
        <v>242.38800320000007</v>
      </c>
      <c r="IA72" s="1101">
        <v>392</v>
      </c>
      <c r="IB72" s="1062"/>
      <c r="IC72" s="1092"/>
      <c r="ID72" s="1050"/>
      <c r="IE72" s="1050"/>
      <c r="IF72" s="1103"/>
      <c r="IG72" s="1103"/>
      <c r="IH72" s="1103"/>
      <c r="II72" s="1103"/>
      <c r="IJ72" s="1103"/>
      <c r="IK72" s="1103"/>
      <c r="IL72" s="1103"/>
      <c r="IM72" s="1050"/>
      <c r="IN72" s="1050"/>
      <c r="IO72" s="1050"/>
      <c r="IP72" s="1050"/>
      <c r="IQ72" s="1103"/>
      <c r="IR72" s="1103"/>
      <c r="IS72" s="1103"/>
      <c r="IT72" s="1103"/>
      <c r="IU72" s="1103"/>
      <c r="IV72" s="1103"/>
      <c r="JS72" s="1092"/>
      <c r="JU72" s="1050"/>
      <c r="JV72" s="1103"/>
      <c r="JW72" s="1103"/>
      <c r="JX72" s="1103"/>
      <c r="JY72" s="1103"/>
      <c r="JZ72" s="1103"/>
      <c r="KA72" s="1103"/>
      <c r="KB72" s="1103"/>
      <c r="KC72" s="1050"/>
      <c r="KD72" s="1050"/>
      <c r="KE72" s="1050"/>
      <c r="KF72" s="1050"/>
      <c r="KG72" s="1103"/>
      <c r="KH72" s="1103"/>
      <c r="KI72" s="1103"/>
      <c r="KJ72" s="1103"/>
      <c r="KK72" s="1103"/>
      <c r="KL72" s="1103"/>
      <c r="KM72" s="1103"/>
      <c r="KN72" s="1103"/>
    </row>
    <row r="73" spans="2:300">
      <c r="B73" s="1048" t="str">
        <f t="shared" si="2"/>
        <v>O815</v>
      </c>
      <c r="C73" s="1046">
        <v>8</v>
      </c>
      <c r="D73" s="1092">
        <v>15</v>
      </c>
      <c r="E73" s="584">
        <v>0</v>
      </c>
      <c r="F73" s="584">
        <v>0</v>
      </c>
      <c r="G73" s="584">
        <v>0</v>
      </c>
      <c r="H73" s="584">
        <v>0</v>
      </c>
      <c r="I73" s="584">
        <v>0</v>
      </c>
      <c r="J73" s="584">
        <v>0</v>
      </c>
      <c r="K73" s="584">
        <v>0</v>
      </c>
      <c r="L73" s="584">
        <v>0</v>
      </c>
      <c r="M73" s="584">
        <v>0</v>
      </c>
      <c r="N73" s="584">
        <v>0</v>
      </c>
      <c r="O73" s="584">
        <v>0</v>
      </c>
      <c r="P73" s="584">
        <v>0</v>
      </c>
      <c r="Q73" s="584">
        <v>0</v>
      </c>
      <c r="R73" s="584">
        <v>0</v>
      </c>
      <c r="S73" s="584">
        <v>0</v>
      </c>
      <c r="T73" s="584">
        <v>0</v>
      </c>
      <c r="U73" s="584">
        <v>0</v>
      </c>
      <c r="V73" s="584">
        <v>0</v>
      </c>
      <c r="W73" s="584">
        <v>0</v>
      </c>
      <c r="X73" s="584">
        <v>0</v>
      </c>
      <c r="Y73" s="584">
        <v>0</v>
      </c>
      <c r="Z73" s="584">
        <v>0</v>
      </c>
      <c r="AA73" s="584">
        <v>0</v>
      </c>
      <c r="AB73" s="584">
        <v>0</v>
      </c>
      <c r="AC73" s="584">
        <v>0</v>
      </c>
      <c r="AD73" s="584">
        <v>0</v>
      </c>
      <c r="AE73" s="584">
        <v>0</v>
      </c>
      <c r="AF73" s="584">
        <v>0</v>
      </c>
      <c r="AG73" s="584">
        <v>0</v>
      </c>
      <c r="AH73" s="584">
        <v>0</v>
      </c>
      <c r="AI73" s="584">
        <v>0</v>
      </c>
      <c r="AJ73" s="584">
        <v>0</v>
      </c>
      <c r="AK73" s="584">
        <v>0</v>
      </c>
      <c r="AL73" s="584">
        <v>0</v>
      </c>
      <c r="AM73" s="584">
        <v>0</v>
      </c>
      <c r="AN73" s="584">
        <v>0</v>
      </c>
      <c r="AO73" s="584">
        <v>0</v>
      </c>
      <c r="AP73" s="584">
        <v>0</v>
      </c>
      <c r="AQ73" s="584">
        <v>0</v>
      </c>
      <c r="AR73" s="584">
        <v>0</v>
      </c>
      <c r="AS73" s="584">
        <v>0</v>
      </c>
      <c r="AT73" s="584">
        <v>0</v>
      </c>
      <c r="AU73" s="584">
        <v>0</v>
      </c>
      <c r="AV73" s="584">
        <v>0</v>
      </c>
      <c r="AW73" s="584">
        <v>0</v>
      </c>
      <c r="AX73" s="584">
        <v>0</v>
      </c>
      <c r="AY73" s="584">
        <v>0</v>
      </c>
      <c r="AZ73" s="584">
        <v>0</v>
      </c>
      <c r="BA73" s="584">
        <v>0</v>
      </c>
      <c r="BB73" s="584">
        <v>0</v>
      </c>
      <c r="BC73" s="584">
        <v>0</v>
      </c>
      <c r="BD73" s="584">
        <v>0</v>
      </c>
      <c r="BE73" s="584">
        <v>0</v>
      </c>
      <c r="BF73" s="584">
        <v>0</v>
      </c>
      <c r="BG73" s="584">
        <v>0</v>
      </c>
      <c r="BH73" s="584">
        <v>0</v>
      </c>
      <c r="BI73" s="584">
        <v>0</v>
      </c>
      <c r="BJ73" s="584">
        <v>0</v>
      </c>
      <c r="BK73" s="584">
        <v>0</v>
      </c>
      <c r="BL73" s="584">
        <v>0</v>
      </c>
      <c r="BM73" s="584">
        <v>0</v>
      </c>
      <c r="BN73" s="584">
        <v>0</v>
      </c>
      <c r="BO73" s="584">
        <v>0</v>
      </c>
      <c r="BP73" s="584">
        <v>0</v>
      </c>
      <c r="BQ73" s="584">
        <v>0</v>
      </c>
      <c r="BR73" s="584">
        <v>0</v>
      </c>
      <c r="BS73" s="584">
        <v>0</v>
      </c>
      <c r="BT73" s="584">
        <v>0</v>
      </c>
      <c r="BU73" s="584">
        <v>0</v>
      </c>
      <c r="BV73" s="584">
        <v>0</v>
      </c>
      <c r="BW73" s="584">
        <v>0</v>
      </c>
      <c r="BX73" s="584">
        <v>0</v>
      </c>
      <c r="BY73" s="584">
        <v>0</v>
      </c>
      <c r="BZ73" s="584">
        <v>0</v>
      </c>
      <c r="CA73" s="584">
        <v>0</v>
      </c>
      <c r="CB73" s="584">
        <v>0</v>
      </c>
      <c r="CC73" s="584">
        <v>0</v>
      </c>
      <c r="CD73" s="584">
        <v>0</v>
      </c>
      <c r="CE73" s="584">
        <v>0</v>
      </c>
      <c r="CF73" s="584">
        <v>0</v>
      </c>
      <c r="CG73" s="584">
        <v>0</v>
      </c>
      <c r="CH73" s="584">
        <v>0</v>
      </c>
      <c r="CI73" s="584">
        <v>0</v>
      </c>
      <c r="CJ73" s="584">
        <v>0</v>
      </c>
      <c r="CK73" s="584">
        <v>0</v>
      </c>
      <c r="CL73" s="584">
        <v>0</v>
      </c>
      <c r="CM73" s="584">
        <v>0</v>
      </c>
      <c r="CN73" s="584">
        <v>0</v>
      </c>
      <c r="CO73" s="584">
        <v>0</v>
      </c>
      <c r="CP73" s="584">
        <v>0</v>
      </c>
      <c r="CQ73" s="584">
        <v>0</v>
      </c>
      <c r="CR73" s="584">
        <v>0</v>
      </c>
      <c r="CS73" s="584">
        <v>0</v>
      </c>
      <c r="CT73" s="584">
        <v>0</v>
      </c>
      <c r="CU73" s="584">
        <v>0</v>
      </c>
      <c r="CV73" s="584">
        <v>0</v>
      </c>
      <c r="CW73" s="584">
        <v>0</v>
      </c>
      <c r="CX73" s="584">
        <v>0</v>
      </c>
      <c r="CY73" s="584">
        <v>0</v>
      </c>
      <c r="CZ73" s="584">
        <v>0</v>
      </c>
      <c r="DA73" s="584">
        <v>0</v>
      </c>
      <c r="DB73" s="584">
        <v>0</v>
      </c>
      <c r="DC73" s="584">
        <v>0</v>
      </c>
      <c r="DD73" s="584">
        <v>0</v>
      </c>
      <c r="DE73" s="584">
        <v>0</v>
      </c>
      <c r="DF73" s="584">
        <v>0</v>
      </c>
      <c r="DG73" s="584">
        <v>0</v>
      </c>
      <c r="DH73" s="584">
        <v>0</v>
      </c>
      <c r="DI73" s="584">
        <v>0</v>
      </c>
      <c r="DJ73" s="584">
        <v>0</v>
      </c>
      <c r="DK73" s="584">
        <v>0</v>
      </c>
      <c r="DL73" s="584">
        <v>0</v>
      </c>
      <c r="DM73" s="584">
        <v>0</v>
      </c>
      <c r="DN73" s="584">
        <v>0</v>
      </c>
      <c r="DO73" s="584">
        <v>0</v>
      </c>
      <c r="DP73" s="584">
        <v>0</v>
      </c>
      <c r="DQ73" s="584">
        <v>0</v>
      </c>
      <c r="DR73" s="584">
        <v>0</v>
      </c>
      <c r="DS73" s="584">
        <v>0</v>
      </c>
      <c r="DT73" s="584">
        <v>0</v>
      </c>
      <c r="DU73" s="584">
        <v>0</v>
      </c>
      <c r="DV73" s="584">
        <v>0</v>
      </c>
      <c r="DW73" s="584">
        <v>0</v>
      </c>
      <c r="DX73" s="584">
        <v>0</v>
      </c>
      <c r="DY73" s="584">
        <v>0</v>
      </c>
      <c r="DZ73" s="584">
        <v>0</v>
      </c>
      <c r="EA73" s="1062">
        <v>0</v>
      </c>
      <c r="EB73" s="1046">
        <v>0</v>
      </c>
      <c r="EC73" s="1093">
        <v>0</v>
      </c>
      <c r="ED73" s="1046">
        <v>0</v>
      </c>
      <c r="EE73" s="1046">
        <v>0</v>
      </c>
      <c r="EF73" s="1046">
        <v>0</v>
      </c>
      <c r="EG73" s="1046">
        <v>0</v>
      </c>
      <c r="EH73" s="1046">
        <v>0</v>
      </c>
      <c r="EI73" s="1046">
        <v>0</v>
      </c>
      <c r="EJ73" s="1046">
        <v>0</v>
      </c>
      <c r="EK73" s="1046">
        <v>0</v>
      </c>
      <c r="EL73" s="1046">
        <v>0</v>
      </c>
      <c r="EM73" s="1046">
        <v>0</v>
      </c>
      <c r="EN73" s="1046">
        <v>0</v>
      </c>
      <c r="EO73" s="1046">
        <v>0</v>
      </c>
      <c r="EP73" s="1094">
        <v>0</v>
      </c>
      <c r="EQ73" s="1094">
        <v>0</v>
      </c>
      <c r="ER73" s="1094">
        <v>0</v>
      </c>
      <c r="ES73" s="1095">
        <v>0</v>
      </c>
      <c r="ET73" s="1094">
        <v>0</v>
      </c>
      <c r="EU73" s="1094">
        <v>0</v>
      </c>
      <c r="EV73" s="1096">
        <v>0.83350000000000002</v>
      </c>
      <c r="EW73" s="1097">
        <v>0.15</v>
      </c>
      <c r="EX73" s="1096">
        <v>289.50050968399592</v>
      </c>
      <c r="EY73" s="1096">
        <v>1.5443934760448521</v>
      </c>
      <c r="EZ73" s="1096">
        <v>0</v>
      </c>
      <c r="FA73" s="1096">
        <v>34.64</v>
      </c>
      <c r="FB73" s="1098">
        <v>0</v>
      </c>
      <c r="FC73" s="1098">
        <v>0</v>
      </c>
      <c r="FD73" s="1098" t="s">
        <v>394</v>
      </c>
      <c r="FE73" s="1098" t="s">
        <v>410</v>
      </c>
      <c r="FF73" s="1098">
        <v>2</v>
      </c>
      <c r="FG73" s="1098">
        <v>0</v>
      </c>
      <c r="FH73" s="1098">
        <v>0</v>
      </c>
      <c r="FI73" s="1098">
        <v>0</v>
      </c>
      <c r="FJ73" s="1098">
        <v>0</v>
      </c>
      <c r="FK73" s="1096">
        <v>123.149067</v>
      </c>
      <c r="FL73" s="1096">
        <v>105</v>
      </c>
      <c r="FM73" s="1096">
        <v>246.298134</v>
      </c>
      <c r="FN73" s="1096">
        <v>210</v>
      </c>
      <c r="FO73" s="1096">
        <v>492.59626800000001</v>
      </c>
      <c r="FP73" s="1099">
        <v>420</v>
      </c>
      <c r="FQ73" s="1064">
        <v>1.2056</v>
      </c>
      <c r="FR73" s="1065">
        <v>0.15</v>
      </c>
      <c r="FS73" s="1066">
        <v>289.50050968399586</v>
      </c>
      <c r="FT73" s="1066">
        <v>3.1935353236673123</v>
      </c>
      <c r="FU73" s="1065"/>
      <c r="FV73" s="1066">
        <v>79.110520046761337</v>
      </c>
      <c r="FW73" s="1065"/>
      <c r="FX73" s="1065"/>
      <c r="FY73" s="1065" t="s">
        <v>387</v>
      </c>
      <c r="FZ73" s="1065" t="s">
        <v>412</v>
      </c>
      <c r="GA73" s="1065">
        <v>3</v>
      </c>
      <c r="GB73" s="1065"/>
      <c r="GC73" s="1065"/>
      <c r="GD73" s="1065"/>
      <c r="GE73" s="1065"/>
      <c r="GF73" s="1066">
        <v>133.42208349551714</v>
      </c>
      <c r="GG73" s="1066">
        <v>105</v>
      </c>
      <c r="GH73" s="1066">
        <v>266.84416699103429</v>
      </c>
      <c r="GI73" s="1066">
        <v>210</v>
      </c>
      <c r="GJ73" s="1066">
        <v>533.68833398206857</v>
      </c>
      <c r="GK73" s="1066">
        <v>420</v>
      </c>
      <c r="GL73" s="584">
        <v>1.1003000000000001</v>
      </c>
      <c r="GM73" s="584">
        <v>0.13</v>
      </c>
      <c r="GN73" s="584"/>
      <c r="GO73" s="584"/>
      <c r="GP73" s="584"/>
      <c r="GQ73" s="584">
        <v>62.246666666666698</v>
      </c>
      <c r="GR73" s="584"/>
      <c r="GS73" s="584">
        <v>66.2589194699286</v>
      </c>
      <c r="GT73" s="584" t="s">
        <v>410</v>
      </c>
      <c r="GU73" s="584" t="s">
        <v>351</v>
      </c>
      <c r="GV73" s="584">
        <v>1</v>
      </c>
      <c r="GW73" s="584"/>
      <c r="GX73" s="584"/>
      <c r="GY73" s="584"/>
      <c r="GZ73" s="584"/>
      <c r="HA73" s="584">
        <v>61.819194000000003</v>
      </c>
      <c r="HB73" s="584">
        <v>105</v>
      </c>
      <c r="HC73" s="584">
        <v>123.63838800000001</v>
      </c>
      <c r="HD73" s="584">
        <v>210</v>
      </c>
      <c r="HE73" s="584">
        <v>247.27677600000001</v>
      </c>
      <c r="HF73" s="584">
        <v>420</v>
      </c>
      <c r="HG73" s="1100">
        <v>1.6300000000000001</v>
      </c>
      <c r="HH73" s="1100">
        <v>0.11</v>
      </c>
      <c r="HI73" s="1101">
        <v>0</v>
      </c>
      <c r="HJ73" s="1101">
        <v>0</v>
      </c>
      <c r="HK73" s="1101">
        <v>0</v>
      </c>
      <c r="HL73" s="1101">
        <v>0</v>
      </c>
      <c r="HM73" s="1101">
        <v>91.800000000000026</v>
      </c>
      <c r="HN73" s="1101">
        <v>54.999999999999993</v>
      </c>
      <c r="HO73" s="1101">
        <v>0</v>
      </c>
      <c r="HP73" s="1101">
        <v>0</v>
      </c>
      <c r="HQ73" s="1101">
        <v>3</v>
      </c>
      <c r="HR73" s="1101">
        <v>1.52</v>
      </c>
      <c r="HS73" s="1101">
        <v>1.24</v>
      </c>
      <c r="HT73" s="1101">
        <v>0.3</v>
      </c>
      <c r="HU73" s="1101">
        <v>0.28000000000000003</v>
      </c>
      <c r="HV73" s="1101">
        <v>67.203240000000008</v>
      </c>
      <c r="HW73" s="1101">
        <v>105</v>
      </c>
      <c r="HX73" s="1101">
        <v>134.40648000000002</v>
      </c>
      <c r="HY73" s="1101">
        <v>210</v>
      </c>
      <c r="HZ73" s="1101">
        <v>268.81296000000003</v>
      </c>
      <c r="IA73" s="1101">
        <v>420</v>
      </c>
      <c r="IB73" s="1062"/>
      <c r="IC73" s="1092"/>
      <c r="ID73" s="1050"/>
      <c r="IE73" s="1050"/>
      <c r="IF73" s="1103"/>
      <c r="IG73" s="1103"/>
      <c r="IH73" s="1103"/>
      <c r="II73" s="1103"/>
      <c r="IJ73" s="1103"/>
      <c r="IK73" s="1103"/>
      <c r="IL73" s="1103"/>
      <c r="IM73" s="1050"/>
      <c r="IN73" s="1050"/>
      <c r="IO73" s="1050"/>
      <c r="IP73" s="1050"/>
      <c r="IQ73" s="1103"/>
      <c r="IR73" s="1103"/>
      <c r="IS73" s="1103"/>
      <c r="IT73" s="1103"/>
      <c r="IU73" s="1103"/>
      <c r="IV73" s="1103"/>
      <c r="JS73" s="1092"/>
      <c r="JU73" s="1050"/>
      <c r="JV73" s="1103"/>
      <c r="JW73" s="1103"/>
      <c r="JX73" s="1103"/>
      <c r="JY73" s="1103"/>
      <c r="JZ73" s="1103"/>
      <c r="KA73" s="1103"/>
      <c r="KB73" s="1103"/>
      <c r="KC73" s="1050"/>
      <c r="KD73" s="1050"/>
      <c r="KE73" s="1050"/>
      <c r="KF73" s="1050"/>
      <c r="KG73" s="1103"/>
      <c r="KH73" s="1103"/>
      <c r="KI73" s="1103"/>
      <c r="KJ73" s="1103"/>
      <c r="KK73" s="1103"/>
      <c r="KL73" s="1103"/>
      <c r="KM73" s="1103"/>
      <c r="KN73" s="1103"/>
    </row>
    <row r="74" spans="2:300">
      <c r="B74" s="1048" t="str">
        <f t="shared" si="2"/>
        <v>O816</v>
      </c>
      <c r="C74" s="1046">
        <v>8</v>
      </c>
      <c r="D74" s="1092">
        <v>16</v>
      </c>
      <c r="E74" s="584">
        <v>0</v>
      </c>
      <c r="F74" s="584">
        <v>0</v>
      </c>
      <c r="G74" s="584">
        <v>0</v>
      </c>
      <c r="H74" s="584">
        <v>0</v>
      </c>
      <c r="I74" s="584">
        <v>0</v>
      </c>
      <c r="J74" s="584">
        <v>0</v>
      </c>
      <c r="K74" s="584">
        <v>0</v>
      </c>
      <c r="L74" s="584">
        <v>0</v>
      </c>
      <c r="M74" s="584">
        <v>0</v>
      </c>
      <c r="N74" s="584">
        <v>0</v>
      </c>
      <c r="O74" s="584">
        <v>0</v>
      </c>
      <c r="P74" s="584">
        <v>0</v>
      </c>
      <c r="Q74" s="584">
        <v>0</v>
      </c>
      <c r="R74" s="584">
        <v>0</v>
      </c>
      <c r="S74" s="584">
        <v>0</v>
      </c>
      <c r="T74" s="584">
        <v>0</v>
      </c>
      <c r="U74" s="584">
        <v>0</v>
      </c>
      <c r="V74" s="584">
        <v>0</v>
      </c>
      <c r="W74" s="584">
        <v>0</v>
      </c>
      <c r="X74" s="584">
        <v>0</v>
      </c>
      <c r="Y74" s="584">
        <v>0</v>
      </c>
      <c r="Z74" s="584">
        <v>0</v>
      </c>
      <c r="AA74" s="584">
        <v>0</v>
      </c>
      <c r="AB74" s="584">
        <v>0</v>
      </c>
      <c r="AC74" s="584">
        <v>0</v>
      </c>
      <c r="AD74" s="584">
        <v>0</v>
      </c>
      <c r="AE74" s="584">
        <v>0</v>
      </c>
      <c r="AF74" s="584">
        <v>0</v>
      </c>
      <c r="AG74" s="584">
        <v>0</v>
      </c>
      <c r="AH74" s="584">
        <v>0</v>
      </c>
      <c r="AI74" s="584">
        <v>0</v>
      </c>
      <c r="AJ74" s="584">
        <v>0</v>
      </c>
      <c r="AK74" s="584">
        <v>0</v>
      </c>
      <c r="AL74" s="584">
        <v>0</v>
      </c>
      <c r="AM74" s="584">
        <v>0</v>
      </c>
      <c r="AN74" s="584">
        <v>0</v>
      </c>
      <c r="AO74" s="584">
        <v>162.8574375</v>
      </c>
      <c r="AP74" s="584">
        <v>112</v>
      </c>
      <c r="AQ74" s="584">
        <v>243.61743749999999</v>
      </c>
      <c r="AR74" s="584">
        <v>235.2</v>
      </c>
      <c r="AS74" s="584">
        <v>121.631</v>
      </c>
      <c r="AT74" s="584">
        <v>492.8</v>
      </c>
      <c r="AU74" s="584">
        <v>0</v>
      </c>
      <c r="AV74" s="584">
        <v>0</v>
      </c>
      <c r="AW74" s="584">
        <v>0</v>
      </c>
      <c r="AX74" s="584">
        <v>0</v>
      </c>
      <c r="AY74" s="584">
        <v>0</v>
      </c>
      <c r="AZ74" s="584">
        <v>0</v>
      </c>
      <c r="BA74" s="584">
        <v>0</v>
      </c>
      <c r="BB74" s="584">
        <v>0</v>
      </c>
      <c r="BC74" s="584">
        <v>0</v>
      </c>
      <c r="BD74" s="584">
        <v>0</v>
      </c>
      <c r="BE74" s="584">
        <v>0</v>
      </c>
      <c r="BF74" s="584">
        <v>0</v>
      </c>
      <c r="BG74" s="584">
        <v>0</v>
      </c>
      <c r="BH74" s="584">
        <v>0</v>
      </c>
      <c r="BI74" s="584">
        <v>0</v>
      </c>
      <c r="BJ74" s="584">
        <v>0</v>
      </c>
      <c r="BK74" s="584">
        <v>0</v>
      </c>
      <c r="BL74" s="584">
        <v>0</v>
      </c>
      <c r="BM74" s="584">
        <v>0</v>
      </c>
      <c r="BN74" s="584">
        <v>0</v>
      </c>
      <c r="BO74" s="584">
        <v>0</v>
      </c>
      <c r="BP74" s="584">
        <v>0</v>
      </c>
      <c r="BQ74" s="584">
        <v>0</v>
      </c>
      <c r="BR74" s="584">
        <v>0</v>
      </c>
      <c r="BS74" s="584">
        <v>0</v>
      </c>
      <c r="BT74" s="584">
        <v>0</v>
      </c>
      <c r="BU74" s="584">
        <v>0</v>
      </c>
      <c r="BV74" s="584">
        <v>0</v>
      </c>
      <c r="BW74" s="584">
        <v>0</v>
      </c>
      <c r="BX74" s="584">
        <v>0</v>
      </c>
      <c r="BY74" s="584">
        <v>0</v>
      </c>
      <c r="BZ74" s="584">
        <v>0</v>
      </c>
      <c r="CA74" s="584">
        <v>0</v>
      </c>
      <c r="CB74" s="584">
        <v>0</v>
      </c>
      <c r="CC74" s="584">
        <v>0</v>
      </c>
      <c r="CD74" s="584">
        <v>0</v>
      </c>
      <c r="CE74" s="584">
        <v>0</v>
      </c>
      <c r="CF74" s="584">
        <v>0</v>
      </c>
      <c r="CG74" s="584">
        <v>0</v>
      </c>
      <c r="CH74" s="584">
        <v>0</v>
      </c>
      <c r="CI74" s="584">
        <v>0</v>
      </c>
      <c r="CJ74" s="584">
        <v>0</v>
      </c>
      <c r="CK74" s="584">
        <v>0</v>
      </c>
      <c r="CL74" s="584">
        <v>0</v>
      </c>
      <c r="CM74" s="584">
        <v>0</v>
      </c>
      <c r="CN74" s="584">
        <v>0</v>
      </c>
      <c r="CO74" s="584">
        <v>0</v>
      </c>
      <c r="CP74" s="584">
        <v>0</v>
      </c>
      <c r="CQ74" s="584">
        <v>0</v>
      </c>
      <c r="CR74" s="584">
        <v>0</v>
      </c>
      <c r="CS74" s="584">
        <v>0</v>
      </c>
      <c r="CT74" s="584">
        <v>0</v>
      </c>
      <c r="CU74" s="584">
        <v>0</v>
      </c>
      <c r="CV74" s="584">
        <v>0</v>
      </c>
      <c r="CW74" s="584">
        <v>0</v>
      </c>
      <c r="CX74" s="584">
        <v>0</v>
      </c>
      <c r="CY74" s="584">
        <v>0</v>
      </c>
      <c r="CZ74" s="584">
        <v>0</v>
      </c>
      <c r="DA74" s="584">
        <v>0</v>
      </c>
      <c r="DB74" s="584">
        <v>0</v>
      </c>
      <c r="DC74" s="584">
        <v>0</v>
      </c>
      <c r="DD74" s="584">
        <v>0</v>
      </c>
      <c r="DE74" s="584">
        <v>0</v>
      </c>
      <c r="DF74" s="584">
        <v>0</v>
      </c>
      <c r="DG74" s="584">
        <v>0</v>
      </c>
      <c r="DH74" s="584">
        <v>0</v>
      </c>
      <c r="DI74" s="584">
        <v>0</v>
      </c>
      <c r="DJ74" s="584">
        <v>0</v>
      </c>
      <c r="DK74" s="584">
        <v>0</v>
      </c>
      <c r="DL74" s="584">
        <v>0</v>
      </c>
      <c r="DM74" s="584">
        <v>0</v>
      </c>
      <c r="DN74" s="584">
        <v>0</v>
      </c>
      <c r="DO74" s="584">
        <v>0</v>
      </c>
      <c r="DP74" s="584">
        <v>0</v>
      </c>
      <c r="DQ74" s="584">
        <v>0</v>
      </c>
      <c r="DR74" s="584">
        <v>0</v>
      </c>
      <c r="DS74" s="584">
        <v>0</v>
      </c>
      <c r="DT74" s="584">
        <v>0</v>
      </c>
      <c r="DU74" s="584">
        <v>0</v>
      </c>
      <c r="DV74" s="584">
        <v>0</v>
      </c>
      <c r="DW74" s="584">
        <v>0</v>
      </c>
      <c r="DX74" s="584">
        <v>0</v>
      </c>
      <c r="DY74" s="584">
        <v>0</v>
      </c>
      <c r="DZ74" s="584">
        <v>0</v>
      </c>
      <c r="EA74" s="1062">
        <v>0</v>
      </c>
      <c r="EB74" s="1046">
        <v>0</v>
      </c>
      <c r="EC74" s="1093">
        <v>0</v>
      </c>
      <c r="ED74" s="1046">
        <v>0</v>
      </c>
      <c r="EE74" s="1046">
        <v>0</v>
      </c>
      <c r="EF74" s="1046">
        <v>0</v>
      </c>
      <c r="EG74" s="1046">
        <v>0</v>
      </c>
      <c r="EH74" s="1046">
        <v>0</v>
      </c>
      <c r="EI74" s="1046">
        <v>0</v>
      </c>
      <c r="EJ74" s="1046">
        <v>0</v>
      </c>
      <c r="EK74" s="1046">
        <v>0</v>
      </c>
      <c r="EL74" s="1046">
        <v>0</v>
      </c>
      <c r="EM74" s="1046">
        <v>0</v>
      </c>
      <c r="EN74" s="1046">
        <v>0</v>
      </c>
      <c r="EO74" s="1046">
        <v>0</v>
      </c>
      <c r="EP74" s="1094">
        <v>0</v>
      </c>
      <c r="EQ74" s="1094">
        <v>0</v>
      </c>
      <c r="ER74" s="1094">
        <v>0</v>
      </c>
      <c r="ES74" s="1095">
        <v>0</v>
      </c>
      <c r="ET74" s="1094">
        <v>0</v>
      </c>
      <c r="EU74" s="1094">
        <v>0</v>
      </c>
      <c r="EV74" s="1096">
        <v>0.83350000000000002</v>
      </c>
      <c r="EW74" s="1097">
        <v>0.15</v>
      </c>
      <c r="EX74" s="1096">
        <v>289.50050968399592</v>
      </c>
      <c r="EY74" s="1096">
        <v>1.5443934760448521</v>
      </c>
      <c r="EZ74" s="1096">
        <v>0</v>
      </c>
      <c r="FA74" s="1096">
        <v>40.056249999999999</v>
      </c>
      <c r="FB74" s="1098">
        <v>0</v>
      </c>
      <c r="FC74" s="1098">
        <v>0</v>
      </c>
      <c r="FD74" s="1098" t="s">
        <v>394</v>
      </c>
      <c r="FE74" s="1098" t="s">
        <v>396</v>
      </c>
      <c r="FF74" s="1098">
        <v>2</v>
      </c>
      <c r="FG74" s="1098">
        <v>0</v>
      </c>
      <c r="FH74" s="1098">
        <v>0</v>
      </c>
      <c r="FI74" s="1098">
        <v>0</v>
      </c>
      <c r="FJ74" s="1098">
        <v>0</v>
      </c>
      <c r="FK74" s="1096">
        <v>133.05927400000002</v>
      </c>
      <c r="FL74" s="1096">
        <v>112</v>
      </c>
      <c r="FM74" s="1096">
        <v>266.11854800000003</v>
      </c>
      <c r="FN74" s="1096">
        <v>224</v>
      </c>
      <c r="FO74" s="1096">
        <v>532.23709600000007</v>
      </c>
      <c r="FP74" s="1099">
        <v>448</v>
      </c>
      <c r="FQ74" s="1064">
        <v>1.2170799999999999</v>
      </c>
      <c r="FR74" s="1065">
        <v>0.15</v>
      </c>
      <c r="FS74" s="1066">
        <v>289.50050968399586</v>
      </c>
      <c r="FT74" s="1066">
        <v>3.1935353236673123</v>
      </c>
      <c r="FU74" s="1065"/>
      <c r="FV74" s="1066">
        <v>93.939909128719933</v>
      </c>
      <c r="FW74" s="1065"/>
      <c r="FX74" s="1065"/>
      <c r="FY74" s="1065" t="s">
        <v>385</v>
      </c>
      <c r="FZ74" s="1065" t="s">
        <v>406</v>
      </c>
      <c r="GA74" s="1065">
        <v>3</v>
      </c>
      <c r="GB74" s="1065"/>
      <c r="GC74" s="1065"/>
      <c r="GD74" s="1065"/>
      <c r="GE74" s="1065"/>
      <c r="GF74" s="1066">
        <v>146.97213088249339</v>
      </c>
      <c r="GG74" s="1066">
        <v>112</v>
      </c>
      <c r="GH74" s="1066">
        <v>293.94426176498678</v>
      </c>
      <c r="GI74" s="1066">
        <v>224</v>
      </c>
      <c r="GJ74" s="1066">
        <v>587.88852352997355</v>
      </c>
      <c r="GK74" s="1066">
        <v>448</v>
      </c>
      <c r="GL74" s="584">
        <v>1.1101000000000001</v>
      </c>
      <c r="GM74" s="584">
        <v>0.13</v>
      </c>
      <c r="GN74" s="584"/>
      <c r="GO74" s="584"/>
      <c r="GP74" s="584"/>
      <c r="GQ74" s="584">
        <v>69.237499999999997</v>
      </c>
      <c r="GR74" s="584"/>
      <c r="GS74" s="584">
        <v>66.2589194699286</v>
      </c>
      <c r="GT74" s="584" t="s">
        <v>408</v>
      </c>
      <c r="GU74" s="584" t="s">
        <v>349</v>
      </c>
      <c r="GV74" s="584">
        <v>1</v>
      </c>
      <c r="GW74" s="584"/>
      <c r="GX74" s="584"/>
      <c r="GY74" s="584"/>
      <c r="GZ74" s="584"/>
      <c r="HA74" s="584">
        <v>68.135035999999999</v>
      </c>
      <c r="HB74" s="584">
        <v>112</v>
      </c>
      <c r="HC74" s="584">
        <v>136.270072</v>
      </c>
      <c r="HD74" s="584">
        <v>224</v>
      </c>
      <c r="HE74" s="584">
        <v>272.540144</v>
      </c>
      <c r="HF74" s="584">
        <v>448</v>
      </c>
      <c r="HG74" s="1100">
        <v>1.75</v>
      </c>
      <c r="HH74" s="1100">
        <v>0.11</v>
      </c>
      <c r="HI74" s="1101">
        <v>0</v>
      </c>
      <c r="HJ74" s="1101">
        <v>0</v>
      </c>
      <c r="HK74" s="1101">
        <v>0</v>
      </c>
      <c r="HL74" s="1101">
        <v>0</v>
      </c>
      <c r="HM74" s="1101">
        <v>99.517500000000013</v>
      </c>
      <c r="HN74" s="1101">
        <v>54.999999999999993</v>
      </c>
      <c r="HO74" s="1101">
        <v>0</v>
      </c>
      <c r="HP74" s="1101">
        <v>0</v>
      </c>
      <c r="HQ74" s="1101">
        <v>3</v>
      </c>
      <c r="HR74" s="1101">
        <v>1.64</v>
      </c>
      <c r="HS74" s="1101">
        <v>1.36</v>
      </c>
      <c r="HT74" s="1101">
        <v>0.3</v>
      </c>
      <c r="HU74" s="1101">
        <v>0.28000000000000003</v>
      </c>
      <c r="HV74" s="1101">
        <v>74.106133600000007</v>
      </c>
      <c r="HW74" s="1101">
        <v>112</v>
      </c>
      <c r="HX74" s="1101">
        <v>148.21226720000001</v>
      </c>
      <c r="HY74" s="1101">
        <v>224</v>
      </c>
      <c r="HZ74" s="1101">
        <v>296.42453440000003</v>
      </c>
      <c r="IA74" s="1101">
        <v>448</v>
      </c>
      <c r="IB74" s="1062"/>
      <c r="IC74" s="1092"/>
      <c r="ID74" s="1050"/>
      <c r="IE74" s="1050"/>
      <c r="IF74" s="1103"/>
      <c r="IG74" s="1103"/>
      <c r="IH74" s="1103"/>
      <c r="II74" s="1103"/>
      <c r="IJ74" s="1103"/>
      <c r="IK74" s="1103"/>
      <c r="IL74" s="1103"/>
      <c r="IM74" s="1050"/>
      <c r="IN74" s="1050"/>
      <c r="IO74" s="1050"/>
      <c r="IP74" s="1050"/>
      <c r="IQ74" s="1103"/>
      <c r="IR74" s="1103"/>
      <c r="IS74" s="1103"/>
      <c r="IT74" s="1103"/>
      <c r="IU74" s="1103"/>
      <c r="IV74" s="1103"/>
      <c r="JS74" s="1092"/>
      <c r="JU74" s="1050"/>
      <c r="JV74" s="1103"/>
      <c r="JW74" s="1103"/>
      <c r="JX74" s="1103"/>
      <c r="JY74" s="1103"/>
      <c r="JZ74" s="1103"/>
      <c r="KA74" s="1103"/>
      <c r="KB74" s="1103"/>
      <c r="KC74" s="1050"/>
      <c r="KD74" s="1050"/>
      <c r="KE74" s="1050"/>
      <c r="KF74" s="1050"/>
      <c r="KG74" s="1103"/>
      <c r="KH74" s="1103"/>
      <c r="KI74" s="1103"/>
      <c r="KJ74" s="1103"/>
      <c r="KK74" s="1103"/>
      <c r="KL74" s="1103"/>
      <c r="KM74" s="1103"/>
      <c r="KN74" s="1103"/>
    </row>
    <row r="75" spans="2:300">
      <c r="B75" s="1048" t="str">
        <f t="shared" si="2"/>
        <v>O99</v>
      </c>
      <c r="C75" s="1046">
        <v>9</v>
      </c>
      <c r="D75" s="1046">
        <v>9</v>
      </c>
      <c r="E75" s="584">
        <v>0.3</v>
      </c>
      <c r="F75" s="584">
        <v>0.3</v>
      </c>
      <c r="G75" s="584">
        <v>720</v>
      </c>
      <c r="H75" s="584">
        <v>26.4</v>
      </c>
      <c r="I75" s="584">
        <v>0</v>
      </c>
      <c r="J75" s="584">
        <v>0</v>
      </c>
      <c r="K75" s="584">
        <v>0</v>
      </c>
      <c r="L75" s="584">
        <v>0</v>
      </c>
      <c r="M75" s="584">
        <v>0</v>
      </c>
      <c r="N75" s="584">
        <v>0</v>
      </c>
      <c r="O75" s="584">
        <v>0</v>
      </c>
      <c r="P75" s="584">
        <v>0</v>
      </c>
      <c r="Q75" s="584">
        <v>0</v>
      </c>
      <c r="R75" s="584">
        <v>0</v>
      </c>
      <c r="S75" s="584">
        <v>0</v>
      </c>
      <c r="T75" s="584">
        <v>286.13243749999998</v>
      </c>
      <c r="U75" s="584">
        <v>70.875</v>
      </c>
      <c r="V75" s="584">
        <v>476.13993749999997</v>
      </c>
      <c r="W75" s="584">
        <v>148.83750000000001</v>
      </c>
      <c r="X75" s="584">
        <v>748.52099999999996</v>
      </c>
      <c r="Y75" s="584">
        <v>311.85000000000002</v>
      </c>
      <c r="Z75" s="584">
        <v>0.245</v>
      </c>
      <c r="AA75" s="584">
        <v>0.245</v>
      </c>
      <c r="AB75" s="584">
        <v>588</v>
      </c>
      <c r="AC75" s="584">
        <v>22</v>
      </c>
      <c r="AD75" s="584">
        <v>0</v>
      </c>
      <c r="AE75" s="584">
        <v>0</v>
      </c>
      <c r="AF75" s="584">
        <v>0</v>
      </c>
      <c r="AG75" s="584">
        <v>0</v>
      </c>
      <c r="AH75" s="584">
        <v>0</v>
      </c>
      <c r="AI75" s="584">
        <v>0</v>
      </c>
      <c r="AJ75" s="584">
        <v>0</v>
      </c>
      <c r="AK75" s="584">
        <v>0</v>
      </c>
      <c r="AL75" s="584">
        <v>0</v>
      </c>
      <c r="AM75" s="584">
        <v>0</v>
      </c>
      <c r="AN75" s="584">
        <v>0</v>
      </c>
      <c r="AO75" s="584">
        <v>255.75868750000001</v>
      </c>
      <c r="AP75" s="584">
        <v>70.875</v>
      </c>
      <c r="AQ75" s="584">
        <v>415.06931250000002</v>
      </c>
      <c r="AR75" s="584">
        <v>148.83750000000001</v>
      </c>
      <c r="AS75" s="584">
        <v>626.00850000000003</v>
      </c>
      <c r="AT75" s="584">
        <v>311.85000000000002</v>
      </c>
      <c r="AU75" s="584">
        <v>0.57499999999999996</v>
      </c>
      <c r="AV75" s="584">
        <v>0.375</v>
      </c>
      <c r="AW75" s="584">
        <v>585.77707473817804</v>
      </c>
      <c r="AX75" s="584">
        <v>34.3995854490638</v>
      </c>
      <c r="AY75" s="584">
        <v>0</v>
      </c>
      <c r="AZ75" s="584">
        <v>0</v>
      </c>
      <c r="BA75" s="584">
        <v>0</v>
      </c>
      <c r="BB75" s="584">
        <v>0</v>
      </c>
      <c r="BC75" s="584">
        <v>0</v>
      </c>
      <c r="BD75" s="584">
        <v>0</v>
      </c>
      <c r="BE75" s="584">
        <v>0</v>
      </c>
      <c r="BF75" s="584">
        <v>0</v>
      </c>
      <c r="BG75" s="584">
        <v>0.57499999999999996</v>
      </c>
      <c r="BH75" s="584">
        <v>0</v>
      </c>
      <c r="BI75" s="584">
        <v>0.6</v>
      </c>
      <c r="BJ75" s="584">
        <v>259.06971141973798</v>
      </c>
      <c r="BK75" s="584">
        <v>70.875</v>
      </c>
      <c r="BL75" s="584">
        <v>408.00963253543</v>
      </c>
      <c r="BM75" s="584">
        <v>148.83750000000001</v>
      </c>
      <c r="BN75" s="584">
        <v>611.13259110451099</v>
      </c>
      <c r="BO75" s="584">
        <v>311.85000000000002</v>
      </c>
      <c r="BP75" s="584">
        <v>0.5</v>
      </c>
      <c r="BQ75" s="584">
        <v>0.19500000000000001</v>
      </c>
      <c r="BR75" s="584">
        <v>550.50059504919102</v>
      </c>
      <c r="BS75" s="584">
        <v>21.845906458267201</v>
      </c>
      <c r="BT75" s="584">
        <v>0</v>
      </c>
      <c r="BU75" s="584">
        <v>0</v>
      </c>
      <c r="BV75" s="584">
        <v>0</v>
      </c>
      <c r="BW75" s="584">
        <v>0</v>
      </c>
      <c r="BX75" s="584">
        <v>0</v>
      </c>
      <c r="BY75" s="584">
        <v>0</v>
      </c>
      <c r="BZ75" s="584">
        <v>0</v>
      </c>
      <c r="CA75" s="584">
        <v>0.5</v>
      </c>
      <c r="CB75" s="584">
        <v>0.5</v>
      </c>
      <c r="CC75" s="584">
        <v>0.45</v>
      </c>
      <c r="CD75" s="584">
        <v>0.45</v>
      </c>
      <c r="CE75" s="584">
        <v>253.61359999999999</v>
      </c>
      <c r="CF75" s="584">
        <v>70.875</v>
      </c>
      <c r="CG75" s="584">
        <v>394.79703749999999</v>
      </c>
      <c r="CH75" s="584">
        <v>148.83750000000001</v>
      </c>
      <c r="CI75" s="584">
        <v>574.11078750000001</v>
      </c>
      <c r="CJ75" s="584">
        <v>311.85000000000002</v>
      </c>
      <c r="CK75" s="584">
        <v>0.625</v>
      </c>
      <c r="CL75" s="584">
        <v>0.28499999999999998</v>
      </c>
      <c r="CM75" s="584">
        <v>729.13995556965995</v>
      </c>
      <c r="CN75" s="584">
        <v>26.249592986353498</v>
      </c>
      <c r="CO75" s="584">
        <v>0</v>
      </c>
      <c r="CP75" s="584">
        <v>0</v>
      </c>
      <c r="CQ75" s="584">
        <v>0</v>
      </c>
      <c r="CR75" s="584">
        <v>0</v>
      </c>
      <c r="CS75" s="584">
        <v>0</v>
      </c>
      <c r="CT75" s="584">
        <v>0</v>
      </c>
      <c r="CU75" s="584">
        <v>0</v>
      </c>
      <c r="CV75" s="584">
        <v>0</v>
      </c>
      <c r="CW75" s="584">
        <v>0.625</v>
      </c>
      <c r="CX75" s="584">
        <v>0</v>
      </c>
      <c r="CY75" s="584">
        <v>0.45</v>
      </c>
      <c r="CZ75" s="584">
        <v>298.84354999999999</v>
      </c>
      <c r="DA75" s="584">
        <v>70.875</v>
      </c>
      <c r="DB75" s="584">
        <v>480.479175</v>
      </c>
      <c r="DC75" s="584">
        <v>148.83750000000001</v>
      </c>
      <c r="DD75" s="584">
        <v>748.70730000000003</v>
      </c>
      <c r="DE75" s="584">
        <v>311.85000000000002</v>
      </c>
      <c r="DF75" s="584">
        <v>0.4</v>
      </c>
      <c r="DG75" s="584">
        <v>0.25</v>
      </c>
      <c r="DH75" s="584">
        <v>299.03959060615699</v>
      </c>
      <c r="DI75" s="584">
        <v>16.155354490637901</v>
      </c>
      <c r="DJ75" s="584">
        <v>340</v>
      </c>
      <c r="DK75" s="584">
        <v>0</v>
      </c>
      <c r="DL75" s="584">
        <v>0</v>
      </c>
      <c r="DM75" s="584">
        <v>0</v>
      </c>
      <c r="DN75" s="584">
        <v>0</v>
      </c>
      <c r="DO75" s="584">
        <v>0</v>
      </c>
      <c r="DP75" s="584">
        <v>0</v>
      </c>
      <c r="DQ75" s="584">
        <v>0</v>
      </c>
      <c r="DR75" s="584">
        <v>0.4</v>
      </c>
      <c r="DS75" s="584">
        <v>0</v>
      </c>
      <c r="DT75" s="584">
        <v>2.4</v>
      </c>
      <c r="DU75" s="584">
        <v>252.547</v>
      </c>
      <c r="DV75" s="584">
        <v>70.875</v>
      </c>
      <c r="DW75" s="584">
        <v>468.93599999999998</v>
      </c>
      <c r="DX75" s="584">
        <v>148.83750000000001</v>
      </c>
      <c r="DY75" s="584">
        <v>650.28150000000005</v>
      </c>
      <c r="DZ75" s="584">
        <v>311.85000000000002</v>
      </c>
      <c r="EA75" s="1062">
        <v>0.86029999999999995</v>
      </c>
      <c r="EB75" s="1046">
        <v>0.3</v>
      </c>
      <c r="EC75" s="1093">
        <v>132.51783893985731</v>
      </c>
      <c r="ED75" s="1046">
        <v>0</v>
      </c>
      <c r="EE75" s="1046">
        <v>397.55351681957183</v>
      </c>
      <c r="EF75" s="1046">
        <v>31.766666666666666</v>
      </c>
      <c r="EG75" s="1046">
        <v>0</v>
      </c>
      <c r="EH75" s="1046">
        <v>0</v>
      </c>
      <c r="EI75" s="1046" t="s">
        <v>420</v>
      </c>
      <c r="EJ75" s="1046" t="s">
        <v>475</v>
      </c>
      <c r="EK75" s="1046">
        <v>0</v>
      </c>
      <c r="EL75" s="1046">
        <v>0</v>
      </c>
      <c r="EM75" s="1046">
        <v>0</v>
      </c>
      <c r="EN75" s="1046">
        <v>0</v>
      </c>
      <c r="EO75" s="1046">
        <v>0</v>
      </c>
      <c r="EP75" s="1094">
        <v>127.81052775000001</v>
      </c>
      <c r="EQ75" s="1094">
        <v>70.875</v>
      </c>
      <c r="ER75" s="1094">
        <v>255.62105550000001</v>
      </c>
      <c r="ES75" s="1095">
        <v>141.75</v>
      </c>
      <c r="ET75" s="1094">
        <v>511.24211100000002</v>
      </c>
      <c r="EU75" s="1094">
        <v>283.5</v>
      </c>
      <c r="EV75" s="1096">
        <v>0.75760000000000005</v>
      </c>
      <c r="EW75" s="1097">
        <v>0.15</v>
      </c>
      <c r="EX75" s="1096">
        <v>289.50050968399592</v>
      </c>
      <c r="EY75" s="1096">
        <v>1.5443934760448521</v>
      </c>
      <c r="EZ75" s="1096">
        <v>0</v>
      </c>
      <c r="FA75" s="1096">
        <v>25.222222222222221</v>
      </c>
      <c r="FB75" s="1098">
        <v>0</v>
      </c>
      <c r="FC75" s="1098">
        <v>0</v>
      </c>
      <c r="FD75" s="1098" t="s">
        <v>408</v>
      </c>
      <c r="FE75" s="1098" t="s">
        <v>477</v>
      </c>
      <c r="FF75" s="1098">
        <v>2</v>
      </c>
      <c r="FG75" s="1098">
        <v>0</v>
      </c>
      <c r="FH75" s="1098">
        <v>0</v>
      </c>
      <c r="FI75" s="1098">
        <v>0</v>
      </c>
      <c r="FJ75" s="1098">
        <v>0</v>
      </c>
      <c r="FK75" s="1096">
        <v>81.254755125000003</v>
      </c>
      <c r="FL75" s="1096">
        <v>70.875</v>
      </c>
      <c r="FM75" s="1096">
        <v>162.50951025000001</v>
      </c>
      <c r="FN75" s="1096">
        <v>141.75</v>
      </c>
      <c r="FO75" s="1096">
        <v>325.01902050000001</v>
      </c>
      <c r="FP75" s="1099">
        <v>283.5</v>
      </c>
      <c r="FQ75" s="1064">
        <v>0.89073999999999998</v>
      </c>
      <c r="FR75" s="1065">
        <v>0.15</v>
      </c>
      <c r="FS75" s="1066">
        <v>289.50050968399586</v>
      </c>
      <c r="FT75" s="1066">
        <v>3.2237153637237084</v>
      </c>
      <c r="FU75" s="1065"/>
      <c r="FV75" s="1066">
        <v>38.441885897769204</v>
      </c>
      <c r="FW75" s="1065"/>
      <c r="FX75" s="1065"/>
      <c r="FY75" s="1065" t="s">
        <v>436</v>
      </c>
      <c r="FZ75" s="1065" t="s">
        <v>481</v>
      </c>
      <c r="GA75" s="1065">
        <v>2</v>
      </c>
      <c r="GB75" s="1065"/>
      <c r="GC75" s="1065"/>
      <c r="GD75" s="1065"/>
      <c r="GE75" s="1065"/>
      <c r="GF75" s="1066">
        <v>81.986975854598711</v>
      </c>
      <c r="GG75" s="1066">
        <v>70.875</v>
      </c>
      <c r="GH75" s="1066">
        <v>163.97395170919742</v>
      </c>
      <c r="GI75" s="1066">
        <v>141.75</v>
      </c>
      <c r="GJ75" s="1066">
        <v>327.94790341839484</v>
      </c>
      <c r="GK75" s="1066">
        <v>283.5</v>
      </c>
      <c r="GL75" s="584">
        <v>0.75260000000000005</v>
      </c>
      <c r="GM75" s="584">
        <v>0.15</v>
      </c>
      <c r="GN75" s="584"/>
      <c r="GO75" s="584"/>
      <c r="GP75" s="584"/>
      <c r="GQ75" s="584">
        <v>29.422222222222199</v>
      </c>
      <c r="GR75" s="584"/>
      <c r="GS75" s="584">
        <v>76.452599388379198</v>
      </c>
      <c r="GT75" s="584" t="s">
        <v>410</v>
      </c>
      <c r="GU75" s="584" t="s">
        <v>416</v>
      </c>
      <c r="GV75" s="584">
        <v>1</v>
      </c>
      <c r="GW75" s="584"/>
      <c r="GX75" s="584"/>
      <c r="GY75" s="584"/>
      <c r="GZ75" s="584"/>
      <c r="HA75" s="584">
        <v>37.232298</v>
      </c>
      <c r="HB75" s="584">
        <v>70.875</v>
      </c>
      <c r="HC75" s="584">
        <v>74.464596</v>
      </c>
      <c r="HD75" s="584">
        <v>141.75</v>
      </c>
      <c r="HE75" s="584">
        <v>148.929192</v>
      </c>
      <c r="HF75" s="584">
        <v>283.5</v>
      </c>
      <c r="HG75" s="1100">
        <v>1.1100000000000001</v>
      </c>
      <c r="HH75" s="1100">
        <v>0.11</v>
      </c>
      <c r="HI75" s="1101">
        <v>0</v>
      </c>
      <c r="HJ75" s="1101">
        <v>0</v>
      </c>
      <c r="HK75" s="1101">
        <v>0</v>
      </c>
      <c r="HL75" s="1101">
        <v>0</v>
      </c>
      <c r="HM75" s="1101">
        <v>45.6</v>
      </c>
      <c r="HN75" s="1101">
        <v>54.999999999999993</v>
      </c>
      <c r="HO75" s="1101">
        <v>0</v>
      </c>
      <c r="HP75" s="1101">
        <v>0</v>
      </c>
      <c r="HQ75" s="1101">
        <v>2</v>
      </c>
      <c r="HR75" s="1101">
        <v>1</v>
      </c>
      <c r="HS75" s="1101">
        <v>0.68</v>
      </c>
      <c r="HT75" s="1101">
        <v>0.3</v>
      </c>
      <c r="HU75" s="1101">
        <v>0.3</v>
      </c>
      <c r="HV75" s="1101">
        <v>36.184441499999998</v>
      </c>
      <c r="HW75" s="1101">
        <v>70.875</v>
      </c>
      <c r="HX75" s="1101">
        <v>72.368882999999997</v>
      </c>
      <c r="HY75" s="1101">
        <v>141.75</v>
      </c>
      <c r="HZ75" s="1101">
        <v>144.73776599999999</v>
      </c>
      <c r="IA75" s="1101">
        <v>283.5</v>
      </c>
      <c r="IB75" s="1062"/>
      <c r="ID75" s="1050"/>
      <c r="IE75" s="1050"/>
      <c r="IF75" s="1103"/>
      <c r="IG75" s="1103"/>
      <c r="IH75" s="1103"/>
      <c r="II75" s="1103"/>
      <c r="IJ75" s="1103"/>
      <c r="IK75" s="1103"/>
      <c r="IL75" s="1103"/>
      <c r="IM75" s="1050"/>
      <c r="IN75" s="1050"/>
      <c r="IO75" s="1050"/>
      <c r="IP75" s="1050"/>
      <c r="IQ75" s="1103"/>
      <c r="IR75" s="1103"/>
      <c r="IS75" s="1103"/>
      <c r="IT75" s="1103"/>
      <c r="IU75" s="1103"/>
      <c r="IV75" s="1103"/>
      <c r="JU75" s="1050"/>
      <c r="JV75" s="1103"/>
      <c r="JW75" s="1103"/>
      <c r="JX75" s="1103"/>
      <c r="JY75" s="1103"/>
      <c r="JZ75" s="1103"/>
      <c r="KA75" s="1103"/>
      <c r="KB75" s="1103"/>
      <c r="KC75" s="1050"/>
      <c r="KD75" s="1050"/>
      <c r="KE75" s="1050"/>
      <c r="KF75" s="1050"/>
      <c r="KG75" s="1103"/>
      <c r="KH75" s="1103"/>
      <c r="KI75" s="1103"/>
      <c r="KJ75" s="1103"/>
      <c r="KK75" s="1103"/>
      <c r="KL75" s="1103"/>
      <c r="KM75" s="1103"/>
      <c r="KN75" s="1103"/>
    </row>
    <row r="76" spans="2:300">
      <c r="B76" s="1048" t="str">
        <f t="shared" si="2"/>
        <v>O910</v>
      </c>
      <c r="C76" s="1046">
        <v>9</v>
      </c>
      <c r="D76" s="1092">
        <v>10</v>
      </c>
      <c r="E76" s="584">
        <v>0.36</v>
      </c>
      <c r="F76" s="584">
        <v>0.36</v>
      </c>
      <c r="G76" s="584">
        <v>864</v>
      </c>
      <c r="H76" s="584">
        <v>26.28</v>
      </c>
      <c r="I76" s="584">
        <v>0</v>
      </c>
      <c r="J76" s="584">
        <v>0</v>
      </c>
      <c r="K76" s="584">
        <v>0</v>
      </c>
      <c r="L76" s="584">
        <v>0</v>
      </c>
      <c r="M76" s="584">
        <v>0</v>
      </c>
      <c r="N76" s="584">
        <v>0</v>
      </c>
      <c r="O76" s="584">
        <v>0</v>
      </c>
      <c r="P76" s="584">
        <v>0</v>
      </c>
      <c r="Q76" s="584">
        <v>0</v>
      </c>
      <c r="R76" s="584">
        <v>0</v>
      </c>
      <c r="S76" s="584">
        <v>0</v>
      </c>
      <c r="T76" s="584">
        <v>347.71743750000002</v>
      </c>
      <c r="U76" s="584">
        <v>78.75</v>
      </c>
      <c r="V76" s="584">
        <v>602.50743750000004</v>
      </c>
      <c r="W76" s="584">
        <v>165.375</v>
      </c>
      <c r="X76" s="584">
        <v>979.19100000000003</v>
      </c>
      <c r="Y76" s="584">
        <v>346.5</v>
      </c>
      <c r="Z76" s="584">
        <v>0.28000000000000003</v>
      </c>
      <c r="AA76" s="584">
        <v>0.28000000000000003</v>
      </c>
      <c r="AB76" s="584">
        <v>672</v>
      </c>
      <c r="AC76" s="584">
        <v>21</v>
      </c>
      <c r="AD76" s="584">
        <v>0</v>
      </c>
      <c r="AE76" s="584">
        <v>0</v>
      </c>
      <c r="AF76" s="584">
        <v>0</v>
      </c>
      <c r="AG76" s="584">
        <v>0</v>
      </c>
      <c r="AH76" s="584">
        <v>0</v>
      </c>
      <c r="AI76" s="584">
        <v>0</v>
      </c>
      <c r="AJ76" s="584">
        <v>0</v>
      </c>
      <c r="AK76" s="584">
        <v>0</v>
      </c>
      <c r="AL76" s="584">
        <v>0</v>
      </c>
      <c r="AM76" s="584">
        <v>0</v>
      </c>
      <c r="AN76" s="584">
        <v>0</v>
      </c>
      <c r="AO76" s="584">
        <v>298.83743750000002</v>
      </c>
      <c r="AP76" s="584">
        <v>78.75</v>
      </c>
      <c r="AQ76" s="584">
        <v>503.80743749999999</v>
      </c>
      <c r="AR76" s="584">
        <v>165.375</v>
      </c>
      <c r="AS76" s="584">
        <v>781.19100000000003</v>
      </c>
      <c r="AT76" s="584">
        <v>346.5</v>
      </c>
      <c r="AU76" s="584">
        <v>0.72499999999999998</v>
      </c>
      <c r="AV76" s="584">
        <v>0.375</v>
      </c>
      <c r="AW76" s="584">
        <v>598.92589362387298</v>
      </c>
      <c r="AX76" s="584">
        <v>32.973244954916296</v>
      </c>
      <c r="AY76" s="584">
        <v>0</v>
      </c>
      <c r="AZ76" s="584">
        <v>0</v>
      </c>
      <c r="BA76" s="584">
        <v>0</v>
      </c>
      <c r="BB76" s="584">
        <v>0</v>
      </c>
      <c r="BC76" s="584">
        <v>0</v>
      </c>
      <c r="BD76" s="584">
        <v>0</v>
      </c>
      <c r="BE76" s="584">
        <v>0</v>
      </c>
      <c r="BF76" s="584">
        <v>0</v>
      </c>
      <c r="BG76" s="584">
        <v>0.72499999999999998</v>
      </c>
      <c r="BH76" s="584">
        <v>0</v>
      </c>
      <c r="BI76" s="584">
        <v>0.45</v>
      </c>
      <c r="BJ76" s="584">
        <v>289.07154805688202</v>
      </c>
      <c r="BK76" s="584">
        <v>78.75</v>
      </c>
      <c r="BL76" s="584">
        <v>463.72795280716599</v>
      </c>
      <c r="BM76" s="584">
        <v>165.375</v>
      </c>
      <c r="BN76" s="584">
        <v>695.51403754629098</v>
      </c>
      <c r="BO76" s="584">
        <v>346.5</v>
      </c>
      <c r="BP76" s="584">
        <v>0.75</v>
      </c>
      <c r="BQ76" s="584">
        <v>0.21</v>
      </c>
      <c r="BR76" s="584">
        <v>592.16058394160598</v>
      </c>
      <c r="BS76" s="584">
        <v>25.256431945040799</v>
      </c>
      <c r="BT76" s="584">
        <v>0</v>
      </c>
      <c r="BU76" s="584">
        <v>0</v>
      </c>
      <c r="BV76" s="584">
        <v>0</v>
      </c>
      <c r="BW76" s="584">
        <v>0</v>
      </c>
      <c r="BX76" s="584">
        <v>0</v>
      </c>
      <c r="BY76" s="584">
        <v>0</v>
      </c>
      <c r="BZ76" s="584">
        <v>0</v>
      </c>
      <c r="CA76" s="584">
        <v>0.6</v>
      </c>
      <c r="CB76" s="584">
        <v>0.75</v>
      </c>
      <c r="CC76" s="584">
        <v>0.3</v>
      </c>
      <c r="CD76" s="584">
        <v>0.3</v>
      </c>
      <c r="CE76" s="584">
        <v>286.47629999999998</v>
      </c>
      <c r="CF76" s="584">
        <v>78.75</v>
      </c>
      <c r="CG76" s="584">
        <v>466.03379999999999</v>
      </c>
      <c r="CH76" s="584">
        <v>165.375</v>
      </c>
      <c r="CI76" s="584">
        <v>672.23879999999997</v>
      </c>
      <c r="CJ76" s="584">
        <v>346.5</v>
      </c>
      <c r="CK76" s="584">
        <v>0.75</v>
      </c>
      <c r="CL76" s="584">
        <v>0.28499999999999998</v>
      </c>
      <c r="CM76" s="584">
        <v>743.66251610133099</v>
      </c>
      <c r="CN76" s="584">
        <v>26.263683984542698</v>
      </c>
      <c r="CO76" s="584">
        <v>0</v>
      </c>
      <c r="CP76" s="584">
        <v>0</v>
      </c>
      <c r="CQ76" s="584">
        <v>0</v>
      </c>
      <c r="CR76" s="584">
        <v>0</v>
      </c>
      <c r="CS76" s="584">
        <v>0</v>
      </c>
      <c r="CT76" s="584">
        <v>0</v>
      </c>
      <c r="CU76" s="584">
        <v>0</v>
      </c>
      <c r="CV76" s="584">
        <v>0</v>
      </c>
      <c r="CW76" s="584">
        <v>0.75</v>
      </c>
      <c r="CX76" s="584">
        <v>0</v>
      </c>
      <c r="CY76" s="584">
        <v>0.45</v>
      </c>
      <c r="CZ76" s="584">
        <v>330.70229999999998</v>
      </c>
      <c r="DA76" s="584">
        <v>78.75</v>
      </c>
      <c r="DB76" s="584">
        <v>540.15480000000002</v>
      </c>
      <c r="DC76" s="584">
        <v>165.375</v>
      </c>
      <c r="DD76" s="584">
        <v>844.74855000000002</v>
      </c>
      <c r="DE76" s="584">
        <v>346.5</v>
      </c>
      <c r="DF76" s="584">
        <v>0.45</v>
      </c>
      <c r="DG76" s="584">
        <v>0.25</v>
      </c>
      <c r="DH76" s="584">
        <v>326.19042507514001</v>
      </c>
      <c r="DI76" s="584">
        <v>16.5263795620438</v>
      </c>
      <c r="DJ76" s="584">
        <v>340</v>
      </c>
      <c r="DK76" s="584">
        <v>0</v>
      </c>
      <c r="DL76" s="584">
        <v>0</v>
      </c>
      <c r="DM76" s="584">
        <v>0</v>
      </c>
      <c r="DN76" s="584">
        <v>0</v>
      </c>
      <c r="DO76" s="584">
        <v>0</v>
      </c>
      <c r="DP76" s="584">
        <v>0</v>
      </c>
      <c r="DQ76" s="584">
        <v>0</v>
      </c>
      <c r="DR76" s="584">
        <v>0.45</v>
      </c>
      <c r="DS76" s="584">
        <v>0</v>
      </c>
      <c r="DT76" s="584">
        <v>2.4</v>
      </c>
      <c r="DU76" s="584">
        <v>278.21499999999997</v>
      </c>
      <c r="DV76" s="584">
        <v>78.75</v>
      </c>
      <c r="DW76" s="584">
        <v>520.16399999999999</v>
      </c>
      <c r="DX76" s="584">
        <v>165.375</v>
      </c>
      <c r="DY76" s="584">
        <v>751.45500000000004</v>
      </c>
      <c r="DZ76" s="584">
        <v>346.5</v>
      </c>
      <c r="EA76" s="1062">
        <v>0.87709999999999999</v>
      </c>
      <c r="EB76" s="1046">
        <v>0.3</v>
      </c>
      <c r="EC76" s="1093">
        <v>132.51783893985731</v>
      </c>
      <c r="ED76" s="1046">
        <v>0</v>
      </c>
      <c r="EE76" s="1046">
        <v>397.55351681957183</v>
      </c>
      <c r="EF76" s="1046">
        <v>35.574444444444445</v>
      </c>
      <c r="EG76" s="1046">
        <v>0</v>
      </c>
      <c r="EH76" s="1046">
        <v>0</v>
      </c>
      <c r="EI76" s="1046" t="s">
        <v>418</v>
      </c>
      <c r="EJ76" s="1046" t="s">
        <v>465</v>
      </c>
      <c r="EK76" s="1046">
        <v>0</v>
      </c>
      <c r="EL76" s="1046">
        <v>0</v>
      </c>
      <c r="EM76" s="1046">
        <v>0</v>
      </c>
      <c r="EN76" s="1046">
        <v>0</v>
      </c>
      <c r="EO76" s="1046">
        <v>0</v>
      </c>
      <c r="EP76" s="1094">
        <v>142.85216924999997</v>
      </c>
      <c r="EQ76" s="1094">
        <v>78.75</v>
      </c>
      <c r="ER76" s="1094">
        <v>285.70433849999995</v>
      </c>
      <c r="ES76" s="1095">
        <v>157.5</v>
      </c>
      <c r="ET76" s="1094">
        <v>571.4086769999999</v>
      </c>
      <c r="EU76" s="1094">
        <v>315</v>
      </c>
      <c r="EV76" s="1096">
        <v>0.7622000000000001</v>
      </c>
      <c r="EW76" s="1097">
        <v>0.15</v>
      </c>
      <c r="EX76" s="1096">
        <v>289.50050968399592</v>
      </c>
      <c r="EY76" s="1096">
        <v>1.5443934760448521</v>
      </c>
      <c r="EZ76" s="1096">
        <v>0</v>
      </c>
      <c r="FA76" s="1096">
        <v>24.532222222222217</v>
      </c>
      <c r="FB76" s="1098">
        <v>0</v>
      </c>
      <c r="FC76" s="1098">
        <v>0</v>
      </c>
      <c r="FD76" s="1098" t="s">
        <v>406</v>
      </c>
      <c r="FE76" s="1098" t="s">
        <v>468</v>
      </c>
      <c r="FF76" s="1098">
        <v>2</v>
      </c>
      <c r="FG76" s="1098">
        <v>0</v>
      </c>
      <c r="FH76" s="1098">
        <v>0</v>
      </c>
      <c r="FI76" s="1098">
        <v>0</v>
      </c>
      <c r="FJ76" s="1098">
        <v>0</v>
      </c>
      <c r="FK76" s="1096">
        <v>90.130761000000007</v>
      </c>
      <c r="FL76" s="1096">
        <v>78.75</v>
      </c>
      <c r="FM76" s="1096">
        <v>180.26152200000001</v>
      </c>
      <c r="FN76" s="1096">
        <v>157.5</v>
      </c>
      <c r="FO76" s="1096">
        <v>360.52304400000003</v>
      </c>
      <c r="FP76" s="1099">
        <v>315</v>
      </c>
      <c r="FQ76" s="1064">
        <v>0.89885999999999988</v>
      </c>
      <c r="FR76" s="1065">
        <v>0.15</v>
      </c>
      <c r="FS76" s="1066">
        <v>289.50050968399586</v>
      </c>
      <c r="FT76" s="1066">
        <v>3.2237153637237084</v>
      </c>
      <c r="FU76" s="1065"/>
      <c r="FV76" s="1066">
        <v>41.347033879269176</v>
      </c>
      <c r="FW76" s="1065"/>
      <c r="FX76" s="1065"/>
      <c r="FY76" s="1065" t="s">
        <v>434</v>
      </c>
      <c r="FZ76" s="1065" t="s">
        <v>461</v>
      </c>
      <c r="GA76" s="1065">
        <v>2</v>
      </c>
      <c r="GB76" s="1065"/>
      <c r="GC76" s="1065"/>
      <c r="GD76" s="1065"/>
      <c r="GE76" s="1065"/>
      <c r="GF76" s="1066">
        <v>91.737878626659594</v>
      </c>
      <c r="GG76" s="1066">
        <v>78.75</v>
      </c>
      <c r="GH76" s="1066">
        <v>183.47575725331919</v>
      </c>
      <c r="GI76" s="1066">
        <v>157.5</v>
      </c>
      <c r="GJ76" s="1066">
        <v>366.95151450663838</v>
      </c>
      <c r="GK76" s="1066">
        <v>315</v>
      </c>
      <c r="GL76" s="584">
        <v>0.75760000000000005</v>
      </c>
      <c r="GM76" s="584">
        <v>0.15</v>
      </c>
      <c r="GN76" s="584"/>
      <c r="GO76" s="584"/>
      <c r="GP76" s="584"/>
      <c r="GQ76" s="584">
        <v>36.411111111111097</v>
      </c>
      <c r="GR76" s="584"/>
      <c r="GS76" s="584">
        <v>76.452599388379198</v>
      </c>
      <c r="GT76" s="584" t="s">
        <v>408</v>
      </c>
      <c r="GU76" s="584" t="s">
        <v>408</v>
      </c>
      <c r="GV76" s="584">
        <v>1</v>
      </c>
      <c r="GW76" s="584"/>
      <c r="GX76" s="584"/>
      <c r="GY76" s="584"/>
      <c r="GZ76" s="584"/>
      <c r="HA76" s="584">
        <v>42.911842499999999</v>
      </c>
      <c r="HB76" s="584">
        <v>78.75</v>
      </c>
      <c r="HC76" s="584">
        <v>85.823684999999998</v>
      </c>
      <c r="HD76" s="584">
        <v>157.5</v>
      </c>
      <c r="HE76" s="584">
        <v>171.64737</v>
      </c>
      <c r="HF76" s="584">
        <v>315</v>
      </c>
      <c r="HG76" s="1100">
        <v>1.1500000000000001</v>
      </c>
      <c r="HH76" s="1100">
        <v>0.11</v>
      </c>
      <c r="HI76" s="1101">
        <v>0</v>
      </c>
      <c r="HJ76" s="1101">
        <v>0</v>
      </c>
      <c r="HK76" s="1101">
        <v>0</v>
      </c>
      <c r="HL76" s="1101">
        <v>0</v>
      </c>
      <c r="HM76" s="1101">
        <v>47.64</v>
      </c>
      <c r="HN76" s="1101">
        <v>54.999999999999993</v>
      </c>
      <c r="HO76" s="1101">
        <v>0</v>
      </c>
      <c r="HP76" s="1101">
        <v>0</v>
      </c>
      <c r="HQ76" s="1101">
        <v>2</v>
      </c>
      <c r="HR76" s="1101">
        <v>1.04</v>
      </c>
      <c r="HS76" s="1101">
        <v>0.8</v>
      </c>
      <c r="HT76" s="1101">
        <v>0.3</v>
      </c>
      <c r="HU76" s="1101">
        <v>0.28000000000000003</v>
      </c>
      <c r="HV76" s="1101">
        <v>40.655214000000001</v>
      </c>
      <c r="HW76" s="1101">
        <v>78.75</v>
      </c>
      <c r="HX76" s="1101">
        <v>81.310428000000002</v>
      </c>
      <c r="HY76" s="1101">
        <v>157.5</v>
      </c>
      <c r="HZ76" s="1101">
        <v>162.620856</v>
      </c>
      <c r="IA76" s="1101">
        <v>315</v>
      </c>
      <c r="IB76" s="1062"/>
      <c r="IC76" s="1092"/>
      <c r="ID76" s="1050"/>
      <c r="IE76" s="1050"/>
      <c r="IF76" s="1103"/>
      <c r="IG76" s="1103"/>
      <c r="IH76" s="1103"/>
      <c r="II76" s="1103"/>
      <c r="IJ76" s="1103"/>
      <c r="IK76" s="1103"/>
      <c r="IL76" s="1103"/>
      <c r="IM76" s="1050"/>
      <c r="IN76" s="1050"/>
      <c r="IO76" s="1050"/>
      <c r="IP76" s="1050"/>
      <c r="IQ76" s="1103"/>
      <c r="IR76" s="1103"/>
      <c r="IS76" s="1103"/>
      <c r="IT76" s="1103"/>
      <c r="IU76" s="1103"/>
      <c r="IV76" s="1103"/>
      <c r="JS76" s="1092"/>
      <c r="JU76" s="1050"/>
      <c r="JV76" s="1103"/>
      <c r="JW76" s="1103"/>
      <c r="JX76" s="1103"/>
      <c r="JY76" s="1103"/>
      <c r="JZ76" s="1103"/>
      <c r="KA76" s="1103"/>
      <c r="KB76" s="1103"/>
      <c r="KC76" s="1050"/>
      <c r="KD76" s="1050"/>
      <c r="KE76" s="1050"/>
      <c r="KF76" s="1050"/>
      <c r="KG76" s="1103"/>
      <c r="KH76" s="1103"/>
      <c r="KI76" s="1103"/>
      <c r="KJ76" s="1103"/>
      <c r="KK76" s="1103"/>
      <c r="KL76" s="1103"/>
      <c r="KM76" s="1103"/>
      <c r="KN76" s="1103"/>
    </row>
    <row r="77" spans="2:300">
      <c r="B77" s="1048" t="str">
        <f t="shared" si="2"/>
        <v>O911</v>
      </c>
      <c r="C77" s="1046">
        <v>9</v>
      </c>
      <c r="D77" s="1092">
        <v>11</v>
      </c>
      <c r="E77" s="584">
        <v>0.40500000000000003</v>
      </c>
      <c r="F77" s="584">
        <v>0.40500000000000003</v>
      </c>
      <c r="G77" s="584">
        <v>972</v>
      </c>
      <c r="H77" s="584">
        <v>27.945</v>
      </c>
      <c r="I77" s="584">
        <v>0</v>
      </c>
      <c r="J77" s="584">
        <v>0</v>
      </c>
      <c r="K77" s="584">
        <v>0</v>
      </c>
      <c r="L77" s="584">
        <v>0</v>
      </c>
      <c r="M77" s="584">
        <v>0</v>
      </c>
      <c r="N77" s="584">
        <v>0</v>
      </c>
      <c r="O77" s="584">
        <v>0</v>
      </c>
      <c r="P77" s="584">
        <v>0</v>
      </c>
      <c r="Q77" s="584">
        <v>0</v>
      </c>
      <c r="R77" s="584">
        <v>0</v>
      </c>
      <c r="S77" s="584">
        <v>0</v>
      </c>
      <c r="T77" s="584">
        <v>406.30618750000002</v>
      </c>
      <c r="U77" s="584">
        <v>86.625</v>
      </c>
      <c r="V77" s="584">
        <v>724.50937499999998</v>
      </c>
      <c r="W77" s="584">
        <v>181.91249999999999</v>
      </c>
      <c r="X77" s="584">
        <v>1198.7235000000001</v>
      </c>
      <c r="Y77" s="584">
        <v>381.15</v>
      </c>
      <c r="Z77" s="584">
        <v>0.315</v>
      </c>
      <c r="AA77" s="584">
        <v>0.315</v>
      </c>
      <c r="AB77" s="584">
        <v>756</v>
      </c>
      <c r="AC77" s="584">
        <v>24</v>
      </c>
      <c r="AD77" s="584">
        <v>0</v>
      </c>
      <c r="AE77" s="584">
        <v>0</v>
      </c>
      <c r="AF77" s="584">
        <v>0</v>
      </c>
      <c r="AG77" s="584">
        <v>0</v>
      </c>
      <c r="AH77" s="584">
        <v>0</v>
      </c>
      <c r="AI77" s="584">
        <v>0</v>
      </c>
      <c r="AJ77" s="584">
        <v>0</v>
      </c>
      <c r="AK77" s="584">
        <v>0</v>
      </c>
      <c r="AL77" s="584">
        <v>0</v>
      </c>
      <c r="AM77" s="584">
        <v>0</v>
      </c>
      <c r="AN77" s="584">
        <v>0</v>
      </c>
      <c r="AO77" s="584">
        <v>346.02868749999999</v>
      </c>
      <c r="AP77" s="584">
        <v>86.625</v>
      </c>
      <c r="AQ77" s="584">
        <v>601.18181249999998</v>
      </c>
      <c r="AR77" s="584">
        <v>181.91249999999999</v>
      </c>
      <c r="AS77" s="584">
        <v>953.69849999999997</v>
      </c>
      <c r="AT77" s="584">
        <v>381.15</v>
      </c>
      <c r="AU77" s="584">
        <v>0.85</v>
      </c>
      <c r="AV77" s="584">
        <v>0.375</v>
      </c>
      <c r="AW77" s="584">
        <v>620.20246513295103</v>
      </c>
      <c r="AX77" s="584">
        <v>32.724151133993701</v>
      </c>
      <c r="AY77" s="584">
        <v>0</v>
      </c>
      <c r="AZ77" s="584">
        <v>0</v>
      </c>
      <c r="BA77" s="584">
        <v>0</v>
      </c>
      <c r="BB77" s="584">
        <v>0</v>
      </c>
      <c r="BC77" s="584">
        <v>0</v>
      </c>
      <c r="BD77" s="584">
        <v>0</v>
      </c>
      <c r="BE77" s="584">
        <v>0</v>
      </c>
      <c r="BF77" s="584">
        <v>0</v>
      </c>
      <c r="BG77" s="584">
        <v>0.85</v>
      </c>
      <c r="BH77" s="584">
        <v>0</v>
      </c>
      <c r="BI77" s="584">
        <v>0.45</v>
      </c>
      <c r="BJ77" s="584">
        <v>321.75200303304598</v>
      </c>
      <c r="BK77" s="584">
        <v>86.625</v>
      </c>
      <c r="BL77" s="584">
        <v>523.08449956696199</v>
      </c>
      <c r="BM77" s="584">
        <v>181.91249999999999</v>
      </c>
      <c r="BN77" s="584">
        <v>787.01752800667202</v>
      </c>
      <c r="BO77" s="584">
        <v>381.15</v>
      </c>
      <c r="BP77" s="584">
        <v>0.72499999999999998</v>
      </c>
      <c r="BQ77" s="584">
        <v>0.215</v>
      </c>
      <c r="BR77" s="584">
        <v>627.67589937434798</v>
      </c>
      <c r="BS77" s="584">
        <v>32.004775237878</v>
      </c>
      <c r="BT77" s="584">
        <v>0</v>
      </c>
      <c r="BU77" s="584">
        <v>0</v>
      </c>
      <c r="BV77" s="584">
        <v>0</v>
      </c>
      <c r="BW77" s="584">
        <v>0</v>
      </c>
      <c r="BX77" s="584">
        <v>0</v>
      </c>
      <c r="BY77" s="584">
        <v>0</v>
      </c>
      <c r="BZ77" s="584">
        <v>0</v>
      </c>
      <c r="CA77" s="584">
        <v>0.52500000000000002</v>
      </c>
      <c r="CB77" s="584">
        <v>0.72499999999999998</v>
      </c>
      <c r="CC77" s="584">
        <v>0.45</v>
      </c>
      <c r="CD77" s="584">
        <v>0.45</v>
      </c>
      <c r="CE77" s="584">
        <v>319.99795</v>
      </c>
      <c r="CF77" s="584">
        <v>86.625</v>
      </c>
      <c r="CG77" s="584">
        <v>522.76544999999999</v>
      </c>
      <c r="CH77" s="584">
        <v>181.91249999999999</v>
      </c>
      <c r="CI77" s="584">
        <v>772.12732500000004</v>
      </c>
      <c r="CJ77" s="584">
        <v>381.15</v>
      </c>
      <c r="CK77" s="584">
        <v>0.875</v>
      </c>
      <c r="CL77" s="584">
        <v>0.28499999999999998</v>
      </c>
      <c r="CM77" s="584">
        <v>758.28988529718401</v>
      </c>
      <c r="CN77" s="584">
        <v>26.314875195516201</v>
      </c>
      <c r="CO77" s="584">
        <v>0</v>
      </c>
      <c r="CP77" s="584">
        <v>0</v>
      </c>
      <c r="CQ77" s="584">
        <v>0</v>
      </c>
      <c r="CR77" s="584">
        <v>0</v>
      </c>
      <c r="CS77" s="584">
        <v>0</v>
      </c>
      <c r="CT77" s="584">
        <v>0</v>
      </c>
      <c r="CU77" s="584">
        <v>0</v>
      </c>
      <c r="CV77" s="584">
        <v>0</v>
      </c>
      <c r="CW77" s="584">
        <v>0.875</v>
      </c>
      <c r="CX77" s="584">
        <v>0</v>
      </c>
      <c r="CY77" s="584">
        <v>0.6</v>
      </c>
      <c r="CZ77" s="584">
        <v>363.31105000000002</v>
      </c>
      <c r="DA77" s="584">
        <v>86.625</v>
      </c>
      <c r="DB77" s="584">
        <v>601.33042499999999</v>
      </c>
      <c r="DC77" s="584">
        <v>181.91249999999999</v>
      </c>
      <c r="DD77" s="584">
        <v>943.60230000000001</v>
      </c>
      <c r="DE77" s="584">
        <v>381.15</v>
      </c>
      <c r="DF77" s="584">
        <v>0.52500000000000002</v>
      </c>
      <c r="DG77" s="584">
        <v>0.25</v>
      </c>
      <c r="DH77" s="584">
        <v>374.37288190823801</v>
      </c>
      <c r="DI77" s="584">
        <v>18.2703935088634</v>
      </c>
      <c r="DJ77" s="584">
        <v>340</v>
      </c>
      <c r="DK77" s="584">
        <v>0</v>
      </c>
      <c r="DL77" s="584">
        <v>0</v>
      </c>
      <c r="DM77" s="584">
        <v>0</v>
      </c>
      <c r="DN77" s="584">
        <v>0</v>
      </c>
      <c r="DO77" s="584">
        <v>0</v>
      </c>
      <c r="DP77" s="584">
        <v>0</v>
      </c>
      <c r="DQ77" s="584">
        <v>0</v>
      </c>
      <c r="DR77" s="584">
        <v>0.52500000000000002</v>
      </c>
      <c r="DS77" s="584">
        <v>0</v>
      </c>
      <c r="DT77" s="584">
        <v>2.4</v>
      </c>
      <c r="DU77" s="584">
        <v>311.68374999999997</v>
      </c>
      <c r="DV77" s="584">
        <v>86.625</v>
      </c>
      <c r="DW77" s="584">
        <v>583.00649999999996</v>
      </c>
      <c r="DX77" s="584">
        <v>181.91249999999999</v>
      </c>
      <c r="DY77" s="584">
        <v>875.06775000000005</v>
      </c>
      <c r="DZ77" s="584">
        <v>381.15</v>
      </c>
      <c r="EA77" s="1062">
        <v>0.92710000000000004</v>
      </c>
      <c r="EB77" s="1046">
        <v>0.35</v>
      </c>
      <c r="EC77" s="1093">
        <v>132.51783893985731</v>
      </c>
      <c r="ED77" s="1046">
        <v>0</v>
      </c>
      <c r="EE77" s="1046">
        <v>458.71559633027522</v>
      </c>
      <c r="EF77" s="1046">
        <v>35.767676767676768</v>
      </c>
      <c r="EG77" s="1046">
        <v>0</v>
      </c>
      <c r="EH77" s="1046">
        <v>0</v>
      </c>
      <c r="EI77" s="1046" t="s">
        <v>418</v>
      </c>
      <c r="EJ77" s="1046" t="s">
        <v>445</v>
      </c>
      <c r="EK77" s="1046">
        <v>0</v>
      </c>
      <c r="EL77" s="1046">
        <v>0</v>
      </c>
      <c r="EM77" s="1046">
        <v>0</v>
      </c>
      <c r="EN77" s="1046">
        <v>0</v>
      </c>
      <c r="EO77" s="1046">
        <v>0</v>
      </c>
      <c r="EP77" s="1094">
        <v>172.03430250000002</v>
      </c>
      <c r="EQ77" s="1094">
        <v>86.625</v>
      </c>
      <c r="ER77" s="1094">
        <v>344.06860500000005</v>
      </c>
      <c r="ES77" s="1095">
        <v>173.25</v>
      </c>
      <c r="ET77" s="1094">
        <v>688.1372100000001</v>
      </c>
      <c r="EU77" s="1094">
        <v>346.5</v>
      </c>
      <c r="EV77" s="1096">
        <v>0.76719999999999999</v>
      </c>
      <c r="EW77" s="1097">
        <v>0.15</v>
      </c>
      <c r="EX77" s="1096">
        <v>289.50050968399592</v>
      </c>
      <c r="EY77" s="1096">
        <v>1.5443934760448521</v>
      </c>
      <c r="EZ77" s="1096">
        <v>0</v>
      </c>
      <c r="FA77" s="1096">
        <v>24.340404040404039</v>
      </c>
      <c r="FB77" s="1098">
        <v>0</v>
      </c>
      <c r="FC77" s="1098">
        <v>0</v>
      </c>
      <c r="FD77" s="1098" t="s">
        <v>404</v>
      </c>
      <c r="FE77" s="1098" t="s">
        <v>461</v>
      </c>
      <c r="FF77" s="1098">
        <v>2</v>
      </c>
      <c r="FG77" s="1098">
        <v>0</v>
      </c>
      <c r="FH77" s="1098">
        <v>0</v>
      </c>
      <c r="FI77" s="1098">
        <v>0</v>
      </c>
      <c r="FJ77" s="1098">
        <v>0</v>
      </c>
      <c r="FK77" s="1096">
        <v>99.097264124999995</v>
      </c>
      <c r="FL77" s="1096">
        <v>86.625</v>
      </c>
      <c r="FM77" s="1096">
        <v>198.19452824999999</v>
      </c>
      <c r="FN77" s="1096">
        <v>173.25</v>
      </c>
      <c r="FO77" s="1096">
        <v>396.38905649999998</v>
      </c>
      <c r="FP77" s="1099">
        <v>346.5</v>
      </c>
      <c r="FQ77" s="1064">
        <v>1.0990599999999999</v>
      </c>
      <c r="FR77" s="1065">
        <v>0.15</v>
      </c>
      <c r="FS77" s="1066">
        <v>289.50050968399586</v>
      </c>
      <c r="FT77" s="1066">
        <v>3.2237153637237084</v>
      </c>
      <c r="FU77" s="1065"/>
      <c r="FV77" s="1066">
        <v>47.993215441911453</v>
      </c>
      <c r="FW77" s="1065"/>
      <c r="FX77" s="1065"/>
      <c r="FY77" s="1065" t="s">
        <v>396</v>
      </c>
      <c r="FZ77" s="1065" t="s">
        <v>459</v>
      </c>
      <c r="GA77" s="1065">
        <v>2</v>
      </c>
      <c r="GB77" s="1065"/>
      <c r="GC77" s="1065"/>
      <c r="GD77" s="1065"/>
      <c r="GE77" s="1065"/>
      <c r="GF77" s="1066">
        <v>102.52534275728121</v>
      </c>
      <c r="GG77" s="1066">
        <v>86.625</v>
      </c>
      <c r="GH77" s="1066">
        <v>205.05068551456242</v>
      </c>
      <c r="GI77" s="1066">
        <v>173.25</v>
      </c>
      <c r="GJ77" s="1066">
        <v>410.10137102912483</v>
      </c>
      <c r="GK77" s="1066">
        <v>346.5</v>
      </c>
      <c r="GL77" s="584">
        <v>0.82789999999999997</v>
      </c>
      <c r="GM77" s="584">
        <v>0.15</v>
      </c>
      <c r="GN77" s="584"/>
      <c r="GO77" s="584"/>
      <c r="GP77" s="584"/>
      <c r="GQ77" s="584">
        <v>39.194949494949498</v>
      </c>
      <c r="GR77" s="584"/>
      <c r="GS77" s="584">
        <v>76.452599388379198</v>
      </c>
      <c r="GT77" s="584" t="s">
        <v>406</v>
      </c>
      <c r="GU77" s="584" t="s">
        <v>396</v>
      </c>
      <c r="GV77" s="584">
        <v>1</v>
      </c>
      <c r="GW77" s="584"/>
      <c r="GX77" s="584"/>
      <c r="GY77" s="584"/>
      <c r="GZ77" s="584"/>
      <c r="HA77" s="584">
        <v>47.878935749999997</v>
      </c>
      <c r="HB77" s="584">
        <v>86.625</v>
      </c>
      <c r="HC77" s="584">
        <v>95.757871499999993</v>
      </c>
      <c r="HD77" s="584">
        <v>173.25</v>
      </c>
      <c r="HE77" s="584">
        <v>191.51574299999999</v>
      </c>
      <c r="HF77" s="584">
        <v>346.5</v>
      </c>
      <c r="HG77" s="1100">
        <v>1.1900000000000002</v>
      </c>
      <c r="HH77" s="1100">
        <v>0.11</v>
      </c>
      <c r="HI77" s="1101">
        <v>0</v>
      </c>
      <c r="HJ77" s="1101">
        <v>0</v>
      </c>
      <c r="HK77" s="1101">
        <v>0</v>
      </c>
      <c r="HL77" s="1101">
        <v>0</v>
      </c>
      <c r="HM77" s="1101">
        <v>51.894545454545451</v>
      </c>
      <c r="HN77" s="1101">
        <v>54.999999999999993</v>
      </c>
      <c r="HO77" s="1101">
        <v>0</v>
      </c>
      <c r="HP77" s="1101">
        <v>0</v>
      </c>
      <c r="HQ77" s="1101">
        <v>2</v>
      </c>
      <c r="HR77" s="1101">
        <v>1.08</v>
      </c>
      <c r="HS77" s="1101">
        <v>0.92</v>
      </c>
      <c r="HT77" s="1101">
        <v>0.3</v>
      </c>
      <c r="HU77" s="1101">
        <v>0.28000000000000003</v>
      </c>
      <c r="HV77" s="1101">
        <v>45.753728399999993</v>
      </c>
      <c r="HW77" s="1101">
        <v>86.625</v>
      </c>
      <c r="HX77" s="1101">
        <v>91.507456799999986</v>
      </c>
      <c r="HY77" s="1101">
        <v>173.25</v>
      </c>
      <c r="HZ77" s="1101">
        <v>183.01491359999997</v>
      </c>
      <c r="IA77" s="1101">
        <v>346.5</v>
      </c>
      <c r="IB77" s="1062"/>
      <c r="IC77" s="1092"/>
      <c r="ID77" s="1050"/>
      <c r="IE77" s="1050"/>
      <c r="IF77" s="1103"/>
      <c r="IG77" s="1103"/>
      <c r="IH77" s="1103"/>
      <c r="II77" s="1103"/>
      <c r="IJ77" s="1103"/>
      <c r="IK77" s="1103"/>
      <c r="IL77" s="1103"/>
      <c r="IM77" s="1050"/>
      <c r="IN77" s="1050"/>
      <c r="IO77" s="1050"/>
      <c r="IP77" s="1050"/>
      <c r="IQ77" s="1103"/>
      <c r="IR77" s="1103"/>
      <c r="IS77" s="1103"/>
      <c r="IT77" s="1103"/>
      <c r="IU77" s="1103"/>
      <c r="IV77" s="1103"/>
      <c r="JS77" s="1092"/>
      <c r="JU77" s="1050"/>
      <c r="JV77" s="1103"/>
      <c r="JW77" s="1103"/>
      <c r="JX77" s="1103"/>
      <c r="JY77" s="1103"/>
      <c r="JZ77" s="1103"/>
      <c r="KA77" s="1103"/>
      <c r="KB77" s="1103"/>
      <c r="KC77" s="1050"/>
      <c r="KD77" s="1050"/>
      <c r="KE77" s="1050"/>
      <c r="KF77" s="1050"/>
      <c r="KG77" s="1103"/>
      <c r="KH77" s="1103"/>
      <c r="KI77" s="1103"/>
      <c r="KJ77" s="1103"/>
      <c r="KK77" s="1103"/>
      <c r="KL77" s="1103"/>
      <c r="KM77" s="1103"/>
      <c r="KN77" s="1103"/>
    </row>
    <row r="78" spans="2:300">
      <c r="B78" s="1048" t="str">
        <f t="shared" si="2"/>
        <v>O912</v>
      </c>
      <c r="C78" s="1046">
        <v>9</v>
      </c>
      <c r="D78" s="1092">
        <v>12</v>
      </c>
      <c r="E78" s="584">
        <v>0.47</v>
      </c>
      <c r="F78" s="584">
        <v>0.47</v>
      </c>
      <c r="G78" s="584">
        <v>1128</v>
      </c>
      <c r="H78" s="584">
        <v>29.61</v>
      </c>
      <c r="I78" s="584">
        <v>0</v>
      </c>
      <c r="J78" s="584">
        <v>0</v>
      </c>
      <c r="K78" s="584">
        <v>0</v>
      </c>
      <c r="L78" s="584">
        <v>0</v>
      </c>
      <c r="M78" s="584">
        <v>0</v>
      </c>
      <c r="N78" s="584">
        <v>0</v>
      </c>
      <c r="O78" s="584">
        <v>0</v>
      </c>
      <c r="P78" s="584">
        <v>0</v>
      </c>
      <c r="Q78" s="584">
        <v>0</v>
      </c>
      <c r="R78" s="584">
        <v>0</v>
      </c>
      <c r="S78" s="584">
        <v>0</v>
      </c>
      <c r="T78" s="584">
        <v>484.75243749999998</v>
      </c>
      <c r="U78" s="584">
        <v>94.5</v>
      </c>
      <c r="V78" s="584">
        <v>887.34993750000001</v>
      </c>
      <c r="W78" s="584">
        <v>198.45</v>
      </c>
      <c r="X78" s="584">
        <v>1499.931</v>
      </c>
      <c r="Y78" s="584">
        <v>415.8</v>
      </c>
      <c r="Z78" s="584">
        <v>0.34499999999999997</v>
      </c>
      <c r="AA78" s="584">
        <v>0.34499999999999997</v>
      </c>
      <c r="AB78" s="584">
        <v>828</v>
      </c>
      <c r="AC78" s="584">
        <v>23</v>
      </c>
      <c r="AD78" s="584">
        <v>0</v>
      </c>
      <c r="AE78" s="584">
        <v>0</v>
      </c>
      <c r="AF78" s="584">
        <v>0</v>
      </c>
      <c r="AG78" s="584">
        <v>0</v>
      </c>
      <c r="AH78" s="584">
        <v>0</v>
      </c>
      <c r="AI78" s="584">
        <v>0</v>
      </c>
      <c r="AJ78" s="584">
        <v>0</v>
      </c>
      <c r="AK78" s="584">
        <v>0</v>
      </c>
      <c r="AL78" s="584">
        <v>0</v>
      </c>
      <c r="AM78" s="584">
        <v>0</v>
      </c>
      <c r="AN78" s="584">
        <v>0</v>
      </c>
      <c r="AO78" s="584">
        <v>393.68993749999998</v>
      </c>
      <c r="AP78" s="584">
        <v>94.5</v>
      </c>
      <c r="AQ78" s="584">
        <v>700.97625000000005</v>
      </c>
      <c r="AR78" s="584">
        <v>198.45</v>
      </c>
      <c r="AS78" s="584">
        <v>1128.681</v>
      </c>
      <c r="AT78" s="584">
        <v>415.8</v>
      </c>
      <c r="AU78" s="584">
        <v>0.95</v>
      </c>
      <c r="AV78" s="584">
        <v>0.375</v>
      </c>
      <c r="AW78" s="584">
        <v>627.16997726456896</v>
      </c>
      <c r="AX78" s="584">
        <v>33.270570330262103</v>
      </c>
      <c r="AY78" s="584">
        <v>0</v>
      </c>
      <c r="AZ78" s="584">
        <v>0</v>
      </c>
      <c r="BA78" s="584">
        <v>0</v>
      </c>
      <c r="BB78" s="584">
        <v>0</v>
      </c>
      <c r="BC78" s="584">
        <v>0</v>
      </c>
      <c r="BD78" s="584">
        <v>0</v>
      </c>
      <c r="BE78" s="584">
        <v>0</v>
      </c>
      <c r="BF78" s="584">
        <v>0</v>
      </c>
      <c r="BG78" s="584">
        <v>0.95</v>
      </c>
      <c r="BH78" s="584">
        <v>0</v>
      </c>
      <c r="BI78" s="584">
        <v>0.45</v>
      </c>
      <c r="BJ78" s="584">
        <v>356.49826870438</v>
      </c>
      <c r="BK78" s="584">
        <v>94.5</v>
      </c>
      <c r="BL78" s="584">
        <v>579.56454607664205</v>
      </c>
      <c r="BM78" s="584">
        <v>198.45</v>
      </c>
      <c r="BN78" s="584">
        <v>850.31080291970795</v>
      </c>
      <c r="BO78" s="584">
        <v>415.8</v>
      </c>
      <c r="BP78" s="584">
        <v>0.85</v>
      </c>
      <c r="BQ78" s="584">
        <v>0.22500000000000001</v>
      </c>
      <c r="BR78" s="584">
        <v>694.34859997606804</v>
      </c>
      <c r="BS78" s="584">
        <v>41.550337666028497</v>
      </c>
      <c r="BT78" s="584">
        <v>0</v>
      </c>
      <c r="BU78" s="584">
        <v>0</v>
      </c>
      <c r="BV78" s="584">
        <v>0</v>
      </c>
      <c r="BW78" s="584">
        <v>0</v>
      </c>
      <c r="BX78" s="584">
        <v>0</v>
      </c>
      <c r="BY78" s="584">
        <v>0</v>
      </c>
      <c r="BZ78" s="584">
        <v>0</v>
      </c>
      <c r="CA78" s="584">
        <v>0.52500000000000002</v>
      </c>
      <c r="CB78" s="584">
        <v>0.85</v>
      </c>
      <c r="CC78" s="584">
        <v>0.45</v>
      </c>
      <c r="CD78" s="584">
        <v>0.45</v>
      </c>
      <c r="CE78" s="584">
        <v>376.60662500000001</v>
      </c>
      <c r="CF78" s="584">
        <v>94.5</v>
      </c>
      <c r="CG78" s="584">
        <v>623.36896875000002</v>
      </c>
      <c r="CH78" s="584">
        <v>198.45</v>
      </c>
      <c r="CI78" s="584">
        <v>882.34818749999999</v>
      </c>
      <c r="CJ78" s="584">
        <v>415.8</v>
      </c>
      <c r="CK78" s="584">
        <v>1</v>
      </c>
      <c r="CL78" s="584">
        <v>0.28499999999999998</v>
      </c>
      <c r="CM78" s="584">
        <v>784.93661002752197</v>
      </c>
      <c r="CN78" s="584">
        <v>27.235538769893498</v>
      </c>
      <c r="CO78" s="584">
        <v>0</v>
      </c>
      <c r="CP78" s="584">
        <v>0</v>
      </c>
      <c r="CQ78" s="584">
        <v>0</v>
      </c>
      <c r="CR78" s="584">
        <v>0</v>
      </c>
      <c r="CS78" s="584">
        <v>0</v>
      </c>
      <c r="CT78" s="584">
        <v>0</v>
      </c>
      <c r="CU78" s="584">
        <v>0</v>
      </c>
      <c r="CV78" s="584">
        <v>0</v>
      </c>
      <c r="CW78" s="584">
        <v>1</v>
      </c>
      <c r="CX78" s="584">
        <v>0</v>
      </c>
      <c r="CY78" s="584">
        <v>0.6</v>
      </c>
      <c r="CZ78" s="584">
        <v>413.010425</v>
      </c>
      <c r="DA78" s="584">
        <v>94.5</v>
      </c>
      <c r="DB78" s="584">
        <v>682.68105000000003</v>
      </c>
      <c r="DC78" s="584">
        <v>198.45</v>
      </c>
      <c r="DD78" s="584">
        <v>1045.26855</v>
      </c>
      <c r="DE78" s="584">
        <v>415.8</v>
      </c>
      <c r="DF78" s="584">
        <v>0.57499999999999996</v>
      </c>
      <c r="DG78" s="584">
        <v>0.25</v>
      </c>
      <c r="DH78" s="584">
        <v>404.032547564916</v>
      </c>
      <c r="DI78" s="584">
        <v>19.388190020342201</v>
      </c>
      <c r="DJ78" s="584">
        <v>340</v>
      </c>
      <c r="DK78" s="584">
        <v>0</v>
      </c>
      <c r="DL78" s="584">
        <v>0</v>
      </c>
      <c r="DM78" s="584">
        <v>0</v>
      </c>
      <c r="DN78" s="584">
        <v>0</v>
      </c>
      <c r="DO78" s="584">
        <v>0</v>
      </c>
      <c r="DP78" s="584">
        <v>0</v>
      </c>
      <c r="DQ78" s="584">
        <v>0</v>
      </c>
      <c r="DR78" s="584">
        <v>0.57499999999999996</v>
      </c>
      <c r="DS78" s="584">
        <v>0</v>
      </c>
      <c r="DT78" s="584">
        <v>2.4</v>
      </c>
      <c r="DU78" s="584">
        <v>341.92374999999998</v>
      </c>
      <c r="DV78" s="584">
        <v>94.5</v>
      </c>
      <c r="DW78" s="584">
        <v>641.04525000000001</v>
      </c>
      <c r="DX78" s="584">
        <v>198.45</v>
      </c>
      <c r="DY78" s="584">
        <v>989.74125000000004</v>
      </c>
      <c r="DZ78" s="584">
        <v>415.8</v>
      </c>
      <c r="EA78" s="1062">
        <v>1.1197999999999999</v>
      </c>
      <c r="EB78" s="1046">
        <v>0.35</v>
      </c>
      <c r="EC78" s="1093">
        <v>132.51783893985731</v>
      </c>
      <c r="ED78" s="1046">
        <v>0</v>
      </c>
      <c r="EE78" s="1046">
        <v>458.71559633027522</v>
      </c>
      <c r="EF78" s="1046">
        <v>31.211111111111112</v>
      </c>
      <c r="EG78" s="1046">
        <v>0</v>
      </c>
      <c r="EH78" s="1046">
        <v>0</v>
      </c>
      <c r="EI78" s="1046" t="s">
        <v>383</v>
      </c>
      <c r="EJ78" s="1046" t="s">
        <v>442</v>
      </c>
      <c r="EK78" s="1046">
        <v>0</v>
      </c>
      <c r="EL78" s="1046">
        <v>0</v>
      </c>
      <c r="EM78" s="1046">
        <v>0</v>
      </c>
      <c r="EN78" s="1046">
        <v>0</v>
      </c>
      <c r="EO78" s="1046">
        <v>0</v>
      </c>
      <c r="EP78" s="1094">
        <v>186.46688700000001</v>
      </c>
      <c r="EQ78" s="1094">
        <v>94.5</v>
      </c>
      <c r="ER78" s="1094">
        <v>372.93377400000003</v>
      </c>
      <c r="ES78" s="1095">
        <v>189</v>
      </c>
      <c r="ET78" s="1094">
        <v>745.86754800000006</v>
      </c>
      <c r="EU78" s="1094">
        <v>378</v>
      </c>
      <c r="EV78" s="1096">
        <v>0.83350000000000002</v>
      </c>
      <c r="EW78" s="1097">
        <v>0.15</v>
      </c>
      <c r="EX78" s="1096">
        <v>289.50050968399592</v>
      </c>
      <c r="EY78" s="1096">
        <v>1.5443934760448521</v>
      </c>
      <c r="EZ78" s="1096">
        <v>0</v>
      </c>
      <c r="FA78" s="1096">
        <v>23.297222222222217</v>
      </c>
      <c r="FB78" s="1098">
        <v>0</v>
      </c>
      <c r="FC78" s="1098">
        <v>0</v>
      </c>
      <c r="FD78" s="1098" t="s">
        <v>394</v>
      </c>
      <c r="FE78" s="1098" t="s">
        <v>461</v>
      </c>
      <c r="FF78" s="1098">
        <v>2</v>
      </c>
      <c r="FG78" s="1098">
        <v>0</v>
      </c>
      <c r="FH78" s="1098">
        <v>0</v>
      </c>
      <c r="FI78" s="1098">
        <v>0</v>
      </c>
      <c r="FJ78" s="1098">
        <v>0</v>
      </c>
      <c r="FK78" s="1096">
        <v>107.82979875000001</v>
      </c>
      <c r="FL78" s="1096">
        <v>94.5</v>
      </c>
      <c r="FM78" s="1096">
        <v>215.65959750000002</v>
      </c>
      <c r="FN78" s="1096">
        <v>189</v>
      </c>
      <c r="FO78" s="1096">
        <v>431.31919500000004</v>
      </c>
      <c r="FP78" s="1099">
        <v>378</v>
      </c>
      <c r="FQ78" s="1064">
        <v>1.0990599999999999</v>
      </c>
      <c r="FR78" s="1065">
        <v>0.15</v>
      </c>
      <c r="FS78" s="1066">
        <v>289.50050968399586</v>
      </c>
      <c r="FT78" s="1066">
        <v>3.2237153637237084</v>
      </c>
      <c r="FU78" s="1065"/>
      <c r="FV78" s="1066">
        <v>48.821376270370756</v>
      </c>
      <c r="FW78" s="1065"/>
      <c r="FX78" s="1065"/>
      <c r="FY78" s="1065" t="s">
        <v>396</v>
      </c>
      <c r="FZ78" s="1065" t="s">
        <v>438</v>
      </c>
      <c r="GA78" s="1065">
        <v>2</v>
      </c>
      <c r="GB78" s="1065"/>
      <c r="GC78" s="1065"/>
      <c r="GD78" s="1065"/>
      <c r="GE78" s="1065"/>
      <c r="GF78" s="1066">
        <v>112.06518342112258</v>
      </c>
      <c r="GG78" s="1066">
        <v>94.5</v>
      </c>
      <c r="GH78" s="1066">
        <v>224.13036684224517</v>
      </c>
      <c r="GI78" s="1066">
        <v>189</v>
      </c>
      <c r="GJ78" s="1066">
        <v>448.26073368449033</v>
      </c>
      <c r="GK78" s="1066">
        <v>378</v>
      </c>
      <c r="GL78" s="584">
        <v>0.90400000000000003</v>
      </c>
      <c r="GM78" s="584">
        <v>0.15</v>
      </c>
      <c r="GN78" s="584"/>
      <c r="GO78" s="584"/>
      <c r="GP78" s="584"/>
      <c r="GQ78" s="584">
        <v>43.077777777777797</v>
      </c>
      <c r="GR78" s="584"/>
      <c r="GS78" s="584">
        <v>76.452599388379198</v>
      </c>
      <c r="GT78" s="584" t="s">
        <v>396</v>
      </c>
      <c r="GU78" s="584" t="s">
        <v>387</v>
      </c>
      <c r="GV78" s="584">
        <v>1</v>
      </c>
      <c r="GW78" s="584"/>
      <c r="GX78" s="584"/>
      <c r="GY78" s="584"/>
      <c r="GZ78" s="584"/>
      <c r="HA78" s="584">
        <v>53.260010999999999</v>
      </c>
      <c r="HB78" s="584">
        <v>94.5</v>
      </c>
      <c r="HC78" s="584">
        <v>106.520022</v>
      </c>
      <c r="HD78" s="584">
        <v>189</v>
      </c>
      <c r="HE78" s="584">
        <v>213.04004399999999</v>
      </c>
      <c r="HF78" s="584">
        <v>378</v>
      </c>
      <c r="HG78" s="1100">
        <v>1.27</v>
      </c>
      <c r="HH78" s="1100">
        <v>0.11</v>
      </c>
      <c r="HI78" s="1101">
        <v>0</v>
      </c>
      <c r="HJ78" s="1101">
        <v>0</v>
      </c>
      <c r="HK78" s="1101">
        <v>0</v>
      </c>
      <c r="HL78" s="1101">
        <v>0</v>
      </c>
      <c r="HM78" s="1101">
        <v>58.05</v>
      </c>
      <c r="HN78" s="1101">
        <v>54.999999999999993</v>
      </c>
      <c r="HO78" s="1101">
        <v>0</v>
      </c>
      <c r="HP78" s="1101">
        <v>0</v>
      </c>
      <c r="HQ78" s="1101">
        <v>2</v>
      </c>
      <c r="HR78" s="1101">
        <v>1.1599999999999999</v>
      </c>
      <c r="HS78" s="1101">
        <v>1</v>
      </c>
      <c r="HT78" s="1101">
        <v>0.3</v>
      </c>
      <c r="HU78" s="1101">
        <v>0.3</v>
      </c>
      <c r="HV78" s="1101">
        <v>51.543553500000002</v>
      </c>
      <c r="HW78" s="1101">
        <v>94.5</v>
      </c>
      <c r="HX78" s="1101">
        <v>103.087107</v>
      </c>
      <c r="HY78" s="1101">
        <v>189</v>
      </c>
      <c r="HZ78" s="1101">
        <v>206.17421400000001</v>
      </c>
      <c r="IA78" s="1101">
        <v>378</v>
      </c>
      <c r="IB78" s="1062"/>
      <c r="IC78" s="1092"/>
      <c r="ID78" s="1050"/>
      <c r="IE78" s="1050"/>
      <c r="IF78" s="1103"/>
      <c r="IG78" s="1103"/>
      <c r="IH78" s="1103"/>
      <c r="II78" s="1103"/>
      <c r="IJ78" s="1103"/>
      <c r="IK78" s="1103"/>
      <c r="IL78" s="1103"/>
      <c r="IM78" s="1050"/>
      <c r="IN78" s="1050"/>
      <c r="IO78" s="1050"/>
      <c r="IP78" s="1050"/>
      <c r="IQ78" s="1103"/>
      <c r="IR78" s="1103"/>
      <c r="IS78" s="1103"/>
      <c r="IT78" s="1103"/>
      <c r="IU78" s="1103"/>
      <c r="IV78" s="1103"/>
      <c r="JS78" s="1092"/>
      <c r="JU78" s="1050"/>
      <c r="JV78" s="1103"/>
      <c r="JW78" s="1103"/>
      <c r="JX78" s="1103"/>
      <c r="JY78" s="1103"/>
      <c r="JZ78" s="1103"/>
      <c r="KA78" s="1103"/>
      <c r="KB78" s="1103"/>
      <c r="KC78" s="1050"/>
      <c r="KD78" s="1050"/>
      <c r="KE78" s="1050"/>
      <c r="KF78" s="1050"/>
      <c r="KG78" s="1103"/>
      <c r="KH78" s="1103"/>
      <c r="KI78" s="1103"/>
      <c r="KJ78" s="1103"/>
      <c r="KK78" s="1103"/>
      <c r="KL78" s="1103"/>
      <c r="KM78" s="1103"/>
      <c r="KN78" s="1103"/>
    </row>
    <row r="79" spans="2:300">
      <c r="B79" s="1048" t="str">
        <f t="shared" si="2"/>
        <v>O913</v>
      </c>
      <c r="C79" s="1046">
        <v>9</v>
      </c>
      <c r="D79" s="1092">
        <v>13</v>
      </c>
      <c r="E79" s="584">
        <v>0.47</v>
      </c>
      <c r="F79" s="584">
        <v>0.47</v>
      </c>
      <c r="G79" s="584">
        <v>1128</v>
      </c>
      <c r="H79" s="584">
        <v>28.2</v>
      </c>
      <c r="I79" s="584">
        <v>0</v>
      </c>
      <c r="J79" s="584">
        <v>0</v>
      </c>
      <c r="K79" s="584">
        <v>0</v>
      </c>
      <c r="L79" s="584">
        <v>0</v>
      </c>
      <c r="M79" s="584">
        <v>0</v>
      </c>
      <c r="N79" s="584">
        <v>0</v>
      </c>
      <c r="O79" s="584">
        <v>0</v>
      </c>
      <c r="P79" s="584">
        <v>0</v>
      </c>
      <c r="Q79" s="584">
        <v>0</v>
      </c>
      <c r="R79" s="584">
        <v>0</v>
      </c>
      <c r="S79" s="584">
        <v>0</v>
      </c>
      <c r="T79" s="584">
        <v>519.66493749999995</v>
      </c>
      <c r="U79" s="584">
        <v>102.375</v>
      </c>
      <c r="V79" s="584">
        <v>960.66618749999998</v>
      </c>
      <c r="W79" s="584">
        <v>214.98750000000001</v>
      </c>
      <c r="X79" s="584">
        <v>1625.7369375000001</v>
      </c>
      <c r="Y79" s="584">
        <v>450.45</v>
      </c>
      <c r="Z79" s="584">
        <v>0.39500000000000002</v>
      </c>
      <c r="AA79" s="584">
        <v>0.39500000000000002</v>
      </c>
      <c r="AB79" s="584">
        <v>948</v>
      </c>
      <c r="AC79" s="584">
        <v>27</v>
      </c>
      <c r="AD79" s="584">
        <v>0</v>
      </c>
      <c r="AE79" s="584">
        <v>0</v>
      </c>
      <c r="AF79" s="584">
        <v>0</v>
      </c>
      <c r="AG79" s="584">
        <v>0</v>
      </c>
      <c r="AH79" s="584">
        <v>0</v>
      </c>
      <c r="AI79" s="584">
        <v>0</v>
      </c>
      <c r="AJ79" s="584">
        <v>0</v>
      </c>
      <c r="AK79" s="584">
        <v>0</v>
      </c>
      <c r="AL79" s="584">
        <v>0</v>
      </c>
      <c r="AM79" s="584">
        <v>0</v>
      </c>
      <c r="AN79" s="584">
        <v>0</v>
      </c>
      <c r="AO79" s="584">
        <v>460.62118750000002</v>
      </c>
      <c r="AP79" s="584">
        <v>102.375</v>
      </c>
      <c r="AQ79" s="584">
        <v>840.3755625</v>
      </c>
      <c r="AR79" s="584">
        <v>214.98750000000001</v>
      </c>
      <c r="AS79" s="584">
        <v>1382.8634999999999</v>
      </c>
      <c r="AT79" s="584">
        <v>450.45</v>
      </c>
      <c r="AU79" s="584">
        <v>0</v>
      </c>
      <c r="AV79" s="584">
        <v>0</v>
      </c>
      <c r="AW79" s="584">
        <v>0</v>
      </c>
      <c r="AX79" s="584">
        <v>0</v>
      </c>
      <c r="AY79" s="584">
        <v>0</v>
      </c>
      <c r="AZ79" s="584">
        <v>0</v>
      </c>
      <c r="BA79" s="584">
        <v>0</v>
      </c>
      <c r="BB79" s="584">
        <v>0</v>
      </c>
      <c r="BC79" s="584">
        <v>0</v>
      </c>
      <c r="BD79" s="584">
        <v>0</v>
      </c>
      <c r="BE79" s="584">
        <v>0</v>
      </c>
      <c r="BF79" s="584">
        <v>0</v>
      </c>
      <c r="BG79" s="584">
        <v>0</v>
      </c>
      <c r="BH79" s="584">
        <v>0</v>
      </c>
      <c r="BI79" s="584">
        <v>0</v>
      </c>
      <c r="BJ79" s="584">
        <v>0</v>
      </c>
      <c r="BK79" s="584">
        <v>0</v>
      </c>
      <c r="BL79" s="584">
        <v>0</v>
      </c>
      <c r="BM79" s="584">
        <v>0</v>
      </c>
      <c r="BN79" s="584">
        <v>0</v>
      </c>
      <c r="BO79" s="584">
        <v>0</v>
      </c>
      <c r="BP79" s="584">
        <v>0.95</v>
      </c>
      <c r="BQ79" s="584">
        <v>0.23</v>
      </c>
      <c r="BR79" s="584">
        <v>727.620935633709</v>
      </c>
      <c r="BS79" s="584">
        <v>45.446402206370301</v>
      </c>
      <c r="BT79" s="584">
        <v>0</v>
      </c>
      <c r="BU79" s="584">
        <v>0</v>
      </c>
      <c r="BV79" s="584">
        <v>0</v>
      </c>
      <c r="BW79" s="584">
        <v>0</v>
      </c>
      <c r="BX79" s="584">
        <v>0</v>
      </c>
      <c r="BY79" s="584">
        <v>0</v>
      </c>
      <c r="BZ79" s="584">
        <v>0</v>
      </c>
      <c r="CA79" s="584">
        <v>0.52500000000000002</v>
      </c>
      <c r="CB79" s="584">
        <v>0.95</v>
      </c>
      <c r="CC79" s="584">
        <v>0.45</v>
      </c>
      <c r="CD79" s="584">
        <v>0.45</v>
      </c>
      <c r="CE79" s="584">
        <v>418.91514999999998</v>
      </c>
      <c r="CF79" s="584">
        <v>102.375</v>
      </c>
      <c r="CG79" s="584">
        <v>696.61890000000005</v>
      </c>
      <c r="CH79" s="584">
        <v>214.98750000000001</v>
      </c>
      <c r="CI79" s="584">
        <v>981.75014999999996</v>
      </c>
      <c r="CJ79" s="584">
        <v>450.45</v>
      </c>
      <c r="CK79" s="584">
        <v>0</v>
      </c>
      <c r="CL79" s="584">
        <v>0</v>
      </c>
      <c r="CM79" s="584">
        <v>0</v>
      </c>
      <c r="CN79" s="584">
        <v>0</v>
      </c>
      <c r="CO79" s="584">
        <v>0</v>
      </c>
      <c r="CP79" s="584">
        <v>0</v>
      </c>
      <c r="CQ79" s="584">
        <v>0</v>
      </c>
      <c r="CR79" s="584">
        <v>0</v>
      </c>
      <c r="CS79" s="584">
        <v>0</v>
      </c>
      <c r="CT79" s="584">
        <v>0</v>
      </c>
      <c r="CU79" s="584">
        <v>0</v>
      </c>
      <c r="CV79" s="584">
        <v>0</v>
      </c>
      <c r="CW79" s="584">
        <v>0</v>
      </c>
      <c r="CX79" s="584">
        <v>0</v>
      </c>
      <c r="CY79" s="584">
        <v>0</v>
      </c>
      <c r="CZ79" s="584">
        <v>0</v>
      </c>
      <c r="DA79" s="584">
        <v>0</v>
      </c>
      <c r="DB79" s="584">
        <v>0</v>
      </c>
      <c r="DC79" s="584">
        <v>0</v>
      </c>
      <c r="DD79" s="584">
        <v>0</v>
      </c>
      <c r="DE79" s="584">
        <v>0</v>
      </c>
      <c r="DF79" s="584">
        <v>0.65</v>
      </c>
      <c r="DG79" s="584">
        <v>0.25</v>
      </c>
      <c r="DH79" s="584">
        <v>463.68115461181202</v>
      </c>
      <c r="DI79" s="584">
        <v>21.4851386861314</v>
      </c>
      <c r="DJ79" s="584">
        <v>340</v>
      </c>
      <c r="DK79" s="584">
        <v>0</v>
      </c>
      <c r="DL79" s="584">
        <v>0</v>
      </c>
      <c r="DM79" s="584">
        <v>0</v>
      </c>
      <c r="DN79" s="584">
        <v>0</v>
      </c>
      <c r="DO79" s="584">
        <v>0</v>
      </c>
      <c r="DP79" s="584">
        <v>0</v>
      </c>
      <c r="DQ79" s="584">
        <v>0</v>
      </c>
      <c r="DR79" s="584">
        <v>0.65</v>
      </c>
      <c r="DS79" s="584">
        <v>0</v>
      </c>
      <c r="DT79" s="584">
        <v>2.4</v>
      </c>
      <c r="DU79" s="584">
        <v>389.68150000000003</v>
      </c>
      <c r="DV79" s="584">
        <v>102.375</v>
      </c>
      <c r="DW79" s="584">
        <v>711.95550000000003</v>
      </c>
      <c r="DX79" s="584">
        <v>214.98750000000001</v>
      </c>
      <c r="DY79" s="584">
        <v>1129.854</v>
      </c>
      <c r="DZ79" s="584">
        <v>450.45</v>
      </c>
      <c r="EA79" s="1062">
        <v>1.2407000000000001</v>
      </c>
      <c r="EB79" s="1046">
        <v>0.4</v>
      </c>
      <c r="EC79" s="1093">
        <v>132.51783893985737</v>
      </c>
      <c r="ED79" s="1046">
        <v>0</v>
      </c>
      <c r="EE79" s="1046">
        <v>519.87767584097855</v>
      </c>
      <c r="EF79" s="1046">
        <v>31.641025641025642</v>
      </c>
      <c r="EG79" s="1046">
        <v>0</v>
      </c>
      <c r="EH79" s="1046">
        <v>0</v>
      </c>
      <c r="EI79" s="1046" t="s">
        <v>379</v>
      </c>
      <c r="EJ79" s="1046" t="s">
        <v>423</v>
      </c>
      <c r="EK79" s="1046">
        <v>0</v>
      </c>
      <c r="EL79" s="1046">
        <v>0</v>
      </c>
      <c r="EM79" s="1046">
        <v>0</v>
      </c>
      <c r="EN79" s="1046">
        <v>0</v>
      </c>
      <c r="EO79" s="1046">
        <v>0</v>
      </c>
      <c r="EP79" s="1094">
        <v>219.67915499999998</v>
      </c>
      <c r="EQ79" s="1094">
        <v>102.375</v>
      </c>
      <c r="ER79" s="1094">
        <v>439.35830999999996</v>
      </c>
      <c r="ES79" s="1095">
        <v>204.75</v>
      </c>
      <c r="ET79" s="1094">
        <v>878.71661999999992</v>
      </c>
      <c r="EU79" s="1094">
        <v>409.5</v>
      </c>
      <c r="EV79" s="1096">
        <v>0.83350000000000002</v>
      </c>
      <c r="EW79" s="1097">
        <v>0.15</v>
      </c>
      <c r="EX79" s="1096">
        <v>289.50050968399592</v>
      </c>
      <c r="EY79" s="1096">
        <v>1.5443934760448521</v>
      </c>
      <c r="EZ79" s="1096">
        <v>0</v>
      </c>
      <c r="FA79" s="1096">
        <v>29.043589743589745</v>
      </c>
      <c r="FB79" s="1098">
        <v>0</v>
      </c>
      <c r="FC79" s="1098">
        <v>0</v>
      </c>
      <c r="FD79" s="1098" t="s">
        <v>394</v>
      </c>
      <c r="FE79" s="1098" t="s">
        <v>432</v>
      </c>
      <c r="FF79" s="1098">
        <v>2</v>
      </c>
      <c r="FG79" s="1098">
        <v>0</v>
      </c>
      <c r="FH79" s="1098">
        <v>0</v>
      </c>
      <c r="FI79" s="1098">
        <v>0</v>
      </c>
      <c r="FJ79" s="1098">
        <v>0</v>
      </c>
      <c r="FK79" s="1096">
        <v>118.46449237500001</v>
      </c>
      <c r="FL79" s="1096">
        <v>102.375</v>
      </c>
      <c r="FM79" s="1096">
        <v>236.92898475000001</v>
      </c>
      <c r="FN79" s="1096">
        <v>204.75</v>
      </c>
      <c r="FO79" s="1096">
        <v>473.85796950000002</v>
      </c>
      <c r="FP79" s="1099">
        <v>409.5</v>
      </c>
      <c r="FQ79" s="1064">
        <v>1.2</v>
      </c>
      <c r="FR79" s="1065">
        <v>0.15</v>
      </c>
      <c r="FS79" s="1066">
        <v>289.50050968399586</v>
      </c>
      <c r="FT79" s="1066">
        <v>3.2237153637237084</v>
      </c>
      <c r="FU79" s="1065"/>
      <c r="FV79" s="1066">
        <v>54.408300369245566</v>
      </c>
      <c r="FW79" s="1065"/>
      <c r="FX79" s="1065"/>
      <c r="FY79" s="1065" t="s">
        <v>389</v>
      </c>
      <c r="FZ79" s="1065" t="s">
        <v>416</v>
      </c>
      <c r="GA79" s="1065">
        <v>2</v>
      </c>
      <c r="GB79" s="1065"/>
      <c r="GC79" s="1065"/>
      <c r="GD79" s="1065"/>
      <c r="GE79" s="1065"/>
      <c r="GF79" s="1066">
        <v>123.00707467445753</v>
      </c>
      <c r="GG79" s="1066">
        <v>102.375</v>
      </c>
      <c r="GH79" s="1066">
        <v>246.01414934891505</v>
      </c>
      <c r="GI79" s="1066">
        <v>204.75</v>
      </c>
      <c r="GJ79" s="1066">
        <v>492.02829869783011</v>
      </c>
      <c r="GK79" s="1066">
        <v>409.5</v>
      </c>
      <c r="GL79" s="584">
        <v>0.9849</v>
      </c>
      <c r="GM79" s="584">
        <v>0.15</v>
      </c>
      <c r="GN79" s="584"/>
      <c r="GO79" s="584"/>
      <c r="GP79" s="584"/>
      <c r="GQ79" s="584">
        <v>48.719658119658099</v>
      </c>
      <c r="GR79" s="584"/>
      <c r="GS79" s="584">
        <v>76.452599388379198</v>
      </c>
      <c r="GT79" s="584" t="s">
        <v>396</v>
      </c>
      <c r="GU79" s="584" t="s">
        <v>381</v>
      </c>
      <c r="GV79" s="584">
        <v>1</v>
      </c>
      <c r="GW79" s="584"/>
      <c r="GX79" s="584"/>
      <c r="GY79" s="584"/>
      <c r="GZ79" s="584"/>
      <c r="HA79" s="584">
        <v>59.317240499999997</v>
      </c>
      <c r="HB79" s="584">
        <v>102.375</v>
      </c>
      <c r="HC79" s="584">
        <v>118.63448099999999</v>
      </c>
      <c r="HD79" s="584">
        <v>204.75</v>
      </c>
      <c r="HE79" s="584">
        <v>237.26896199999999</v>
      </c>
      <c r="HF79" s="584">
        <v>409.5</v>
      </c>
      <c r="HG79" s="1100">
        <v>1.3900000000000001</v>
      </c>
      <c r="HH79" s="1100">
        <v>0.11</v>
      </c>
      <c r="HI79" s="1101">
        <v>0</v>
      </c>
      <c r="HJ79" s="1101">
        <v>0</v>
      </c>
      <c r="HK79" s="1101">
        <v>0</v>
      </c>
      <c r="HL79" s="1101">
        <v>0</v>
      </c>
      <c r="HM79" s="1101">
        <v>63.692307692307701</v>
      </c>
      <c r="HN79" s="1101">
        <v>54.999999999999993</v>
      </c>
      <c r="HO79" s="1101">
        <v>0</v>
      </c>
      <c r="HP79" s="1101">
        <v>0</v>
      </c>
      <c r="HQ79" s="1101">
        <v>2</v>
      </c>
      <c r="HR79" s="1101">
        <v>1.28</v>
      </c>
      <c r="HS79" s="1101">
        <v>1.1200000000000001</v>
      </c>
      <c r="HT79" s="1101">
        <v>0.3</v>
      </c>
      <c r="HU79" s="1101">
        <v>0.3</v>
      </c>
      <c r="HV79" s="1101">
        <v>57.457867500000006</v>
      </c>
      <c r="HW79" s="1101">
        <v>102.375</v>
      </c>
      <c r="HX79" s="1101">
        <v>114.91573500000001</v>
      </c>
      <c r="HY79" s="1101">
        <v>204.75</v>
      </c>
      <c r="HZ79" s="1101">
        <v>229.83147000000002</v>
      </c>
      <c r="IA79" s="1101">
        <v>409.5</v>
      </c>
      <c r="IB79" s="1062"/>
      <c r="IC79" s="1092"/>
      <c r="ID79" s="1050"/>
      <c r="IE79" s="1050"/>
      <c r="IF79" s="1103"/>
      <c r="IG79" s="1103"/>
      <c r="IH79" s="1103"/>
      <c r="II79" s="1103"/>
      <c r="IJ79" s="1103"/>
      <c r="IK79" s="1103"/>
      <c r="IL79" s="1103"/>
      <c r="IM79" s="1050"/>
      <c r="IN79" s="1050"/>
      <c r="IO79" s="1050"/>
      <c r="IP79" s="1050"/>
      <c r="IQ79" s="1103"/>
      <c r="IR79" s="1103"/>
      <c r="IS79" s="1103"/>
      <c r="IT79" s="1103"/>
      <c r="IU79" s="1103"/>
      <c r="IV79" s="1103"/>
      <c r="JS79" s="1092"/>
      <c r="JU79" s="1050"/>
      <c r="JV79" s="1103"/>
      <c r="JW79" s="1103"/>
      <c r="JX79" s="1103"/>
      <c r="JY79" s="1103"/>
      <c r="JZ79" s="1103"/>
      <c r="KA79" s="1103"/>
      <c r="KB79" s="1103"/>
      <c r="KC79" s="1050"/>
      <c r="KD79" s="1050"/>
      <c r="KE79" s="1050"/>
      <c r="KF79" s="1050"/>
      <c r="KG79" s="1103"/>
      <c r="KH79" s="1103"/>
      <c r="KI79" s="1103"/>
      <c r="KJ79" s="1103"/>
      <c r="KK79" s="1103"/>
      <c r="KL79" s="1103"/>
      <c r="KM79" s="1103"/>
      <c r="KN79" s="1103"/>
    </row>
    <row r="80" spans="2:300">
      <c r="B80" s="1048" t="str">
        <f t="shared" si="2"/>
        <v>O914</v>
      </c>
      <c r="C80" s="1046">
        <v>9</v>
      </c>
      <c r="D80" s="1092">
        <v>14</v>
      </c>
      <c r="E80" s="584">
        <v>0.47</v>
      </c>
      <c r="F80" s="584">
        <v>0.47</v>
      </c>
      <c r="G80" s="584">
        <v>1128</v>
      </c>
      <c r="H80" s="584">
        <v>26.79</v>
      </c>
      <c r="I80" s="584">
        <v>0</v>
      </c>
      <c r="J80" s="584">
        <v>0</v>
      </c>
      <c r="K80" s="584">
        <v>0</v>
      </c>
      <c r="L80" s="584">
        <v>0</v>
      </c>
      <c r="M80" s="584">
        <v>0</v>
      </c>
      <c r="N80" s="584">
        <v>0</v>
      </c>
      <c r="O80" s="584">
        <v>0</v>
      </c>
      <c r="P80" s="584">
        <v>0</v>
      </c>
      <c r="Q80" s="584">
        <v>0</v>
      </c>
      <c r="R80" s="584">
        <v>0</v>
      </c>
      <c r="S80" s="584">
        <v>0</v>
      </c>
      <c r="T80" s="584">
        <v>554.57743749999997</v>
      </c>
      <c r="U80" s="584">
        <v>110.25</v>
      </c>
      <c r="V80" s="584">
        <v>1033.9824375000001</v>
      </c>
      <c r="W80" s="584">
        <v>231.52500000000001</v>
      </c>
      <c r="X80" s="584">
        <v>1749.9819375</v>
      </c>
      <c r="Y80" s="584">
        <v>485.1</v>
      </c>
      <c r="Z80" s="584">
        <v>0.48</v>
      </c>
      <c r="AA80" s="584">
        <v>0.48</v>
      </c>
      <c r="AB80" s="584">
        <v>1152</v>
      </c>
      <c r="AC80" s="584">
        <v>27</v>
      </c>
      <c r="AD80" s="584">
        <v>0</v>
      </c>
      <c r="AE80" s="584">
        <v>0</v>
      </c>
      <c r="AF80" s="584">
        <v>0</v>
      </c>
      <c r="AG80" s="584">
        <v>0</v>
      </c>
      <c r="AH80" s="584">
        <v>0</v>
      </c>
      <c r="AI80" s="584">
        <v>0</v>
      </c>
      <c r="AJ80" s="584">
        <v>0</v>
      </c>
      <c r="AK80" s="584">
        <v>0</v>
      </c>
      <c r="AL80" s="584">
        <v>0</v>
      </c>
      <c r="AM80" s="584">
        <v>0</v>
      </c>
      <c r="AN80" s="584">
        <v>0</v>
      </c>
      <c r="AO80" s="584">
        <v>563.03743750000001</v>
      </c>
      <c r="AP80" s="584">
        <v>110.25</v>
      </c>
      <c r="AQ80" s="584">
        <v>1052.691</v>
      </c>
      <c r="AR80" s="584">
        <v>231.52500000000001</v>
      </c>
      <c r="AS80" s="584">
        <v>1784.6319375</v>
      </c>
      <c r="AT80" s="584">
        <v>485.1</v>
      </c>
      <c r="AU80" s="584">
        <v>0</v>
      </c>
      <c r="AV80" s="584">
        <v>0</v>
      </c>
      <c r="AW80" s="584">
        <v>0</v>
      </c>
      <c r="AX80" s="584">
        <v>0</v>
      </c>
      <c r="AY80" s="584">
        <v>0</v>
      </c>
      <c r="AZ80" s="584">
        <v>0</v>
      </c>
      <c r="BA80" s="584">
        <v>0</v>
      </c>
      <c r="BB80" s="584">
        <v>0</v>
      </c>
      <c r="BC80" s="584">
        <v>0</v>
      </c>
      <c r="BD80" s="584">
        <v>0</v>
      </c>
      <c r="BE80" s="584">
        <v>0</v>
      </c>
      <c r="BF80" s="584">
        <v>0</v>
      </c>
      <c r="BG80" s="584">
        <v>0</v>
      </c>
      <c r="BH80" s="584">
        <v>0</v>
      </c>
      <c r="BI80" s="584">
        <v>0</v>
      </c>
      <c r="BJ80" s="584">
        <v>0</v>
      </c>
      <c r="BK80" s="584">
        <v>0</v>
      </c>
      <c r="BL80" s="584">
        <v>0</v>
      </c>
      <c r="BM80" s="584">
        <v>0</v>
      </c>
      <c r="BN80" s="584">
        <v>0</v>
      </c>
      <c r="BO80" s="584">
        <v>0</v>
      </c>
      <c r="BP80" s="584">
        <v>1.075</v>
      </c>
      <c r="BQ80" s="584">
        <v>0.23</v>
      </c>
      <c r="BR80" s="584">
        <v>772.42667317775295</v>
      </c>
      <c r="BS80" s="584">
        <v>52.099384830883103</v>
      </c>
      <c r="BT80" s="584">
        <v>0</v>
      </c>
      <c r="BU80" s="584">
        <v>0</v>
      </c>
      <c r="BV80" s="584">
        <v>0</v>
      </c>
      <c r="BW80" s="584">
        <v>0</v>
      </c>
      <c r="BX80" s="584">
        <v>0</v>
      </c>
      <c r="BY80" s="584">
        <v>0</v>
      </c>
      <c r="BZ80" s="584">
        <v>0</v>
      </c>
      <c r="CA80" s="584">
        <v>0.52500000000000002</v>
      </c>
      <c r="CB80" s="584">
        <v>1.075</v>
      </c>
      <c r="CC80" s="584">
        <v>0.45</v>
      </c>
      <c r="CD80" s="584">
        <v>0.45</v>
      </c>
      <c r="CE80" s="584">
        <v>477.61765000000003</v>
      </c>
      <c r="CF80" s="584">
        <v>110.25</v>
      </c>
      <c r="CG80" s="584">
        <v>801.89827500000001</v>
      </c>
      <c r="CH80" s="584">
        <v>231.52500000000001</v>
      </c>
      <c r="CI80" s="584">
        <v>1073.4460875</v>
      </c>
      <c r="CJ80" s="584">
        <v>485.1</v>
      </c>
      <c r="CK80" s="584">
        <v>0</v>
      </c>
      <c r="CL80" s="584">
        <v>0</v>
      </c>
      <c r="CM80" s="584">
        <v>0</v>
      </c>
      <c r="CN80" s="584">
        <v>0</v>
      </c>
      <c r="CO80" s="584">
        <v>0</v>
      </c>
      <c r="CP80" s="584">
        <v>0</v>
      </c>
      <c r="CQ80" s="584">
        <v>0</v>
      </c>
      <c r="CR80" s="584">
        <v>0</v>
      </c>
      <c r="CS80" s="584">
        <v>0</v>
      </c>
      <c r="CT80" s="584">
        <v>0</v>
      </c>
      <c r="CU80" s="584">
        <v>0</v>
      </c>
      <c r="CV80" s="584">
        <v>0</v>
      </c>
      <c r="CW80" s="584">
        <v>0</v>
      </c>
      <c r="CX80" s="584">
        <v>0</v>
      </c>
      <c r="CY80" s="584">
        <v>0</v>
      </c>
      <c r="CZ80" s="584">
        <v>0</v>
      </c>
      <c r="DA80" s="584">
        <v>0</v>
      </c>
      <c r="DB80" s="584">
        <v>0</v>
      </c>
      <c r="DC80" s="584">
        <v>0</v>
      </c>
      <c r="DD80" s="584">
        <v>0</v>
      </c>
      <c r="DE80" s="584">
        <v>0</v>
      </c>
      <c r="DF80" s="584">
        <v>0.72499999999999998</v>
      </c>
      <c r="DG80" s="584">
        <v>0.25</v>
      </c>
      <c r="DH80" s="584">
        <v>507.44319934203799</v>
      </c>
      <c r="DI80" s="584">
        <v>22.6292684280868</v>
      </c>
      <c r="DJ80" s="584">
        <v>340</v>
      </c>
      <c r="DK80" s="584">
        <v>0</v>
      </c>
      <c r="DL80" s="584">
        <v>0</v>
      </c>
      <c r="DM80" s="584">
        <v>0</v>
      </c>
      <c r="DN80" s="584">
        <v>0</v>
      </c>
      <c r="DO80" s="584">
        <v>0</v>
      </c>
      <c r="DP80" s="584">
        <v>0</v>
      </c>
      <c r="DQ80" s="584">
        <v>0</v>
      </c>
      <c r="DR80" s="584">
        <v>0.72499999999999998</v>
      </c>
      <c r="DS80" s="584">
        <v>0</v>
      </c>
      <c r="DT80" s="584">
        <v>2.4</v>
      </c>
      <c r="DU80" s="584">
        <v>427.24525</v>
      </c>
      <c r="DV80" s="584">
        <v>110.25</v>
      </c>
      <c r="DW80" s="584">
        <v>787.24424999999997</v>
      </c>
      <c r="DX80" s="584">
        <v>231.52500000000001</v>
      </c>
      <c r="DY80" s="584">
        <v>1278.96675</v>
      </c>
      <c r="DZ80" s="584">
        <v>485.1</v>
      </c>
      <c r="EA80" s="1062">
        <v>1.3009000000000002</v>
      </c>
      <c r="EB80" s="1046">
        <v>0.45</v>
      </c>
      <c r="EC80" s="1093">
        <v>132.51783893985726</v>
      </c>
      <c r="ED80" s="1046">
        <v>0</v>
      </c>
      <c r="EE80" s="1046">
        <v>581.03975535168195</v>
      </c>
      <c r="EF80" s="1046">
        <v>40.489682539682548</v>
      </c>
      <c r="EG80" s="1046">
        <v>0</v>
      </c>
      <c r="EH80" s="1046">
        <v>0</v>
      </c>
      <c r="EI80" s="1046" t="s">
        <v>377</v>
      </c>
      <c r="EJ80" s="1046" t="s">
        <v>420</v>
      </c>
      <c r="EK80" s="1046">
        <v>0</v>
      </c>
      <c r="EL80" s="1046">
        <v>0</v>
      </c>
      <c r="EM80" s="1046">
        <v>0</v>
      </c>
      <c r="EN80" s="1046">
        <v>0</v>
      </c>
      <c r="EO80" s="1046">
        <v>0</v>
      </c>
      <c r="EP80" s="1094">
        <v>258.21191924999999</v>
      </c>
      <c r="EQ80" s="1094">
        <v>110.25</v>
      </c>
      <c r="ER80" s="1094">
        <v>516.42383849999999</v>
      </c>
      <c r="ES80" s="1095">
        <v>220.5</v>
      </c>
      <c r="ET80" s="1094">
        <v>1032.847677</v>
      </c>
      <c r="EU80" s="1094">
        <v>441</v>
      </c>
      <c r="EV80" s="1096">
        <v>0.90400000000000003</v>
      </c>
      <c r="EW80" s="1097">
        <v>0.15</v>
      </c>
      <c r="EX80" s="1096">
        <v>289.50050968399592</v>
      </c>
      <c r="EY80" s="1096">
        <v>1.5443934760448521</v>
      </c>
      <c r="EZ80" s="1096">
        <v>0</v>
      </c>
      <c r="FA80" s="1096">
        <v>32.981746031746027</v>
      </c>
      <c r="FB80" s="1098">
        <v>0</v>
      </c>
      <c r="FC80" s="1098">
        <v>0</v>
      </c>
      <c r="FD80" s="1098" t="s">
        <v>387</v>
      </c>
      <c r="FE80" s="1098" t="s">
        <v>410</v>
      </c>
      <c r="FF80" s="1098">
        <v>2</v>
      </c>
      <c r="FG80" s="1098">
        <v>0</v>
      </c>
      <c r="FH80" s="1098">
        <v>0</v>
      </c>
      <c r="FI80" s="1098">
        <v>0</v>
      </c>
      <c r="FJ80" s="1098">
        <v>0</v>
      </c>
      <c r="FK80" s="1096">
        <v>128.794095</v>
      </c>
      <c r="FL80" s="1096">
        <v>110.25</v>
      </c>
      <c r="FM80" s="1096">
        <v>257.58819</v>
      </c>
      <c r="FN80" s="1096">
        <v>220.5</v>
      </c>
      <c r="FO80" s="1096">
        <v>515.17637999999999</v>
      </c>
      <c r="FP80" s="1099">
        <v>441</v>
      </c>
      <c r="FQ80" s="1064">
        <v>1.2056</v>
      </c>
      <c r="FR80" s="1065">
        <v>0.15</v>
      </c>
      <c r="FS80" s="1066">
        <v>289.50050968399586</v>
      </c>
      <c r="FT80" s="1066">
        <v>3.2237153637237084</v>
      </c>
      <c r="FU80" s="1065"/>
      <c r="FV80" s="1066">
        <v>61.334579176241334</v>
      </c>
      <c r="FW80" s="1065"/>
      <c r="FX80" s="1065"/>
      <c r="FY80" s="1065" t="s">
        <v>387</v>
      </c>
      <c r="FZ80" s="1065" t="s">
        <v>412</v>
      </c>
      <c r="GA80" s="1065">
        <v>2</v>
      </c>
      <c r="GB80" s="1065"/>
      <c r="GC80" s="1065"/>
      <c r="GD80" s="1065"/>
      <c r="GE80" s="1065"/>
      <c r="GF80" s="1066">
        <v>134.60948138726729</v>
      </c>
      <c r="GG80" s="1066">
        <v>110.25</v>
      </c>
      <c r="GH80" s="1066">
        <v>269.21896277453459</v>
      </c>
      <c r="GI80" s="1066">
        <v>220.5</v>
      </c>
      <c r="GJ80" s="1066">
        <v>538.43792554906918</v>
      </c>
      <c r="GK80" s="1066">
        <v>441</v>
      </c>
      <c r="GL80" s="584">
        <v>1.0529999999999999</v>
      </c>
      <c r="GM80" s="584">
        <v>0.15</v>
      </c>
      <c r="GN80" s="584"/>
      <c r="GO80" s="584"/>
      <c r="GP80" s="584"/>
      <c r="GQ80" s="584">
        <v>54.208730158730198</v>
      </c>
      <c r="GR80" s="584"/>
      <c r="GS80" s="584">
        <v>76.452599388379198</v>
      </c>
      <c r="GT80" s="584" t="s">
        <v>389</v>
      </c>
      <c r="GU80" s="584" t="s">
        <v>375</v>
      </c>
      <c r="GV80" s="584">
        <v>1</v>
      </c>
      <c r="GW80" s="584"/>
      <c r="GX80" s="584"/>
      <c r="GY80" s="584"/>
      <c r="GZ80" s="584"/>
      <c r="HA80" s="584">
        <v>65.576310750000005</v>
      </c>
      <c r="HB80" s="584">
        <v>110.25</v>
      </c>
      <c r="HC80" s="584">
        <v>131.15262150000001</v>
      </c>
      <c r="HD80" s="584">
        <v>220.5</v>
      </c>
      <c r="HE80" s="584">
        <v>262.30524300000002</v>
      </c>
      <c r="HF80" s="584">
        <v>441</v>
      </c>
      <c r="HG80" s="1100">
        <v>1.4700000000000002</v>
      </c>
      <c r="HH80" s="1100">
        <v>0.11</v>
      </c>
      <c r="HI80" s="1101">
        <v>0</v>
      </c>
      <c r="HJ80" s="1101">
        <v>0</v>
      </c>
      <c r="HK80" s="1101">
        <v>0</v>
      </c>
      <c r="HL80" s="1101">
        <v>0</v>
      </c>
      <c r="HM80" s="1101">
        <v>68.914285714285711</v>
      </c>
      <c r="HN80" s="1101">
        <v>54.999999999999993</v>
      </c>
      <c r="HO80" s="1101">
        <v>0</v>
      </c>
      <c r="HP80" s="1101">
        <v>0</v>
      </c>
      <c r="HQ80" s="1101">
        <v>2</v>
      </c>
      <c r="HR80" s="1101">
        <v>1.36</v>
      </c>
      <c r="HS80" s="1101">
        <v>1.24</v>
      </c>
      <c r="HT80" s="1101">
        <v>0.3</v>
      </c>
      <c r="HU80" s="1101">
        <v>0.3</v>
      </c>
      <c r="HV80" s="1101">
        <v>63.491373000000003</v>
      </c>
      <c r="HW80" s="1101">
        <v>110.25</v>
      </c>
      <c r="HX80" s="1101">
        <v>126.98274600000001</v>
      </c>
      <c r="HY80" s="1101">
        <v>220.5</v>
      </c>
      <c r="HZ80" s="1101">
        <v>253.96549200000001</v>
      </c>
      <c r="IA80" s="1101">
        <v>441</v>
      </c>
      <c r="IB80" s="1062"/>
      <c r="IC80" s="1092"/>
      <c r="ID80" s="1050"/>
      <c r="IE80" s="1050"/>
      <c r="IF80" s="1103"/>
      <c r="IG80" s="1103"/>
      <c r="IH80" s="1103"/>
      <c r="II80" s="1103"/>
      <c r="IJ80" s="1103"/>
      <c r="IK80" s="1103"/>
      <c r="IL80" s="1103"/>
      <c r="IM80" s="1050"/>
      <c r="IN80" s="1050"/>
      <c r="IO80" s="1050"/>
      <c r="IP80" s="1050"/>
      <c r="IQ80" s="1103"/>
      <c r="IR80" s="1103"/>
      <c r="IS80" s="1103"/>
      <c r="IT80" s="1103"/>
      <c r="IU80" s="1103"/>
      <c r="IV80" s="1103"/>
      <c r="JS80" s="1092"/>
      <c r="JU80" s="1050"/>
      <c r="JV80" s="1103"/>
      <c r="JW80" s="1103"/>
      <c r="JX80" s="1103"/>
      <c r="JY80" s="1103"/>
      <c r="JZ80" s="1103"/>
      <c r="KA80" s="1103"/>
      <c r="KB80" s="1103"/>
      <c r="KC80" s="1050"/>
      <c r="KD80" s="1050"/>
      <c r="KE80" s="1050"/>
      <c r="KF80" s="1050"/>
      <c r="KG80" s="1103"/>
      <c r="KH80" s="1103"/>
      <c r="KI80" s="1103"/>
      <c r="KJ80" s="1103"/>
      <c r="KK80" s="1103"/>
      <c r="KL80" s="1103"/>
      <c r="KM80" s="1103"/>
      <c r="KN80" s="1103"/>
    </row>
    <row r="81" spans="2:300">
      <c r="B81" s="1048" t="str">
        <f t="shared" si="2"/>
        <v>O915</v>
      </c>
      <c r="C81" s="1046">
        <v>9</v>
      </c>
      <c r="D81" s="1092">
        <v>15</v>
      </c>
      <c r="E81" s="584">
        <v>0</v>
      </c>
      <c r="F81" s="584">
        <v>0</v>
      </c>
      <c r="G81" s="584">
        <v>0</v>
      </c>
      <c r="H81" s="584">
        <v>0</v>
      </c>
      <c r="I81" s="584">
        <v>0</v>
      </c>
      <c r="J81" s="584">
        <v>0</v>
      </c>
      <c r="K81" s="584">
        <v>0</v>
      </c>
      <c r="L81" s="584">
        <v>0</v>
      </c>
      <c r="M81" s="584">
        <v>0</v>
      </c>
      <c r="N81" s="584">
        <v>0</v>
      </c>
      <c r="O81" s="584">
        <v>0</v>
      </c>
      <c r="P81" s="584">
        <v>0</v>
      </c>
      <c r="Q81" s="584">
        <v>0</v>
      </c>
      <c r="R81" s="584">
        <v>0</v>
      </c>
      <c r="S81" s="584">
        <v>0</v>
      </c>
      <c r="T81" s="584">
        <v>0</v>
      </c>
      <c r="U81" s="584">
        <v>0</v>
      </c>
      <c r="V81" s="584">
        <v>0</v>
      </c>
      <c r="W81" s="584">
        <v>0</v>
      </c>
      <c r="X81" s="584">
        <v>0</v>
      </c>
      <c r="Y81" s="584">
        <v>0</v>
      </c>
      <c r="Z81" s="584">
        <v>0</v>
      </c>
      <c r="AA81" s="584">
        <v>0</v>
      </c>
      <c r="AB81" s="584">
        <v>0</v>
      </c>
      <c r="AC81" s="584">
        <v>0</v>
      </c>
      <c r="AD81" s="584">
        <v>0</v>
      </c>
      <c r="AE81" s="584">
        <v>0</v>
      </c>
      <c r="AF81" s="584">
        <v>0</v>
      </c>
      <c r="AG81" s="584">
        <v>0</v>
      </c>
      <c r="AH81" s="584">
        <v>0</v>
      </c>
      <c r="AI81" s="584">
        <v>0</v>
      </c>
      <c r="AJ81" s="584">
        <v>0</v>
      </c>
      <c r="AK81" s="584">
        <v>0</v>
      </c>
      <c r="AL81" s="584">
        <v>0</v>
      </c>
      <c r="AM81" s="584">
        <v>0</v>
      </c>
      <c r="AN81" s="584">
        <v>0</v>
      </c>
      <c r="AO81" s="584">
        <v>0</v>
      </c>
      <c r="AP81" s="584">
        <v>0</v>
      </c>
      <c r="AQ81" s="584">
        <v>0</v>
      </c>
      <c r="AR81" s="584">
        <v>0</v>
      </c>
      <c r="AS81" s="584">
        <v>0</v>
      </c>
      <c r="AT81" s="584">
        <v>0</v>
      </c>
      <c r="AU81" s="584">
        <v>0</v>
      </c>
      <c r="AV81" s="584">
        <v>0</v>
      </c>
      <c r="AW81" s="584">
        <v>0</v>
      </c>
      <c r="AX81" s="584">
        <v>0</v>
      </c>
      <c r="AY81" s="584">
        <v>0</v>
      </c>
      <c r="AZ81" s="584">
        <v>0</v>
      </c>
      <c r="BA81" s="584">
        <v>0</v>
      </c>
      <c r="BB81" s="584">
        <v>0</v>
      </c>
      <c r="BC81" s="584">
        <v>0</v>
      </c>
      <c r="BD81" s="584">
        <v>0</v>
      </c>
      <c r="BE81" s="584">
        <v>0</v>
      </c>
      <c r="BF81" s="584">
        <v>0</v>
      </c>
      <c r="BG81" s="584">
        <v>0</v>
      </c>
      <c r="BH81" s="584">
        <v>0</v>
      </c>
      <c r="BI81" s="584">
        <v>0</v>
      </c>
      <c r="BJ81" s="584">
        <v>0</v>
      </c>
      <c r="BK81" s="584">
        <v>0</v>
      </c>
      <c r="BL81" s="584">
        <v>0</v>
      </c>
      <c r="BM81" s="584">
        <v>0</v>
      </c>
      <c r="BN81" s="584">
        <v>0</v>
      </c>
      <c r="BO81" s="584">
        <v>0</v>
      </c>
      <c r="BP81" s="584">
        <v>0</v>
      </c>
      <c r="BQ81" s="584">
        <v>0</v>
      </c>
      <c r="BR81" s="584">
        <v>0</v>
      </c>
      <c r="BS81" s="584">
        <v>0</v>
      </c>
      <c r="BT81" s="584">
        <v>0</v>
      </c>
      <c r="BU81" s="584">
        <v>0</v>
      </c>
      <c r="BV81" s="584">
        <v>0</v>
      </c>
      <c r="BW81" s="584">
        <v>0</v>
      </c>
      <c r="BX81" s="584">
        <v>0</v>
      </c>
      <c r="BY81" s="584">
        <v>0</v>
      </c>
      <c r="BZ81" s="584">
        <v>0</v>
      </c>
      <c r="CA81" s="584">
        <v>0</v>
      </c>
      <c r="CB81" s="584">
        <v>0</v>
      </c>
      <c r="CC81" s="584">
        <v>0</v>
      </c>
      <c r="CD81" s="584">
        <v>0</v>
      </c>
      <c r="CE81" s="584">
        <v>0</v>
      </c>
      <c r="CF81" s="584">
        <v>0</v>
      </c>
      <c r="CG81" s="584">
        <v>0</v>
      </c>
      <c r="CH81" s="584">
        <v>0</v>
      </c>
      <c r="CI81" s="584">
        <v>0</v>
      </c>
      <c r="CJ81" s="584">
        <v>0</v>
      </c>
      <c r="CK81" s="584">
        <v>0</v>
      </c>
      <c r="CL81" s="584">
        <v>0</v>
      </c>
      <c r="CM81" s="584">
        <v>0</v>
      </c>
      <c r="CN81" s="584">
        <v>0</v>
      </c>
      <c r="CO81" s="584">
        <v>0</v>
      </c>
      <c r="CP81" s="584">
        <v>0</v>
      </c>
      <c r="CQ81" s="584">
        <v>0</v>
      </c>
      <c r="CR81" s="584">
        <v>0</v>
      </c>
      <c r="CS81" s="584">
        <v>0</v>
      </c>
      <c r="CT81" s="584">
        <v>0</v>
      </c>
      <c r="CU81" s="584">
        <v>0</v>
      </c>
      <c r="CV81" s="584">
        <v>0</v>
      </c>
      <c r="CW81" s="584">
        <v>0</v>
      </c>
      <c r="CX81" s="584">
        <v>0</v>
      </c>
      <c r="CY81" s="584">
        <v>0</v>
      </c>
      <c r="CZ81" s="584">
        <v>0</v>
      </c>
      <c r="DA81" s="584">
        <v>0</v>
      </c>
      <c r="DB81" s="584">
        <v>0</v>
      </c>
      <c r="DC81" s="584">
        <v>0</v>
      </c>
      <c r="DD81" s="584">
        <v>0</v>
      </c>
      <c r="DE81" s="584">
        <v>0</v>
      </c>
      <c r="DF81" s="584">
        <v>0</v>
      </c>
      <c r="DG81" s="584">
        <v>0</v>
      </c>
      <c r="DH81" s="584">
        <v>0</v>
      </c>
      <c r="DI81" s="584">
        <v>0</v>
      </c>
      <c r="DJ81" s="584">
        <v>0</v>
      </c>
      <c r="DK81" s="584">
        <v>0</v>
      </c>
      <c r="DL81" s="584">
        <v>0</v>
      </c>
      <c r="DM81" s="584">
        <v>0</v>
      </c>
      <c r="DN81" s="584">
        <v>0</v>
      </c>
      <c r="DO81" s="584">
        <v>0</v>
      </c>
      <c r="DP81" s="584">
        <v>0</v>
      </c>
      <c r="DQ81" s="584">
        <v>0</v>
      </c>
      <c r="DR81" s="584">
        <v>0</v>
      </c>
      <c r="DS81" s="584">
        <v>0</v>
      </c>
      <c r="DT81" s="584">
        <v>0</v>
      </c>
      <c r="DU81" s="584">
        <v>0</v>
      </c>
      <c r="DV81" s="584">
        <v>0</v>
      </c>
      <c r="DW81" s="584">
        <v>0</v>
      </c>
      <c r="DX81" s="584">
        <v>0</v>
      </c>
      <c r="DY81" s="584">
        <v>0</v>
      </c>
      <c r="DZ81" s="584">
        <v>0</v>
      </c>
      <c r="EA81" s="1062">
        <v>0</v>
      </c>
      <c r="EB81" s="1046">
        <v>0</v>
      </c>
      <c r="EC81" s="1093">
        <v>0</v>
      </c>
      <c r="ED81" s="1046">
        <v>0</v>
      </c>
      <c r="EE81" s="1046">
        <v>0</v>
      </c>
      <c r="EF81" s="1046">
        <v>0</v>
      </c>
      <c r="EG81" s="1046">
        <v>0</v>
      </c>
      <c r="EH81" s="1046">
        <v>0</v>
      </c>
      <c r="EI81" s="1046">
        <v>0</v>
      </c>
      <c r="EJ81" s="1046">
        <v>0</v>
      </c>
      <c r="EK81" s="1046">
        <v>0</v>
      </c>
      <c r="EL81" s="1046">
        <v>0</v>
      </c>
      <c r="EM81" s="1046">
        <v>0</v>
      </c>
      <c r="EN81" s="1046">
        <v>0</v>
      </c>
      <c r="EO81" s="1046">
        <v>0</v>
      </c>
      <c r="EP81" s="1094">
        <v>0</v>
      </c>
      <c r="EQ81" s="1094">
        <v>0</v>
      </c>
      <c r="ER81" s="1094">
        <v>0</v>
      </c>
      <c r="ES81" s="1095">
        <v>0</v>
      </c>
      <c r="ET81" s="1094">
        <v>0</v>
      </c>
      <c r="EU81" s="1094">
        <v>0</v>
      </c>
      <c r="EV81" s="1096">
        <v>0.90400000000000003</v>
      </c>
      <c r="EW81" s="1097">
        <v>0.15</v>
      </c>
      <c r="EX81" s="1096">
        <v>289.50050968399592</v>
      </c>
      <c r="EY81" s="1096">
        <v>1.5443934760448521</v>
      </c>
      <c r="EZ81" s="1096">
        <v>0</v>
      </c>
      <c r="FA81" s="1096">
        <v>32.282222222222224</v>
      </c>
      <c r="FB81" s="1098">
        <v>0</v>
      </c>
      <c r="FC81" s="1098">
        <v>0</v>
      </c>
      <c r="FD81" s="1098" t="s">
        <v>387</v>
      </c>
      <c r="FE81" s="1098" t="s">
        <v>410</v>
      </c>
      <c r="FF81" s="1098">
        <v>2</v>
      </c>
      <c r="FG81" s="1098">
        <v>0</v>
      </c>
      <c r="FH81" s="1098">
        <v>0</v>
      </c>
      <c r="FI81" s="1098">
        <v>0</v>
      </c>
      <c r="FJ81" s="1098">
        <v>0</v>
      </c>
      <c r="FK81" s="1096">
        <v>137.76206962500001</v>
      </c>
      <c r="FL81" s="1096">
        <v>118.125</v>
      </c>
      <c r="FM81" s="1096">
        <v>275.52413925000002</v>
      </c>
      <c r="FN81" s="1096">
        <v>236.25</v>
      </c>
      <c r="FO81" s="1096">
        <v>551.04827850000004</v>
      </c>
      <c r="FP81" s="1099">
        <v>472.5</v>
      </c>
      <c r="FQ81" s="1064">
        <v>1.2170799999999999</v>
      </c>
      <c r="FR81" s="1065">
        <v>0.15</v>
      </c>
      <c r="FS81" s="1066">
        <v>289.50050968399586</v>
      </c>
      <c r="FT81" s="1066">
        <v>3.2237153637237084</v>
      </c>
      <c r="FU81" s="1065"/>
      <c r="FV81" s="1066">
        <v>71.616726035860694</v>
      </c>
      <c r="FW81" s="1065"/>
      <c r="FX81" s="1065"/>
      <c r="FY81" s="1065" t="s">
        <v>385</v>
      </c>
      <c r="FZ81" s="1065" t="s">
        <v>406</v>
      </c>
      <c r="GA81" s="1065">
        <v>2</v>
      </c>
      <c r="GB81" s="1065"/>
      <c r="GC81" s="1065"/>
      <c r="GD81" s="1065"/>
      <c r="GE81" s="1065"/>
      <c r="GF81" s="1066">
        <v>147.62873464188493</v>
      </c>
      <c r="GG81" s="1066">
        <v>118.125</v>
      </c>
      <c r="GH81" s="1066">
        <v>295.25746928376986</v>
      </c>
      <c r="GI81" s="1066">
        <v>236.25</v>
      </c>
      <c r="GJ81" s="1066">
        <v>590.51493856753973</v>
      </c>
      <c r="GK81" s="1066">
        <v>472.5</v>
      </c>
      <c r="GL81" s="584">
        <v>1.1301000000000001</v>
      </c>
      <c r="GM81" s="584">
        <v>0.15</v>
      </c>
      <c r="GN81" s="584"/>
      <c r="GO81" s="584"/>
      <c r="GP81" s="584"/>
      <c r="GQ81" s="584">
        <v>64.1933333333333</v>
      </c>
      <c r="GR81" s="584"/>
      <c r="GS81" s="584">
        <v>76.452599388379198</v>
      </c>
      <c r="GT81" s="584" t="s">
        <v>389</v>
      </c>
      <c r="GU81" s="584" t="s">
        <v>349</v>
      </c>
      <c r="GV81" s="584">
        <v>1</v>
      </c>
      <c r="GW81" s="584"/>
      <c r="GX81" s="584"/>
      <c r="GY81" s="584"/>
      <c r="GZ81" s="584"/>
      <c r="HA81" s="584">
        <v>73.566110249999994</v>
      </c>
      <c r="HB81" s="584">
        <v>118.125</v>
      </c>
      <c r="HC81" s="584">
        <v>147.13222049999999</v>
      </c>
      <c r="HD81" s="584">
        <v>236.25</v>
      </c>
      <c r="HE81" s="584">
        <v>294.26444099999998</v>
      </c>
      <c r="HF81" s="584">
        <v>472.5</v>
      </c>
      <c r="HG81" s="1100">
        <v>1.59</v>
      </c>
      <c r="HH81" s="1100">
        <v>0.11</v>
      </c>
      <c r="HI81" s="1101">
        <v>0</v>
      </c>
      <c r="HJ81" s="1101">
        <v>0</v>
      </c>
      <c r="HK81" s="1101">
        <v>0</v>
      </c>
      <c r="HL81" s="1101">
        <v>0</v>
      </c>
      <c r="HM81" s="1101">
        <v>72.12</v>
      </c>
      <c r="HN81" s="1101">
        <v>54.999999999999993</v>
      </c>
      <c r="HO81" s="1101">
        <v>0</v>
      </c>
      <c r="HP81" s="1101">
        <v>0</v>
      </c>
      <c r="HQ81" s="1101">
        <v>2</v>
      </c>
      <c r="HR81" s="1101">
        <v>1.48</v>
      </c>
      <c r="HS81" s="1101">
        <v>1.4</v>
      </c>
      <c r="HT81" s="1101">
        <v>0.3</v>
      </c>
      <c r="HU81" s="1101">
        <v>0.28000000000000003</v>
      </c>
      <c r="HV81" s="1101">
        <v>69.087843000000007</v>
      </c>
      <c r="HW81" s="1101">
        <v>118.125</v>
      </c>
      <c r="HX81" s="1101">
        <v>138.17568600000001</v>
      </c>
      <c r="HY81" s="1101">
        <v>236.25</v>
      </c>
      <c r="HZ81" s="1101">
        <v>276.35137200000003</v>
      </c>
      <c r="IA81" s="1101">
        <v>472.5</v>
      </c>
      <c r="IB81" s="1062"/>
      <c r="IC81" s="1092"/>
      <c r="ID81" s="1050"/>
      <c r="IE81" s="1050"/>
      <c r="IF81" s="1103"/>
      <c r="IG81" s="1103"/>
      <c r="IH81" s="1103"/>
      <c r="II81" s="1103"/>
      <c r="IJ81" s="1103"/>
      <c r="IK81" s="1103"/>
      <c r="IL81" s="1103"/>
      <c r="IM81" s="1050"/>
      <c r="IN81" s="1050"/>
      <c r="IO81" s="1050"/>
      <c r="IP81" s="1050"/>
      <c r="IQ81" s="1103"/>
      <c r="IR81" s="1103"/>
      <c r="IS81" s="1103"/>
      <c r="IT81" s="1103"/>
      <c r="IU81" s="1103"/>
      <c r="IV81" s="1103"/>
      <c r="JS81" s="1092"/>
      <c r="JU81" s="1050"/>
      <c r="JV81" s="1103"/>
      <c r="JW81" s="1103"/>
      <c r="JX81" s="1103"/>
      <c r="JY81" s="1103"/>
      <c r="JZ81" s="1103"/>
      <c r="KA81" s="1103"/>
      <c r="KB81" s="1103"/>
      <c r="KC81" s="1050"/>
      <c r="KD81" s="1050"/>
      <c r="KE81" s="1050"/>
      <c r="KF81" s="1050"/>
      <c r="KG81" s="1103"/>
      <c r="KH81" s="1103"/>
      <c r="KI81" s="1103"/>
      <c r="KJ81" s="1103"/>
      <c r="KK81" s="1103"/>
      <c r="KL81" s="1103"/>
      <c r="KM81" s="1103"/>
      <c r="KN81" s="1103"/>
    </row>
    <row r="82" spans="2:300">
      <c r="B82" s="1048" t="str">
        <f t="shared" si="2"/>
        <v>O916</v>
      </c>
      <c r="C82" s="1046">
        <v>9</v>
      </c>
      <c r="D82" s="1092">
        <v>16</v>
      </c>
      <c r="E82" s="584">
        <v>0</v>
      </c>
      <c r="F82" s="584">
        <v>0</v>
      </c>
      <c r="G82" s="584">
        <v>0</v>
      </c>
      <c r="H82" s="584">
        <v>0</v>
      </c>
      <c r="I82" s="584">
        <v>0</v>
      </c>
      <c r="J82" s="584">
        <v>0</v>
      </c>
      <c r="K82" s="584">
        <v>0</v>
      </c>
      <c r="L82" s="584">
        <v>0</v>
      </c>
      <c r="M82" s="584">
        <v>0</v>
      </c>
      <c r="N82" s="584">
        <v>0</v>
      </c>
      <c r="O82" s="584">
        <v>0</v>
      </c>
      <c r="P82" s="584">
        <v>0</v>
      </c>
      <c r="Q82" s="584">
        <v>0</v>
      </c>
      <c r="R82" s="584">
        <v>0</v>
      </c>
      <c r="S82" s="584">
        <v>0</v>
      </c>
      <c r="T82" s="584">
        <v>0</v>
      </c>
      <c r="U82" s="584">
        <v>0</v>
      </c>
      <c r="V82" s="584">
        <v>0</v>
      </c>
      <c r="W82" s="584">
        <v>0</v>
      </c>
      <c r="X82" s="584">
        <v>0</v>
      </c>
      <c r="Y82" s="584">
        <v>0</v>
      </c>
      <c r="Z82" s="584">
        <v>0</v>
      </c>
      <c r="AA82" s="584">
        <v>0</v>
      </c>
      <c r="AB82" s="584">
        <v>0</v>
      </c>
      <c r="AC82" s="584">
        <v>0</v>
      </c>
      <c r="AD82" s="584">
        <v>0</v>
      </c>
      <c r="AE82" s="584">
        <v>0</v>
      </c>
      <c r="AF82" s="584">
        <v>0</v>
      </c>
      <c r="AG82" s="584">
        <v>0</v>
      </c>
      <c r="AH82" s="584">
        <v>0</v>
      </c>
      <c r="AI82" s="584">
        <v>0</v>
      </c>
      <c r="AJ82" s="584">
        <v>0</v>
      </c>
      <c r="AK82" s="584">
        <v>0</v>
      </c>
      <c r="AL82" s="584">
        <v>0</v>
      </c>
      <c r="AM82" s="584">
        <v>0</v>
      </c>
      <c r="AN82" s="584">
        <v>0</v>
      </c>
      <c r="AO82" s="584">
        <v>171.55743749999999</v>
      </c>
      <c r="AP82" s="584">
        <v>126</v>
      </c>
      <c r="AQ82" s="584">
        <v>250.33743749999999</v>
      </c>
      <c r="AR82" s="584">
        <v>264.60000000000002</v>
      </c>
      <c r="AS82" s="584">
        <v>135.71100000000001</v>
      </c>
      <c r="AT82" s="584">
        <v>554.4</v>
      </c>
      <c r="AU82" s="584">
        <v>0</v>
      </c>
      <c r="AV82" s="584">
        <v>0</v>
      </c>
      <c r="AW82" s="584">
        <v>0</v>
      </c>
      <c r="AX82" s="584">
        <v>0</v>
      </c>
      <c r="AY82" s="584">
        <v>0</v>
      </c>
      <c r="AZ82" s="584">
        <v>0</v>
      </c>
      <c r="BA82" s="584">
        <v>0</v>
      </c>
      <c r="BB82" s="584">
        <v>0</v>
      </c>
      <c r="BC82" s="584">
        <v>0</v>
      </c>
      <c r="BD82" s="584">
        <v>0</v>
      </c>
      <c r="BE82" s="584">
        <v>0</v>
      </c>
      <c r="BF82" s="584">
        <v>0</v>
      </c>
      <c r="BG82" s="584">
        <v>0</v>
      </c>
      <c r="BH82" s="584">
        <v>0</v>
      </c>
      <c r="BI82" s="584">
        <v>0</v>
      </c>
      <c r="BJ82" s="584">
        <v>0</v>
      </c>
      <c r="BK82" s="584">
        <v>0</v>
      </c>
      <c r="BL82" s="584">
        <v>0</v>
      </c>
      <c r="BM82" s="584">
        <v>0</v>
      </c>
      <c r="BN82" s="584">
        <v>0</v>
      </c>
      <c r="BO82" s="584">
        <v>0</v>
      </c>
      <c r="BP82" s="584">
        <v>0</v>
      </c>
      <c r="BQ82" s="584">
        <v>0</v>
      </c>
      <c r="BR82" s="584">
        <v>0</v>
      </c>
      <c r="BS82" s="584">
        <v>0</v>
      </c>
      <c r="BT82" s="584">
        <v>0</v>
      </c>
      <c r="BU82" s="584">
        <v>0</v>
      </c>
      <c r="BV82" s="584">
        <v>0</v>
      </c>
      <c r="BW82" s="584">
        <v>0</v>
      </c>
      <c r="BX82" s="584">
        <v>0</v>
      </c>
      <c r="BY82" s="584">
        <v>0</v>
      </c>
      <c r="BZ82" s="584">
        <v>0</v>
      </c>
      <c r="CA82" s="584">
        <v>0</v>
      </c>
      <c r="CB82" s="584">
        <v>0</v>
      </c>
      <c r="CC82" s="584">
        <v>0</v>
      </c>
      <c r="CD82" s="584">
        <v>0</v>
      </c>
      <c r="CE82" s="584">
        <v>0</v>
      </c>
      <c r="CF82" s="584">
        <v>0</v>
      </c>
      <c r="CG82" s="584">
        <v>0</v>
      </c>
      <c r="CH82" s="584">
        <v>0</v>
      </c>
      <c r="CI82" s="584">
        <v>0</v>
      </c>
      <c r="CJ82" s="584">
        <v>0</v>
      </c>
      <c r="CK82" s="584">
        <v>0</v>
      </c>
      <c r="CL82" s="584">
        <v>0</v>
      </c>
      <c r="CM82" s="584">
        <v>0</v>
      </c>
      <c r="CN82" s="584">
        <v>0</v>
      </c>
      <c r="CO82" s="584">
        <v>0</v>
      </c>
      <c r="CP82" s="584">
        <v>0</v>
      </c>
      <c r="CQ82" s="584">
        <v>0</v>
      </c>
      <c r="CR82" s="584">
        <v>0</v>
      </c>
      <c r="CS82" s="584">
        <v>0</v>
      </c>
      <c r="CT82" s="584">
        <v>0</v>
      </c>
      <c r="CU82" s="584">
        <v>0</v>
      </c>
      <c r="CV82" s="584">
        <v>0</v>
      </c>
      <c r="CW82" s="584">
        <v>0</v>
      </c>
      <c r="CX82" s="584">
        <v>0</v>
      </c>
      <c r="CY82" s="584">
        <v>0</v>
      </c>
      <c r="CZ82" s="584">
        <v>0</v>
      </c>
      <c r="DA82" s="584">
        <v>0</v>
      </c>
      <c r="DB82" s="584">
        <v>0</v>
      </c>
      <c r="DC82" s="584">
        <v>0</v>
      </c>
      <c r="DD82" s="584">
        <v>0</v>
      </c>
      <c r="DE82" s="584">
        <v>0</v>
      </c>
      <c r="DF82" s="584">
        <v>0</v>
      </c>
      <c r="DG82" s="584">
        <v>0</v>
      </c>
      <c r="DH82" s="584">
        <v>0</v>
      </c>
      <c r="DI82" s="584">
        <v>0</v>
      </c>
      <c r="DJ82" s="584">
        <v>0</v>
      </c>
      <c r="DK82" s="584">
        <v>0</v>
      </c>
      <c r="DL82" s="584">
        <v>0</v>
      </c>
      <c r="DM82" s="584">
        <v>0</v>
      </c>
      <c r="DN82" s="584">
        <v>0</v>
      </c>
      <c r="DO82" s="584">
        <v>0</v>
      </c>
      <c r="DP82" s="584">
        <v>0</v>
      </c>
      <c r="DQ82" s="584">
        <v>0</v>
      </c>
      <c r="DR82" s="584">
        <v>0</v>
      </c>
      <c r="DS82" s="584">
        <v>0</v>
      </c>
      <c r="DT82" s="584">
        <v>0</v>
      </c>
      <c r="DU82" s="584">
        <v>0</v>
      </c>
      <c r="DV82" s="584">
        <v>0</v>
      </c>
      <c r="DW82" s="584">
        <v>0</v>
      </c>
      <c r="DX82" s="584">
        <v>0</v>
      </c>
      <c r="DY82" s="584">
        <v>0</v>
      </c>
      <c r="DZ82" s="584">
        <v>0</v>
      </c>
      <c r="EA82" s="1062">
        <v>0</v>
      </c>
      <c r="EB82" s="1046">
        <v>0</v>
      </c>
      <c r="EC82" s="1093">
        <v>0</v>
      </c>
      <c r="ED82" s="1046">
        <v>0</v>
      </c>
      <c r="EE82" s="1046">
        <v>0</v>
      </c>
      <c r="EF82" s="1046">
        <v>0</v>
      </c>
      <c r="EG82" s="1046">
        <v>0</v>
      </c>
      <c r="EH82" s="1046">
        <v>0</v>
      </c>
      <c r="EI82" s="1046">
        <v>0</v>
      </c>
      <c r="EJ82" s="1046">
        <v>0</v>
      </c>
      <c r="EK82" s="1046">
        <v>0</v>
      </c>
      <c r="EL82" s="1046">
        <v>0</v>
      </c>
      <c r="EM82" s="1046">
        <v>0</v>
      </c>
      <c r="EN82" s="1046">
        <v>0</v>
      </c>
      <c r="EO82" s="1046">
        <v>0</v>
      </c>
      <c r="EP82" s="1094">
        <v>0</v>
      </c>
      <c r="EQ82" s="1094">
        <v>0</v>
      </c>
      <c r="ER82" s="1094">
        <v>0</v>
      </c>
      <c r="ES82" s="1095">
        <v>0</v>
      </c>
      <c r="ET82" s="1094">
        <v>0</v>
      </c>
      <c r="EU82" s="1094">
        <v>0</v>
      </c>
      <c r="EV82" s="1096">
        <v>0.91220000000000001</v>
      </c>
      <c r="EW82" s="1097">
        <v>0.15</v>
      </c>
      <c r="EX82" s="1096">
        <v>289.50050968399592</v>
      </c>
      <c r="EY82" s="1096">
        <v>1.5443934760448521</v>
      </c>
      <c r="EZ82" s="1096">
        <v>0</v>
      </c>
      <c r="FA82" s="1096">
        <v>38.634722222222223</v>
      </c>
      <c r="FB82" s="1098">
        <v>0</v>
      </c>
      <c r="FC82" s="1098">
        <v>0</v>
      </c>
      <c r="FD82" s="1098" t="s">
        <v>385</v>
      </c>
      <c r="FE82" s="1098" t="s">
        <v>396</v>
      </c>
      <c r="FF82" s="1098">
        <v>2</v>
      </c>
      <c r="FG82" s="1098">
        <v>0</v>
      </c>
      <c r="FH82" s="1098">
        <v>0</v>
      </c>
      <c r="FI82" s="1098">
        <v>0</v>
      </c>
      <c r="FJ82" s="1098">
        <v>0</v>
      </c>
      <c r="FK82" s="1096">
        <v>149.18965649999998</v>
      </c>
      <c r="FL82" s="1096">
        <v>126</v>
      </c>
      <c r="FM82" s="1096">
        <v>298.37931299999997</v>
      </c>
      <c r="FN82" s="1096">
        <v>252</v>
      </c>
      <c r="FO82" s="1096">
        <v>596.75862599999994</v>
      </c>
      <c r="FP82" s="1099">
        <v>504</v>
      </c>
      <c r="FQ82" s="1064">
        <v>1.3188599999999999</v>
      </c>
      <c r="FR82" s="1065">
        <v>0.15</v>
      </c>
      <c r="FS82" s="1066">
        <v>289.50050968399586</v>
      </c>
      <c r="FT82" s="1066">
        <v>3.2237153637237084</v>
      </c>
      <c r="FU82" s="1065"/>
      <c r="FV82" s="1066">
        <v>75.318797715285953</v>
      </c>
      <c r="FW82" s="1065"/>
      <c r="FX82" s="1065"/>
      <c r="FY82" s="1065" t="s">
        <v>381</v>
      </c>
      <c r="FZ82" s="1065" t="s">
        <v>389</v>
      </c>
      <c r="GA82" s="1065">
        <v>2</v>
      </c>
      <c r="GB82" s="1065"/>
      <c r="GC82" s="1065"/>
      <c r="GD82" s="1065"/>
      <c r="GE82" s="1065"/>
      <c r="GF82" s="1066">
        <v>158.77807391898301</v>
      </c>
      <c r="GG82" s="1066">
        <v>126</v>
      </c>
      <c r="GH82" s="1066">
        <v>317.55614783796602</v>
      </c>
      <c r="GI82" s="1066">
        <v>252</v>
      </c>
      <c r="GJ82" s="1066">
        <v>635.11229567593205</v>
      </c>
      <c r="GK82" s="1066">
        <v>504</v>
      </c>
      <c r="GL82" s="584">
        <v>1.1498999999999999</v>
      </c>
      <c r="GM82" s="584">
        <v>0.15</v>
      </c>
      <c r="GN82" s="584"/>
      <c r="GO82" s="584"/>
      <c r="GP82" s="584"/>
      <c r="GQ82" s="584">
        <v>78.213194444444497</v>
      </c>
      <c r="GR82" s="584"/>
      <c r="GS82" s="584">
        <v>76.452599388379198</v>
      </c>
      <c r="GT82" s="584" t="s">
        <v>389</v>
      </c>
      <c r="GU82" s="584" t="s">
        <v>345</v>
      </c>
      <c r="GV82" s="584">
        <v>1</v>
      </c>
      <c r="GW82" s="584"/>
      <c r="GX82" s="584"/>
      <c r="GY82" s="584"/>
      <c r="GZ82" s="584"/>
      <c r="HA82" s="584">
        <v>83.421771750000005</v>
      </c>
      <c r="HB82" s="584">
        <v>126</v>
      </c>
      <c r="HC82" s="584">
        <v>166.84354350000001</v>
      </c>
      <c r="HD82" s="584">
        <v>252</v>
      </c>
      <c r="HE82" s="584">
        <v>333.68708700000002</v>
      </c>
      <c r="HF82" s="584">
        <v>504</v>
      </c>
      <c r="HG82" s="1100">
        <v>1.7100000000000002</v>
      </c>
      <c r="HH82" s="1100">
        <v>0.11</v>
      </c>
      <c r="HI82" s="1101">
        <v>0</v>
      </c>
      <c r="HJ82" s="1101">
        <v>0</v>
      </c>
      <c r="HK82" s="1101">
        <v>0</v>
      </c>
      <c r="HL82" s="1101">
        <v>0</v>
      </c>
      <c r="HM82" s="1101">
        <v>81.900000000000006</v>
      </c>
      <c r="HN82" s="1101">
        <v>54.999999999999993</v>
      </c>
      <c r="HO82" s="1101">
        <v>0</v>
      </c>
      <c r="HP82" s="1101">
        <v>0</v>
      </c>
      <c r="HQ82" s="1101">
        <v>2</v>
      </c>
      <c r="HR82" s="1101">
        <v>1.6</v>
      </c>
      <c r="HS82" s="1101">
        <v>1.52</v>
      </c>
      <c r="HT82" s="1101">
        <v>0.3</v>
      </c>
      <c r="HU82" s="1101">
        <v>0.3</v>
      </c>
      <c r="HV82" s="1101">
        <v>77.147604000000001</v>
      </c>
      <c r="HW82" s="1101">
        <v>126</v>
      </c>
      <c r="HX82" s="1101">
        <v>154.295208</v>
      </c>
      <c r="HY82" s="1101">
        <v>252</v>
      </c>
      <c r="HZ82" s="1101">
        <v>308.590416</v>
      </c>
      <c r="IA82" s="1101">
        <v>504</v>
      </c>
      <c r="IB82" s="1062"/>
      <c r="IC82" s="1092"/>
      <c r="ID82" s="1050"/>
      <c r="IE82" s="1050"/>
      <c r="IF82" s="1103"/>
      <c r="IG82" s="1103"/>
      <c r="IH82" s="1103"/>
      <c r="II82" s="1103"/>
      <c r="IJ82" s="1103"/>
      <c r="IK82" s="1103"/>
      <c r="IL82" s="1103"/>
      <c r="IM82" s="1050"/>
      <c r="IN82" s="1050"/>
      <c r="IO82" s="1050"/>
      <c r="IP82" s="1050"/>
      <c r="IQ82" s="1103"/>
      <c r="IR82" s="1103"/>
      <c r="IS82" s="1103"/>
      <c r="IT82" s="1103"/>
      <c r="IU82" s="1103"/>
      <c r="IV82" s="1103"/>
      <c r="JS82" s="1092"/>
      <c r="JU82" s="1050"/>
      <c r="JV82" s="1103"/>
      <c r="JW82" s="1103"/>
      <c r="JX82" s="1103"/>
      <c r="JY82" s="1103"/>
      <c r="JZ82" s="1103"/>
      <c r="KA82" s="1103"/>
      <c r="KB82" s="1103"/>
      <c r="KC82" s="1050"/>
      <c r="KD82" s="1050"/>
      <c r="KE82" s="1050"/>
      <c r="KF82" s="1050"/>
      <c r="KG82" s="1103"/>
      <c r="KH82" s="1103"/>
      <c r="KI82" s="1103"/>
      <c r="KJ82" s="1103"/>
      <c r="KK82" s="1103"/>
      <c r="KL82" s="1103"/>
      <c r="KM82" s="1103"/>
      <c r="KN82" s="1103"/>
    </row>
    <row r="83" spans="2:300">
      <c r="B83" s="1048" t="str">
        <f t="shared" si="2"/>
        <v>O1010</v>
      </c>
      <c r="C83" s="1046">
        <v>10</v>
      </c>
      <c r="D83" s="1092">
        <v>10</v>
      </c>
      <c r="E83" s="584">
        <v>0.36</v>
      </c>
      <c r="F83" s="584">
        <v>0.36</v>
      </c>
      <c r="G83" s="584">
        <v>864</v>
      </c>
      <c r="H83" s="584">
        <v>29.16</v>
      </c>
      <c r="I83" s="584">
        <v>0</v>
      </c>
      <c r="J83" s="584">
        <v>0</v>
      </c>
      <c r="K83" s="584">
        <v>0</v>
      </c>
      <c r="L83" s="584">
        <v>0</v>
      </c>
      <c r="M83" s="584">
        <v>0</v>
      </c>
      <c r="N83" s="584">
        <v>0</v>
      </c>
      <c r="O83" s="584">
        <v>0</v>
      </c>
      <c r="P83" s="584">
        <v>0</v>
      </c>
      <c r="Q83" s="584">
        <v>0</v>
      </c>
      <c r="R83" s="584">
        <v>0</v>
      </c>
      <c r="S83" s="584">
        <v>0</v>
      </c>
      <c r="T83" s="584">
        <v>378.61743749999999</v>
      </c>
      <c r="U83" s="584">
        <v>87.5</v>
      </c>
      <c r="V83" s="584">
        <v>653.95743749999997</v>
      </c>
      <c r="W83" s="584">
        <v>183.75</v>
      </c>
      <c r="X83" s="584">
        <v>1086.991</v>
      </c>
      <c r="Y83" s="584">
        <v>385</v>
      </c>
      <c r="Z83" s="584">
        <v>0.28000000000000003</v>
      </c>
      <c r="AA83" s="584">
        <v>0.28000000000000003</v>
      </c>
      <c r="AB83" s="584">
        <v>672</v>
      </c>
      <c r="AC83" s="584">
        <v>23</v>
      </c>
      <c r="AD83" s="584">
        <v>0</v>
      </c>
      <c r="AE83" s="584">
        <v>0</v>
      </c>
      <c r="AF83" s="584">
        <v>0</v>
      </c>
      <c r="AG83" s="584">
        <v>0</v>
      </c>
      <c r="AH83" s="584">
        <v>0</v>
      </c>
      <c r="AI83" s="584">
        <v>0</v>
      </c>
      <c r="AJ83" s="584">
        <v>0</v>
      </c>
      <c r="AK83" s="584">
        <v>0</v>
      </c>
      <c r="AL83" s="584">
        <v>0</v>
      </c>
      <c r="AM83" s="584">
        <v>0</v>
      </c>
      <c r="AN83" s="584">
        <v>0</v>
      </c>
      <c r="AO83" s="584">
        <v>324.53743750000001</v>
      </c>
      <c r="AP83" s="584">
        <v>87.5</v>
      </c>
      <c r="AQ83" s="584">
        <v>544.75743750000004</v>
      </c>
      <c r="AR83" s="584">
        <v>183.75</v>
      </c>
      <c r="AS83" s="584">
        <v>866.99099999999999</v>
      </c>
      <c r="AT83" s="584">
        <v>385</v>
      </c>
      <c r="AU83" s="584">
        <v>0.7</v>
      </c>
      <c r="AV83" s="584">
        <v>0.44</v>
      </c>
      <c r="AW83" s="584">
        <v>682.64177244582004</v>
      </c>
      <c r="AX83" s="584">
        <v>37.119330495356003</v>
      </c>
      <c r="AY83" s="584">
        <v>0</v>
      </c>
      <c r="AZ83" s="584">
        <v>0</v>
      </c>
      <c r="BA83" s="584">
        <v>0</v>
      </c>
      <c r="BB83" s="584">
        <v>0</v>
      </c>
      <c r="BC83" s="584">
        <v>0</v>
      </c>
      <c r="BD83" s="584">
        <v>0</v>
      </c>
      <c r="BE83" s="584">
        <v>0</v>
      </c>
      <c r="BF83" s="584">
        <v>0</v>
      </c>
      <c r="BG83" s="584">
        <v>0.7</v>
      </c>
      <c r="BH83" s="584">
        <v>0</v>
      </c>
      <c r="BI83" s="584">
        <v>0.6</v>
      </c>
      <c r="BJ83" s="584">
        <v>331.62581600877201</v>
      </c>
      <c r="BK83" s="584">
        <v>87.5</v>
      </c>
      <c r="BL83" s="584">
        <v>539.65236694078999</v>
      </c>
      <c r="BM83" s="584">
        <v>183.75</v>
      </c>
      <c r="BN83" s="584">
        <v>856.69158760964899</v>
      </c>
      <c r="BO83" s="584">
        <v>385</v>
      </c>
      <c r="BP83" s="584">
        <v>0.75</v>
      </c>
      <c r="BQ83" s="584">
        <v>0.22500000000000001</v>
      </c>
      <c r="BR83" s="584">
        <v>628.63583591331303</v>
      </c>
      <c r="BS83" s="584">
        <v>24.878057275541799</v>
      </c>
      <c r="BT83" s="584">
        <v>0</v>
      </c>
      <c r="BU83" s="584">
        <v>0</v>
      </c>
      <c r="BV83" s="584">
        <v>0</v>
      </c>
      <c r="BW83" s="584">
        <v>0</v>
      </c>
      <c r="BX83" s="584">
        <v>0</v>
      </c>
      <c r="BY83" s="584">
        <v>0</v>
      </c>
      <c r="BZ83" s="584">
        <v>0</v>
      </c>
      <c r="CA83" s="584">
        <v>0.75</v>
      </c>
      <c r="CB83" s="584">
        <v>0.75</v>
      </c>
      <c r="CC83" s="584">
        <v>0.3</v>
      </c>
      <c r="CD83" s="584">
        <v>0.3</v>
      </c>
      <c r="CE83" s="584">
        <v>320.01524999999998</v>
      </c>
      <c r="CF83" s="584">
        <v>87.5</v>
      </c>
      <c r="CG83" s="584">
        <v>521.43712500000004</v>
      </c>
      <c r="CH83" s="584">
        <v>183.75</v>
      </c>
      <c r="CI83" s="584">
        <v>792.03399999999999</v>
      </c>
      <c r="CJ83" s="584">
        <v>385</v>
      </c>
      <c r="CK83" s="584">
        <v>0.8</v>
      </c>
      <c r="CL83" s="584">
        <v>0.33</v>
      </c>
      <c r="CM83" s="584">
        <v>847.69736842105306</v>
      </c>
      <c r="CN83" s="584">
        <v>27.090098684210499</v>
      </c>
      <c r="CO83" s="584">
        <v>0</v>
      </c>
      <c r="CP83" s="584">
        <v>0</v>
      </c>
      <c r="CQ83" s="584">
        <v>0</v>
      </c>
      <c r="CR83" s="584">
        <v>0</v>
      </c>
      <c r="CS83" s="584">
        <v>0</v>
      </c>
      <c r="CT83" s="584">
        <v>0</v>
      </c>
      <c r="CU83" s="584">
        <v>0</v>
      </c>
      <c r="CV83" s="584">
        <v>0</v>
      </c>
      <c r="CW83" s="584">
        <v>0.8</v>
      </c>
      <c r="CX83" s="584">
        <v>0</v>
      </c>
      <c r="CY83" s="584">
        <v>0.45</v>
      </c>
      <c r="CZ83" s="584">
        <v>387.00389999999999</v>
      </c>
      <c r="DA83" s="584">
        <v>87.5</v>
      </c>
      <c r="DB83" s="584">
        <v>641.6739</v>
      </c>
      <c r="DC83" s="584">
        <v>183.75</v>
      </c>
      <c r="DD83" s="584">
        <v>1056.2239</v>
      </c>
      <c r="DE83" s="584">
        <v>385</v>
      </c>
      <c r="DF83" s="584">
        <v>0.47499999999999998</v>
      </c>
      <c r="DG83" s="584">
        <v>0.25</v>
      </c>
      <c r="DH83" s="584">
        <v>327.86595394736798</v>
      </c>
      <c r="DI83" s="584">
        <v>16.785598103715198</v>
      </c>
      <c r="DJ83" s="584">
        <v>340</v>
      </c>
      <c r="DK83" s="584">
        <v>0</v>
      </c>
      <c r="DL83" s="584">
        <v>0</v>
      </c>
      <c r="DM83" s="584">
        <v>0</v>
      </c>
      <c r="DN83" s="584">
        <v>0</v>
      </c>
      <c r="DO83" s="584">
        <v>0</v>
      </c>
      <c r="DP83" s="584">
        <v>0</v>
      </c>
      <c r="DQ83" s="584">
        <v>0</v>
      </c>
      <c r="DR83" s="584">
        <v>0.47499999999999998</v>
      </c>
      <c r="DS83" s="584">
        <v>0</v>
      </c>
      <c r="DT83" s="584">
        <v>2.4</v>
      </c>
      <c r="DU83" s="584">
        <v>305.78937500000001</v>
      </c>
      <c r="DV83" s="584">
        <v>87.5</v>
      </c>
      <c r="DW83" s="584">
        <v>578.91849999999999</v>
      </c>
      <c r="DX83" s="584">
        <v>183.75</v>
      </c>
      <c r="DY83" s="584">
        <v>828.54425000000003</v>
      </c>
      <c r="DZ83" s="584">
        <v>385</v>
      </c>
      <c r="EA83" s="1062">
        <v>1.1407</v>
      </c>
      <c r="EB83" s="1046">
        <v>0.3</v>
      </c>
      <c r="EC83" s="1093">
        <v>132.51783893985731</v>
      </c>
      <c r="ED83" s="1046">
        <v>0</v>
      </c>
      <c r="EE83" s="1046">
        <v>397.55351681957183</v>
      </c>
      <c r="EF83" s="1046">
        <v>26.8</v>
      </c>
      <c r="EG83" s="1046">
        <v>0</v>
      </c>
      <c r="EH83" s="1046">
        <v>0</v>
      </c>
      <c r="EI83" s="1046" t="s">
        <v>379</v>
      </c>
      <c r="EJ83" s="1046" t="s">
        <v>465</v>
      </c>
      <c r="EK83" s="1046">
        <v>0</v>
      </c>
      <c r="EL83" s="1046">
        <v>0</v>
      </c>
      <c r="EM83" s="1046">
        <v>0</v>
      </c>
      <c r="EN83" s="1046">
        <v>0</v>
      </c>
      <c r="EO83" s="1046">
        <v>0</v>
      </c>
      <c r="EP83" s="1094">
        <v>156.5727</v>
      </c>
      <c r="EQ83" s="1094">
        <v>87.5</v>
      </c>
      <c r="ER83" s="1094">
        <v>313.1454</v>
      </c>
      <c r="ES83" s="1095">
        <v>175</v>
      </c>
      <c r="ET83" s="1094">
        <v>626.29079999999999</v>
      </c>
      <c r="EU83" s="1094">
        <v>350</v>
      </c>
      <c r="EV83" s="1096">
        <v>0.90400000000000003</v>
      </c>
      <c r="EW83" s="1097">
        <v>0.15</v>
      </c>
      <c r="EX83" s="1096">
        <v>289.50050968399592</v>
      </c>
      <c r="EY83" s="1096">
        <v>1.5443934760448521</v>
      </c>
      <c r="EZ83" s="1096">
        <v>0</v>
      </c>
      <c r="FA83" s="1096">
        <v>32.72</v>
      </c>
      <c r="FB83" s="1098">
        <v>0</v>
      </c>
      <c r="FC83" s="1098">
        <v>0</v>
      </c>
      <c r="FD83" s="1098" t="s">
        <v>387</v>
      </c>
      <c r="FE83" s="1098" t="s">
        <v>467</v>
      </c>
      <c r="FF83" s="1098">
        <v>3</v>
      </c>
      <c r="FG83" s="1098">
        <v>0</v>
      </c>
      <c r="FH83" s="1098">
        <v>0</v>
      </c>
      <c r="FI83" s="1098">
        <v>0</v>
      </c>
      <c r="FJ83" s="1098">
        <v>0</v>
      </c>
      <c r="FK83" s="1096">
        <v>102.15334250000001</v>
      </c>
      <c r="FL83" s="1096">
        <v>87.5</v>
      </c>
      <c r="FM83" s="1096">
        <v>204.30668500000002</v>
      </c>
      <c r="FN83" s="1096">
        <v>175</v>
      </c>
      <c r="FO83" s="1096">
        <v>408.61337000000003</v>
      </c>
      <c r="FP83" s="1099">
        <v>350</v>
      </c>
      <c r="FQ83" s="1064">
        <v>1.2</v>
      </c>
      <c r="FR83" s="1065">
        <v>0.15</v>
      </c>
      <c r="FS83" s="1066">
        <v>289.50050968399586</v>
      </c>
      <c r="FT83" s="1066">
        <v>3.1754272996334754</v>
      </c>
      <c r="FU83" s="1065"/>
      <c r="FV83" s="1066">
        <v>51.966758140604952</v>
      </c>
      <c r="FW83" s="1065"/>
      <c r="FX83" s="1065"/>
      <c r="FY83" s="1065" t="s">
        <v>389</v>
      </c>
      <c r="FZ83" s="1065" t="s">
        <v>479</v>
      </c>
      <c r="GA83" s="1065">
        <v>3</v>
      </c>
      <c r="GB83" s="1065"/>
      <c r="GC83" s="1065"/>
      <c r="GD83" s="1065"/>
      <c r="GE83" s="1065"/>
      <c r="GF83" s="1066">
        <v>104.52362097921848</v>
      </c>
      <c r="GG83" s="1066">
        <v>87.5</v>
      </c>
      <c r="GH83" s="1066">
        <v>209.04724195843696</v>
      </c>
      <c r="GI83" s="1066">
        <v>175</v>
      </c>
      <c r="GJ83" s="1066">
        <v>418.09448391687391</v>
      </c>
      <c r="GK83" s="1066">
        <v>350</v>
      </c>
      <c r="GL83" s="584">
        <v>0.88</v>
      </c>
      <c r="GM83" s="584">
        <v>0.13</v>
      </c>
      <c r="GN83" s="584"/>
      <c r="GO83" s="584"/>
      <c r="GP83" s="584"/>
      <c r="GQ83" s="584">
        <v>50.92</v>
      </c>
      <c r="GR83" s="584"/>
      <c r="GS83" s="584">
        <v>66.2589194699286</v>
      </c>
      <c r="GT83" s="584" t="s">
        <v>389</v>
      </c>
      <c r="GU83" s="584" t="s">
        <v>406</v>
      </c>
      <c r="GV83" s="584">
        <v>2</v>
      </c>
      <c r="GW83" s="584"/>
      <c r="GX83" s="584"/>
      <c r="GY83" s="584"/>
      <c r="GZ83" s="584"/>
      <c r="HA83" s="584">
        <v>48.738129999999998</v>
      </c>
      <c r="HB83" s="584">
        <v>87.5</v>
      </c>
      <c r="HC83" s="584">
        <v>97.476259999999996</v>
      </c>
      <c r="HD83" s="584">
        <v>175</v>
      </c>
      <c r="HE83" s="584">
        <v>194.95251999999999</v>
      </c>
      <c r="HF83" s="584">
        <v>350</v>
      </c>
      <c r="HG83" s="1100">
        <v>1.31</v>
      </c>
      <c r="HH83" s="1100">
        <v>0.11</v>
      </c>
      <c r="HI83" s="1101">
        <v>0</v>
      </c>
      <c r="HJ83" s="1101">
        <v>0</v>
      </c>
      <c r="HK83" s="1101">
        <v>0</v>
      </c>
      <c r="HL83" s="1101">
        <v>0</v>
      </c>
      <c r="HM83" s="1101">
        <v>54.504000000000005</v>
      </c>
      <c r="HN83" s="1101">
        <v>54.999999999999993</v>
      </c>
      <c r="HO83" s="1101">
        <v>0</v>
      </c>
      <c r="HP83" s="1101">
        <v>0</v>
      </c>
      <c r="HQ83" s="1101">
        <v>3</v>
      </c>
      <c r="HR83" s="1101">
        <v>1.2</v>
      </c>
      <c r="HS83" s="1101">
        <v>0.76</v>
      </c>
      <c r="HT83" s="1101">
        <v>0.3</v>
      </c>
      <c r="HU83" s="1101">
        <v>0.28000000000000003</v>
      </c>
      <c r="HV83" s="1101">
        <v>46.855856000000003</v>
      </c>
      <c r="HW83" s="1101">
        <v>87.5</v>
      </c>
      <c r="HX83" s="1101">
        <v>93.711712000000006</v>
      </c>
      <c r="HY83" s="1101">
        <v>175</v>
      </c>
      <c r="HZ83" s="1101">
        <v>187.42342400000001</v>
      </c>
      <c r="IA83" s="1101">
        <v>350</v>
      </c>
      <c r="IB83" s="1062"/>
      <c r="IC83" s="1092"/>
      <c r="ID83" s="1050"/>
      <c r="IE83" s="1050"/>
      <c r="IF83" s="1103"/>
      <c r="IG83" s="1103"/>
      <c r="IH83" s="1103"/>
      <c r="II83" s="1103"/>
      <c r="IJ83" s="1103"/>
      <c r="IK83" s="1103"/>
      <c r="IL83" s="1103"/>
      <c r="IM83" s="1050"/>
      <c r="IN83" s="1050"/>
      <c r="IO83" s="1050"/>
      <c r="IP83" s="1050"/>
      <c r="IQ83" s="1103"/>
      <c r="IR83" s="1103"/>
      <c r="IS83" s="1103"/>
      <c r="IT83" s="1103"/>
      <c r="IU83" s="1103"/>
      <c r="IV83" s="1103"/>
      <c r="JS83" s="1092"/>
      <c r="JU83" s="1050"/>
      <c r="JV83" s="1103"/>
      <c r="JW83" s="1103"/>
      <c r="JX83" s="1103"/>
      <c r="JY83" s="1103"/>
      <c r="JZ83" s="1103"/>
      <c r="KA83" s="1103"/>
      <c r="KB83" s="1103"/>
      <c r="KC83" s="1050"/>
      <c r="KD83" s="1050"/>
      <c r="KE83" s="1050"/>
      <c r="KF83" s="1050"/>
      <c r="KG83" s="1103"/>
      <c r="KH83" s="1103"/>
      <c r="KI83" s="1103"/>
      <c r="KJ83" s="1103"/>
      <c r="KK83" s="1103"/>
      <c r="KL83" s="1103"/>
      <c r="KM83" s="1103"/>
      <c r="KN83" s="1103"/>
    </row>
    <row r="84" spans="2:300">
      <c r="B84" s="1048" t="str">
        <f t="shared" si="2"/>
        <v>O1011</v>
      </c>
      <c r="C84" s="1046">
        <v>10</v>
      </c>
      <c r="D84" s="1092">
        <v>11</v>
      </c>
      <c r="E84" s="584">
        <v>0.40500000000000003</v>
      </c>
      <c r="F84" s="584">
        <v>0.40500000000000003</v>
      </c>
      <c r="G84" s="584">
        <v>972</v>
      </c>
      <c r="H84" s="584">
        <v>30.375</v>
      </c>
      <c r="I84" s="584">
        <v>0</v>
      </c>
      <c r="J84" s="584">
        <v>0</v>
      </c>
      <c r="K84" s="584">
        <v>0</v>
      </c>
      <c r="L84" s="584">
        <v>0</v>
      </c>
      <c r="M84" s="584">
        <v>0</v>
      </c>
      <c r="N84" s="584">
        <v>0</v>
      </c>
      <c r="O84" s="584">
        <v>0</v>
      </c>
      <c r="P84" s="584">
        <v>0</v>
      </c>
      <c r="Q84" s="584">
        <v>0</v>
      </c>
      <c r="R84" s="584">
        <v>0</v>
      </c>
      <c r="S84" s="584">
        <v>0</v>
      </c>
      <c r="T84" s="584">
        <v>442.8624375</v>
      </c>
      <c r="U84" s="584">
        <v>96.25</v>
      </c>
      <c r="V84" s="584">
        <v>787.60125000000005</v>
      </c>
      <c r="W84" s="584">
        <v>202.125</v>
      </c>
      <c r="X84" s="584">
        <v>1330.9159999999999</v>
      </c>
      <c r="Y84" s="584">
        <v>423.5</v>
      </c>
      <c r="Z84" s="584">
        <v>0.315</v>
      </c>
      <c r="AA84" s="584">
        <v>0.315</v>
      </c>
      <c r="AB84" s="584">
        <v>756</v>
      </c>
      <c r="AC84" s="584">
        <v>25</v>
      </c>
      <c r="AD84" s="584">
        <v>0</v>
      </c>
      <c r="AE84" s="584">
        <v>0</v>
      </c>
      <c r="AF84" s="584">
        <v>0</v>
      </c>
      <c r="AG84" s="584">
        <v>0</v>
      </c>
      <c r="AH84" s="584">
        <v>0</v>
      </c>
      <c r="AI84" s="584">
        <v>0</v>
      </c>
      <c r="AJ84" s="584">
        <v>0</v>
      </c>
      <c r="AK84" s="584">
        <v>0</v>
      </c>
      <c r="AL84" s="584">
        <v>0</v>
      </c>
      <c r="AM84" s="584">
        <v>0</v>
      </c>
      <c r="AN84" s="584">
        <v>0</v>
      </c>
      <c r="AO84" s="584">
        <v>376.1724375</v>
      </c>
      <c r="AP84" s="584">
        <v>96.25</v>
      </c>
      <c r="AQ84" s="584">
        <v>652.46624999999995</v>
      </c>
      <c r="AR84" s="584">
        <v>202.125</v>
      </c>
      <c r="AS84" s="584">
        <v>1058.6659999999999</v>
      </c>
      <c r="AT84" s="584">
        <v>423.5</v>
      </c>
      <c r="AU84" s="584">
        <v>0.8</v>
      </c>
      <c r="AV84" s="584">
        <v>0.44</v>
      </c>
      <c r="AW84" s="584">
        <v>700.64433270676705</v>
      </c>
      <c r="AX84" s="584">
        <v>36.115108082706797</v>
      </c>
      <c r="AY84" s="584">
        <v>0</v>
      </c>
      <c r="AZ84" s="584">
        <v>0</v>
      </c>
      <c r="BA84" s="584">
        <v>0</v>
      </c>
      <c r="BB84" s="584">
        <v>0</v>
      </c>
      <c r="BC84" s="584">
        <v>0</v>
      </c>
      <c r="BD84" s="584">
        <v>0</v>
      </c>
      <c r="BE84" s="584">
        <v>0</v>
      </c>
      <c r="BF84" s="584">
        <v>0</v>
      </c>
      <c r="BG84" s="584">
        <v>0.8</v>
      </c>
      <c r="BH84" s="584">
        <v>0</v>
      </c>
      <c r="BI84" s="584">
        <v>0.6</v>
      </c>
      <c r="BJ84" s="584">
        <v>369.09592734375002</v>
      </c>
      <c r="BK84" s="584">
        <v>96.25</v>
      </c>
      <c r="BL84" s="584">
        <v>607.98219356496702</v>
      </c>
      <c r="BM84" s="584">
        <v>202.125</v>
      </c>
      <c r="BN84" s="584">
        <v>968.11902586348697</v>
      </c>
      <c r="BO84" s="584">
        <v>423.5</v>
      </c>
      <c r="BP84" s="584">
        <v>0.72499999999999998</v>
      </c>
      <c r="BQ84" s="584">
        <v>0.23</v>
      </c>
      <c r="BR84" s="584">
        <v>661.34783247180496</v>
      </c>
      <c r="BS84" s="584">
        <v>32.265648789943597</v>
      </c>
      <c r="BT84" s="584">
        <v>0</v>
      </c>
      <c r="BU84" s="584">
        <v>0</v>
      </c>
      <c r="BV84" s="584">
        <v>0</v>
      </c>
      <c r="BW84" s="584">
        <v>0</v>
      </c>
      <c r="BX84" s="584">
        <v>0</v>
      </c>
      <c r="BY84" s="584">
        <v>0</v>
      </c>
      <c r="BZ84" s="584">
        <v>0</v>
      </c>
      <c r="CA84" s="584">
        <v>0.625</v>
      </c>
      <c r="CB84" s="584">
        <v>0.72499999999999998</v>
      </c>
      <c r="CC84" s="584">
        <v>0.45</v>
      </c>
      <c r="CD84" s="584">
        <v>0.45</v>
      </c>
      <c r="CE84" s="584">
        <v>356.86815000000001</v>
      </c>
      <c r="CF84" s="584">
        <v>96.25</v>
      </c>
      <c r="CG84" s="584">
        <v>584.96658749999995</v>
      </c>
      <c r="CH84" s="584">
        <v>202.125</v>
      </c>
      <c r="CI84" s="584">
        <v>903.52596249999999</v>
      </c>
      <c r="CJ84" s="584">
        <v>423.5</v>
      </c>
      <c r="CK84" s="584">
        <v>0.92500000000000004</v>
      </c>
      <c r="CL84" s="584">
        <v>0.33</v>
      </c>
      <c r="CM84" s="584">
        <v>861.80921052631595</v>
      </c>
      <c r="CN84" s="584">
        <v>27.135982436560099</v>
      </c>
      <c r="CO84" s="584">
        <v>0</v>
      </c>
      <c r="CP84" s="584">
        <v>0</v>
      </c>
      <c r="CQ84" s="584">
        <v>0</v>
      </c>
      <c r="CR84" s="584">
        <v>0</v>
      </c>
      <c r="CS84" s="584">
        <v>0</v>
      </c>
      <c r="CT84" s="584">
        <v>0</v>
      </c>
      <c r="CU84" s="584">
        <v>0</v>
      </c>
      <c r="CV84" s="584">
        <v>0</v>
      </c>
      <c r="CW84" s="584">
        <v>0.92500000000000004</v>
      </c>
      <c r="CX84" s="584">
        <v>0</v>
      </c>
      <c r="CY84" s="584">
        <v>0.6</v>
      </c>
      <c r="CZ84" s="584">
        <v>426.78764999999999</v>
      </c>
      <c r="DA84" s="584">
        <v>96.25</v>
      </c>
      <c r="DB84" s="584">
        <v>715.06515000000002</v>
      </c>
      <c r="DC84" s="584">
        <v>202.125</v>
      </c>
      <c r="DD84" s="584">
        <v>1176.2264</v>
      </c>
      <c r="DE84" s="584">
        <v>423.5</v>
      </c>
      <c r="DF84" s="584">
        <v>0.55000000000000004</v>
      </c>
      <c r="DG84" s="584">
        <v>0.25</v>
      </c>
      <c r="DH84" s="584">
        <v>363.40086054981202</v>
      </c>
      <c r="DI84" s="584">
        <v>17.602957765507501</v>
      </c>
      <c r="DJ84" s="584">
        <v>340</v>
      </c>
      <c r="DK84" s="584">
        <v>0</v>
      </c>
      <c r="DL84" s="584">
        <v>0</v>
      </c>
      <c r="DM84" s="584">
        <v>0</v>
      </c>
      <c r="DN84" s="584">
        <v>0</v>
      </c>
      <c r="DO84" s="584">
        <v>0</v>
      </c>
      <c r="DP84" s="584">
        <v>0</v>
      </c>
      <c r="DQ84" s="584">
        <v>0</v>
      </c>
      <c r="DR84" s="584">
        <v>0.55000000000000004</v>
      </c>
      <c r="DS84" s="584">
        <v>0</v>
      </c>
      <c r="DT84" s="584">
        <v>2.4</v>
      </c>
      <c r="DU84" s="584">
        <v>336.03562499999998</v>
      </c>
      <c r="DV84" s="584">
        <v>96.25</v>
      </c>
      <c r="DW84" s="584">
        <v>645.41975000000002</v>
      </c>
      <c r="DX84" s="584">
        <v>202.125</v>
      </c>
      <c r="DY84" s="584">
        <v>959.87199999999996</v>
      </c>
      <c r="DZ84" s="584">
        <v>423.5</v>
      </c>
      <c r="EA84" s="1062">
        <v>1.2009000000000001</v>
      </c>
      <c r="EB84" s="1046">
        <v>0.35</v>
      </c>
      <c r="EC84" s="1093">
        <v>132.51783893985731</v>
      </c>
      <c r="ED84" s="1046">
        <v>0</v>
      </c>
      <c r="EE84" s="1046">
        <v>458.71559633027522</v>
      </c>
      <c r="EF84" s="1046">
        <v>30.420909090909092</v>
      </c>
      <c r="EG84" s="1046">
        <v>0</v>
      </c>
      <c r="EH84" s="1046">
        <v>0</v>
      </c>
      <c r="EI84" s="1046" t="s">
        <v>377</v>
      </c>
      <c r="EJ84" s="1046" t="s">
        <v>445</v>
      </c>
      <c r="EK84" s="1046">
        <v>0</v>
      </c>
      <c r="EL84" s="1046">
        <v>0</v>
      </c>
      <c r="EM84" s="1046">
        <v>0</v>
      </c>
      <c r="EN84" s="1046">
        <v>0</v>
      </c>
      <c r="EO84" s="1046">
        <v>0</v>
      </c>
      <c r="EP84" s="1094">
        <v>189.70680075000001</v>
      </c>
      <c r="EQ84" s="1094">
        <v>96.25</v>
      </c>
      <c r="ER84" s="1094">
        <v>379.41360150000003</v>
      </c>
      <c r="ES84" s="1095">
        <v>192.5</v>
      </c>
      <c r="ET84" s="1094">
        <v>758.82720300000005</v>
      </c>
      <c r="EU84" s="1094">
        <v>385</v>
      </c>
      <c r="EV84" s="1096">
        <v>0.91220000000000001</v>
      </c>
      <c r="EW84" s="1097">
        <v>0.15</v>
      </c>
      <c r="EX84" s="1096">
        <v>289.50050968399592</v>
      </c>
      <c r="EY84" s="1096">
        <v>1.5443934760448521</v>
      </c>
      <c r="EZ84" s="1096">
        <v>0</v>
      </c>
      <c r="FA84" s="1096">
        <v>31.417272727272724</v>
      </c>
      <c r="FB84" s="1098">
        <v>0</v>
      </c>
      <c r="FC84" s="1098">
        <v>0</v>
      </c>
      <c r="FD84" s="1098" t="s">
        <v>385</v>
      </c>
      <c r="FE84" s="1098" t="s">
        <v>461</v>
      </c>
      <c r="FF84" s="1098">
        <v>3</v>
      </c>
      <c r="FG84" s="1098">
        <v>0</v>
      </c>
      <c r="FH84" s="1098">
        <v>0</v>
      </c>
      <c r="FI84" s="1098">
        <v>0</v>
      </c>
      <c r="FJ84" s="1098">
        <v>0</v>
      </c>
      <c r="FK84" s="1096">
        <v>112.01723350000002</v>
      </c>
      <c r="FL84" s="1096">
        <v>96.25</v>
      </c>
      <c r="FM84" s="1096">
        <v>224.03446700000003</v>
      </c>
      <c r="FN84" s="1096">
        <v>192.5</v>
      </c>
      <c r="FO84" s="1096">
        <v>448.06893400000007</v>
      </c>
      <c r="FP84" s="1099">
        <v>385</v>
      </c>
      <c r="FQ84" s="1064">
        <v>1.2056</v>
      </c>
      <c r="FR84" s="1065">
        <v>0.15</v>
      </c>
      <c r="FS84" s="1066">
        <v>289.50050968399586</v>
      </c>
      <c r="FT84" s="1066">
        <v>3.1754272996334754</v>
      </c>
      <c r="FU84" s="1065"/>
      <c r="FV84" s="1066">
        <v>52.323958755031832</v>
      </c>
      <c r="FW84" s="1065"/>
      <c r="FX84" s="1065"/>
      <c r="FY84" s="1065" t="s">
        <v>387</v>
      </c>
      <c r="FZ84" s="1065" t="s">
        <v>461</v>
      </c>
      <c r="GA84" s="1065">
        <v>3</v>
      </c>
      <c r="GB84" s="1065"/>
      <c r="GC84" s="1065"/>
      <c r="GD84" s="1065"/>
      <c r="GE84" s="1065"/>
      <c r="GF84" s="1066">
        <v>115.0723468728973</v>
      </c>
      <c r="GG84" s="1066">
        <v>96.25</v>
      </c>
      <c r="GH84" s="1066">
        <v>230.1446937457946</v>
      </c>
      <c r="GI84" s="1066">
        <v>192.5</v>
      </c>
      <c r="GJ84" s="1066">
        <v>460.2893874915892</v>
      </c>
      <c r="GK84" s="1066">
        <v>385</v>
      </c>
      <c r="GL84" s="584">
        <v>0.88</v>
      </c>
      <c r="GM84" s="584">
        <v>0.13</v>
      </c>
      <c r="GN84" s="584"/>
      <c r="GO84" s="584"/>
      <c r="GP84" s="584"/>
      <c r="GQ84" s="584">
        <v>52.342727272727302</v>
      </c>
      <c r="GR84" s="584"/>
      <c r="GS84" s="584">
        <v>66.2589194699286</v>
      </c>
      <c r="GT84" s="584" t="s">
        <v>389</v>
      </c>
      <c r="GU84" s="584" t="s">
        <v>389</v>
      </c>
      <c r="GV84" s="584">
        <v>2</v>
      </c>
      <c r="GW84" s="584"/>
      <c r="GX84" s="584"/>
      <c r="GY84" s="584"/>
      <c r="GZ84" s="584"/>
      <c r="HA84" s="584">
        <v>53.995759249999999</v>
      </c>
      <c r="HB84" s="584">
        <v>96.25</v>
      </c>
      <c r="HC84" s="584">
        <v>107.9915185</v>
      </c>
      <c r="HD84" s="584">
        <v>192.5</v>
      </c>
      <c r="HE84" s="584">
        <v>215.983037</v>
      </c>
      <c r="HF84" s="584">
        <v>385</v>
      </c>
      <c r="HG84" s="1100">
        <v>1.4300000000000002</v>
      </c>
      <c r="HH84" s="1100">
        <v>0.11</v>
      </c>
      <c r="HI84" s="1101">
        <v>0</v>
      </c>
      <c r="HJ84" s="1101">
        <v>0</v>
      </c>
      <c r="HK84" s="1101">
        <v>0</v>
      </c>
      <c r="HL84" s="1101">
        <v>0</v>
      </c>
      <c r="HM84" s="1101">
        <v>61.560000000000009</v>
      </c>
      <c r="HN84" s="1101">
        <v>54.999999999999993</v>
      </c>
      <c r="HO84" s="1101">
        <v>0</v>
      </c>
      <c r="HP84" s="1101">
        <v>0</v>
      </c>
      <c r="HQ84" s="1101">
        <v>3</v>
      </c>
      <c r="HR84" s="1101">
        <v>1.32</v>
      </c>
      <c r="HS84" s="1101">
        <v>0.84</v>
      </c>
      <c r="HT84" s="1101">
        <v>0.3</v>
      </c>
      <c r="HU84" s="1101">
        <v>0.3</v>
      </c>
      <c r="HV84" s="1101">
        <v>53.444974000000002</v>
      </c>
      <c r="HW84" s="1101">
        <v>96.25</v>
      </c>
      <c r="HX84" s="1101">
        <v>106.889948</v>
      </c>
      <c r="HY84" s="1101">
        <v>192.5</v>
      </c>
      <c r="HZ84" s="1101">
        <v>213.77989600000001</v>
      </c>
      <c r="IA84" s="1101">
        <v>385</v>
      </c>
      <c r="IB84" s="1062"/>
      <c r="IC84" s="1092"/>
      <c r="ID84" s="1050"/>
      <c r="IE84" s="1050"/>
      <c r="IF84" s="1103"/>
      <c r="IG84" s="1103"/>
      <c r="IH84" s="1103"/>
      <c r="II84" s="1103"/>
      <c r="IJ84" s="1103"/>
      <c r="IK84" s="1103"/>
      <c r="IL84" s="1103"/>
      <c r="IM84" s="1050"/>
      <c r="IN84" s="1050"/>
      <c r="IO84" s="1050"/>
      <c r="IP84" s="1050"/>
      <c r="IQ84" s="1103"/>
      <c r="IR84" s="1103"/>
      <c r="IS84" s="1103"/>
      <c r="IT84" s="1103"/>
      <c r="IU84" s="1103"/>
      <c r="IV84" s="1103"/>
      <c r="JS84" s="1092"/>
      <c r="JU84" s="1050"/>
      <c r="JV84" s="1103"/>
      <c r="JW84" s="1103"/>
      <c r="JX84" s="1103"/>
      <c r="JY84" s="1103"/>
      <c r="JZ84" s="1103"/>
      <c r="KA84" s="1103"/>
      <c r="KB84" s="1103"/>
      <c r="KC84" s="1050"/>
      <c r="KD84" s="1050"/>
      <c r="KE84" s="1050"/>
      <c r="KF84" s="1050"/>
      <c r="KG84" s="1103"/>
      <c r="KH84" s="1103"/>
      <c r="KI84" s="1103"/>
      <c r="KJ84" s="1103"/>
      <c r="KK84" s="1103"/>
      <c r="KL84" s="1103"/>
      <c r="KM84" s="1103"/>
      <c r="KN84" s="1103"/>
    </row>
    <row r="85" spans="2:300">
      <c r="B85" s="1048" t="str">
        <f t="shared" si="2"/>
        <v>O1012</v>
      </c>
      <c r="C85" s="1046">
        <v>10</v>
      </c>
      <c r="D85" s="1092">
        <v>12</v>
      </c>
      <c r="E85" s="584">
        <v>0.47</v>
      </c>
      <c r="F85" s="584">
        <v>0.47</v>
      </c>
      <c r="G85" s="584">
        <v>1128</v>
      </c>
      <c r="H85" s="584">
        <v>31.96</v>
      </c>
      <c r="I85" s="584">
        <v>0</v>
      </c>
      <c r="J85" s="584">
        <v>0</v>
      </c>
      <c r="K85" s="584">
        <v>0</v>
      </c>
      <c r="L85" s="584">
        <v>0</v>
      </c>
      <c r="M85" s="584">
        <v>0</v>
      </c>
      <c r="N85" s="584">
        <v>0</v>
      </c>
      <c r="O85" s="584">
        <v>0</v>
      </c>
      <c r="P85" s="584">
        <v>0</v>
      </c>
      <c r="Q85" s="584">
        <v>0</v>
      </c>
      <c r="R85" s="584">
        <v>0</v>
      </c>
      <c r="S85" s="584">
        <v>0</v>
      </c>
      <c r="T85" s="584">
        <v>529.07743749999997</v>
      </c>
      <c r="U85" s="584">
        <v>105</v>
      </c>
      <c r="V85" s="584">
        <v>966.41493749999995</v>
      </c>
      <c r="W85" s="584">
        <v>220.5</v>
      </c>
      <c r="X85" s="584">
        <v>1667.1519375</v>
      </c>
      <c r="Y85" s="584">
        <v>462</v>
      </c>
      <c r="Z85" s="584">
        <v>0.34499999999999997</v>
      </c>
      <c r="AA85" s="584">
        <v>0.34499999999999997</v>
      </c>
      <c r="AB85" s="584">
        <v>828</v>
      </c>
      <c r="AC85" s="584">
        <v>25</v>
      </c>
      <c r="AD85" s="584">
        <v>0</v>
      </c>
      <c r="AE85" s="584">
        <v>0</v>
      </c>
      <c r="AF85" s="584">
        <v>0</v>
      </c>
      <c r="AG85" s="584">
        <v>0</v>
      </c>
      <c r="AH85" s="584">
        <v>0</v>
      </c>
      <c r="AI85" s="584">
        <v>0</v>
      </c>
      <c r="AJ85" s="584">
        <v>0</v>
      </c>
      <c r="AK85" s="584">
        <v>0</v>
      </c>
      <c r="AL85" s="584">
        <v>0</v>
      </c>
      <c r="AM85" s="584">
        <v>0</v>
      </c>
      <c r="AN85" s="584">
        <v>0</v>
      </c>
      <c r="AO85" s="584">
        <v>428.32743749999997</v>
      </c>
      <c r="AP85" s="584">
        <v>105</v>
      </c>
      <c r="AQ85" s="584">
        <v>760.35374999999999</v>
      </c>
      <c r="AR85" s="584">
        <v>220.5</v>
      </c>
      <c r="AS85" s="584">
        <v>1253.0909999999999</v>
      </c>
      <c r="AT85" s="584">
        <v>462</v>
      </c>
      <c r="AU85" s="584">
        <v>1.0249999999999999</v>
      </c>
      <c r="AV85" s="584">
        <v>0.44</v>
      </c>
      <c r="AW85" s="584">
        <v>694.27250215703202</v>
      </c>
      <c r="AX85" s="584">
        <v>35.462122519413299</v>
      </c>
      <c r="AY85" s="584">
        <v>0</v>
      </c>
      <c r="AZ85" s="584">
        <v>0</v>
      </c>
      <c r="BA85" s="584">
        <v>0</v>
      </c>
      <c r="BB85" s="584">
        <v>0</v>
      </c>
      <c r="BC85" s="584">
        <v>0</v>
      </c>
      <c r="BD85" s="584">
        <v>0</v>
      </c>
      <c r="BE85" s="584">
        <v>0</v>
      </c>
      <c r="BF85" s="584">
        <v>0</v>
      </c>
      <c r="BG85" s="584">
        <v>1.0249999999999999</v>
      </c>
      <c r="BH85" s="584">
        <v>0</v>
      </c>
      <c r="BI85" s="584">
        <v>0.45</v>
      </c>
      <c r="BJ85" s="584">
        <v>404.58137640207099</v>
      </c>
      <c r="BK85" s="584">
        <v>105</v>
      </c>
      <c r="BL85" s="584">
        <v>666.37917139775698</v>
      </c>
      <c r="BM85" s="584">
        <v>220.5</v>
      </c>
      <c r="BN85" s="584">
        <v>1040.7354638050001</v>
      </c>
      <c r="BO85" s="584">
        <v>462</v>
      </c>
      <c r="BP85" s="584">
        <v>0.85</v>
      </c>
      <c r="BQ85" s="584">
        <v>0.24</v>
      </c>
      <c r="BR85" s="584">
        <v>721.7357905522</v>
      </c>
      <c r="BS85" s="584">
        <v>40.812019251509902</v>
      </c>
      <c r="BT85" s="584">
        <v>0</v>
      </c>
      <c r="BU85" s="584">
        <v>0</v>
      </c>
      <c r="BV85" s="584">
        <v>0</v>
      </c>
      <c r="BW85" s="584">
        <v>0</v>
      </c>
      <c r="BX85" s="584">
        <v>0</v>
      </c>
      <c r="BY85" s="584">
        <v>0</v>
      </c>
      <c r="BZ85" s="584">
        <v>0</v>
      </c>
      <c r="CA85" s="584">
        <v>0.625</v>
      </c>
      <c r="CB85" s="584">
        <v>0.85</v>
      </c>
      <c r="CC85" s="584">
        <v>0.45</v>
      </c>
      <c r="CD85" s="584">
        <v>0.45</v>
      </c>
      <c r="CE85" s="584">
        <v>415.44869999999997</v>
      </c>
      <c r="CF85" s="584">
        <v>105</v>
      </c>
      <c r="CG85" s="584">
        <v>692.25963750000005</v>
      </c>
      <c r="CH85" s="584">
        <v>220.5</v>
      </c>
      <c r="CI85" s="584">
        <v>1027.6830749999999</v>
      </c>
      <c r="CJ85" s="584">
        <v>462</v>
      </c>
      <c r="CK85" s="584">
        <v>1.075</v>
      </c>
      <c r="CL85" s="584">
        <v>0.33</v>
      </c>
      <c r="CM85" s="584">
        <v>884.72950819672099</v>
      </c>
      <c r="CN85" s="584">
        <v>27.908894521138901</v>
      </c>
      <c r="CO85" s="584">
        <v>0</v>
      </c>
      <c r="CP85" s="584">
        <v>0</v>
      </c>
      <c r="CQ85" s="584">
        <v>0</v>
      </c>
      <c r="CR85" s="584">
        <v>0</v>
      </c>
      <c r="CS85" s="584">
        <v>0</v>
      </c>
      <c r="CT85" s="584">
        <v>0</v>
      </c>
      <c r="CU85" s="584">
        <v>0</v>
      </c>
      <c r="CV85" s="584">
        <v>0</v>
      </c>
      <c r="CW85" s="584">
        <v>1.075</v>
      </c>
      <c r="CX85" s="584">
        <v>0</v>
      </c>
      <c r="CY85" s="584">
        <v>0.6</v>
      </c>
      <c r="CZ85" s="584">
        <v>479.61689999999999</v>
      </c>
      <c r="DA85" s="584">
        <v>105</v>
      </c>
      <c r="DB85" s="584">
        <v>803.54565000000002</v>
      </c>
      <c r="DC85" s="584">
        <v>220.5</v>
      </c>
      <c r="DD85" s="584">
        <v>1302.35565</v>
      </c>
      <c r="DE85" s="584">
        <v>462</v>
      </c>
      <c r="DF85" s="584">
        <v>0.6</v>
      </c>
      <c r="DG85" s="584">
        <v>0.25</v>
      </c>
      <c r="DH85" s="584">
        <v>389.75187392148399</v>
      </c>
      <c r="DI85" s="584">
        <v>18.524824363675599</v>
      </c>
      <c r="DJ85" s="584">
        <v>340</v>
      </c>
      <c r="DK85" s="584">
        <v>0</v>
      </c>
      <c r="DL85" s="584">
        <v>0</v>
      </c>
      <c r="DM85" s="584">
        <v>0</v>
      </c>
      <c r="DN85" s="584">
        <v>0</v>
      </c>
      <c r="DO85" s="584">
        <v>0</v>
      </c>
      <c r="DP85" s="584">
        <v>0</v>
      </c>
      <c r="DQ85" s="584">
        <v>0</v>
      </c>
      <c r="DR85" s="584">
        <v>0.6</v>
      </c>
      <c r="DS85" s="584">
        <v>0</v>
      </c>
      <c r="DT85" s="584">
        <v>2.4</v>
      </c>
      <c r="DU85" s="584">
        <v>367.68812500000001</v>
      </c>
      <c r="DV85" s="584">
        <v>105</v>
      </c>
      <c r="DW85" s="584">
        <v>707.42100000000005</v>
      </c>
      <c r="DX85" s="584">
        <v>220.5</v>
      </c>
      <c r="DY85" s="584">
        <v>1082.2605000000001</v>
      </c>
      <c r="DZ85" s="584">
        <v>462</v>
      </c>
      <c r="EA85" s="1062">
        <v>1.2009000000000001</v>
      </c>
      <c r="EB85" s="1046">
        <v>0.35</v>
      </c>
      <c r="EC85" s="1093">
        <v>132.51783893985731</v>
      </c>
      <c r="ED85" s="1046">
        <v>0</v>
      </c>
      <c r="EE85" s="1046">
        <v>458.71559633027522</v>
      </c>
      <c r="EF85" s="1046">
        <v>32.205000000000005</v>
      </c>
      <c r="EG85" s="1046">
        <v>0</v>
      </c>
      <c r="EH85" s="1046">
        <v>0</v>
      </c>
      <c r="EI85" s="1046" t="s">
        <v>377</v>
      </c>
      <c r="EJ85" s="1046" t="s">
        <v>442</v>
      </c>
      <c r="EK85" s="1046">
        <v>0</v>
      </c>
      <c r="EL85" s="1046">
        <v>0</v>
      </c>
      <c r="EM85" s="1046">
        <v>0</v>
      </c>
      <c r="EN85" s="1046">
        <v>0</v>
      </c>
      <c r="EO85" s="1046">
        <v>0</v>
      </c>
      <c r="EP85" s="1094">
        <v>207.47793150000001</v>
      </c>
      <c r="EQ85" s="1094">
        <v>105</v>
      </c>
      <c r="ER85" s="1094">
        <v>414.95586300000002</v>
      </c>
      <c r="ES85" s="1095">
        <v>210</v>
      </c>
      <c r="ET85" s="1094">
        <v>829.91172600000004</v>
      </c>
      <c r="EU85" s="1094">
        <v>420</v>
      </c>
      <c r="EV85" s="1096">
        <v>0.91220000000000001</v>
      </c>
      <c r="EW85" s="1097">
        <v>0.15</v>
      </c>
      <c r="EX85" s="1096">
        <v>289.50050968399592</v>
      </c>
      <c r="EY85" s="1096">
        <v>1.5443934760448521</v>
      </c>
      <c r="EZ85" s="1096">
        <v>0</v>
      </c>
      <c r="FA85" s="1096">
        <v>30.106666666666666</v>
      </c>
      <c r="FB85" s="1098">
        <v>0</v>
      </c>
      <c r="FC85" s="1098">
        <v>0</v>
      </c>
      <c r="FD85" s="1098" t="s">
        <v>385</v>
      </c>
      <c r="FE85" s="1098" t="s">
        <v>461</v>
      </c>
      <c r="FF85" s="1098">
        <v>3</v>
      </c>
      <c r="FG85" s="1098">
        <v>0</v>
      </c>
      <c r="FH85" s="1098">
        <v>0</v>
      </c>
      <c r="FI85" s="1098">
        <v>0</v>
      </c>
      <c r="FJ85" s="1098">
        <v>0</v>
      </c>
      <c r="FK85" s="1096">
        <v>121.81490700000001</v>
      </c>
      <c r="FL85" s="1096">
        <v>105</v>
      </c>
      <c r="FM85" s="1096">
        <v>243.62981400000001</v>
      </c>
      <c r="FN85" s="1096">
        <v>210</v>
      </c>
      <c r="FO85" s="1096">
        <v>487.25962800000002</v>
      </c>
      <c r="FP85" s="1099">
        <v>420</v>
      </c>
      <c r="FQ85" s="1064">
        <v>1.3188599999999999</v>
      </c>
      <c r="FR85" s="1065">
        <v>0.15</v>
      </c>
      <c r="FS85" s="1066">
        <v>289.50050968399586</v>
      </c>
      <c r="FT85" s="1066">
        <v>3.1754272996334754</v>
      </c>
      <c r="FU85" s="1065"/>
      <c r="FV85" s="1066">
        <v>59.568072616443182</v>
      </c>
      <c r="FW85" s="1065"/>
      <c r="FX85" s="1065"/>
      <c r="FY85" s="1065" t="s">
        <v>381</v>
      </c>
      <c r="FZ85" s="1065" t="s">
        <v>438</v>
      </c>
      <c r="GA85" s="1065">
        <v>3</v>
      </c>
      <c r="GB85" s="1065"/>
      <c r="GC85" s="1065"/>
      <c r="GD85" s="1065"/>
      <c r="GE85" s="1065"/>
      <c r="GF85" s="1066">
        <v>127.66541202530136</v>
      </c>
      <c r="GG85" s="1066">
        <v>105</v>
      </c>
      <c r="GH85" s="1066">
        <v>255.33082405060273</v>
      </c>
      <c r="GI85" s="1066">
        <v>210</v>
      </c>
      <c r="GJ85" s="1066">
        <v>510.66164810120546</v>
      </c>
      <c r="GK85" s="1066">
        <v>420</v>
      </c>
      <c r="GL85" s="584">
        <v>0.96489999999999998</v>
      </c>
      <c r="GM85" s="584">
        <v>0.13</v>
      </c>
      <c r="GN85" s="584"/>
      <c r="GO85" s="584"/>
      <c r="GP85" s="584"/>
      <c r="GQ85" s="584">
        <v>54.828333333333298</v>
      </c>
      <c r="GR85" s="584"/>
      <c r="GS85" s="584">
        <v>66.2589194699286</v>
      </c>
      <c r="GT85" s="584" t="s">
        <v>381</v>
      </c>
      <c r="GU85" s="584" t="s">
        <v>389</v>
      </c>
      <c r="GV85" s="584">
        <v>2</v>
      </c>
      <c r="GW85" s="584"/>
      <c r="GX85" s="584"/>
      <c r="GY85" s="584"/>
      <c r="GZ85" s="584"/>
      <c r="HA85" s="584">
        <v>59.6359785</v>
      </c>
      <c r="HB85" s="584">
        <v>105</v>
      </c>
      <c r="HC85" s="584">
        <v>119.271957</v>
      </c>
      <c r="HD85" s="584">
        <v>210</v>
      </c>
      <c r="HE85" s="584">
        <v>238.543914</v>
      </c>
      <c r="HF85" s="584">
        <v>420</v>
      </c>
      <c r="HG85" s="1100">
        <v>1.59</v>
      </c>
      <c r="HH85" s="1100">
        <v>0.11</v>
      </c>
      <c r="HI85" s="1101">
        <v>0</v>
      </c>
      <c r="HJ85" s="1101">
        <v>0</v>
      </c>
      <c r="HK85" s="1101">
        <v>0</v>
      </c>
      <c r="HL85" s="1101">
        <v>0</v>
      </c>
      <c r="HM85" s="1101">
        <v>68.489999999999995</v>
      </c>
      <c r="HN85" s="1101">
        <v>54.999999999999993</v>
      </c>
      <c r="HO85" s="1101">
        <v>0</v>
      </c>
      <c r="HP85" s="1101">
        <v>0</v>
      </c>
      <c r="HQ85" s="1101">
        <v>3</v>
      </c>
      <c r="HR85" s="1101">
        <v>1.48</v>
      </c>
      <c r="HS85" s="1101">
        <v>0.96</v>
      </c>
      <c r="HT85" s="1101">
        <v>0.3</v>
      </c>
      <c r="HU85" s="1101">
        <v>0.3</v>
      </c>
      <c r="HV85" s="1101">
        <v>60.343106999999989</v>
      </c>
      <c r="HW85" s="1101">
        <v>105</v>
      </c>
      <c r="HX85" s="1101">
        <v>120.68621399999998</v>
      </c>
      <c r="HY85" s="1101">
        <v>210</v>
      </c>
      <c r="HZ85" s="1101">
        <v>241.37242799999996</v>
      </c>
      <c r="IA85" s="1101">
        <v>420</v>
      </c>
      <c r="IB85" s="1062"/>
      <c r="IC85" s="1092"/>
      <c r="ID85" s="1050"/>
      <c r="IE85" s="1050"/>
      <c r="IF85" s="1103"/>
      <c r="IG85" s="1103"/>
      <c r="IH85" s="1103"/>
      <c r="II85" s="1103"/>
      <c r="IJ85" s="1103"/>
      <c r="IK85" s="1103"/>
      <c r="IL85" s="1103"/>
      <c r="IM85" s="1050"/>
      <c r="IN85" s="1050"/>
      <c r="IO85" s="1050"/>
      <c r="IP85" s="1050"/>
      <c r="IQ85" s="1103"/>
      <c r="IR85" s="1103"/>
      <c r="IS85" s="1103"/>
      <c r="IT85" s="1103"/>
      <c r="IU85" s="1103"/>
      <c r="IV85" s="1103"/>
      <c r="JS85" s="1092"/>
      <c r="JU85" s="1050"/>
      <c r="JV85" s="1103"/>
      <c r="JW85" s="1103"/>
      <c r="JX85" s="1103"/>
      <c r="JY85" s="1103"/>
      <c r="JZ85" s="1103"/>
      <c r="KA85" s="1103"/>
      <c r="KB85" s="1103"/>
      <c r="KC85" s="1050"/>
      <c r="KD85" s="1050"/>
      <c r="KE85" s="1050"/>
      <c r="KF85" s="1050"/>
      <c r="KG85" s="1103"/>
      <c r="KH85" s="1103"/>
      <c r="KI85" s="1103"/>
      <c r="KJ85" s="1103"/>
      <c r="KK85" s="1103"/>
      <c r="KL85" s="1103"/>
      <c r="KM85" s="1103"/>
      <c r="KN85" s="1103"/>
    </row>
    <row r="86" spans="2:300">
      <c r="B86" s="1048" t="str">
        <f t="shared" si="2"/>
        <v>O1013</v>
      </c>
      <c r="C86" s="1046">
        <v>10</v>
      </c>
      <c r="D86" s="1092">
        <v>13</v>
      </c>
      <c r="E86" s="584">
        <v>0.47</v>
      </c>
      <c r="F86" s="584">
        <v>0.47</v>
      </c>
      <c r="G86" s="584">
        <v>1128</v>
      </c>
      <c r="H86" s="584">
        <v>30.08</v>
      </c>
      <c r="I86" s="584">
        <v>0</v>
      </c>
      <c r="J86" s="584">
        <v>0</v>
      </c>
      <c r="K86" s="584">
        <v>0</v>
      </c>
      <c r="L86" s="584">
        <v>0</v>
      </c>
      <c r="M86" s="584">
        <v>0</v>
      </c>
      <c r="N86" s="584">
        <v>0</v>
      </c>
      <c r="O86" s="584">
        <v>0</v>
      </c>
      <c r="P86" s="584">
        <v>0</v>
      </c>
      <c r="Q86" s="584">
        <v>0</v>
      </c>
      <c r="R86" s="584">
        <v>0</v>
      </c>
      <c r="S86" s="584">
        <v>0</v>
      </c>
      <c r="T86" s="584">
        <v>567.12743750000004</v>
      </c>
      <c r="U86" s="584">
        <v>113.75</v>
      </c>
      <c r="V86" s="584">
        <v>1047.7560000000001</v>
      </c>
      <c r="W86" s="584">
        <v>238.875</v>
      </c>
      <c r="X86" s="584">
        <v>1805.2019375</v>
      </c>
      <c r="Y86" s="584">
        <v>500.5</v>
      </c>
      <c r="Z86" s="584">
        <v>0.39500000000000002</v>
      </c>
      <c r="AA86" s="584">
        <v>0.39500000000000002</v>
      </c>
      <c r="AB86" s="584">
        <v>948</v>
      </c>
      <c r="AC86" s="584">
        <v>28</v>
      </c>
      <c r="AD86" s="584">
        <v>0</v>
      </c>
      <c r="AE86" s="584">
        <v>0</v>
      </c>
      <c r="AF86" s="584">
        <v>0</v>
      </c>
      <c r="AG86" s="584">
        <v>0</v>
      </c>
      <c r="AH86" s="584">
        <v>0</v>
      </c>
      <c r="AI86" s="584">
        <v>0</v>
      </c>
      <c r="AJ86" s="584">
        <v>0</v>
      </c>
      <c r="AK86" s="584">
        <v>0</v>
      </c>
      <c r="AL86" s="584">
        <v>0</v>
      </c>
      <c r="AM86" s="584">
        <v>0</v>
      </c>
      <c r="AN86" s="584">
        <v>0</v>
      </c>
      <c r="AO86" s="584">
        <v>501.8024375</v>
      </c>
      <c r="AP86" s="584">
        <v>113.75</v>
      </c>
      <c r="AQ86" s="584">
        <v>913.23243749999995</v>
      </c>
      <c r="AR86" s="584">
        <v>238.875</v>
      </c>
      <c r="AS86" s="584">
        <v>1537.0769375</v>
      </c>
      <c r="AT86" s="584">
        <v>500.5</v>
      </c>
      <c r="AU86" s="584">
        <v>0</v>
      </c>
      <c r="AV86" s="584">
        <v>0</v>
      </c>
      <c r="AW86" s="584">
        <v>0</v>
      </c>
      <c r="AX86" s="584">
        <v>0</v>
      </c>
      <c r="AY86" s="584">
        <v>0</v>
      </c>
      <c r="AZ86" s="584">
        <v>0</v>
      </c>
      <c r="BA86" s="584">
        <v>0</v>
      </c>
      <c r="BB86" s="584">
        <v>0</v>
      </c>
      <c r="BC86" s="584">
        <v>0</v>
      </c>
      <c r="BD86" s="584">
        <v>0</v>
      </c>
      <c r="BE86" s="584">
        <v>0</v>
      </c>
      <c r="BF86" s="584">
        <v>0</v>
      </c>
      <c r="BG86" s="584">
        <v>0</v>
      </c>
      <c r="BH86" s="584">
        <v>0</v>
      </c>
      <c r="BI86" s="584">
        <v>0</v>
      </c>
      <c r="BJ86" s="584">
        <v>0</v>
      </c>
      <c r="BK86" s="584">
        <v>0</v>
      </c>
      <c r="BL86" s="584">
        <v>0</v>
      </c>
      <c r="BM86" s="584">
        <v>0</v>
      </c>
      <c r="BN86" s="584">
        <v>0</v>
      </c>
      <c r="BO86" s="584">
        <v>0</v>
      </c>
      <c r="BP86" s="584">
        <v>0</v>
      </c>
      <c r="BQ86" s="584">
        <v>0</v>
      </c>
      <c r="BR86" s="584">
        <v>0</v>
      </c>
      <c r="BS86" s="584">
        <v>0</v>
      </c>
      <c r="BT86" s="584">
        <v>0</v>
      </c>
      <c r="BU86" s="584">
        <v>0</v>
      </c>
      <c r="BV86" s="584">
        <v>0</v>
      </c>
      <c r="BW86" s="584">
        <v>0</v>
      </c>
      <c r="BX86" s="584">
        <v>0</v>
      </c>
      <c r="BY86" s="584">
        <v>0</v>
      </c>
      <c r="BZ86" s="584">
        <v>0</v>
      </c>
      <c r="CA86" s="584">
        <v>0</v>
      </c>
      <c r="CB86" s="584">
        <v>0</v>
      </c>
      <c r="CC86" s="584">
        <v>0</v>
      </c>
      <c r="CD86" s="584">
        <v>0</v>
      </c>
      <c r="CE86" s="584">
        <v>0</v>
      </c>
      <c r="CF86" s="584">
        <v>0</v>
      </c>
      <c r="CG86" s="584">
        <v>0</v>
      </c>
      <c r="CH86" s="584">
        <v>0</v>
      </c>
      <c r="CI86" s="584">
        <v>0</v>
      </c>
      <c r="CJ86" s="584">
        <v>0</v>
      </c>
      <c r="CK86" s="584">
        <v>0</v>
      </c>
      <c r="CL86" s="584">
        <v>0</v>
      </c>
      <c r="CM86" s="584">
        <v>0</v>
      </c>
      <c r="CN86" s="584">
        <v>0</v>
      </c>
      <c r="CO86" s="584">
        <v>0</v>
      </c>
      <c r="CP86" s="584">
        <v>0</v>
      </c>
      <c r="CQ86" s="584">
        <v>0</v>
      </c>
      <c r="CR86" s="584">
        <v>0</v>
      </c>
      <c r="CS86" s="584">
        <v>0</v>
      </c>
      <c r="CT86" s="584">
        <v>0</v>
      </c>
      <c r="CU86" s="584">
        <v>0</v>
      </c>
      <c r="CV86" s="584">
        <v>0</v>
      </c>
      <c r="CW86" s="584">
        <v>0</v>
      </c>
      <c r="CX86" s="584">
        <v>0</v>
      </c>
      <c r="CY86" s="584">
        <v>0</v>
      </c>
      <c r="CZ86" s="584">
        <v>0</v>
      </c>
      <c r="DA86" s="584">
        <v>0</v>
      </c>
      <c r="DB86" s="584">
        <v>0</v>
      </c>
      <c r="DC86" s="584">
        <v>0</v>
      </c>
      <c r="DD86" s="584">
        <v>0</v>
      </c>
      <c r="DE86" s="584">
        <v>0</v>
      </c>
      <c r="DF86" s="584">
        <v>0.67500000000000004</v>
      </c>
      <c r="DG86" s="584">
        <v>0.25</v>
      </c>
      <c r="DH86" s="584">
        <v>443.17508971291898</v>
      </c>
      <c r="DI86" s="584">
        <v>20.529091058612401</v>
      </c>
      <c r="DJ86" s="584">
        <v>340</v>
      </c>
      <c r="DK86" s="584">
        <v>0</v>
      </c>
      <c r="DL86" s="584">
        <v>0</v>
      </c>
      <c r="DM86" s="584">
        <v>0</v>
      </c>
      <c r="DN86" s="584">
        <v>0</v>
      </c>
      <c r="DO86" s="584">
        <v>0</v>
      </c>
      <c r="DP86" s="584">
        <v>0</v>
      </c>
      <c r="DQ86" s="584">
        <v>0</v>
      </c>
      <c r="DR86" s="584">
        <v>0.67500000000000004</v>
      </c>
      <c r="DS86" s="584">
        <v>0</v>
      </c>
      <c r="DT86" s="584">
        <v>2.4</v>
      </c>
      <c r="DU86" s="584">
        <v>416.85837500000002</v>
      </c>
      <c r="DV86" s="584">
        <v>113.75</v>
      </c>
      <c r="DW86" s="584">
        <v>782.29375000000005</v>
      </c>
      <c r="DX86" s="584">
        <v>238.875</v>
      </c>
      <c r="DY86" s="584">
        <v>1230.08825</v>
      </c>
      <c r="DZ86" s="584">
        <v>500.5</v>
      </c>
      <c r="EA86" s="1062">
        <v>1.3149999999999999</v>
      </c>
      <c r="EB86" s="1046">
        <v>0.4</v>
      </c>
      <c r="EC86" s="1093">
        <v>132.51783893985737</v>
      </c>
      <c r="ED86" s="1046">
        <v>0</v>
      </c>
      <c r="EE86" s="1046">
        <v>519.87767584097855</v>
      </c>
      <c r="EF86" s="1046">
        <v>33.367692307692309</v>
      </c>
      <c r="EG86" s="1046">
        <v>0</v>
      </c>
      <c r="EH86" s="1046">
        <v>0</v>
      </c>
      <c r="EI86" s="1046" t="s">
        <v>372</v>
      </c>
      <c r="EJ86" s="1046" t="s">
        <v>423</v>
      </c>
      <c r="EK86" s="1046">
        <v>0</v>
      </c>
      <c r="EL86" s="1046">
        <v>0</v>
      </c>
      <c r="EM86" s="1046">
        <v>0</v>
      </c>
      <c r="EN86" s="1046">
        <v>0</v>
      </c>
      <c r="EO86" s="1046">
        <v>0</v>
      </c>
      <c r="EP86" s="1094">
        <v>244.63845449999999</v>
      </c>
      <c r="EQ86" s="1094">
        <v>113.75</v>
      </c>
      <c r="ER86" s="1094">
        <v>489.27690899999999</v>
      </c>
      <c r="ES86" s="1095">
        <v>227.5</v>
      </c>
      <c r="ET86" s="1094">
        <v>978.55381799999998</v>
      </c>
      <c r="EU86" s="1094">
        <v>455</v>
      </c>
      <c r="EV86" s="1096">
        <v>0.91220000000000001</v>
      </c>
      <c r="EW86" s="1097">
        <v>0.15</v>
      </c>
      <c r="EX86" s="1096">
        <v>289.50050968399592</v>
      </c>
      <c r="EY86" s="1096">
        <v>1.5443934760448521</v>
      </c>
      <c r="EZ86" s="1096">
        <v>0</v>
      </c>
      <c r="FA86" s="1096">
        <v>37.96769230769231</v>
      </c>
      <c r="FB86" s="1098">
        <v>0</v>
      </c>
      <c r="FC86" s="1098">
        <v>0</v>
      </c>
      <c r="FD86" s="1098" t="s">
        <v>385</v>
      </c>
      <c r="FE86" s="1098" t="s">
        <v>432</v>
      </c>
      <c r="FF86" s="1098">
        <v>3</v>
      </c>
      <c r="FG86" s="1098">
        <v>0</v>
      </c>
      <c r="FH86" s="1098">
        <v>0</v>
      </c>
      <c r="FI86" s="1098">
        <v>0</v>
      </c>
      <c r="FJ86" s="1098">
        <v>0</v>
      </c>
      <c r="FK86" s="1096">
        <v>134.47244075</v>
      </c>
      <c r="FL86" s="1096">
        <v>113.75</v>
      </c>
      <c r="FM86" s="1096">
        <v>268.94488150000001</v>
      </c>
      <c r="FN86" s="1096">
        <v>227.5</v>
      </c>
      <c r="FO86" s="1096">
        <v>537.88976300000002</v>
      </c>
      <c r="FP86" s="1099">
        <v>455</v>
      </c>
      <c r="FQ86" s="1064">
        <v>1.3188599999999999</v>
      </c>
      <c r="FR86" s="1065">
        <v>0.15</v>
      </c>
      <c r="FS86" s="1066">
        <v>289.50050968399586</v>
      </c>
      <c r="FT86" s="1066">
        <v>3.1754272996334754</v>
      </c>
      <c r="FU86" s="1065"/>
      <c r="FV86" s="1066">
        <v>65.100739842635548</v>
      </c>
      <c r="FW86" s="1065"/>
      <c r="FX86" s="1065"/>
      <c r="FY86" s="1065" t="s">
        <v>381</v>
      </c>
      <c r="FZ86" s="1065" t="s">
        <v>416</v>
      </c>
      <c r="GA86" s="1065">
        <v>3</v>
      </c>
      <c r="GB86" s="1065"/>
      <c r="GC86" s="1065"/>
      <c r="GD86" s="1065"/>
      <c r="GE86" s="1065"/>
      <c r="GF86" s="1066">
        <v>140.06814898913393</v>
      </c>
      <c r="GG86" s="1066">
        <v>113.75</v>
      </c>
      <c r="GH86" s="1066">
        <v>280.13629797826786</v>
      </c>
      <c r="GI86" s="1066">
        <v>227.5</v>
      </c>
      <c r="GJ86" s="1066">
        <v>560.27259595653572</v>
      </c>
      <c r="GK86" s="1066">
        <v>455</v>
      </c>
      <c r="GL86" s="584">
        <v>0.96489999999999998</v>
      </c>
      <c r="GM86" s="584">
        <v>0.13</v>
      </c>
      <c r="GN86" s="584"/>
      <c r="GO86" s="584"/>
      <c r="GP86" s="584"/>
      <c r="GQ86" s="584">
        <v>66.300769230769205</v>
      </c>
      <c r="GR86" s="584"/>
      <c r="GS86" s="584">
        <v>66.2589194699286</v>
      </c>
      <c r="GT86" s="584" t="s">
        <v>381</v>
      </c>
      <c r="GU86" s="584" t="s">
        <v>381</v>
      </c>
      <c r="GV86" s="584">
        <v>2</v>
      </c>
      <c r="GW86" s="584"/>
      <c r="GX86" s="584"/>
      <c r="GY86" s="584"/>
      <c r="GZ86" s="584"/>
      <c r="HA86" s="584">
        <v>68.263342750000007</v>
      </c>
      <c r="HB86" s="584">
        <v>113.75</v>
      </c>
      <c r="HC86" s="584">
        <v>136.52668550000001</v>
      </c>
      <c r="HD86" s="584">
        <v>227.5</v>
      </c>
      <c r="HE86" s="584">
        <v>273.05337100000003</v>
      </c>
      <c r="HF86" s="584">
        <v>455</v>
      </c>
      <c r="HG86" s="1100">
        <v>1.7100000000000002</v>
      </c>
      <c r="HH86" s="1100">
        <v>0.11</v>
      </c>
      <c r="HI86" s="1101">
        <v>0</v>
      </c>
      <c r="HJ86" s="1101">
        <v>0</v>
      </c>
      <c r="HK86" s="1101">
        <v>0</v>
      </c>
      <c r="HL86" s="1101">
        <v>0</v>
      </c>
      <c r="HM86" s="1101">
        <v>71.04738461538463</v>
      </c>
      <c r="HN86" s="1101">
        <v>54.999999999999993</v>
      </c>
      <c r="HO86" s="1101">
        <v>0</v>
      </c>
      <c r="HP86" s="1101">
        <v>0</v>
      </c>
      <c r="HQ86" s="1101">
        <v>3</v>
      </c>
      <c r="HR86" s="1101">
        <v>1.6</v>
      </c>
      <c r="HS86" s="1101">
        <v>1.08</v>
      </c>
      <c r="HT86" s="1101">
        <v>0.3</v>
      </c>
      <c r="HU86" s="1101">
        <v>0.28000000000000003</v>
      </c>
      <c r="HV86" s="1101">
        <v>66.187057400000015</v>
      </c>
      <c r="HW86" s="1101">
        <v>113.75</v>
      </c>
      <c r="HX86" s="1101">
        <v>132.37411480000003</v>
      </c>
      <c r="HY86" s="1101">
        <v>227.5</v>
      </c>
      <c r="HZ86" s="1101">
        <v>264.74822960000006</v>
      </c>
      <c r="IA86" s="1101">
        <v>455</v>
      </c>
      <c r="IB86" s="1062"/>
      <c r="IC86" s="1092"/>
      <c r="ID86" s="1050"/>
      <c r="IE86" s="1050"/>
      <c r="IF86" s="1103"/>
      <c r="IG86" s="1103"/>
      <c r="IH86" s="1103"/>
      <c r="II86" s="1103"/>
      <c r="IJ86" s="1103"/>
      <c r="IK86" s="1103"/>
      <c r="IL86" s="1103"/>
      <c r="IM86" s="1050"/>
      <c r="IN86" s="1050"/>
      <c r="IO86" s="1050"/>
      <c r="IP86" s="1050"/>
      <c r="IQ86" s="1103"/>
      <c r="IR86" s="1103"/>
      <c r="IS86" s="1103"/>
      <c r="IT86" s="1103"/>
      <c r="IU86" s="1103"/>
      <c r="IV86" s="1103"/>
      <c r="JS86" s="1092"/>
      <c r="JU86" s="1050"/>
      <c r="JV86" s="1103"/>
      <c r="JW86" s="1103"/>
      <c r="JX86" s="1103"/>
      <c r="JY86" s="1103"/>
      <c r="JZ86" s="1103"/>
      <c r="KA86" s="1103"/>
      <c r="KB86" s="1103"/>
      <c r="KC86" s="1050"/>
      <c r="KD86" s="1050"/>
      <c r="KE86" s="1050"/>
      <c r="KF86" s="1050"/>
      <c r="KG86" s="1103"/>
      <c r="KH86" s="1103"/>
      <c r="KI86" s="1103"/>
      <c r="KJ86" s="1103"/>
      <c r="KK86" s="1103"/>
      <c r="KL86" s="1103"/>
      <c r="KM86" s="1103"/>
      <c r="KN86" s="1103"/>
    </row>
    <row r="87" spans="2:300">
      <c r="B87" s="1048" t="str">
        <f t="shared" si="2"/>
        <v>O1014</v>
      </c>
      <c r="C87" s="1046">
        <v>10</v>
      </c>
      <c r="D87" s="1092">
        <v>14</v>
      </c>
      <c r="E87" s="584">
        <v>0.47</v>
      </c>
      <c r="F87" s="584">
        <v>0.47</v>
      </c>
      <c r="G87" s="584">
        <v>1128</v>
      </c>
      <c r="H87" s="584">
        <v>28.67</v>
      </c>
      <c r="I87" s="584">
        <v>0</v>
      </c>
      <c r="J87" s="584">
        <v>0</v>
      </c>
      <c r="K87" s="584">
        <v>0</v>
      </c>
      <c r="L87" s="584">
        <v>0</v>
      </c>
      <c r="M87" s="584">
        <v>0</v>
      </c>
      <c r="N87" s="584">
        <v>0</v>
      </c>
      <c r="O87" s="584">
        <v>0</v>
      </c>
      <c r="P87" s="584">
        <v>0</v>
      </c>
      <c r="Q87" s="584">
        <v>0</v>
      </c>
      <c r="R87" s="584">
        <v>0</v>
      </c>
      <c r="S87" s="584">
        <v>0</v>
      </c>
      <c r="T87" s="584">
        <v>605.1774375</v>
      </c>
      <c r="U87" s="584">
        <v>122.5</v>
      </c>
      <c r="V87" s="584">
        <v>1127.6610000000001</v>
      </c>
      <c r="W87" s="584">
        <v>257.25</v>
      </c>
      <c r="X87" s="584">
        <v>1944.9377500000001</v>
      </c>
      <c r="Y87" s="584">
        <v>539</v>
      </c>
      <c r="Z87" s="584">
        <v>0.48</v>
      </c>
      <c r="AA87" s="584">
        <v>0.48</v>
      </c>
      <c r="AB87" s="584">
        <v>1152</v>
      </c>
      <c r="AC87" s="584">
        <v>28</v>
      </c>
      <c r="AD87" s="584">
        <v>0</v>
      </c>
      <c r="AE87" s="584">
        <v>0</v>
      </c>
      <c r="AF87" s="584">
        <v>0</v>
      </c>
      <c r="AG87" s="584">
        <v>0</v>
      </c>
      <c r="AH87" s="584">
        <v>0</v>
      </c>
      <c r="AI87" s="584">
        <v>0</v>
      </c>
      <c r="AJ87" s="584">
        <v>0</v>
      </c>
      <c r="AK87" s="584">
        <v>0</v>
      </c>
      <c r="AL87" s="584">
        <v>0</v>
      </c>
      <c r="AM87" s="584">
        <v>0</v>
      </c>
      <c r="AN87" s="584">
        <v>0</v>
      </c>
      <c r="AO87" s="584">
        <v>614.53743750000001</v>
      </c>
      <c r="AP87" s="584">
        <v>122.5</v>
      </c>
      <c r="AQ87" s="584">
        <v>1146.771</v>
      </c>
      <c r="AR87" s="584">
        <v>257.25</v>
      </c>
      <c r="AS87" s="584">
        <v>1983.4377500000001</v>
      </c>
      <c r="AT87" s="584">
        <v>539</v>
      </c>
      <c r="AU87" s="584">
        <v>0</v>
      </c>
      <c r="AV87" s="584">
        <v>0</v>
      </c>
      <c r="AW87" s="584">
        <v>0</v>
      </c>
      <c r="AX87" s="584">
        <v>0</v>
      </c>
      <c r="AY87" s="584">
        <v>0</v>
      </c>
      <c r="AZ87" s="584">
        <v>0</v>
      </c>
      <c r="BA87" s="584">
        <v>0</v>
      </c>
      <c r="BB87" s="584">
        <v>0</v>
      </c>
      <c r="BC87" s="584">
        <v>0</v>
      </c>
      <c r="BD87" s="584">
        <v>0</v>
      </c>
      <c r="BE87" s="584">
        <v>0</v>
      </c>
      <c r="BF87" s="584">
        <v>0</v>
      </c>
      <c r="BG87" s="584">
        <v>0</v>
      </c>
      <c r="BH87" s="584">
        <v>0</v>
      </c>
      <c r="BI87" s="584">
        <v>0</v>
      </c>
      <c r="BJ87" s="584">
        <v>0</v>
      </c>
      <c r="BK87" s="584">
        <v>0</v>
      </c>
      <c r="BL87" s="584">
        <v>0</v>
      </c>
      <c r="BM87" s="584">
        <v>0</v>
      </c>
      <c r="BN87" s="584">
        <v>0</v>
      </c>
      <c r="BO87" s="584">
        <v>0</v>
      </c>
      <c r="BP87" s="584">
        <v>1.125</v>
      </c>
      <c r="BQ87" s="584">
        <v>0.245</v>
      </c>
      <c r="BR87" s="584">
        <v>797.77538917716799</v>
      </c>
      <c r="BS87" s="584">
        <v>50.707950449407001</v>
      </c>
      <c r="BT87" s="584">
        <v>0</v>
      </c>
      <c r="BU87" s="584">
        <v>0</v>
      </c>
      <c r="BV87" s="584">
        <v>0</v>
      </c>
      <c r="BW87" s="584">
        <v>0</v>
      </c>
      <c r="BX87" s="584">
        <v>0</v>
      </c>
      <c r="BY87" s="584">
        <v>0</v>
      </c>
      <c r="BZ87" s="584">
        <v>0</v>
      </c>
      <c r="CA87" s="584">
        <v>0.625</v>
      </c>
      <c r="CB87" s="584">
        <v>1.125</v>
      </c>
      <c r="CC87" s="584">
        <v>0.45</v>
      </c>
      <c r="CD87" s="584">
        <v>0.45</v>
      </c>
      <c r="CE87" s="584">
        <v>523.27260000000001</v>
      </c>
      <c r="CF87" s="584">
        <v>122.5</v>
      </c>
      <c r="CG87" s="584">
        <v>890.72760000000005</v>
      </c>
      <c r="CH87" s="584">
        <v>257.25</v>
      </c>
      <c r="CI87" s="584">
        <v>1250.1976</v>
      </c>
      <c r="CJ87" s="584">
        <v>539</v>
      </c>
      <c r="CK87" s="584">
        <v>0</v>
      </c>
      <c r="CL87" s="584">
        <v>0</v>
      </c>
      <c r="CM87" s="584">
        <v>0</v>
      </c>
      <c r="CN87" s="584">
        <v>0</v>
      </c>
      <c r="CO87" s="584">
        <v>0</v>
      </c>
      <c r="CP87" s="584">
        <v>0</v>
      </c>
      <c r="CQ87" s="584">
        <v>0</v>
      </c>
      <c r="CR87" s="584">
        <v>0</v>
      </c>
      <c r="CS87" s="584">
        <v>0</v>
      </c>
      <c r="CT87" s="584">
        <v>0</v>
      </c>
      <c r="CU87" s="584">
        <v>0</v>
      </c>
      <c r="CV87" s="584">
        <v>0</v>
      </c>
      <c r="CW87" s="584">
        <v>0</v>
      </c>
      <c r="CX87" s="584">
        <v>0</v>
      </c>
      <c r="CY87" s="584">
        <v>0</v>
      </c>
      <c r="CZ87" s="584">
        <v>0</v>
      </c>
      <c r="DA87" s="584">
        <v>0</v>
      </c>
      <c r="DB87" s="584">
        <v>0</v>
      </c>
      <c r="DC87" s="584">
        <v>0</v>
      </c>
      <c r="DD87" s="584">
        <v>0</v>
      </c>
      <c r="DE87" s="584">
        <v>0</v>
      </c>
      <c r="DF87" s="584">
        <v>0.77500000000000002</v>
      </c>
      <c r="DG87" s="584">
        <v>0.25</v>
      </c>
      <c r="DH87" s="584">
        <v>491.815001853225</v>
      </c>
      <c r="DI87" s="584">
        <v>21.843612073758301</v>
      </c>
      <c r="DJ87" s="584">
        <v>340</v>
      </c>
      <c r="DK87" s="584">
        <v>0</v>
      </c>
      <c r="DL87" s="584">
        <v>0</v>
      </c>
      <c r="DM87" s="584">
        <v>0</v>
      </c>
      <c r="DN87" s="584">
        <v>0</v>
      </c>
      <c r="DO87" s="584">
        <v>0</v>
      </c>
      <c r="DP87" s="584">
        <v>0</v>
      </c>
      <c r="DQ87" s="584">
        <v>0</v>
      </c>
      <c r="DR87" s="584">
        <v>0.77500000000000002</v>
      </c>
      <c r="DS87" s="584">
        <v>0</v>
      </c>
      <c r="DT87" s="584">
        <v>2.4</v>
      </c>
      <c r="DU87" s="584">
        <v>455.83462500000002</v>
      </c>
      <c r="DV87" s="584">
        <v>122.5</v>
      </c>
      <c r="DW87" s="584">
        <v>872.04499999999996</v>
      </c>
      <c r="DX87" s="584">
        <v>257.25</v>
      </c>
      <c r="DY87" s="584">
        <v>1407.8552500000001</v>
      </c>
      <c r="DZ87" s="584">
        <v>539</v>
      </c>
      <c r="EA87" s="1062">
        <v>1.373</v>
      </c>
      <c r="EB87" s="1046">
        <v>0.45</v>
      </c>
      <c r="EC87" s="1093">
        <v>132.51783893985726</v>
      </c>
      <c r="ED87" s="1046">
        <v>0</v>
      </c>
      <c r="EE87" s="1046">
        <v>581.03975535168195</v>
      </c>
      <c r="EF87" s="1046">
        <v>41.237142857142864</v>
      </c>
      <c r="EG87" s="1046">
        <v>0</v>
      </c>
      <c r="EH87" s="1046">
        <v>0</v>
      </c>
      <c r="EI87" s="1046" t="s">
        <v>369</v>
      </c>
      <c r="EJ87" s="1046" t="s">
        <v>420</v>
      </c>
      <c r="EK87" s="1046">
        <v>0</v>
      </c>
      <c r="EL87" s="1046">
        <v>0</v>
      </c>
      <c r="EM87" s="1046">
        <v>0</v>
      </c>
      <c r="EN87" s="1046">
        <v>0</v>
      </c>
      <c r="EO87" s="1046">
        <v>0</v>
      </c>
      <c r="EP87" s="1094">
        <v>287.158773</v>
      </c>
      <c r="EQ87" s="1094">
        <v>122.5</v>
      </c>
      <c r="ER87" s="1094">
        <v>574.31754599999999</v>
      </c>
      <c r="ES87" s="1095">
        <v>245</v>
      </c>
      <c r="ET87" s="1094">
        <v>1148.635092</v>
      </c>
      <c r="EU87" s="1094">
        <v>490</v>
      </c>
      <c r="EV87" s="1096">
        <v>0.91979999999999995</v>
      </c>
      <c r="EW87" s="1097">
        <v>0.15</v>
      </c>
      <c r="EX87" s="1096">
        <v>289.50050968399592</v>
      </c>
      <c r="EY87" s="1096">
        <v>1.5443934760448521</v>
      </c>
      <c r="EZ87" s="1096">
        <v>0</v>
      </c>
      <c r="FA87" s="1096">
        <v>44.417142857142856</v>
      </c>
      <c r="FB87" s="1098">
        <v>0</v>
      </c>
      <c r="FC87" s="1098">
        <v>0</v>
      </c>
      <c r="FD87" s="1098" t="s">
        <v>383</v>
      </c>
      <c r="FE87" s="1098" t="s">
        <v>410</v>
      </c>
      <c r="FF87" s="1098">
        <v>3</v>
      </c>
      <c r="FG87" s="1098">
        <v>0</v>
      </c>
      <c r="FH87" s="1098">
        <v>0</v>
      </c>
      <c r="FI87" s="1098">
        <v>0</v>
      </c>
      <c r="FJ87" s="1098">
        <v>0</v>
      </c>
      <c r="FK87" s="1096">
        <v>147.03089349999999</v>
      </c>
      <c r="FL87" s="1096">
        <v>122.5</v>
      </c>
      <c r="FM87" s="1096">
        <v>294.06178699999998</v>
      </c>
      <c r="FN87" s="1096">
        <v>245</v>
      </c>
      <c r="FO87" s="1096">
        <v>588.12357399999996</v>
      </c>
      <c r="FP87" s="1099">
        <v>490</v>
      </c>
      <c r="FQ87" s="1064">
        <v>1.4141999999999999</v>
      </c>
      <c r="FR87" s="1065">
        <v>0.15</v>
      </c>
      <c r="FS87" s="1066">
        <v>289.50050968399586</v>
      </c>
      <c r="FT87" s="1066">
        <v>3.1754272996334754</v>
      </c>
      <c r="FU87" s="1065"/>
      <c r="FV87" s="1066">
        <v>70.686343500777809</v>
      </c>
      <c r="FW87" s="1065"/>
      <c r="FX87" s="1065"/>
      <c r="FY87" s="1065" t="s">
        <v>375</v>
      </c>
      <c r="FZ87" s="1065" t="s">
        <v>1102</v>
      </c>
      <c r="GA87" s="1065">
        <v>3</v>
      </c>
      <c r="GB87" s="1065"/>
      <c r="GC87" s="1065"/>
      <c r="GD87" s="1065"/>
      <c r="GE87" s="1065"/>
      <c r="GF87" s="1066">
        <v>152.76043900432123</v>
      </c>
      <c r="GG87" s="1066">
        <v>122.5</v>
      </c>
      <c r="GH87" s="1066">
        <v>305.52087800864246</v>
      </c>
      <c r="GI87" s="1066">
        <v>245</v>
      </c>
      <c r="GJ87" s="1066">
        <v>611.04175601728491</v>
      </c>
      <c r="GK87" s="1066">
        <v>490</v>
      </c>
      <c r="GL87" s="584">
        <v>1.0329999999999999</v>
      </c>
      <c r="GM87" s="584">
        <v>0.13</v>
      </c>
      <c r="GN87" s="584"/>
      <c r="GO87" s="584"/>
      <c r="GP87" s="584"/>
      <c r="GQ87" s="584">
        <v>72.834285714285699</v>
      </c>
      <c r="GR87" s="584"/>
      <c r="GS87" s="584">
        <v>66.2589194699286</v>
      </c>
      <c r="GT87" s="584" t="s">
        <v>381</v>
      </c>
      <c r="GU87" s="584" t="s">
        <v>375</v>
      </c>
      <c r="GV87" s="584">
        <v>2</v>
      </c>
      <c r="GW87" s="584"/>
      <c r="GX87" s="584"/>
      <c r="GY87" s="584"/>
      <c r="GZ87" s="584"/>
      <c r="HA87" s="584">
        <v>75.757651999999993</v>
      </c>
      <c r="HB87" s="584">
        <v>122.5</v>
      </c>
      <c r="HC87" s="584">
        <v>151.51530399999999</v>
      </c>
      <c r="HD87" s="584">
        <v>245</v>
      </c>
      <c r="HE87" s="584">
        <v>303.03060799999997</v>
      </c>
      <c r="HF87" s="584">
        <v>490</v>
      </c>
      <c r="HG87" s="1100">
        <v>1.83</v>
      </c>
      <c r="HH87" s="1100">
        <v>0.11</v>
      </c>
      <c r="HI87" s="1101">
        <v>0</v>
      </c>
      <c r="HJ87" s="1101">
        <v>0</v>
      </c>
      <c r="HK87" s="1101">
        <v>0</v>
      </c>
      <c r="HL87" s="1101">
        <v>0</v>
      </c>
      <c r="HM87" s="1101">
        <v>77.065714285714293</v>
      </c>
      <c r="HN87" s="1101">
        <v>54.999999999999993</v>
      </c>
      <c r="HO87" s="1101">
        <v>0</v>
      </c>
      <c r="HP87" s="1101">
        <v>0</v>
      </c>
      <c r="HQ87" s="1101">
        <v>3</v>
      </c>
      <c r="HR87" s="1101">
        <v>1.72</v>
      </c>
      <c r="HS87" s="1101">
        <v>1.2</v>
      </c>
      <c r="HT87" s="1101">
        <v>0.3</v>
      </c>
      <c r="HU87" s="1101">
        <v>0.28000000000000003</v>
      </c>
      <c r="HV87" s="1101">
        <v>73.344763</v>
      </c>
      <c r="HW87" s="1101">
        <v>122.5</v>
      </c>
      <c r="HX87" s="1101">
        <v>146.689526</v>
      </c>
      <c r="HY87" s="1101">
        <v>245</v>
      </c>
      <c r="HZ87" s="1101">
        <v>293.379052</v>
      </c>
      <c r="IA87" s="1101">
        <v>490</v>
      </c>
      <c r="IB87" s="1062"/>
      <c r="IC87" s="1092"/>
      <c r="ID87" s="1050"/>
      <c r="IE87" s="1050"/>
      <c r="IF87" s="1103"/>
      <c r="IG87" s="1103"/>
      <c r="IH87" s="1103"/>
      <c r="II87" s="1103"/>
      <c r="IJ87" s="1103"/>
      <c r="IK87" s="1103"/>
      <c r="IL87" s="1103"/>
      <c r="IM87" s="1050"/>
      <c r="IN87" s="1050"/>
      <c r="IO87" s="1050"/>
      <c r="IP87" s="1050"/>
      <c r="IQ87" s="1103"/>
      <c r="IR87" s="1103"/>
      <c r="IS87" s="1103"/>
      <c r="IT87" s="1103"/>
      <c r="IU87" s="1103"/>
      <c r="IV87" s="1103"/>
      <c r="JS87" s="1092"/>
      <c r="JU87" s="1050"/>
      <c r="JV87" s="1103"/>
      <c r="JW87" s="1103"/>
      <c r="JX87" s="1103"/>
      <c r="JY87" s="1103"/>
      <c r="JZ87" s="1103"/>
      <c r="KA87" s="1103"/>
      <c r="KB87" s="1103"/>
      <c r="KC87" s="1050"/>
      <c r="KD87" s="1050"/>
      <c r="KE87" s="1050"/>
      <c r="KF87" s="1050"/>
      <c r="KG87" s="1103"/>
      <c r="KH87" s="1103"/>
      <c r="KI87" s="1103"/>
      <c r="KJ87" s="1103"/>
      <c r="KK87" s="1103"/>
      <c r="KL87" s="1103"/>
      <c r="KM87" s="1103"/>
      <c r="KN87" s="1103"/>
    </row>
    <row r="88" spans="2:300">
      <c r="B88" s="1048" t="str">
        <f t="shared" si="2"/>
        <v>O1015</v>
      </c>
      <c r="C88" s="1046">
        <v>10</v>
      </c>
      <c r="D88" s="1092">
        <v>15</v>
      </c>
      <c r="E88" s="584">
        <v>0</v>
      </c>
      <c r="F88" s="584">
        <v>0</v>
      </c>
      <c r="G88" s="584">
        <v>0</v>
      </c>
      <c r="H88" s="584">
        <v>0</v>
      </c>
      <c r="I88" s="584">
        <v>0</v>
      </c>
      <c r="J88" s="584">
        <v>0</v>
      </c>
      <c r="K88" s="584">
        <v>0</v>
      </c>
      <c r="L88" s="584">
        <v>0</v>
      </c>
      <c r="M88" s="584">
        <v>0</v>
      </c>
      <c r="N88" s="584">
        <v>0</v>
      </c>
      <c r="O88" s="584">
        <v>0</v>
      </c>
      <c r="P88" s="584">
        <v>0</v>
      </c>
      <c r="Q88" s="584">
        <v>0</v>
      </c>
      <c r="R88" s="584">
        <v>0</v>
      </c>
      <c r="S88" s="584">
        <v>0</v>
      </c>
      <c r="T88" s="584">
        <v>0</v>
      </c>
      <c r="U88" s="584">
        <v>0</v>
      </c>
      <c r="V88" s="584">
        <v>0</v>
      </c>
      <c r="W88" s="584">
        <v>0</v>
      </c>
      <c r="X88" s="584">
        <v>0</v>
      </c>
      <c r="Y88" s="584">
        <v>0</v>
      </c>
      <c r="Z88" s="584">
        <v>0</v>
      </c>
      <c r="AA88" s="584">
        <v>0</v>
      </c>
      <c r="AB88" s="584">
        <v>0</v>
      </c>
      <c r="AC88" s="584">
        <v>0</v>
      </c>
      <c r="AD88" s="584">
        <v>0</v>
      </c>
      <c r="AE88" s="584">
        <v>0</v>
      </c>
      <c r="AF88" s="584">
        <v>0</v>
      </c>
      <c r="AG88" s="584">
        <v>0</v>
      </c>
      <c r="AH88" s="584">
        <v>0</v>
      </c>
      <c r="AI88" s="584">
        <v>0</v>
      </c>
      <c r="AJ88" s="584">
        <v>0</v>
      </c>
      <c r="AK88" s="584">
        <v>0</v>
      </c>
      <c r="AL88" s="584">
        <v>0</v>
      </c>
      <c r="AM88" s="584">
        <v>0</v>
      </c>
      <c r="AN88" s="584">
        <v>0</v>
      </c>
      <c r="AO88" s="584">
        <v>0</v>
      </c>
      <c r="AP88" s="584">
        <v>0</v>
      </c>
      <c r="AQ88" s="584">
        <v>0</v>
      </c>
      <c r="AR88" s="584">
        <v>0</v>
      </c>
      <c r="AS88" s="584">
        <v>0</v>
      </c>
      <c r="AT88" s="584">
        <v>0</v>
      </c>
      <c r="AU88" s="584">
        <v>0</v>
      </c>
      <c r="AV88" s="584">
        <v>0</v>
      </c>
      <c r="AW88" s="584">
        <v>0</v>
      </c>
      <c r="AX88" s="584">
        <v>0</v>
      </c>
      <c r="AY88" s="584">
        <v>0</v>
      </c>
      <c r="AZ88" s="584">
        <v>0</v>
      </c>
      <c r="BA88" s="584">
        <v>0</v>
      </c>
      <c r="BB88" s="584">
        <v>0</v>
      </c>
      <c r="BC88" s="584">
        <v>0</v>
      </c>
      <c r="BD88" s="584">
        <v>0</v>
      </c>
      <c r="BE88" s="584">
        <v>0</v>
      </c>
      <c r="BF88" s="584">
        <v>0</v>
      </c>
      <c r="BG88" s="584">
        <v>0</v>
      </c>
      <c r="BH88" s="584">
        <v>0</v>
      </c>
      <c r="BI88" s="584">
        <v>0</v>
      </c>
      <c r="BJ88" s="584">
        <v>0</v>
      </c>
      <c r="BK88" s="584">
        <v>0</v>
      </c>
      <c r="BL88" s="584">
        <v>0</v>
      </c>
      <c r="BM88" s="584">
        <v>0</v>
      </c>
      <c r="BN88" s="584">
        <v>0</v>
      </c>
      <c r="BO88" s="584">
        <v>0</v>
      </c>
      <c r="BP88" s="584">
        <v>0</v>
      </c>
      <c r="BQ88" s="584">
        <v>0</v>
      </c>
      <c r="BR88" s="584">
        <v>0</v>
      </c>
      <c r="BS88" s="584">
        <v>0</v>
      </c>
      <c r="BT88" s="584">
        <v>0</v>
      </c>
      <c r="BU88" s="584">
        <v>0</v>
      </c>
      <c r="BV88" s="584">
        <v>0</v>
      </c>
      <c r="BW88" s="584">
        <v>0</v>
      </c>
      <c r="BX88" s="584">
        <v>0</v>
      </c>
      <c r="BY88" s="584">
        <v>0</v>
      </c>
      <c r="BZ88" s="584">
        <v>0</v>
      </c>
      <c r="CA88" s="584">
        <v>0</v>
      </c>
      <c r="CB88" s="584">
        <v>0</v>
      </c>
      <c r="CC88" s="584">
        <v>0</v>
      </c>
      <c r="CD88" s="584">
        <v>0</v>
      </c>
      <c r="CE88" s="584">
        <v>0</v>
      </c>
      <c r="CF88" s="584">
        <v>0</v>
      </c>
      <c r="CG88" s="584">
        <v>0</v>
      </c>
      <c r="CH88" s="584">
        <v>0</v>
      </c>
      <c r="CI88" s="584">
        <v>0</v>
      </c>
      <c r="CJ88" s="584">
        <v>0</v>
      </c>
      <c r="CK88" s="584">
        <v>0</v>
      </c>
      <c r="CL88" s="584">
        <v>0</v>
      </c>
      <c r="CM88" s="584">
        <v>0</v>
      </c>
      <c r="CN88" s="584">
        <v>0</v>
      </c>
      <c r="CO88" s="584">
        <v>0</v>
      </c>
      <c r="CP88" s="584">
        <v>0</v>
      </c>
      <c r="CQ88" s="584">
        <v>0</v>
      </c>
      <c r="CR88" s="584">
        <v>0</v>
      </c>
      <c r="CS88" s="584">
        <v>0</v>
      </c>
      <c r="CT88" s="584">
        <v>0</v>
      </c>
      <c r="CU88" s="584">
        <v>0</v>
      </c>
      <c r="CV88" s="584">
        <v>0</v>
      </c>
      <c r="CW88" s="584">
        <v>0</v>
      </c>
      <c r="CX88" s="584">
        <v>0</v>
      </c>
      <c r="CY88" s="584">
        <v>0</v>
      </c>
      <c r="CZ88" s="584">
        <v>0</v>
      </c>
      <c r="DA88" s="584">
        <v>0</v>
      </c>
      <c r="DB88" s="584">
        <v>0</v>
      </c>
      <c r="DC88" s="584">
        <v>0</v>
      </c>
      <c r="DD88" s="584">
        <v>0</v>
      </c>
      <c r="DE88" s="584">
        <v>0</v>
      </c>
      <c r="DF88" s="584">
        <v>0</v>
      </c>
      <c r="DG88" s="584">
        <v>0</v>
      </c>
      <c r="DH88" s="584">
        <v>0</v>
      </c>
      <c r="DI88" s="584">
        <v>0</v>
      </c>
      <c r="DJ88" s="584">
        <v>0</v>
      </c>
      <c r="DK88" s="584">
        <v>0</v>
      </c>
      <c r="DL88" s="584">
        <v>0</v>
      </c>
      <c r="DM88" s="584">
        <v>0</v>
      </c>
      <c r="DN88" s="584">
        <v>0</v>
      </c>
      <c r="DO88" s="584">
        <v>0</v>
      </c>
      <c r="DP88" s="584">
        <v>0</v>
      </c>
      <c r="DQ88" s="584">
        <v>0</v>
      </c>
      <c r="DR88" s="584">
        <v>0</v>
      </c>
      <c r="DS88" s="584">
        <v>0</v>
      </c>
      <c r="DT88" s="584">
        <v>0</v>
      </c>
      <c r="DU88" s="584">
        <v>0</v>
      </c>
      <c r="DV88" s="584">
        <v>0</v>
      </c>
      <c r="DW88" s="584">
        <v>0</v>
      </c>
      <c r="DX88" s="584">
        <v>0</v>
      </c>
      <c r="DY88" s="584">
        <v>0</v>
      </c>
      <c r="DZ88" s="584">
        <v>0</v>
      </c>
      <c r="EA88" s="1062">
        <v>0</v>
      </c>
      <c r="EB88" s="1046">
        <v>0</v>
      </c>
      <c r="EC88" s="1093">
        <v>0</v>
      </c>
      <c r="ED88" s="1046">
        <v>0</v>
      </c>
      <c r="EE88" s="1046">
        <v>0</v>
      </c>
      <c r="EF88" s="1046">
        <v>0</v>
      </c>
      <c r="EG88" s="1046">
        <v>0</v>
      </c>
      <c r="EH88" s="1046">
        <v>0</v>
      </c>
      <c r="EI88" s="1046">
        <v>0</v>
      </c>
      <c r="EJ88" s="1046">
        <v>0</v>
      </c>
      <c r="EK88" s="1046">
        <v>0</v>
      </c>
      <c r="EL88" s="1046">
        <v>0</v>
      </c>
      <c r="EM88" s="1046">
        <v>0</v>
      </c>
      <c r="EN88" s="1046">
        <v>0</v>
      </c>
      <c r="EO88" s="1046">
        <v>0</v>
      </c>
      <c r="EP88" s="1094">
        <v>0</v>
      </c>
      <c r="EQ88" s="1094">
        <v>0</v>
      </c>
      <c r="ER88" s="1094">
        <v>0</v>
      </c>
      <c r="ES88" s="1095">
        <v>0</v>
      </c>
      <c r="ET88" s="1094">
        <v>0</v>
      </c>
      <c r="EU88" s="1094">
        <v>0</v>
      </c>
      <c r="EV88" s="1096">
        <v>0.99070000000000003</v>
      </c>
      <c r="EW88" s="1097">
        <v>0.15</v>
      </c>
      <c r="EX88" s="1096">
        <v>289.50050968399592</v>
      </c>
      <c r="EY88" s="1096">
        <v>1.5443934760448521</v>
      </c>
      <c r="EZ88" s="1096">
        <v>0</v>
      </c>
      <c r="FA88" s="1096">
        <v>43.28</v>
      </c>
      <c r="FB88" s="1098">
        <v>0</v>
      </c>
      <c r="FC88" s="1098">
        <v>0</v>
      </c>
      <c r="FD88" s="1098" t="s">
        <v>379</v>
      </c>
      <c r="FE88" s="1098" t="s">
        <v>410</v>
      </c>
      <c r="FF88" s="1098">
        <v>3</v>
      </c>
      <c r="FG88" s="1098">
        <v>0</v>
      </c>
      <c r="FH88" s="1098">
        <v>0</v>
      </c>
      <c r="FI88" s="1098">
        <v>0</v>
      </c>
      <c r="FJ88" s="1098">
        <v>0</v>
      </c>
      <c r="FK88" s="1096">
        <v>157.11477375000001</v>
      </c>
      <c r="FL88" s="1096">
        <v>131.25</v>
      </c>
      <c r="FM88" s="1096">
        <v>314.22954750000002</v>
      </c>
      <c r="FN88" s="1096">
        <v>262.5</v>
      </c>
      <c r="FO88" s="1096">
        <v>628.45909500000005</v>
      </c>
      <c r="FP88" s="1099">
        <v>525</v>
      </c>
      <c r="FQ88" s="1064">
        <v>1.5084199999999999</v>
      </c>
      <c r="FR88" s="1065">
        <v>0.15</v>
      </c>
      <c r="FS88" s="1066">
        <v>289.50050968399586</v>
      </c>
      <c r="FT88" s="1066">
        <v>3.1754272996334754</v>
      </c>
      <c r="FU88" s="1065"/>
      <c r="FV88" s="1066">
        <v>80.454702595163241</v>
      </c>
      <c r="FW88" s="1065"/>
      <c r="FX88" s="1065"/>
      <c r="FY88" s="1065" t="s">
        <v>1103</v>
      </c>
      <c r="FZ88" s="1065" t="s">
        <v>408</v>
      </c>
      <c r="GA88" s="1065">
        <v>3</v>
      </c>
      <c r="GB88" s="1065"/>
      <c r="GC88" s="1065"/>
      <c r="GD88" s="1065"/>
      <c r="GE88" s="1065"/>
      <c r="GF88" s="1066">
        <v>167.26543403504837</v>
      </c>
      <c r="GG88" s="1066">
        <v>131.25</v>
      </c>
      <c r="GH88" s="1066">
        <v>334.53086807009674</v>
      </c>
      <c r="GI88" s="1066">
        <v>262.5</v>
      </c>
      <c r="GJ88" s="1066">
        <v>669.06173614019349</v>
      </c>
      <c r="GK88" s="1066">
        <v>525</v>
      </c>
      <c r="GL88" s="584">
        <v>1.1003000000000001</v>
      </c>
      <c r="GM88" s="584">
        <v>0.13</v>
      </c>
      <c r="GN88" s="584"/>
      <c r="GO88" s="584"/>
      <c r="GP88" s="584"/>
      <c r="GQ88" s="584">
        <v>79.52</v>
      </c>
      <c r="GR88" s="584"/>
      <c r="GS88" s="584">
        <v>66.2589194699286</v>
      </c>
      <c r="GT88" s="584" t="s">
        <v>379</v>
      </c>
      <c r="GU88" s="584" t="s">
        <v>351</v>
      </c>
      <c r="GV88" s="584">
        <v>2</v>
      </c>
      <c r="GW88" s="584"/>
      <c r="GX88" s="584"/>
      <c r="GY88" s="584"/>
      <c r="GZ88" s="584"/>
      <c r="HA88" s="584">
        <v>83.628420000000006</v>
      </c>
      <c r="HB88" s="584">
        <v>131.25</v>
      </c>
      <c r="HC88" s="584">
        <v>167.25684000000001</v>
      </c>
      <c r="HD88" s="584">
        <v>262.5</v>
      </c>
      <c r="HE88" s="584">
        <v>334.51368000000002</v>
      </c>
      <c r="HF88" s="584">
        <v>525</v>
      </c>
      <c r="HG88" s="1100">
        <v>1.99</v>
      </c>
      <c r="HH88" s="1100">
        <v>0.11</v>
      </c>
      <c r="HI88" s="1101">
        <v>0</v>
      </c>
      <c r="HJ88" s="1101">
        <v>0</v>
      </c>
      <c r="HK88" s="1101">
        <v>0</v>
      </c>
      <c r="HL88" s="1101">
        <v>0</v>
      </c>
      <c r="HM88" s="1101">
        <v>83.447999999999993</v>
      </c>
      <c r="HN88" s="1101">
        <v>54.999999999999993</v>
      </c>
      <c r="HO88" s="1101">
        <v>0</v>
      </c>
      <c r="HP88" s="1101">
        <v>0</v>
      </c>
      <c r="HQ88" s="1101">
        <v>3</v>
      </c>
      <c r="HR88" s="1101">
        <v>1.88</v>
      </c>
      <c r="HS88" s="1101">
        <v>1.32</v>
      </c>
      <c r="HT88" s="1101">
        <v>0.3</v>
      </c>
      <c r="HU88" s="1101">
        <v>0.28000000000000003</v>
      </c>
      <c r="HV88" s="1101">
        <v>80.931557999999995</v>
      </c>
      <c r="HW88" s="1101">
        <v>131.25</v>
      </c>
      <c r="HX88" s="1101">
        <v>161.86311599999999</v>
      </c>
      <c r="HY88" s="1101">
        <v>262.5</v>
      </c>
      <c r="HZ88" s="1101">
        <v>323.72623199999998</v>
      </c>
      <c r="IA88" s="1101">
        <v>525</v>
      </c>
      <c r="IB88" s="1062"/>
      <c r="IC88" s="1092"/>
      <c r="ID88" s="1050"/>
      <c r="IE88" s="1050"/>
      <c r="IF88" s="1103"/>
      <c r="IG88" s="1103"/>
      <c r="IH88" s="1103"/>
      <c r="II88" s="1103"/>
      <c r="IJ88" s="1103"/>
      <c r="IK88" s="1103"/>
      <c r="IL88" s="1103"/>
      <c r="IM88" s="1050"/>
      <c r="IN88" s="1050"/>
      <c r="IO88" s="1050"/>
      <c r="IP88" s="1050"/>
      <c r="IQ88" s="1103"/>
      <c r="IR88" s="1103"/>
      <c r="IS88" s="1103"/>
      <c r="IT88" s="1103"/>
      <c r="IU88" s="1103"/>
      <c r="IV88" s="1103"/>
      <c r="JS88" s="1092"/>
      <c r="JU88" s="1050"/>
      <c r="JV88" s="1103"/>
      <c r="JW88" s="1103"/>
      <c r="JX88" s="1103"/>
      <c r="JY88" s="1103"/>
      <c r="JZ88" s="1103"/>
      <c r="KA88" s="1103"/>
      <c r="KB88" s="1103"/>
      <c r="KC88" s="1050"/>
      <c r="KD88" s="1050"/>
      <c r="KE88" s="1050"/>
      <c r="KF88" s="1050"/>
      <c r="KG88" s="1103"/>
      <c r="KH88" s="1103"/>
      <c r="KI88" s="1103"/>
      <c r="KJ88" s="1103"/>
      <c r="KK88" s="1103"/>
      <c r="KL88" s="1103"/>
      <c r="KM88" s="1103"/>
      <c r="KN88" s="1103"/>
    </row>
    <row r="89" spans="2:300">
      <c r="B89" s="1048" t="str">
        <f t="shared" si="2"/>
        <v>O1016</v>
      </c>
      <c r="C89" s="1046">
        <v>10</v>
      </c>
      <c r="D89" s="1092">
        <v>16</v>
      </c>
      <c r="E89" s="584">
        <v>0</v>
      </c>
      <c r="F89" s="584">
        <v>0</v>
      </c>
      <c r="G89" s="584">
        <v>0</v>
      </c>
      <c r="H89" s="584">
        <v>0</v>
      </c>
      <c r="I89" s="584">
        <v>0</v>
      </c>
      <c r="J89" s="584">
        <v>0</v>
      </c>
      <c r="K89" s="584">
        <v>0</v>
      </c>
      <c r="L89" s="584">
        <v>0</v>
      </c>
      <c r="M89" s="584">
        <v>0</v>
      </c>
      <c r="N89" s="584">
        <v>0</v>
      </c>
      <c r="O89" s="584">
        <v>0</v>
      </c>
      <c r="P89" s="584">
        <v>0</v>
      </c>
      <c r="Q89" s="584">
        <v>0</v>
      </c>
      <c r="R89" s="584">
        <v>0</v>
      </c>
      <c r="S89" s="584">
        <v>0</v>
      </c>
      <c r="T89" s="584">
        <v>0</v>
      </c>
      <c r="U89" s="584">
        <v>0</v>
      </c>
      <c r="V89" s="584">
        <v>0</v>
      </c>
      <c r="W89" s="584">
        <v>0</v>
      </c>
      <c r="X89" s="584">
        <v>0</v>
      </c>
      <c r="Y89" s="584">
        <v>0</v>
      </c>
      <c r="Z89" s="584">
        <v>0</v>
      </c>
      <c r="AA89" s="584">
        <v>0</v>
      </c>
      <c r="AB89" s="584">
        <v>0</v>
      </c>
      <c r="AC89" s="584">
        <v>0</v>
      </c>
      <c r="AD89" s="584">
        <v>0</v>
      </c>
      <c r="AE89" s="584">
        <v>0</v>
      </c>
      <c r="AF89" s="584">
        <v>0</v>
      </c>
      <c r="AG89" s="584">
        <v>0</v>
      </c>
      <c r="AH89" s="584">
        <v>0</v>
      </c>
      <c r="AI89" s="584">
        <v>0</v>
      </c>
      <c r="AJ89" s="584">
        <v>0</v>
      </c>
      <c r="AK89" s="584">
        <v>0</v>
      </c>
      <c r="AL89" s="584">
        <v>0</v>
      </c>
      <c r="AM89" s="584">
        <v>0</v>
      </c>
      <c r="AN89" s="584">
        <v>0</v>
      </c>
      <c r="AO89" s="584">
        <v>180.25743750000001</v>
      </c>
      <c r="AP89" s="584">
        <v>140</v>
      </c>
      <c r="AQ89" s="584">
        <v>257.05743749999999</v>
      </c>
      <c r="AR89" s="584">
        <v>294</v>
      </c>
      <c r="AS89" s="584">
        <v>149.791</v>
      </c>
      <c r="AT89" s="584">
        <v>616</v>
      </c>
      <c r="AU89" s="584">
        <v>0</v>
      </c>
      <c r="AV89" s="584">
        <v>0</v>
      </c>
      <c r="AW89" s="584">
        <v>0</v>
      </c>
      <c r="AX89" s="584">
        <v>0</v>
      </c>
      <c r="AY89" s="584">
        <v>0</v>
      </c>
      <c r="AZ89" s="584">
        <v>0</v>
      </c>
      <c r="BA89" s="584">
        <v>0</v>
      </c>
      <c r="BB89" s="584">
        <v>0</v>
      </c>
      <c r="BC89" s="584">
        <v>0</v>
      </c>
      <c r="BD89" s="584">
        <v>0</v>
      </c>
      <c r="BE89" s="584">
        <v>0</v>
      </c>
      <c r="BF89" s="584">
        <v>0</v>
      </c>
      <c r="BG89" s="584">
        <v>0</v>
      </c>
      <c r="BH89" s="584">
        <v>0</v>
      </c>
      <c r="BI89" s="584">
        <v>0</v>
      </c>
      <c r="BJ89" s="584">
        <v>0</v>
      </c>
      <c r="BK89" s="584">
        <v>0</v>
      </c>
      <c r="BL89" s="584">
        <v>0</v>
      </c>
      <c r="BM89" s="584">
        <v>0</v>
      </c>
      <c r="BN89" s="584">
        <v>0</v>
      </c>
      <c r="BO89" s="584">
        <v>0</v>
      </c>
      <c r="BP89" s="584">
        <v>0</v>
      </c>
      <c r="BQ89" s="584">
        <v>0</v>
      </c>
      <c r="BR89" s="584">
        <v>0</v>
      </c>
      <c r="BS89" s="584">
        <v>0</v>
      </c>
      <c r="BT89" s="584">
        <v>0</v>
      </c>
      <c r="BU89" s="584">
        <v>0</v>
      </c>
      <c r="BV89" s="584">
        <v>0</v>
      </c>
      <c r="BW89" s="584">
        <v>0</v>
      </c>
      <c r="BX89" s="584">
        <v>0</v>
      </c>
      <c r="BY89" s="584">
        <v>0</v>
      </c>
      <c r="BZ89" s="584">
        <v>0</v>
      </c>
      <c r="CA89" s="584">
        <v>0</v>
      </c>
      <c r="CB89" s="584">
        <v>0</v>
      </c>
      <c r="CC89" s="584">
        <v>0</v>
      </c>
      <c r="CD89" s="584">
        <v>0</v>
      </c>
      <c r="CE89" s="584">
        <v>0</v>
      </c>
      <c r="CF89" s="584">
        <v>0</v>
      </c>
      <c r="CG89" s="584">
        <v>0</v>
      </c>
      <c r="CH89" s="584">
        <v>0</v>
      </c>
      <c r="CI89" s="584">
        <v>0</v>
      </c>
      <c r="CJ89" s="584">
        <v>0</v>
      </c>
      <c r="CK89" s="584">
        <v>0</v>
      </c>
      <c r="CL89" s="584">
        <v>0</v>
      </c>
      <c r="CM89" s="584">
        <v>0</v>
      </c>
      <c r="CN89" s="584">
        <v>0</v>
      </c>
      <c r="CO89" s="584">
        <v>0</v>
      </c>
      <c r="CP89" s="584">
        <v>0</v>
      </c>
      <c r="CQ89" s="584">
        <v>0</v>
      </c>
      <c r="CR89" s="584">
        <v>0</v>
      </c>
      <c r="CS89" s="584">
        <v>0</v>
      </c>
      <c r="CT89" s="584">
        <v>0</v>
      </c>
      <c r="CU89" s="584">
        <v>0</v>
      </c>
      <c r="CV89" s="584">
        <v>0</v>
      </c>
      <c r="CW89" s="584">
        <v>0</v>
      </c>
      <c r="CX89" s="584">
        <v>0</v>
      </c>
      <c r="CY89" s="584">
        <v>0</v>
      </c>
      <c r="CZ89" s="584">
        <v>0</v>
      </c>
      <c r="DA89" s="584">
        <v>0</v>
      </c>
      <c r="DB89" s="584">
        <v>0</v>
      </c>
      <c r="DC89" s="584">
        <v>0</v>
      </c>
      <c r="DD89" s="584">
        <v>0</v>
      </c>
      <c r="DE89" s="584">
        <v>0</v>
      </c>
      <c r="DF89" s="584">
        <v>0</v>
      </c>
      <c r="DG89" s="584">
        <v>0</v>
      </c>
      <c r="DH89" s="584">
        <v>0</v>
      </c>
      <c r="DI89" s="584">
        <v>0</v>
      </c>
      <c r="DJ89" s="584">
        <v>0</v>
      </c>
      <c r="DK89" s="584">
        <v>0</v>
      </c>
      <c r="DL89" s="584">
        <v>0</v>
      </c>
      <c r="DM89" s="584">
        <v>0</v>
      </c>
      <c r="DN89" s="584">
        <v>0</v>
      </c>
      <c r="DO89" s="584">
        <v>0</v>
      </c>
      <c r="DP89" s="584">
        <v>0</v>
      </c>
      <c r="DQ89" s="584">
        <v>0</v>
      </c>
      <c r="DR89" s="584">
        <v>0</v>
      </c>
      <c r="DS89" s="584">
        <v>0</v>
      </c>
      <c r="DT89" s="584">
        <v>0</v>
      </c>
      <c r="DU89" s="584">
        <v>0</v>
      </c>
      <c r="DV89" s="584">
        <v>0</v>
      </c>
      <c r="DW89" s="584">
        <v>0</v>
      </c>
      <c r="DX89" s="584">
        <v>0</v>
      </c>
      <c r="DY89" s="584">
        <v>0</v>
      </c>
      <c r="DZ89" s="584">
        <v>0</v>
      </c>
      <c r="EA89" s="1062">
        <v>0</v>
      </c>
      <c r="EB89" s="1046">
        <v>0</v>
      </c>
      <c r="EC89" s="1093">
        <v>0</v>
      </c>
      <c r="ED89" s="1046">
        <v>0</v>
      </c>
      <c r="EE89" s="1046">
        <v>0</v>
      </c>
      <c r="EF89" s="1046">
        <v>0</v>
      </c>
      <c r="EG89" s="1046">
        <v>0</v>
      </c>
      <c r="EH89" s="1046">
        <v>0</v>
      </c>
      <c r="EI89" s="1046">
        <v>0</v>
      </c>
      <c r="EJ89" s="1046">
        <v>0</v>
      </c>
      <c r="EK89" s="1046">
        <v>0</v>
      </c>
      <c r="EL89" s="1046">
        <v>0</v>
      </c>
      <c r="EM89" s="1046">
        <v>0</v>
      </c>
      <c r="EN89" s="1046">
        <v>0</v>
      </c>
      <c r="EO89" s="1046">
        <v>0</v>
      </c>
      <c r="EP89" s="1094">
        <v>0</v>
      </c>
      <c r="EQ89" s="1094">
        <v>0</v>
      </c>
      <c r="ER89" s="1094">
        <v>0</v>
      </c>
      <c r="ES89" s="1095">
        <v>0</v>
      </c>
      <c r="ET89" s="1094">
        <v>0</v>
      </c>
      <c r="EU89" s="1094">
        <v>0</v>
      </c>
      <c r="EV89" s="1096">
        <v>0.99070000000000003</v>
      </c>
      <c r="EW89" s="1097">
        <v>0.15</v>
      </c>
      <c r="EX89" s="1096">
        <v>289.50050968399592</v>
      </c>
      <c r="EY89" s="1096">
        <v>1.5443934760448521</v>
      </c>
      <c r="EZ89" s="1096">
        <v>0</v>
      </c>
      <c r="FA89" s="1096">
        <v>49.672499999999999</v>
      </c>
      <c r="FB89" s="1098">
        <v>0</v>
      </c>
      <c r="FC89" s="1098">
        <v>0</v>
      </c>
      <c r="FD89" s="1098" t="s">
        <v>379</v>
      </c>
      <c r="FE89" s="1098" t="s">
        <v>396</v>
      </c>
      <c r="FF89" s="1098">
        <v>3</v>
      </c>
      <c r="FG89" s="1098">
        <v>0</v>
      </c>
      <c r="FH89" s="1098">
        <v>0</v>
      </c>
      <c r="FI89" s="1098">
        <v>0</v>
      </c>
      <c r="FJ89" s="1098">
        <v>0</v>
      </c>
      <c r="FK89" s="1096">
        <v>170.097509</v>
      </c>
      <c r="FL89" s="1096">
        <v>140</v>
      </c>
      <c r="FM89" s="1096">
        <v>340.195018</v>
      </c>
      <c r="FN89" s="1096">
        <v>280</v>
      </c>
      <c r="FO89" s="1096">
        <v>680.39003600000001</v>
      </c>
      <c r="FP89" s="1099">
        <v>560</v>
      </c>
      <c r="FQ89" s="1064">
        <v>1.5084199999999999</v>
      </c>
      <c r="FR89" s="1065">
        <v>0.15</v>
      </c>
      <c r="FS89" s="1066">
        <v>289.50050968399586</v>
      </c>
      <c r="FT89" s="1066">
        <v>3.1754272996334754</v>
      </c>
      <c r="FU89" s="1065"/>
      <c r="FV89" s="1066">
        <v>84.588532260978823</v>
      </c>
      <c r="FW89" s="1065"/>
      <c r="FX89" s="1065"/>
      <c r="FY89" s="1065" t="s">
        <v>1103</v>
      </c>
      <c r="FZ89" s="1065" t="s">
        <v>396</v>
      </c>
      <c r="GA89" s="1065">
        <v>3</v>
      </c>
      <c r="GB89" s="1065"/>
      <c r="GC89" s="1065"/>
      <c r="GD89" s="1065"/>
      <c r="GE89" s="1065"/>
      <c r="GF89" s="1066">
        <v>180.03857773158427</v>
      </c>
      <c r="GG89" s="1066">
        <v>140</v>
      </c>
      <c r="GH89" s="1066">
        <v>360.07715546316854</v>
      </c>
      <c r="GI89" s="1066">
        <v>280</v>
      </c>
      <c r="GJ89" s="1066">
        <v>720.15431092633708</v>
      </c>
      <c r="GK89" s="1066">
        <v>560</v>
      </c>
      <c r="GL89" s="584">
        <v>1.1101000000000001</v>
      </c>
      <c r="GM89" s="584">
        <v>0.13</v>
      </c>
      <c r="GN89" s="584"/>
      <c r="GO89" s="584"/>
      <c r="GP89" s="584"/>
      <c r="GQ89" s="584">
        <v>87.166250000000005</v>
      </c>
      <c r="GR89" s="584"/>
      <c r="GS89" s="584">
        <v>66.2589194699286</v>
      </c>
      <c r="GT89" s="584" t="s">
        <v>375</v>
      </c>
      <c r="GU89" s="584" t="s">
        <v>349</v>
      </c>
      <c r="GV89" s="584">
        <v>2</v>
      </c>
      <c r="GW89" s="584"/>
      <c r="GX89" s="584"/>
      <c r="GY89" s="584"/>
      <c r="GZ89" s="584"/>
      <c r="HA89" s="584">
        <v>92.204036500000001</v>
      </c>
      <c r="HB89" s="584">
        <v>140</v>
      </c>
      <c r="HC89" s="584">
        <v>184.408073</v>
      </c>
      <c r="HD89" s="584">
        <v>280</v>
      </c>
      <c r="HE89" s="584">
        <v>368.816146</v>
      </c>
      <c r="HF89" s="584">
        <v>560</v>
      </c>
      <c r="HG89" s="1100">
        <v>2.15</v>
      </c>
      <c r="HH89" s="1100">
        <v>0.11</v>
      </c>
      <c r="HI89" s="1101">
        <v>0</v>
      </c>
      <c r="HJ89" s="1101">
        <v>0</v>
      </c>
      <c r="HK89" s="1101">
        <v>0</v>
      </c>
      <c r="HL89" s="1101">
        <v>0</v>
      </c>
      <c r="HM89" s="1101">
        <v>94.972499999999997</v>
      </c>
      <c r="HN89" s="1101">
        <v>54.999999999999993</v>
      </c>
      <c r="HO89" s="1101">
        <v>0</v>
      </c>
      <c r="HP89" s="1101">
        <v>0</v>
      </c>
      <c r="HQ89" s="1101">
        <v>3</v>
      </c>
      <c r="HR89" s="1101">
        <v>2.04</v>
      </c>
      <c r="HS89" s="1101">
        <v>1.44</v>
      </c>
      <c r="HT89" s="1101">
        <v>0.3</v>
      </c>
      <c r="HU89" s="1101">
        <v>0.3</v>
      </c>
      <c r="HV89" s="1101">
        <v>90.849209000000002</v>
      </c>
      <c r="HW89" s="1101">
        <v>140</v>
      </c>
      <c r="HX89" s="1101">
        <v>181.698418</v>
      </c>
      <c r="HY89" s="1101">
        <v>280</v>
      </c>
      <c r="HZ89" s="1101">
        <v>363.39683600000001</v>
      </c>
      <c r="IA89" s="1101">
        <v>560</v>
      </c>
      <c r="IB89" s="1062"/>
      <c r="IC89" s="1092"/>
      <c r="ID89" s="1050"/>
      <c r="IE89" s="1050"/>
      <c r="IF89" s="1103"/>
      <c r="IG89" s="1103"/>
      <c r="IH89" s="1103"/>
      <c r="II89" s="1103"/>
      <c r="IJ89" s="1103"/>
      <c r="IK89" s="1103"/>
      <c r="IL89" s="1103"/>
      <c r="IM89" s="1050"/>
      <c r="IN89" s="1050"/>
      <c r="IO89" s="1050"/>
      <c r="IP89" s="1050"/>
      <c r="IQ89" s="1103"/>
      <c r="IR89" s="1103"/>
      <c r="IS89" s="1103"/>
      <c r="IT89" s="1103"/>
      <c r="IU89" s="1103"/>
      <c r="IV89" s="1103"/>
      <c r="JS89" s="1092"/>
      <c r="JU89" s="1050"/>
      <c r="JV89" s="1103"/>
      <c r="JW89" s="1103"/>
      <c r="JX89" s="1103"/>
      <c r="JY89" s="1103"/>
      <c r="JZ89" s="1103"/>
      <c r="KA89" s="1103"/>
      <c r="KB89" s="1103"/>
      <c r="KC89" s="1050"/>
      <c r="KD89" s="1050"/>
      <c r="KE89" s="1050"/>
      <c r="KF89" s="1050"/>
      <c r="KG89" s="1103"/>
      <c r="KH89" s="1103"/>
      <c r="KI89" s="1103"/>
      <c r="KJ89" s="1103"/>
      <c r="KK89" s="1103"/>
      <c r="KL89" s="1103"/>
      <c r="KM89" s="1103"/>
      <c r="KN89" s="1103"/>
    </row>
    <row r="90" spans="2:300">
      <c r="B90" s="1048" t="str">
        <f t="shared" si="2"/>
        <v>O1111</v>
      </c>
      <c r="C90" s="1046">
        <v>11</v>
      </c>
      <c r="D90" s="1092">
        <v>11</v>
      </c>
      <c r="E90" s="584">
        <v>0.40500000000000003</v>
      </c>
      <c r="F90" s="584">
        <v>0.40500000000000003</v>
      </c>
      <c r="G90" s="584">
        <v>972</v>
      </c>
      <c r="H90" s="584">
        <v>32.805</v>
      </c>
      <c r="I90" s="584">
        <v>0</v>
      </c>
      <c r="J90" s="584">
        <v>0</v>
      </c>
      <c r="K90" s="584">
        <v>0</v>
      </c>
      <c r="L90" s="584">
        <v>0</v>
      </c>
      <c r="M90" s="584">
        <v>0</v>
      </c>
      <c r="N90" s="584">
        <v>0</v>
      </c>
      <c r="O90" s="584">
        <v>0</v>
      </c>
      <c r="P90" s="584">
        <v>0</v>
      </c>
      <c r="Q90" s="584">
        <v>0</v>
      </c>
      <c r="R90" s="584">
        <v>0</v>
      </c>
      <c r="S90" s="584">
        <v>0</v>
      </c>
      <c r="T90" s="584">
        <v>479.41868749999998</v>
      </c>
      <c r="U90" s="584">
        <v>105.875</v>
      </c>
      <c r="V90" s="584">
        <v>852.00431249999997</v>
      </c>
      <c r="W90" s="584">
        <v>222.33750000000001</v>
      </c>
      <c r="X90" s="584">
        <v>1463.1085</v>
      </c>
      <c r="Y90" s="584">
        <v>465.85</v>
      </c>
      <c r="Z90" s="584">
        <v>0.315</v>
      </c>
      <c r="AA90" s="584">
        <v>0.315</v>
      </c>
      <c r="AB90" s="584">
        <v>756</v>
      </c>
      <c r="AC90" s="584">
        <v>27</v>
      </c>
      <c r="AD90" s="584">
        <v>0</v>
      </c>
      <c r="AE90" s="584">
        <v>0</v>
      </c>
      <c r="AF90" s="584">
        <v>0</v>
      </c>
      <c r="AG90" s="584">
        <v>0</v>
      </c>
      <c r="AH90" s="584">
        <v>0</v>
      </c>
      <c r="AI90" s="584">
        <v>0</v>
      </c>
      <c r="AJ90" s="584">
        <v>0</v>
      </c>
      <c r="AK90" s="584">
        <v>0</v>
      </c>
      <c r="AL90" s="584">
        <v>0</v>
      </c>
      <c r="AM90" s="584">
        <v>0</v>
      </c>
      <c r="AN90" s="584">
        <v>0</v>
      </c>
      <c r="AO90" s="584">
        <v>406.31618750000001</v>
      </c>
      <c r="AP90" s="584">
        <v>105.875</v>
      </c>
      <c r="AQ90" s="584">
        <v>702.56437500000004</v>
      </c>
      <c r="AR90" s="584">
        <v>222.33750000000001</v>
      </c>
      <c r="AS90" s="584">
        <v>1163.6334999999999</v>
      </c>
      <c r="AT90" s="584">
        <v>465.85</v>
      </c>
      <c r="AU90" s="584">
        <v>0.85</v>
      </c>
      <c r="AV90" s="584">
        <v>0.51</v>
      </c>
      <c r="AW90" s="584">
        <v>787.16209901625302</v>
      </c>
      <c r="AX90" s="584">
        <v>40.762756228614201</v>
      </c>
      <c r="AY90" s="584">
        <v>0</v>
      </c>
      <c r="AZ90" s="584">
        <v>0</v>
      </c>
      <c r="BA90" s="584">
        <v>0</v>
      </c>
      <c r="BB90" s="584">
        <v>0</v>
      </c>
      <c r="BC90" s="584">
        <v>0</v>
      </c>
      <c r="BD90" s="584">
        <v>0</v>
      </c>
      <c r="BE90" s="584">
        <v>0</v>
      </c>
      <c r="BF90" s="584">
        <v>0</v>
      </c>
      <c r="BG90" s="584">
        <v>0.85</v>
      </c>
      <c r="BH90" s="584">
        <v>0</v>
      </c>
      <c r="BI90" s="584">
        <v>0.6</v>
      </c>
      <c r="BJ90" s="584">
        <v>425.46758613866001</v>
      </c>
      <c r="BK90" s="584">
        <v>105.875</v>
      </c>
      <c r="BL90" s="584">
        <v>709.68929428096897</v>
      </c>
      <c r="BM90" s="584">
        <v>222.33750000000001</v>
      </c>
      <c r="BN90" s="584">
        <v>1175.6376581119</v>
      </c>
      <c r="BO90" s="584">
        <v>465.85</v>
      </c>
      <c r="BP90" s="584">
        <v>0.75</v>
      </c>
      <c r="BQ90" s="584">
        <v>0.28999999999999998</v>
      </c>
      <c r="BR90" s="584">
        <v>797.41119546620996</v>
      </c>
      <c r="BS90" s="584">
        <v>30.234352544910202</v>
      </c>
      <c r="BT90" s="584">
        <v>0</v>
      </c>
      <c r="BU90" s="584">
        <v>0</v>
      </c>
      <c r="BV90" s="584">
        <v>0</v>
      </c>
      <c r="BW90" s="584">
        <v>0</v>
      </c>
      <c r="BX90" s="584">
        <v>0</v>
      </c>
      <c r="BY90" s="584">
        <v>0</v>
      </c>
      <c r="BZ90" s="584">
        <v>0</v>
      </c>
      <c r="CA90" s="584">
        <v>0.75</v>
      </c>
      <c r="CB90" s="584">
        <v>0.75</v>
      </c>
      <c r="CC90" s="584">
        <v>0.45</v>
      </c>
      <c r="CD90" s="584">
        <v>0.45</v>
      </c>
      <c r="CE90" s="584">
        <v>428.83819999999997</v>
      </c>
      <c r="CF90" s="584">
        <v>105.875</v>
      </c>
      <c r="CG90" s="584">
        <v>721.25819999999999</v>
      </c>
      <c r="CH90" s="584">
        <v>222.33750000000001</v>
      </c>
      <c r="CI90" s="584">
        <v>1190.8494499999999</v>
      </c>
      <c r="CJ90" s="584">
        <v>465.85</v>
      </c>
      <c r="CK90" s="584">
        <v>0.875</v>
      </c>
      <c r="CL90" s="584">
        <v>0.375</v>
      </c>
      <c r="CM90" s="584">
        <v>973.26574529512402</v>
      </c>
      <c r="CN90" s="584">
        <v>32.663674882378103</v>
      </c>
      <c r="CO90" s="584">
        <v>0</v>
      </c>
      <c r="CP90" s="584">
        <v>0</v>
      </c>
      <c r="CQ90" s="584">
        <v>0</v>
      </c>
      <c r="CR90" s="584">
        <v>0</v>
      </c>
      <c r="CS90" s="584">
        <v>0</v>
      </c>
      <c r="CT90" s="584">
        <v>0</v>
      </c>
      <c r="CU90" s="584">
        <v>0</v>
      </c>
      <c r="CV90" s="584">
        <v>0</v>
      </c>
      <c r="CW90" s="584">
        <v>0.875</v>
      </c>
      <c r="CX90" s="584">
        <v>0</v>
      </c>
      <c r="CY90" s="584">
        <v>0.6</v>
      </c>
      <c r="CZ90" s="584">
        <v>504.17599999999999</v>
      </c>
      <c r="DA90" s="584">
        <v>105.875</v>
      </c>
      <c r="DB90" s="584">
        <v>849.25537499999996</v>
      </c>
      <c r="DC90" s="584">
        <v>222.33750000000001</v>
      </c>
      <c r="DD90" s="584">
        <v>1444.5685000000001</v>
      </c>
      <c r="DE90" s="584">
        <v>465.85</v>
      </c>
      <c r="DF90" s="584">
        <v>0.55000000000000004</v>
      </c>
      <c r="DG90" s="584">
        <v>0.3</v>
      </c>
      <c r="DH90" s="584">
        <v>345.33442044482501</v>
      </c>
      <c r="DI90" s="584">
        <v>17.251241071428598</v>
      </c>
      <c r="DJ90" s="584">
        <v>390</v>
      </c>
      <c r="DK90" s="584">
        <v>0</v>
      </c>
      <c r="DL90" s="584">
        <v>0</v>
      </c>
      <c r="DM90" s="584">
        <v>0</v>
      </c>
      <c r="DN90" s="584">
        <v>0</v>
      </c>
      <c r="DO90" s="584">
        <v>0</v>
      </c>
      <c r="DP90" s="584">
        <v>0</v>
      </c>
      <c r="DQ90" s="584">
        <v>0</v>
      </c>
      <c r="DR90" s="584">
        <v>0.55000000000000004</v>
      </c>
      <c r="DS90" s="584">
        <v>0</v>
      </c>
      <c r="DT90" s="584">
        <v>2.4</v>
      </c>
      <c r="DU90" s="584">
        <v>385.43900000000002</v>
      </c>
      <c r="DV90" s="584">
        <v>105.875</v>
      </c>
      <c r="DW90" s="584">
        <v>743.12350000000004</v>
      </c>
      <c r="DX90" s="584">
        <v>222.33750000000001</v>
      </c>
      <c r="DY90" s="584">
        <v>1113.7184999999999</v>
      </c>
      <c r="DZ90" s="584">
        <v>465.85</v>
      </c>
      <c r="EA90" s="1062">
        <v>1.2729999999999999</v>
      </c>
      <c r="EB90" s="1046">
        <v>0.35</v>
      </c>
      <c r="EC90" s="1093">
        <v>132.51783893985731</v>
      </c>
      <c r="ED90" s="1046">
        <v>0</v>
      </c>
      <c r="EE90" s="1046">
        <v>458.71559633027522</v>
      </c>
      <c r="EF90" s="1046">
        <v>33.572727272727278</v>
      </c>
      <c r="EG90" s="1046">
        <v>0</v>
      </c>
      <c r="EH90" s="1046">
        <v>0</v>
      </c>
      <c r="EI90" s="1046" t="s">
        <v>369</v>
      </c>
      <c r="EJ90" s="1046" t="s">
        <v>445</v>
      </c>
      <c r="EK90" s="1046">
        <v>0</v>
      </c>
      <c r="EL90" s="1046">
        <v>0</v>
      </c>
      <c r="EM90" s="1046">
        <v>0</v>
      </c>
      <c r="EN90" s="1046">
        <v>0</v>
      </c>
      <c r="EO90" s="1046">
        <v>0</v>
      </c>
      <c r="EP90" s="1094">
        <v>209.61279074999999</v>
      </c>
      <c r="EQ90" s="1094">
        <v>105.875</v>
      </c>
      <c r="ER90" s="1094">
        <v>419.22558149999998</v>
      </c>
      <c r="ES90" s="1095">
        <v>211.75</v>
      </c>
      <c r="ET90" s="1094">
        <v>838.45116299999995</v>
      </c>
      <c r="EU90" s="1094">
        <v>423.5</v>
      </c>
      <c r="EV90" s="1096">
        <v>0.91979999999999995</v>
      </c>
      <c r="EW90" s="1097">
        <v>0.15</v>
      </c>
      <c r="EX90" s="1096">
        <v>289.50050968399592</v>
      </c>
      <c r="EY90" s="1096">
        <v>1.5443934760448521</v>
      </c>
      <c r="EZ90" s="1096">
        <v>0</v>
      </c>
      <c r="FA90" s="1096">
        <v>38.127272727272732</v>
      </c>
      <c r="FB90" s="1098">
        <v>0</v>
      </c>
      <c r="FC90" s="1098">
        <v>0</v>
      </c>
      <c r="FD90" s="1098" t="s">
        <v>383</v>
      </c>
      <c r="FE90" s="1098" t="s">
        <v>456</v>
      </c>
      <c r="FF90" s="1098">
        <v>3</v>
      </c>
      <c r="FG90" s="1098">
        <v>0</v>
      </c>
      <c r="FH90" s="1098">
        <v>0</v>
      </c>
      <c r="FI90" s="1098">
        <v>0</v>
      </c>
      <c r="FJ90" s="1098">
        <v>0</v>
      </c>
      <c r="FK90" s="1096">
        <v>125.210166125</v>
      </c>
      <c r="FL90" s="1096">
        <v>105.875</v>
      </c>
      <c r="FM90" s="1096">
        <v>250.42033225</v>
      </c>
      <c r="FN90" s="1096">
        <v>211.75</v>
      </c>
      <c r="FO90" s="1096">
        <v>500.8406645</v>
      </c>
      <c r="FP90" s="1099">
        <v>423.5</v>
      </c>
      <c r="FQ90" s="1064">
        <v>1.3188599999999999</v>
      </c>
      <c r="FR90" s="1065">
        <v>0.15</v>
      </c>
      <c r="FS90" s="1066">
        <v>289.50050968399586</v>
      </c>
      <c r="FT90" s="1066">
        <v>3.2017662436826937</v>
      </c>
      <c r="FU90" s="1065"/>
      <c r="FV90" s="1066">
        <v>53.702702673832576</v>
      </c>
      <c r="FW90" s="1065"/>
      <c r="FX90" s="1065"/>
      <c r="FY90" s="1065" t="s">
        <v>381</v>
      </c>
      <c r="FZ90" s="1065" t="s">
        <v>461</v>
      </c>
      <c r="GA90" s="1065">
        <v>3</v>
      </c>
      <c r="GB90" s="1065"/>
      <c r="GC90" s="1065"/>
      <c r="GD90" s="1065"/>
      <c r="GE90" s="1065"/>
      <c r="GF90" s="1066">
        <v>126.99654341244494</v>
      </c>
      <c r="GG90" s="1066">
        <v>105.875</v>
      </c>
      <c r="GH90" s="1066">
        <v>253.99308682488987</v>
      </c>
      <c r="GI90" s="1066">
        <v>211.75</v>
      </c>
      <c r="GJ90" s="1066">
        <v>507.98617364977974</v>
      </c>
      <c r="GK90" s="1066">
        <v>423.5</v>
      </c>
      <c r="GL90" s="584">
        <v>0.96489999999999998</v>
      </c>
      <c r="GM90" s="584">
        <v>0.13</v>
      </c>
      <c r="GN90" s="584"/>
      <c r="GO90" s="584"/>
      <c r="GP90" s="584"/>
      <c r="GQ90" s="584">
        <v>52.509090909090901</v>
      </c>
      <c r="GR90" s="584"/>
      <c r="GS90" s="584">
        <v>66.2589194699286</v>
      </c>
      <c r="GT90" s="584" t="s">
        <v>381</v>
      </c>
      <c r="GU90" s="584" t="s">
        <v>389</v>
      </c>
      <c r="GV90" s="584">
        <v>2</v>
      </c>
      <c r="GW90" s="584"/>
      <c r="GX90" s="584"/>
      <c r="GY90" s="584"/>
      <c r="GZ90" s="584"/>
      <c r="HA90" s="584">
        <v>59.444704000000002</v>
      </c>
      <c r="HB90" s="584">
        <v>105.875</v>
      </c>
      <c r="HC90" s="584">
        <v>118.889408</v>
      </c>
      <c r="HD90" s="584">
        <v>211.75</v>
      </c>
      <c r="HE90" s="584">
        <v>237.77881600000001</v>
      </c>
      <c r="HF90" s="584">
        <v>423.5</v>
      </c>
      <c r="HG90" s="1100">
        <v>1.59</v>
      </c>
      <c r="HH90" s="1100">
        <v>0.11</v>
      </c>
      <c r="HI90" s="1101">
        <v>0</v>
      </c>
      <c r="HJ90" s="1101">
        <v>0</v>
      </c>
      <c r="HK90" s="1101">
        <v>0</v>
      </c>
      <c r="HL90" s="1101">
        <v>0</v>
      </c>
      <c r="HM90" s="1101">
        <v>61.36363636363636</v>
      </c>
      <c r="HN90" s="1101">
        <v>54.999999999999993</v>
      </c>
      <c r="HO90" s="1101">
        <v>0</v>
      </c>
      <c r="HP90" s="1101">
        <v>0</v>
      </c>
      <c r="HQ90" s="1101">
        <v>3</v>
      </c>
      <c r="HR90" s="1101">
        <v>1.48</v>
      </c>
      <c r="HS90" s="1101">
        <v>0.88</v>
      </c>
      <c r="HT90" s="1101">
        <v>0.3</v>
      </c>
      <c r="HU90" s="1101">
        <v>0.3</v>
      </c>
      <c r="HV90" s="1101">
        <v>58.731200000000001</v>
      </c>
      <c r="HW90" s="1101">
        <v>105.875</v>
      </c>
      <c r="HX90" s="1101">
        <v>117.4624</v>
      </c>
      <c r="HY90" s="1101">
        <v>211.75</v>
      </c>
      <c r="HZ90" s="1101">
        <v>234.9248</v>
      </c>
      <c r="IA90" s="1101">
        <v>423.5</v>
      </c>
      <c r="IB90" s="1062"/>
      <c r="IC90" s="1092"/>
      <c r="ID90" s="1050"/>
      <c r="IE90" s="1050"/>
      <c r="IF90" s="1103"/>
      <c r="IG90" s="1103"/>
      <c r="IH90" s="1103"/>
      <c r="II90" s="1103"/>
      <c r="IJ90" s="1103"/>
      <c r="IK90" s="1103"/>
      <c r="IL90" s="1103"/>
      <c r="IM90" s="1050"/>
      <c r="IN90" s="1050"/>
      <c r="IO90" s="1050"/>
      <c r="IP90" s="1050"/>
      <c r="IQ90" s="1103"/>
      <c r="IR90" s="1103"/>
      <c r="IS90" s="1103"/>
      <c r="IT90" s="1103"/>
      <c r="IU90" s="1103"/>
      <c r="IV90" s="1103"/>
      <c r="JS90" s="1092"/>
      <c r="JU90" s="1050"/>
      <c r="JV90" s="1103"/>
      <c r="JW90" s="1103"/>
      <c r="JX90" s="1103"/>
      <c r="JY90" s="1103"/>
      <c r="JZ90" s="1103"/>
      <c r="KA90" s="1103"/>
      <c r="KB90" s="1103"/>
      <c r="KC90" s="1050"/>
      <c r="KD90" s="1050"/>
      <c r="KE90" s="1050"/>
      <c r="KF90" s="1050"/>
      <c r="KG90" s="1103"/>
      <c r="KH90" s="1103"/>
      <c r="KI90" s="1103"/>
      <c r="KJ90" s="1103"/>
      <c r="KK90" s="1103"/>
      <c r="KL90" s="1103"/>
      <c r="KM90" s="1103"/>
      <c r="KN90" s="1103"/>
    </row>
    <row r="91" spans="2:300">
      <c r="B91" s="1048" t="str">
        <f t="shared" si="2"/>
        <v>O1112</v>
      </c>
      <c r="C91" s="1046">
        <v>11</v>
      </c>
      <c r="D91" s="1092">
        <v>12</v>
      </c>
      <c r="E91" s="584">
        <v>0.47</v>
      </c>
      <c r="F91" s="584">
        <v>0.47</v>
      </c>
      <c r="G91" s="584">
        <v>1128</v>
      </c>
      <c r="H91" s="584">
        <v>34.31</v>
      </c>
      <c r="I91" s="584">
        <v>0</v>
      </c>
      <c r="J91" s="584">
        <v>0</v>
      </c>
      <c r="K91" s="584">
        <v>0</v>
      </c>
      <c r="L91" s="584">
        <v>0</v>
      </c>
      <c r="M91" s="584">
        <v>0</v>
      </c>
      <c r="N91" s="584">
        <v>0</v>
      </c>
      <c r="O91" s="584">
        <v>0</v>
      </c>
      <c r="P91" s="584">
        <v>0</v>
      </c>
      <c r="Q91" s="584">
        <v>0</v>
      </c>
      <c r="R91" s="584">
        <v>0</v>
      </c>
      <c r="S91" s="584">
        <v>0</v>
      </c>
      <c r="T91" s="584">
        <v>573.40243750000002</v>
      </c>
      <c r="U91" s="584">
        <v>115.5</v>
      </c>
      <c r="V91" s="584">
        <v>1046.9159999999999</v>
      </c>
      <c r="W91" s="584">
        <v>242.55</v>
      </c>
      <c r="X91" s="584">
        <v>1832.8119375000001</v>
      </c>
      <c r="Y91" s="584">
        <v>508.2</v>
      </c>
      <c r="Z91" s="584">
        <v>0.34499999999999997</v>
      </c>
      <c r="AA91" s="584">
        <v>0.34499999999999997</v>
      </c>
      <c r="AB91" s="584">
        <v>828</v>
      </c>
      <c r="AC91" s="584">
        <v>27</v>
      </c>
      <c r="AD91" s="584">
        <v>0</v>
      </c>
      <c r="AE91" s="584">
        <v>0</v>
      </c>
      <c r="AF91" s="584">
        <v>0</v>
      </c>
      <c r="AG91" s="584">
        <v>0</v>
      </c>
      <c r="AH91" s="584">
        <v>0</v>
      </c>
      <c r="AI91" s="584">
        <v>0</v>
      </c>
      <c r="AJ91" s="584">
        <v>0</v>
      </c>
      <c r="AK91" s="584">
        <v>0</v>
      </c>
      <c r="AL91" s="584">
        <v>0</v>
      </c>
      <c r="AM91" s="584">
        <v>0</v>
      </c>
      <c r="AN91" s="584">
        <v>0</v>
      </c>
      <c r="AO91" s="584">
        <v>462.96493750000002</v>
      </c>
      <c r="AP91" s="584">
        <v>115.5</v>
      </c>
      <c r="AQ91" s="584">
        <v>821.04243750000001</v>
      </c>
      <c r="AR91" s="584">
        <v>242.55</v>
      </c>
      <c r="AS91" s="584">
        <v>1377.501</v>
      </c>
      <c r="AT91" s="584">
        <v>508.2</v>
      </c>
      <c r="AU91" s="584">
        <v>0.95</v>
      </c>
      <c r="AV91" s="584">
        <v>0.51</v>
      </c>
      <c r="AW91" s="584">
        <v>781.50150191420403</v>
      </c>
      <c r="AX91" s="584">
        <v>40.450037057033498</v>
      </c>
      <c r="AY91" s="584">
        <v>0</v>
      </c>
      <c r="AZ91" s="584">
        <v>0</v>
      </c>
      <c r="BA91" s="584">
        <v>0</v>
      </c>
      <c r="BB91" s="584">
        <v>0</v>
      </c>
      <c r="BC91" s="584">
        <v>0</v>
      </c>
      <c r="BD91" s="584">
        <v>0</v>
      </c>
      <c r="BE91" s="584">
        <v>0</v>
      </c>
      <c r="BF91" s="584">
        <v>0</v>
      </c>
      <c r="BG91" s="584">
        <v>0.95</v>
      </c>
      <c r="BH91" s="584">
        <v>0</v>
      </c>
      <c r="BI91" s="584">
        <v>0.6</v>
      </c>
      <c r="BJ91" s="584">
        <v>462.78514710906097</v>
      </c>
      <c r="BK91" s="584">
        <v>115.5</v>
      </c>
      <c r="BL91" s="584">
        <v>771.72884412486496</v>
      </c>
      <c r="BM91" s="584">
        <v>242.55</v>
      </c>
      <c r="BN91" s="584">
        <v>1262.39478812212</v>
      </c>
      <c r="BO91" s="584">
        <v>508.2</v>
      </c>
      <c r="BP91" s="584">
        <v>0.875</v>
      </c>
      <c r="BQ91" s="584">
        <v>0.28999999999999998</v>
      </c>
      <c r="BR91" s="584">
        <v>828.86772356925496</v>
      </c>
      <c r="BS91" s="584">
        <v>38.1665080494748</v>
      </c>
      <c r="BT91" s="584">
        <v>0</v>
      </c>
      <c r="BU91" s="584">
        <v>0</v>
      </c>
      <c r="BV91" s="584">
        <v>0</v>
      </c>
      <c r="BW91" s="584">
        <v>0</v>
      </c>
      <c r="BX91" s="584">
        <v>0</v>
      </c>
      <c r="BY91" s="584">
        <v>0</v>
      </c>
      <c r="BZ91" s="584">
        <v>0</v>
      </c>
      <c r="CA91" s="584">
        <v>0.75</v>
      </c>
      <c r="CB91" s="584">
        <v>0.875</v>
      </c>
      <c r="CC91" s="584">
        <v>0.45</v>
      </c>
      <c r="CD91" s="584">
        <v>0.45</v>
      </c>
      <c r="CE91" s="584">
        <v>482.8657</v>
      </c>
      <c r="CF91" s="584">
        <v>115.5</v>
      </c>
      <c r="CG91" s="584">
        <v>823.42366875000005</v>
      </c>
      <c r="CH91" s="584">
        <v>242.55</v>
      </c>
      <c r="CI91" s="584">
        <v>1309.3678875000001</v>
      </c>
      <c r="CJ91" s="584">
        <v>508.2</v>
      </c>
      <c r="CK91" s="584">
        <v>0</v>
      </c>
      <c r="CL91" s="584">
        <v>0</v>
      </c>
      <c r="CM91" s="584">
        <v>0</v>
      </c>
      <c r="CN91" s="584">
        <v>0</v>
      </c>
      <c r="CO91" s="584">
        <v>0</v>
      </c>
      <c r="CP91" s="584">
        <v>0</v>
      </c>
      <c r="CQ91" s="584">
        <v>0</v>
      </c>
      <c r="CR91" s="584">
        <v>0</v>
      </c>
      <c r="CS91" s="584">
        <v>0</v>
      </c>
      <c r="CT91" s="584">
        <v>0</v>
      </c>
      <c r="CU91" s="584">
        <v>0</v>
      </c>
      <c r="CV91" s="584">
        <v>0</v>
      </c>
      <c r="CW91" s="584">
        <v>0</v>
      </c>
      <c r="CX91" s="584">
        <v>0</v>
      </c>
      <c r="CY91" s="584">
        <v>0</v>
      </c>
      <c r="CZ91" s="584">
        <v>0</v>
      </c>
      <c r="DA91" s="584">
        <v>0</v>
      </c>
      <c r="DB91" s="584">
        <v>0</v>
      </c>
      <c r="DC91" s="584">
        <v>0</v>
      </c>
      <c r="DD91" s="584">
        <v>0</v>
      </c>
      <c r="DE91" s="584">
        <v>0</v>
      </c>
      <c r="DF91" s="584">
        <v>0.625</v>
      </c>
      <c r="DG91" s="584">
        <v>0.3</v>
      </c>
      <c r="DH91" s="584">
        <v>377.54184254441901</v>
      </c>
      <c r="DI91" s="584">
        <v>18.349678659075298</v>
      </c>
      <c r="DJ91" s="584">
        <v>390</v>
      </c>
      <c r="DK91" s="584">
        <v>0</v>
      </c>
      <c r="DL91" s="584">
        <v>0</v>
      </c>
      <c r="DM91" s="584">
        <v>0</v>
      </c>
      <c r="DN91" s="584">
        <v>0</v>
      </c>
      <c r="DO91" s="584">
        <v>0</v>
      </c>
      <c r="DP91" s="584">
        <v>0</v>
      </c>
      <c r="DQ91" s="584">
        <v>0</v>
      </c>
      <c r="DR91" s="584">
        <v>0.625</v>
      </c>
      <c r="DS91" s="584">
        <v>0</v>
      </c>
      <c r="DT91" s="584">
        <v>2.4</v>
      </c>
      <c r="DU91" s="584">
        <v>420.74462499999998</v>
      </c>
      <c r="DV91" s="584">
        <v>115.5</v>
      </c>
      <c r="DW91" s="584">
        <v>821.21725000000004</v>
      </c>
      <c r="DX91" s="584">
        <v>242.55</v>
      </c>
      <c r="DY91" s="584">
        <v>1268.02125</v>
      </c>
      <c r="DZ91" s="584">
        <v>508.2</v>
      </c>
      <c r="EA91" s="1062">
        <v>1.2766</v>
      </c>
      <c r="EB91" s="1046">
        <v>0.35</v>
      </c>
      <c r="EC91" s="1093">
        <v>132.51783893985731</v>
      </c>
      <c r="ED91" s="1046">
        <v>0</v>
      </c>
      <c r="EE91" s="1046">
        <v>458.71559633027522</v>
      </c>
      <c r="EF91" s="1046">
        <v>36.209848484848493</v>
      </c>
      <c r="EG91" s="1046">
        <v>0</v>
      </c>
      <c r="EH91" s="1046">
        <v>0</v>
      </c>
      <c r="EI91" s="1046" t="s">
        <v>367</v>
      </c>
      <c r="EJ91" s="1046" t="s">
        <v>442</v>
      </c>
      <c r="EK91" s="1046">
        <v>0</v>
      </c>
      <c r="EL91" s="1046">
        <v>0</v>
      </c>
      <c r="EM91" s="1046">
        <v>0</v>
      </c>
      <c r="EN91" s="1046">
        <v>0</v>
      </c>
      <c r="EO91" s="1046">
        <v>0</v>
      </c>
      <c r="EP91" s="1094">
        <v>229.52221425000005</v>
      </c>
      <c r="EQ91" s="1094">
        <v>115.5</v>
      </c>
      <c r="ER91" s="1094">
        <v>459.04442850000009</v>
      </c>
      <c r="ES91" s="1095">
        <v>231</v>
      </c>
      <c r="ET91" s="1094">
        <v>918.08885700000019</v>
      </c>
      <c r="EU91" s="1094">
        <v>462</v>
      </c>
      <c r="EV91" s="1096">
        <v>0.99070000000000003</v>
      </c>
      <c r="EW91" s="1097">
        <v>0.15</v>
      </c>
      <c r="EX91" s="1096">
        <v>289.50050968399592</v>
      </c>
      <c r="EY91" s="1096">
        <v>1.5443934760448521</v>
      </c>
      <c r="EZ91" s="1096">
        <v>0</v>
      </c>
      <c r="FA91" s="1096">
        <v>36.386363636363633</v>
      </c>
      <c r="FB91" s="1098">
        <v>0</v>
      </c>
      <c r="FC91" s="1098">
        <v>0</v>
      </c>
      <c r="FD91" s="1098" t="s">
        <v>379</v>
      </c>
      <c r="FE91" s="1098" t="s">
        <v>456</v>
      </c>
      <c r="FF91" s="1098">
        <v>3</v>
      </c>
      <c r="FG91" s="1098">
        <v>0</v>
      </c>
      <c r="FH91" s="1098">
        <v>0</v>
      </c>
      <c r="FI91" s="1098">
        <v>0</v>
      </c>
      <c r="FJ91" s="1098">
        <v>0</v>
      </c>
      <c r="FK91" s="1096">
        <v>136.02932400000003</v>
      </c>
      <c r="FL91" s="1096">
        <v>115.5</v>
      </c>
      <c r="FM91" s="1096">
        <v>272.05864800000006</v>
      </c>
      <c r="FN91" s="1096">
        <v>231</v>
      </c>
      <c r="FO91" s="1096">
        <v>544.11729600000012</v>
      </c>
      <c r="FP91" s="1099">
        <v>462</v>
      </c>
      <c r="FQ91" s="1064">
        <v>1.4141999999999999</v>
      </c>
      <c r="FR91" s="1065">
        <v>0.15</v>
      </c>
      <c r="FS91" s="1066">
        <v>289.50050968399586</v>
      </c>
      <c r="FT91" s="1066">
        <v>3.2017662436826937</v>
      </c>
      <c r="FU91" s="1065"/>
      <c r="FV91" s="1066">
        <v>59.799633515465388</v>
      </c>
      <c r="FW91" s="1065"/>
      <c r="FX91" s="1065"/>
      <c r="FY91" s="1065" t="s">
        <v>375</v>
      </c>
      <c r="FZ91" s="1065" t="s">
        <v>438</v>
      </c>
      <c r="GA91" s="1065">
        <v>3</v>
      </c>
      <c r="GB91" s="1065"/>
      <c r="GC91" s="1065"/>
      <c r="GD91" s="1065"/>
      <c r="GE91" s="1065"/>
      <c r="GF91" s="1066">
        <v>140.51544314402904</v>
      </c>
      <c r="GG91" s="1066">
        <v>115.5</v>
      </c>
      <c r="GH91" s="1066">
        <v>281.03088628805807</v>
      </c>
      <c r="GI91" s="1066">
        <v>231</v>
      </c>
      <c r="GJ91" s="1066">
        <v>562.06177257611614</v>
      </c>
      <c r="GK91" s="1066">
        <v>462</v>
      </c>
      <c r="GL91" s="584">
        <v>0.96489999999999998</v>
      </c>
      <c r="GM91" s="584">
        <v>0.13</v>
      </c>
      <c r="GN91" s="584"/>
      <c r="GO91" s="584"/>
      <c r="GP91" s="584"/>
      <c r="GQ91" s="584">
        <v>62.631060606060601</v>
      </c>
      <c r="GR91" s="584"/>
      <c r="GS91" s="584">
        <v>66.2589194699286</v>
      </c>
      <c r="GT91" s="584" t="s">
        <v>381</v>
      </c>
      <c r="GU91" s="584" t="s">
        <v>381</v>
      </c>
      <c r="GV91" s="584">
        <v>2</v>
      </c>
      <c r="GW91" s="584"/>
      <c r="GX91" s="584"/>
      <c r="GY91" s="584"/>
      <c r="GZ91" s="584"/>
      <c r="HA91" s="584">
        <v>68.125553249999996</v>
      </c>
      <c r="HB91" s="584">
        <v>115.5</v>
      </c>
      <c r="HC91" s="584">
        <v>136.25110649999999</v>
      </c>
      <c r="HD91" s="584">
        <v>231</v>
      </c>
      <c r="HE91" s="584">
        <v>272.50221299999998</v>
      </c>
      <c r="HF91" s="584">
        <v>462</v>
      </c>
      <c r="HG91" s="1100">
        <v>1.7100000000000002</v>
      </c>
      <c r="HH91" s="1100">
        <v>0.11</v>
      </c>
      <c r="HI91" s="1101">
        <v>0</v>
      </c>
      <c r="HJ91" s="1101">
        <v>0</v>
      </c>
      <c r="HK91" s="1101">
        <v>0</v>
      </c>
      <c r="HL91" s="1101">
        <v>0</v>
      </c>
      <c r="HM91" s="1101">
        <v>63.818181818181827</v>
      </c>
      <c r="HN91" s="1101">
        <v>54.999999999999993</v>
      </c>
      <c r="HO91" s="1101">
        <v>0</v>
      </c>
      <c r="HP91" s="1101">
        <v>0</v>
      </c>
      <c r="HQ91" s="1101">
        <v>3</v>
      </c>
      <c r="HR91" s="1101">
        <v>1.6</v>
      </c>
      <c r="HS91" s="1101">
        <v>1</v>
      </c>
      <c r="HT91" s="1101">
        <v>0.3</v>
      </c>
      <c r="HU91" s="1101">
        <v>0.28000000000000003</v>
      </c>
      <c r="HV91" s="1101">
        <v>64.865009999999998</v>
      </c>
      <c r="HW91" s="1101">
        <v>115.5</v>
      </c>
      <c r="HX91" s="1101">
        <v>129.73002</v>
      </c>
      <c r="HY91" s="1101">
        <v>231</v>
      </c>
      <c r="HZ91" s="1101">
        <v>259.46003999999999</v>
      </c>
      <c r="IA91" s="1101">
        <v>462</v>
      </c>
      <c r="IB91" s="1062"/>
      <c r="IC91" s="1092"/>
      <c r="ID91" s="1050"/>
      <c r="IE91" s="1050"/>
      <c r="IF91" s="1103"/>
      <c r="IG91" s="1103"/>
      <c r="IH91" s="1103"/>
      <c r="II91" s="1103"/>
      <c r="IJ91" s="1103"/>
      <c r="IK91" s="1103"/>
      <c r="IL91" s="1103"/>
      <c r="IM91" s="1050"/>
      <c r="IN91" s="1050"/>
      <c r="IO91" s="1050"/>
      <c r="IP91" s="1050"/>
      <c r="IQ91" s="1103"/>
      <c r="IR91" s="1103"/>
      <c r="IS91" s="1103"/>
      <c r="IT91" s="1103"/>
      <c r="IU91" s="1103"/>
      <c r="IV91" s="1103"/>
      <c r="JS91" s="1092"/>
      <c r="JU91" s="1050"/>
      <c r="JV91" s="1103"/>
      <c r="JW91" s="1103"/>
      <c r="JX91" s="1103"/>
      <c r="JY91" s="1103"/>
      <c r="JZ91" s="1103"/>
      <c r="KA91" s="1103"/>
      <c r="KB91" s="1103"/>
      <c r="KC91" s="1050"/>
      <c r="KD91" s="1050"/>
      <c r="KE91" s="1050"/>
      <c r="KF91" s="1050"/>
      <c r="KG91" s="1103"/>
      <c r="KH91" s="1103"/>
      <c r="KI91" s="1103"/>
      <c r="KJ91" s="1103"/>
      <c r="KK91" s="1103"/>
      <c r="KL91" s="1103"/>
      <c r="KM91" s="1103"/>
      <c r="KN91" s="1103"/>
    </row>
    <row r="92" spans="2:300">
      <c r="B92" s="1048" t="str">
        <f t="shared" si="2"/>
        <v>O1113</v>
      </c>
      <c r="C92" s="1046">
        <v>11</v>
      </c>
      <c r="D92" s="1092">
        <v>13</v>
      </c>
      <c r="E92" s="584">
        <v>0.47</v>
      </c>
      <c r="F92" s="584">
        <v>0.47</v>
      </c>
      <c r="G92" s="584">
        <v>1128</v>
      </c>
      <c r="H92" s="584">
        <v>31.96</v>
      </c>
      <c r="I92" s="584">
        <v>0</v>
      </c>
      <c r="J92" s="584">
        <v>0</v>
      </c>
      <c r="K92" s="584">
        <v>0</v>
      </c>
      <c r="L92" s="584">
        <v>0</v>
      </c>
      <c r="M92" s="584">
        <v>0</v>
      </c>
      <c r="N92" s="584">
        <v>0</v>
      </c>
      <c r="O92" s="584">
        <v>0</v>
      </c>
      <c r="P92" s="584">
        <v>0</v>
      </c>
      <c r="Q92" s="584">
        <v>0</v>
      </c>
      <c r="R92" s="584">
        <v>0</v>
      </c>
      <c r="S92" s="584">
        <v>0</v>
      </c>
      <c r="T92" s="584">
        <v>614.58993750000002</v>
      </c>
      <c r="U92" s="584">
        <v>125.125</v>
      </c>
      <c r="V92" s="584">
        <v>1133.40975</v>
      </c>
      <c r="W92" s="584">
        <v>262.76249999999999</v>
      </c>
      <c r="X92" s="584">
        <v>1986.35275</v>
      </c>
      <c r="Y92" s="584">
        <v>550.54999999999995</v>
      </c>
      <c r="Z92" s="584">
        <v>0.39500000000000002</v>
      </c>
      <c r="AA92" s="584">
        <v>0.39500000000000002</v>
      </c>
      <c r="AB92" s="584">
        <v>948</v>
      </c>
      <c r="AC92" s="584">
        <v>30</v>
      </c>
      <c r="AD92" s="584">
        <v>0</v>
      </c>
      <c r="AE92" s="584">
        <v>0</v>
      </c>
      <c r="AF92" s="584">
        <v>0</v>
      </c>
      <c r="AG92" s="584">
        <v>0</v>
      </c>
      <c r="AH92" s="584">
        <v>0</v>
      </c>
      <c r="AI92" s="584">
        <v>0</v>
      </c>
      <c r="AJ92" s="584">
        <v>0</v>
      </c>
      <c r="AK92" s="584">
        <v>0</v>
      </c>
      <c r="AL92" s="584">
        <v>0</v>
      </c>
      <c r="AM92" s="584">
        <v>0</v>
      </c>
      <c r="AN92" s="584">
        <v>0</v>
      </c>
      <c r="AO92" s="584">
        <v>542.98368749999997</v>
      </c>
      <c r="AP92" s="584">
        <v>125.125</v>
      </c>
      <c r="AQ92" s="584">
        <v>986.08931250000001</v>
      </c>
      <c r="AR92" s="584">
        <v>262.76249999999999</v>
      </c>
      <c r="AS92" s="584">
        <v>1689.7294374999999</v>
      </c>
      <c r="AT92" s="584">
        <v>550.54999999999995</v>
      </c>
      <c r="AU92" s="584">
        <v>0</v>
      </c>
      <c r="AV92" s="584">
        <v>0</v>
      </c>
      <c r="AW92" s="584">
        <v>0</v>
      </c>
      <c r="AX92" s="584">
        <v>0</v>
      </c>
      <c r="AY92" s="584">
        <v>0</v>
      </c>
      <c r="AZ92" s="584">
        <v>0</v>
      </c>
      <c r="BA92" s="584">
        <v>0</v>
      </c>
      <c r="BB92" s="584">
        <v>0</v>
      </c>
      <c r="BC92" s="584">
        <v>0</v>
      </c>
      <c r="BD92" s="584">
        <v>0</v>
      </c>
      <c r="BE92" s="584">
        <v>0</v>
      </c>
      <c r="BF92" s="584">
        <v>0</v>
      </c>
      <c r="BG92" s="584">
        <v>0</v>
      </c>
      <c r="BH92" s="584">
        <v>0</v>
      </c>
      <c r="BI92" s="584">
        <v>0</v>
      </c>
      <c r="BJ92" s="584">
        <v>0</v>
      </c>
      <c r="BK92" s="584">
        <v>0</v>
      </c>
      <c r="BL92" s="584">
        <v>0</v>
      </c>
      <c r="BM92" s="584">
        <v>0</v>
      </c>
      <c r="BN92" s="584">
        <v>0</v>
      </c>
      <c r="BO92" s="584">
        <v>0</v>
      </c>
      <c r="BP92" s="584">
        <v>0</v>
      </c>
      <c r="BQ92" s="584">
        <v>0</v>
      </c>
      <c r="BR92" s="584">
        <v>0</v>
      </c>
      <c r="BS92" s="584">
        <v>0</v>
      </c>
      <c r="BT92" s="584">
        <v>0</v>
      </c>
      <c r="BU92" s="584">
        <v>0</v>
      </c>
      <c r="BV92" s="584">
        <v>0</v>
      </c>
      <c r="BW92" s="584">
        <v>0</v>
      </c>
      <c r="BX92" s="584">
        <v>0</v>
      </c>
      <c r="BY92" s="584">
        <v>0</v>
      </c>
      <c r="BZ92" s="584">
        <v>0</v>
      </c>
      <c r="CA92" s="584">
        <v>0</v>
      </c>
      <c r="CB92" s="584">
        <v>0</v>
      </c>
      <c r="CC92" s="584">
        <v>0</v>
      </c>
      <c r="CD92" s="584">
        <v>0</v>
      </c>
      <c r="CE92" s="584">
        <v>0</v>
      </c>
      <c r="CF92" s="584">
        <v>0</v>
      </c>
      <c r="CG92" s="584">
        <v>0</v>
      </c>
      <c r="CH92" s="584">
        <v>0</v>
      </c>
      <c r="CI92" s="584">
        <v>0</v>
      </c>
      <c r="CJ92" s="584">
        <v>0</v>
      </c>
      <c r="CK92" s="584">
        <v>0</v>
      </c>
      <c r="CL92" s="584">
        <v>0</v>
      </c>
      <c r="CM92" s="584">
        <v>0</v>
      </c>
      <c r="CN92" s="584">
        <v>0</v>
      </c>
      <c r="CO92" s="584">
        <v>0</v>
      </c>
      <c r="CP92" s="584">
        <v>0</v>
      </c>
      <c r="CQ92" s="584">
        <v>0</v>
      </c>
      <c r="CR92" s="584">
        <v>0</v>
      </c>
      <c r="CS92" s="584">
        <v>0</v>
      </c>
      <c r="CT92" s="584">
        <v>0</v>
      </c>
      <c r="CU92" s="584">
        <v>0</v>
      </c>
      <c r="CV92" s="584">
        <v>0</v>
      </c>
      <c r="CW92" s="584">
        <v>0</v>
      </c>
      <c r="CX92" s="584">
        <v>0</v>
      </c>
      <c r="CY92" s="584">
        <v>0</v>
      </c>
      <c r="CZ92" s="584">
        <v>0</v>
      </c>
      <c r="DA92" s="584">
        <v>0</v>
      </c>
      <c r="DB92" s="584">
        <v>0</v>
      </c>
      <c r="DC92" s="584">
        <v>0</v>
      </c>
      <c r="DD92" s="584">
        <v>0</v>
      </c>
      <c r="DE92" s="584">
        <v>0</v>
      </c>
      <c r="DF92" s="584">
        <v>0.72499999999999998</v>
      </c>
      <c r="DG92" s="584">
        <v>0.3</v>
      </c>
      <c r="DH92" s="584">
        <v>432.847373434948</v>
      </c>
      <c r="DI92" s="584">
        <v>20.4413215841045</v>
      </c>
      <c r="DJ92" s="584">
        <v>390</v>
      </c>
      <c r="DK92" s="584">
        <v>0</v>
      </c>
      <c r="DL92" s="584">
        <v>0</v>
      </c>
      <c r="DM92" s="584">
        <v>0</v>
      </c>
      <c r="DN92" s="584">
        <v>0</v>
      </c>
      <c r="DO92" s="584">
        <v>0</v>
      </c>
      <c r="DP92" s="584">
        <v>0</v>
      </c>
      <c r="DQ92" s="584">
        <v>0</v>
      </c>
      <c r="DR92" s="584">
        <v>0.72499999999999998</v>
      </c>
      <c r="DS92" s="584">
        <v>0</v>
      </c>
      <c r="DT92" s="584">
        <v>2.4</v>
      </c>
      <c r="DU92" s="584">
        <v>471.020625</v>
      </c>
      <c r="DV92" s="584">
        <v>125.125</v>
      </c>
      <c r="DW92" s="584">
        <v>913.74324999999999</v>
      </c>
      <c r="DX92" s="584">
        <v>262.76249999999999</v>
      </c>
      <c r="DY92" s="584">
        <v>1452.144890625</v>
      </c>
      <c r="DZ92" s="584">
        <v>550.54999999999995</v>
      </c>
      <c r="EA92" s="1062">
        <v>1.343</v>
      </c>
      <c r="EB92" s="1046">
        <v>0.4</v>
      </c>
      <c r="EC92" s="1093">
        <v>132.51783893985737</v>
      </c>
      <c r="ED92" s="1046">
        <v>0</v>
      </c>
      <c r="EE92" s="1046">
        <v>519.87767584097855</v>
      </c>
      <c r="EF92" s="1046">
        <v>40.229370629370628</v>
      </c>
      <c r="EG92" s="1046">
        <v>0</v>
      </c>
      <c r="EH92" s="1046">
        <v>0</v>
      </c>
      <c r="EI92" s="1046" t="s">
        <v>364</v>
      </c>
      <c r="EJ92" s="1046" t="s">
        <v>423</v>
      </c>
      <c r="EK92" s="1046">
        <v>0</v>
      </c>
      <c r="EL92" s="1046">
        <v>0</v>
      </c>
      <c r="EM92" s="1046">
        <v>0</v>
      </c>
      <c r="EN92" s="1046">
        <v>0</v>
      </c>
      <c r="EO92" s="1046">
        <v>0</v>
      </c>
      <c r="EP92" s="1094">
        <v>271.50874199999998</v>
      </c>
      <c r="EQ92" s="1094">
        <v>125.125</v>
      </c>
      <c r="ER92" s="1094">
        <v>543.01748399999997</v>
      </c>
      <c r="ES92" s="1095">
        <v>250.25</v>
      </c>
      <c r="ET92" s="1094">
        <v>1086.0349679999999</v>
      </c>
      <c r="EU92" s="1094">
        <v>500.5</v>
      </c>
      <c r="EV92" s="1096">
        <v>0.99070000000000003</v>
      </c>
      <c r="EW92" s="1097">
        <v>0.15</v>
      </c>
      <c r="EX92" s="1096">
        <v>289.50050968399592</v>
      </c>
      <c r="EY92" s="1096">
        <v>1.5443934760448521</v>
      </c>
      <c r="EZ92" s="1096">
        <v>0</v>
      </c>
      <c r="FA92" s="1096">
        <v>37.32587412587413</v>
      </c>
      <c r="FB92" s="1098">
        <v>0</v>
      </c>
      <c r="FC92" s="1098">
        <v>0</v>
      </c>
      <c r="FD92" s="1098" t="s">
        <v>379</v>
      </c>
      <c r="FE92" s="1098" t="s">
        <v>432</v>
      </c>
      <c r="FF92" s="1098">
        <v>3</v>
      </c>
      <c r="FG92" s="1098">
        <v>0</v>
      </c>
      <c r="FH92" s="1098">
        <v>0</v>
      </c>
      <c r="FI92" s="1098">
        <v>0</v>
      </c>
      <c r="FJ92" s="1098">
        <v>0</v>
      </c>
      <c r="FK92" s="1096">
        <v>147.69459437500001</v>
      </c>
      <c r="FL92" s="1096">
        <v>125.125</v>
      </c>
      <c r="FM92" s="1096">
        <v>295.38918875000002</v>
      </c>
      <c r="FN92" s="1096">
        <v>250.25</v>
      </c>
      <c r="FO92" s="1096">
        <v>590.77837750000003</v>
      </c>
      <c r="FP92" s="1099">
        <v>500.5</v>
      </c>
      <c r="FQ92" s="1064">
        <v>1.5084199999999999</v>
      </c>
      <c r="FR92" s="1065">
        <v>0.15</v>
      </c>
      <c r="FS92" s="1066">
        <v>289.50050968399586</v>
      </c>
      <c r="FT92" s="1066">
        <v>3.2017662436826937</v>
      </c>
      <c r="FU92" s="1065"/>
      <c r="FV92" s="1066">
        <v>66.600287746567417</v>
      </c>
      <c r="FW92" s="1065"/>
      <c r="FX92" s="1065"/>
      <c r="FY92" s="1065" t="s">
        <v>1103</v>
      </c>
      <c r="FZ92" s="1065" t="s">
        <v>416</v>
      </c>
      <c r="GA92" s="1065">
        <v>3</v>
      </c>
      <c r="GB92" s="1065"/>
      <c r="GC92" s="1065"/>
      <c r="GD92" s="1065"/>
      <c r="GE92" s="1065"/>
      <c r="GF92" s="1066">
        <v>154.61010384978562</v>
      </c>
      <c r="GG92" s="1066">
        <v>125.125</v>
      </c>
      <c r="GH92" s="1066">
        <v>309.22020769957123</v>
      </c>
      <c r="GI92" s="1066">
        <v>250.25</v>
      </c>
      <c r="GJ92" s="1066">
        <v>618.44041539914247</v>
      </c>
      <c r="GK92" s="1066">
        <v>500.5</v>
      </c>
      <c r="GL92" s="584">
        <v>1.0329999999999999</v>
      </c>
      <c r="GM92" s="584">
        <v>0.13</v>
      </c>
      <c r="GN92" s="584"/>
      <c r="GO92" s="584"/>
      <c r="GP92" s="584"/>
      <c r="GQ92" s="584">
        <v>69.698601398601397</v>
      </c>
      <c r="GR92" s="584"/>
      <c r="GS92" s="584">
        <v>66.2589194699286</v>
      </c>
      <c r="GT92" s="584" t="s">
        <v>379</v>
      </c>
      <c r="GU92" s="584" t="s">
        <v>375</v>
      </c>
      <c r="GV92" s="584">
        <v>2</v>
      </c>
      <c r="GW92" s="584"/>
      <c r="GX92" s="584"/>
      <c r="GY92" s="584"/>
      <c r="GZ92" s="584"/>
      <c r="HA92" s="584">
        <v>76.281322250000002</v>
      </c>
      <c r="HB92" s="584">
        <v>125.125</v>
      </c>
      <c r="HC92" s="584">
        <v>152.5626445</v>
      </c>
      <c r="HD92" s="584">
        <v>250.25</v>
      </c>
      <c r="HE92" s="584">
        <v>305.12528900000001</v>
      </c>
      <c r="HF92" s="584">
        <v>500.5</v>
      </c>
      <c r="HG92" s="1100">
        <v>1.87</v>
      </c>
      <c r="HH92" s="1100">
        <v>0.11</v>
      </c>
      <c r="HI92" s="1101">
        <v>0</v>
      </c>
      <c r="HJ92" s="1101">
        <v>0</v>
      </c>
      <c r="HK92" s="1101">
        <v>0</v>
      </c>
      <c r="HL92" s="1101">
        <v>0</v>
      </c>
      <c r="HM92" s="1101">
        <v>69.593286713286716</v>
      </c>
      <c r="HN92" s="1101">
        <v>54.999999999999993</v>
      </c>
      <c r="HO92" s="1101">
        <v>0</v>
      </c>
      <c r="HP92" s="1101">
        <v>0</v>
      </c>
      <c r="HQ92" s="1101">
        <v>3</v>
      </c>
      <c r="HR92" s="1101">
        <v>1.76</v>
      </c>
      <c r="HS92" s="1101">
        <v>1.1200000000000001</v>
      </c>
      <c r="HT92" s="1101">
        <v>0.3</v>
      </c>
      <c r="HU92" s="1101">
        <v>0.28000000000000003</v>
      </c>
      <c r="HV92" s="1101">
        <v>72.295800100000008</v>
      </c>
      <c r="HW92" s="1101">
        <v>125.125</v>
      </c>
      <c r="HX92" s="1101">
        <v>144.59160020000002</v>
      </c>
      <c r="HY92" s="1101">
        <v>250.25</v>
      </c>
      <c r="HZ92" s="1101">
        <v>289.18320040000003</v>
      </c>
      <c r="IA92" s="1101">
        <v>500.5</v>
      </c>
      <c r="IB92" s="1062"/>
      <c r="IC92" s="1092"/>
      <c r="ID92" s="1050"/>
      <c r="IE92" s="1050"/>
      <c r="IF92" s="1103"/>
      <c r="IG92" s="1103"/>
      <c r="IH92" s="1103"/>
      <c r="II92" s="1103"/>
      <c r="IJ92" s="1103"/>
      <c r="IK92" s="1103"/>
      <c r="IL92" s="1103"/>
      <c r="IM92" s="1050"/>
      <c r="IN92" s="1050"/>
      <c r="IO92" s="1050"/>
      <c r="IP92" s="1050"/>
      <c r="IQ92" s="1103"/>
      <c r="IR92" s="1103"/>
      <c r="IS92" s="1103"/>
      <c r="IT92" s="1103"/>
      <c r="IU92" s="1103"/>
      <c r="IV92" s="1103"/>
      <c r="JS92" s="1092"/>
      <c r="JU92" s="1050"/>
      <c r="JV92" s="1103"/>
      <c r="JW92" s="1103"/>
      <c r="JX92" s="1103"/>
      <c r="JY92" s="1103"/>
      <c r="JZ92" s="1103"/>
      <c r="KA92" s="1103"/>
      <c r="KB92" s="1103"/>
      <c r="KC92" s="1050"/>
      <c r="KD92" s="1050"/>
      <c r="KE92" s="1050"/>
      <c r="KF92" s="1050"/>
      <c r="KG92" s="1103"/>
      <c r="KH92" s="1103"/>
      <c r="KI92" s="1103"/>
      <c r="KJ92" s="1103"/>
      <c r="KK92" s="1103"/>
      <c r="KL92" s="1103"/>
      <c r="KM92" s="1103"/>
      <c r="KN92" s="1103"/>
    </row>
    <row r="93" spans="2:300">
      <c r="B93" s="1048" t="str">
        <f t="shared" si="2"/>
        <v>O1114</v>
      </c>
      <c r="C93" s="1046">
        <v>11</v>
      </c>
      <c r="D93" s="1092">
        <v>14</v>
      </c>
      <c r="E93" s="584">
        <v>0</v>
      </c>
      <c r="F93" s="584">
        <v>0</v>
      </c>
      <c r="G93" s="584">
        <v>0</v>
      </c>
      <c r="H93" s="584">
        <v>0</v>
      </c>
      <c r="I93" s="584">
        <v>0</v>
      </c>
      <c r="J93" s="584">
        <v>0</v>
      </c>
      <c r="K93" s="584">
        <v>0</v>
      </c>
      <c r="L93" s="584">
        <v>0</v>
      </c>
      <c r="M93" s="584">
        <v>0</v>
      </c>
      <c r="N93" s="584">
        <v>0</v>
      </c>
      <c r="O93" s="584">
        <v>0</v>
      </c>
      <c r="P93" s="584">
        <v>0</v>
      </c>
      <c r="Q93" s="584">
        <v>0</v>
      </c>
      <c r="R93" s="584">
        <v>0</v>
      </c>
      <c r="S93" s="584">
        <v>0</v>
      </c>
      <c r="T93" s="584">
        <v>0</v>
      </c>
      <c r="U93" s="584">
        <v>0</v>
      </c>
      <c r="V93" s="584">
        <v>0</v>
      </c>
      <c r="W93" s="584">
        <v>0</v>
      </c>
      <c r="X93" s="584">
        <v>0</v>
      </c>
      <c r="Y93" s="584">
        <v>0</v>
      </c>
      <c r="Z93" s="584">
        <v>0</v>
      </c>
      <c r="AA93" s="584">
        <v>0</v>
      </c>
      <c r="AB93" s="584">
        <v>0</v>
      </c>
      <c r="AC93" s="584">
        <v>0</v>
      </c>
      <c r="AD93" s="584">
        <v>0</v>
      </c>
      <c r="AE93" s="584">
        <v>0</v>
      </c>
      <c r="AF93" s="584">
        <v>0</v>
      </c>
      <c r="AG93" s="584">
        <v>0</v>
      </c>
      <c r="AH93" s="584">
        <v>0</v>
      </c>
      <c r="AI93" s="584">
        <v>0</v>
      </c>
      <c r="AJ93" s="584">
        <v>0</v>
      </c>
      <c r="AK93" s="584">
        <v>0</v>
      </c>
      <c r="AL93" s="584">
        <v>0</v>
      </c>
      <c r="AM93" s="584">
        <v>0</v>
      </c>
      <c r="AN93" s="584">
        <v>0</v>
      </c>
      <c r="AO93" s="584">
        <v>0</v>
      </c>
      <c r="AP93" s="584">
        <v>0</v>
      </c>
      <c r="AQ93" s="584">
        <v>0</v>
      </c>
      <c r="AR93" s="584">
        <v>0</v>
      </c>
      <c r="AS93" s="584">
        <v>0</v>
      </c>
      <c r="AT93" s="584">
        <v>0</v>
      </c>
      <c r="AU93" s="584">
        <v>0</v>
      </c>
      <c r="AV93" s="584">
        <v>0</v>
      </c>
      <c r="AW93" s="584">
        <v>0</v>
      </c>
      <c r="AX93" s="584">
        <v>0</v>
      </c>
      <c r="AY93" s="584">
        <v>0</v>
      </c>
      <c r="AZ93" s="584">
        <v>0</v>
      </c>
      <c r="BA93" s="584">
        <v>0</v>
      </c>
      <c r="BB93" s="584">
        <v>0</v>
      </c>
      <c r="BC93" s="584">
        <v>0</v>
      </c>
      <c r="BD93" s="584">
        <v>0</v>
      </c>
      <c r="BE93" s="584">
        <v>0</v>
      </c>
      <c r="BF93" s="584">
        <v>0</v>
      </c>
      <c r="BG93" s="584">
        <v>0</v>
      </c>
      <c r="BH93" s="584">
        <v>0</v>
      </c>
      <c r="BI93" s="584">
        <v>0</v>
      </c>
      <c r="BJ93" s="584">
        <v>0</v>
      </c>
      <c r="BK93" s="584">
        <v>0</v>
      </c>
      <c r="BL93" s="584">
        <v>0</v>
      </c>
      <c r="BM93" s="584">
        <v>0</v>
      </c>
      <c r="BN93" s="584">
        <v>0</v>
      </c>
      <c r="BO93" s="584">
        <v>0</v>
      </c>
      <c r="BP93" s="584">
        <v>0</v>
      </c>
      <c r="BQ93" s="584">
        <v>0</v>
      </c>
      <c r="BR93" s="584">
        <v>0</v>
      </c>
      <c r="BS93" s="584">
        <v>0</v>
      </c>
      <c r="BT93" s="584">
        <v>0</v>
      </c>
      <c r="BU93" s="584">
        <v>0</v>
      </c>
      <c r="BV93" s="584">
        <v>0</v>
      </c>
      <c r="BW93" s="584">
        <v>0</v>
      </c>
      <c r="BX93" s="584">
        <v>0</v>
      </c>
      <c r="BY93" s="584">
        <v>0</v>
      </c>
      <c r="BZ93" s="584">
        <v>0</v>
      </c>
      <c r="CA93" s="584">
        <v>0</v>
      </c>
      <c r="CB93" s="584">
        <v>0</v>
      </c>
      <c r="CC93" s="584">
        <v>0</v>
      </c>
      <c r="CD93" s="584">
        <v>0</v>
      </c>
      <c r="CE93" s="584">
        <v>0</v>
      </c>
      <c r="CF93" s="584">
        <v>0</v>
      </c>
      <c r="CG93" s="584">
        <v>0</v>
      </c>
      <c r="CH93" s="584">
        <v>0</v>
      </c>
      <c r="CI93" s="584">
        <v>0</v>
      </c>
      <c r="CJ93" s="584">
        <v>0</v>
      </c>
      <c r="CK93" s="584">
        <v>0</v>
      </c>
      <c r="CL93" s="584">
        <v>0</v>
      </c>
      <c r="CM93" s="584">
        <v>0</v>
      </c>
      <c r="CN93" s="584">
        <v>0</v>
      </c>
      <c r="CO93" s="584">
        <v>0</v>
      </c>
      <c r="CP93" s="584">
        <v>0</v>
      </c>
      <c r="CQ93" s="584">
        <v>0</v>
      </c>
      <c r="CR93" s="584">
        <v>0</v>
      </c>
      <c r="CS93" s="584">
        <v>0</v>
      </c>
      <c r="CT93" s="584">
        <v>0</v>
      </c>
      <c r="CU93" s="584">
        <v>0</v>
      </c>
      <c r="CV93" s="584">
        <v>0</v>
      </c>
      <c r="CW93" s="584">
        <v>0</v>
      </c>
      <c r="CX93" s="584">
        <v>0</v>
      </c>
      <c r="CY93" s="584">
        <v>0</v>
      </c>
      <c r="CZ93" s="584">
        <v>0</v>
      </c>
      <c r="DA93" s="584">
        <v>0</v>
      </c>
      <c r="DB93" s="584">
        <v>0</v>
      </c>
      <c r="DC93" s="584">
        <v>0</v>
      </c>
      <c r="DD93" s="584">
        <v>0</v>
      </c>
      <c r="DE93" s="584">
        <v>0</v>
      </c>
      <c r="DF93" s="584">
        <v>0</v>
      </c>
      <c r="DG93" s="584">
        <v>0</v>
      </c>
      <c r="DH93" s="584">
        <v>0</v>
      </c>
      <c r="DI93" s="584">
        <v>0</v>
      </c>
      <c r="DJ93" s="584">
        <v>0</v>
      </c>
      <c r="DK93" s="584">
        <v>0</v>
      </c>
      <c r="DL93" s="584">
        <v>0</v>
      </c>
      <c r="DM93" s="584">
        <v>0</v>
      </c>
      <c r="DN93" s="584">
        <v>0</v>
      </c>
      <c r="DO93" s="584">
        <v>0</v>
      </c>
      <c r="DP93" s="584">
        <v>0</v>
      </c>
      <c r="DQ93" s="584">
        <v>0</v>
      </c>
      <c r="DR93" s="584">
        <v>0</v>
      </c>
      <c r="DS93" s="584">
        <v>0</v>
      </c>
      <c r="DT93" s="584">
        <v>0</v>
      </c>
      <c r="DU93" s="584">
        <v>0</v>
      </c>
      <c r="DV93" s="584">
        <v>0</v>
      </c>
      <c r="DW93" s="584">
        <v>0</v>
      </c>
      <c r="DX93" s="584">
        <v>0</v>
      </c>
      <c r="DY93" s="584">
        <v>0</v>
      </c>
      <c r="DZ93" s="584">
        <v>0</v>
      </c>
      <c r="EA93" s="1062">
        <v>1.401</v>
      </c>
      <c r="EB93" s="1046">
        <v>0.45</v>
      </c>
      <c r="EC93" s="1093">
        <v>132.51783893985726</v>
      </c>
      <c r="ED93" s="1046">
        <v>0</v>
      </c>
      <c r="EE93" s="1046">
        <v>581.03975535168195</v>
      </c>
      <c r="EF93" s="1046">
        <v>47.105194805194813</v>
      </c>
      <c r="EG93" s="1046">
        <v>0</v>
      </c>
      <c r="EH93" s="1046">
        <v>0</v>
      </c>
      <c r="EI93" s="1046" t="s">
        <v>362</v>
      </c>
      <c r="EJ93" s="1046" t="s">
        <v>420</v>
      </c>
      <c r="EK93" s="1046">
        <v>0</v>
      </c>
      <c r="EL93" s="1046">
        <v>0</v>
      </c>
      <c r="EM93" s="1046">
        <v>0</v>
      </c>
      <c r="EN93" s="1046">
        <v>0</v>
      </c>
      <c r="EO93" s="1046">
        <v>0</v>
      </c>
      <c r="EP93" s="1094">
        <v>318.09092550000003</v>
      </c>
      <c r="EQ93" s="1094">
        <v>134.75</v>
      </c>
      <c r="ER93" s="1094">
        <v>636.18185100000005</v>
      </c>
      <c r="ES93" s="1095">
        <v>269.5</v>
      </c>
      <c r="ET93" s="1094">
        <v>1272.3637020000001</v>
      </c>
      <c r="EU93" s="1094">
        <v>539</v>
      </c>
      <c r="EV93" s="1096">
        <v>1.0008999999999999</v>
      </c>
      <c r="EW93" s="1097">
        <v>0.15</v>
      </c>
      <c r="EX93" s="1096">
        <v>289.50050968399592</v>
      </c>
      <c r="EY93" s="1096">
        <v>1.5443934760448521</v>
      </c>
      <c r="EZ93" s="1096">
        <v>0</v>
      </c>
      <c r="FA93" s="1096">
        <v>43.778571428571425</v>
      </c>
      <c r="FB93" s="1098">
        <v>0</v>
      </c>
      <c r="FC93" s="1098">
        <v>0</v>
      </c>
      <c r="FD93" s="1098" t="s">
        <v>377</v>
      </c>
      <c r="FE93" s="1098" t="s">
        <v>410</v>
      </c>
      <c r="FF93" s="1098">
        <v>3</v>
      </c>
      <c r="FG93" s="1098">
        <v>0</v>
      </c>
      <c r="FH93" s="1098">
        <v>0</v>
      </c>
      <c r="FI93" s="1098">
        <v>0</v>
      </c>
      <c r="FJ93" s="1098">
        <v>0</v>
      </c>
      <c r="FK93" s="1096">
        <v>161.49280400000004</v>
      </c>
      <c r="FL93" s="1096">
        <v>134.75</v>
      </c>
      <c r="FM93" s="1096">
        <v>322.98560800000007</v>
      </c>
      <c r="FN93" s="1096">
        <v>269.5</v>
      </c>
      <c r="FO93" s="1096">
        <v>645.97121600000014</v>
      </c>
      <c r="FP93" s="1099">
        <v>539</v>
      </c>
      <c r="FQ93" s="1064">
        <v>1.5084199999999999</v>
      </c>
      <c r="FR93" s="1065">
        <v>0.15</v>
      </c>
      <c r="FS93" s="1066">
        <v>289.50050968399586</v>
      </c>
      <c r="FT93" s="1066">
        <v>3.2017662436826937</v>
      </c>
      <c r="FU93" s="1065"/>
      <c r="FV93" s="1066">
        <v>69.159633543183674</v>
      </c>
      <c r="FW93" s="1065"/>
      <c r="FX93" s="1065"/>
      <c r="FY93" s="1065" t="s">
        <v>1103</v>
      </c>
      <c r="FZ93" s="1065" t="s">
        <v>1102</v>
      </c>
      <c r="GA93" s="1065">
        <v>3</v>
      </c>
      <c r="GB93" s="1065"/>
      <c r="GC93" s="1065"/>
      <c r="GD93" s="1065"/>
      <c r="GE93" s="1065"/>
      <c r="GF93" s="1066">
        <v>167.46981527850258</v>
      </c>
      <c r="GG93" s="1066">
        <v>134.75</v>
      </c>
      <c r="GH93" s="1066">
        <v>334.93963055700516</v>
      </c>
      <c r="GI93" s="1066">
        <v>269.5</v>
      </c>
      <c r="GJ93" s="1066">
        <v>669.87926111401032</v>
      </c>
      <c r="GK93" s="1066">
        <v>539</v>
      </c>
      <c r="GL93" s="584">
        <v>1.1003000000000001</v>
      </c>
      <c r="GM93" s="584">
        <v>0.13</v>
      </c>
      <c r="GN93" s="584"/>
      <c r="GO93" s="584"/>
      <c r="GP93" s="584"/>
      <c r="GQ93" s="584">
        <v>74.895454545454498</v>
      </c>
      <c r="GR93" s="584"/>
      <c r="GS93" s="584">
        <v>66.2589194699286</v>
      </c>
      <c r="GT93" s="584" t="s">
        <v>375</v>
      </c>
      <c r="GU93" s="584" t="s">
        <v>351</v>
      </c>
      <c r="GV93" s="584">
        <v>2</v>
      </c>
      <c r="GW93" s="584"/>
      <c r="GX93" s="584"/>
      <c r="GY93" s="584"/>
      <c r="GZ93" s="584"/>
      <c r="HA93" s="584">
        <v>84.111889750000003</v>
      </c>
      <c r="HB93" s="584">
        <v>134.75</v>
      </c>
      <c r="HC93" s="584">
        <v>168.22377950000001</v>
      </c>
      <c r="HD93" s="584">
        <v>269.5</v>
      </c>
      <c r="HE93" s="584">
        <v>336.44755900000001</v>
      </c>
      <c r="HF93" s="584">
        <v>539</v>
      </c>
      <c r="HG93" s="1100">
        <v>2.0299999999999998</v>
      </c>
      <c r="HH93" s="1100">
        <v>0.11</v>
      </c>
      <c r="HI93" s="1101">
        <v>0</v>
      </c>
      <c r="HJ93" s="1101">
        <v>0</v>
      </c>
      <c r="HK93" s="1101">
        <v>0</v>
      </c>
      <c r="HL93" s="1101">
        <v>0</v>
      </c>
      <c r="HM93" s="1101">
        <v>75.328831168831172</v>
      </c>
      <c r="HN93" s="1101">
        <v>54.999999999999993</v>
      </c>
      <c r="HO93" s="1101">
        <v>0</v>
      </c>
      <c r="HP93" s="1101">
        <v>0</v>
      </c>
      <c r="HQ93" s="1101">
        <v>3</v>
      </c>
      <c r="HR93" s="1101">
        <v>1.92</v>
      </c>
      <c r="HS93" s="1101">
        <v>1.24</v>
      </c>
      <c r="HT93" s="1101">
        <v>0.3</v>
      </c>
      <c r="HU93" s="1101">
        <v>0.28000000000000003</v>
      </c>
      <c r="HV93" s="1101">
        <v>80.023244599999998</v>
      </c>
      <c r="HW93" s="1101">
        <v>134.75</v>
      </c>
      <c r="HX93" s="1101">
        <v>160.0464892</v>
      </c>
      <c r="HY93" s="1101">
        <v>269.5</v>
      </c>
      <c r="HZ93" s="1101">
        <v>320.09297839999999</v>
      </c>
      <c r="IA93" s="1101">
        <v>539</v>
      </c>
      <c r="IB93" s="1062"/>
      <c r="IC93" s="1092"/>
      <c r="ID93" s="1050"/>
      <c r="IE93" s="1050"/>
      <c r="IF93" s="1103"/>
      <c r="IG93" s="1103"/>
      <c r="IH93" s="1103"/>
      <c r="II93" s="1103"/>
      <c r="IJ93" s="1103"/>
      <c r="IK93" s="1103"/>
      <c r="IL93" s="1103"/>
      <c r="IM93" s="1050"/>
      <c r="IN93" s="1050"/>
      <c r="IO93" s="1050"/>
      <c r="IP93" s="1050"/>
      <c r="IQ93" s="1103"/>
      <c r="IR93" s="1103"/>
      <c r="IS93" s="1103"/>
      <c r="IT93" s="1103"/>
      <c r="IU93" s="1103"/>
      <c r="IV93" s="1103"/>
      <c r="JS93" s="1092"/>
      <c r="JU93" s="1050"/>
      <c r="JV93" s="1103"/>
      <c r="JW93" s="1103"/>
      <c r="JX93" s="1103"/>
      <c r="JY93" s="1103"/>
      <c r="JZ93" s="1103"/>
      <c r="KA93" s="1103"/>
      <c r="KB93" s="1103"/>
      <c r="KC93" s="1050"/>
      <c r="KD93" s="1050"/>
      <c r="KE93" s="1050"/>
      <c r="KF93" s="1050"/>
      <c r="KG93" s="1103"/>
      <c r="KH93" s="1103"/>
      <c r="KI93" s="1103"/>
      <c r="KJ93" s="1103"/>
      <c r="KK93" s="1103"/>
      <c r="KL93" s="1103"/>
      <c r="KM93" s="1103"/>
      <c r="KN93" s="1103"/>
    </row>
    <row r="94" spans="2:300">
      <c r="B94" s="1048" t="str">
        <f t="shared" si="2"/>
        <v>O1115</v>
      </c>
      <c r="C94" s="1046">
        <v>11</v>
      </c>
      <c r="D94" s="1092">
        <v>15</v>
      </c>
      <c r="E94" s="584">
        <v>0</v>
      </c>
      <c r="F94" s="584">
        <v>0</v>
      </c>
      <c r="G94" s="584">
        <v>0</v>
      </c>
      <c r="H94" s="584">
        <v>0</v>
      </c>
      <c r="I94" s="584">
        <v>0</v>
      </c>
      <c r="J94" s="584">
        <v>0</v>
      </c>
      <c r="K94" s="584">
        <v>0</v>
      </c>
      <c r="L94" s="584">
        <v>0</v>
      </c>
      <c r="M94" s="584">
        <v>0</v>
      </c>
      <c r="N94" s="584">
        <v>0</v>
      </c>
      <c r="O94" s="584">
        <v>0</v>
      </c>
      <c r="P94" s="584">
        <v>0</v>
      </c>
      <c r="Q94" s="584">
        <v>0</v>
      </c>
      <c r="R94" s="584">
        <v>0</v>
      </c>
      <c r="S94" s="584">
        <v>0</v>
      </c>
      <c r="T94" s="584">
        <v>0</v>
      </c>
      <c r="U94" s="584">
        <v>0</v>
      </c>
      <c r="V94" s="584">
        <v>0</v>
      </c>
      <c r="W94" s="584">
        <v>0</v>
      </c>
      <c r="X94" s="584">
        <v>0</v>
      </c>
      <c r="Y94" s="584">
        <v>0</v>
      </c>
      <c r="Z94" s="584">
        <v>0</v>
      </c>
      <c r="AA94" s="584">
        <v>0</v>
      </c>
      <c r="AB94" s="584">
        <v>0</v>
      </c>
      <c r="AC94" s="584">
        <v>0</v>
      </c>
      <c r="AD94" s="584">
        <v>0</v>
      </c>
      <c r="AE94" s="584">
        <v>0</v>
      </c>
      <c r="AF94" s="584">
        <v>0</v>
      </c>
      <c r="AG94" s="584">
        <v>0</v>
      </c>
      <c r="AH94" s="584">
        <v>0</v>
      </c>
      <c r="AI94" s="584">
        <v>0</v>
      </c>
      <c r="AJ94" s="584">
        <v>0</v>
      </c>
      <c r="AK94" s="584">
        <v>0</v>
      </c>
      <c r="AL94" s="584">
        <v>0</v>
      </c>
      <c r="AM94" s="584">
        <v>0</v>
      </c>
      <c r="AN94" s="584">
        <v>0</v>
      </c>
      <c r="AO94" s="584">
        <v>0</v>
      </c>
      <c r="AP94" s="584">
        <v>0</v>
      </c>
      <c r="AQ94" s="584">
        <v>0</v>
      </c>
      <c r="AR94" s="584">
        <v>0</v>
      </c>
      <c r="AS94" s="584">
        <v>0</v>
      </c>
      <c r="AT94" s="584">
        <v>0</v>
      </c>
      <c r="AU94" s="584">
        <v>0</v>
      </c>
      <c r="AV94" s="584">
        <v>0</v>
      </c>
      <c r="AW94" s="584">
        <v>0</v>
      </c>
      <c r="AX94" s="584">
        <v>0</v>
      </c>
      <c r="AY94" s="584">
        <v>0</v>
      </c>
      <c r="AZ94" s="584">
        <v>0</v>
      </c>
      <c r="BA94" s="584">
        <v>0</v>
      </c>
      <c r="BB94" s="584">
        <v>0</v>
      </c>
      <c r="BC94" s="584">
        <v>0</v>
      </c>
      <c r="BD94" s="584">
        <v>0</v>
      </c>
      <c r="BE94" s="584">
        <v>0</v>
      </c>
      <c r="BF94" s="584">
        <v>0</v>
      </c>
      <c r="BG94" s="584">
        <v>0</v>
      </c>
      <c r="BH94" s="584">
        <v>0</v>
      </c>
      <c r="BI94" s="584">
        <v>0</v>
      </c>
      <c r="BJ94" s="584">
        <v>0</v>
      </c>
      <c r="BK94" s="584">
        <v>0</v>
      </c>
      <c r="BL94" s="584">
        <v>0</v>
      </c>
      <c r="BM94" s="584">
        <v>0</v>
      </c>
      <c r="BN94" s="584">
        <v>0</v>
      </c>
      <c r="BO94" s="584">
        <v>0</v>
      </c>
      <c r="BP94" s="584">
        <v>0</v>
      </c>
      <c r="BQ94" s="584">
        <v>0</v>
      </c>
      <c r="BR94" s="584">
        <v>0</v>
      </c>
      <c r="BS94" s="584">
        <v>0</v>
      </c>
      <c r="BT94" s="584">
        <v>0</v>
      </c>
      <c r="BU94" s="584">
        <v>0</v>
      </c>
      <c r="BV94" s="584">
        <v>0</v>
      </c>
      <c r="BW94" s="584">
        <v>0</v>
      </c>
      <c r="BX94" s="584">
        <v>0</v>
      </c>
      <c r="BY94" s="584">
        <v>0</v>
      </c>
      <c r="BZ94" s="584">
        <v>0</v>
      </c>
      <c r="CA94" s="584">
        <v>0</v>
      </c>
      <c r="CB94" s="584">
        <v>0</v>
      </c>
      <c r="CC94" s="584">
        <v>0</v>
      </c>
      <c r="CD94" s="584">
        <v>0</v>
      </c>
      <c r="CE94" s="584">
        <v>0</v>
      </c>
      <c r="CF94" s="584">
        <v>0</v>
      </c>
      <c r="CG94" s="584">
        <v>0</v>
      </c>
      <c r="CH94" s="584">
        <v>0</v>
      </c>
      <c r="CI94" s="584">
        <v>0</v>
      </c>
      <c r="CJ94" s="584">
        <v>0</v>
      </c>
      <c r="CK94" s="584">
        <v>0</v>
      </c>
      <c r="CL94" s="584">
        <v>0</v>
      </c>
      <c r="CM94" s="584">
        <v>0</v>
      </c>
      <c r="CN94" s="584">
        <v>0</v>
      </c>
      <c r="CO94" s="584">
        <v>0</v>
      </c>
      <c r="CP94" s="584">
        <v>0</v>
      </c>
      <c r="CQ94" s="584">
        <v>0</v>
      </c>
      <c r="CR94" s="584">
        <v>0</v>
      </c>
      <c r="CS94" s="584">
        <v>0</v>
      </c>
      <c r="CT94" s="584">
        <v>0</v>
      </c>
      <c r="CU94" s="584">
        <v>0</v>
      </c>
      <c r="CV94" s="584">
        <v>0</v>
      </c>
      <c r="CW94" s="584">
        <v>0</v>
      </c>
      <c r="CX94" s="584">
        <v>0</v>
      </c>
      <c r="CY94" s="584">
        <v>0</v>
      </c>
      <c r="CZ94" s="584">
        <v>0</v>
      </c>
      <c r="DA94" s="584">
        <v>0</v>
      </c>
      <c r="DB94" s="584">
        <v>0</v>
      </c>
      <c r="DC94" s="584">
        <v>0</v>
      </c>
      <c r="DD94" s="584">
        <v>0</v>
      </c>
      <c r="DE94" s="584">
        <v>0</v>
      </c>
      <c r="DF94" s="584">
        <v>0</v>
      </c>
      <c r="DG94" s="584">
        <v>0</v>
      </c>
      <c r="DH94" s="584">
        <v>0</v>
      </c>
      <c r="DI94" s="584">
        <v>0</v>
      </c>
      <c r="DJ94" s="584">
        <v>0</v>
      </c>
      <c r="DK94" s="584">
        <v>0</v>
      </c>
      <c r="DL94" s="584">
        <v>0</v>
      </c>
      <c r="DM94" s="584">
        <v>0</v>
      </c>
      <c r="DN94" s="584">
        <v>0</v>
      </c>
      <c r="DO94" s="584">
        <v>0</v>
      </c>
      <c r="DP94" s="584">
        <v>0</v>
      </c>
      <c r="DQ94" s="584">
        <v>0</v>
      </c>
      <c r="DR94" s="584">
        <v>0</v>
      </c>
      <c r="DS94" s="584">
        <v>0</v>
      </c>
      <c r="DT94" s="584">
        <v>0</v>
      </c>
      <c r="DU94" s="584">
        <v>0</v>
      </c>
      <c r="DV94" s="584">
        <v>0</v>
      </c>
      <c r="DW94" s="584">
        <v>0</v>
      </c>
      <c r="DX94" s="584">
        <v>0</v>
      </c>
      <c r="DY94" s="584">
        <v>0</v>
      </c>
      <c r="DZ94" s="584">
        <v>0</v>
      </c>
      <c r="EA94" s="1062">
        <v>0</v>
      </c>
      <c r="EB94" s="1046">
        <v>0</v>
      </c>
      <c r="EC94" s="1093">
        <v>0</v>
      </c>
      <c r="ED94" s="1046">
        <v>0</v>
      </c>
      <c r="EE94" s="1046">
        <v>0</v>
      </c>
      <c r="EF94" s="1046">
        <v>0</v>
      </c>
      <c r="EG94" s="1046">
        <v>0</v>
      </c>
      <c r="EH94" s="1046">
        <v>0</v>
      </c>
      <c r="EI94" s="1046">
        <v>0</v>
      </c>
      <c r="EJ94" s="1046">
        <v>0</v>
      </c>
      <c r="EK94" s="1046">
        <v>0</v>
      </c>
      <c r="EL94" s="1046">
        <v>0</v>
      </c>
      <c r="EM94" s="1046">
        <v>0</v>
      </c>
      <c r="EN94" s="1046">
        <v>0</v>
      </c>
      <c r="EO94" s="1046">
        <v>0</v>
      </c>
      <c r="EP94" s="1094">
        <v>0</v>
      </c>
      <c r="EQ94" s="1094">
        <v>0</v>
      </c>
      <c r="ER94" s="1094">
        <v>0</v>
      </c>
      <c r="ES94" s="1095">
        <v>0</v>
      </c>
      <c r="ET94" s="1094">
        <v>0</v>
      </c>
      <c r="EU94" s="1094">
        <v>0</v>
      </c>
      <c r="EV94" s="1096">
        <v>1.0604</v>
      </c>
      <c r="EW94" s="1097">
        <v>0.15</v>
      </c>
      <c r="EX94" s="1096">
        <v>289.50050968399592</v>
      </c>
      <c r="EY94" s="1096">
        <v>1.5443934760448521</v>
      </c>
      <c r="EZ94" s="1096">
        <v>0</v>
      </c>
      <c r="FA94" s="1096">
        <v>42.546666666666667</v>
      </c>
      <c r="FB94" s="1098">
        <v>0</v>
      </c>
      <c r="FC94" s="1098">
        <v>0</v>
      </c>
      <c r="FD94" s="1098" t="s">
        <v>373</v>
      </c>
      <c r="FE94" s="1098" t="s">
        <v>410</v>
      </c>
      <c r="FF94" s="1098">
        <v>3</v>
      </c>
      <c r="FG94" s="1098">
        <v>0</v>
      </c>
      <c r="FH94" s="1098">
        <v>0</v>
      </c>
      <c r="FI94" s="1098">
        <v>0</v>
      </c>
      <c r="FJ94" s="1098">
        <v>0</v>
      </c>
      <c r="FK94" s="1096">
        <v>172.529498625</v>
      </c>
      <c r="FL94" s="1096">
        <v>144.375</v>
      </c>
      <c r="FM94" s="1096">
        <v>345.05899725</v>
      </c>
      <c r="FN94" s="1096">
        <v>288.75</v>
      </c>
      <c r="FO94" s="1096">
        <v>690.11799450000001</v>
      </c>
      <c r="FP94" s="1099">
        <v>577.5</v>
      </c>
      <c r="FQ94" s="1064">
        <v>1.5221399999999998</v>
      </c>
      <c r="FR94" s="1065">
        <v>0.15</v>
      </c>
      <c r="FS94" s="1066">
        <v>289.50050968399586</v>
      </c>
      <c r="FT94" s="1066">
        <v>3.2017662436826937</v>
      </c>
      <c r="FU94" s="1065"/>
      <c r="FV94" s="1066">
        <v>78.190531000796085</v>
      </c>
      <c r="FW94" s="1065"/>
      <c r="FX94" s="1065"/>
      <c r="FY94" s="1065" t="s">
        <v>349</v>
      </c>
      <c r="FZ94" s="1065" t="s">
        <v>408</v>
      </c>
      <c r="GA94" s="1065">
        <v>3</v>
      </c>
      <c r="GB94" s="1065"/>
      <c r="GC94" s="1065"/>
      <c r="GD94" s="1065"/>
      <c r="GE94" s="1065"/>
      <c r="GF94" s="1066">
        <v>183.0864104836939</v>
      </c>
      <c r="GG94" s="1066">
        <v>144.375</v>
      </c>
      <c r="GH94" s="1066">
        <v>366.17282096738779</v>
      </c>
      <c r="GI94" s="1066">
        <v>288.75</v>
      </c>
      <c r="GJ94" s="1066">
        <v>732.34564193477559</v>
      </c>
      <c r="GK94" s="1066">
        <v>577.5</v>
      </c>
      <c r="GL94" s="584">
        <v>1.1101000000000001</v>
      </c>
      <c r="GM94" s="584">
        <v>0.13</v>
      </c>
      <c r="GN94" s="584"/>
      <c r="GO94" s="584"/>
      <c r="GP94" s="584"/>
      <c r="GQ94" s="584">
        <v>82.627272727272697</v>
      </c>
      <c r="GR94" s="584"/>
      <c r="GS94" s="584">
        <v>66.2589194699286</v>
      </c>
      <c r="GT94" s="584" t="s">
        <v>351</v>
      </c>
      <c r="GU94" s="584" t="s">
        <v>349</v>
      </c>
      <c r="GV94" s="584">
        <v>2</v>
      </c>
      <c r="GW94" s="584"/>
      <c r="GX94" s="584"/>
      <c r="GY94" s="584"/>
      <c r="GZ94" s="584"/>
      <c r="HA94" s="584">
        <v>93.248658750000004</v>
      </c>
      <c r="HB94" s="584">
        <v>144.375</v>
      </c>
      <c r="HC94" s="584">
        <v>186.49731750000001</v>
      </c>
      <c r="HD94" s="584">
        <v>288.75</v>
      </c>
      <c r="HE94" s="584">
        <v>372.99463500000002</v>
      </c>
      <c r="HF94" s="584">
        <v>577.5</v>
      </c>
      <c r="HG94" s="1100">
        <v>2.15</v>
      </c>
      <c r="HH94" s="1100">
        <v>0.11</v>
      </c>
      <c r="HI94" s="1101">
        <v>0</v>
      </c>
      <c r="HJ94" s="1101">
        <v>0</v>
      </c>
      <c r="HK94" s="1101">
        <v>0</v>
      </c>
      <c r="HL94" s="1101">
        <v>0</v>
      </c>
      <c r="HM94" s="1101">
        <v>80.672727272727272</v>
      </c>
      <c r="HN94" s="1101">
        <v>54.999999999999993</v>
      </c>
      <c r="HO94" s="1101">
        <v>0</v>
      </c>
      <c r="HP94" s="1101">
        <v>0</v>
      </c>
      <c r="HQ94" s="1101">
        <v>3</v>
      </c>
      <c r="HR94" s="1101">
        <v>2.04</v>
      </c>
      <c r="HS94" s="1101">
        <v>1.36</v>
      </c>
      <c r="HT94" s="1101">
        <v>0.3</v>
      </c>
      <c r="HU94" s="1101">
        <v>0.28000000000000003</v>
      </c>
      <c r="HV94" s="1101">
        <v>87.901665000000008</v>
      </c>
      <c r="HW94" s="1101">
        <v>144.375</v>
      </c>
      <c r="HX94" s="1101">
        <v>175.80333000000002</v>
      </c>
      <c r="HY94" s="1101">
        <v>288.75</v>
      </c>
      <c r="HZ94" s="1101">
        <v>351.60666000000003</v>
      </c>
      <c r="IA94" s="1101">
        <v>577.5</v>
      </c>
      <c r="IB94" s="1062"/>
      <c r="IC94" s="1092"/>
      <c r="ID94" s="1050"/>
      <c r="IE94" s="1050"/>
      <c r="IF94" s="1103"/>
      <c r="IG94" s="1103"/>
      <c r="IH94" s="1103"/>
      <c r="II94" s="1103"/>
      <c r="IJ94" s="1103"/>
      <c r="IK94" s="1103"/>
      <c r="IL94" s="1103"/>
      <c r="IM94" s="1050"/>
      <c r="IN94" s="1050"/>
      <c r="IO94" s="1050"/>
      <c r="IP94" s="1050"/>
      <c r="IQ94" s="1103"/>
      <c r="IR94" s="1103"/>
      <c r="IS94" s="1103"/>
      <c r="IT94" s="1103"/>
      <c r="IU94" s="1103"/>
      <c r="IV94" s="1103"/>
      <c r="JS94" s="1092"/>
      <c r="JU94" s="1050"/>
      <c r="JV94" s="1103"/>
      <c r="JW94" s="1103"/>
      <c r="JX94" s="1103"/>
      <c r="JY94" s="1103"/>
      <c r="JZ94" s="1103"/>
      <c r="KA94" s="1103"/>
      <c r="KB94" s="1103"/>
      <c r="KC94" s="1050"/>
      <c r="KD94" s="1050"/>
      <c r="KE94" s="1050"/>
      <c r="KF94" s="1050"/>
      <c r="KG94" s="1103"/>
      <c r="KH94" s="1103"/>
      <c r="KI94" s="1103"/>
      <c r="KJ94" s="1103"/>
      <c r="KK94" s="1103"/>
      <c r="KL94" s="1103"/>
      <c r="KM94" s="1103"/>
      <c r="KN94" s="1103"/>
    </row>
    <row r="95" spans="2:300">
      <c r="B95" s="1048" t="str">
        <f t="shared" si="2"/>
        <v>O1116</v>
      </c>
      <c r="C95" s="1046">
        <v>11</v>
      </c>
      <c r="D95" s="1092">
        <v>16</v>
      </c>
      <c r="E95" s="584">
        <v>0</v>
      </c>
      <c r="F95" s="584">
        <v>0</v>
      </c>
      <c r="G95" s="584">
        <v>0</v>
      </c>
      <c r="H95" s="584">
        <v>0</v>
      </c>
      <c r="I95" s="584">
        <v>0</v>
      </c>
      <c r="J95" s="584">
        <v>0</v>
      </c>
      <c r="K95" s="584">
        <v>0</v>
      </c>
      <c r="L95" s="584">
        <v>0</v>
      </c>
      <c r="M95" s="584">
        <v>0</v>
      </c>
      <c r="N95" s="584">
        <v>0</v>
      </c>
      <c r="O95" s="584">
        <v>0</v>
      </c>
      <c r="P95" s="584">
        <v>0</v>
      </c>
      <c r="Q95" s="584">
        <v>0</v>
      </c>
      <c r="R95" s="584">
        <v>0</v>
      </c>
      <c r="S95" s="584">
        <v>0</v>
      </c>
      <c r="T95" s="584">
        <v>0</v>
      </c>
      <c r="U95" s="584">
        <v>0</v>
      </c>
      <c r="V95" s="584">
        <v>0</v>
      </c>
      <c r="W95" s="584">
        <v>0</v>
      </c>
      <c r="X95" s="584">
        <v>0</v>
      </c>
      <c r="Y95" s="584">
        <v>0</v>
      </c>
      <c r="Z95" s="584">
        <v>0</v>
      </c>
      <c r="AA95" s="584">
        <v>0</v>
      </c>
      <c r="AB95" s="584">
        <v>0</v>
      </c>
      <c r="AC95" s="584">
        <v>0</v>
      </c>
      <c r="AD95" s="584">
        <v>0</v>
      </c>
      <c r="AE95" s="584">
        <v>0</v>
      </c>
      <c r="AF95" s="584">
        <v>0</v>
      </c>
      <c r="AG95" s="584">
        <v>0</v>
      </c>
      <c r="AH95" s="584">
        <v>0</v>
      </c>
      <c r="AI95" s="584">
        <v>0</v>
      </c>
      <c r="AJ95" s="584">
        <v>0</v>
      </c>
      <c r="AK95" s="584">
        <v>0</v>
      </c>
      <c r="AL95" s="584">
        <v>0</v>
      </c>
      <c r="AM95" s="584">
        <v>0</v>
      </c>
      <c r="AN95" s="584">
        <v>0</v>
      </c>
      <c r="AO95" s="584">
        <v>188.9574375</v>
      </c>
      <c r="AP95" s="584">
        <v>154</v>
      </c>
      <c r="AQ95" s="584">
        <v>263.77743750000002</v>
      </c>
      <c r="AR95" s="584">
        <v>323.39999999999998</v>
      </c>
      <c r="AS95" s="584">
        <v>163.87100000000001</v>
      </c>
      <c r="AT95" s="584">
        <v>677.6</v>
      </c>
      <c r="AU95" s="584">
        <v>0</v>
      </c>
      <c r="AV95" s="584">
        <v>0</v>
      </c>
      <c r="AW95" s="584">
        <v>0</v>
      </c>
      <c r="AX95" s="584">
        <v>0</v>
      </c>
      <c r="AY95" s="584">
        <v>0</v>
      </c>
      <c r="AZ95" s="584">
        <v>0</v>
      </c>
      <c r="BA95" s="584">
        <v>0</v>
      </c>
      <c r="BB95" s="584">
        <v>0</v>
      </c>
      <c r="BC95" s="584">
        <v>0</v>
      </c>
      <c r="BD95" s="584">
        <v>0</v>
      </c>
      <c r="BE95" s="584">
        <v>0</v>
      </c>
      <c r="BF95" s="584">
        <v>0</v>
      </c>
      <c r="BG95" s="584">
        <v>0</v>
      </c>
      <c r="BH95" s="584">
        <v>0</v>
      </c>
      <c r="BI95" s="584">
        <v>0</v>
      </c>
      <c r="BJ95" s="584">
        <v>0</v>
      </c>
      <c r="BK95" s="584">
        <v>0</v>
      </c>
      <c r="BL95" s="584">
        <v>0</v>
      </c>
      <c r="BM95" s="584">
        <v>0</v>
      </c>
      <c r="BN95" s="584">
        <v>0</v>
      </c>
      <c r="BO95" s="584">
        <v>0</v>
      </c>
      <c r="BP95" s="584">
        <v>0</v>
      </c>
      <c r="BQ95" s="584">
        <v>0</v>
      </c>
      <c r="BR95" s="584">
        <v>0</v>
      </c>
      <c r="BS95" s="584">
        <v>0</v>
      </c>
      <c r="BT95" s="584">
        <v>0</v>
      </c>
      <c r="BU95" s="584">
        <v>0</v>
      </c>
      <c r="BV95" s="584">
        <v>0</v>
      </c>
      <c r="BW95" s="584">
        <v>0</v>
      </c>
      <c r="BX95" s="584">
        <v>0</v>
      </c>
      <c r="BY95" s="584">
        <v>0</v>
      </c>
      <c r="BZ95" s="584">
        <v>0</v>
      </c>
      <c r="CA95" s="584">
        <v>0</v>
      </c>
      <c r="CB95" s="584">
        <v>0</v>
      </c>
      <c r="CC95" s="584">
        <v>0</v>
      </c>
      <c r="CD95" s="584">
        <v>0</v>
      </c>
      <c r="CE95" s="584">
        <v>0</v>
      </c>
      <c r="CF95" s="584">
        <v>0</v>
      </c>
      <c r="CG95" s="584">
        <v>0</v>
      </c>
      <c r="CH95" s="584">
        <v>0</v>
      </c>
      <c r="CI95" s="584">
        <v>0</v>
      </c>
      <c r="CJ95" s="584">
        <v>0</v>
      </c>
      <c r="CK95" s="584">
        <v>0</v>
      </c>
      <c r="CL95" s="584">
        <v>0</v>
      </c>
      <c r="CM95" s="584">
        <v>0</v>
      </c>
      <c r="CN95" s="584">
        <v>0</v>
      </c>
      <c r="CO95" s="584">
        <v>0</v>
      </c>
      <c r="CP95" s="584">
        <v>0</v>
      </c>
      <c r="CQ95" s="584">
        <v>0</v>
      </c>
      <c r="CR95" s="584">
        <v>0</v>
      </c>
      <c r="CS95" s="584">
        <v>0</v>
      </c>
      <c r="CT95" s="584">
        <v>0</v>
      </c>
      <c r="CU95" s="584">
        <v>0</v>
      </c>
      <c r="CV95" s="584">
        <v>0</v>
      </c>
      <c r="CW95" s="584">
        <v>0</v>
      </c>
      <c r="CX95" s="584">
        <v>0</v>
      </c>
      <c r="CY95" s="584">
        <v>0</v>
      </c>
      <c r="CZ95" s="584">
        <v>0</v>
      </c>
      <c r="DA95" s="584">
        <v>0</v>
      </c>
      <c r="DB95" s="584">
        <v>0</v>
      </c>
      <c r="DC95" s="584">
        <v>0</v>
      </c>
      <c r="DD95" s="584">
        <v>0</v>
      </c>
      <c r="DE95" s="584">
        <v>0</v>
      </c>
      <c r="DF95" s="584">
        <v>0</v>
      </c>
      <c r="DG95" s="584">
        <v>0</v>
      </c>
      <c r="DH95" s="584">
        <v>0</v>
      </c>
      <c r="DI95" s="584">
        <v>0</v>
      </c>
      <c r="DJ95" s="584">
        <v>0</v>
      </c>
      <c r="DK95" s="584">
        <v>0</v>
      </c>
      <c r="DL95" s="584">
        <v>0</v>
      </c>
      <c r="DM95" s="584">
        <v>0</v>
      </c>
      <c r="DN95" s="584">
        <v>0</v>
      </c>
      <c r="DO95" s="584">
        <v>0</v>
      </c>
      <c r="DP95" s="584">
        <v>0</v>
      </c>
      <c r="DQ95" s="584">
        <v>0</v>
      </c>
      <c r="DR95" s="584">
        <v>0</v>
      </c>
      <c r="DS95" s="584">
        <v>0</v>
      </c>
      <c r="DT95" s="584">
        <v>0</v>
      </c>
      <c r="DU95" s="584">
        <v>0</v>
      </c>
      <c r="DV95" s="584">
        <v>0</v>
      </c>
      <c r="DW95" s="584">
        <v>0</v>
      </c>
      <c r="DX95" s="584">
        <v>0</v>
      </c>
      <c r="DY95" s="584">
        <v>0</v>
      </c>
      <c r="DZ95" s="584">
        <v>0</v>
      </c>
      <c r="EA95" s="1062">
        <v>0</v>
      </c>
      <c r="EB95" s="1046">
        <v>0</v>
      </c>
      <c r="EC95" s="1093">
        <v>0</v>
      </c>
      <c r="ED95" s="1046">
        <v>0</v>
      </c>
      <c r="EE95" s="1046">
        <v>0</v>
      </c>
      <c r="EF95" s="1046">
        <v>0</v>
      </c>
      <c r="EG95" s="1046">
        <v>0</v>
      </c>
      <c r="EH95" s="1046">
        <v>0</v>
      </c>
      <c r="EI95" s="1046">
        <v>0</v>
      </c>
      <c r="EJ95" s="1046">
        <v>0</v>
      </c>
      <c r="EK95" s="1046">
        <v>0</v>
      </c>
      <c r="EL95" s="1046">
        <v>0</v>
      </c>
      <c r="EM95" s="1046">
        <v>0</v>
      </c>
      <c r="EN95" s="1046">
        <v>0</v>
      </c>
      <c r="EO95" s="1046">
        <v>0</v>
      </c>
      <c r="EP95" s="1094">
        <v>0</v>
      </c>
      <c r="EQ95" s="1094">
        <v>0</v>
      </c>
      <c r="ER95" s="1094">
        <v>0</v>
      </c>
      <c r="ES95" s="1095">
        <v>0</v>
      </c>
      <c r="ET95" s="1094">
        <v>0</v>
      </c>
      <c r="EU95" s="1094">
        <v>0</v>
      </c>
      <c r="EV95" s="1096">
        <v>1.0604</v>
      </c>
      <c r="EW95" s="1097">
        <v>0.15</v>
      </c>
      <c r="EX95" s="1096">
        <v>289.50050968399592</v>
      </c>
      <c r="EY95" s="1096">
        <v>1.5443934760448521</v>
      </c>
      <c r="EZ95" s="1096">
        <v>0</v>
      </c>
      <c r="FA95" s="1096">
        <v>48.157954545454544</v>
      </c>
      <c r="FB95" s="1098">
        <v>0</v>
      </c>
      <c r="FC95" s="1098">
        <v>0</v>
      </c>
      <c r="FD95" s="1098" t="s">
        <v>373</v>
      </c>
      <c r="FE95" s="1098" t="s">
        <v>396</v>
      </c>
      <c r="FF95" s="1098">
        <v>3</v>
      </c>
      <c r="FG95" s="1098">
        <v>0</v>
      </c>
      <c r="FH95" s="1098">
        <v>0</v>
      </c>
      <c r="FI95" s="1098">
        <v>0</v>
      </c>
      <c r="FJ95" s="1098">
        <v>0</v>
      </c>
      <c r="FK95" s="1096">
        <v>186.45352150000005</v>
      </c>
      <c r="FL95" s="1096">
        <v>154</v>
      </c>
      <c r="FM95" s="1096">
        <v>372.9070430000001</v>
      </c>
      <c r="FN95" s="1096">
        <v>308</v>
      </c>
      <c r="FO95" s="1096">
        <v>745.8140860000002</v>
      </c>
      <c r="FP95" s="1099">
        <v>616</v>
      </c>
      <c r="FQ95" s="1064">
        <v>1.4547999999999999</v>
      </c>
      <c r="FR95" s="1065">
        <v>0.15</v>
      </c>
      <c r="FS95" s="1066">
        <v>289.50050968399586</v>
      </c>
      <c r="FT95" s="1066">
        <v>3.2017662436826937</v>
      </c>
      <c r="FU95" s="1065"/>
      <c r="FV95" s="1066">
        <v>86.76509309369267</v>
      </c>
      <c r="FW95" s="1065"/>
      <c r="FX95" s="1065"/>
      <c r="FY95" s="1065" t="s">
        <v>1104</v>
      </c>
      <c r="FZ95" s="1065" t="s">
        <v>396</v>
      </c>
      <c r="GA95" s="1065">
        <v>3</v>
      </c>
      <c r="GB95" s="1065"/>
      <c r="GC95" s="1065"/>
      <c r="GD95" s="1065"/>
      <c r="GE95" s="1065"/>
      <c r="GF95" s="1066">
        <v>198.9932951643847</v>
      </c>
      <c r="GG95" s="1066">
        <v>154</v>
      </c>
      <c r="GH95" s="1066">
        <v>397.98659032876941</v>
      </c>
      <c r="GI95" s="1066">
        <v>308</v>
      </c>
      <c r="GJ95" s="1066">
        <v>795.97318065753882</v>
      </c>
      <c r="GK95" s="1066">
        <v>616</v>
      </c>
      <c r="GL95" s="584">
        <v>1.1201000000000001</v>
      </c>
      <c r="GM95" s="584">
        <v>0.13</v>
      </c>
      <c r="GN95" s="584"/>
      <c r="GO95" s="584"/>
      <c r="GP95" s="584"/>
      <c r="GQ95" s="584">
        <v>89.807386363636397</v>
      </c>
      <c r="GR95" s="584"/>
      <c r="GS95" s="584">
        <v>66.2589194699286</v>
      </c>
      <c r="GT95" s="584" t="s">
        <v>349</v>
      </c>
      <c r="GU95" s="584" t="s">
        <v>347</v>
      </c>
      <c r="GV95" s="584">
        <v>2</v>
      </c>
      <c r="GW95" s="584"/>
      <c r="GX95" s="584"/>
      <c r="GY95" s="584"/>
      <c r="GZ95" s="584"/>
      <c r="HA95" s="584">
        <v>102.56446025</v>
      </c>
      <c r="HB95" s="584">
        <v>154</v>
      </c>
      <c r="HC95" s="584">
        <v>205.12892049999999</v>
      </c>
      <c r="HD95" s="584">
        <v>308</v>
      </c>
      <c r="HE95" s="584">
        <v>410.25784099999998</v>
      </c>
      <c r="HF95" s="584">
        <v>616</v>
      </c>
      <c r="HG95" s="1100">
        <v>2.35</v>
      </c>
      <c r="HH95" s="1100">
        <v>0.11</v>
      </c>
      <c r="HI95" s="1101">
        <v>0</v>
      </c>
      <c r="HJ95" s="1101">
        <v>0</v>
      </c>
      <c r="HK95" s="1101">
        <v>0</v>
      </c>
      <c r="HL95" s="1101">
        <v>0</v>
      </c>
      <c r="HM95" s="1101">
        <v>91.554545454545448</v>
      </c>
      <c r="HN95" s="1101">
        <v>54.999999999999993</v>
      </c>
      <c r="HO95" s="1101">
        <v>0</v>
      </c>
      <c r="HP95" s="1101">
        <v>0</v>
      </c>
      <c r="HQ95" s="1101">
        <v>3</v>
      </c>
      <c r="HR95" s="1101">
        <v>2.2400000000000002</v>
      </c>
      <c r="HS95" s="1101">
        <v>1.48</v>
      </c>
      <c r="HT95" s="1101">
        <v>0.3</v>
      </c>
      <c r="HU95" s="1101">
        <v>0.3</v>
      </c>
      <c r="HV95" s="1101">
        <v>98.458803999999986</v>
      </c>
      <c r="HW95" s="1101">
        <v>154</v>
      </c>
      <c r="HX95" s="1101">
        <v>196.91760799999997</v>
      </c>
      <c r="HY95" s="1101">
        <v>308</v>
      </c>
      <c r="HZ95" s="1101">
        <v>393.83521599999995</v>
      </c>
      <c r="IA95" s="1101">
        <v>616</v>
      </c>
      <c r="IB95" s="1062"/>
      <c r="IC95" s="1092"/>
      <c r="ID95" s="1050"/>
      <c r="IE95" s="1050"/>
      <c r="IF95" s="1103"/>
      <c r="IG95" s="1103"/>
      <c r="IH95" s="1103"/>
      <c r="II95" s="1103"/>
      <c r="IJ95" s="1103"/>
      <c r="IK95" s="1103"/>
      <c r="IL95" s="1103"/>
      <c r="IM95" s="1050"/>
      <c r="IN95" s="1050"/>
      <c r="IO95" s="1050"/>
      <c r="IP95" s="1050"/>
      <c r="IQ95" s="1103"/>
      <c r="IR95" s="1103"/>
      <c r="IS95" s="1103"/>
      <c r="IT95" s="1103"/>
      <c r="IU95" s="1103"/>
      <c r="IV95" s="1103"/>
      <c r="JS95" s="1092"/>
      <c r="JU95" s="1050"/>
      <c r="JV95" s="1103"/>
      <c r="JW95" s="1103"/>
      <c r="JX95" s="1103"/>
      <c r="JY95" s="1103"/>
      <c r="JZ95" s="1103"/>
      <c r="KA95" s="1103"/>
      <c r="KB95" s="1103"/>
      <c r="KC95" s="1050"/>
      <c r="KD95" s="1050"/>
      <c r="KE95" s="1050"/>
      <c r="KF95" s="1050"/>
      <c r="KG95" s="1103"/>
      <c r="KH95" s="1103"/>
      <c r="KI95" s="1103"/>
      <c r="KJ95" s="1103"/>
      <c r="KK95" s="1103"/>
      <c r="KL95" s="1103"/>
      <c r="KM95" s="1103"/>
      <c r="KN95" s="1103"/>
    </row>
    <row r="96" spans="2:300">
      <c r="B96" s="1048" t="str">
        <f t="shared" si="2"/>
        <v>O1212</v>
      </c>
      <c r="C96" s="1046">
        <v>12</v>
      </c>
      <c r="D96" s="1092">
        <v>12</v>
      </c>
      <c r="E96" s="584">
        <v>0.47</v>
      </c>
      <c r="F96" s="584">
        <v>0.47</v>
      </c>
      <c r="G96" s="584">
        <v>1128</v>
      </c>
      <c r="H96" s="584">
        <v>37.130000000000003</v>
      </c>
      <c r="I96" s="584">
        <v>0</v>
      </c>
      <c r="J96" s="584">
        <v>0</v>
      </c>
      <c r="K96" s="584">
        <v>0</v>
      </c>
      <c r="L96" s="584">
        <v>0</v>
      </c>
      <c r="M96" s="584">
        <v>0</v>
      </c>
      <c r="N96" s="584">
        <v>0</v>
      </c>
      <c r="O96" s="584">
        <v>0</v>
      </c>
      <c r="P96" s="584">
        <v>0</v>
      </c>
      <c r="Q96" s="584">
        <v>0</v>
      </c>
      <c r="R96" s="584">
        <v>0</v>
      </c>
      <c r="S96" s="584">
        <v>0</v>
      </c>
      <c r="T96" s="584">
        <v>617.72743749999995</v>
      </c>
      <c r="U96" s="584">
        <v>126</v>
      </c>
      <c r="V96" s="584">
        <v>1125.981</v>
      </c>
      <c r="W96" s="584">
        <v>264.60000000000002</v>
      </c>
      <c r="X96" s="584">
        <v>2000.1577500000001</v>
      </c>
      <c r="Y96" s="584">
        <v>554.4</v>
      </c>
      <c r="Z96" s="584">
        <v>0.34499999999999997</v>
      </c>
      <c r="AA96" s="584">
        <v>0.34499999999999997</v>
      </c>
      <c r="AB96" s="584">
        <v>828</v>
      </c>
      <c r="AC96" s="584">
        <v>29</v>
      </c>
      <c r="AD96" s="584">
        <v>0</v>
      </c>
      <c r="AE96" s="584">
        <v>0</v>
      </c>
      <c r="AF96" s="584">
        <v>0</v>
      </c>
      <c r="AG96" s="584">
        <v>0</v>
      </c>
      <c r="AH96" s="584">
        <v>0</v>
      </c>
      <c r="AI96" s="584">
        <v>0</v>
      </c>
      <c r="AJ96" s="584">
        <v>0</v>
      </c>
      <c r="AK96" s="584">
        <v>0</v>
      </c>
      <c r="AL96" s="584">
        <v>0</v>
      </c>
      <c r="AM96" s="584">
        <v>0</v>
      </c>
      <c r="AN96" s="584">
        <v>0</v>
      </c>
      <c r="AO96" s="584">
        <v>497.60243750000001</v>
      </c>
      <c r="AP96" s="584">
        <v>126</v>
      </c>
      <c r="AQ96" s="584">
        <v>880.41993749999995</v>
      </c>
      <c r="AR96" s="584">
        <v>264.60000000000002</v>
      </c>
      <c r="AS96" s="584">
        <v>1503.4719375</v>
      </c>
      <c r="AT96" s="584">
        <v>554.4</v>
      </c>
      <c r="AU96" s="584">
        <v>0</v>
      </c>
      <c r="AV96" s="584">
        <v>0</v>
      </c>
      <c r="AW96" s="584">
        <v>0</v>
      </c>
      <c r="AX96" s="584">
        <v>0</v>
      </c>
      <c r="AY96" s="584">
        <v>0</v>
      </c>
      <c r="AZ96" s="584">
        <v>0</v>
      </c>
      <c r="BA96" s="584">
        <v>0</v>
      </c>
      <c r="BB96" s="584">
        <v>0</v>
      </c>
      <c r="BC96" s="584">
        <v>0</v>
      </c>
      <c r="BD96" s="584">
        <v>0</v>
      </c>
      <c r="BE96" s="584">
        <v>0</v>
      </c>
      <c r="BF96" s="584">
        <v>0</v>
      </c>
      <c r="BG96" s="584">
        <v>0</v>
      </c>
      <c r="BH96" s="584">
        <v>0</v>
      </c>
      <c r="BI96" s="584">
        <v>0</v>
      </c>
      <c r="BJ96" s="584">
        <v>0</v>
      </c>
      <c r="BK96" s="584">
        <v>0</v>
      </c>
      <c r="BL96" s="584">
        <v>0</v>
      </c>
      <c r="BM96" s="584">
        <v>0</v>
      </c>
      <c r="BN96" s="584">
        <v>0</v>
      </c>
      <c r="BO96" s="584">
        <v>0</v>
      </c>
      <c r="BP96" s="584">
        <v>0.875</v>
      </c>
      <c r="BQ96" s="584">
        <v>0.28999999999999998</v>
      </c>
      <c r="BR96" s="584">
        <v>828.71210142316704</v>
      </c>
      <c r="BS96" s="584">
        <v>39.568809448747999</v>
      </c>
      <c r="BT96" s="584">
        <v>0</v>
      </c>
      <c r="BU96" s="584">
        <v>0</v>
      </c>
      <c r="BV96" s="584">
        <v>0</v>
      </c>
      <c r="BW96" s="584">
        <v>0</v>
      </c>
      <c r="BX96" s="584">
        <v>0</v>
      </c>
      <c r="BY96" s="584">
        <v>0</v>
      </c>
      <c r="BZ96" s="584">
        <v>0</v>
      </c>
      <c r="CA96" s="584">
        <v>0.875</v>
      </c>
      <c r="CB96" s="584">
        <v>0.875</v>
      </c>
      <c r="CC96" s="584">
        <v>0.45</v>
      </c>
      <c r="CD96" s="584">
        <v>0.45</v>
      </c>
      <c r="CE96" s="584">
        <v>516.10945000000004</v>
      </c>
      <c r="CF96" s="584">
        <v>126</v>
      </c>
      <c r="CG96" s="584">
        <v>879.87616875000003</v>
      </c>
      <c r="CH96" s="584">
        <v>264.60000000000002</v>
      </c>
      <c r="CI96" s="584">
        <v>1438.9920281249999</v>
      </c>
      <c r="CJ96" s="584">
        <v>554.4</v>
      </c>
      <c r="CK96" s="584">
        <v>0</v>
      </c>
      <c r="CL96" s="584">
        <v>0</v>
      </c>
      <c r="CM96" s="584">
        <v>0</v>
      </c>
      <c r="CN96" s="584">
        <v>0</v>
      </c>
      <c r="CO96" s="584">
        <v>0</v>
      </c>
      <c r="CP96" s="584">
        <v>0</v>
      </c>
      <c r="CQ96" s="584">
        <v>0</v>
      </c>
      <c r="CR96" s="584">
        <v>0</v>
      </c>
      <c r="CS96" s="584">
        <v>0</v>
      </c>
      <c r="CT96" s="584">
        <v>0</v>
      </c>
      <c r="CU96" s="584">
        <v>0</v>
      </c>
      <c r="CV96" s="584">
        <v>0</v>
      </c>
      <c r="CW96" s="584">
        <v>0</v>
      </c>
      <c r="CX96" s="584">
        <v>0</v>
      </c>
      <c r="CY96" s="584">
        <v>0</v>
      </c>
      <c r="CZ96" s="584">
        <v>0</v>
      </c>
      <c r="DA96" s="584">
        <v>0</v>
      </c>
      <c r="DB96" s="584">
        <v>0</v>
      </c>
      <c r="DC96" s="584">
        <v>0</v>
      </c>
      <c r="DD96" s="584">
        <v>0</v>
      </c>
      <c r="DE96" s="584">
        <v>0</v>
      </c>
      <c r="DF96" s="584">
        <v>0.67500000000000004</v>
      </c>
      <c r="DG96" s="584">
        <v>0.35</v>
      </c>
      <c r="DH96" s="584">
        <v>375.80374031705998</v>
      </c>
      <c r="DI96" s="584">
        <v>18.625658124662198</v>
      </c>
      <c r="DJ96" s="584">
        <v>450</v>
      </c>
      <c r="DK96" s="584">
        <v>0</v>
      </c>
      <c r="DL96" s="584">
        <v>0</v>
      </c>
      <c r="DM96" s="584">
        <v>0</v>
      </c>
      <c r="DN96" s="584">
        <v>0</v>
      </c>
      <c r="DO96" s="584">
        <v>0</v>
      </c>
      <c r="DP96" s="584">
        <v>0</v>
      </c>
      <c r="DQ96" s="584">
        <v>0</v>
      </c>
      <c r="DR96" s="584">
        <v>0.67500000000000004</v>
      </c>
      <c r="DS96" s="584">
        <v>0</v>
      </c>
      <c r="DT96" s="584">
        <v>2.4</v>
      </c>
      <c r="DU96" s="584">
        <v>475.56400000000002</v>
      </c>
      <c r="DV96" s="584">
        <v>126</v>
      </c>
      <c r="DW96" s="584">
        <v>948.93525</v>
      </c>
      <c r="DX96" s="584">
        <v>264.60000000000002</v>
      </c>
      <c r="DY96" s="584">
        <v>1481.3050781249999</v>
      </c>
      <c r="DZ96" s="584">
        <v>554.4</v>
      </c>
      <c r="EA96" s="1062">
        <v>1.3009999999999999</v>
      </c>
      <c r="EB96" s="1046">
        <v>0.35</v>
      </c>
      <c r="EC96" s="1093">
        <v>132.51783893985731</v>
      </c>
      <c r="ED96" s="1046">
        <v>0</v>
      </c>
      <c r="EE96" s="1046">
        <v>458.71559633027522</v>
      </c>
      <c r="EF96" s="1046">
        <v>42.858333333333334</v>
      </c>
      <c r="EG96" s="1046">
        <v>0</v>
      </c>
      <c r="EH96" s="1046">
        <v>0</v>
      </c>
      <c r="EI96" s="1046" t="s">
        <v>362</v>
      </c>
      <c r="EJ96" s="1046" t="s">
        <v>442</v>
      </c>
      <c r="EK96" s="1046">
        <v>0</v>
      </c>
      <c r="EL96" s="1046">
        <v>0</v>
      </c>
      <c r="EM96" s="1046">
        <v>0</v>
      </c>
      <c r="EN96" s="1046">
        <v>0</v>
      </c>
      <c r="EO96" s="1046">
        <v>0</v>
      </c>
      <c r="EP96" s="1094">
        <v>252.73584900000003</v>
      </c>
      <c r="EQ96" s="1094">
        <v>126</v>
      </c>
      <c r="ER96" s="1094">
        <v>505.47169800000006</v>
      </c>
      <c r="ES96" s="1095">
        <v>252</v>
      </c>
      <c r="ET96" s="1094">
        <v>1010.9433960000001</v>
      </c>
      <c r="EU96" s="1094">
        <v>504</v>
      </c>
      <c r="EV96" s="1096">
        <v>1.0008999999999999</v>
      </c>
      <c r="EW96" s="1097">
        <v>0.15</v>
      </c>
      <c r="EX96" s="1096">
        <v>289.50050968399592</v>
      </c>
      <c r="EY96" s="1096">
        <v>1.5443934760448521</v>
      </c>
      <c r="EZ96" s="1096">
        <v>0</v>
      </c>
      <c r="FA96" s="1096">
        <v>41.9</v>
      </c>
      <c r="FB96" s="1098">
        <v>0</v>
      </c>
      <c r="FC96" s="1098">
        <v>0</v>
      </c>
      <c r="FD96" s="1098" t="s">
        <v>377</v>
      </c>
      <c r="FE96" s="1098" t="s">
        <v>430</v>
      </c>
      <c r="FF96" s="1098">
        <v>3</v>
      </c>
      <c r="FG96" s="1098">
        <v>0</v>
      </c>
      <c r="FH96" s="1098">
        <v>0</v>
      </c>
      <c r="FI96" s="1098">
        <v>0</v>
      </c>
      <c r="FJ96" s="1098">
        <v>0</v>
      </c>
      <c r="FK96" s="1096">
        <v>150.34282199999998</v>
      </c>
      <c r="FL96" s="1096">
        <v>126</v>
      </c>
      <c r="FM96" s="1096">
        <v>300.68564399999997</v>
      </c>
      <c r="FN96" s="1096">
        <v>252</v>
      </c>
      <c r="FO96" s="1096">
        <v>601.37128799999994</v>
      </c>
      <c r="FP96" s="1099">
        <v>504</v>
      </c>
      <c r="FQ96" s="1064">
        <v>1.5084199999999999</v>
      </c>
      <c r="FR96" s="1065">
        <v>0.15</v>
      </c>
      <c r="FS96" s="1066">
        <v>289.50050968399586</v>
      </c>
      <c r="FT96" s="1066">
        <v>3.2237153637237084</v>
      </c>
      <c r="FU96" s="1065"/>
      <c r="FV96" s="1066">
        <v>60.094646511068149</v>
      </c>
      <c r="FW96" s="1065"/>
      <c r="FX96" s="1065"/>
      <c r="FY96" s="1065" t="s">
        <v>1103</v>
      </c>
      <c r="FZ96" s="1065" t="s">
        <v>438</v>
      </c>
      <c r="GA96" s="1065">
        <v>3</v>
      </c>
      <c r="GB96" s="1065"/>
      <c r="GC96" s="1065"/>
      <c r="GD96" s="1065"/>
      <c r="GE96" s="1065"/>
      <c r="GF96" s="1066">
        <v>153.40151267970151</v>
      </c>
      <c r="GG96" s="1066">
        <v>126</v>
      </c>
      <c r="GH96" s="1066">
        <v>306.80302535940302</v>
      </c>
      <c r="GI96" s="1066">
        <v>252</v>
      </c>
      <c r="GJ96" s="1066">
        <v>613.60605071880605</v>
      </c>
      <c r="GK96" s="1066">
        <v>504</v>
      </c>
      <c r="GL96" s="584">
        <v>1.1003000000000001</v>
      </c>
      <c r="GM96" s="584">
        <v>0.13</v>
      </c>
      <c r="GN96" s="584"/>
      <c r="GO96" s="584"/>
      <c r="GP96" s="584"/>
      <c r="GQ96" s="584">
        <v>62.475000000000001</v>
      </c>
      <c r="GR96" s="584"/>
      <c r="GS96" s="584">
        <v>66.2589194699286</v>
      </c>
      <c r="GT96" s="584" t="s">
        <v>351</v>
      </c>
      <c r="GU96" s="584" t="s">
        <v>381</v>
      </c>
      <c r="GV96" s="584">
        <v>2</v>
      </c>
      <c r="GW96" s="584"/>
      <c r="GX96" s="584"/>
      <c r="GY96" s="584"/>
      <c r="GZ96" s="584"/>
      <c r="HA96" s="584">
        <v>74.263671000000002</v>
      </c>
      <c r="HB96" s="584">
        <v>126</v>
      </c>
      <c r="HC96" s="584">
        <v>148.527342</v>
      </c>
      <c r="HD96" s="584">
        <v>252</v>
      </c>
      <c r="HE96" s="584">
        <v>297.05468400000001</v>
      </c>
      <c r="HF96" s="584">
        <v>504</v>
      </c>
      <c r="HG96" s="1100">
        <v>1.87</v>
      </c>
      <c r="HH96" s="1100">
        <v>0.11</v>
      </c>
      <c r="HI96" s="1101">
        <v>0</v>
      </c>
      <c r="HJ96" s="1101">
        <v>0</v>
      </c>
      <c r="HK96" s="1101">
        <v>0</v>
      </c>
      <c r="HL96" s="1101">
        <v>0</v>
      </c>
      <c r="HM96" s="1101">
        <v>64.8</v>
      </c>
      <c r="HN96" s="1101">
        <v>54.999999999999993</v>
      </c>
      <c r="HO96" s="1101">
        <v>0</v>
      </c>
      <c r="HP96" s="1101">
        <v>0</v>
      </c>
      <c r="HQ96" s="1101">
        <v>3</v>
      </c>
      <c r="HR96" s="1101">
        <v>1.76</v>
      </c>
      <c r="HS96" s="1101">
        <v>1</v>
      </c>
      <c r="HT96" s="1101">
        <v>0.3</v>
      </c>
      <c r="HU96" s="1101">
        <v>0.3</v>
      </c>
      <c r="HV96" s="1101">
        <v>71.108567999999991</v>
      </c>
      <c r="HW96" s="1101">
        <v>126</v>
      </c>
      <c r="HX96" s="1101">
        <v>142.21713599999998</v>
      </c>
      <c r="HY96" s="1101">
        <v>252</v>
      </c>
      <c r="HZ96" s="1101">
        <v>284.43427199999996</v>
      </c>
      <c r="IA96" s="1101">
        <v>504</v>
      </c>
      <c r="IB96" s="1062"/>
      <c r="IC96" s="1092"/>
      <c r="ID96" s="1050"/>
      <c r="IE96" s="1050"/>
      <c r="IF96" s="1103"/>
      <c r="IG96" s="1103"/>
      <c r="IH96" s="1103"/>
      <c r="II96" s="1103"/>
      <c r="IJ96" s="1103"/>
      <c r="IK96" s="1103"/>
      <c r="IL96" s="1103"/>
      <c r="IM96" s="1050"/>
      <c r="IN96" s="1050"/>
      <c r="IO96" s="1050"/>
      <c r="IP96" s="1050"/>
      <c r="IQ96" s="1103"/>
      <c r="IR96" s="1103"/>
      <c r="IS96" s="1103"/>
      <c r="IT96" s="1103"/>
      <c r="IU96" s="1103"/>
      <c r="IV96" s="1103"/>
      <c r="JS96" s="1092"/>
      <c r="JU96" s="1050"/>
      <c r="JV96" s="1103"/>
      <c r="JW96" s="1103"/>
      <c r="JX96" s="1103"/>
      <c r="JY96" s="1103"/>
      <c r="JZ96" s="1103"/>
      <c r="KA96" s="1103"/>
      <c r="KB96" s="1103"/>
      <c r="KC96" s="1050"/>
      <c r="KD96" s="1050"/>
      <c r="KE96" s="1050"/>
      <c r="KF96" s="1050"/>
      <c r="KG96" s="1103"/>
      <c r="KH96" s="1103"/>
      <c r="KI96" s="1103"/>
      <c r="KJ96" s="1103"/>
      <c r="KK96" s="1103"/>
      <c r="KL96" s="1103"/>
      <c r="KM96" s="1103"/>
      <c r="KN96" s="1103"/>
    </row>
    <row r="97" spans="2:300">
      <c r="B97" s="1048" t="str">
        <f t="shared" si="2"/>
        <v>O1213</v>
      </c>
      <c r="C97" s="1046">
        <v>12</v>
      </c>
      <c r="D97" s="1092">
        <v>13</v>
      </c>
      <c r="E97" s="584">
        <v>0.47</v>
      </c>
      <c r="F97" s="584">
        <v>0.47</v>
      </c>
      <c r="G97" s="584">
        <v>1128</v>
      </c>
      <c r="H97" s="584">
        <v>34.78</v>
      </c>
      <c r="I97" s="584">
        <v>0</v>
      </c>
      <c r="J97" s="584">
        <v>0</v>
      </c>
      <c r="K97" s="584">
        <v>0</v>
      </c>
      <c r="L97" s="584">
        <v>0</v>
      </c>
      <c r="M97" s="584">
        <v>0</v>
      </c>
      <c r="N97" s="584">
        <v>0</v>
      </c>
      <c r="O97" s="584">
        <v>0</v>
      </c>
      <c r="P97" s="584">
        <v>0</v>
      </c>
      <c r="Q97" s="584">
        <v>0</v>
      </c>
      <c r="R97" s="584">
        <v>0</v>
      </c>
      <c r="S97" s="584">
        <v>0</v>
      </c>
      <c r="T97" s="584">
        <v>662.0524375</v>
      </c>
      <c r="U97" s="584">
        <v>136.5</v>
      </c>
      <c r="V97" s="584">
        <v>1219.0635</v>
      </c>
      <c r="W97" s="584">
        <v>286.64999999999998</v>
      </c>
      <c r="X97" s="584">
        <v>2167.6284375</v>
      </c>
      <c r="Y97" s="584">
        <v>600.6</v>
      </c>
      <c r="Z97" s="584">
        <v>0.39500000000000002</v>
      </c>
      <c r="AA97" s="584">
        <v>0.39500000000000002</v>
      </c>
      <c r="AB97" s="584">
        <v>948</v>
      </c>
      <c r="AC97" s="584">
        <v>32</v>
      </c>
      <c r="AD97" s="584">
        <v>0</v>
      </c>
      <c r="AE97" s="584">
        <v>0</v>
      </c>
      <c r="AF97" s="584">
        <v>0</v>
      </c>
      <c r="AG97" s="584">
        <v>0</v>
      </c>
      <c r="AH97" s="584">
        <v>0</v>
      </c>
      <c r="AI97" s="584">
        <v>0</v>
      </c>
      <c r="AJ97" s="584">
        <v>0</v>
      </c>
      <c r="AK97" s="584">
        <v>0</v>
      </c>
      <c r="AL97" s="584">
        <v>0</v>
      </c>
      <c r="AM97" s="584">
        <v>0</v>
      </c>
      <c r="AN97" s="584">
        <v>0</v>
      </c>
      <c r="AO97" s="584">
        <v>584.16493749999995</v>
      </c>
      <c r="AP97" s="584">
        <v>136.5</v>
      </c>
      <c r="AQ97" s="584">
        <v>1060.3822500000001</v>
      </c>
      <c r="AR97" s="584">
        <v>286.64999999999998</v>
      </c>
      <c r="AS97" s="584">
        <v>1844.0677499999999</v>
      </c>
      <c r="AT97" s="584">
        <v>600.6</v>
      </c>
      <c r="AU97" s="584">
        <v>0</v>
      </c>
      <c r="AV97" s="584">
        <v>0</v>
      </c>
      <c r="AW97" s="584">
        <v>0</v>
      </c>
      <c r="AX97" s="584">
        <v>0</v>
      </c>
      <c r="AY97" s="584">
        <v>0</v>
      </c>
      <c r="AZ97" s="584">
        <v>0</v>
      </c>
      <c r="BA97" s="584">
        <v>0</v>
      </c>
      <c r="BB97" s="584">
        <v>0</v>
      </c>
      <c r="BC97" s="584">
        <v>0</v>
      </c>
      <c r="BD97" s="584">
        <v>0</v>
      </c>
      <c r="BE97" s="584">
        <v>0</v>
      </c>
      <c r="BF97" s="584">
        <v>0</v>
      </c>
      <c r="BG97" s="584">
        <v>0</v>
      </c>
      <c r="BH97" s="584">
        <v>0</v>
      </c>
      <c r="BI97" s="584">
        <v>0</v>
      </c>
      <c r="BJ97" s="584">
        <v>0</v>
      </c>
      <c r="BK97" s="584">
        <v>0</v>
      </c>
      <c r="BL97" s="584">
        <v>0</v>
      </c>
      <c r="BM97" s="584">
        <v>0</v>
      </c>
      <c r="BN97" s="584">
        <v>0</v>
      </c>
      <c r="BO97" s="584">
        <v>0</v>
      </c>
      <c r="BP97" s="584">
        <v>0</v>
      </c>
      <c r="BQ97" s="584">
        <v>0</v>
      </c>
      <c r="BR97" s="584">
        <v>0</v>
      </c>
      <c r="BS97" s="584">
        <v>0</v>
      </c>
      <c r="BT97" s="584">
        <v>0</v>
      </c>
      <c r="BU97" s="584">
        <v>0</v>
      </c>
      <c r="BV97" s="584">
        <v>0</v>
      </c>
      <c r="BW97" s="584">
        <v>0</v>
      </c>
      <c r="BX97" s="584">
        <v>0</v>
      </c>
      <c r="BY97" s="584">
        <v>0</v>
      </c>
      <c r="BZ97" s="584">
        <v>0</v>
      </c>
      <c r="CA97" s="584">
        <v>0</v>
      </c>
      <c r="CB97" s="584">
        <v>0</v>
      </c>
      <c r="CC97" s="584">
        <v>0</v>
      </c>
      <c r="CD97" s="584">
        <v>0</v>
      </c>
      <c r="CE97" s="584">
        <v>0</v>
      </c>
      <c r="CF97" s="584">
        <v>0</v>
      </c>
      <c r="CG97" s="584">
        <v>0</v>
      </c>
      <c r="CH97" s="584">
        <v>0</v>
      </c>
      <c r="CI97" s="584">
        <v>0</v>
      </c>
      <c r="CJ97" s="584">
        <v>0</v>
      </c>
      <c r="CK97" s="584">
        <v>0</v>
      </c>
      <c r="CL97" s="584">
        <v>0</v>
      </c>
      <c r="CM97" s="584">
        <v>0</v>
      </c>
      <c r="CN97" s="584">
        <v>0</v>
      </c>
      <c r="CO97" s="584">
        <v>0</v>
      </c>
      <c r="CP97" s="584">
        <v>0</v>
      </c>
      <c r="CQ97" s="584">
        <v>0</v>
      </c>
      <c r="CR97" s="584">
        <v>0</v>
      </c>
      <c r="CS97" s="584">
        <v>0</v>
      </c>
      <c r="CT97" s="584">
        <v>0</v>
      </c>
      <c r="CU97" s="584">
        <v>0</v>
      </c>
      <c r="CV97" s="584">
        <v>0</v>
      </c>
      <c r="CW97" s="584">
        <v>0</v>
      </c>
      <c r="CX97" s="584">
        <v>0</v>
      </c>
      <c r="CY97" s="584">
        <v>0</v>
      </c>
      <c r="CZ97" s="584">
        <v>0</v>
      </c>
      <c r="DA97" s="584">
        <v>0</v>
      </c>
      <c r="DB97" s="584">
        <v>0</v>
      </c>
      <c r="DC97" s="584">
        <v>0</v>
      </c>
      <c r="DD97" s="584">
        <v>0</v>
      </c>
      <c r="DE97" s="584">
        <v>0</v>
      </c>
      <c r="DF97" s="584">
        <v>0.75</v>
      </c>
      <c r="DG97" s="584">
        <v>0.35</v>
      </c>
      <c r="DH97" s="584">
        <v>418.75999000999002</v>
      </c>
      <c r="DI97" s="584">
        <v>20.066602272727302</v>
      </c>
      <c r="DJ97" s="584">
        <v>450</v>
      </c>
      <c r="DK97" s="584">
        <v>0</v>
      </c>
      <c r="DL97" s="584">
        <v>0</v>
      </c>
      <c r="DM97" s="584">
        <v>0</v>
      </c>
      <c r="DN97" s="584">
        <v>0</v>
      </c>
      <c r="DO97" s="584">
        <v>0</v>
      </c>
      <c r="DP97" s="584">
        <v>0</v>
      </c>
      <c r="DQ97" s="584">
        <v>0</v>
      </c>
      <c r="DR97" s="584">
        <v>0.75</v>
      </c>
      <c r="DS97" s="584">
        <v>0</v>
      </c>
      <c r="DT97" s="584">
        <v>2.4</v>
      </c>
      <c r="DU97" s="584">
        <v>529.53250000000003</v>
      </c>
      <c r="DV97" s="584">
        <v>136.5</v>
      </c>
      <c r="DW97" s="584">
        <v>1040.64375</v>
      </c>
      <c r="DX97" s="584">
        <v>286.64999999999998</v>
      </c>
      <c r="DY97" s="584">
        <v>1662.2311875</v>
      </c>
      <c r="DZ97" s="584">
        <v>600.6</v>
      </c>
      <c r="EA97" s="1062">
        <v>1.371</v>
      </c>
      <c r="EB97" s="1046">
        <v>0.4</v>
      </c>
      <c r="EC97" s="1093">
        <v>132.51783893985737</v>
      </c>
      <c r="ED97" s="1046">
        <v>0</v>
      </c>
      <c r="EE97" s="1046">
        <v>519.87767584097855</v>
      </c>
      <c r="EF97" s="1046">
        <v>49.011538461538464</v>
      </c>
      <c r="EG97" s="1046">
        <v>0</v>
      </c>
      <c r="EH97" s="1046">
        <v>0</v>
      </c>
      <c r="EI97" s="1046" t="s">
        <v>360</v>
      </c>
      <c r="EJ97" s="1046" t="s">
        <v>423</v>
      </c>
      <c r="EK97" s="1046">
        <v>0</v>
      </c>
      <c r="EL97" s="1046">
        <v>0</v>
      </c>
      <c r="EM97" s="1046">
        <v>0</v>
      </c>
      <c r="EN97" s="1046">
        <v>0</v>
      </c>
      <c r="EO97" s="1046">
        <v>0</v>
      </c>
      <c r="EP97" s="1094">
        <v>299.55132450000002</v>
      </c>
      <c r="EQ97" s="1094">
        <v>136.5</v>
      </c>
      <c r="ER97" s="1094">
        <v>599.10264900000004</v>
      </c>
      <c r="ES97" s="1095">
        <v>273</v>
      </c>
      <c r="ET97" s="1094">
        <v>1198.2052980000001</v>
      </c>
      <c r="EU97" s="1094">
        <v>546</v>
      </c>
      <c r="EV97" s="1096">
        <v>1.0604</v>
      </c>
      <c r="EW97" s="1097">
        <v>0.15</v>
      </c>
      <c r="EX97" s="1096">
        <v>289.50050968399592</v>
      </c>
      <c r="EY97" s="1096">
        <v>1.5443934760448521</v>
      </c>
      <c r="EZ97" s="1096">
        <v>0</v>
      </c>
      <c r="FA97" s="1096">
        <v>40.271153846153844</v>
      </c>
      <c r="FB97" s="1098">
        <v>0</v>
      </c>
      <c r="FC97" s="1098">
        <v>0</v>
      </c>
      <c r="FD97" s="1098" t="s">
        <v>373</v>
      </c>
      <c r="FE97" s="1098" t="s">
        <v>430</v>
      </c>
      <c r="FF97" s="1098">
        <v>3</v>
      </c>
      <c r="FG97" s="1098">
        <v>0</v>
      </c>
      <c r="FH97" s="1098">
        <v>0</v>
      </c>
      <c r="FI97" s="1098">
        <v>0</v>
      </c>
      <c r="FJ97" s="1098">
        <v>0</v>
      </c>
      <c r="FK97" s="1096">
        <v>162.24821025</v>
      </c>
      <c r="FL97" s="1096">
        <v>136.5</v>
      </c>
      <c r="FM97" s="1096">
        <v>324.4964205</v>
      </c>
      <c r="FN97" s="1096">
        <v>273</v>
      </c>
      <c r="FO97" s="1096">
        <v>648.992841</v>
      </c>
      <c r="FP97" s="1099">
        <v>546</v>
      </c>
      <c r="FQ97" s="1064">
        <v>1.5221399999999998</v>
      </c>
      <c r="FR97" s="1065">
        <v>0.15</v>
      </c>
      <c r="FS97" s="1066">
        <v>289.50050968399586</v>
      </c>
      <c r="FT97" s="1066">
        <v>3.2237153637237084</v>
      </c>
      <c r="FU97" s="1065"/>
      <c r="FV97" s="1066">
        <v>66.427882166423501</v>
      </c>
      <c r="FW97" s="1065"/>
      <c r="FX97" s="1065"/>
      <c r="FY97" s="1065" t="s">
        <v>349</v>
      </c>
      <c r="FZ97" s="1065" t="s">
        <v>416</v>
      </c>
      <c r="GA97" s="1065">
        <v>3</v>
      </c>
      <c r="GB97" s="1065"/>
      <c r="GC97" s="1065"/>
      <c r="GD97" s="1065"/>
      <c r="GE97" s="1065"/>
      <c r="GF97" s="1066">
        <v>168.60800469905902</v>
      </c>
      <c r="GG97" s="1066">
        <v>136.5</v>
      </c>
      <c r="GH97" s="1066">
        <v>337.21600939811805</v>
      </c>
      <c r="GI97" s="1066">
        <v>273</v>
      </c>
      <c r="GJ97" s="1066">
        <v>674.43201879623609</v>
      </c>
      <c r="GK97" s="1066">
        <v>546</v>
      </c>
      <c r="GL97" s="584">
        <v>1.1003000000000001</v>
      </c>
      <c r="GM97" s="584">
        <v>0.13</v>
      </c>
      <c r="GN97" s="584"/>
      <c r="GO97" s="584"/>
      <c r="GP97" s="584"/>
      <c r="GQ97" s="584">
        <v>67.301923076923103</v>
      </c>
      <c r="GR97" s="584"/>
      <c r="GS97" s="584">
        <v>66.2589194699286</v>
      </c>
      <c r="GT97" s="584" t="s">
        <v>351</v>
      </c>
      <c r="GU97" s="584" t="s">
        <v>375</v>
      </c>
      <c r="GV97" s="584">
        <v>2</v>
      </c>
      <c r="GW97" s="584"/>
      <c r="GX97" s="584"/>
      <c r="GY97" s="584"/>
      <c r="GZ97" s="584"/>
      <c r="HA97" s="584">
        <v>82.299042749999998</v>
      </c>
      <c r="HB97" s="584">
        <v>136.5</v>
      </c>
      <c r="HC97" s="584">
        <v>164.5980855</v>
      </c>
      <c r="HD97" s="584">
        <v>273</v>
      </c>
      <c r="HE97" s="584">
        <v>329.19617099999999</v>
      </c>
      <c r="HF97" s="584">
        <v>546</v>
      </c>
      <c r="HG97" s="1100">
        <v>2.0299999999999998</v>
      </c>
      <c r="HH97" s="1100">
        <v>0.11</v>
      </c>
      <c r="HI97" s="1101">
        <v>0</v>
      </c>
      <c r="HJ97" s="1101">
        <v>0</v>
      </c>
      <c r="HK97" s="1101">
        <v>0</v>
      </c>
      <c r="HL97" s="1101">
        <v>0</v>
      </c>
      <c r="HM97" s="1101">
        <v>70.338461538461544</v>
      </c>
      <c r="HN97" s="1101">
        <v>54.999999999999993</v>
      </c>
      <c r="HO97" s="1101">
        <v>0</v>
      </c>
      <c r="HP97" s="1101">
        <v>0</v>
      </c>
      <c r="HQ97" s="1101">
        <v>3</v>
      </c>
      <c r="HR97" s="1101">
        <v>1.92</v>
      </c>
      <c r="HS97" s="1101">
        <v>1.1200000000000001</v>
      </c>
      <c r="HT97" s="1101">
        <v>0.3</v>
      </c>
      <c r="HU97" s="1101">
        <v>0.3</v>
      </c>
      <c r="HV97" s="1101">
        <v>79.153242000000006</v>
      </c>
      <c r="HW97" s="1101">
        <v>136.5</v>
      </c>
      <c r="HX97" s="1101">
        <v>158.30648400000001</v>
      </c>
      <c r="HY97" s="1101">
        <v>273</v>
      </c>
      <c r="HZ97" s="1101">
        <v>316.61296800000002</v>
      </c>
      <c r="IA97" s="1101">
        <v>546</v>
      </c>
      <c r="IB97" s="1062"/>
      <c r="IC97" s="1092"/>
      <c r="ID97" s="1050"/>
      <c r="IE97" s="1050"/>
      <c r="IF97" s="1103"/>
      <c r="IG97" s="1103"/>
      <c r="IH97" s="1103"/>
      <c r="II97" s="1103"/>
      <c r="IJ97" s="1103"/>
      <c r="IK97" s="1103"/>
      <c r="IL97" s="1103"/>
      <c r="IM97" s="1050"/>
      <c r="IN97" s="1050"/>
      <c r="IO97" s="1050"/>
      <c r="IP97" s="1050"/>
      <c r="IQ97" s="1103"/>
      <c r="IR97" s="1103"/>
      <c r="IS97" s="1103"/>
      <c r="IT97" s="1103"/>
      <c r="IU97" s="1103"/>
      <c r="IV97" s="1103"/>
      <c r="JS97" s="1092"/>
      <c r="JU97" s="1050"/>
      <c r="JV97" s="1103"/>
      <c r="JW97" s="1103"/>
      <c r="JX97" s="1103"/>
      <c r="JY97" s="1103"/>
      <c r="JZ97" s="1103"/>
      <c r="KA97" s="1103"/>
      <c r="KB97" s="1103"/>
      <c r="KC97" s="1050"/>
      <c r="KD97" s="1050"/>
      <c r="KE97" s="1050"/>
      <c r="KF97" s="1050"/>
      <c r="KG97" s="1103"/>
      <c r="KH97" s="1103"/>
      <c r="KI97" s="1103"/>
      <c r="KJ97" s="1103"/>
      <c r="KK97" s="1103"/>
      <c r="KL97" s="1103"/>
      <c r="KM97" s="1103"/>
      <c r="KN97" s="1103"/>
    </row>
    <row r="98" spans="2:300">
      <c r="B98" s="1048" t="str">
        <f t="shared" ref="B98:B100" si="3">"O"&amp;C98&amp;D98</f>
        <v>O1214</v>
      </c>
      <c r="C98" s="1046">
        <v>12</v>
      </c>
      <c r="D98" s="1092">
        <v>14</v>
      </c>
      <c r="E98" s="584">
        <v>0</v>
      </c>
      <c r="F98" s="584">
        <v>0</v>
      </c>
      <c r="G98" s="584">
        <v>0</v>
      </c>
      <c r="H98" s="584">
        <v>0</v>
      </c>
      <c r="I98" s="584">
        <v>0</v>
      </c>
      <c r="J98" s="584">
        <v>0</v>
      </c>
      <c r="K98" s="584">
        <v>0</v>
      </c>
      <c r="L98" s="584">
        <v>0</v>
      </c>
      <c r="M98" s="584">
        <v>0</v>
      </c>
      <c r="N98" s="584">
        <v>0</v>
      </c>
      <c r="O98" s="584">
        <v>0</v>
      </c>
      <c r="P98" s="584">
        <v>0</v>
      </c>
      <c r="Q98" s="584">
        <v>0</v>
      </c>
      <c r="R98" s="584">
        <v>0</v>
      </c>
      <c r="S98" s="584">
        <v>0</v>
      </c>
      <c r="T98" s="584">
        <v>0</v>
      </c>
      <c r="U98" s="584">
        <v>0</v>
      </c>
      <c r="V98" s="584">
        <v>0</v>
      </c>
      <c r="W98" s="584">
        <v>0</v>
      </c>
      <c r="X98" s="584">
        <v>0</v>
      </c>
      <c r="Y98" s="584">
        <v>0</v>
      </c>
      <c r="Z98" s="584">
        <v>0</v>
      </c>
      <c r="AA98" s="584">
        <v>0</v>
      </c>
      <c r="AB98" s="584">
        <v>0</v>
      </c>
      <c r="AC98" s="584">
        <v>0</v>
      </c>
      <c r="AD98" s="584">
        <v>0</v>
      </c>
      <c r="AE98" s="584">
        <v>0</v>
      </c>
      <c r="AF98" s="584">
        <v>0</v>
      </c>
      <c r="AG98" s="584">
        <v>0</v>
      </c>
      <c r="AH98" s="584">
        <v>0</v>
      </c>
      <c r="AI98" s="584">
        <v>0</v>
      </c>
      <c r="AJ98" s="584">
        <v>0</v>
      </c>
      <c r="AK98" s="584">
        <v>0</v>
      </c>
      <c r="AL98" s="584">
        <v>0</v>
      </c>
      <c r="AM98" s="584">
        <v>0</v>
      </c>
      <c r="AN98" s="584">
        <v>0</v>
      </c>
      <c r="AO98" s="584">
        <v>0</v>
      </c>
      <c r="AP98" s="584">
        <v>0</v>
      </c>
      <c r="AQ98" s="584">
        <v>0</v>
      </c>
      <c r="AR98" s="584">
        <v>0</v>
      </c>
      <c r="AS98" s="584">
        <v>0</v>
      </c>
      <c r="AT98" s="584">
        <v>0</v>
      </c>
      <c r="AU98" s="584">
        <v>0</v>
      </c>
      <c r="AV98" s="584">
        <v>0</v>
      </c>
      <c r="AW98" s="584">
        <v>0</v>
      </c>
      <c r="AX98" s="584">
        <v>0</v>
      </c>
      <c r="AY98" s="584">
        <v>0</v>
      </c>
      <c r="AZ98" s="584">
        <v>0</v>
      </c>
      <c r="BA98" s="584">
        <v>0</v>
      </c>
      <c r="BB98" s="584">
        <v>0</v>
      </c>
      <c r="BC98" s="584">
        <v>0</v>
      </c>
      <c r="BD98" s="584">
        <v>0</v>
      </c>
      <c r="BE98" s="584">
        <v>0</v>
      </c>
      <c r="BF98" s="584">
        <v>0</v>
      </c>
      <c r="BG98" s="584">
        <v>0</v>
      </c>
      <c r="BH98" s="584">
        <v>0</v>
      </c>
      <c r="BI98" s="584">
        <v>0</v>
      </c>
      <c r="BJ98" s="584">
        <v>0</v>
      </c>
      <c r="BK98" s="584">
        <v>0</v>
      </c>
      <c r="BL98" s="584">
        <v>0</v>
      </c>
      <c r="BM98" s="584">
        <v>0</v>
      </c>
      <c r="BN98" s="584">
        <v>0</v>
      </c>
      <c r="BO98" s="584">
        <v>0</v>
      </c>
      <c r="BP98" s="584">
        <v>0</v>
      </c>
      <c r="BQ98" s="584">
        <v>0</v>
      </c>
      <c r="BR98" s="584">
        <v>0</v>
      </c>
      <c r="BS98" s="584">
        <v>0</v>
      </c>
      <c r="BT98" s="584">
        <v>0</v>
      </c>
      <c r="BU98" s="584">
        <v>0</v>
      </c>
      <c r="BV98" s="584">
        <v>0</v>
      </c>
      <c r="BW98" s="584">
        <v>0</v>
      </c>
      <c r="BX98" s="584">
        <v>0</v>
      </c>
      <c r="BY98" s="584">
        <v>0</v>
      </c>
      <c r="BZ98" s="584">
        <v>0</v>
      </c>
      <c r="CA98" s="584">
        <v>0</v>
      </c>
      <c r="CB98" s="584">
        <v>0</v>
      </c>
      <c r="CC98" s="584">
        <v>0</v>
      </c>
      <c r="CD98" s="584">
        <v>0</v>
      </c>
      <c r="CE98" s="584">
        <v>0</v>
      </c>
      <c r="CF98" s="584">
        <v>0</v>
      </c>
      <c r="CG98" s="584">
        <v>0</v>
      </c>
      <c r="CH98" s="584">
        <v>0</v>
      </c>
      <c r="CI98" s="584">
        <v>0</v>
      </c>
      <c r="CJ98" s="584">
        <v>0</v>
      </c>
      <c r="CK98" s="584">
        <v>0</v>
      </c>
      <c r="CL98" s="584">
        <v>0</v>
      </c>
      <c r="CM98" s="584">
        <v>0</v>
      </c>
      <c r="CN98" s="584">
        <v>0</v>
      </c>
      <c r="CO98" s="584">
        <v>0</v>
      </c>
      <c r="CP98" s="584">
        <v>0</v>
      </c>
      <c r="CQ98" s="584">
        <v>0</v>
      </c>
      <c r="CR98" s="584">
        <v>0</v>
      </c>
      <c r="CS98" s="584">
        <v>0</v>
      </c>
      <c r="CT98" s="584">
        <v>0</v>
      </c>
      <c r="CU98" s="584">
        <v>0</v>
      </c>
      <c r="CV98" s="584">
        <v>0</v>
      </c>
      <c r="CW98" s="584">
        <v>0</v>
      </c>
      <c r="CX98" s="584">
        <v>0</v>
      </c>
      <c r="CY98" s="584">
        <v>0</v>
      </c>
      <c r="CZ98" s="584">
        <v>0</v>
      </c>
      <c r="DA98" s="584">
        <v>0</v>
      </c>
      <c r="DB98" s="584">
        <v>0</v>
      </c>
      <c r="DC98" s="584">
        <v>0</v>
      </c>
      <c r="DD98" s="584">
        <v>0</v>
      </c>
      <c r="DE98" s="584">
        <v>0</v>
      </c>
      <c r="DF98" s="584">
        <v>0</v>
      </c>
      <c r="DG98" s="584">
        <v>0</v>
      </c>
      <c r="DH98" s="584">
        <v>0</v>
      </c>
      <c r="DI98" s="584">
        <v>0</v>
      </c>
      <c r="DJ98" s="584">
        <v>0</v>
      </c>
      <c r="DK98" s="584">
        <v>0</v>
      </c>
      <c r="DL98" s="584">
        <v>0</v>
      </c>
      <c r="DM98" s="584">
        <v>0</v>
      </c>
      <c r="DN98" s="584">
        <v>0</v>
      </c>
      <c r="DO98" s="584">
        <v>0</v>
      </c>
      <c r="DP98" s="584">
        <v>0</v>
      </c>
      <c r="DQ98" s="584">
        <v>0</v>
      </c>
      <c r="DR98" s="584">
        <v>0</v>
      </c>
      <c r="DS98" s="584">
        <v>0</v>
      </c>
      <c r="DT98" s="584">
        <v>0</v>
      </c>
      <c r="DU98" s="584">
        <v>0</v>
      </c>
      <c r="DV98" s="584">
        <v>0</v>
      </c>
      <c r="DW98" s="584">
        <v>0</v>
      </c>
      <c r="DX98" s="584">
        <v>0</v>
      </c>
      <c r="DY98" s="584">
        <v>0</v>
      </c>
      <c r="DZ98" s="584">
        <v>0</v>
      </c>
      <c r="EA98" s="1062">
        <v>1.431</v>
      </c>
      <c r="EB98" s="1046">
        <v>0.45</v>
      </c>
      <c r="EC98" s="1093">
        <v>132.51783893985726</v>
      </c>
      <c r="ED98" s="1046">
        <v>0</v>
      </c>
      <c r="EE98" s="1046">
        <v>581.03975535168195</v>
      </c>
      <c r="EF98" s="1046">
        <v>55.44761904761905</v>
      </c>
      <c r="EG98" s="1046">
        <v>0</v>
      </c>
      <c r="EH98" s="1046">
        <v>0</v>
      </c>
      <c r="EI98" s="1046" t="s">
        <v>359</v>
      </c>
      <c r="EJ98" s="1046" t="s">
        <v>420</v>
      </c>
      <c r="EK98" s="1046">
        <v>0</v>
      </c>
      <c r="EL98" s="1046">
        <v>0</v>
      </c>
      <c r="EM98" s="1046">
        <v>0</v>
      </c>
      <c r="EN98" s="1046">
        <v>0</v>
      </c>
      <c r="EO98" s="1046">
        <v>0</v>
      </c>
      <c r="EP98" s="1094">
        <v>350.44552800000002</v>
      </c>
      <c r="EQ98" s="1094">
        <v>147</v>
      </c>
      <c r="ER98" s="1094">
        <v>700.89105600000005</v>
      </c>
      <c r="ES98" s="1095">
        <v>294</v>
      </c>
      <c r="ET98" s="1094">
        <v>1401.7821120000001</v>
      </c>
      <c r="EU98" s="1094">
        <v>588</v>
      </c>
      <c r="EV98" s="1096">
        <v>1.0604</v>
      </c>
      <c r="EW98" s="1097">
        <v>0.15</v>
      </c>
      <c r="EX98" s="1096">
        <v>289.50050968399592</v>
      </c>
      <c r="EY98" s="1096">
        <v>1.5443934760448521</v>
      </c>
      <c r="EZ98" s="1096">
        <v>0</v>
      </c>
      <c r="FA98" s="1096">
        <v>41.31428571428571</v>
      </c>
      <c r="FB98" s="1098">
        <v>0</v>
      </c>
      <c r="FC98" s="1098">
        <v>0</v>
      </c>
      <c r="FD98" s="1098" t="s">
        <v>373</v>
      </c>
      <c r="FE98" s="1098" t="s">
        <v>410</v>
      </c>
      <c r="FF98" s="1098">
        <v>3</v>
      </c>
      <c r="FG98" s="1098">
        <v>0</v>
      </c>
      <c r="FH98" s="1098">
        <v>0</v>
      </c>
      <c r="FI98" s="1098">
        <v>0</v>
      </c>
      <c r="FJ98" s="1098">
        <v>0</v>
      </c>
      <c r="FK98" s="1096">
        <v>175.15863299999995</v>
      </c>
      <c r="FL98" s="1096">
        <v>147</v>
      </c>
      <c r="FM98" s="1096">
        <v>350.3172659999999</v>
      </c>
      <c r="FN98" s="1096">
        <v>294</v>
      </c>
      <c r="FO98" s="1096">
        <v>700.63453199999981</v>
      </c>
      <c r="FP98" s="1099">
        <v>588</v>
      </c>
      <c r="FQ98" s="1064">
        <v>1.5498599999999998</v>
      </c>
      <c r="FR98" s="1065">
        <v>0.15</v>
      </c>
      <c r="FS98" s="1066">
        <v>289.50050968399586</v>
      </c>
      <c r="FT98" s="1066">
        <v>3.2237153637237084</v>
      </c>
      <c r="FU98" s="1065"/>
      <c r="FV98" s="1066">
        <v>77.121746129439771</v>
      </c>
      <c r="FW98" s="1065"/>
      <c r="FX98" s="1065"/>
      <c r="FY98" s="1065" t="s">
        <v>345</v>
      </c>
      <c r="FZ98" s="1065" t="s">
        <v>412</v>
      </c>
      <c r="GA98" s="1065">
        <v>3</v>
      </c>
      <c r="GB98" s="1065"/>
      <c r="GC98" s="1065"/>
      <c r="GD98" s="1065"/>
      <c r="GE98" s="1065"/>
      <c r="GF98" s="1066">
        <v>185.98393704441321</v>
      </c>
      <c r="GG98" s="1066">
        <v>147</v>
      </c>
      <c r="GH98" s="1066">
        <v>371.96787408882642</v>
      </c>
      <c r="GI98" s="1066">
        <v>294</v>
      </c>
      <c r="GJ98" s="1066">
        <v>743.93574817765284</v>
      </c>
      <c r="GK98" s="1066">
        <v>588</v>
      </c>
      <c r="GL98" s="584">
        <v>1.1101000000000001</v>
      </c>
      <c r="GM98" s="584">
        <v>0.13</v>
      </c>
      <c r="GN98" s="584"/>
      <c r="GO98" s="584"/>
      <c r="GP98" s="584"/>
      <c r="GQ98" s="584">
        <v>78.032142857142901</v>
      </c>
      <c r="GR98" s="584"/>
      <c r="GS98" s="584">
        <v>66.2589194699286</v>
      </c>
      <c r="GT98" s="584" t="s">
        <v>351</v>
      </c>
      <c r="GU98" s="584" t="s">
        <v>349</v>
      </c>
      <c r="GV98" s="584">
        <v>2</v>
      </c>
      <c r="GW98" s="584"/>
      <c r="GX98" s="584"/>
      <c r="GY98" s="584"/>
      <c r="GZ98" s="584"/>
      <c r="HA98" s="584">
        <v>93.050803500000001</v>
      </c>
      <c r="HB98" s="584">
        <v>147</v>
      </c>
      <c r="HC98" s="584">
        <v>186.101607</v>
      </c>
      <c r="HD98" s="584">
        <v>294</v>
      </c>
      <c r="HE98" s="584">
        <v>372.203214</v>
      </c>
      <c r="HF98" s="584">
        <v>588</v>
      </c>
      <c r="HG98" s="1100">
        <v>2.19</v>
      </c>
      <c r="HH98" s="1100">
        <v>0.11</v>
      </c>
      <c r="HI98" s="1101">
        <v>0</v>
      </c>
      <c r="HJ98" s="1101">
        <v>0</v>
      </c>
      <c r="HK98" s="1101">
        <v>0</v>
      </c>
      <c r="HL98" s="1101">
        <v>0</v>
      </c>
      <c r="HM98" s="1101">
        <v>75.857142857142861</v>
      </c>
      <c r="HN98" s="1101">
        <v>54.999999999999993</v>
      </c>
      <c r="HO98" s="1101">
        <v>0</v>
      </c>
      <c r="HP98" s="1101">
        <v>0</v>
      </c>
      <c r="HQ98" s="1101">
        <v>3</v>
      </c>
      <c r="HR98" s="1101">
        <v>2.08</v>
      </c>
      <c r="HS98" s="1101">
        <v>1.24</v>
      </c>
      <c r="HT98" s="1101">
        <v>0.3</v>
      </c>
      <c r="HU98" s="1101">
        <v>0.3</v>
      </c>
      <c r="HV98" s="1101">
        <v>87.515760000000014</v>
      </c>
      <c r="HW98" s="1101">
        <v>147</v>
      </c>
      <c r="HX98" s="1101">
        <v>175.03152000000003</v>
      </c>
      <c r="HY98" s="1101">
        <v>294</v>
      </c>
      <c r="HZ98" s="1101">
        <v>350.06304000000006</v>
      </c>
      <c r="IA98" s="1101">
        <v>588</v>
      </c>
      <c r="IB98" s="1062"/>
      <c r="IC98" s="1092"/>
      <c r="ID98" s="1050"/>
      <c r="IE98" s="1050"/>
      <c r="IF98" s="1103"/>
      <c r="IG98" s="1103"/>
      <c r="IH98" s="1103"/>
      <c r="II98" s="1103"/>
      <c r="IJ98" s="1103"/>
      <c r="IK98" s="1103"/>
      <c r="IL98" s="1103"/>
      <c r="IM98" s="1050"/>
      <c r="IN98" s="1050"/>
      <c r="IO98" s="1050"/>
      <c r="IP98" s="1050"/>
      <c r="IQ98" s="1103"/>
      <c r="IR98" s="1103"/>
      <c r="IS98" s="1103"/>
      <c r="IT98" s="1103"/>
      <c r="IU98" s="1103"/>
      <c r="IV98" s="1103"/>
      <c r="JS98" s="1092"/>
      <c r="JU98" s="1050"/>
      <c r="JV98" s="1103"/>
      <c r="JW98" s="1103"/>
      <c r="JX98" s="1103"/>
      <c r="JY98" s="1103"/>
      <c r="JZ98" s="1103"/>
      <c r="KA98" s="1103"/>
      <c r="KB98" s="1103"/>
      <c r="KC98" s="1050"/>
      <c r="KD98" s="1050"/>
      <c r="KE98" s="1050"/>
      <c r="KF98" s="1050"/>
      <c r="KG98" s="1103"/>
      <c r="KH98" s="1103"/>
      <c r="KI98" s="1103"/>
      <c r="KJ98" s="1103"/>
      <c r="KK98" s="1103"/>
      <c r="KL98" s="1103"/>
      <c r="KM98" s="1103"/>
      <c r="KN98" s="1103"/>
    </row>
    <row r="99" spans="2:300">
      <c r="B99" s="1048" t="str">
        <f t="shared" si="3"/>
        <v>O1215</v>
      </c>
      <c r="C99" s="1046">
        <v>12</v>
      </c>
      <c r="D99" s="1092">
        <v>15</v>
      </c>
      <c r="E99" s="584">
        <v>0</v>
      </c>
      <c r="F99" s="584">
        <v>0</v>
      </c>
      <c r="G99" s="584">
        <v>0</v>
      </c>
      <c r="H99" s="584">
        <v>0</v>
      </c>
      <c r="I99" s="584">
        <v>0</v>
      </c>
      <c r="J99" s="584">
        <v>0</v>
      </c>
      <c r="K99" s="584">
        <v>0</v>
      </c>
      <c r="L99" s="584">
        <v>0</v>
      </c>
      <c r="M99" s="584">
        <v>0</v>
      </c>
      <c r="N99" s="584">
        <v>0</v>
      </c>
      <c r="O99" s="584">
        <v>0</v>
      </c>
      <c r="P99" s="584">
        <v>0</v>
      </c>
      <c r="Q99" s="584">
        <v>0</v>
      </c>
      <c r="R99" s="584">
        <v>0</v>
      </c>
      <c r="S99" s="584">
        <v>0</v>
      </c>
      <c r="T99" s="584">
        <v>0</v>
      </c>
      <c r="U99" s="584">
        <v>0</v>
      </c>
      <c r="V99" s="584">
        <v>0</v>
      </c>
      <c r="W99" s="584">
        <v>0</v>
      </c>
      <c r="X99" s="584">
        <v>0</v>
      </c>
      <c r="Y99" s="584">
        <v>0</v>
      </c>
      <c r="Z99" s="584">
        <v>0</v>
      </c>
      <c r="AA99" s="584">
        <v>0</v>
      </c>
      <c r="AB99" s="584">
        <v>0</v>
      </c>
      <c r="AC99" s="584">
        <v>0</v>
      </c>
      <c r="AD99" s="584">
        <v>0</v>
      </c>
      <c r="AE99" s="584">
        <v>0</v>
      </c>
      <c r="AF99" s="584">
        <v>0</v>
      </c>
      <c r="AG99" s="584">
        <v>0</v>
      </c>
      <c r="AH99" s="584">
        <v>0</v>
      </c>
      <c r="AI99" s="584">
        <v>0</v>
      </c>
      <c r="AJ99" s="584">
        <v>0</v>
      </c>
      <c r="AK99" s="584">
        <v>0</v>
      </c>
      <c r="AL99" s="584">
        <v>0</v>
      </c>
      <c r="AM99" s="584">
        <v>0</v>
      </c>
      <c r="AN99" s="584">
        <v>0</v>
      </c>
      <c r="AO99" s="584">
        <v>0</v>
      </c>
      <c r="AP99" s="584">
        <v>0</v>
      </c>
      <c r="AQ99" s="584">
        <v>0</v>
      </c>
      <c r="AR99" s="584">
        <v>0</v>
      </c>
      <c r="AS99" s="584">
        <v>0</v>
      </c>
      <c r="AT99" s="584">
        <v>0</v>
      </c>
      <c r="AU99" s="584">
        <v>0</v>
      </c>
      <c r="AV99" s="584">
        <v>0</v>
      </c>
      <c r="AW99" s="584">
        <v>0</v>
      </c>
      <c r="AX99" s="584">
        <v>0</v>
      </c>
      <c r="AY99" s="584">
        <v>0</v>
      </c>
      <c r="AZ99" s="584">
        <v>0</v>
      </c>
      <c r="BA99" s="584">
        <v>0</v>
      </c>
      <c r="BB99" s="584">
        <v>0</v>
      </c>
      <c r="BC99" s="584">
        <v>0</v>
      </c>
      <c r="BD99" s="584">
        <v>0</v>
      </c>
      <c r="BE99" s="584">
        <v>0</v>
      </c>
      <c r="BF99" s="584">
        <v>0</v>
      </c>
      <c r="BG99" s="584">
        <v>0</v>
      </c>
      <c r="BH99" s="584">
        <v>0</v>
      </c>
      <c r="BI99" s="584">
        <v>0</v>
      </c>
      <c r="BJ99" s="584">
        <v>0</v>
      </c>
      <c r="BK99" s="584">
        <v>0</v>
      </c>
      <c r="BL99" s="584">
        <v>0</v>
      </c>
      <c r="BM99" s="584">
        <v>0</v>
      </c>
      <c r="BN99" s="584">
        <v>0</v>
      </c>
      <c r="BO99" s="584">
        <v>0</v>
      </c>
      <c r="BP99" s="584">
        <v>0</v>
      </c>
      <c r="BQ99" s="584">
        <v>0</v>
      </c>
      <c r="BR99" s="584">
        <v>0</v>
      </c>
      <c r="BS99" s="584">
        <v>0</v>
      </c>
      <c r="BT99" s="584">
        <v>0</v>
      </c>
      <c r="BU99" s="584">
        <v>0</v>
      </c>
      <c r="BV99" s="584">
        <v>0</v>
      </c>
      <c r="BW99" s="584">
        <v>0</v>
      </c>
      <c r="BX99" s="584">
        <v>0</v>
      </c>
      <c r="BY99" s="584">
        <v>0</v>
      </c>
      <c r="BZ99" s="584">
        <v>0</v>
      </c>
      <c r="CA99" s="584">
        <v>0</v>
      </c>
      <c r="CB99" s="584">
        <v>0</v>
      </c>
      <c r="CC99" s="584">
        <v>0</v>
      </c>
      <c r="CD99" s="584">
        <v>0</v>
      </c>
      <c r="CE99" s="584">
        <v>0</v>
      </c>
      <c r="CF99" s="584">
        <v>0</v>
      </c>
      <c r="CG99" s="584">
        <v>0</v>
      </c>
      <c r="CH99" s="584">
        <v>0</v>
      </c>
      <c r="CI99" s="584">
        <v>0</v>
      </c>
      <c r="CJ99" s="584">
        <v>0</v>
      </c>
      <c r="CK99" s="584">
        <v>0</v>
      </c>
      <c r="CL99" s="584">
        <v>0</v>
      </c>
      <c r="CM99" s="584">
        <v>0</v>
      </c>
      <c r="CN99" s="584">
        <v>0</v>
      </c>
      <c r="CO99" s="584">
        <v>0</v>
      </c>
      <c r="CP99" s="584">
        <v>0</v>
      </c>
      <c r="CQ99" s="584">
        <v>0</v>
      </c>
      <c r="CR99" s="584">
        <v>0</v>
      </c>
      <c r="CS99" s="584">
        <v>0</v>
      </c>
      <c r="CT99" s="584">
        <v>0</v>
      </c>
      <c r="CU99" s="584">
        <v>0</v>
      </c>
      <c r="CV99" s="584">
        <v>0</v>
      </c>
      <c r="CW99" s="584">
        <v>0</v>
      </c>
      <c r="CX99" s="584">
        <v>0</v>
      </c>
      <c r="CY99" s="584">
        <v>0</v>
      </c>
      <c r="CZ99" s="584">
        <v>0</v>
      </c>
      <c r="DA99" s="584">
        <v>0</v>
      </c>
      <c r="DB99" s="584">
        <v>0</v>
      </c>
      <c r="DC99" s="584">
        <v>0</v>
      </c>
      <c r="DD99" s="584">
        <v>0</v>
      </c>
      <c r="DE99" s="584">
        <v>0</v>
      </c>
      <c r="DF99" s="584">
        <v>0</v>
      </c>
      <c r="DG99" s="584">
        <v>0</v>
      </c>
      <c r="DH99" s="584">
        <v>0</v>
      </c>
      <c r="DI99" s="584">
        <v>0</v>
      </c>
      <c r="DJ99" s="584">
        <v>0</v>
      </c>
      <c r="DK99" s="584">
        <v>0</v>
      </c>
      <c r="DL99" s="584">
        <v>0</v>
      </c>
      <c r="DM99" s="584">
        <v>0</v>
      </c>
      <c r="DN99" s="584">
        <v>0</v>
      </c>
      <c r="DO99" s="584">
        <v>0</v>
      </c>
      <c r="DP99" s="584">
        <v>0</v>
      </c>
      <c r="DQ99" s="584">
        <v>0</v>
      </c>
      <c r="DR99" s="584">
        <v>0</v>
      </c>
      <c r="DS99" s="584">
        <v>0</v>
      </c>
      <c r="DT99" s="584">
        <v>0</v>
      </c>
      <c r="DU99" s="584">
        <v>0</v>
      </c>
      <c r="DV99" s="584">
        <v>0</v>
      </c>
      <c r="DW99" s="584">
        <v>0</v>
      </c>
      <c r="DX99" s="584">
        <v>0</v>
      </c>
      <c r="DY99" s="584">
        <v>0</v>
      </c>
      <c r="DZ99" s="584">
        <v>0</v>
      </c>
      <c r="EA99" s="1062">
        <v>0</v>
      </c>
      <c r="EB99" s="1046">
        <v>0</v>
      </c>
      <c r="EC99" s="1093">
        <v>0</v>
      </c>
      <c r="ED99" s="1046">
        <v>0</v>
      </c>
      <c r="EE99" s="1046">
        <v>0</v>
      </c>
      <c r="EF99" s="1046">
        <v>0</v>
      </c>
      <c r="EG99" s="1046">
        <v>0</v>
      </c>
      <c r="EH99" s="1046">
        <v>0</v>
      </c>
      <c r="EI99" s="1046">
        <v>0</v>
      </c>
      <c r="EJ99" s="1046">
        <v>0</v>
      </c>
      <c r="EK99" s="1046">
        <v>0</v>
      </c>
      <c r="EL99" s="1046">
        <v>0</v>
      </c>
      <c r="EM99" s="1046">
        <v>0</v>
      </c>
      <c r="EN99" s="1046">
        <v>0</v>
      </c>
      <c r="EO99" s="1046">
        <v>0</v>
      </c>
      <c r="EP99" s="1094">
        <v>0</v>
      </c>
      <c r="EQ99" s="1094">
        <v>0</v>
      </c>
      <c r="ER99" s="1094">
        <v>0</v>
      </c>
      <c r="ES99" s="1095">
        <v>0</v>
      </c>
      <c r="ET99" s="1094">
        <v>0</v>
      </c>
      <c r="EU99" s="1094">
        <v>0</v>
      </c>
      <c r="EV99" s="1096">
        <v>1.1300999999999999</v>
      </c>
      <c r="EW99" s="1097">
        <v>0.15</v>
      </c>
      <c r="EX99" s="1096">
        <v>289.50050968399592</v>
      </c>
      <c r="EY99" s="1096">
        <v>1.5443934760448521</v>
      </c>
      <c r="EZ99" s="1096">
        <v>0</v>
      </c>
      <c r="FA99" s="1096">
        <v>41.879999999999995</v>
      </c>
      <c r="FB99" s="1098">
        <v>0</v>
      </c>
      <c r="FC99" s="1098">
        <v>0</v>
      </c>
      <c r="FD99" s="1098" t="s">
        <v>349</v>
      </c>
      <c r="FE99" s="1098" t="s">
        <v>410</v>
      </c>
      <c r="FF99" s="1098">
        <v>3</v>
      </c>
      <c r="FG99" s="1098">
        <v>0</v>
      </c>
      <c r="FH99" s="1098">
        <v>0</v>
      </c>
      <c r="FI99" s="1098">
        <v>0</v>
      </c>
      <c r="FJ99" s="1098">
        <v>0</v>
      </c>
      <c r="FK99" s="1096">
        <v>187.91969849999998</v>
      </c>
      <c r="FL99" s="1096">
        <v>157.5</v>
      </c>
      <c r="FM99" s="1096">
        <v>375.83939699999996</v>
      </c>
      <c r="FN99" s="1096">
        <v>315</v>
      </c>
      <c r="FO99" s="1096">
        <v>751.67879399999993</v>
      </c>
      <c r="FP99" s="1099">
        <v>630</v>
      </c>
      <c r="FQ99" s="1064">
        <v>1.5611999999999999</v>
      </c>
      <c r="FR99" s="1065">
        <v>0.15</v>
      </c>
      <c r="FS99" s="1066">
        <v>289.50050968399586</v>
      </c>
      <c r="FT99" s="1066">
        <v>3.2237153637237084</v>
      </c>
      <c r="FU99" s="1065"/>
      <c r="FV99" s="1066">
        <v>87.298731835276229</v>
      </c>
      <c r="FW99" s="1065"/>
      <c r="FX99" s="1065"/>
      <c r="FY99" s="1065" t="s">
        <v>343</v>
      </c>
      <c r="FZ99" s="1065" t="s">
        <v>406</v>
      </c>
      <c r="GA99" s="1065">
        <v>3</v>
      </c>
      <c r="GB99" s="1065"/>
      <c r="GC99" s="1065"/>
      <c r="GD99" s="1065"/>
      <c r="GE99" s="1065"/>
      <c r="GF99" s="1066">
        <v>203.7611343159985</v>
      </c>
      <c r="GG99" s="1066">
        <v>157.5</v>
      </c>
      <c r="GH99" s="1066">
        <v>407.52226863199701</v>
      </c>
      <c r="GI99" s="1066">
        <v>315</v>
      </c>
      <c r="GJ99" s="1066">
        <v>815.04453726399402</v>
      </c>
      <c r="GK99" s="1066">
        <v>630</v>
      </c>
      <c r="GL99" s="584">
        <v>1.1201000000000001</v>
      </c>
      <c r="GM99" s="584">
        <v>0.13</v>
      </c>
      <c r="GN99" s="584"/>
      <c r="GO99" s="584"/>
      <c r="GP99" s="584"/>
      <c r="GQ99" s="584">
        <v>84.655000000000001</v>
      </c>
      <c r="GR99" s="584"/>
      <c r="GS99" s="584">
        <v>66.2589194699286</v>
      </c>
      <c r="GT99" s="584" t="s">
        <v>349</v>
      </c>
      <c r="GU99" s="584" t="s">
        <v>347</v>
      </c>
      <c r="GV99" s="584">
        <v>2</v>
      </c>
      <c r="GW99" s="584"/>
      <c r="GX99" s="584"/>
      <c r="GY99" s="584"/>
      <c r="GZ99" s="584"/>
      <c r="HA99" s="584">
        <v>102.62094974999999</v>
      </c>
      <c r="HB99" s="584">
        <v>157.5</v>
      </c>
      <c r="HC99" s="584">
        <v>205.24189949999999</v>
      </c>
      <c r="HD99" s="584">
        <v>315</v>
      </c>
      <c r="HE99" s="584">
        <v>410.48379899999998</v>
      </c>
      <c r="HF99" s="584">
        <v>630</v>
      </c>
      <c r="HG99" s="1100">
        <v>2.35</v>
      </c>
      <c r="HH99" s="1100">
        <v>0.11</v>
      </c>
      <c r="HI99" s="1101">
        <v>0</v>
      </c>
      <c r="HJ99" s="1101">
        <v>0</v>
      </c>
      <c r="HK99" s="1101">
        <v>0</v>
      </c>
      <c r="HL99" s="1101">
        <v>0</v>
      </c>
      <c r="HM99" s="1101">
        <v>78.959999999999994</v>
      </c>
      <c r="HN99" s="1101">
        <v>54.999999999999993</v>
      </c>
      <c r="HO99" s="1101">
        <v>0</v>
      </c>
      <c r="HP99" s="1101">
        <v>0</v>
      </c>
      <c r="HQ99" s="1101">
        <v>3</v>
      </c>
      <c r="HR99" s="1101">
        <v>2.2400000000000002</v>
      </c>
      <c r="HS99" s="1101">
        <v>1.4</v>
      </c>
      <c r="HT99" s="1101">
        <v>0.3</v>
      </c>
      <c r="HU99" s="1101">
        <v>0.28000000000000003</v>
      </c>
      <c r="HV99" s="1101">
        <v>95.136641999999995</v>
      </c>
      <c r="HW99" s="1101">
        <v>157.5</v>
      </c>
      <c r="HX99" s="1101">
        <v>190.27328399999999</v>
      </c>
      <c r="HY99" s="1101">
        <v>315</v>
      </c>
      <c r="HZ99" s="1101">
        <v>380.54656799999998</v>
      </c>
      <c r="IA99" s="1101">
        <v>630</v>
      </c>
      <c r="IB99" s="1062"/>
      <c r="IC99" s="1092"/>
      <c r="ID99" s="1050"/>
      <c r="IE99" s="1050"/>
      <c r="IF99" s="1103"/>
      <c r="IG99" s="1103"/>
      <c r="IH99" s="1103"/>
      <c r="II99" s="1103"/>
      <c r="IJ99" s="1103"/>
      <c r="IK99" s="1103"/>
      <c r="IL99" s="1103"/>
      <c r="IM99" s="1050"/>
      <c r="IN99" s="1050"/>
      <c r="IO99" s="1050"/>
      <c r="IP99" s="1050"/>
      <c r="IQ99" s="1103"/>
      <c r="IR99" s="1103"/>
      <c r="IS99" s="1103"/>
      <c r="IT99" s="1103"/>
      <c r="IU99" s="1103"/>
      <c r="IV99" s="1103"/>
      <c r="JS99" s="1092"/>
      <c r="JU99" s="1050"/>
      <c r="JV99" s="1103"/>
      <c r="JW99" s="1103"/>
      <c r="JX99" s="1103"/>
      <c r="JY99" s="1103"/>
      <c r="JZ99" s="1103"/>
      <c r="KA99" s="1103"/>
      <c r="KB99" s="1103"/>
      <c r="KC99" s="1050"/>
      <c r="KD99" s="1050"/>
      <c r="KE99" s="1050"/>
      <c r="KF99" s="1050"/>
      <c r="KG99" s="1103"/>
      <c r="KH99" s="1103"/>
      <c r="KI99" s="1103"/>
      <c r="KJ99" s="1103"/>
      <c r="KK99" s="1103"/>
      <c r="KL99" s="1103"/>
      <c r="KM99" s="1103"/>
      <c r="KN99" s="1103"/>
    </row>
    <row r="100" spans="2:300">
      <c r="B100" s="1048" t="str">
        <f t="shared" si="3"/>
        <v>O1216</v>
      </c>
      <c r="C100" s="1046">
        <v>12</v>
      </c>
      <c r="D100" s="1092">
        <v>16</v>
      </c>
      <c r="E100" s="584">
        <v>0</v>
      </c>
      <c r="F100" s="584">
        <v>0</v>
      </c>
      <c r="G100" s="584">
        <v>0</v>
      </c>
      <c r="H100" s="584">
        <v>0</v>
      </c>
      <c r="I100" s="584">
        <v>0</v>
      </c>
      <c r="J100" s="584">
        <v>0</v>
      </c>
      <c r="K100" s="584">
        <v>0</v>
      </c>
      <c r="L100" s="584">
        <v>0</v>
      </c>
      <c r="M100" s="584">
        <v>0</v>
      </c>
      <c r="N100" s="584">
        <v>0</v>
      </c>
      <c r="O100" s="584">
        <v>0</v>
      </c>
      <c r="P100" s="584">
        <v>0</v>
      </c>
      <c r="Q100" s="584">
        <v>0</v>
      </c>
      <c r="R100" s="584">
        <v>0</v>
      </c>
      <c r="S100" s="584">
        <v>0</v>
      </c>
      <c r="T100" s="584">
        <v>0</v>
      </c>
      <c r="U100" s="584">
        <v>0</v>
      </c>
      <c r="V100" s="584">
        <v>0</v>
      </c>
      <c r="W100" s="584">
        <v>0</v>
      </c>
      <c r="X100" s="584">
        <v>0</v>
      </c>
      <c r="Y100" s="584">
        <v>0</v>
      </c>
      <c r="Z100" s="584">
        <v>0</v>
      </c>
      <c r="AA100" s="584">
        <v>0</v>
      </c>
      <c r="AB100" s="584">
        <v>0</v>
      </c>
      <c r="AC100" s="584">
        <v>0</v>
      </c>
      <c r="AD100" s="584">
        <v>0</v>
      </c>
      <c r="AE100" s="584">
        <v>0</v>
      </c>
      <c r="AF100" s="584">
        <v>0</v>
      </c>
      <c r="AG100" s="584">
        <v>0</v>
      </c>
      <c r="AH100" s="584">
        <v>0</v>
      </c>
      <c r="AI100" s="584">
        <v>0</v>
      </c>
      <c r="AJ100" s="584">
        <v>0</v>
      </c>
      <c r="AK100" s="584">
        <v>0</v>
      </c>
      <c r="AL100" s="584">
        <v>0</v>
      </c>
      <c r="AM100" s="584">
        <v>0</v>
      </c>
      <c r="AN100" s="584">
        <v>0</v>
      </c>
      <c r="AO100" s="584">
        <v>197.65743749999999</v>
      </c>
      <c r="AP100" s="584">
        <v>168</v>
      </c>
      <c r="AQ100" s="584">
        <v>270.49743749999999</v>
      </c>
      <c r="AR100" s="584">
        <v>352.8</v>
      </c>
      <c r="AS100" s="584">
        <v>177.95099999999999</v>
      </c>
      <c r="AT100" s="584">
        <v>739.2</v>
      </c>
      <c r="AU100" s="584">
        <v>0</v>
      </c>
      <c r="AV100" s="584">
        <v>0</v>
      </c>
      <c r="AW100" s="584">
        <v>0</v>
      </c>
      <c r="AX100" s="584">
        <v>0</v>
      </c>
      <c r="AY100" s="584">
        <v>0</v>
      </c>
      <c r="AZ100" s="584">
        <v>0</v>
      </c>
      <c r="BA100" s="584">
        <v>0</v>
      </c>
      <c r="BB100" s="584">
        <v>0</v>
      </c>
      <c r="BC100" s="584">
        <v>0</v>
      </c>
      <c r="BD100" s="584">
        <v>0</v>
      </c>
      <c r="BE100" s="584">
        <v>0</v>
      </c>
      <c r="BF100" s="584">
        <v>0</v>
      </c>
      <c r="BG100" s="584">
        <v>0</v>
      </c>
      <c r="BH100" s="584">
        <v>0</v>
      </c>
      <c r="BI100" s="584">
        <v>0</v>
      </c>
      <c r="BJ100" s="584">
        <v>0</v>
      </c>
      <c r="BK100" s="584">
        <v>0</v>
      </c>
      <c r="BL100" s="584">
        <v>0</v>
      </c>
      <c r="BM100" s="584">
        <v>0</v>
      </c>
      <c r="BN100" s="584">
        <v>0</v>
      </c>
      <c r="BO100" s="584">
        <v>0</v>
      </c>
      <c r="BP100" s="584">
        <v>0</v>
      </c>
      <c r="BQ100" s="584">
        <v>0</v>
      </c>
      <c r="BR100" s="584">
        <v>0</v>
      </c>
      <c r="BS100" s="584">
        <v>0</v>
      </c>
      <c r="BT100" s="584">
        <v>0</v>
      </c>
      <c r="BU100" s="584">
        <v>0</v>
      </c>
      <c r="BV100" s="584">
        <v>0</v>
      </c>
      <c r="BW100" s="584">
        <v>0</v>
      </c>
      <c r="BX100" s="584">
        <v>0</v>
      </c>
      <c r="BY100" s="584">
        <v>0</v>
      </c>
      <c r="BZ100" s="584">
        <v>0</v>
      </c>
      <c r="CA100" s="584">
        <v>0</v>
      </c>
      <c r="CB100" s="584">
        <v>0</v>
      </c>
      <c r="CC100" s="584">
        <v>0</v>
      </c>
      <c r="CD100" s="584">
        <v>0</v>
      </c>
      <c r="CE100" s="584">
        <v>0</v>
      </c>
      <c r="CF100" s="584">
        <v>0</v>
      </c>
      <c r="CG100" s="584">
        <v>0</v>
      </c>
      <c r="CH100" s="584">
        <v>0</v>
      </c>
      <c r="CI100" s="584">
        <v>0</v>
      </c>
      <c r="CJ100" s="584">
        <v>0</v>
      </c>
      <c r="CK100" s="584">
        <v>0</v>
      </c>
      <c r="CL100" s="584">
        <v>0</v>
      </c>
      <c r="CM100" s="584">
        <v>0</v>
      </c>
      <c r="CN100" s="584">
        <v>0</v>
      </c>
      <c r="CO100" s="584">
        <v>0</v>
      </c>
      <c r="CP100" s="584">
        <v>0</v>
      </c>
      <c r="CQ100" s="584">
        <v>0</v>
      </c>
      <c r="CR100" s="584">
        <v>0</v>
      </c>
      <c r="CS100" s="584">
        <v>0</v>
      </c>
      <c r="CT100" s="584">
        <v>0</v>
      </c>
      <c r="CU100" s="584">
        <v>0</v>
      </c>
      <c r="CV100" s="584">
        <v>0</v>
      </c>
      <c r="CW100" s="584">
        <v>0</v>
      </c>
      <c r="CX100" s="584">
        <v>0</v>
      </c>
      <c r="CY100" s="584">
        <v>0</v>
      </c>
      <c r="CZ100" s="584">
        <v>0</v>
      </c>
      <c r="DA100" s="584">
        <v>0</v>
      </c>
      <c r="DB100" s="584">
        <v>0</v>
      </c>
      <c r="DC100" s="584">
        <v>0</v>
      </c>
      <c r="DD100" s="584">
        <v>0</v>
      </c>
      <c r="DE100" s="584">
        <v>0</v>
      </c>
      <c r="DF100" s="584">
        <v>0</v>
      </c>
      <c r="DG100" s="584">
        <v>0</v>
      </c>
      <c r="DH100" s="584">
        <v>0</v>
      </c>
      <c r="DI100" s="584">
        <v>0</v>
      </c>
      <c r="DJ100" s="584">
        <v>0</v>
      </c>
      <c r="DK100" s="584">
        <v>0</v>
      </c>
      <c r="DL100" s="584">
        <v>0</v>
      </c>
      <c r="DM100" s="584">
        <v>0</v>
      </c>
      <c r="DN100" s="584">
        <v>0</v>
      </c>
      <c r="DO100" s="584">
        <v>0</v>
      </c>
      <c r="DP100" s="584">
        <v>0</v>
      </c>
      <c r="DQ100" s="584">
        <v>0</v>
      </c>
      <c r="DR100" s="584">
        <v>0</v>
      </c>
      <c r="DS100" s="584">
        <v>0</v>
      </c>
      <c r="DT100" s="584">
        <v>0</v>
      </c>
      <c r="DU100" s="584">
        <v>0</v>
      </c>
      <c r="DV100" s="584">
        <v>0</v>
      </c>
      <c r="DW100" s="584">
        <v>0</v>
      </c>
      <c r="DX100" s="584">
        <v>0</v>
      </c>
      <c r="DY100" s="584">
        <v>0</v>
      </c>
      <c r="DZ100" s="584">
        <v>0</v>
      </c>
      <c r="EA100" s="1062">
        <v>0</v>
      </c>
      <c r="EB100" s="1046">
        <v>0</v>
      </c>
      <c r="EC100" s="1093">
        <v>0</v>
      </c>
      <c r="ED100" s="1046">
        <v>0</v>
      </c>
      <c r="EE100" s="1046">
        <v>0</v>
      </c>
      <c r="EF100" s="1046">
        <v>0</v>
      </c>
      <c r="EG100" s="1046">
        <v>0</v>
      </c>
      <c r="EH100" s="1046">
        <v>0</v>
      </c>
      <c r="EI100" s="1046">
        <v>0</v>
      </c>
      <c r="EJ100" s="1046">
        <v>0</v>
      </c>
      <c r="EK100" s="1046">
        <v>0</v>
      </c>
      <c r="EL100" s="1046">
        <v>0</v>
      </c>
      <c r="EM100" s="1046">
        <v>0</v>
      </c>
      <c r="EN100" s="1046">
        <v>0</v>
      </c>
      <c r="EO100" s="1046">
        <v>0</v>
      </c>
      <c r="EP100" s="1094">
        <v>0</v>
      </c>
      <c r="EQ100" s="1094">
        <v>0</v>
      </c>
      <c r="ER100" s="1094">
        <v>0</v>
      </c>
      <c r="ES100" s="1095">
        <v>0</v>
      </c>
      <c r="ET100" s="1094">
        <v>0</v>
      </c>
      <c r="EU100" s="1094">
        <v>0</v>
      </c>
      <c r="EV100" s="1096">
        <v>1.1300999999999999</v>
      </c>
      <c r="EW100" s="1097">
        <v>0.15</v>
      </c>
      <c r="EX100" s="1096">
        <v>289.50050968399592</v>
      </c>
      <c r="EY100" s="1096">
        <v>1.5443934760448521</v>
      </c>
      <c r="EZ100" s="1096">
        <v>0</v>
      </c>
      <c r="FA100" s="1096">
        <v>46.84375</v>
      </c>
      <c r="FB100" s="1098">
        <v>0</v>
      </c>
      <c r="FC100" s="1098">
        <v>0</v>
      </c>
      <c r="FD100" s="1098" t="s">
        <v>349</v>
      </c>
      <c r="FE100" s="1098" t="s">
        <v>396</v>
      </c>
      <c r="FF100" s="1098">
        <v>3</v>
      </c>
      <c r="FG100" s="1098">
        <v>0</v>
      </c>
      <c r="FH100" s="1098">
        <v>0</v>
      </c>
      <c r="FI100" s="1098">
        <v>0</v>
      </c>
      <c r="FJ100" s="1098">
        <v>0</v>
      </c>
      <c r="FK100" s="1096">
        <v>202.785009</v>
      </c>
      <c r="FL100" s="1096">
        <v>168</v>
      </c>
      <c r="FM100" s="1096">
        <v>405.570018</v>
      </c>
      <c r="FN100" s="1096">
        <v>336</v>
      </c>
      <c r="FO100" s="1096">
        <v>811.14003600000001</v>
      </c>
      <c r="FP100" s="1099">
        <v>672</v>
      </c>
      <c r="FQ100" s="1064">
        <v>1.57226</v>
      </c>
      <c r="FR100" s="1065">
        <v>0.15</v>
      </c>
      <c r="FS100" s="1066">
        <v>289.50050968399586</v>
      </c>
      <c r="FT100" s="1066">
        <v>3.2237153637237084</v>
      </c>
      <c r="FU100" s="1065"/>
      <c r="FV100" s="1066">
        <v>92.525694981609504</v>
      </c>
      <c r="FW100" s="1065"/>
      <c r="FX100" s="1065"/>
      <c r="FY100" s="1065" t="s">
        <v>341</v>
      </c>
      <c r="FZ100" s="1065" t="s">
        <v>389</v>
      </c>
      <c r="GA100" s="1065">
        <v>3</v>
      </c>
      <c r="GB100" s="1065"/>
      <c r="GC100" s="1065"/>
      <c r="GD100" s="1065"/>
      <c r="GE100" s="1065"/>
      <c r="GF100" s="1066">
        <v>219.80648234341047</v>
      </c>
      <c r="GG100" s="1066">
        <v>168</v>
      </c>
      <c r="GH100" s="1066">
        <v>439.61296468682093</v>
      </c>
      <c r="GI100" s="1066">
        <v>336</v>
      </c>
      <c r="GJ100" s="1066">
        <v>879.22592937364186</v>
      </c>
      <c r="GK100" s="1066">
        <v>672</v>
      </c>
      <c r="GL100" s="584">
        <v>1.1379999999999999</v>
      </c>
      <c r="GM100" s="584">
        <v>0.13</v>
      </c>
      <c r="GN100" s="584"/>
      <c r="GO100" s="584"/>
      <c r="GP100" s="584"/>
      <c r="GQ100" s="584">
        <v>104.51875</v>
      </c>
      <c r="GR100" s="584"/>
      <c r="GS100" s="584">
        <v>66.2589194699286</v>
      </c>
      <c r="GT100" s="584" t="s">
        <v>347</v>
      </c>
      <c r="GU100" s="584" t="s">
        <v>343</v>
      </c>
      <c r="GV100" s="584">
        <v>2</v>
      </c>
      <c r="GW100" s="584"/>
      <c r="GX100" s="584"/>
      <c r="GY100" s="584"/>
      <c r="GZ100" s="584"/>
      <c r="HA100" s="584">
        <v>118.815789</v>
      </c>
      <c r="HB100" s="584">
        <v>168</v>
      </c>
      <c r="HC100" s="584">
        <v>237.63157799999999</v>
      </c>
      <c r="HD100" s="584">
        <v>336</v>
      </c>
      <c r="HE100" s="584">
        <v>475.26315599999998</v>
      </c>
      <c r="HF100" s="584">
        <v>672</v>
      </c>
      <c r="HG100" s="1100">
        <v>0</v>
      </c>
      <c r="HH100" s="1100">
        <v>0</v>
      </c>
      <c r="HI100" s="1101">
        <v>0</v>
      </c>
      <c r="HJ100" s="1101">
        <v>0</v>
      </c>
      <c r="HK100" s="1101">
        <v>0</v>
      </c>
      <c r="HL100" s="1101">
        <v>0</v>
      </c>
      <c r="HM100" s="1101">
        <v>0</v>
      </c>
      <c r="HN100" s="1101">
        <v>0</v>
      </c>
      <c r="HO100" s="1101">
        <v>0</v>
      </c>
      <c r="HP100" s="1101">
        <v>0</v>
      </c>
      <c r="HQ100" s="1101">
        <v>0</v>
      </c>
      <c r="HR100" s="1101">
        <v>0</v>
      </c>
      <c r="HS100" s="1101">
        <v>0</v>
      </c>
      <c r="HT100" s="1101">
        <v>0</v>
      </c>
      <c r="HU100" s="1101">
        <v>0</v>
      </c>
      <c r="HV100" s="1101">
        <v>0</v>
      </c>
      <c r="HW100" s="1101">
        <v>0</v>
      </c>
      <c r="HX100" s="1101">
        <v>0</v>
      </c>
      <c r="HY100" s="1101">
        <v>0</v>
      </c>
      <c r="HZ100" s="1101">
        <v>0</v>
      </c>
      <c r="IA100" s="1101">
        <v>0</v>
      </c>
      <c r="IB100" s="1062"/>
      <c r="IC100" s="1092"/>
      <c r="ID100" s="1050"/>
      <c r="IE100" s="1050"/>
      <c r="IF100" s="1103"/>
      <c r="IG100" s="1103"/>
      <c r="IH100" s="1103"/>
      <c r="II100" s="1103"/>
      <c r="IJ100" s="1103"/>
      <c r="IK100" s="1103"/>
      <c r="IL100" s="1103"/>
      <c r="IM100" s="1050"/>
      <c r="IN100" s="1050"/>
      <c r="IO100" s="1050"/>
      <c r="IP100" s="1050"/>
      <c r="IQ100" s="1103"/>
      <c r="IR100" s="1103"/>
      <c r="IS100" s="1103"/>
      <c r="IT100" s="1103"/>
      <c r="IU100" s="1103"/>
      <c r="IV100" s="1103"/>
      <c r="JS100" s="1092"/>
      <c r="JU100" s="1050"/>
      <c r="JV100" s="1103"/>
      <c r="JW100" s="1103"/>
      <c r="JX100" s="1103"/>
      <c r="JY100" s="1103"/>
      <c r="JZ100" s="1103"/>
      <c r="KA100" s="1103"/>
      <c r="KB100" s="1103"/>
      <c r="KC100" s="1050"/>
      <c r="KD100" s="1050"/>
      <c r="KE100" s="1050"/>
      <c r="KF100" s="1050"/>
      <c r="KG100" s="1103"/>
      <c r="KH100" s="1103"/>
      <c r="KI100" s="1103"/>
      <c r="KJ100" s="1103"/>
      <c r="KK100" s="1103"/>
      <c r="KL100" s="1103"/>
      <c r="KM100" s="1103"/>
      <c r="KN100" s="1103"/>
    </row>
    <row r="101" spans="2:300">
      <c r="B101" s="1048" t="str">
        <f>"R"&amp;C101&amp;D101</f>
        <v>R55</v>
      </c>
      <c r="C101" s="1092">
        <v>5</v>
      </c>
      <c r="D101" s="1092">
        <v>5</v>
      </c>
      <c r="E101" s="584">
        <v>0.2</v>
      </c>
      <c r="F101" s="584">
        <v>0.2</v>
      </c>
      <c r="G101" s="584">
        <v>480</v>
      </c>
      <c r="H101" s="584">
        <v>11.8</v>
      </c>
      <c r="I101" s="584">
        <v>0</v>
      </c>
      <c r="J101" s="584">
        <v>0</v>
      </c>
      <c r="K101" s="584">
        <v>0</v>
      </c>
      <c r="L101" s="584">
        <v>0</v>
      </c>
      <c r="M101" s="584">
        <v>0</v>
      </c>
      <c r="N101" s="584">
        <v>0</v>
      </c>
      <c r="O101" s="584">
        <v>0</v>
      </c>
      <c r="P101" s="584">
        <v>0</v>
      </c>
      <c r="Q101" s="584">
        <v>0</v>
      </c>
      <c r="R101" s="584">
        <v>0</v>
      </c>
      <c r="S101" s="584">
        <v>0</v>
      </c>
      <c r="T101" s="584">
        <v>98.272437499999995</v>
      </c>
      <c r="U101" s="584">
        <v>15.625</v>
      </c>
      <c r="V101" s="584">
        <v>138.6699375</v>
      </c>
      <c r="W101" s="584">
        <v>32.8125</v>
      </c>
      <c r="X101" s="584">
        <v>160.24100000000001</v>
      </c>
      <c r="Y101" s="584">
        <v>68.75</v>
      </c>
      <c r="Z101" s="584">
        <v>0.2</v>
      </c>
      <c r="AA101" s="584">
        <v>0.2</v>
      </c>
      <c r="AB101" s="584">
        <v>480</v>
      </c>
      <c r="AC101" s="584">
        <v>18</v>
      </c>
      <c r="AD101" s="584">
        <v>0</v>
      </c>
      <c r="AE101" s="584">
        <v>0</v>
      </c>
      <c r="AF101" s="584">
        <v>0</v>
      </c>
      <c r="AG101" s="584">
        <v>0</v>
      </c>
      <c r="AH101" s="584">
        <v>0</v>
      </c>
      <c r="AI101" s="584">
        <v>0</v>
      </c>
      <c r="AJ101" s="584">
        <v>0</v>
      </c>
      <c r="AK101" s="584">
        <v>0</v>
      </c>
      <c r="AL101" s="584">
        <v>0</v>
      </c>
      <c r="AM101" s="584">
        <v>0</v>
      </c>
      <c r="AN101" s="584">
        <v>0</v>
      </c>
      <c r="AO101" s="584">
        <v>98.272437499999995</v>
      </c>
      <c r="AP101" s="584">
        <v>15.625</v>
      </c>
      <c r="AQ101" s="584">
        <v>138.6699375</v>
      </c>
      <c r="AR101" s="584">
        <v>32.8125</v>
      </c>
      <c r="AS101" s="584">
        <v>160.24100000000001</v>
      </c>
      <c r="AT101" s="584">
        <v>68.75</v>
      </c>
      <c r="AU101" s="584">
        <v>0.3</v>
      </c>
      <c r="AV101" s="584">
        <v>0.25</v>
      </c>
      <c r="AW101" s="584">
        <v>444.230769230769</v>
      </c>
      <c r="AX101" s="584">
        <v>17.732267732267701</v>
      </c>
      <c r="AY101" s="584">
        <v>0</v>
      </c>
      <c r="AZ101" s="584">
        <v>0</v>
      </c>
      <c r="BA101" s="584">
        <v>0</v>
      </c>
      <c r="BB101" s="584">
        <v>0</v>
      </c>
      <c r="BC101" s="584">
        <v>0</v>
      </c>
      <c r="BD101" s="584">
        <v>0</v>
      </c>
      <c r="BE101" s="584">
        <v>0</v>
      </c>
      <c r="BF101" s="584">
        <v>0</v>
      </c>
      <c r="BG101" s="584">
        <v>0.3</v>
      </c>
      <c r="BH101" s="584">
        <v>0</v>
      </c>
      <c r="BI101" s="584">
        <v>0.45</v>
      </c>
      <c r="BJ101" s="584">
        <v>99.891419642857201</v>
      </c>
      <c r="BK101" s="584">
        <v>15.625</v>
      </c>
      <c r="BL101" s="584">
        <v>136.44684375</v>
      </c>
      <c r="BM101" s="584">
        <v>32.8125</v>
      </c>
      <c r="BN101" s="584">
        <v>147.58601785714299</v>
      </c>
      <c r="BO101" s="584">
        <v>68.75</v>
      </c>
      <c r="BP101" s="584">
        <v>0.2</v>
      </c>
      <c r="BQ101" s="584">
        <v>0.125</v>
      </c>
      <c r="BR101" s="584">
        <v>371.01211288711301</v>
      </c>
      <c r="BS101" s="584">
        <v>12.0706793206793</v>
      </c>
      <c r="BT101" s="584">
        <v>0</v>
      </c>
      <c r="BU101" s="584">
        <v>0</v>
      </c>
      <c r="BV101" s="584">
        <v>0</v>
      </c>
      <c r="BW101" s="584">
        <v>0</v>
      </c>
      <c r="BX101" s="584">
        <v>0</v>
      </c>
      <c r="BY101" s="584">
        <v>0</v>
      </c>
      <c r="BZ101" s="584">
        <v>0</v>
      </c>
      <c r="CA101" s="584">
        <v>0.2</v>
      </c>
      <c r="CB101" s="584">
        <v>0.2</v>
      </c>
      <c r="CC101" s="584">
        <v>0.45</v>
      </c>
      <c r="CD101" s="584">
        <v>0.45</v>
      </c>
      <c r="CE101" s="584">
        <v>97.73</v>
      </c>
      <c r="CF101" s="584">
        <v>15.625</v>
      </c>
      <c r="CG101" s="584">
        <v>127.7775</v>
      </c>
      <c r="CH101" s="584">
        <v>32.8125</v>
      </c>
      <c r="CI101" s="584">
        <v>116.5540625</v>
      </c>
      <c r="CJ101" s="584">
        <v>68.75</v>
      </c>
      <c r="CK101" s="584">
        <v>0.25</v>
      </c>
      <c r="CL101" s="584">
        <v>0.14499999999999999</v>
      </c>
      <c r="CM101" s="584">
        <v>379.000999000999</v>
      </c>
      <c r="CN101" s="584">
        <v>13.8813036963037</v>
      </c>
      <c r="CO101" s="584">
        <v>0</v>
      </c>
      <c r="CP101" s="584">
        <v>0</v>
      </c>
      <c r="CQ101" s="584">
        <v>0</v>
      </c>
      <c r="CR101" s="584">
        <v>0</v>
      </c>
      <c r="CS101" s="584">
        <v>0</v>
      </c>
      <c r="CT101" s="584">
        <v>0</v>
      </c>
      <c r="CU101" s="584">
        <v>0</v>
      </c>
      <c r="CV101" s="584">
        <v>0</v>
      </c>
      <c r="CW101" s="584">
        <v>0.25</v>
      </c>
      <c r="CX101" s="584">
        <v>0</v>
      </c>
      <c r="CY101" s="584">
        <v>0.45</v>
      </c>
      <c r="CZ101" s="584">
        <v>95.864599999999996</v>
      </c>
      <c r="DA101" s="584">
        <v>15.625</v>
      </c>
      <c r="DB101" s="584">
        <v>126.795225</v>
      </c>
      <c r="DC101" s="584">
        <v>32.8125</v>
      </c>
      <c r="DD101" s="584">
        <v>128.0796</v>
      </c>
      <c r="DE101" s="584">
        <v>68.75</v>
      </c>
      <c r="DF101" s="584">
        <v>0.35</v>
      </c>
      <c r="DG101" s="584">
        <v>0.2</v>
      </c>
      <c r="DH101" s="584">
        <v>381.08204295704297</v>
      </c>
      <c r="DI101" s="584">
        <v>17.6183598901099</v>
      </c>
      <c r="DJ101" s="584">
        <v>300</v>
      </c>
      <c r="DK101" s="584">
        <v>0</v>
      </c>
      <c r="DL101" s="584">
        <v>0</v>
      </c>
      <c r="DM101" s="584">
        <v>0</v>
      </c>
      <c r="DN101" s="584">
        <v>0</v>
      </c>
      <c r="DO101" s="584">
        <v>0</v>
      </c>
      <c r="DP101" s="584">
        <v>0</v>
      </c>
      <c r="DQ101" s="584">
        <v>0</v>
      </c>
      <c r="DR101" s="584">
        <v>0.35</v>
      </c>
      <c r="DS101" s="584">
        <v>0</v>
      </c>
      <c r="DT101" s="584">
        <v>2.4</v>
      </c>
      <c r="DU101" s="584">
        <v>103.27025</v>
      </c>
      <c r="DV101" s="584">
        <v>15.625</v>
      </c>
      <c r="DW101" s="584">
        <v>175.56399999999999</v>
      </c>
      <c r="DX101" s="584">
        <v>32.8125</v>
      </c>
      <c r="DY101" s="584">
        <v>204.37649999999999</v>
      </c>
      <c r="DZ101" s="584">
        <v>68.75</v>
      </c>
      <c r="EA101" s="1062">
        <v>0.45960000000000001</v>
      </c>
      <c r="EB101" s="1046">
        <v>0.2</v>
      </c>
      <c r="EC101" s="1093">
        <v>132.51783893985726</v>
      </c>
      <c r="ED101" s="1046">
        <v>0</v>
      </c>
      <c r="EE101" s="1046">
        <v>285.42303771661568</v>
      </c>
      <c r="EF101" s="1046">
        <v>12.4</v>
      </c>
      <c r="EG101" s="1046">
        <v>0</v>
      </c>
      <c r="EH101" s="1046">
        <v>0</v>
      </c>
      <c r="EI101" s="1046" t="s">
        <v>504</v>
      </c>
      <c r="EJ101" s="1046" t="s">
        <v>520</v>
      </c>
      <c r="EK101" s="1046">
        <v>0</v>
      </c>
      <c r="EL101" s="1046">
        <v>0</v>
      </c>
      <c r="EM101" s="1046">
        <v>0</v>
      </c>
      <c r="EN101" s="1046">
        <v>0</v>
      </c>
      <c r="EO101" s="1046">
        <v>0</v>
      </c>
      <c r="EP101" s="1094">
        <v>29.510275</v>
      </c>
      <c r="EQ101" s="1094">
        <v>15.625</v>
      </c>
      <c r="ER101" s="1094">
        <v>59.02055</v>
      </c>
      <c r="ES101" s="1095">
        <v>31.25</v>
      </c>
      <c r="ET101" s="1094">
        <v>118.0411</v>
      </c>
      <c r="EU101" s="1094">
        <v>62.5</v>
      </c>
      <c r="EV101" s="1096">
        <v>0.45339999999999997</v>
      </c>
      <c r="EW101" s="1097">
        <v>0.15</v>
      </c>
      <c r="EX101" s="1096">
        <v>289.50050968399592</v>
      </c>
      <c r="EY101" s="1096">
        <v>1.5443934760448521</v>
      </c>
      <c r="EZ101" s="1096">
        <v>0</v>
      </c>
      <c r="FA101" s="1096">
        <v>16.12</v>
      </c>
      <c r="FB101" s="1098">
        <v>0</v>
      </c>
      <c r="FC101" s="1098">
        <v>0</v>
      </c>
      <c r="FD101" s="1098" t="s">
        <v>490</v>
      </c>
      <c r="FE101" s="1098" t="s">
        <v>490</v>
      </c>
      <c r="FF101" s="1098">
        <v>1</v>
      </c>
      <c r="FG101" s="1098">
        <v>0</v>
      </c>
      <c r="FH101" s="1098">
        <v>0</v>
      </c>
      <c r="FI101" s="1098">
        <v>0</v>
      </c>
      <c r="FJ101" s="1098">
        <v>0</v>
      </c>
      <c r="FK101" s="1096">
        <v>22.645548125000001</v>
      </c>
      <c r="FL101" s="1096">
        <v>15.625</v>
      </c>
      <c r="FM101" s="1096">
        <v>45.291096250000002</v>
      </c>
      <c r="FN101" s="1096">
        <v>31.25</v>
      </c>
      <c r="FO101" s="1096">
        <v>90.582192500000005</v>
      </c>
      <c r="FP101" s="1099">
        <v>62.5</v>
      </c>
      <c r="FQ101" s="1064">
        <v>0.57475999999999994</v>
      </c>
      <c r="FR101" s="1065">
        <v>0.15</v>
      </c>
      <c r="FS101" s="1066">
        <v>289.50050968399586</v>
      </c>
      <c r="FT101" s="1066">
        <v>3.1754272996334754</v>
      </c>
      <c r="FU101" s="1065"/>
      <c r="FV101" s="1066">
        <v>39.522972330641153</v>
      </c>
      <c r="FW101" s="1065"/>
      <c r="FX101" s="1065"/>
      <c r="FY101" s="1065" t="s">
        <v>490</v>
      </c>
      <c r="FZ101" s="1065" t="s">
        <v>490</v>
      </c>
      <c r="GA101" s="1065">
        <v>1</v>
      </c>
      <c r="GB101" s="1065"/>
      <c r="GC101" s="1065"/>
      <c r="GD101" s="1065"/>
      <c r="GE101" s="1065"/>
      <c r="GF101" s="1066">
        <v>23.492945627331213</v>
      </c>
      <c r="GG101" s="1066">
        <v>15.625</v>
      </c>
      <c r="GH101" s="1066">
        <v>46.985891254662427</v>
      </c>
      <c r="GI101" s="1066">
        <v>31.25</v>
      </c>
      <c r="GJ101" s="1066">
        <v>93.971782509324854</v>
      </c>
      <c r="GK101" s="1066">
        <v>62.5</v>
      </c>
      <c r="GL101" s="584">
        <v>0.36399999999999999</v>
      </c>
      <c r="GM101" s="584">
        <v>0.11</v>
      </c>
      <c r="GN101" s="584"/>
      <c r="GO101" s="584"/>
      <c r="GP101" s="584"/>
      <c r="GQ101" s="584">
        <v>13.2</v>
      </c>
      <c r="GR101" s="584"/>
      <c r="GS101" s="584">
        <v>56.065239551478101</v>
      </c>
      <c r="GT101" s="584" t="s">
        <v>512</v>
      </c>
      <c r="GU101" s="584" t="s">
        <v>512</v>
      </c>
      <c r="GV101" s="584">
        <v>1</v>
      </c>
      <c r="GW101" s="584"/>
      <c r="GX101" s="584"/>
      <c r="GY101" s="584"/>
      <c r="GZ101" s="584"/>
      <c r="HA101" s="584">
        <v>7.3718250000000003</v>
      </c>
      <c r="HB101" s="584">
        <v>15.625</v>
      </c>
      <c r="HC101" s="584">
        <v>14.743650000000001</v>
      </c>
      <c r="HD101" s="584">
        <v>31.25</v>
      </c>
      <c r="HE101" s="584">
        <v>29.487300000000001</v>
      </c>
      <c r="HF101" s="584">
        <v>62.5</v>
      </c>
      <c r="HG101" s="1100">
        <v>0.47</v>
      </c>
      <c r="HH101" s="1100">
        <v>0.11</v>
      </c>
      <c r="HI101" s="1101">
        <v>0</v>
      </c>
      <c r="HJ101" s="1101">
        <v>0</v>
      </c>
      <c r="HK101" s="1101">
        <v>0</v>
      </c>
      <c r="HL101" s="1101">
        <v>0</v>
      </c>
      <c r="HM101" s="1101">
        <v>20.519999999999996</v>
      </c>
      <c r="HN101" s="1101">
        <v>54.999999999999993</v>
      </c>
      <c r="HO101" s="1101">
        <v>0</v>
      </c>
      <c r="HP101" s="1101">
        <v>0</v>
      </c>
      <c r="HQ101" s="1101">
        <v>1</v>
      </c>
      <c r="HR101" s="1101">
        <v>0.36</v>
      </c>
      <c r="HS101" s="1101">
        <v>0.28000000000000003</v>
      </c>
      <c r="HT101" s="1101">
        <v>0.26</v>
      </c>
      <c r="HU101" s="1101">
        <v>0.24</v>
      </c>
      <c r="HV101" s="1101">
        <v>7.7553199999999993</v>
      </c>
      <c r="HW101" s="1101">
        <v>15.625</v>
      </c>
      <c r="HX101" s="1101">
        <v>15.510639999999999</v>
      </c>
      <c r="HY101" s="1101">
        <v>31.25</v>
      </c>
      <c r="HZ101" s="1101">
        <v>31.021279999999997</v>
      </c>
      <c r="IA101" s="1101">
        <v>62.5</v>
      </c>
      <c r="IB101" s="1102"/>
      <c r="IC101" s="1092"/>
      <c r="ID101" s="1050"/>
      <c r="IE101" s="1050"/>
      <c r="IF101" s="1103"/>
      <c r="IG101" s="1103"/>
      <c r="IH101" s="1103"/>
      <c r="II101" s="1103"/>
      <c r="IJ101" s="1103"/>
      <c r="IK101" s="1103"/>
      <c r="IL101" s="1103"/>
      <c r="IM101" s="1050"/>
      <c r="IN101" s="1050"/>
      <c r="IO101" s="1050"/>
      <c r="IP101" s="1050"/>
      <c r="IQ101" s="1103"/>
      <c r="IR101" s="1103"/>
      <c r="IS101" s="1103"/>
      <c r="IT101" s="1103"/>
      <c r="IU101" s="1103"/>
      <c r="IV101" s="1103"/>
      <c r="JR101" s="1092"/>
      <c r="JS101" s="1092"/>
      <c r="JU101" s="1050"/>
      <c r="JV101" s="1103"/>
      <c r="JW101" s="1103"/>
      <c r="JX101" s="1103"/>
      <c r="JY101" s="1103"/>
      <c r="JZ101" s="1103"/>
      <c r="KA101" s="1103"/>
      <c r="KB101" s="1103"/>
      <c r="KC101" s="1050"/>
      <c r="KD101" s="1050"/>
      <c r="KE101" s="1050"/>
      <c r="KF101" s="1050"/>
      <c r="KG101" s="1103"/>
      <c r="KH101" s="1103"/>
      <c r="KI101" s="1103"/>
      <c r="KJ101" s="1103"/>
      <c r="KK101" s="1103"/>
      <c r="KL101" s="1103"/>
      <c r="KM101" s="1103"/>
      <c r="KN101" s="1103"/>
    </row>
    <row r="102" spans="2:300">
      <c r="B102" s="1048" t="str">
        <f t="shared" ref="B102:B165" si="4">"R"&amp;C102&amp;D102</f>
        <v>R56</v>
      </c>
      <c r="C102" s="1092">
        <v>5</v>
      </c>
      <c r="D102" s="1092">
        <v>6</v>
      </c>
      <c r="E102" s="584">
        <v>0.21</v>
      </c>
      <c r="F102" s="584">
        <v>0.21</v>
      </c>
      <c r="G102" s="584">
        <v>504</v>
      </c>
      <c r="H102" s="584">
        <v>12.6</v>
      </c>
      <c r="I102" s="584">
        <v>0</v>
      </c>
      <c r="J102" s="584">
        <v>0</v>
      </c>
      <c r="K102" s="584">
        <v>0</v>
      </c>
      <c r="L102" s="584">
        <v>0</v>
      </c>
      <c r="M102" s="584">
        <v>0</v>
      </c>
      <c r="N102" s="584">
        <v>0</v>
      </c>
      <c r="O102" s="584">
        <v>0</v>
      </c>
      <c r="P102" s="584">
        <v>0</v>
      </c>
      <c r="Q102" s="584">
        <v>0</v>
      </c>
      <c r="R102" s="584">
        <v>0</v>
      </c>
      <c r="S102" s="584">
        <v>0</v>
      </c>
      <c r="T102" s="584">
        <v>113.1574375</v>
      </c>
      <c r="U102" s="584">
        <v>18.75</v>
      </c>
      <c r="V102" s="584">
        <v>169.6449375</v>
      </c>
      <c r="W102" s="584">
        <v>39.375</v>
      </c>
      <c r="X102" s="584">
        <v>198.74100000000001</v>
      </c>
      <c r="Y102" s="584">
        <v>82.5</v>
      </c>
      <c r="Z102" s="584">
        <v>0.2</v>
      </c>
      <c r="AA102" s="584">
        <v>0.2</v>
      </c>
      <c r="AB102" s="584">
        <v>480</v>
      </c>
      <c r="AC102" s="584">
        <v>15</v>
      </c>
      <c r="AD102" s="584">
        <v>0</v>
      </c>
      <c r="AE102" s="584">
        <v>0</v>
      </c>
      <c r="AF102" s="584">
        <v>0</v>
      </c>
      <c r="AG102" s="584">
        <v>0</v>
      </c>
      <c r="AH102" s="584">
        <v>0</v>
      </c>
      <c r="AI102" s="584">
        <v>0</v>
      </c>
      <c r="AJ102" s="584">
        <v>0</v>
      </c>
      <c r="AK102" s="584">
        <v>0</v>
      </c>
      <c r="AL102" s="584">
        <v>0</v>
      </c>
      <c r="AM102" s="584">
        <v>0</v>
      </c>
      <c r="AN102" s="584">
        <v>0</v>
      </c>
      <c r="AO102" s="584">
        <v>110.9974375</v>
      </c>
      <c r="AP102" s="584">
        <v>18.75</v>
      </c>
      <c r="AQ102" s="584">
        <v>165.3924375</v>
      </c>
      <c r="AR102" s="584">
        <v>39.375</v>
      </c>
      <c r="AS102" s="584">
        <v>190.49100000000001</v>
      </c>
      <c r="AT102" s="584">
        <v>82.5</v>
      </c>
      <c r="AU102" s="584">
        <v>0.3</v>
      </c>
      <c r="AV102" s="584">
        <v>0.25</v>
      </c>
      <c r="AW102" s="584">
        <v>422.71470465018899</v>
      </c>
      <c r="AX102" s="584">
        <v>18.079074151654801</v>
      </c>
      <c r="AY102" s="584">
        <v>0</v>
      </c>
      <c r="AZ102" s="584">
        <v>0</v>
      </c>
      <c r="BA102" s="584">
        <v>0</v>
      </c>
      <c r="BB102" s="584">
        <v>0</v>
      </c>
      <c r="BC102" s="584">
        <v>0</v>
      </c>
      <c r="BD102" s="584">
        <v>0</v>
      </c>
      <c r="BE102" s="584">
        <v>0</v>
      </c>
      <c r="BF102" s="584">
        <v>0</v>
      </c>
      <c r="BG102" s="584">
        <v>0.3</v>
      </c>
      <c r="BH102" s="584">
        <v>0</v>
      </c>
      <c r="BI102" s="584">
        <v>0.45</v>
      </c>
      <c r="BJ102" s="584">
        <v>110.202875576037</v>
      </c>
      <c r="BK102" s="584">
        <v>18.75</v>
      </c>
      <c r="BL102" s="584">
        <v>158.32466129032301</v>
      </c>
      <c r="BM102" s="584">
        <v>39.375</v>
      </c>
      <c r="BN102" s="584">
        <v>168.27214976958501</v>
      </c>
      <c r="BO102" s="584">
        <v>82.5</v>
      </c>
      <c r="BP102" s="584">
        <v>0.27500000000000002</v>
      </c>
      <c r="BQ102" s="584">
        <v>0.125</v>
      </c>
      <c r="BR102" s="584">
        <v>368.81022203602799</v>
      </c>
      <c r="BS102" s="584">
        <v>14.4936112274822</v>
      </c>
      <c r="BT102" s="584">
        <v>0</v>
      </c>
      <c r="BU102" s="584">
        <v>0</v>
      </c>
      <c r="BV102" s="584">
        <v>0</v>
      </c>
      <c r="BW102" s="584">
        <v>0</v>
      </c>
      <c r="BX102" s="584">
        <v>0</v>
      </c>
      <c r="BY102" s="584">
        <v>0</v>
      </c>
      <c r="BZ102" s="584">
        <v>0</v>
      </c>
      <c r="CA102" s="584">
        <v>0.22500000000000001</v>
      </c>
      <c r="CB102" s="584">
        <v>0.27500000000000002</v>
      </c>
      <c r="CC102" s="584">
        <v>0.3</v>
      </c>
      <c r="CD102" s="584">
        <v>0.3</v>
      </c>
      <c r="CE102" s="584">
        <v>108.679</v>
      </c>
      <c r="CF102" s="584">
        <v>18.75</v>
      </c>
      <c r="CG102" s="584">
        <v>152.85525000000001</v>
      </c>
      <c r="CH102" s="584">
        <v>39.375</v>
      </c>
      <c r="CI102" s="584">
        <v>138.41399999999999</v>
      </c>
      <c r="CJ102" s="584">
        <v>82.5</v>
      </c>
      <c r="CK102" s="584">
        <v>0.32500000000000001</v>
      </c>
      <c r="CL102" s="584">
        <v>0.14499999999999999</v>
      </c>
      <c r="CM102" s="584">
        <v>382.412651864265</v>
      </c>
      <c r="CN102" s="584">
        <v>14.7045852534562</v>
      </c>
      <c r="CO102" s="584">
        <v>0</v>
      </c>
      <c r="CP102" s="584">
        <v>0</v>
      </c>
      <c r="CQ102" s="584">
        <v>0</v>
      </c>
      <c r="CR102" s="584">
        <v>0</v>
      </c>
      <c r="CS102" s="584">
        <v>0</v>
      </c>
      <c r="CT102" s="584">
        <v>0</v>
      </c>
      <c r="CU102" s="584">
        <v>0</v>
      </c>
      <c r="CV102" s="584">
        <v>0</v>
      </c>
      <c r="CW102" s="584">
        <v>0.32500000000000001</v>
      </c>
      <c r="CX102" s="584">
        <v>0</v>
      </c>
      <c r="CY102" s="584">
        <v>0.45</v>
      </c>
      <c r="CZ102" s="584">
        <v>107.9761</v>
      </c>
      <c r="DA102" s="584">
        <v>18.75</v>
      </c>
      <c r="DB102" s="584">
        <v>151.34985</v>
      </c>
      <c r="DC102" s="584">
        <v>39.375</v>
      </c>
      <c r="DD102" s="584">
        <v>152.77860000000001</v>
      </c>
      <c r="DE102" s="584">
        <v>82.5</v>
      </c>
      <c r="DF102" s="584">
        <v>0.35</v>
      </c>
      <c r="DG102" s="584">
        <v>0.2</v>
      </c>
      <c r="DH102" s="584">
        <v>379.12704231252599</v>
      </c>
      <c r="DI102" s="584">
        <v>19.194020318391299</v>
      </c>
      <c r="DJ102" s="584">
        <v>300</v>
      </c>
      <c r="DK102" s="584">
        <v>0</v>
      </c>
      <c r="DL102" s="584">
        <v>0</v>
      </c>
      <c r="DM102" s="584">
        <v>0</v>
      </c>
      <c r="DN102" s="584">
        <v>0</v>
      </c>
      <c r="DO102" s="584">
        <v>0</v>
      </c>
      <c r="DP102" s="584">
        <v>0</v>
      </c>
      <c r="DQ102" s="584">
        <v>0</v>
      </c>
      <c r="DR102" s="584">
        <v>0.35</v>
      </c>
      <c r="DS102" s="584">
        <v>0</v>
      </c>
      <c r="DT102" s="584">
        <v>2.4</v>
      </c>
      <c r="DU102" s="584">
        <v>115.99525</v>
      </c>
      <c r="DV102" s="584">
        <v>18.75</v>
      </c>
      <c r="DW102" s="584">
        <v>195.51400000000001</v>
      </c>
      <c r="DX102" s="584">
        <v>39.375</v>
      </c>
      <c r="DY102" s="584">
        <v>243.5265</v>
      </c>
      <c r="DZ102" s="584">
        <v>82.5</v>
      </c>
      <c r="EA102" s="1062">
        <v>0.50439999999999996</v>
      </c>
      <c r="EB102" s="1046">
        <v>0.2</v>
      </c>
      <c r="EC102" s="1093">
        <v>132.51783893985726</v>
      </c>
      <c r="ED102" s="1046">
        <v>0</v>
      </c>
      <c r="EE102" s="1046">
        <v>285.42303771661568</v>
      </c>
      <c r="EF102" s="1046">
        <v>12.166666666666666</v>
      </c>
      <c r="EG102" s="1046">
        <v>0</v>
      </c>
      <c r="EH102" s="1046">
        <v>0</v>
      </c>
      <c r="EI102" s="1046" t="s">
        <v>496</v>
      </c>
      <c r="EJ102" s="1046" t="s">
        <v>514</v>
      </c>
      <c r="EK102" s="1046">
        <v>0</v>
      </c>
      <c r="EL102" s="1046">
        <v>0</v>
      </c>
      <c r="EM102" s="1046">
        <v>0</v>
      </c>
      <c r="EN102" s="1046">
        <v>0</v>
      </c>
      <c r="EO102" s="1046">
        <v>0</v>
      </c>
      <c r="EP102" s="1094">
        <v>35.395162499999998</v>
      </c>
      <c r="EQ102" s="1094">
        <v>18.75</v>
      </c>
      <c r="ER102" s="1094">
        <v>70.790324999999996</v>
      </c>
      <c r="ES102" s="1095">
        <v>37.5</v>
      </c>
      <c r="ET102" s="1094">
        <v>141.58064999999999</v>
      </c>
      <c r="EU102" s="1094">
        <v>75</v>
      </c>
      <c r="EV102" s="1096">
        <v>0.45339999999999997</v>
      </c>
      <c r="EW102" s="1097">
        <v>0.15</v>
      </c>
      <c r="EX102" s="1096">
        <v>289.50050968399592</v>
      </c>
      <c r="EY102" s="1096">
        <v>1.5443934760448521</v>
      </c>
      <c r="EZ102" s="1096">
        <v>0</v>
      </c>
      <c r="FA102" s="1096">
        <v>14.776666666666666</v>
      </c>
      <c r="FB102" s="1098">
        <v>0</v>
      </c>
      <c r="FC102" s="1098">
        <v>0</v>
      </c>
      <c r="FD102" s="1098" t="s">
        <v>490</v>
      </c>
      <c r="FE102" s="1098" t="s">
        <v>490</v>
      </c>
      <c r="FF102" s="1098">
        <v>1</v>
      </c>
      <c r="FG102" s="1098">
        <v>0</v>
      </c>
      <c r="FH102" s="1098">
        <v>0</v>
      </c>
      <c r="FI102" s="1098">
        <v>0</v>
      </c>
      <c r="FJ102" s="1098">
        <v>0</v>
      </c>
      <c r="FK102" s="1096">
        <v>27.075822000000002</v>
      </c>
      <c r="FL102" s="1096">
        <v>18.75</v>
      </c>
      <c r="FM102" s="1096">
        <v>54.151644000000005</v>
      </c>
      <c r="FN102" s="1096">
        <v>37.5</v>
      </c>
      <c r="FO102" s="1096">
        <v>108.30328800000001</v>
      </c>
      <c r="FP102" s="1099">
        <v>75</v>
      </c>
      <c r="FQ102" s="1064">
        <v>0.57475999999999994</v>
      </c>
      <c r="FR102" s="1065">
        <v>0.15</v>
      </c>
      <c r="FS102" s="1066">
        <v>289.50050968399586</v>
      </c>
      <c r="FT102" s="1066">
        <v>3.1754272996334754</v>
      </c>
      <c r="FU102" s="1065"/>
      <c r="FV102" s="1066">
        <v>38.0093607202855</v>
      </c>
      <c r="FW102" s="1065"/>
      <c r="FX102" s="1065"/>
      <c r="FY102" s="1065" t="s">
        <v>490</v>
      </c>
      <c r="FZ102" s="1065" t="s">
        <v>490</v>
      </c>
      <c r="GA102" s="1065">
        <v>1</v>
      </c>
      <c r="GB102" s="1065"/>
      <c r="GC102" s="1065"/>
      <c r="GD102" s="1065"/>
      <c r="GE102" s="1065"/>
      <c r="GF102" s="1066">
        <v>28.080170778565531</v>
      </c>
      <c r="GG102" s="1066">
        <v>18.75</v>
      </c>
      <c r="GH102" s="1066">
        <v>56.160341557131062</v>
      </c>
      <c r="GI102" s="1066">
        <v>37.5</v>
      </c>
      <c r="GJ102" s="1066">
        <v>112.32068311426212</v>
      </c>
      <c r="GK102" s="1066">
        <v>75</v>
      </c>
      <c r="GL102" s="584">
        <v>0.41510000000000002</v>
      </c>
      <c r="GM102" s="584">
        <v>0.11</v>
      </c>
      <c r="GN102" s="584"/>
      <c r="GO102" s="584"/>
      <c r="GP102" s="584"/>
      <c r="GQ102" s="584">
        <v>14.053333333333301</v>
      </c>
      <c r="GR102" s="584"/>
      <c r="GS102" s="584">
        <v>56.065239551478101</v>
      </c>
      <c r="GT102" s="584" t="s">
        <v>502</v>
      </c>
      <c r="GU102" s="584" t="s">
        <v>502</v>
      </c>
      <c r="GV102" s="584">
        <v>1</v>
      </c>
      <c r="GW102" s="584"/>
      <c r="GX102" s="584"/>
      <c r="GY102" s="584"/>
      <c r="GZ102" s="584"/>
      <c r="HA102" s="584">
        <v>8.9089740000000006</v>
      </c>
      <c r="HB102" s="584">
        <v>18.75</v>
      </c>
      <c r="HC102" s="584">
        <v>17.817948000000001</v>
      </c>
      <c r="HD102" s="584">
        <v>37.5</v>
      </c>
      <c r="HE102" s="584">
        <v>35.635896000000002</v>
      </c>
      <c r="HF102" s="584">
        <v>75</v>
      </c>
      <c r="HG102" s="1100">
        <v>0.51</v>
      </c>
      <c r="HH102" s="1100">
        <v>0.11</v>
      </c>
      <c r="HI102" s="1101">
        <v>0</v>
      </c>
      <c r="HJ102" s="1101">
        <v>0</v>
      </c>
      <c r="HK102" s="1101">
        <v>0</v>
      </c>
      <c r="HL102" s="1101">
        <v>0</v>
      </c>
      <c r="HM102" s="1101">
        <v>23.352</v>
      </c>
      <c r="HN102" s="1101">
        <v>54.999999999999993</v>
      </c>
      <c r="HO102" s="1101">
        <v>0</v>
      </c>
      <c r="HP102" s="1101">
        <v>0</v>
      </c>
      <c r="HQ102" s="1101">
        <v>1</v>
      </c>
      <c r="HR102" s="1101">
        <v>0.4</v>
      </c>
      <c r="HS102" s="1101">
        <v>0.36</v>
      </c>
      <c r="HT102" s="1101">
        <v>0.26</v>
      </c>
      <c r="HU102" s="1101">
        <v>0.24</v>
      </c>
      <c r="HV102" s="1101">
        <v>9.5147484000000002</v>
      </c>
      <c r="HW102" s="1101">
        <v>18.75</v>
      </c>
      <c r="HX102" s="1101">
        <v>19.0294968</v>
      </c>
      <c r="HY102" s="1101">
        <v>37.5</v>
      </c>
      <c r="HZ102" s="1101">
        <v>38.058993600000001</v>
      </c>
      <c r="IA102" s="1101">
        <v>75</v>
      </c>
      <c r="IB102" s="1102"/>
      <c r="IC102" s="1092"/>
      <c r="ID102" s="1050"/>
      <c r="IE102" s="1050"/>
      <c r="IF102" s="1103"/>
      <c r="IG102" s="1103"/>
      <c r="IH102" s="1103"/>
      <c r="II102" s="1103"/>
      <c r="IJ102" s="1103"/>
      <c r="IK102" s="1103"/>
      <c r="IL102" s="1103"/>
      <c r="IM102" s="1050"/>
      <c r="IN102" s="1050"/>
      <c r="IO102" s="1050"/>
      <c r="IP102" s="1050"/>
      <c r="IQ102" s="1103"/>
      <c r="IR102" s="1103"/>
      <c r="IS102" s="1103"/>
      <c r="IT102" s="1103"/>
      <c r="IU102" s="1103"/>
      <c r="IV102" s="1103"/>
      <c r="JR102" s="1092"/>
      <c r="JS102" s="1092"/>
      <c r="JU102" s="1050"/>
      <c r="JV102" s="1103"/>
      <c r="JW102" s="1103"/>
      <c r="JX102" s="1103"/>
      <c r="JY102" s="1103"/>
      <c r="JZ102" s="1103"/>
      <c r="KA102" s="1103"/>
      <c r="KB102" s="1103"/>
      <c r="KC102" s="1050"/>
      <c r="KD102" s="1050"/>
      <c r="KE102" s="1050"/>
      <c r="KF102" s="1050"/>
      <c r="KG102" s="1103"/>
      <c r="KH102" s="1103"/>
      <c r="KI102" s="1103"/>
      <c r="KJ102" s="1103"/>
      <c r="KK102" s="1103"/>
      <c r="KL102" s="1103"/>
      <c r="KM102" s="1103"/>
      <c r="KN102" s="1103"/>
    </row>
    <row r="103" spans="2:300">
      <c r="B103" s="1048" t="str">
        <f t="shared" si="4"/>
        <v>R57</v>
      </c>
      <c r="C103" s="1092">
        <v>5</v>
      </c>
      <c r="D103" s="1092">
        <v>7</v>
      </c>
      <c r="E103" s="584">
        <v>0.23</v>
      </c>
      <c r="F103" s="584">
        <v>0.23</v>
      </c>
      <c r="G103" s="584">
        <v>552</v>
      </c>
      <c r="H103" s="584">
        <v>14.03</v>
      </c>
      <c r="I103" s="584">
        <v>0</v>
      </c>
      <c r="J103" s="584">
        <v>0</v>
      </c>
      <c r="K103" s="584">
        <v>0</v>
      </c>
      <c r="L103" s="584">
        <v>0</v>
      </c>
      <c r="M103" s="584">
        <v>0</v>
      </c>
      <c r="N103" s="584">
        <v>0</v>
      </c>
      <c r="O103" s="584">
        <v>0</v>
      </c>
      <c r="P103" s="584">
        <v>0</v>
      </c>
      <c r="Q103" s="584">
        <v>0</v>
      </c>
      <c r="R103" s="584">
        <v>0</v>
      </c>
      <c r="S103" s="584">
        <v>0</v>
      </c>
      <c r="T103" s="584">
        <v>131.21493749999999</v>
      </c>
      <c r="U103" s="584">
        <v>21.875</v>
      </c>
      <c r="V103" s="584">
        <v>206.99868749999999</v>
      </c>
      <c r="W103" s="584">
        <v>45.9375</v>
      </c>
      <c r="X103" s="584">
        <v>249.61600000000001</v>
      </c>
      <c r="Y103" s="584">
        <v>96.25</v>
      </c>
      <c r="Z103" s="584">
        <v>0.2</v>
      </c>
      <c r="AA103" s="584">
        <v>0.2</v>
      </c>
      <c r="AB103" s="584">
        <v>480</v>
      </c>
      <c r="AC103" s="584">
        <v>14</v>
      </c>
      <c r="AD103" s="584">
        <v>0</v>
      </c>
      <c r="AE103" s="584">
        <v>0</v>
      </c>
      <c r="AF103" s="584">
        <v>0</v>
      </c>
      <c r="AG103" s="584">
        <v>0</v>
      </c>
      <c r="AH103" s="584">
        <v>0</v>
      </c>
      <c r="AI103" s="584">
        <v>0</v>
      </c>
      <c r="AJ103" s="584">
        <v>0</v>
      </c>
      <c r="AK103" s="584">
        <v>0</v>
      </c>
      <c r="AL103" s="584">
        <v>0</v>
      </c>
      <c r="AM103" s="584">
        <v>0</v>
      </c>
      <c r="AN103" s="584">
        <v>0</v>
      </c>
      <c r="AO103" s="584">
        <v>123.7224375</v>
      </c>
      <c r="AP103" s="584">
        <v>21.875</v>
      </c>
      <c r="AQ103" s="584">
        <v>192.1149375</v>
      </c>
      <c r="AR103" s="584">
        <v>45.9375</v>
      </c>
      <c r="AS103" s="584">
        <v>220.74100000000001</v>
      </c>
      <c r="AT103" s="584">
        <v>96.25</v>
      </c>
      <c r="AU103" s="584">
        <v>0.32500000000000001</v>
      </c>
      <c r="AV103" s="584">
        <v>0.25</v>
      </c>
      <c r="AW103" s="584">
        <v>439.26136363636402</v>
      </c>
      <c r="AX103" s="584">
        <v>20.022862554112599</v>
      </c>
      <c r="AY103" s="584">
        <v>0</v>
      </c>
      <c r="AZ103" s="584">
        <v>0</v>
      </c>
      <c r="BA103" s="584">
        <v>0</v>
      </c>
      <c r="BB103" s="584">
        <v>0</v>
      </c>
      <c r="BC103" s="584">
        <v>0</v>
      </c>
      <c r="BD103" s="584">
        <v>0</v>
      </c>
      <c r="BE103" s="584">
        <v>0</v>
      </c>
      <c r="BF103" s="584">
        <v>0</v>
      </c>
      <c r="BG103" s="584">
        <v>0.32500000000000001</v>
      </c>
      <c r="BH103" s="584">
        <v>0</v>
      </c>
      <c r="BI103" s="584">
        <v>0.6</v>
      </c>
      <c r="BJ103" s="584">
        <v>123.76878348214299</v>
      </c>
      <c r="BK103" s="584">
        <v>21.875</v>
      </c>
      <c r="BL103" s="584">
        <v>185.73949218749999</v>
      </c>
      <c r="BM103" s="584">
        <v>45.9375</v>
      </c>
      <c r="BN103" s="584">
        <v>201.14859375</v>
      </c>
      <c r="BO103" s="584">
        <v>96.25</v>
      </c>
      <c r="BP103" s="584">
        <v>0.3</v>
      </c>
      <c r="BQ103" s="584">
        <v>0.125</v>
      </c>
      <c r="BR103" s="584">
        <v>366.78571428571399</v>
      </c>
      <c r="BS103" s="584">
        <v>16.404897186147199</v>
      </c>
      <c r="BT103" s="584">
        <v>0</v>
      </c>
      <c r="BU103" s="584">
        <v>0</v>
      </c>
      <c r="BV103" s="584">
        <v>0</v>
      </c>
      <c r="BW103" s="584">
        <v>0</v>
      </c>
      <c r="BX103" s="584">
        <v>0</v>
      </c>
      <c r="BY103" s="584">
        <v>0</v>
      </c>
      <c r="BZ103" s="584">
        <v>0</v>
      </c>
      <c r="CA103" s="584">
        <v>0.22500000000000001</v>
      </c>
      <c r="CB103" s="584">
        <v>0.3</v>
      </c>
      <c r="CC103" s="584">
        <v>0.3</v>
      </c>
      <c r="CD103" s="584">
        <v>0.3</v>
      </c>
      <c r="CE103" s="584">
        <v>119.7495</v>
      </c>
      <c r="CF103" s="584">
        <v>21.875</v>
      </c>
      <c r="CG103" s="584">
        <v>176.58262500000001</v>
      </c>
      <c r="CH103" s="584">
        <v>45.9375</v>
      </c>
      <c r="CI103" s="584">
        <v>160.672</v>
      </c>
      <c r="CJ103" s="584">
        <v>96.25</v>
      </c>
      <c r="CK103" s="584">
        <v>0.375</v>
      </c>
      <c r="CL103" s="584">
        <v>0.14499999999999999</v>
      </c>
      <c r="CM103" s="584">
        <v>387.33786525974</v>
      </c>
      <c r="CN103" s="584">
        <v>15.3055357142857</v>
      </c>
      <c r="CO103" s="584">
        <v>0</v>
      </c>
      <c r="CP103" s="584">
        <v>0</v>
      </c>
      <c r="CQ103" s="584">
        <v>0</v>
      </c>
      <c r="CR103" s="584">
        <v>0</v>
      </c>
      <c r="CS103" s="584">
        <v>0</v>
      </c>
      <c r="CT103" s="584">
        <v>0</v>
      </c>
      <c r="CU103" s="584">
        <v>0</v>
      </c>
      <c r="CV103" s="584">
        <v>0</v>
      </c>
      <c r="CW103" s="584">
        <v>0.375</v>
      </c>
      <c r="CX103" s="584">
        <v>0</v>
      </c>
      <c r="CY103" s="584">
        <v>0.3</v>
      </c>
      <c r="CZ103" s="584">
        <v>120.2796</v>
      </c>
      <c r="DA103" s="584">
        <v>21.875</v>
      </c>
      <c r="DB103" s="584">
        <v>176.27459999999999</v>
      </c>
      <c r="DC103" s="584">
        <v>45.9375</v>
      </c>
      <c r="DD103" s="584">
        <v>179.31960000000001</v>
      </c>
      <c r="DE103" s="584">
        <v>96.25</v>
      </c>
      <c r="DF103" s="584">
        <v>0.35</v>
      </c>
      <c r="DG103" s="584">
        <v>0.2</v>
      </c>
      <c r="DH103" s="584">
        <v>366.53814935064901</v>
      </c>
      <c r="DI103" s="584">
        <v>21.4948760822511</v>
      </c>
      <c r="DJ103" s="584">
        <v>300</v>
      </c>
      <c r="DK103" s="584">
        <v>0</v>
      </c>
      <c r="DL103" s="584">
        <v>0</v>
      </c>
      <c r="DM103" s="584">
        <v>0</v>
      </c>
      <c r="DN103" s="584">
        <v>0</v>
      </c>
      <c r="DO103" s="584">
        <v>0</v>
      </c>
      <c r="DP103" s="584">
        <v>0</v>
      </c>
      <c r="DQ103" s="584">
        <v>0</v>
      </c>
      <c r="DR103" s="584">
        <v>0.35</v>
      </c>
      <c r="DS103" s="584">
        <v>0</v>
      </c>
      <c r="DT103" s="584">
        <v>2.4</v>
      </c>
      <c r="DU103" s="584">
        <v>126.16575</v>
      </c>
      <c r="DV103" s="584">
        <v>21.875</v>
      </c>
      <c r="DW103" s="584">
        <v>215.40325000000001</v>
      </c>
      <c r="DX103" s="584">
        <v>45.9375</v>
      </c>
      <c r="DY103" s="584">
        <v>282.67649999999998</v>
      </c>
      <c r="DZ103" s="584">
        <v>96.25</v>
      </c>
      <c r="EA103" s="1062">
        <v>0.51100000000000001</v>
      </c>
      <c r="EB103" s="1046">
        <v>0.2</v>
      </c>
      <c r="EC103" s="1093">
        <v>132.51783893985726</v>
      </c>
      <c r="ED103" s="1046">
        <v>0</v>
      </c>
      <c r="EE103" s="1046">
        <v>285.42303771661568</v>
      </c>
      <c r="EF103" s="1046">
        <v>14.271428571428572</v>
      </c>
      <c r="EG103" s="1046">
        <v>0</v>
      </c>
      <c r="EH103" s="1046">
        <v>0</v>
      </c>
      <c r="EI103" s="1046" t="s">
        <v>492</v>
      </c>
      <c r="EJ103" s="1046" t="s">
        <v>505</v>
      </c>
      <c r="EK103" s="1046">
        <v>0</v>
      </c>
      <c r="EL103" s="1046">
        <v>0</v>
      </c>
      <c r="EM103" s="1046">
        <v>0</v>
      </c>
      <c r="EN103" s="1046">
        <v>0</v>
      </c>
      <c r="EO103" s="1046">
        <v>0</v>
      </c>
      <c r="EP103" s="1094">
        <v>41.475023749999991</v>
      </c>
      <c r="EQ103" s="1094">
        <v>21.875</v>
      </c>
      <c r="ER103" s="1094">
        <v>82.950047499999982</v>
      </c>
      <c r="ES103" s="1095">
        <v>43.75</v>
      </c>
      <c r="ET103" s="1094">
        <v>165.90009499999996</v>
      </c>
      <c r="EU103" s="1094">
        <v>87.5</v>
      </c>
      <c r="EV103" s="1096">
        <v>0.45660000000000001</v>
      </c>
      <c r="EW103" s="1097">
        <v>0.15</v>
      </c>
      <c r="EX103" s="1096">
        <v>289.50050968399592</v>
      </c>
      <c r="EY103" s="1096">
        <v>1.5443934760448521</v>
      </c>
      <c r="EZ103" s="1096">
        <v>0</v>
      </c>
      <c r="FA103" s="1096">
        <v>14.645714285714282</v>
      </c>
      <c r="FB103" s="1098">
        <v>0</v>
      </c>
      <c r="FC103" s="1098">
        <v>0</v>
      </c>
      <c r="FD103" s="1098" t="s">
        <v>488</v>
      </c>
      <c r="FE103" s="1098" t="s">
        <v>490</v>
      </c>
      <c r="FF103" s="1098">
        <v>1</v>
      </c>
      <c r="FG103" s="1098">
        <v>0</v>
      </c>
      <c r="FH103" s="1098">
        <v>0</v>
      </c>
      <c r="FI103" s="1098">
        <v>0</v>
      </c>
      <c r="FJ103" s="1098">
        <v>0</v>
      </c>
      <c r="FK103" s="1096">
        <v>31.577218375000001</v>
      </c>
      <c r="FL103" s="1096">
        <v>21.875</v>
      </c>
      <c r="FM103" s="1096">
        <v>63.154436750000002</v>
      </c>
      <c r="FN103" s="1096">
        <v>43.75</v>
      </c>
      <c r="FO103" s="1096">
        <v>126.3088735</v>
      </c>
      <c r="FP103" s="1099">
        <v>87.5</v>
      </c>
      <c r="FQ103" s="1064">
        <v>0.64195999999999998</v>
      </c>
      <c r="FR103" s="1065">
        <v>0.15</v>
      </c>
      <c r="FS103" s="1066">
        <v>289.50050968399586</v>
      </c>
      <c r="FT103" s="1066">
        <v>3.1754272996334754</v>
      </c>
      <c r="FU103" s="1065"/>
      <c r="FV103" s="1066">
        <v>37.854151144362525</v>
      </c>
      <c r="FW103" s="1065"/>
      <c r="FX103" s="1065"/>
      <c r="FY103" s="1065" t="s">
        <v>481</v>
      </c>
      <c r="FZ103" s="1065" t="s">
        <v>490</v>
      </c>
      <c r="GA103" s="1065">
        <v>1</v>
      </c>
      <c r="GB103" s="1065"/>
      <c r="GC103" s="1065"/>
      <c r="GD103" s="1065"/>
      <c r="GE103" s="1065"/>
      <c r="GF103" s="1066">
        <v>32.746876439686496</v>
      </c>
      <c r="GG103" s="1066">
        <v>21.875</v>
      </c>
      <c r="GH103" s="1066">
        <v>65.493752879372991</v>
      </c>
      <c r="GI103" s="1066">
        <v>43.75</v>
      </c>
      <c r="GJ103" s="1066">
        <v>130.98750575874598</v>
      </c>
      <c r="GK103" s="1066">
        <v>87.5</v>
      </c>
      <c r="GL103" s="584">
        <v>0.45900000000000002</v>
      </c>
      <c r="GM103" s="584">
        <v>0.11</v>
      </c>
      <c r="GN103" s="584"/>
      <c r="GO103" s="584"/>
      <c r="GP103" s="584"/>
      <c r="GQ103" s="584">
        <v>16.7828571428571</v>
      </c>
      <c r="GR103" s="584"/>
      <c r="GS103" s="584">
        <v>56.065239551478101</v>
      </c>
      <c r="GT103" s="584" t="s">
        <v>502</v>
      </c>
      <c r="GU103" s="584" t="s">
        <v>484</v>
      </c>
      <c r="GV103" s="584">
        <v>1</v>
      </c>
      <c r="GW103" s="584"/>
      <c r="GX103" s="584"/>
      <c r="GY103" s="584"/>
      <c r="GZ103" s="584"/>
      <c r="HA103" s="584">
        <v>10.6280985</v>
      </c>
      <c r="HB103" s="584">
        <v>21.875</v>
      </c>
      <c r="HC103" s="584">
        <v>21.256197</v>
      </c>
      <c r="HD103" s="584">
        <v>43.75</v>
      </c>
      <c r="HE103" s="584">
        <v>42.512394</v>
      </c>
      <c r="HF103" s="584">
        <v>87.5</v>
      </c>
      <c r="HG103" s="1100">
        <v>0.55000000000000004</v>
      </c>
      <c r="HH103" s="1100">
        <v>0.11</v>
      </c>
      <c r="HI103" s="1101">
        <v>0</v>
      </c>
      <c r="HJ103" s="1101">
        <v>0</v>
      </c>
      <c r="HK103" s="1101">
        <v>0</v>
      </c>
      <c r="HL103" s="1101">
        <v>0</v>
      </c>
      <c r="HM103" s="1101">
        <v>26.722285714285714</v>
      </c>
      <c r="HN103" s="1101">
        <v>54.999999999999993</v>
      </c>
      <c r="HO103" s="1101">
        <v>0</v>
      </c>
      <c r="HP103" s="1101">
        <v>0</v>
      </c>
      <c r="HQ103" s="1101">
        <v>1</v>
      </c>
      <c r="HR103" s="1101">
        <v>0.4</v>
      </c>
      <c r="HS103" s="1101">
        <v>0.44</v>
      </c>
      <c r="HT103" s="1101">
        <v>0.3</v>
      </c>
      <c r="HU103" s="1101">
        <v>0.24</v>
      </c>
      <c r="HV103" s="1101">
        <v>11.3898367</v>
      </c>
      <c r="HW103" s="1101">
        <v>21.875</v>
      </c>
      <c r="HX103" s="1101">
        <v>22.7796734</v>
      </c>
      <c r="HY103" s="1101">
        <v>43.75</v>
      </c>
      <c r="HZ103" s="1101">
        <v>45.5593468</v>
      </c>
      <c r="IA103" s="1101">
        <v>87.5</v>
      </c>
      <c r="IB103" s="1102"/>
      <c r="IC103" s="1092"/>
      <c r="ID103" s="1050"/>
      <c r="IE103" s="1050"/>
      <c r="IF103" s="1103"/>
      <c r="IG103" s="1103"/>
      <c r="IH103" s="1103"/>
      <c r="II103" s="1103"/>
      <c r="IJ103" s="1103"/>
      <c r="IK103" s="1103"/>
      <c r="IL103" s="1103"/>
      <c r="IM103" s="1050"/>
      <c r="IN103" s="1050"/>
      <c r="IO103" s="1050"/>
      <c r="IP103" s="1050"/>
      <c r="IQ103" s="1103"/>
      <c r="IR103" s="1103"/>
      <c r="IS103" s="1103"/>
      <c r="IT103" s="1103"/>
      <c r="IU103" s="1103"/>
      <c r="IV103" s="1103"/>
      <c r="JR103" s="1092"/>
      <c r="JS103" s="1092"/>
      <c r="JU103" s="1050"/>
      <c r="JV103" s="1103"/>
      <c r="JW103" s="1103"/>
      <c r="JX103" s="1103"/>
      <c r="JY103" s="1103"/>
      <c r="JZ103" s="1103"/>
      <c r="KA103" s="1103"/>
      <c r="KB103" s="1103"/>
      <c r="KC103" s="1050"/>
      <c r="KD103" s="1050"/>
      <c r="KE103" s="1050"/>
      <c r="KF103" s="1050"/>
      <c r="KG103" s="1103"/>
      <c r="KH103" s="1103"/>
      <c r="KI103" s="1103"/>
      <c r="KJ103" s="1103"/>
      <c r="KK103" s="1103"/>
      <c r="KL103" s="1103"/>
      <c r="KM103" s="1103"/>
      <c r="KN103" s="1103"/>
    </row>
    <row r="104" spans="2:300">
      <c r="B104" s="1048" t="str">
        <f t="shared" si="4"/>
        <v>R58</v>
      </c>
      <c r="C104" s="1092">
        <v>5</v>
      </c>
      <c r="D104" s="1092">
        <v>8</v>
      </c>
      <c r="E104" s="584">
        <v>0.25</v>
      </c>
      <c r="F104" s="584">
        <v>0.25</v>
      </c>
      <c r="G104" s="584">
        <v>600</v>
      </c>
      <c r="H104" s="584">
        <v>15.75</v>
      </c>
      <c r="I104" s="584">
        <v>0</v>
      </c>
      <c r="J104" s="584">
        <v>0</v>
      </c>
      <c r="K104" s="584">
        <v>0</v>
      </c>
      <c r="L104" s="584">
        <v>0</v>
      </c>
      <c r="M104" s="584">
        <v>0</v>
      </c>
      <c r="N104" s="584">
        <v>0</v>
      </c>
      <c r="O104" s="584">
        <v>0</v>
      </c>
      <c r="P104" s="584">
        <v>0</v>
      </c>
      <c r="Q104" s="584">
        <v>0</v>
      </c>
      <c r="R104" s="584">
        <v>0</v>
      </c>
      <c r="S104" s="584">
        <v>0</v>
      </c>
      <c r="T104" s="584">
        <v>150.62243749999999</v>
      </c>
      <c r="U104" s="584">
        <v>25</v>
      </c>
      <c r="V104" s="584">
        <v>247.18743749999999</v>
      </c>
      <c r="W104" s="584">
        <v>52.5</v>
      </c>
      <c r="X104" s="584">
        <v>305.99099999999999</v>
      </c>
      <c r="Y104" s="584">
        <v>110</v>
      </c>
      <c r="Z104" s="584">
        <v>0.215</v>
      </c>
      <c r="AA104" s="584">
        <v>0.215</v>
      </c>
      <c r="AB104" s="584">
        <v>516</v>
      </c>
      <c r="AC104" s="584">
        <v>14</v>
      </c>
      <c r="AD104" s="584">
        <v>0</v>
      </c>
      <c r="AE104" s="584">
        <v>0</v>
      </c>
      <c r="AF104" s="584">
        <v>0</v>
      </c>
      <c r="AG104" s="584">
        <v>0</v>
      </c>
      <c r="AH104" s="584">
        <v>0</v>
      </c>
      <c r="AI104" s="584">
        <v>0</v>
      </c>
      <c r="AJ104" s="584">
        <v>0</v>
      </c>
      <c r="AK104" s="584">
        <v>0</v>
      </c>
      <c r="AL104" s="584">
        <v>0</v>
      </c>
      <c r="AM104" s="584">
        <v>0</v>
      </c>
      <c r="AN104" s="584">
        <v>0</v>
      </c>
      <c r="AO104" s="584">
        <v>140.6999375</v>
      </c>
      <c r="AP104" s="584">
        <v>25</v>
      </c>
      <c r="AQ104" s="584">
        <v>227.34243749999999</v>
      </c>
      <c r="AR104" s="584">
        <v>52.5</v>
      </c>
      <c r="AS104" s="584">
        <v>267.49099999999999</v>
      </c>
      <c r="AT104" s="584">
        <v>110</v>
      </c>
      <c r="AU104" s="584">
        <v>0.47499999999999998</v>
      </c>
      <c r="AV104" s="584">
        <v>0.25</v>
      </c>
      <c r="AW104" s="584">
        <v>451.08182214127299</v>
      </c>
      <c r="AX104" s="584">
        <v>17.534907546721598</v>
      </c>
      <c r="AY104" s="584">
        <v>0</v>
      </c>
      <c r="AZ104" s="584">
        <v>0</v>
      </c>
      <c r="BA104" s="584">
        <v>0</v>
      </c>
      <c r="BB104" s="584">
        <v>0</v>
      </c>
      <c r="BC104" s="584">
        <v>0</v>
      </c>
      <c r="BD104" s="584">
        <v>0</v>
      </c>
      <c r="BE104" s="584">
        <v>0</v>
      </c>
      <c r="BF104" s="584">
        <v>0</v>
      </c>
      <c r="BG104" s="584">
        <v>0.47499999999999998</v>
      </c>
      <c r="BH104" s="584">
        <v>0</v>
      </c>
      <c r="BI104" s="584">
        <v>0.3</v>
      </c>
      <c r="BJ104" s="584">
        <v>138.73771798780501</v>
      </c>
      <c r="BK104" s="584">
        <v>25</v>
      </c>
      <c r="BL104" s="584">
        <v>215.10931097560999</v>
      </c>
      <c r="BM104" s="584">
        <v>52.5</v>
      </c>
      <c r="BN104" s="584">
        <v>234.86323954703801</v>
      </c>
      <c r="BO104" s="584">
        <v>110</v>
      </c>
      <c r="BP104" s="584">
        <v>0.375</v>
      </c>
      <c r="BQ104" s="584">
        <v>0.125</v>
      </c>
      <c r="BR104" s="584">
        <v>379.08140639848</v>
      </c>
      <c r="BS104" s="584">
        <v>19.2540782388343</v>
      </c>
      <c r="BT104" s="584">
        <v>0</v>
      </c>
      <c r="BU104" s="584">
        <v>0</v>
      </c>
      <c r="BV104" s="584">
        <v>0</v>
      </c>
      <c r="BW104" s="584">
        <v>0</v>
      </c>
      <c r="BX104" s="584">
        <v>0</v>
      </c>
      <c r="BY104" s="584">
        <v>0</v>
      </c>
      <c r="BZ104" s="584">
        <v>0</v>
      </c>
      <c r="CA104" s="584">
        <v>0.22500000000000001</v>
      </c>
      <c r="CB104" s="584">
        <v>0.375</v>
      </c>
      <c r="CC104" s="584">
        <v>0.3</v>
      </c>
      <c r="CD104" s="584">
        <v>0.3</v>
      </c>
      <c r="CE104" s="584">
        <v>133.136</v>
      </c>
      <c r="CF104" s="584">
        <v>25</v>
      </c>
      <c r="CG104" s="584">
        <v>205.32599999999999</v>
      </c>
      <c r="CH104" s="584">
        <v>52.5</v>
      </c>
      <c r="CI104" s="584">
        <v>186.071</v>
      </c>
      <c r="CJ104" s="584">
        <v>110</v>
      </c>
      <c r="CK104" s="584">
        <v>0.47499999999999998</v>
      </c>
      <c r="CL104" s="584">
        <v>0.14499999999999999</v>
      </c>
      <c r="CM104" s="584">
        <v>401.38262195122002</v>
      </c>
      <c r="CN104" s="584">
        <v>15.6584716503009</v>
      </c>
      <c r="CO104" s="584">
        <v>0</v>
      </c>
      <c r="CP104" s="584">
        <v>0</v>
      </c>
      <c r="CQ104" s="584">
        <v>0</v>
      </c>
      <c r="CR104" s="584">
        <v>0</v>
      </c>
      <c r="CS104" s="584">
        <v>0</v>
      </c>
      <c r="CT104" s="584">
        <v>0</v>
      </c>
      <c r="CU104" s="584">
        <v>0</v>
      </c>
      <c r="CV104" s="584">
        <v>0</v>
      </c>
      <c r="CW104" s="584">
        <v>0.47499999999999998</v>
      </c>
      <c r="CX104" s="584">
        <v>0</v>
      </c>
      <c r="CY104" s="584">
        <v>0.6</v>
      </c>
      <c r="CZ104" s="584">
        <v>134.22409999999999</v>
      </c>
      <c r="DA104" s="584">
        <v>25</v>
      </c>
      <c r="DB104" s="584">
        <v>203.38409999999999</v>
      </c>
      <c r="DC104" s="584">
        <v>52.5</v>
      </c>
      <c r="DD104" s="584">
        <v>209.48910000000001</v>
      </c>
      <c r="DE104" s="584">
        <v>110</v>
      </c>
      <c r="DF104" s="584">
        <v>0.35</v>
      </c>
      <c r="DG104" s="584">
        <v>0.2</v>
      </c>
      <c r="DH104" s="584">
        <v>374.50229648400398</v>
      </c>
      <c r="DI104" s="584">
        <v>22.098025498891399</v>
      </c>
      <c r="DJ104" s="584">
        <v>300</v>
      </c>
      <c r="DK104" s="584">
        <v>0</v>
      </c>
      <c r="DL104" s="584">
        <v>0</v>
      </c>
      <c r="DM104" s="584">
        <v>0</v>
      </c>
      <c r="DN104" s="584">
        <v>0</v>
      </c>
      <c r="DO104" s="584">
        <v>0</v>
      </c>
      <c r="DP104" s="584">
        <v>0</v>
      </c>
      <c r="DQ104" s="584">
        <v>0</v>
      </c>
      <c r="DR104" s="584">
        <v>0.35</v>
      </c>
      <c r="DS104" s="584">
        <v>0</v>
      </c>
      <c r="DT104" s="584">
        <v>2.4</v>
      </c>
      <c r="DU104" s="584">
        <v>141.29150000000001</v>
      </c>
      <c r="DV104" s="584">
        <v>25</v>
      </c>
      <c r="DW104" s="584">
        <v>235.11025000000001</v>
      </c>
      <c r="DX104" s="584">
        <v>52.5</v>
      </c>
      <c r="DY104" s="584">
        <v>321.82650000000001</v>
      </c>
      <c r="DZ104" s="584">
        <v>110</v>
      </c>
      <c r="EA104" s="1062">
        <v>0.51100000000000001</v>
      </c>
      <c r="EB104" s="1046">
        <v>0.2</v>
      </c>
      <c r="EC104" s="1093">
        <v>132.51783893985726</v>
      </c>
      <c r="ED104" s="1046">
        <v>0</v>
      </c>
      <c r="EE104" s="1046">
        <v>285.42303771661568</v>
      </c>
      <c r="EF104" s="1046">
        <v>15.632499999999999</v>
      </c>
      <c r="EG104" s="1046">
        <v>0</v>
      </c>
      <c r="EH104" s="1046">
        <v>0</v>
      </c>
      <c r="EI104" s="1046" t="s">
        <v>492</v>
      </c>
      <c r="EJ104" s="1046" t="s">
        <v>492</v>
      </c>
      <c r="EK104" s="1046">
        <v>0</v>
      </c>
      <c r="EL104" s="1046">
        <v>0</v>
      </c>
      <c r="EM104" s="1046">
        <v>0</v>
      </c>
      <c r="EN104" s="1046">
        <v>0</v>
      </c>
      <c r="EO104" s="1046">
        <v>0</v>
      </c>
      <c r="EP104" s="1094">
        <v>47.533548250000003</v>
      </c>
      <c r="EQ104" s="1094">
        <v>25</v>
      </c>
      <c r="ER104" s="1094">
        <v>95.067096500000005</v>
      </c>
      <c r="ES104" s="1095">
        <v>50</v>
      </c>
      <c r="ET104" s="1094">
        <v>190.13419300000001</v>
      </c>
      <c r="EU104" s="1094">
        <v>100</v>
      </c>
      <c r="EV104" s="1096">
        <v>0.50139999999999996</v>
      </c>
      <c r="EW104" s="1097">
        <v>0.15</v>
      </c>
      <c r="EX104" s="1096">
        <v>289.50050968399592</v>
      </c>
      <c r="EY104" s="1096">
        <v>1.5443934760448521</v>
      </c>
      <c r="EZ104" s="1096">
        <v>0</v>
      </c>
      <c r="FA104" s="1096">
        <v>15.75</v>
      </c>
      <c r="FB104" s="1098">
        <v>0</v>
      </c>
      <c r="FC104" s="1098">
        <v>0</v>
      </c>
      <c r="FD104" s="1098" t="s">
        <v>486</v>
      </c>
      <c r="FE104" s="1098" t="s">
        <v>481</v>
      </c>
      <c r="FF104" s="1098">
        <v>1</v>
      </c>
      <c r="FG104" s="1098">
        <v>0</v>
      </c>
      <c r="FH104" s="1098">
        <v>0</v>
      </c>
      <c r="FI104" s="1098">
        <v>0</v>
      </c>
      <c r="FJ104" s="1098">
        <v>0</v>
      </c>
      <c r="FK104" s="1096">
        <v>36.196580000000004</v>
      </c>
      <c r="FL104" s="1096">
        <v>25</v>
      </c>
      <c r="FM104" s="1096">
        <v>72.393160000000009</v>
      </c>
      <c r="FN104" s="1096">
        <v>50</v>
      </c>
      <c r="FO104" s="1096">
        <v>144.78632000000002</v>
      </c>
      <c r="FP104" s="1099">
        <v>100</v>
      </c>
      <c r="FQ104" s="1064">
        <v>0.57475999999999994</v>
      </c>
      <c r="FR104" s="1065">
        <v>0.15</v>
      </c>
      <c r="FS104" s="1066">
        <v>289.50050968399586</v>
      </c>
      <c r="FT104" s="1066">
        <v>3.1754272996334754</v>
      </c>
      <c r="FU104" s="1065"/>
      <c r="FV104" s="1066">
        <v>35.959561434372851</v>
      </c>
      <c r="FW104" s="1065"/>
      <c r="FX104" s="1065"/>
      <c r="FY104" s="1065" t="s">
        <v>490</v>
      </c>
      <c r="FZ104" s="1065" t="s">
        <v>490</v>
      </c>
      <c r="GA104" s="1065">
        <v>1</v>
      </c>
      <c r="GB104" s="1065"/>
      <c r="GC104" s="1065"/>
      <c r="GD104" s="1065"/>
      <c r="GE104" s="1065"/>
      <c r="GF104" s="1066">
        <v>37.239142394806017</v>
      </c>
      <c r="GG104" s="1066">
        <v>25</v>
      </c>
      <c r="GH104" s="1066">
        <v>74.478284789612033</v>
      </c>
      <c r="GI104" s="1066">
        <v>50</v>
      </c>
      <c r="GJ104" s="1066">
        <v>148.95656957922407</v>
      </c>
      <c r="GK104" s="1066">
        <v>100</v>
      </c>
      <c r="GL104" s="584">
        <v>0.50800000000000001</v>
      </c>
      <c r="GM104" s="584">
        <v>0.11</v>
      </c>
      <c r="GN104" s="584"/>
      <c r="GO104" s="584"/>
      <c r="GP104" s="584"/>
      <c r="GQ104" s="584">
        <v>19.125</v>
      </c>
      <c r="GR104" s="584"/>
      <c r="GS104" s="584">
        <v>56.065239551478101</v>
      </c>
      <c r="GT104" s="584" t="s">
        <v>500</v>
      </c>
      <c r="GU104" s="584" t="s">
        <v>473</v>
      </c>
      <c r="GV104" s="584">
        <v>1</v>
      </c>
      <c r="GW104" s="584"/>
      <c r="GX104" s="584"/>
      <c r="GY104" s="584"/>
      <c r="GZ104" s="584"/>
      <c r="HA104" s="584">
        <v>12.3761625</v>
      </c>
      <c r="HB104" s="584">
        <v>25</v>
      </c>
      <c r="HC104" s="584">
        <v>24.752324999999999</v>
      </c>
      <c r="HD104" s="584">
        <v>50</v>
      </c>
      <c r="HE104" s="584">
        <v>49.504649999999998</v>
      </c>
      <c r="HF104" s="584">
        <v>100</v>
      </c>
      <c r="HG104" s="1100">
        <v>0.63</v>
      </c>
      <c r="HH104" s="1100">
        <v>0.11</v>
      </c>
      <c r="HI104" s="1101">
        <v>0</v>
      </c>
      <c r="HJ104" s="1101">
        <v>0</v>
      </c>
      <c r="HK104" s="1101">
        <v>0</v>
      </c>
      <c r="HL104" s="1101">
        <v>0</v>
      </c>
      <c r="HM104" s="1101">
        <v>31.265999999999995</v>
      </c>
      <c r="HN104" s="1101">
        <v>54.999999999999993</v>
      </c>
      <c r="HO104" s="1101">
        <v>0</v>
      </c>
      <c r="HP104" s="1101">
        <v>0</v>
      </c>
      <c r="HQ104" s="1101">
        <v>1</v>
      </c>
      <c r="HR104" s="1101">
        <v>0.44</v>
      </c>
      <c r="HS104" s="1101">
        <v>0.52</v>
      </c>
      <c r="HT104" s="1101">
        <v>0.28000000000000003</v>
      </c>
      <c r="HU104" s="1101">
        <v>0.26</v>
      </c>
      <c r="HV104" s="1101">
        <v>13.462694600000001</v>
      </c>
      <c r="HW104" s="1101">
        <v>25</v>
      </c>
      <c r="HX104" s="1101">
        <v>26.925389200000001</v>
      </c>
      <c r="HY104" s="1101">
        <v>50</v>
      </c>
      <c r="HZ104" s="1101">
        <v>53.850778400000003</v>
      </c>
      <c r="IA104" s="1101">
        <v>100</v>
      </c>
      <c r="IB104" s="1102"/>
      <c r="IC104" s="1092"/>
      <c r="ID104" s="1050"/>
      <c r="IE104" s="1050"/>
      <c r="IF104" s="1103"/>
      <c r="IG104" s="1103"/>
      <c r="IH104" s="1103"/>
      <c r="II104" s="1103"/>
      <c r="IJ104" s="1103"/>
      <c r="IK104" s="1103"/>
      <c r="IL104" s="1103"/>
      <c r="IM104" s="1050"/>
      <c r="IN104" s="1050"/>
      <c r="IO104" s="1050"/>
      <c r="IP104" s="1050"/>
      <c r="IQ104" s="1103"/>
      <c r="IR104" s="1103"/>
      <c r="IS104" s="1103"/>
      <c r="IT104" s="1103"/>
      <c r="IU104" s="1103"/>
      <c r="IV104" s="1103"/>
      <c r="JR104" s="1092"/>
      <c r="JS104" s="1092"/>
      <c r="JU104" s="1050"/>
      <c r="JV104" s="1103"/>
      <c r="JW104" s="1103"/>
      <c r="JX104" s="1103"/>
      <c r="JY104" s="1103"/>
      <c r="JZ104" s="1103"/>
      <c r="KA104" s="1103"/>
      <c r="KB104" s="1103"/>
      <c r="KC104" s="1050"/>
      <c r="KD104" s="1050"/>
      <c r="KE104" s="1050"/>
      <c r="KF104" s="1050"/>
      <c r="KG104" s="1103"/>
      <c r="KH104" s="1103"/>
      <c r="KI104" s="1103"/>
      <c r="KJ104" s="1103"/>
      <c r="KK104" s="1103"/>
      <c r="KL104" s="1103"/>
      <c r="KM104" s="1103"/>
      <c r="KN104" s="1103"/>
    </row>
    <row r="105" spans="2:300">
      <c r="B105" s="1048" t="str">
        <f t="shared" si="4"/>
        <v>R59</v>
      </c>
      <c r="C105" s="1092">
        <v>5</v>
      </c>
      <c r="D105" s="1092">
        <v>9</v>
      </c>
      <c r="E105" s="584">
        <v>0.28999999999999998</v>
      </c>
      <c r="F105" s="584">
        <v>0.28999999999999998</v>
      </c>
      <c r="G105" s="584">
        <v>696</v>
      </c>
      <c r="H105" s="584">
        <v>17.399999999999999</v>
      </c>
      <c r="I105" s="584">
        <v>0</v>
      </c>
      <c r="J105" s="584">
        <v>0</v>
      </c>
      <c r="K105" s="584">
        <v>0</v>
      </c>
      <c r="L105" s="584">
        <v>0</v>
      </c>
      <c r="M105" s="584">
        <v>0</v>
      </c>
      <c r="N105" s="584">
        <v>0</v>
      </c>
      <c r="O105" s="584">
        <v>0</v>
      </c>
      <c r="P105" s="584">
        <v>0</v>
      </c>
      <c r="Q105" s="584">
        <v>0</v>
      </c>
      <c r="R105" s="584">
        <v>0</v>
      </c>
      <c r="S105" s="584">
        <v>0</v>
      </c>
      <c r="T105" s="584">
        <v>177.72493750000001</v>
      </c>
      <c r="U105" s="584">
        <v>28.125</v>
      </c>
      <c r="V105" s="584">
        <v>302.96868749999999</v>
      </c>
      <c r="W105" s="584">
        <v>59.0625</v>
      </c>
      <c r="X105" s="584">
        <v>392.61599999999999</v>
      </c>
      <c r="Y105" s="584">
        <v>123.75</v>
      </c>
      <c r="Z105" s="584">
        <v>0.24</v>
      </c>
      <c r="AA105" s="584">
        <v>0.24</v>
      </c>
      <c r="AB105" s="584">
        <v>576</v>
      </c>
      <c r="AC105" s="584">
        <v>15</v>
      </c>
      <c r="AD105" s="584">
        <v>0</v>
      </c>
      <c r="AE105" s="584">
        <v>0</v>
      </c>
      <c r="AF105" s="584">
        <v>0</v>
      </c>
      <c r="AG105" s="584">
        <v>0</v>
      </c>
      <c r="AH105" s="584">
        <v>0</v>
      </c>
      <c r="AI105" s="584">
        <v>0</v>
      </c>
      <c r="AJ105" s="584">
        <v>0</v>
      </c>
      <c r="AK105" s="584">
        <v>0</v>
      </c>
      <c r="AL105" s="584">
        <v>0</v>
      </c>
      <c r="AM105" s="584">
        <v>0</v>
      </c>
      <c r="AN105" s="584">
        <v>0</v>
      </c>
      <c r="AO105" s="584">
        <v>161.8624375</v>
      </c>
      <c r="AP105" s="584">
        <v>28.125</v>
      </c>
      <c r="AQ105" s="584">
        <v>271.07493749999998</v>
      </c>
      <c r="AR105" s="584">
        <v>59.0625</v>
      </c>
      <c r="AS105" s="584">
        <v>330.74099999999999</v>
      </c>
      <c r="AT105" s="584">
        <v>123.75</v>
      </c>
      <c r="AU105" s="584">
        <v>0.57499999999999996</v>
      </c>
      <c r="AV105" s="584">
        <v>0.25</v>
      </c>
      <c r="AW105" s="584">
        <v>451.14395115753803</v>
      </c>
      <c r="AX105" s="584">
        <v>17.399368294748701</v>
      </c>
      <c r="AY105" s="584">
        <v>0</v>
      </c>
      <c r="AZ105" s="584">
        <v>0</v>
      </c>
      <c r="BA105" s="584">
        <v>0</v>
      </c>
      <c r="BB105" s="584">
        <v>0</v>
      </c>
      <c r="BC105" s="584">
        <v>0</v>
      </c>
      <c r="BD105" s="584">
        <v>0</v>
      </c>
      <c r="BE105" s="584">
        <v>0</v>
      </c>
      <c r="BF105" s="584">
        <v>0</v>
      </c>
      <c r="BG105" s="584">
        <v>0.57499999999999996</v>
      </c>
      <c r="BH105" s="584">
        <v>0</v>
      </c>
      <c r="BI105" s="584">
        <v>0.3</v>
      </c>
      <c r="BJ105" s="584">
        <v>152.08583462732901</v>
      </c>
      <c r="BK105" s="584">
        <v>28.125</v>
      </c>
      <c r="BL105" s="584">
        <v>241.104497282609</v>
      </c>
      <c r="BM105" s="584">
        <v>59.0625</v>
      </c>
      <c r="BN105" s="584">
        <v>263.09236024844699</v>
      </c>
      <c r="BO105" s="584">
        <v>123.75</v>
      </c>
      <c r="BP105" s="584">
        <v>0.47499999999999998</v>
      </c>
      <c r="BQ105" s="584">
        <v>0.125</v>
      </c>
      <c r="BR105" s="584">
        <v>401.73913043478302</v>
      </c>
      <c r="BS105" s="584">
        <v>24.020892151326901</v>
      </c>
      <c r="BT105" s="584">
        <v>0</v>
      </c>
      <c r="BU105" s="584">
        <v>0</v>
      </c>
      <c r="BV105" s="584">
        <v>0</v>
      </c>
      <c r="BW105" s="584">
        <v>0</v>
      </c>
      <c r="BX105" s="584">
        <v>0</v>
      </c>
      <c r="BY105" s="584">
        <v>0</v>
      </c>
      <c r="BZ105" s="584">
        <v>0</v>
      </c>
      <c r="CA105" s="584">
        <v>0.22500000000000001</v>
      </c>
      <c r="CB105" s="584">
        <v>0.47499999999999998</v>
      </c>
      <c r="CC105" s="584">
        <v>0.3</v>
      </c>
      <c r="CD105" s="584">
        <v>0.3</v>
      </c>
      <c r="CE105" s="584">
        <v>149.46174999999999</v>
      </c>
      <c r="CF105" s="584">
        <v>28.125</v>
      </c>
      <c r="CG105" s="584">
        <v>238.63987499999999</v>
      </c>
      <c r="CH105" s="584">
        <v>59.0625</v>
      </c>
      <c r="CI105" s="584">
        <v>214.16550000000001</v>
      </c>
      <c r="CJ105" s="584">
        <v>123.75</v>
      </c>
      <c r="CK105" s="584">
        <v>0.55000000000000004</v>
      </c>
      <c r="CL105" s="584">
        <v>0.14499999999999999</v>
      </c>
      <c r="CM105" s="584">
        <v>413.21267998306001</v>
      </c>
      <c r="CN105" s="584">
        <v>15.5345906267645</v>
      </c>
      <c r="CO105" s="584">
        <v>0</v>
      </c>
      <c r="CP105" s="584">
        <v>0</v>
      </c>
      <c r="CQ105" s="584">
        <v>0</v>
      </c>
      <c r="CR105" s="584">
        <v>0</v>
      </c>
      <c r="CS105" s="584">
        <v>0</v>
      </c>
      <c r="CT105" s="584">
        <v>0</v>
      </c>
      <c r="CU105" s="584">
        <v>0</v>
      </c>
      <c r="CV105" s="584">
        <v>0</v>
      </c>
      <c r="CW105" s="584">
        <v>0.55000000000000004</v>
      </c>
      <c r="CX105" s="584">
        <v>0</v>
      </c>
      <c r="CY105" s="584">
        <v>0.6</v>
      </c>
      <c r="CZ105" s="584">
        <v>148.65122500000001</v>
      </c>
      <c r="DA105" s="584">
        <v>28.125</v>
      </c>
      <c r="DB105" s="584">
        <v>231.3981</v>
      </c>
      <c r="DC105" s="584">
        <v>59.0625</v>
      </c>
      <c r="DD105" s="584">
        <v>239.53184999999999</v>
      </c>
      <c r="DE105" s="584">
        <v>123.75</v>
      </c>
      <c r="DF105" s="584">
        <v>0.35</v>
      </c>
      <c r="DG105" s="584">
        <v>0.2</v>
      </c>
      <c r="DH105" s="584">
        <v>382.767857142857</v>
      </c>
      <c r="DI105" s="584">
        <v>21.145754234895499</v>
      </c>
      <c r="DJ105" s="584">
        <v>300</v>
      </c>
      <c r="DK105" s="584">
        <v>0</v>
      </c>
      <c r="DL105" s="584">
        <v>0</v>
      </c>
      <c r="DM105" s="584">
        <v>0</v>
      </c>
      <c r="DN105" s="584">
        <v>0</v>
      </c>
      <c r="DO105" s="584">
        <v>0</v>
      </c>
      <c r="DP105" s="584">
        <v>0</v>
      </c>
      <c r="DQ105" s="584">
        <v>0</v>
      </c>
      <c r="DR105" s="584">
        <v>0.35</v>
      </c>
      <c r="DS105" s="584">
        <v>0</v>
      </c>
      <c r="DT105" s="584">
        <v>2.4</v>
      </c>
      <c r="DU105" s="584">
        <v>157.16725</v>
      </c>
      <c r="DV105" s="584">
        <v>28.125</v>
      </c>
      <c r="DW105" s="584">
        <v>254.81725</v>
      </c>
      <c r="DX105" s="584">
        <v>59.0625</v>
      </c>
      <c r="DY105" s="584">
        <v>360.97649999999999</v>
      </c>
      <c r="DZ105" s="584">
        <v>123.75</v>
      </c>
      <c r="EA105" s="1062">
        <v>0.60799999999999998</v>
      </c>
      <c r="EB105" s="1046">
        <v>0.25</v>
      </c>
      <c r="EC105" s="1093">
        <v>132.51783893985731</v>
      </c>
      <c r="ED105" s="1046">
        <v>0</v>
      </c>
      <c r="EE105" s="1046">
        <v>346.58511722731902</v>
      </c>
      <c r="EF105" s="1046">
        <v>17.066666666666666</v>
      </c>
      <c r="EG105" s="1046">
        <v>0</v>
      </c>
      <c r="EH105" s="1046">
        <v>0</v>
      </c>
      <c r="EI105" s="1046" t="s">
        <v>479</v>
      </c>
      <c r="EJ105" s="1046" t="s">
        <v>477</v>
      </c>
      <c r="EK105" s="1046">
        <v>0</v>
      </c>
      <c r="EL105" s="1046">
        <v>0</v>
      </c>
      <c r="EM105" s="1046">
        <v>0</v>
      </c>
      <c r="EN105" s="1046">
        <v>0</v>
      </c>
      <c r="EO105" s="1046">
        <v>0</v>
      </c>
      <c r="EP105" s="1094">
        <v>60.383520000000004</v>
      </c>
      <c r="EQ105" s="1094">
        <v>28.125</v>
      </c>
      <c r="ER105" s="1094">
        <v>120.76704000000001</v>
      </c>
      <c r="ES105" s="1095">
        <v>56.25</v>
      </c>
      <c r="ET105" s="1094">
        <v>241.53408000000002</v>
      </c>
      <c r="EU105" s="1094">
        <v>112.5</v>
      </c>
      <c r="EV105" s="1096">
        <v>0.505</v>
      </c>
      <c r="EW105" s="1097">
        <v>0.15</v>
      </c>
      <c r="EX105" s="1096">
        <v>289.50050968399592</v>
      </c>
      <c r="EY105" s="1096">
        <v>1.5443934760448521</v>
      </c>
      <c r="EZ105" s="1096">
        <v>0</v>
      </c>
      <c r="FA105" s="1096">
        <v>14.666666666666666</v>
      </c>
      <c r="FB105" s="1098">
        <v>0</v>
      </c>
      <c r="FC105" s="1098">
        <v>0</v>
      </c>
      <c r="FD105" s="1098" t="s">
        <v>479</v>
      </c>
      <c r="FE105" s="1098" t="s">
        <v>481</v>
      </c>
      <c r="FF105" s="1098">
        <v>1</v>
      </c>
      <c r="FG105" s="1098">
        <v>0</v>
      </c>
      <c r="FH105" s="1098">
        <v>0</v>
      </c>
      <c r="FI105" s="1098">
        <v>0</v>
      </c>
      <c r="FJ105" s="1098">
        <v>0</v>
      </c>
      <c r="FK105" s="1096">
        <v>40.601593125000008</v>
      </c>
      <c r="FL105" s="1096">
        <v>28.125</v>
      </c>
      <c r="FM105" s="1096">
        <v>81.203186250000016</v>
      </c>
      <c r="FN105" s="1096">
        <v>56.25</v>
      </c>
      <c r="FO105" s="1096">
        <v>162.40637250000003</v>
      </c>
      <c r="FP105" s="1099">
        <v>112.5</v>
      </c>
      <c r="FQ105" s="1064">
        <v>0.57475999999999994</v>
      </c>
      <c r="FR105" s="1065">
        <v>0.15</v>
      </c>
      <c r="FS105" s="1066">
        <v>289.50050968399586</v>
      </c>
      <c r="FT105" s="1066">
        <v>3.1754272996334754</v>
      </c>
      <c r="FU105" s="1065"/>
      <c r="FV105" s="1066">
        <v>35.346421571498887</v>
      </c>
      <c r="FW105" s="1065"/>
      <c r="FX105" s="1065"/>
      <c r="FY105" s="1065" t="s">
        <v>490</v>
      </c>
      <c r="FZ105" s="1065" t="s">
        <v>490</v>
      </c>
      <c r="GA105" s="1065">
        <v>1</v>
      </c>
      <c r="GB105" s="1065"/>
      <c r="GC105" s="1065"/>
      <c r="GD105" s="1065"/>
      <c r="GE105" s="1065"/>
      <c r="GF105" s="1066">
        <v>41.826367546040338</v>
      </c>
      <c r="GG105" s="1066">
        <v>28.125</v>
      </c>
      <c r="GH105" s="1066">
        <v>83.652735092080675</v>
      </c>
      <c r="GI105" s="1066">
        <v>56.25</v>
      </c>
      <c r="GJ105" s="1066">
        <v>167.30547018416135</v>
      </c>
      <c r="GK105" s="1066">
        <v>112.5</v>
      </c>
      <c r="GL105" s="584">
        <v>0.55979999999999996</v>
      </c>
      <c r="GM105" s="584">
        <v>0.11</v>
      </c>
      <c r="GN105" s="584"/>
      <c r="GO105" s="584"/>
      <c r="GP105" s="584"/>
      <c r="GQ105" s="584">
        <v>24.564444444444401</v>
      </c>
      <c r="GR105" s="584"/>
      <c r="GS105" s="584">
        <v>56.065239551478101</v>
      </c>
      <c r="GT105" s="584" t="s">
        <v>498</v>
      </c>
      <c r="GU105" s="584" t="s">
        <v>461</v>
      </c>
      <c r="GV105" s="584">
        <v>1</v>
      </c>
      <c r="GW105" s="584"/>
      <c r="GX105" s="584"/>
      <c r="GY105" s="584"/>
      <c r="GZ105" s="584"/>
      <c r="HA105" s="584">
        <v>14.523493500000001</v>
      </c>
      <c r="HB105" s="584">
        <v>28.125</v>
      </c>
      <c r="HC105" s="584">
        <v>29.046987000000001</v>
      </c>
      <c r="HD105" s="584">
        <v>56.25</v>
      </c>
      <c r="HE105" s="584">
        <v>58.093974000000003</v>
      </c>
      <c r="HF105" s="584">
        <v>112.5</v>
      </c>
      <c r="HG105" s="1100">
        <v>0.71</v>
      </c>
      <c r="HH105" s="1100">
        <v>0.11</v>
      </c>
      <c r="HI105" s="1101">
        <v>0</v>
      </c>
      <c r="HJ105" s="1101">
        <v>0</v>
      </c>
      <c r="HK105" s="1101">
        <v>0</v>
      </c>
      <c r="HL105" s="1101">
        <v>0</v>
      </c>
      <c r="HM105" s="1101">
        <v>36.960000000000008</v>
      </c>
      <c r="HN105" s="1101">
        <v>54.999999999999993</v>
      </c>
      <c r="HO105" s="1101">
        <v>0</v>
      </c>
      <c r="HP105" s="1101">
        <v>0</v>
      </c>
      <c r="HQ105" s="1101">
        <v>1</v>
      </c>
      <c r="HR105" s="1101">
        <v>0.48</v>
      </c>
      <c r="HS105" s="1101">
        <v>0.6</v>
      </c>
      <c r="HT105" s="1101">
        <v>0.28000000000000003</v>
      </c>
      <c r="HU105" s="1101">
        <v>0.28000000000000003</v>
      </c>
      <c r="HV105" s="1101">
        <v>15.7739355</v>
      </c>
      <c r="HW105" s="1101">
        <v>28.125</v>
      </c>
      <c r="HX105" s="1101">
        <v>31.547871000000001</v>
      </c>
      <c r="HY105" s="1101">
        <v>56.25</v>
      </c>
      <c r="HZ105" s="1101">
        <v>63.095742000000001</v>
      </c>
      <c r="IA105" s="1101">
        <v>112.5</v>
      </c>
      <c r="IB105" s="1102"/>
      <c r="IC105" s="1092"/>
      <c r="ID105" s="1050"/>
      <c r="IE105" s="1050"/>
      <c r="IF105" s="1103"/>
      <c r="IG105" s="1103"/>
      <c r="IH105" s="1103"/>
      <c r="II105" s="1103"/>
      <c r="IJ105" s="1103"/>
      <c r="IK105" s="1103"/>
      <c r="IL105" s="1103"/>
      <c r="IM105" s="1050"/>
      <c r="IN105" s="1050"/>
      <c r="IO105" s="1050"/>
      <c r="IP105" s="1050"/>
      <c r="IQ105" s="1103"/>
      <c r="IR105" s="1103"/>
      <c r="IS105" s="1103"/>
      <c r="IT105" s="1103"/>
      <c r="IU105" s="1103"/>
      <c r="IV105" s="1103"/>
      <c r="JR105" s="1092"/>
      <c r="JS105" s="1092"/>
      <c r="JU105" s="1050"/>
      <c r="JV105" s="1103"/>
      <c r="JW105" s="1103"/>
      <c r="JX105" s="1103"/>
      <c r="JY105" s="1103"/>
      <c r="JZ105" s="1103"/>
      <c r="KA105" s="1103"/>
      <c r="KB105" s="1103"/>
      <c r="KC105" s="1050"/>
      <c r="KD105" s="1050"/>
      <c r="KE105" s="1050"/>
      <c r="KF105" s="1050"/>
      <c r="KG105" s="1103"/>
      <c r="KH105" s="1103"/>
      <c r="KI105" s="1103"/>
      <c r="KJ105" s="1103"/>
      <c r="KK105" s="1103"/>
      <c r="KL105" s="1103"/>
      <c r="KM105" s="1103"/>
      <c r="KN105" s="1103"/>
    </row>
    <row r="106" spans="2:300">
      <c r="B106" s="1048" t="str">
        <f t="shared" si="4"/>
        <v>R510</v>
      </c>
      <c r="C106" s="1092">
        <v>5</v>
      </c>
      <c r="D106" s="1092">
        <v>10</v>
      </c>
      <c r="E106" s="584">
        <v>0.34499999999999997</v>
      </c>
      <c r="F106" s="584">
        <v>0.34499999999999997</v>
      </c>
      <c r="G106" s="584">
        <v>828</v>
      </c>
      <c r="H106" s="584">
        <v>18.285</v>
      </c>
      <c r="I106" s="584">
        <v>0</v>
      </c>
      <c r="J106" s="584">
        <v>0</v>
      </c>
      <c r="K106" s="584">
        <v>0</v>
      </c>
      <c r="L106" s="584">
        <v>0</v>
      </c>
      <c r="M106" s="584">
        <v>0</v>
      </c>
      <c r="N106" s="584">
        <v>0</v>
      </c>
      <c r="O106" s="584">
        <v>0</v>
      </c>
      <c r="P106" s="584">
        <v>0</v>
      </c>
      <c r="Q106" s="584">
        <v>0</v>
      </c>
      <c r="R106" s="584">
        <v>0</v>
      </c>
      <c r="S106" s="584">
        <v>0</v>
      </c>
      <c r="T106" s="584">
        <v>212.79243750000001</v>
      </c>
      <c r="U106" s="584">
        <v>31.25</v>
      </c>
      <c r="V106" s="584">
        <v>375.05118750000003</v>
      </c>
      <c r="W106" s="584">
        <v>65.625</v>
      </c>
      <c r="X106" s="584">
        <v>510.86599999999999</v>
      </c>
      <c r="Y106" s="584">
        <v>137.5</v>
      </c>
      <c r="Z106" s="584">
        <v>0.27500000000000002</v>
      </c>
      <c r="AA106" s="584">
        <v>0.27500000000000002</v>
      </c>
      <c r="AB106" s="584">
        <v>660</v>
      </c>
      <c r="AC106" s="584">
        <v>15</v>
      </c>
      <c r="AD106" s="584">
        <v>0</v>
      </c>
      <c r="AE106" s="584">
        <v>0</v>
      </c>
      <c r="AF106" s="584">
        <v>0</v>
      </c>
      <c r="AG106" s="584">
        <v>0</v>
      </c>
      <c r="AH106" s="584">
        <v>0</v>
      </c>
      <c r="AI106" s="584">
        <v>0</v>
      </c>
      <c r="AJ106" s="584">
        <v>0</v>
      </c>
      <c r="AK106" s="584">
        <v>0</v>
      </c>
      <c r="AL106" s="584">
        <v>0</v>
      </c>
      <c r="AM106" s="584">
        <v>0</v>
      </c>
      <c r="AN106" s="584">
        <v>0</v>
      </c>
      <c r="AO106" s="584">
        <v>188.22243750000001</v>
      </c>
      <c r="AP106" s="584">
        <v>31.25</v>
      </c>
      <c r="AQ106" s="584">
        <v>325.43868750000001</v>
      </c>
      <c r="AR106" s="584">
        <v>65.625</v>
      </c>
      <c r="AS106" s="584">
        <v>414.61599999999999</v>
      </c>
      <c r="AT106" s="584">
        <v>137.5</v>
      </c>
      <c r="AU106" s="584">
        <v>0.67500000000000004</v>
      </c>
      <c r="AV106" s="584">
        <v>0.25</v>
      </c>
      <c r="AW106" s="584">
        <v>473.19470970206299</v>
      </c>
      <c r="AX106" s="584">
        <v>17.607429335370501</v>
      </c>
      <c r="AY106" s="584">
        <v>0</v>
      </c>
      <c r="AZ106" s="584">
        <v>0</v>
      </c>
      <c r="BA106" s="584">
        <v>0</v>
      </c>
      <c r="BB106" s="584">
        <v>0</v>
      </c>
      <c r="BC106" s="584">
        <v>0</v>
      </c>
      <c r="BD106" s="584">
        <v>0</v>
      </c>
      <c r="BE106" s="584">
        <v>0</v>
      </c>
      <c r="BF106" s="584">
        <v>0</v>
      </c>
      <c r="BG106" s="584">
        <v>0.67500000000000004</v>
      </c>
      <c r="BH106" s="584">
        <v>0</v>
      </c>
      <c r="BI106" s="584">
        <v>0.3</v>
      </c>
      <c r="BJ106" s="584">
        <v>169.07443172268901</v>
      </c>
      <c r="BK106" s="584">
        <v>31.25</v>
      </c>
      <c r="BL106" s="584">
        <v>273.69014338235303</v>
      </c>
      <c r="BM106" s="584">
        <v>65.625</v>
      </c>
      <c r="BN106" s="584">
        <v>301.24212605041998</v>
      </c>
      <c r="BO106" s="584">
        <v>137.5</v>
      </c>
      <c r="BP106" s="584">
        <v>0.55000000000000004</v>
      </c>
      <c r="BQ106" s="584">
        <v>0.125</v>
      </c>
      <c r="BR106" s="584">
        <v>429.09854851031298</v>
      </c>
      <c r="BS106" s="584">
        <v>30.963903743315502</v>
      </c>
      <c r="BT106" s="584">
        <v>0</v>
      </c>
      <c r="BU106" s="584">
        <v>0</v>
      </c>
      <c r="BV106" s="584">
        <v>0</v>
      </c>
      <c r="BW106" s="584">
        <v>0</v>
      </c>
      <c r="BX106" s="584">
        <v>0</v>
      </c>
      <c r="BY106" s="584">
        <v>0</v>
      </c>
      <c r="BZ106" s="584">
        <v>0</v>
      </c>
      <c r="CA106" s="584">
        <v>0.22500000000000001</v>
      </c>
      <c r="CB106" s="584">
        <v>0.55000000000000004</v>
      </c>
      <c r="CC106" s="584">
        <v>0.3</v>
      </c>
      <c r="CD106" s="584">
        <v>0.3</v>
      </c>
      <c r="CE106" s="584">
        <v>169.41075000000001</v>
      </c>
      <c r="CF106" s="584">
        <v>31.25</v>
      </c>
      <c r="CG106" s="584">
        <v>273.57074999999998</v>
      </c>
      <c r="CH106" s="584">
        <v>65.625</v>
      </c>
      <c r="CI106" s="584">
        <v>242.00200000000001</v>
      </c>
      <c r="CJ106" s="584">
        <v>137.5</v>
      </c>
      <c r="CK106" s="584">
        <v>0.65</v>
      </c>
      <c r="CL106" s="584">
        <v>0.14499999999999999</v>
      </c>
      <c r="CM106" s="584">
        <v>429.18177043544699</v>
      </c>
      <c r="CN106" s="584">
        <v>15.6920664629488</v>
      </c>
      <c r="CO106" s="584">
        <v>0</v>
      </c>
      <c r="CP106" s="584">
        <v>0</v>
      </c>
      <c r="CQ106" s="584">
        <v>0</v>
      </c>
      <c r="CR106" s="584">
        <v>0</v>
      </c>
      <c r="CS106" s="584">
        <v>0</v>
      </c>
      <c r="CT106" s="584">
        <v>0</v>
      </c>
      <c r="CU106" s="584">
        <v>0</v>
      </c>
      <c r="CV106" s="584">
        <v>0</v>
      </c>
      <c r="CW106" s="584">
        <v>0.65</v>
      </c>
      <c r="CX106" s="584">
        <v>0</v>
      </c>
      <c r="CY106" s="584">
        <v>0.6</v>
      </c>
      <c r="CZ106" s="584">
        <v>164.49416249999999</v>
      </c>
      <c r="DA106" s="584">
        <v>31.25</v>
      </c>
      <c r="DB106" s="584">
        <v>261.60135000000002</v>
      </c>
      <c r="DC106" s="584">
        <v>65.625</v>
      </c>
      <c r="DD106" s="584">
        <v>272.51384999999999</v>
      </c>
      <c r="DE106" s="584">
        <v>137.5</v>
      </c>
      <c r="DF106" s="584">
        <v>0.35</v>
      </c>
      <c r="DG106" s="584">
        <v>0.2</v>
      </c>
      <c r="DH106" s="584">
        <v>393.53227654698202</v>
      </c>
      <c r="DI106" s="584">
        <v>20.214618411000799</v>
      </c>
      <c r="DJ106" s="584">
        <v>300</v>
      </c>
      <c r="DK106" s="584">
        <v>0</v>
      </c>
      <c r="DL106" s="584">
        <v>0</v>
      </c>
      <c r="DM106" s="584">
        <v>0</v>
      </c>
      <c r="DN106" s="584">
        <v>0</v>
      </c>
      <c r="DO106" s="584">
        <v>0</v>
      </c>
      <c r="DP106" s="584">
        <v>0</v>
      </c>
      <c r="DQ106" s="584">
        <v>0</v>
      </c>
      <c r="DR106" s="584">
        <v>0.35</v>
      </c>
      <c r="DS106" s="584">
        <v>0</v>
      </c>
      <c r="DT106" s="584">
        <v>2.4</v>
      </c>
      <c r="DU106" s="584">
        <v>174.66974999999999</v>
      </c>
      <c r="DV106" s="584">
        <v>31.25</v>
      </c>
      <c r="DW106" s="584">
        <v>274.46350000000001</v>
      </c>
      <c r="DX106" s="584">
        <v>65.625</v>
      </c>
      <c r="DY106" s="584">
        <v>400.12650000000002</v>
      </c>
      <c r="DZ106" s="584">
        <v>137.5</v>
      </c>
      <c r="EA106" s="1062">
        <v>0.71279999999999999</v>
      </c>
      <c r="EB106" s="1046">
        <v>0.3</v>
      </c>
      <c r="EC106" s="1093">
        <v>132.51783893985731</v>
      </c>
      <c r="ED106" s="1046">
        <v>0</v>
      </c>
      <c r="EE106" s="1046">
        <v>397.55351681957183</v>
      </c>
      <c r="EF106" s="1046">
        <v>20.54</v>
      </c>
      <c r="EG106" s="1046">
        <v>0</v>
      </c>
      <c r="EH106" s="1046">
        <v>0</v>
      </c>
      <c r="EI106" s="1046" t="s">
        <v>477</v>
      </c>
      <c r="EJ106" s="1046" t="s">
        <v>465</v>
      </c>
      <c r="EK106" s="1046">
        <v>0</v>
      </c>
      <c r="EL106" s="1046">
        <v>0</v>
      </c>
      <c r="EM106" s="1046">
        <v>0</v>
      </c>
      <c r="EN106" s="1046">
        <v>0</v>
      </c>
      <c r="EO106" s="1046">
        <v>0</v>
      </c>
      <c r="EP106" s="1094">
        <v>73.768717500000008</v>
      </c>
      <c r="EQ106" s="1094">
        <v>31.25</v>
      </c>
      <c r="ER106" s="1094">
        <v>147.53743500000002</v>
      </c>
      <c r="ES106" s="1095">
        <v>62.5</v>
      </c>
      <c r="ET106" s="1094">
        <v>295.07487000000003</v>
      </c>
      <c r="EU106" s="1094">
        <v>125</v>
      </c>
      <c r="EV106" s="1096">
        <v>0.55259999999999998</v>
      </c>
      <c r="EW106" s="1097">
        <v>0.15</v>
      </c>
      <c r="EX106" s="1096">
        <v>289.50050968399592</v>
      </c>
      <c r="EY106" s="1096">
        <v>1.5443934760448521</v>
      </c>
      <c r="EZ106" s="1096">
        <v>0</v>
      </c>
      <c r="FA106" s="1096">
        <v>16.52</v>
      </c>
      <c r="FB106" s="1098">
        <v>0</v>
      </c>
      <c r="FC106" s="1098">
        <v>0</v>
      </c>
      <c r="FD106" s="1098" t="s">
        <v>477</v>
      </c>
      <c r="FE106" s="1098" t="s">
        <v>468</v>
      </c>
      <c r="FF106" s="1098">
        <v>1</v>
      </c>
      <c r="FG106" s="1098">
        <v>0</v>
      </c>
      <c r="FH106" s="1098">
        <v>0</v>
      </c>
      <c r="FI106" s="1098">
        <v>0</v>
      </c>
      <c r="FJ106" s="1098">
        <v>0</v>
      </c>
      <c r="FK106" s="1096">
        <v>45.340146249999989</v>
      </c>
      <c r="FL106" s="1096">
        <v>31.25</v>
      </c>
      <c r="FM106" s="1096">
        <v>90.680292499999979</v>
      </c>
      <c r="FN106" s="1096">
        <v>62.5</v>
      </c>
      <c r="FO106" s="1096">
        <v>181.36058499999996</v>
      </c>
      <c r="FP106" s="1099">
        <v>125</v>
      </c>
      <c r="FQ106" s="1064">
        <v>0.64033371008606477</v>
      </c>
      <c r="FR106" s="1065">
        <v>0.15</v>
      </c>
      <c r="FS106" s="1066">
        <v>289.50050968399586</v>
      </c>
      <c r="FT106" s="1066">
        <v>3.1754272996334754</v>
      </c>
      <c r="FU106" s="1065"/>
      <c r="FV106" s="1066">
        <v>36.639888261145494</v>
      </c>
      <c r="FW106" s="1065"/>
      <c r="FX106" s="1065"/>
      <c r="FY106" s="1065" t="s">
        <v>490</v>
      </c>
      <c r="FZ106" s="1065" t="s">
        <v>481</v>
      </c>
      <c r="GA106" s="1065">
        <v>1</v>
      </c>
      <c r="GB106" s="1065"/>
      <c r="GC106" s="1065"/>
      <c r="GD106" s="1065"/>
      <c r="GE106" s="1065"/>
      <c r="GF106" s="1066">
        <v>46.632353070640519</v>
      </c>
      <c r="GG106" s="1066">
        <v>31.25</v>
      </c>
      <c r="GH106" s="1066">
        <v>93.264706141281039</v>
      </c>
      <c r="GI106" s="1066">
        <v>62.5</v>
      </c>
      <c r="GJ106" s="1066">
        <v>186.52941228256208</v>
      </c>
      <c r="GK106" s="1066">
        <v>125</v>
      </c>
      <c r="GL106" s="584">
        <v>0.63470000000000004</v>
      </c>
      <c r="GM106" s="584">
        <v>0.11</v>
      </c>
      <c r="GN106" s="584"/>
      <c r="GO106" s="584"/>
      <c r="GP106" s="584"/>
      <c r="GQ106" s="584">
        <v>29.59</v>
      </c>
      <c r="GR106" s="584"/>
      <c r="GS106" s="584">
        <v>56.065239551478101</v>
      </c>
      <c r="GT106" s="584" t="s">
        <v>484</v>
      </c>
      <c r="GU106" s="584" t="s">
        <v>438</v>
      </c>
      <c r="GV106" s="584">
        <v>1</v>
      </c>
      <c r="GW106" s="584"/>
      <c r="GX106" s="584"/>
      <c r="GY106" s="584"/>
      <c r="GZ106" s="584"/>
      <c r="HA106" s="584">
        <v>16.753473750000001</v>
      </c>
      <c r="HB106" s="584">
        <v>31.25</v>
      </c>
      <c r="HC106" s="584">
        <v>33.506947500000003</v>
      </c>
      <c r="HD106" s="584">
        <v>62.5</v>
      </c>
      <c r="HE106" s="584">
        <v>67.013895000000005</v>
      </c>
      <c r="HF106" s="584">
        <v>125</v>
      </c>
      <c r="HG106" s="1100">
        <v>0.79</v>
      </c>
      <c r="HH106" s="1100">
        <v>0.11</v>
      </c>
      <c r="HI106" s="1101">
        <v>0</v>
      </c>
      <c r="HJ106" s="1101">
        <v>0</v>
      </c>
      <c r="HK106" s="1101">
        <v>0</v>
      </c>
      <c r="HL106" s="1101">
        <v>0</v>
      </c>
      <c r="HM106" s="1101">
        <v>43.2</v>
      </c>
      <c r="HN106" s="1101">
        <v>54.999999999999993</v>
      </c>
      <c r="HO106" s="1101">
        <v>0</v>
      </c>
      <c r="HP106" s="1101">
        <v>0</v>
      </c>
      <c r="HQ106" s="1101">
        <v>1</v>
      </c>
      <c r="HR106" s="1101">
        <v>0.48</v>
      </c>
      <c r="HS106" s="1101">
        <v>0.68</v>
      </c>
      <c r="HT106" s="1101">
        <v>0.3</v>
      </c>
      <c r="HU106" s="1101">
        <v>0.3</v>
      </c>
      <c r="HV106" s="1101">
        <v>18.291774999999998</v>
      </c>
      <c r="HW106" s="1101">
        <v>31.25</v>
      </c>
      <c r="HX106" s="1101">
        <v>36.583549999999995</v>
      </c>
      <c r="HY106" s="1101">
        <v>62.5</v>
      </c>
      <c r="HZ106" s="1101">
        <v>73.167099999999991</v>
      </c>
      <c r="IA106" s="1101">
        <v>125</v>
      </c>
      <c r="IB106" s="1102"/>
      <c r="IC106" s="1092"/>
      <c r="ID106" s="1050"/>
      <c r="IE106" s="1050"/>
      <c r="IF106" s="1103"/>
      <c r="IG106" s="1103"/>
      <c r="IH106" s="1103"/>
      <c r="II106" s="1103"/>
      <c r="IJ106" s="1103"/>
      <c r="IK106" s="1103"/>
      <c r="IL106" s="1103"/>
      <c r="IM106" s="1050"/>
      <c r="IN106" s="1050"/>
      <c r="IO106" s="1050"/>
      <c r="IP106" s="1050"/>
      <c r="IQ106" s="1103"/>
      <c r="IR106" s="1103"/>
      <c r="IS106" s="1103"/>
      <c r="IT106" s="1103"/>
      <c r="IU106" s="1103"/>
      <c r="IV106" s="1103"/>
      <c r="JR106" s="1092"/>
      <c r="JS106" s="1092"/>
      <c r="JU106" s="1050"/>
      <c r="JV106" s="1103"/>
      <c r="JW106" s="1103"/>
      <c r="JX106" s="1103"/>
      <c r="JY106" s="1103"/>
      <c r="JZ106" s="1103"/>
      <c r="KA106" s="1103"/>
      <c r="KB106" s="1103"/>
      <c r="KC106" s="1050"/>
      <c r="KD106" s="1050"/>
      <c r="KE106" s="1050"/>
      <c r="KF106" s="1050"/>
      <c r="KG106" s="1103"/>
      <c r="KH106" s="1103"/>
      <c r="KI106" s="1103"/>
      <c r="KJ106" s="1103"/>
      <c r="KK106" s="1103"/>
      <c r="KL106" s="1103"/>
      <c r="KM106" s="1103"/>
      <c r="KN106" s="1103"/>
    </row>
    <row r="107" spans="2:300">
      <c r="B107" s="1048" t="str">
        <f t="shared" si="4"/>
        <v>R511</v>
      </c>
      <c r="C107" s="1092">
        <v>5</v>
      </c>
      <c r="D107" s="1092">
        <v>11</v>
      </c>
      <c r="E107" s="584">
        <v>0.39</v>
      </c>
      <c r="F107" s="584">
        <v>0.39</v>
      </c>
      <c r="G107" s="584">
        <v>936</v>
      </c>
      <c r="H107" s="584">
        <v>20.67</v>
      </c>
      <c r="I107" s="584">
        <v>0</v>
      </c>
      <c r="J107" s="584">
        <v>0</v>
      </c>
      <c r="K107" s="584">
        <v>0</v>
      </c>
      <c r="L107" s="584">
        <v>0</v>
      </c>
      <c r="M107" s="584">
        <v>0</v>
      </c>
      <c r="N107" s="584">
        <v>0</v>
      </c>
      <c r="O107" s="584">
        <v>0</v>
      </c>
      <c r="P107" s="584">
        <v>0</v>
      </c>
      <c r="Q107" s="584">
        <v>0</v>
      </c>
      <c r="R107" s="584">
        <v>0</v>
      </c>
      <c r="S107" s="584">
        <v>0</v>
      </c>
      <c r="T107" s="584">
        <v>247.72493750000001</v>
      </c>
      <c r="U107" s="584">
        <v>34.375</v>
      </c>
      <c r="V107" s="584">
        <v>447.13368750000001</v>
      </c>
      <c r="W107" s="584">
        <v>72.1875</v>
      </c>
      <c r="X107" s="584">
        <v>629.11599999999999</v>
      </c>
      <c r="Y107" s="584">
        <v>151.25</v>
      </c>
      <c r="Z107" s="584">
        <v>0.31</v>
      </c>
      <c r="AA107" s="584">
        <v>0.31</v>
      </c>
      <c r="AB107" s="584">
        <v>744</v>
      </c>
      <c r="AC107" s="584">
        <v>18</v>
      </c>
      <c r="AD107" s="584">
        <v>0</v>
      </c>
      <c r="AE107" s="584">
        <v>0</v>
      </c>
      <c r="AF107" s="584">
        <v>0</v>
      </c>
      <c r="AG107" s="584">
        <v>0</v>
      </c>
      <c r="AH107" s="584">
        <v>0</v>
      </c>
      <c r="AI107" s="584">
        <v>0</v>
      </c>
      <c r="AJ107" s="584">
        <v>0</v>
      </c>
      <c r="AK107" s="584">
        <v>0</v>
      </c>
      <c r="AL107" s="584">
        <v>0</v>
      </c>
      <c r="AM107" s="584">
        <v>0</v>
      </c>
      <c r="AN107" s="584">
        <v>0</v>
      </c>
      <c r="AO107" s="584">
        <v>216.94493750000001</v>
      </c>
      <c r="AP107" s="584">
        <v>34.375</v>
      </c>
      <c r="AQ107" s="584">
        <v>384.7636875</v>
      </c>
      <c r="AR107" s="584">
        <v>72.1875</v>
      </c>
      <c r="AS107" s="584">
        <v>508.11599999999999</v>
      </c>
      <c r="AT107" s="584">
        <v>151.25</v>
      </c>
      <c r="AU107" s="584">
        <v>0.77500000000000002</v>
      </c>
      <c r="AV107" s="584">
        <v>0.25</v>
      </c>
      <c r="AW107" s="584">
        <v>496.84021335807103</v>
      </c>
      <c r="AX107" s="584">
        <v>17.2455791975881</v>
      </c>
      <c r="AY107" s="584">
        <v>0</v>
      </c>
      <c r="AZ107" s="584">
        <v>0</v>
      </c>
      <c r="BA107" s="584">
        <v>0</v>
      </c>
      <c r="BB107" s="584">
        <v>0</v>
      </c>
      <c r="BC107" s="584">
        <v>0</v>
      </c>
      <c r="BD107" s="584">
        <v>0</v>
      </c>
      <c r="BE107" s="584">
        <v>0</v>
      </c>
      <c r="BF107" s="584">
        <v>0</v>
      </c>
      <c r="BG107" s="584">
        <v>0.77500000000000002</v>
      </c>
      <c r="BH107" s="584">
        <v>0</v>
      </c>
      <c r="BI107" s="584">
        <v>0.3</v>
      </c>
      <c r="BJ107" s="584">
        <v>188.87327455357101</v>
      </c>
      <c r="BK107" s="584">
        <v>34.375</v>
      </c>
      <c r="BL107" s="584">
        <v>310.49927343749999</v>
      </c>
      <c r="BM107" s="584">
        <v>72.1875</v>
      </c>
      <c r="BN107" s="584">
        <v>340.90107589285702</v>
      </c>
      <c r="BO107" s="584">
        <v>151.25</v>
      </c>
      <c r="BP107" s="584">
        <v>0</v>
      </c>
      <c r="BQ107" s="584">
        <v>0</v>
      </c>
      <c r="BR107" s="584">
        <v>0</v>
      </c>
      <c r="BS107" s="584">
        <v>0</v>
      </c>
      <c r="BT107" s="584">
        <v>0</v>
      </c>
      <c r="BU107" s="584">
        <v>0</v>
      </c>
      <c r="BV107" s="584">
        <v>0</v>
      </c>
      <c r="BW107" s="584">
        <v>0</v>
      </c>
      <c r="BX107" s="584">
        <v>0</v>
      </c>
      <c r="BY107" s="584">
        <v>0</v>
      </c>
      <c r="BZ107" s="584">
        <v>0</v>
      </c>
      <c r="CA107" s="584">
        <v>0</v>
      </c>
      <c r="CB107" s="584">
        <v>0</v>
      </c>
      <c r="CC107" s="584">
        <v>0</v>
      </c>
      <c r="CD107" s="584">
        <v>0</v>
      </c>
      <c r="CE107" s="584">
        <v>0</v>
      </c>
      <c r="CF107" s="584">
        <v>0</v>
      </c>
      <c r="CG107" s="584">
        <v>0</v>
      </c>
      <c r="CH107" s="584">
        <v>0</v>
      </c>
      <c r="CI107" s="584">
        <v>0</v>
      </c>
      <c r="CJ107" s="584">
        <v>0</v>
      </c>
      <c r="CK107" s="584">
        <v>0.75</v>
      </c>
      <c r="CL107" s="584">
        <v>0.14499999999999999</v>
      </c>
      <c r="CM107" s="584">
        <v>443.50329023654899</v>
      </c>
      <c r="CN107" s="584">
        <v>15.6288123260668</v>
      </c>
      <c r="CO107" s="584">
        <v>0</v>
      </c>
      <c r="CP107" s="584">
        <v>0</v>
      </c>
      <c r="CQ107" s="584">
        <v>0</v>
      </c>
      <c r="CR107" s="584">
        <v>0</v>
      </c>
      <c r="CS107" s="584">
        <v>0</v>
      </c>
      <c r="CT107" s="584">
        <v>0</v>
      </c>
      <c r="CU107" s="584">
        <v>0</v>
      </c>
      <c r="CV107" s="584">
        <v>0</v>
      </c>
      <c r="CW107" s="584">
        <v>0.75</v>
      </c>
      <c r="CX107" s="584">
        <v>0</v>
      </c>
      <c r="CY107" s="584">
        <v>0.6</v>
      </c>
      <c r="CZ107" s="584">
        <v>179.77459999999999</v>
      </c>
      <c r="DA107" s="584">
        <v>34.375</v>
      </c>
      <c r="DB107" s="584">
        <v>291.38272499999999</v>
      </c>
      <c r="DC107" s="584">
        <v>72.1875</v>
      </c>
      <c r="DD107" s="584">
        <v>306.99585000000002</v>
      </c>
      <c r="DE107" s="584">
        <v>151.25</v>
      </c>
      <c r="DF107" s="584">
        <v>0.35</v>
      </c>
      <c r="DG107" s="584">
        <v>0.2</v>
      </c>
      <c r="DH107" s="584">
        <v>404.46167671614103</v>
      </c>
      <c r="DI107" s="584">
        <v>19.957467880334001</v>
      </c>
      <c r="DJ107" s="584">
        <v>300</v>
      </c>
      <c r="DK107" s="584">
        <v>0</v>
      </c>
      <c r="DL107" s="584">
        <v>0</v>
      </c>
      <c r="DM107" s="584">
        <v>0</v>
      </c>
      <c r="DN107" s="584">
        <v>0</v>
      </c>
      <c r="DO107" s="584">
        <v>0</v>
      </c>
      <c r="DP107" s="584">
        <v>0</v>
      </c>
      <c r="DQ107" s="584">
        <v>0</v>
      </c>
      <c r="DR107" s="584">
        <v>0.35</v>
      </c>
      <c r="DS107" s="584">
        <v>0</v>
      </c>
      <c r="DT107" s="584">
        <v>2.4</v>
      </c>
      <c r="DU107" s="584">
        <v>193.10974999999999</v>
      </c>
      <c r="DV107" s="584">
        <v>34.375</v>
      </c>
      <c r="DW107" s="584">
        <v>294.10975000000002</v>
      </c>
      <c r="DX107" s="584">
        <v>72.1875</v>
      </c>
      <c r="DY107" s="584">
        <v>439.2765</v>
      </c>
      <c r="DZ107" s="584">
        <v>151.25</v>
      </c>
      <c r="EA107" s="1062">
        <v>0.76339999999999997</v>
      </c>
      <c r="EB107" s="1046">
        <v>0.3</v>
      </c>
      <c r="EC107" s="1093">
        <v>132.51783893985731</v>
      </c>
      <c r="ED107" s="1046">
        <v>0</v>
      </c>
      <c r="EE107" s="1046">
        <v>397.55351681957183</v>
      </c>
      <c r="EF107" s="1046">
        <v>23.96</v>
      </c>
      <c r="EG107" s="1046">
        <v>0</v>
      </c>
      <c r="EH107" s="1046">
        <v>0</v>
      </c>
      <c r="EI107" s="1046" t="s">
        <v>475</v>
      </c>
      <c r="EJ107" s="1046" t="s">
        <v>446</v>
      </c>
      <c r="EK107" s="1046">
        <v>0</v>
      </c>
      <c r="EL107" s="1046">
        <v>0</v>
      </c>
      <c r="EM107" s="1046">
        <v>0</v>
      </c>
      <c r="EN107" s="1046">
        <v>0</v>
      </c>
      <c r="EO107" s="1046">
        <v>0</v>
      </c>
      <c r="EP107" s="1094">
        <v>81.606904499999999</v>
      </c>
      <c r="EQ107" s="1094">
        <v>34.375</v>
      </c>
      <c r="ER107" s="1094">
        <v>163.213809</v>
      </c>
      <c r="ES107" s="1095">
        <v>68.75</v>
      </c>
      <c r="ET107" s="1094">
        <v>326.427618</v>
      </c>
      <c r="EU107" s="1094">
        <v>137.5</v>
      </c>
      <c r="EV107" s="1096">
        <v>0.5998</v>
      </c>
      <c r="EW107" s="1097">
        <v>0.15</v>
      </c>
      <c r="EX107" s="1096">
        <v>289.50050968399592</v>
      </c>
      <c r="EY107" s="1096">
        <v>1.5443934760448521</v>
      </c>
      <c r="EZ107" s="1096">
        <v>0</v>
      </c>
      <c r="FA107" s="1096">
        <v>15.923636363636362</v>
      </c>
      <c r="FB107" s="1098">
        <v>0</v>
      </c>
      <c r="FC107" s="1098">
        <v>0</v>
      </c>
      <c r="FD107" s="1098" t="s">
        <v>467</v>
      </c>
      <c r="FE107" s="1098" t="s">
        <v>461</v>
      </c>
      <c r="FF107" s="1098">
        <v>1</v>
      </c>
      <c r="FG107" s="1098">
        <v>0</v>
      </c>
      <c r="FH107" s="1098">
        <v>0</v>
      </c>
      <c r="FI107" s="1098">
        <v>0</v>
      </c>
      <c r="FJ107" s="1098">
        <v>0</v>
      </c>
      <c r="FK107" s="1096">
        <v>49.79371887500001</v>
      </c>
      <c r="FL107" s="1096">
        <v>34.375</v>
      </c>
      <c r="FM107" s="1096">
        <v>99.587437750000021</v>
      </c>
      <c r="FN107" s="1096">
        <v>68.75</v>
      </c>
      <c r="FO107" s="1096">
        <v>199.17487550000004</v>
      </c>
      <c r="FP107" s="1099">
        <v>137.5</v>
      </c>
      <c r="FQ107" s="1064">
        <v>0.78455946703562329</v>
      </c>
      <c r="FR107" s="1065">
        <v>0.15</v>
      </c>
      <c r="FS107" s="1066">
        <v>289.50050968399586</v>
      </c>
      <c r="FT107" s="1066">
        <v>3.1754272996334754</v>
      </c>
      <c r="FU107" s="1065"/>
      <c r="FV107" s="1066">
        <v>39.312194894270426</v>
      </c>
      <c r="FW107" s="1065"/>
      <c r="FX107" s="1065"/>
      <c r="FY107" s="1065" t="s">
        <v>490</v>
      </c>
      <c r="FZ107" s="1065" t="s">
        <v>461</v>
      </c>
      <c r="GA107" s="1065">
        <v>1</v>
      </c>
      <c r="GB107" s="1065"/>
      <c r="GC107" s="1065"/>
      <c r="GD107" s="1065"/>
      <c r="GE107" s="1065"/>
      <c r="GF107" s="1066">
        <v>51.65604913868021</v>
      </c>
      <c r="GG107" s="1066">
        <v>34.375</v>
      </c>
      <c r="GH107" s="1066">
        <v>103.31209827736042</v>
      </c>
      <c r="GI107" s="1066">
        <v>68.75</v>
      </c>
      <c r="GJ107" s="1066">
        <v>206.62419655472084</v>
      </c>
      <c r="GK107" s="1066">
        <v>137.5</v>
      </c>
      <c r="GL107" s="584">
        <v>0.70860000000000001</v>
      </c>
      <c r="GM107" s="584">
        <v>0.11</v>
      </c>
      <c r="GN107" s="584"/>
      <c r="GO107" s="584"/>
      <c r="GP107" s="584"/>
      <c r="GQ107" s="584">
        <v>36.265454545454503</v>
      </c>
      <c r="GR107" s="584"/>
      <c r="GS107" s="584">
        <v>56.065239551478101</v>
      </c>
      <c r="GT107" s="584" t="s">
        <v>473</v>
      </c>
      <c r="GU107" s="584" t="s">
        <v>416</v>
      </c>
      <c r="GV107" s="584">
        <v>1</v>
      </c>
      <c r="GW107" s="584"/>
      <c r="GX107" s="584"/>
      <c r="GY107" s="584"/>
      <c r="GZ107" s="584"/>
      <c r="HA107" s="584">
        <v>19.3292565</v>
      </c>
      <c r="HB107" s="584">
        <v>34.375</v>
      </c>
      <c r="HC107" s="584">
        <v>38.658512999999999</v>
      </c>
      <c r="HD107" s="584">
        <v>68.75</v>
      </c>
      <c r="HE107" s="584">
        <v>77.317025999999998</v>
      </c>
      <c r="HF107" s="584">
        <v>137.5</v>
      </c>
      <c r="HG107" s="1100">
        <v>0.91</v>
      </c>
      <c r="HH107" s="1100">
        <v>0.11</v>
      </c>
      <c r="HI107" s="1101">
        <v>0</v>
      </c>
      <c r="HJ107" s="1101">
        <v>0</v>
      </c>
      <c r="HK107" s="1101">
        <v>0</v>
      </c>
      <c r="HL107" s="1101">
        <v>0</v>
      </c>
      <c r="HM107" s="1101">
        <v>43.396363636363631</v>
      </c>
      <c r="HN107" s="1101">
        <v>54.999999999999993</v>
      </c>
      <c r="HO107" s="1101">
        <v>0</v>
      </c>
      <c r="HP107" s="1101">
        <v>0</v>
      </c>
      <c r="HQ107" s="1101">
        <v>1</v>
      </c>
      <c r="HR107" s="1101">
        <v>0.52</v>
      </c>
      <c r="HS107" s="1101">
        <v>0.8</v>
      </c>
      <c r="HT107" s="1101">
        <v>0.28000000000000003</v>
      </c>
      <c r="HU107" s="1101">
        <v>0.26</v>
      </c>
      <c r="HV107" s="1101">
        <v>20.147439499999997</v>
      </c>
      <c r="HW107" s="1101">
        <v>34.375</v>
      </c>
      <c r="HX107" s="1101">
        <v>40.294878999999995</v>
      </c>
      <c r="HY107" s="1101">
        <v>68.75</v>
      </c>
      <c r="HZ107" s="1101">
        <v>80.589757999999989</v>
      </c>
      <c r="IA107" s="1101">
        <v>137.5</v>
      </c>
      <c r="IB107" s="1102"/>
      <c r="IC107" s="1092"/>
      <c r="ID107" s="1050"/>
      <c r="IE107" s="1050"/>
      <c r="IF107" s="1103"/>
      <c r="IG107" s="1103"/>
      <c r="IH107" s="1103"/>
      <c r="II107" s="1103"/>
      <c r="IJ107" s="1103"/>
      <c r="IK107" s="1103"/>
      <c r="IL107" s="1103"/>
      <c r="IM107" s="1050"/>
      <c r="IN107" s="1050"/>
      <c r="IO107" s="1050"/>
      <c r="IP107" s="1050"/>
      <c r="IQ107" s="1103"/>
      <c r="IR107" s="1103"/>
      <c r="IS107" s="1103"/>
      <c r="IT107" s="1103"/>
      <c r="IU107" s="1103"/>
      <c r="IV107" s="1103"/>
      <c r="JR107" s="1092"/>
      <c r="JS107" s="1092"/>
      <c r="JU107" s="1050"/>
      <c r="JV107" s="1103"/>
      <c r="JW107" s="1103"/>
      <c r="JX107" s="1103"/>
      <c r="JY107" s="1103"/>
      <c r="JZ107" s="1103"/>
      <c r="KA107" s="1103"/>
      <c r="KB107" s="1103"/>
      <c r="KC107" s="1050"/>
      <c r="KD107" s="1050"/>
      <c r="KE107" s="1050"/>
      <c r="KF107" s="1050"/>
      <c r="KG107" s="1103"/>
      <c r="KH107" s="1103"/>
      <c r="KI107" s="1103"/>
      <c r="KJ107" s="1103"/>
      <c r="KK107" s="1103"/>
      <c r="KL107" s="1103"/>
      <c r="KM107" s="1103"/>
      <c r="KN107" s="1103"/>
    </row>
    <row r="108" spans="2:300">
      <c r="B108" s="1048" t="str">
        <f t="shared" si="4"/>
        <v>R512</v>
      </c>
      <c r="C108" s="1092">
        <v>5</v>
      </c>
      <c r="D108" s="1092">
        <v>12</v>
      </c>
      <c r="E108" s="584">
        <v>0.45</v>
      </c>
      <c r="F108" s="584">
        <v>0.45</v>
      </c>
      <c r="G108" s="584">
        <v>1080</v>
      </c>
      <c r="H108" s="584">
        <v>22.95</v>
      </c>
      <c r="I108" s="584">
        <v>0</v>
      </c>
      <c r="J108" s="584">
        <v>0</v>
      </c>
      <c r="K108" s="584">
        <v>0</v>
      </c>
      <c r="L108" s="584">
        <v>0</v>
      </c>
      <c r="M108" s="584">
        <v>0</v>
      </c>
      <c r="N108" s="584">
        <v>0</v>
      </c>
      <c r="O108" s="584">
        <v>0</v>
      </c>
      <c r="P108" s="584">
        <v>0</v>
      </c>
      <c r="Q108" s="584">
        <v>0</v>
      </c>
      <c r="R108" s="584">
        <v>0</v>
      </c>
      <c r="S108" s="584">
        <v>0</v>
      </c>
      <c r="T108" s="584">
        <v>291.97243750000001</v>
      </c>
      <c r="U108" s="584">
        <v>37.5</v>
      </c>
      <c r="V108" s="584">
        <v>538.35243749999995</v>
      </c>
      <c r="W108" s="584">
        <v>78.75</v>
      </c>
      <c r="X108" s="584">
        <v>784.49099999999999</v>
      </c>
      <c r="Y108" s="584">
        <v>165</v>
      </c>
      <c r="Z108" s="584">
        <v>0.34</v>
      </c>
      <c r="AA108" s="584">
        <v>0.34</v>
      </c>
      <c r="AB108" s="584">
        <v>816</v>
      </c>
      <c r="AC108" s="584">
        <v>18</v>
      </c>
      <c r="AD108" s="584">
        <v>0</v>
      </c>
      <c r="AE108" s="584">
        <v>0</v>
      </c>
      <c r="AF108" s="584">
        <v>0</v>
      </c>
      <c r="AG108" s="584">
        <v>0</v>
      </c>
      <c r="AH108" s="584">
        <v>0</v>
      </c>
      <c r="AI108" s="584">
        <v>0</v>
      </c>
      <c r="AJ108" s="584">
        <v>0</v>
      </c>
      <c r="AK108" s="584">
        <v>0</v>
      </c>
      <c r="AL108" s="584">
        <v>0</v>
      </c>
      <c r="AM108" s="584">
        <v>0</v>
      </c>
      <c r="AN108" s="584">
        <v>0</v>
      </c>
      <c r="AO108" s="584">
        <v>245.93743749999999</v>
      </c>
      <c r="AP108" s="584">
        <v>37.5</v>
      </c>
      <c r="AQ108" s="584">
        <v>444.7974375</v>
      </c>
      <c r="AR108" s="584">
        <v>78.75</v>
      </c>
      <c r="AS108" s="584">
        <v>602.99099999999999</v>
      </c>
      <c r="AT108" s="584">
        <v>165</v>
      </c>
      <c r="AU108" s="584">
        <v>0.9</v>
      </c>
      <c r="AV108" s="584">
        <v>0.25</v>
      </c>
      <c r="AW108" s="584">
        <v>495.91354854162199</v>
      </c>
      <c r="AX108" s="584">
        <v>17.585995715350201</v>
      </c>
      <c r="AY108" s="584">
        <v>0</v>
      </c>
      <c r="AZ108" s="584">
        <v>0</v>
      </c>
      <c r="BA108" s="584">
        <v>0</v>
      </c>
      <c r="BB108" s="584">
        <v>0</v>
      </c>
      <c r="BC108" s="584">
        <v>0</v>
      </c>
      <c r="BD108" s="584">
        <v>0</v>
      </c>
      <c r="BE108" s="584">
        <v>0</v>
      </c>
      <c r="BF108" s="584">
        <v>0</v>
      </c>
      <c r="BG108" s="584">
        <v>0.9</v>
      </c>
      <c r="BH108" s="584">
        <v>0</v>
      </c>
      <c r="BI108" s="584">
        <v>0.3</v>
      </c>
      <c r="BJ108" s="584">
        <v>201.32677444379399</v>
      </c>
      <c r="BK108" s="584">
        <v>37.5</v>
      </c>
      <c r="BL108" s="584">
        <v>336.13170491803299</v>
      </c>
      <c r="BM108" s="584">
        <v>78.75</v>
      </c>
      <c r="BN108" s="584">
        <v>375.77918149882902</v>
      </c>
      <c r="BO108" s="584">
        <v>165</v>
      </c>
      <c r="BP108" s="584">
        <v>0</v>
      </c>
      <c r="BQ108" s="584">
        <v>0</v>
      </c>
      <c r="BR108" s="584">
        <v>0</v>
      </c>
      <c r="BS108" s="584">
        <v>0</v>
      </c>
      <c r="BT108" s="584">
        <v>0</v>
      </c>
      <c r="BU108" s="584">
        <v>0</v>
      </c>
      <c r="BV108" s="584">
        <v>0</v>
      </c>
      <c r="BW108" s="584">
        <v>0</v>
      </c>
      <c r="BX108" s="584">
        <v>0</v>
      </c>
      <c r="BY108" s="584">
        <v>0</v>
      </c>
      <c r="BZ108" s="584">
        <v>0</v>
      </c>
      <c r="CA108" s="584">
        <v>0</v>
      </c>
      <c r="CB108" s="584">
        <v>0</v>
      </c>
      <c r="CC108" s="584">
        <v>0</v>
      </c>
      <c r="CD108" s="584">
        <v>0</v>
      </c>
      <c r="CE108" s="584">
        <v>0</v>
      </c>
      <c r="CF108" s="584">
        <v>0</v>
      </c>
      <c r="CG108" s="584">
        <v>0</v>
      </c>
      <c r="CH108" s="584">
        <v>0</v>
      </c>
      <c r="CI108" s="584">
        <v>0</v>
      </c>
      <c r="CJ108" s="584">
        <v>0</v>
      </c>
      <c r="CK108" s="584">
        <v>0.875</v>
      </c>
      <c r="CL108" s="584">
        <v>0.14499999999999999</v>
      </c>
      <c r="CM108" s="584">
        <v>461.930740366191</v>
      </c>
      <c r="CN108" s="584">
        <v>15.9372354694486</v>
      </c>
      <c r="CO108" s="584">
        <v>0</v>
      </c>
      <c r="CP108" s="584">
        <v>0</v>
      </c>
      <c r="CQ108" s="584">
        <v>0</v>
      </c>
      <c r="CR108" s="584">
        <v>0</v>
      </c>
      <c r="CS108" s="584">
        <v>0</v>
      </c>
      <c r="CT108" s="584">
        <v>0</v>
      </c>
      <c r="CU108" s="584">
        <v>0</v>
      </c>
      <c r="CV108" s="584">
        <v>0</v>
      </c>
      <c r="CW108" s="584">
        <v>0.875</v>
      </c>
      <c r="CX108" s="584">
        <v>0</v>
      </c>
      <c r="CY108" s="584">
        <v>0.6</v>
      </c>
      <c r="CZ108" s="584">
        <v>196.61147500000001</v>
      </c>
      <c r="DA108" s="584">
        <v>37.5</v>
      </c>
      <c r="DB108" s="584">
        <v>323.63459999999998</v>
      </c>
      <c r="DC108" s="584">
        <v>78.75</v>
      </c>
      <c r="DD108" s="584">
        <v>345.1671</v>
      </c>
      <c r="DE108" s="584">
        <v>165</v>
      </c>
      <c r="DF108" s="584">
        <v>0</v>
      </c>
      <c r="DG108" s="584">
        <v>0</v>
      </c>
      <c r="DH108" s="584">
        <v>0</v>
      </c>
      <c r="DI108" s="584">
        <v>0</v>
      </c>
      <c r="DJ108" s="584">
        <v>0</v>
      </c>
      <c r="DK108" s="584">
        <v>0</v>
      </c>
      <c r="DL108" s="584">
        <v>0</v>
      </c>
      <c r="DM108" s="584">
        <v>0</v>
      </c>
      <c r="DN108" s="584">
        <v>0</v>
      </c>
      <c r="DO108" s="584">
        <v>0</v>
      </c>
      <c r="DP108" s="584">
        <v>0</v>
      </c>
      <c r="DQ108" s="584">
        <v>0</v>
      </c>
      <c r="DR108" s="584">
        <v>0</v>
      </c>
      <c r="DS108" s="584">
        <v>0</v>
      </c>
      <c r="DT108" s="584">
        <v>0</v>
      </c>
      <c r="DU108" s="584">
        <v>0</v>
      </c>
      <c r="DV108" s="584">
        <v>0</v>
      </c>
      <c r="DW108" s="584">
        <v>0</v>
      </c>
      <c r="DX108" s="584">
        <v>0</v>
      </c>
      <c r="DY108" s="584">
        <v>0</v>
      </c>
      <c r="DZ108" s="584">
        <v>0</v>
      </c>
      <c r="EA108" s="1062">
        <v>0.8306</v>
      </c>
      <c r="EB108" s="1046">
        <v>0.35</v>
      </c>
      <c r="EC108" s="1093">
        <v>132.51783893985731</v>
      </c>
      <c r="ED108" s="1046">
        <v>0</v>
      </c>
      <c r="EE108" s="1046">
        <v>458.71559633027522</v>
      </c>
      <c r="EF108" s="1046">
        <v>32.251666666666672</v>
      </c>
      <c r="EG108" s="1046">
        <v>0</v>
      </c>
      <c r="EH108" s="1046">
        <v>0</v>
      </c>
      <c r="EI108" s="1046" t="s">
        <v>466</v>
      </c>
      <c r="EJ108" s="1046" t="s">
        <v>442</v>
      </c>
      <c r="EK108" s="1046">
        <v>0</v>
      </c>
      <c r="EL108" s="1046">
        <v>0</v>
      </c>
      <c r="EM108" s="1046">
        <v>0</v>
      </c>
      <c r="EN108" s="1046">
        <v>0</v>
      </c>
      <c r="EO108" s="1046">
        <v>0</v>
      </c>
      <c r="EP108" s="1094">
        <v>99.245832750000005</v>
      </c>
      <c r="EQ108" s="1094">
        <v>37.5</v>
      </c>
      <c r="ER108" s="1094">
        <v>198.49166550000001</v>
      </c>
      <c r="ES108" s="1095">
        <v>75</v>
      </c>
      <c r="ET108" s="1094">
        <v>396.98333100000002</v>
      </c>
      <c r="EU108" s="1094">
        <v>150</v>
      </c>
      <c r="EV108" s="1096">
        <v>0.60460000000000003</v>
      </c>
      <c r="EW108" s="1097">
        <v>0.15</v>
      </c>
      <c r="EX108" s="1096">
        <v>289.50050968399592</v>
      </c>
      <c r="EY108" s="1096">
        <v>1.5443934760448521</v>
      </c>
      <c r="EZ108" s="1096">
        <v>0</v>
      </c>
      <c r="FA108" s="1096">
        <v>15.443333333333332</v>
      </c>
      <c r="FB108" s="1098">
        <v>0</v>
      </c>
      <c r="FC108" s="1098">
        <v>0</v>
      </c>
      <c r="FD108" s="1098" t="s">
        <v>459</v>
      </c>
      <c r="FE108" s="1098" t="s">
        <v>461</v>
      </c>
      <c r="FF108" s="1098">
        <v>1</v>
      </c>
      <c r="FG108" s="1098">
        <v>0</v>
      </c>
      <c r="FH108" s="1098">
        <v>0</v>
      </c>
      <c r="FI108" s="1098">
        <v>0</v>
      </c>
      <c r="FJ108" s="1098">
        <v>0</v>
      </c>
      <c r="FK108" s="1096">
        <v>54.249744</v>
      </c>
      <c r="FL108" s="1096">
        <v>37.5</v>
      </c>
      <c r="FM108" s="1096">
        <v>108.499488</v>
      </c>
      <c r="FN108" s="1096">
        <v>75</v>
      </c>
      <c r="FO108" s="1096">
        <v>216.998976</v>
      </c>
      <c r="FP108" s="1099">
        <v>150</v>
      </c>
      <c r="FQ108" s="1064">
        <v>0.78935946703562321</v>
      </c>
      <c r="FR108" s="1065">
        <v>0.15</v>
      </c>
      <c r="FS108" s="1066">
        <v>289.50050968399586</v>
      </c>
      <c r="FT108" s="1066">
        <v>3.1754272996334754</v>
      </c>
      <c r="FU108" s="1065"/>
      <c r="FV108" s="1066">
        <v>42.583143517115275</v>
      </c>
      <c r="FW108" s="1065"/>
      <c r="FX108" s="1065"/>
      <c r="FY108" s="1065" t="s">
        <v>481</v>
      </c>
      <c r="FZ108" s="1065" t="s">
        <v>459</v>
      </c>
      <c r="GA108" s="1065">
        <v>1</v>
      </c>
      <c r="GB108" s="1065"/>
      <c r="GC108" s="1065"/>
      <c r="GD108" s="1065"/>
      <c r="GE108" s="1065"/>
      <c r="GF108" s="1066">
        <v>56.833373695684571</v>
      </c>
      <c r="GG108" s="1066">
        <v>37.5</v>
      </c>
      <c r="GH108" s="1066">
        <v>113.66674739136914</v>
      </c>
      <c r="GI108" s="1066">
        <v>75</v>
      </c>
      <c r="GJ108" s="1066">
        <v>227.33349478273828</v>
      </c>
      <c r="GK108" s="1066">
        <v>150</v>
      </c>
      <c r="GL108" s="584">
        <v>0.71299999999999997</v>
      </c>
      <c r="GM108" s="584">
        <v>0.11</v>
      </c>
      <c r="GN108" s="584"/>
      <c r="GO108" s="584"/>
      <c r="GP108" s="584"/>
      <c r="GQ108" s="584">
        <v>40.130000000000003</v>
      </c>
      <c r="GR108" s="584"/>
      <c r="GS108" s="584">
        <v>56.065239551478101</v>
      </c>
      <c r="GT108" s="584" t="s">
        <v>473</v>
      </c>
      <c r="GU108" s="584" t="s">
        <v>414</v>
      </c>
      <c r="GV108" s="584">
        <v>1</v>
      </c>
      <c r="GW108" s="584"/>
      <c r="GX108" s="584"/>
      <c r="GY108" s="584"/>
      <c r="GZ108" s="584"/>
      <c r="HA108" s="584">
        <v>21.655129500000001</v>
      </c>
      <c r="HB108" s="584">
        <v>37.5</v>
      </c>
      <c r="HC108" s="584">
        <v>43.310259000000002</v>
      </c>
      <c r="HD108" s="584">
        <v>75</v>
      </c>
      <c r="HE108" s="584">
        <v>86.620518000000004</v>
      </c>
      <c r="HF108" s="584">
        <v>150</v>
      </c>
      <c r="HG108" s="1100">
        <v>0.99</v>
      </c>
      <c r="HH108" s="1100">
        <v>0.11</v>
      </c>
      <c r="HI108" s="1101">
        <v>0</v>
      </c>
      <c r="HJ108" s="1101">
        <v>0</v>
      </c>
      <c r="HK108" s="1101">
        <v>0</v>
      </c>
      <c r="HL108" s="1101">
        <v>0</v>
      </c>
      <c r="HM108" s="1101">
        <v>50.231999999999999</v>
      </c>
      <c r="HN108" s="1101">
        <v>54.999999999999993</v>
      </c>
      <c r="HO108" s="1101">
        <v>0</v>
      </c>
      <c r="HP108" s="1101">
        <v>0</v>
      </c>
      <c r="HQ108" s="1101">
        <v>1</v>
      </c>
      <c r="HR108" s="1101">
        <v>0.56000000000000005</v>
      </c>
      <c r="HS108" s="1101">
        <v>0.88</v>
      </c>
      <c r="HT108" s="1101">
        <v>0.28000000000000003</v>
      </c>
      <c r="HU108" s="1101">
        <v>0.28000000000000003</v>
      </c>
      <c r="HV108" s="1101">
        <v>22.9848888</v>
      </c>
      <c r="HW108" s="1101">
        <v>37.5</v>
      </c>
      <c r="HX108" s="1101">
        <v>45.9697776</v>
      </c>
      <c r="HY108" s="1101">
        <v>75</v>
      </c>
      <c r="HZ108" s="1101">
        <v>91.939555200000001</v>
      </c>
      <c r="IA108" s="1101">
        <v>150</v>
      </c>
      <c r="IB108" s="1102"/>
      <c r="IC108" s="1092"/>
      <c r="ID108" s="1050"/>
      <c r="IE108" s="1050"/>
      <c r="IF108" s="1103"/>
      <c r="IG108" s="1103"/>
      <c r="IH108" s="1103"/>
      <c r="II108" s="1103"/>
      <c r="IJ108" s="1103"/>
      <c r="IK108" s="1103"/>
      <c r="IL108" s="1103"/>
      <c r="IM108" s="1050"/>
      <c r="IN108" s="1050"/>
      <c r="IO108" s="1050"/>
      <c r="IP108" s="1050"/>
      <c r="IQ108" s="1103"/>
      <c r="IR108" s="1103"/>
      <c r="IS108" s="1103"/>
      <c r="IT108" s="1103"/>
      <c r="IU108" s="1103"/>
      <c r="IV108" s="1103"/>
      <c r="JR108" s="1092"/>
      <c r="JS108" s="1092"/>
      <c r="JU108" s="1050"/>
      <c r="JV108" s="1103"/>
      <c r="JW108" s="1103"/>
      <c r="JX108" s="1103"/>
      <c r="JY108" s="1103"/>
      <c r="JZ108" s="1103"/>
      <c r="KA108" s="1103"/>
      <c r="KB108" s="1103"/>
      <c r="KC108" s="1050"/>
      <c r="KD108" s="1050"/>
      <c r="KE108" s="1050"/>
      <c r="KF108" s="1050"/>
      <c r="KG108" s="1103"/>
      <c r="KH108" s="1103"/>
      <c r="KI108" s="1103"/>
      <c r="KJ108" s="1103"/>
      <c r="KK108" s="1103"/>
      <c r="KL108" s="1103"/>
      <c r="KM108" s="1103"/>
      <c r="KN108" s="1103"/>
    </row>
    <row r="109" spans="2:300">
      <c r="B109" s="1048" t="str">
        <f t="shared" si="4"/>
        <v>R513</v>
      </c>
      <c r="C109" s="1092">
        <v>5</v>
      </c>
      <c r="D109" s="1092">
        <v>13</v>
      </c>
      <c r="E109" s="584">
        <v>0.45</v>
      </c>
      <c r="F109" s="584">
        <v>0.45</v>
      </c>
      <c r="G109" s="584">
        <v>1080</v>
      </c>
      <c r="H109" s="584">
        <v>22.5</v>
      </c>
      <c r="I109" s="584">
        <v>0</v>
      </c>
      <c r="J109" s="584">
        <v>0</v>
      </c>
      <c r="K109" s="584">
        <v>0</v>
      </c>
      <c r="L109" s="584">
        <v>0</v>
      </c>
      <c r="M109" s="584">
        <v>0</v>
      </c>
      <c r="N109" s="584">
        <v>0</v>
      </c>
      <c r="O109" s="584">
        <v>0</v>
      </c>
      <c r="P109" s="584">
        <v>0</v>
      </c>
      <c r="Q109" s="584">
        <v>0</v>
      </c>
      <c r="R109" s="584">
        <v>0</v>
      </c>
      <c r="S109" s="584">
        <v>0</v>
      </c>
      <c r="T109" s="584">
        <v>313.13493749999998</v>
      </c>
      <c r="U109" s="584">
        <v>40.625</v>
      </c>
      <c r="V109" s="584">
        <v>582.79368750000003</v>
      </c>
      <c r="W109" s="584">
        <v>85.3125</v>
      </c>
      <c r="X109" s="584">
        <v>849.11599999999999</v>
      </c>
      <c r="Y109" s="584">
        <v>178.75</v>
      </c>
      <c r="Z109" s="584">
        <v>0.39</v>
      </c>
      <c r="AA109" s="584">
        <v>0.39</v>
      </c>
      <c r="AB109" s="584">
        <v>936</v>
      </c>
      <c r="AC109" s="584">
        <v>21</v>
      </c>
      <c r="AD109" s="584">
        <v>0</v>
      </c>
      <c r="AE109" s="584">
        <v>0</v>
      </c>
      <c r="AF109" s="584">
        <v>0</v>
      </c>
      <c r="AG109" s="584">
        <v>0</v>
      </c>
      <c r="AH109" s="584">
        <v>0</v>
      </c>
      <c r="AI109" s="584">
        <v>0</v>
      </c>
      <c r="AJ109" s="584">
        <v>0</v>
      </c>
      <c r="AK109" s="584">
        <v>0</v>
      </c>
      <c r="AL109" s="584">
        <v>0</v>
      </c>
      <c r="AM109" s="584">
        <v>0</v>
      </c>
      <c r="AN109" s="584">
        <v>0</v>
      </c>
      <c r="AO109" s="584">
        <v>285.99993749999999</v>
      </c>
      <c r="AP109" s="584">
        <v>40.625</v>
      </c>
      <c r="AQ109" s="584">
        <v>527.51118750000001</v>
      </c>
      <c r="AR109" s="584">
        <v>85.3125</v>
      </c>
      <c r="AS109" s="584">
        <v>741.86599999999999</v>
      </c>
      <c r="AT109" s="584">
        <v>178.75</v>
      </c>
      <c r="AU109" s="584">
        <v>0.9</v>
      </c>
      <c r="AV109" s="584">
        <v>0.25</v>
      </c>
      <c r="AW109" s="584">
        <v>532.75678866587998</v>
      </c>
      <c r="AX109" s="584">
        <v>18.1472845336482</v>
      </c>
      <c r="AY109" s="584">
        <v>0</v>
      </c>
      <c r="AZ109" s="584">
        <v>0</v>
      </c>
      <c r="BA109" s="584">
        <v>0</v>
      </c>
      <c r="BB109" s="584">
        <v>0</v>
      </c>
      <c r="BC109" s="584">
        <v>0</v>
      </c>
      <c r="BD109" s="584">
        <v>0</v>
      </c>
      <c r="BE109" s="584">
        <v>0</v>
      </c>
      <c r="BF109" s="584">
        <v>0</v>
      </c>
      <c r="BG109" s="584">
        <v>0.9</v>
      </c>
      <c r="BH109" s="584">
        <v>0</v>
      </c>
      <c r="BI109" s="584">
        <v>0.3</v>
      </c>
      <c r="BJ109" s="584">
        <v>227.34479342532501</v>
      </c>
      <c r="BK109" s="584">
        <v>40.625</v>
      </c>
      <c r="BL109" s="584">
        <v>382.55964630681802</v>
      </c>
      <c r="BM109" s="584">
        <v>85.3125</v>
      </c>
      <c r="BN109" s="584">
        <v>409.12020535714299</v>
      </c>
      <c r="BO109" s="584">
        <v>178.75</v>
      </c>
      <c r="BP109" s="584">
        <v>0</v>
      </c>
      <c r="BQ109" s="584">
        <v>0</v>
      </c>
      <c r="BR109" s="584">
        <v>0</v>
      </c>
      <c r="BS109" s="584">
        <v>0</v>
      </c>
      <c r="BT109" s="584">
        <v>0</v>
      </c>
      <c r="BU109" s="584">
        <v>0</v>
      </c>
      <c r="BV109" s="584">
        <v>0</v>
      </c>
      <c r="BW109" s="584">
        <v>0</v>
      </c>
      <c r="BX109" s="584">
        <v>0</v>
      </c>
      <c r="BY109" s="584">
        <v>0</v>
      </c>
      <c r="BZ109" s="584">
        <v>0</v>
      </c>
      <c r="CA109" s="584">
        <v>0</v>
      </c>
      <c r="CB109" s="584">
        <v>0</v>
      </c>
      <c r="CC109" s="584">
        <v>0</v>
      </c>
      <c r="CD109" s="584">
        <v>0</v>
      </c>
      <c r="CE109" s="584">
        <v>0</v>
      </c>
      <c r="CF109" s="584">
        <v>0</v>
      </c>
      <c r="CG109" s="584">
        <v>0</v>
      </c>
      <c r="CH109" s="584">
        <v>0</v>
      </c>
      <c r="CI109" s="584">
        <v>0</v>
      </c>
      <c r="CJ109" s="584">
        <v>0</v>
      </c>
      <c r="CK109" s="584">
        <v>0.875</v>
      </c>
      <c r="CL109" s="584">
        <v>0.14499999999999999</v>
      </c>
      <c r="CM109" s="584">
        <v>481.22373081464002</v>
      </c>
      <c r="CN109" s="584">
        <v>16.140578512396701</v>
      </c>
      <c r="CO109" s="584">
        <v>0</v>
      </c>
      <c r="CP109" s="584">
        <v>0</v>
      </c>
      <c r="CQ109" s="584">
        <v>0</v>
      </c>
      <c r="CR109" s="584">
        <v>0</v>
      </c>
      <c r="CS109" s="584">
        <v>0</v>
      </c>
      <c r="CT109" s="584">
        <v>0</v>
      </c>
      <c r="CU109" s="584">
        <v>0</v>
      </c>
      <c r="CV109" s="584">
        <v>0</v>
      </c>
      <c r="CW109" s="584">
        <v>0.875</v>
      </c>
      <c r="CX109" s="584">
        <v>0</v>
      </c>
      <c r="CY109" s="584">
        <v>0.6</v>
      </c>
      <c r="CZ109" s="584">
        <v>223.25835000000001</v>
      </c>
      <c r="DA109" s="584">
        <v>40.625</v>
      </c>
      <c r="DB109" s="584">
        <v>370.23397499999999</v>
      </c>
      <c r="DC109" s="584">
        <v>85.3125</v>
      </c>
      <c r="DD109" s="584">
        <v>373.32960000000003</v>
      </c>
      <c r="DE109" s="584">
        <v>178.75</v>
      </c>
      <c r="DF109" s="584">
        <v>0</v>
      </c>
      <c r="DG109" s="584">
        <v>0</v>
      </c>
      <c r="DH109" s="584">
        <v>0</v>
      </c>
      <c r="DI109" s="584">
        <v>0</v>
      </c>
      <c r="DJ109" s="584">
        <v>0</v>
      </c>
      <c r="DK109" s="584">
        <v>0</v>
      </c>
      <c r="DL109" s="584">
        <v>0</v>
      </c>
      <c r="DM109" s="584">
        <v>0</v>
      </c>
      <c r="DN109" s="584">
        <v>0</v>
      </c>
      <c r="DO109" s="584">
        <v>0</v>
      </c>
      <c r="DP109" s="584">
        <v>0</v>
      </c>
      <c r="DQ109" s="584">
        <v>0</v>
      </c>
      <c r="DR109" s="584">
        <v>0</v>
      </c>
      <c r="DS109" s="584">
        <v>0</v>
      </c>
      <c r="DT109" s="584">
        <v>0</v>
      </c>
      <c r="DU109" s="584">
        <v>0</v>
      </c>
      <c r="DV109" s="584">
        <v>0</v>
      </c>
      <c r="DW109" s="584">
        <v>0</v>
      </c>
      <c r="DX109" s="584">
        <v>0</v>
      </c>
      <c r="DY109" s="584">
        <v>0</v>
      </c>
      <c r="DZ109" s="584">
        <v>0</v>
      </c>
      <c r="EA109" s="1062">
        <v>0.89249999999999996</v>
      </c>
      <c r="EB109" s="1046">
        <v>0.35</v>
      </c>
      <c r="EC109" s="1093">
        <v>132.51783893985731</v>
      </c>
      <c r="ED109" s="1046">
        <v>0</v>
      </c>
      <c r="EE109" s="1046">
        <v>458.71559633027522</v>
      </c>
      <c r="EF109" s="1046">
        <v>35.82769230769231</v>
      </c>
      <c r="EG109" s="1046">
        <v>0</v>
      </c>
      <c r="EH109" s="1046">
        <v>0</v>
      </c>
      <c r="EI109" s="1046" t="s">
        <v>465</v>
      </c>
      <c r="EJ109" s="1046" t="s">
        <v>423</v>
      </c>
      <c r="EK109" s="1046">
        <v>0</v>
      </c>
      <c r="EL109" s="1046">
        <v>0</v>
      </c>
      <c r="EM109" s="1046">
        <v>0</v>
      </c>
      <c r="EN109" s="1046">
        <v>0</v>
      </c>
      <c r="EO109" s="1046">
        <v>0</v>
      </c>
      <c r="EP109" s="1094">
        <v>108.08638200000001</v>
      </c>
      <c r="EQ109" s="1094">
        <v>40.625</v>
      </c>
      <c r="ER109" s="1094">
        <v>216.17276400000003</v>
      </c>
      <c r="ES109" s="1095">
        <v>81.25</v>
      </c>
      <c r="ET109" s="1094">
        <v>432.34552800000006</v>
      </c>
      <c r="EU109" s="1094">
        <v>162.5</v>
      </c>
      <c r="EV109" s="1096">
        <v>0.6782999999999999</v>
      </c>
      <c r="EW109" s="1097">
        <v>0.15</v>
      </c>
      <c r="EX109" s="1096">
        <v>289.50050968399592</v>
      </c>
      <c r="EY109" s="1096">
        <v>1.5443934760448521</v>
      </c>
      <c r="EZ109" s="1096">
        <v>0</v>
      </c>
      <c r="FA109" s="1096">
        <v>21.040000000000003</v>
      </c>
      <c r="FB109" s="1098">
        <v>0</v>
      </c>
      <c r="FC109" s="1098">
        <v>0</v>
      </c>
      <c r="FD109" s="1098" t="s">
        <v>459</v>
      </c>
      <c r="FE109" s="1098" t="s">
        <v>432</v>
      </c>
      <c r="FF109" s="1098">
        <v>1</v>
      </c>
      <c r="FG109" s="1098">
        <v>0</v>
      </c>
      <c r="FH109" s="1098">
        <v>0</v>
      </c>
      <c r="FI109" s="1098">
        <v>0</v>
      </c>
      <c r="FJ109" s="1098">
        <v>0</v>
      </c>
      <c r="FK109" s="1096">
        <v>59.662734624999999</v>
      </c>
      <c r="FL109" s="1096">
        <v>40.625</v>
      </c>
      <c r="FM109" s="1096">
        <v>119.32546925</v>
      </c>
      <c r="FN109" s="1096">
        <v>81.25</v>
      </c>
      <c r="FO109" s="1096">
        <v>238.6509385</v>
      </c>
      <c r="FP109" s="1099">
        <v>162.5</v>
      </c>
      <c r="FQ109" s="1064">
        <v>0.898228784747792</v>
      </c>
      <c r="FR109" s="1065">
        <v>0.15</v>
      </c>
      <c r="FS109" s="1066">
        <v>289.50050968399586</v>
      </c>
      <c r="FT109" s="1066">
        <v>3.1754272996334754</v>
      </c>
      <c r="FU109" s="1065"/>
      <c r="FV109" s="1066">
        <v>48.823405623788531</v>
      </c>
      <c r="FW109" s="1065"/>
      <c r="FX109" s="1065"/>
      <c r="FY109" s="1065" t="s">
        <v>481</v>
      </c>
      <c r="FZ109" s="1065" t="s">
        <v>436</v>
      </c>
      <c r="GA109" s="1065">
        <v>1</v>
      </c>
      <c r="GB109" s="1065"/>
      <c r="GC109" s="1065"/>
      <c r="GD109" s="1065"/>
      <c r="GE109" s="1065"/>
      <c r="GF109" s="1066">
        <v>62.564263953405003</v>
      </c>
      <c r="GG109" s="1066">
        <v>40.625</v>
      </c>
      <c r="GH109" s="1066">
        <v>125.12852790681001</v>
      </c>
      <c r="GI109" s="1066">
        <v>81.25</v>
      </c>
      <c r="GJ109" s="1066">
        <v>250.25705581362001</v>
      </c>
      <c r="GK109" s="1066">
        <v>162.5</v>
      </c>
      <c r="GL109" s="584">
        <v>0.72219999999999995</v>
      </c>
      <c r="GM109" s="584">
        <v>0.11</v>
      </c>
      <c r="GN109" s="584"/>
      <c r="GO109" s="584"/>
      <c r="GP109" s="584"/>
      <c r="GQ109" s="584">
        <v>53.04</v>
      </c>
      <c r="GR109" s="584"/>
      <c r="GS109" s="584">
        <v>56.065239551478101</v>
      </c>
      <c r="GT109" s="584" t="s">
        <v>473</v>
      </c>
      <c r="GU109" s="584" t="s">
        <v>406</v>
      </c>
      <c r="GV109" s="584">
        <v>1</v>
      </c>
      <c r="GW109" s="584"/>
      <c r="GX109" s="584"/>
      <c r="GY109" s="584"/>
      <c r="GZ109" s="584"/>
      <c r="HA109" s="584">
        <v>25.517738999999999</v>
      </c>
      <c r="HB109" s="584">
        <v>40.625</v>
      </c>
      <c r="HC109" s="584">
        <v>51.035477999999998</v>
      </c>
      <c r="HD109" s="584">
        <v>81.25</v>
      </c>
      <c r="HE109" s="584">
        <v>102.070956</v>
      </c>
      <c r="HF109" s="584">
        <v>162.5</v>
      </c>
      <c r="HG109" s="1100">
        <v>1.1100000000000001</v>
      </c>
      <c r="HH109" s="1100">
        <v>0.11</v>
      </c>
      <c r="HI109" s="1101">
        <v>0</v>
      </c>
      <c r="HJ109" s="1101">
        <v>0</v>
      </c>
      <c r="HK109" s="1101">
        <v>0</v>
      </c>
      <c r="HL109" s="1101">
        <v>0</v>
      </c>
      <c r="HM109" s="1101">
        <v>56.215384615384622</v>
      </c>
      <c r="HN109" s="1101">
        <v>54.999999999999993</v>
      </c>
      <c r="HO109" s="1101">
        <v>0</v>
      </c>
      <c r="HP109" s="1101">
        <v>0</v>
      </c>
      <c r="HQ109" s="1101">
        <v>1</v>
      </c>
      <c r="HR109" s="1101">
        <v>0.56000000000000005</v>
      </c>
      <c r="HS109" s="1101">
        <v>1</v>
      </c>
      <c r="HT109" s="1101">
        <v>0.3</v>
      </c>
      <c r="HU109" s="1101">
        <v>0.28000000000000003</v>
      </c>
      <c r="HV109" s="1101">
        <v>25.854122499999999</v>
      </c>
      <c r="HW109" s="1101">
        <v>40.625</v>
      </c>
      <c r="HX109" s="1101">
        <v>51.708244999999998</v>
      </c>
      <c r="HY109" s="1101">
        <v>81.25</v>
      </c>
      <c r="HZ109" s="1101">
        <v>103.41649</v>
      </c>
      <c r="IA109" s="1101">
        <v>162.5</v>
      </c>
      <c r="IB109" s="1102"/>
      <c r="IC109" s="1092"/>
      <c r="ID109" s="1050"/>
      <c r="IE109" s="1050"/>
      <c r="IF109" s="1103"/>
      <c r="IG109" s="1103"/>
      <c r="IH109" s="1103"/>
      <c r="II109" s="1103"/>
      <c r="IJ109" s="1103"/>
      <c r="IK109" s="1103"/>
      <c r="IL109" s="1103"/>
      <c r="IM109" s="1050"/>
      <c r="IN109" s="1050"/>
      <c r="IO109" s="1050"/>
      <c r="IP109" s="1050"/>
      <c r="IQ109" s="1103"/>
      <c r="IR109" s="1103"/>
      <c r="IS109" s="1103"/>
      <c r="IT109" s="1103"/>
      <c r="IU109" s="1103"/>
      <c r="IV109" s="1103"/>
      <c r="JR109" s="1092"/>
      <c r="JS109" s="1092"/>
      <c r="JU109" s="1050"/>
      <c r="JV109" s="1103"/>
      <c r="JW109" s="1103"/>
      <c r="JX109" s="1103"/>
      <c r="JY109" s="1103"/>
      <c r="JZ109" s="1103"/>
      <c r="KA109" s="1103"/>
      <c r="KB109" s="1103"/>
      <c r="KC109" s="1050"/>
      <c r="KD109" s="1050"/>
      <c r="KE109" s="1050"/>
      <c r="KF109" s="1050"/>
      <c r="KG109" s="1103"/>
      <c r="KH109" s="1103"/>
      <c r="KI109" s="1103"/>
      <c r="KJ109" s="1103"/>
      <c r="KK109" s="1103"/>
      <c r="KL109" s="1103"/>
      <c r="KM109" s="1103"/>
      <c r="KN109" s="1103"/>
    </row>
    <row r="110" spans="2:300">
      <c r="B110" s="1048" t="str">
        <f t="shared" si="4"/>
        <v>R514</v>
      </c>
      <c r="C110" s="1092">
        <v>5</v>
      </c>
      <c r="D110" s="1092">
        <v>14</v>
      </c>
      <c r="E110" s="584">
        <v>0</v>
      </c>
      <c r="F110" s="584">
        <v>0</v>
      </c>
      <c r="G110" s="584">
        <v>0</v>
      </c>
      <c r="H110" s="584">
        <v>0</v>
      </c>
      <c r="I110" s="584">
        <v>0</v>
      </c>
      <c r="J110" s="584">
        <v>0</v>
      </c>
      <c r="K110" s="584">
        <v>0</v>
      </c>
      <c r="L110" s="584">
        <v>0</v>
      </c>
      <c r="M110" s="584">
        <v>0</v>
      </c>
      <c r="N110" s="584">
        <v>0</v>
      </c>
      <c r="O110" s="584">
        <v>0</v>
      </c>
      <c r="P110" s="584">
        <v>0</v>
      </c>
      <c r="Q110" s="584">
        <v>0</v>
      </c>
      <c r="R110" s="584">
        <v>0</v>
      </c>
      <c r="S110" s="584">
        <v>0</v>
      </c>
      <c r="T110" s="584">
        <v>0</v>
      </c>
      <c r="U110" s="584">
        <v>0</v>
      </c>
      <c r="V110" s="584">
        <v>0</v>
      </c>
      <c r="W110" s="584">
        <v>0</v>
      </c>
      <c r="X110" s="584">
        <v>0</v>
      </c>
      <c r="Y110" s="584">
        <v>0</v>
      </c>
      <c r="Z110" s="584">
        <v>0</v>
      </c>
      <c r="AA110" s="584">
        <v>0</v>
      </c>
      <c r="AB110" s="584">
        <v>0</v>
      </c>
      <c r="AC110" s="584">
        <v>0</v>
      </c>
      <c r="AD110" s="584">
        <v>0</v>
      </c>
      <c r="AE110" s="584">
        <v>0</v>
      </c>
      <c r="AF110" s="584">
        <v>0</v>
      </c>
      <c r="AG110" s="584">
        <v>0</v>
      </c>
      <c r="AH110" s="584">
        <v>0</v>
      </c>
      <c r="AI110" s="584">
        <v>0</v>
      </c>
      <c r="AJ110" s="584">
        <v>0</v>
      </c>
      <c r="AK110" s="584">
        <v>0</v>
      </c>
      <c r="AL110" s="584">
        <v>0</v>
      </c>
      <c r="AM110" s="584">
        <v>0</v>
      </c>
      <c r="AN110" s="584">
        <v>0</v>
      </c>
      <c r="AO110" s="584">
        <v>0</v>
      </c>
      <c r="AP110" s="584">
        <v>0</v>
      </c>
      <c r="AQ110" s="584">
        <v>0</v>
      </c>
      <c r="AR110" s="584">
        <v>0</v>
      </c>
      <c r="AS110" s="584">
        <v>0</v>
      </c>
      <c r="AT110" s="584">
        <v>0</v>
      </c>
      <c r="AU110" s="584">
        <v>0</v>
      </c>
      <c r="AV110" s="584">
        <v>0</v>
      </c>
      <c r="AW110" s="584">
        <v>0</v>
      </c>
      <c r="AX110" s="584">
        <v>0</v>
      </c>
      <c r="AY110" s="584">
        <v>0</v>
      </c>
      <c r="AZ110" s="584">
        <v>0</v>
      </c>
      <c r="BA110" s="584">
        <v>0</v>
      </c>
      <c r="BB110" s="584">
        <v>0</v>
      </c>
      <c r="BC110" s="584">
        <v>0</v>
      </c>
      <c r="BD110" s="584">
        <v>0</v>
      </c>
      <c r="BE110" s="584">
        <v>0</v>
      </c>
      <c r="BF110" s="584">
        <v>0</v>
      </c>
      <c r="BG110" s="584">
        <v>0</v>
      </c>
      <c r="BH110" s="584">
        <v>0</v>
      </c>
      <c r="BI110" s="584">
        <v>0</v>
      </c>
      <c r="BJ110" s="584">
        <v>0</v>
      </c>
      <c r="BK110" s="584">
        <v>0</v>
      </c>
      <c r="BL110" s="584">
        <v>0</v>
      </c>
      <c r="BM110" s="584">
        <v>0</v>
      </c>
      <c r="BN110" s="584">
        <v>0</v>
      </c>
      <c r="BO110" s="584">
        <v>0</v>
      </c>
      <c r="BP110" s="584">
        <v>0</v>
      </c>
      <c r="BQ110" s="584">
        <v>0</v>
      </c>
      <c r="BR110" s="584">
        <v>0</v>
      </c>
      <c r="BS110" s="584">
        <v>0</v>
      </c>
      <c r="BT110" s="584">
        <v>0</v>
      </c>
      <c r="BU110" s="584">
        <v>0</v>
      </c>
      <c r="BV110" s="584">
        <v>0</v>
      </c>
      <c r="BW110" s="584">
        <v>0</v>
      </c>
      <c r="BX110" s="584">
        <v>0</v>
      </c>
      <c r="BY110" s="584">
        <v>0</v>
      </c>
      <c r="BZ110" s="584">
        <v>0</v>
      </c>
      <c r="CA110" s="584">
        <v>0</v>
      </c>
      <c r="CB110" s="584">
        <v>0</v>
      </c>
      <c r="CC110" s="584">
        <v>0</v>
      </c>
      <c r="CD110" s="584">
        <v>0</v>
      </c>
      <c r="CE110" s="584">
        <v>0</v>
      </c>
      <c r="CF110" s="584">
        <v>0</v>
      </c>
      <c r="CG110" s="584">
        <v>0</v>
      </c>
      <c r="CH110" s="584">
        <v>0</v>
      </c>
      <c r="CI110" s="584">
        <v>0</v>
      </c>
      <c r="CJ110" s="584">
        <v>0</v>
      </c>
      <c r="CK110" s="584">
        <v>0</v>
      </c>
      <c r="CL110" s="584">
        <v>0</v>
      </c>
      <c r="CM110" s="584">
        <v>0</v>
      </c>
      <c r="CN110" s="584">
        <v>0</v>
      </c>
      <c r="CO110" s="584">
        <v>0</v>
      </c>
      <c r="CP110" s="584">
        <v>0</v>
      </c>
      <c r="CQ110" s="584">
        <v>0</v>
      </c>
      <c r="CR110" s="584">
        <v>0</v>
      </c>
      <c r="CS110" s="584">
        <v>0</v>
      </c>
      <c r="CT110" s="584">
        <v>0</v>
      </c>
      <c r="CU110" s="584">
        <v>0</v>
      </c>
      <c r="CV110" s="584">
        <v>0</v>
      </c>
      <c r="CW110" s="584">
        <v>0</v>
      </c>
      <c r="CX110" s="584">
        <v>0</v>
      </c>
      <c r="CY110" s="584">
        <v>0</v>
      </c>
      <c r="CZ110" s="584">
        <v>0</v>
      </c>
      <c r="DA110" s="584">
        <v>0</v>
      </c>
      <c r="DB110" s="584">
        <v>0</v>
      </c>
      <c r="DC110" s="584">
        <v>0</v>
      </c>
      <c r="DD110" s="584">
        <v>0</v>
      </c>
      <c r="DE110" s="584">
        <v>0</v>
      </c>
      <c r="DF110" s="584">
        <v>0</v>
      </c>
      <c r="DG110" s="584">
        <v>0</v>
      </c>
      <c r="DH110" s="584">
        <v>0</v>
      </c>
      <c r="DI110" s="584">
        <v>0</v>
      </c>
      <c r="DJ110" s="584">
        <v>0</v>
      </c>
      <c r="DK110" s="584">
        <v>0</v>
      </c>
      <c r="DL110" s="584">
        <v>0</v>
      </c>
      <c r="DM110" s="584">
        <v>0</v>
      </c>
      <c r="DN110" s="584">
        <v>0</v>
      </c>
      <c r="DO110" s="584">
        <v>0</v>
      </c>
      <c r="DP110" s="584">
        <v>0</v>
      </c>
      <c r="DQ110" s="584">
        <v>0</v>
      </c>
      <c r="DR110" s="584">
        <v>0</v>
      </c>
      <c r="DS110" s="584">
        <v>0</v>
      </c>
      <c r="DT110" s="584">
        <v>0</v>
      </c>
      <c r="DU110" s="584">
        <v>0</v>
      </c>
      <c r="DV110" s="584">
        <v>0</v>
      </c>
      <c r="DW110" s="584">
        <v>0</v>
      </c>
      <c r="DX110" s="584">
        <v>0</v>
      </c>
      <c r="DY110" s="584">
        <v>0</v>
      </c>
      <c r="DZ110" s="584">
        <v>0</v>
      </c>
      <c r="EA110" s="1062">
        <v>0.96029999999999993</v>
      </c>
      <c r="EB110" s="1046">
        <v>0.4</v>
      </c>
      <c r="EC110" s="1093">
        <v>132.51783893985737</v>
      </c>
      <c r="ED110" s="1046">
        <v>0</v>
      </c>
      <c r="EE110" s="1046">
        <v>519.87767584097855</v>
      </c>
      <c r="EF110" s="1046">
        <v>49.852857142857147</v>
      </c>
      <c r="EG110" s="1046">
        <v>0</v>
      </c>
      <c r="EH110" s="1046">
        <v>0</v>
      </c>
      <c r="EI110" s="1046" t="s">
        <v>463</v>
      </c>
      <c r="EJ110" s="1046" t="s">
        <v>420</v>
      </c>
      <c r="EK110" s="1046">
        <v>0</v>
      </c>
      <c r="EL110" s="1046">
        <v>0</v>
      </c>
      <c r="EM110" s="1046">
        <v>0</v>
      </c>
      <c r="EN110" s="1046">
        <v>0</v>
      </c>
      <c r="EO110" s="1046">
        <v>0</v>
      </c>
      <c r="EP110" s="1094">
        <v>129.30848925000001</v>
      </c>
      <c r="EQ110" s="1094">
        <v>43.75</v>
      </c>
      <c r="ER110" s="1094">
        <v>258.61697850000002</v>
      </c>
      <c r="ES110" s="1095">
        <v>87.5</v>
      </c>
      <c r="ET110" s="1094">
        <v>517.23395700000003</v>
      </c>
      <c r="EU110" s="1094">
        <v>175</v>
      </c>
      <c r="EV110" s="1096">
        <v>0.75260000000000005</v>
      </c>
      <c r="EW110" s="1097">
        <v>0.15</v>
      </c>
      <c r="EX110" s="1096">
        <v>289.50050968399592</v>
      </c>
      <c r="EY110" s="1096">
        <v>1.5443934760448521</v>
      </c>
      <c r="EZ110" s="1096">
        <v>0</v>
      </c>
      <c r="FA110" s="1096">
        <v>25.04</v>
      </c>
      <c r="FB110" s="1098">
        <v>0</v>
      </c>
      <c r="FC110" s="1098">
        <v>0</v>
      </c>
      <c r="FD110" s="1098" t="s">
        <v>458</v>
      </c>
      <c r="FE110" s="1098" t="s">
        <v>410</v>
      </c>
      <c r="FF110" s="1098">
        <v>1</v>
      </c>
      <c r="FG110" s="1098">
        <v>0</v>
      </c>
      <c r="FH110" s="1098">
        <v>0</v>
      </c>
      <c r="FI110" s="1098">
        <v>0</v>
      </c>
      <c r="FJ110" s="1098">
        <v>0</v>
      </c>
      <c r="FK110" s="1096">
        <v>64.938875750000008</v>
      </c>
      <c r="FL110" s="1096">
        <v>43.75</v>
      </c>
      <c r="FM110" s="1096">
        <v>129.87775150000002</v>
      </c>
      <c r="FN110" s="1096">
        <v>87.5</v>
      </c>
      <c r="FO110" s="1096">
        <v>259.75550300000003</v>
      </c>
      <c r="FP110" s="1099">
        <v>175</v>
      </c>
      <c r="FQ110" s="1064">
        <v>1.0020981024599609</v>
      </c>
      <c r="FR110" s="1065">
        <v>0.15</v>
      </c>
      <c r="FS110" s="1066">
        <v>289.50050968399586</v>
      </c>
      <c r="FT110" s="1066">
        <v>3.1754272996334754</v>
      </c>
      <c r="FU110" s="1065"/>
      <c r="FV110" s="1066">
        <v>51.552143489353718</v>
      </c>
      <c r="FW110" s="1065"/>
      <c r="FX110" s="1065"/>
      <c r="FY110" s="1065" t="s">
        <v>481</v>
      </c>
      <c r="FZ110" s="1065" t="s">
        <v>416</v>
      </c>
      <c r="GA110" s="1065">
        <v>1</v>
      </c>
      <c r="GB110" s="1065"/>
      <c r="GC110" s="1065"/>
      <c r="GD110" s="1065"/>
      <c r="GE110" s="1065"/>
      <c r="GF110" s="1066">
        <v>67.845355715199375</v>
      </c>
      <c r="GG110" s="1066">
        <v>43.75</v>
      </c>
      <c r="GH110" s="1066">
        <v>135.69071143039875</v>
      </c>
      <c r="GI110" s="1066">
        <v>87.5</v>
      </c>
      <c r="GJ110" s="1066">
        <v>271.3814228607975</v>
      </c>
      <c r="GK110" s="1066">
        <v>175</v>
      </c>
      <c r="GL110" s="584">
        <v>0.86</v>
      </c>
      <c r="GM110" s="584">
        <v>0.11</v>
      </c>
      <c r="GN110" s="584"/>
      <c r="GO110" s="584"/>
      <c r="GP110" s="584"/>
      <c r="GQ110" s="584">
        <v>56.845714285714301</v>
      </c>
      <c r="GR110" s="584"/>
      <c r="GS110" s="584">
        <v>56.065239551478101</v>
      </c>
      <c r="GT110" s="584" t="s">
        <v>471</v>
      </c>
      <c r="GU110" s="584" t="s">
        <v>389</v>
      </c>
      <c r="GV110" s="584">
        <v>1</v>
      </c>
      <c r="GW110" s="584"/>
      <c r="GX110" s="584"/>
      <c r="GY110" s="584"/>
      <c r="GZ110" s="584"/>
      <c r="HA110" s="584">
        <v>28.133987999999999</v>
      </c>
      <c r="HB110" s="584">
        <v>43.75</v>
      </c>
      <c r="HC110" s="584">
        <v>56.267975999999997</v>
      </c>
      <c r="HD110" s="584">
        <v>87.5</v>
      </c>
      <c r="HE110" s="584">
        <v>112.53595199999999</v>
      </c>
      <c r="HF110" s="584">
        <v>175</v>
      </c>
      <c r="HG110" s="1100">
        <v>1.1900000000000002</v>
      </c>
      <c r="HH110" s="1100">
        <v>0.11</v>
      </c>
      <c r="HI110" s="1101">
        <v>0</v>
      </c>
      <c r="HJ110" s="1101">
        <v>0</v>
      </c>
      <c r="HK110" s="1101">
        <v>0</v>
      </c>
      <c r="HL110" s="1101">
        <v>0</v>
      </c>
      <c r="HM110" s="1101">
        <v>63.719999999999992</v>
      </c>
      <c r="HN110" s="1101">
        <v>54.999999999999993</v>
      </c>
      <c r="HO110" s="1101">
        <v>0</v>
      </c>
      <c r="HP110" s="1101">
        <v>0</v>
      </c>
      <c r="HQ110" s="1101">
        <v>1</v>
      </c>
      <c r="HR110" s="1101">
        <v>0.6</v>
      </c>
      <c r="HS110" s="1101">
        <v>1.08</v>
      </c>
      <c r="HT110" s="1101">
        <v>0.28000000000000003</v>
      </c>
      <c r="HU110" s="1101">
        <v>0.3</v>
      </c>
      <c r="HV110" s="1101">
        <v>29.131256</v>
      </c>
      <c r="HW110" s="1101">
        <v>43.75</v>
      </c>
      <c r="HX110" s="1101">
        <v>58.262512000000001</v>
      </c>
      <c r="HY110" s="1101">
        <v>87.5</v>
      </c>
      <c r="HZ110" s="1101">
        <v>116.525024</v>
      </c>
      <c r="IA110" s="1101">
        <v>175</v>
      </c>
      <c r="IB110" s="1102"/>
      <c r="IC110" s="1092"/>
      <c r="ID110" s="1050"/>
      <c r="IE110" s="1050"/>
      <c r="IF110" s="1103"/>
      <c r="IG110" s="1103"/>
      <c r="IH110" s="1103"/>
      <c r="II110" s="1103"/>
      <c r="IJ110" s="1103"/>
      <c r="IK110" s="1103"/>
      <c r="IL110" s="1103"/>
      <c r="IM110" s="1050"/>
      <c r="IN110" s="1050"/>
      <c r="IO110" s="1050"/>
      <c r="IP110" s="1050"/>
      <c r="IQ110" s="1103"/>
      <c r="IR110" s="1103"/>
      <c r="IS110" s="1103"/>
      <c r="IT110" s="1103"/>
      <c r="IU110" s="1103"/>
      <c r="IV110" s="1103"/>
      <c r="JR110" s="1092"/>
      <c r="JS110" s="1092"/>
      <c r="JU110" s="1050"/>
      <c r="JV110" s="1103"/>
      <c r="JW110" s="1103"/>
      <c r="JX110" s="1103"/>
      <c r="JY110" s="1103"/>
      <c r="JZ110" s="1103"/>
      <c r="KA110" s="1103"/>
      <c r="KB110" s="1103"/>
      <c r="KC110" s="1050"/>
      <c r="KD110" s="1050"/>
      <c r="KE110" s="1050"/>
      <c r="KF110" s="1050"/>
      <c r="KG110" s="1103"/>
      <c r="KH110" s="1103"/>
      <c r="KI110" s="1103"/>
      <c r="KJ110" s="1103"/>
      <c r="KK110" s="1103"/>
      <c r="KL110" s="1103"/>
      <c r="KM110" s="1103"/>
      <c r="KN110" s="1103"/>
    </row>
    <row r="111" spans="2:300">
      <c r="B111" s="1048" t="str">
        <f t="shared" si="4"/>
        <v>R515</v>
      </c>
      <c r="C111" s="1092">
        <v>5</v>
      </c>
      <c r="D111" s="1092">
        <v>15</v>
      </c>
      <c r="E111" s="584">
        <v>0</v>
      </c>
      <c r="F111" s="584">
        <v>0</v>
      </c>
      <c r="G111" s="584">
        <v>0</v>
      </c>
      <c r="H111" s="584">
        <v>0</v>
      </c>
      <c r="I111" s="584">
        <v>0</v>
      </c>
      <c r="J111" s="584">
        <v>0</v>
      </c>
      <c r="K111" s="584">
        <v>0</v>
      </c>
      <c r="L111" s="584">
        <v>0</v>
      </c>
      <c r="M111" s="584">
        <v>0</v>
      </c>
      <c r="N111" s="584">
        <v>0</v>
      </c>
      <c r="O111" s="584">
        <v>0</v>
      </c>
      <c r="P111" s="584">
        <v>0</v>
      </c>
      <c r="Q111" s="584">
        <v>0</v>
      </c>
      <c r="R111" s="584">
        <v>0</v>
      </c>
      <c r="S111" s="584">
        <v>0</v>
      </c>
      <c r="T111" s="584">
        <v>0</v>
      </c>
      <c r="U111" s="584">
        <v>0</v>
      </c>
      <c r="V111" s="584">
        <v>0</v>
      </c>
      <c r="W111" s="584">
        <v>0</v>
      </c>
      <c r="X111" s="584">
        <v>0</v>
      </c>
      <c r="Y111" s="584">
        <v>0</v>
      </c>
      <c r="Z111" s="584">
        <v>0</v>
      </c>
      <c r="AA111" s="584">
        <v>0</v>
      </c>
      <c r="AB111" s="584">
        <v>0</v>
      </c>
      <c r="AC111" s="584">
        <v>0</v>
      </c>
      <c r="AD111" s="584">
        <v>0</v>
      </c>
      <c r="AE111" s="584">
        <v>0</v>
      </c>
      <c r="AF111" s="584">
        <v>0</v>
      </c>
      <c r="AG111" s="584">
        <v>0</v>
      </c>
      <c r="AH111" s="584">
        <v>0</v>
      </c>
      <c r="AI111" s="584">
        <v>0</v>
      </c>
      <c r="AJ111" s="584">
        <v>0</v>
      </c>
      <c r="AK111" s="584">
        <v>0</v>
      </c>
      <c r="AL111" s="584">
        <v>0</v>
      </c>
      <c r="AM111" s="584">
        <v>0</v>
      </c>
      <c r="AN111" s="584">
        <v>0</v>
      </c>
      <c r="AO111" s="584">
        <v>0</v>
      </c>
      <c r="AP111" s="584">
        <v>0</v>
      </c>
      <c r="AQ111" s="584">
        <v>0</v>
      </c>
      <c r="AR111" s="584">
        <v>0</v>
      </c>
      <c r="AS111" s="584">
        <v>0</v>
      </c>
      <c r="AT111" s="584">
        <v>0</v>
      </c>
      <c r="AU111" s="584">
        <v>0</v>
      </c>
      <c r="AV111" s="584">
        <v>0</v>
      </c>
      <c r="AW111" s="584">
        <v>0</v>
      </c>
      <c r="AX111" s="584">
        <v>0</v>
      </c>
      <c r="AY111" s="584">
        <v>0</v>
      </c>
      <c r="AZ111" s="584">
        <v>0</v>
      </c>
      <c r="BA111" s="584">
        <v>0</v>
      </c>
      <c r="BB111" s="584">
        <v>0</v>
      </c>
      <c r="BC111" s="584">
        <v>0</v>
      </c>
      <c r="BD111" s="584">
        <v>0</v>
      </c>
      <c r="BE111" s="584">
        <v>0</v>
      </c>
      <c r="BF111" s="584">
        <v>0</v>
      </c>
      <c r="BG111" s="584">
        <v>0</v>
      </c>
      <c r="BH111" s="584">
        <v>0</v>
      </c>
      <c r="BI111" s="584">
        <v>0</v>
      </c>
      <c r="BJ111" s="584">
        <v>0</v>
      </c>
      <c r="BK111" s="584">
        <v>0</v>
      </c>
      <c r="BL111" s="584">
        <v>0</v>
      </c>
      <c r="BM111" s="584">
        <v>0</v>
      </c>
      <c r="BN111" s="584">
        <v>0</v>
      </c>
      <c r="BO111" s="584">
        <v>0</v>
      </c>
      <c r="BP111" s="584">
        <v>0</v>
      </c>
      <c r="BQ111" s="584">
        <v>0</v>
      </c>
      <c r="BR111" s="584">
        <v>0</v>
      </c>
      <c r="BS111" s="584">
        <v>0</v>
      </c>
      <c r="BT111" s="584">
        <v>0</v>
      </c>
      <c r="BU111" s="584">
        <v>0</v>
      </c>
      <c r="BV111" s="584">
        <v>0</v>
      </c>
      <c r="BW111" s="584">
        <v>0</v>
      </c>
      <c r="BX111" s="584">
        <v>0</v>
      </c>
      <c r="BY111" s="584">
        <v>0</v>
      </c>
      <c r="BZ111" s="584">
        <v>0</v>
      </c>
      <c r="CA111" s="584">
        <v>0</v>
      </c>
      <c r="CB111" s="584">
        <v>0</v>
      </c>
      <c r="CC111" s="584">
        <v>0</v>
      </c>
      <c r="CD111" s="584">
        <v>0</v>
      </c>
      <c r="CE111" s="584">
        <v>0</v>
      </c>
      <c r="CF111" s="584">
        <v>0</v>
      </c>
      <c r="CG111" s="584">
        <v>0</v>
      </c>
      <c r="CH111" s="584">
        <v>0</v>
      </c>
      <c r="CI111" s="584">
        <v>0</v>
      </c>
      <c r="CJ111" s="584">
        <v>0</v>
      </c>
      <c r="CK111" s="584">
        <v>0</v>
      </c>
      <c r="CL111" s="584">
        <v>0</v>
      </c>
      <c r="CM111" s="584">
        <v>0</v>
      </c>
      <c r="CN111" s="584">
        <v>0</v>
      </c>
      <c r="CO111" s="584">
        <v>0</v>
      </c>
      <c r="CP111" s="584">
        <v>0</v>
      </c>
      <c r="CQ111" s="584">
        <v>0</v>
      </c>
      <c r="CR111" s="584">
        <v>0</v>
      </c>
      <c r="CS111" s="584">
        <v>0</v>
      </c>
      <c r="CT111" s="584">
        <v>0</v>
      </c>
      <c r="CU111" s="584">
        <v>0</v>
      </c>
      <c r="CV111" s="584">
        <v>0</v>
      </c>
      <c r="CW111" s="584">
        <v>0</v>
      </c>
      <c r="CX111" s="584">
        <v>0</v>
      </c>
      <c r="CY111" s="584">
        <v>0</v>
      </c>
      <c r="CZ111" s="584">
        <v>0</v>
      </c>
      <c r="DA111" s="584">
        <v>0</v>
      </c>
      <c r="DB111" s="584">
        <v>0</v>
      </c>
      <c r="DC111" s="584">
        <v>0</v>
      </c>
      <c r="DD111" s="584">
        <v>0</v>
      </c>
      <c r="DE111" s="584">
        <v>0</v>
      </c>
      <c r="DF111" s="584">
        <v>0</v>
      </c>
      <c r="DG111" s="584">
        <v>0</v>
      </c>
      <c r="DH111" s="584">
        <v>0</v>
      </c>
      <c r="DI111" s="584">
        <v>0</v>
      </c>
      <c r="DJ111" s="584">
        <v>0</v>
      </c>
      <c r="DK111" s="584">
        <v>0</v>
      </c>
      <c r="DL111" s="584">
        <v>0</v>
      </c>
      <c r="DM111" s="584">
        <v>0</v>
      </c>
      <c r="DN111" s="584">
        <v>0</v>
      </c>
      <c r="DO111" s="584">
        <v>0</v>
      </c>
      <c r="DP111" s="584">
        <v>0</v>
      </c>
      <c r="DQ111" s="584">
        <v>0</v>
      </c>
      <c r="DR111" s="584">
        <v>0</v>
      </c>
      <c r="DS111" s="584">
        <v>0</v>
      </c>
      <c r="DT111" s="584">
        <v>0</v>
      </c>
      <c r="DU111" s="584">
        <v>0</v>
      </c>
      <c r="DV111" s="584">
        <v>0</v>
      </c>
      <c r="DW111" s="584">
        <v>0</v>
      </c>
      <c r="DX111" s="584">
        <v>0</v>
      </c>
      <c r="DY111" s="584">
        <v>0</v>
      </c>
      <c r="DZ111" s="584">
        <v>0</v>
      </c>
      <c r="EA111" s="1062">
        <v>1.0270999999999999</v>
      </c>
      <c r="EB111" s="1046">
        <v>0.45</v>
      </c>
      <c r="EC111" s="1093">
        <v>132.51783893985726</v>
      </c>
      <c r="ED111" s="1046">
        <v>0</v>
      </c>
      <c r="EE111" s="1046">
        <v>581.03975535168195</v>
      </c>
      <c r="EF111" s="1046">
        <v>60.613333333333337</v>
      </c>
      <c r="EG111" s="1046">
        <v>0</v>
      </c>
      <c r="EH111" s="1046">
        <v>0</v>
      </c>
      <c r="EI111" s="1046" t="s">
        <v>446</v>
      </c>
      <c r="EJ111" s="1046" t="s">
        <v>418</v>
      </c>
      <c r="EK111" s="1046">
        <v>0</v>
      </c>
      <c r="EL111" s="1046">
        <v>0</v>
      </c>
      <c r="EM111" s="1046">
        <v>0</v>
      </c>
      <c r="EN111" s="1046">
        <v>0</v>
      </c>
      <c r="EO111" s="1046">
        <v>0</v>
      </c>
      <c r="EP111" s="1094">
        <v>151.77406500000001</v>
      </c>
      <c r="EQ111" s="1094">
        <v>46.875</v>
      </c>
      <c r="ER111" s="1094">
        <v>303.54813000000001</v>
      </c>
      <c r="ES111" s="1095">
        <v>93.75</v>
      </c>
      <c r="ET111" s="1094">
        <v>607.09626000000003</v>
      </c>
      <c r="EU111" s="1094">
        <v>187.5</v>
      </c>
      <c r="EV111" s="1096">
        <v>0.75260000000000005</v>
      </c>
      <c r="EW111" s="1097">
        <v>0.15</v>
      </c>
      <c r="EX111" s="1096">
        <v>289.50050968399592</v>
      </c>
      <c r="EY111" s="1096">
        <v>1.5443934760448521</v>
      </c>
      <c r="EZ111" s="1096">
        <v>0</v>
      </c>
      <c r="FA111" s="1096">
        <v>24.72</v>
      </c>
      <c r="FB111" s="1098">
        <v>0</v>
      </c>
      <c r="FC111" s="1098">
        <v>0</v>
      </c>
      <c r="FD111" s="1098" t="s">
        <v>458</v>
      </c>
      <c r="FE111" s="1098" t="s">
        <v>410</v>
      </c>
      <c r="FF111" s="1098">
        <v>1</v>
      </c>
      <c r="FG111" s="1098">
        <v>0</v>
      </c>
      <c r="FH111" s="1098">
        <v>0</v>
      </c>
      <c r="FI111" s="1098">
        <v>0</v>
      </c>
      <c r="FJ111" s="1098">
        <v>0</v>
      </c>
      <c r="FK111" s="1096">
        <v>69.518506875</v>
      </c>
      <c r="FL111" s="1096">
        <v>46.875</v>
      </c>
      <c r="FM111" s="1096">
        <v>139.03701375</v>
      </c>
      <c r="FN111" s="1096">
        <v>93.75</v>
      </c>
      <c r="FO111" s="1096">
        <v>278.0740275</v>
      </c>
      <c r="FP111" s="1099">
        <v>187.5</v>
      </c>
      <c r="FQ111" s="1064">
        <v>1.0108981024599608</v>
      </c>
      <c r="FR111" s="1065">
        <v>0.15</v>
      </c>
      <c r="FS111" s="1066">
        <v>289.50050968399586</v>
      </c>
      <c r="FT111" s="1066">
        <v>3.1754272996334754</v>
      </c>
      <c r="FU111" s="1065"/>
      <c r="FV111" s="1066">
        <v>60.635279624491886</v>
      </c>
      <c r="FW111" s="1065"/>
      <c r="FX111" s="1065"/>
      <c r="FY111" s="1065" t="s">
        <v>459</v>
      </c>
      <c r="FZ111" s="1065" t="s">
        <v>412</v>
      </c>
      <c r="GA111" s="1065">
        <v>1</v>
      </c>
      <c r="GB111" s="1065"/>
      <c r="GC111" s="1065"/>
      <c r="GD111" s="1065"/>
      <c r="GE111" s="1065"/>
      <c r="GF111" s="1066">
        <v>74.3621819048563</v>
      </c>
      <c r="GG111" s="1066">
        <v>46.875</v>
      </c>
      <c r="GH111" s="1066">
        <v>148.7243638097126</v>
      </c>
      <c r="GI111" s="1066">
        <v>93.75</v>
      </c>
      <c r="GJ111" s="1066">
        <v>297.4487276194252</v>
      </c>
      <c r="GK111" s="1066">
        <v>187.5</v>
      </c>
      <c r="GL111" s="584">
        <v>0.87219999999999998</v>
      </c>
      <c r="GM111" s="584">
        <v>0.11</v>
      </c>
      <c r="GN111" s="584"/>
      <c r="GO111" s="584"/>
      <c r="GP111" s="584"/>
      <c r="GQ111" s="584">
        <v>72.266666666666694</v>
      </c>
      <c r="GR111" s="584"/>
      <c r="GS111" s="584">
        <v>56.065239551478101</v>
      </c>
      <c r="GT111" s="584" t="s">
        <v>471</v>
      </c>
      <c r="GU111" s="584" t="s">
        <v>385</v>
      </c>
      <c r="GV111" s="584">
        <v>1</v>
      </c>
      <c r="GW111" s="584"/>
      <c r="GX111" s="584"/>
      <c r="GY111" s="584"/>
      <c r="GZ111" s="584"/>
      <c r="HA111" s="584">
        <v>32.980049999999999</v>
      </c>
      <c r="HB111" s="584">
        <v>46.875</v>
      </c>
      <c r="HC111" s="584">
        <v>65.960099999999997</v>
      </c>
      <c r="HD111" s="584">
        <v>93.75</v>
      </c>
      <c r="HE111" s="584">
        <v>131.92019999999999</v>
      </c>
      <c r="HF111" s="584">
        <v>187.5</v>
      </c>
      <c r="HG111" s="1100">
        <v>1.31</v>
      </c>
      <c r="HH111" s="1100">
        <v>0.11</v>
      </c>
      <c r="HI111" s="1101">
        <v>0</v>
      </c>
      <c r="HJ111" s="1101">
        <v>0</v>
      </c>
      <c r="HK111" s="1101">
        <v>0</v>
      </c>
      <c r="HL111" s="1101">
        <v>0</v>
      </c>
      <c r="HM111" s="1101">
        <v>70.176000000000002</v>
      </c>
      <c r="HN111" s="1101">
        <v>54.999999999999993</v>
      </c>
      <c r="HO111" s="1101">
        <v>0</v>
      </c>
      <c r="HP111" s="1101">
        <v>0</v>
      </c>
      <c r="HQ111" s="1101">
        <v>1</v>
      </c>
      <c r="HR111" s="1101">
        <v>0.64</v>
      </c>
      <c r="HS111" s="1101">
        <v>1.2</v>
      </c>
      <c r="HT111" s="1101">
        <v>0.28000000000000003</v>
      </c>
      <c r="HU111" s="1101">
        <v>0.3</v>
      </c>
      <c r="HV111" s="1101">
        <v>32.3995605</v>
      </c>
      <c r="HW111" s="1101">
        <v>46.875</v>
      </c>
      <c r="HX111" s="1101">
        <v>64.799121</v>
      </c>
      <c r="HY111" s="1101">
        <v>93.75</v>
      </c>
      <c r="HZ111" s="1101">
        <v>129.598242</v>
      </c>
      <c r="IA111" s="1101">
        <v>187.5</v>
      </c>
      <c r="IB111" s="1102"/>
      <c r="IC111" s="1092"/>
      <c r="ID111" s="1050"/>
      <c r="IE111" s="1050"/>
      <c r="IF111" s="1103"/>
      <c r="IG111" s="1103"/>
      <c r="IH111" s="1103"/>
      <c r="II111" s="1103"/>
      <c r="IJ111" s="1103"/>
      <c r="IK111" s="1103"/>
      <c r="IL111" s="1103"/>
      <c r="IM111" s="1050"/>
      <c r="IN111" s="1050"/>
      <c r="IO111" s="1050"/>
      <c r="IP111" s="1050"/>
      <c r="IQ111" s="1103"/>
      <c r="IR111" s="1103"/>
      <c r="IS111" s="1103"/>
      <c r="IT111" s="1103"/>
      <c r="IU111" s="1103"/>
      <c r="IV111" s="1103"/>
      <c r="JR111" s="1092"/>
      <c r="JS111" s="1092"/>
      <c r="JU111" s="1050"/>
      <c r="JV111" s="1103"/>
      <c r="JW111" s="1103"/>
      <c r="JX111" s="1103"/>
      <c r="JY111" s="1103"/>
      <c r="JZ111" s="1103"/>
      <c r="KA111" s="1103"/>
      <c r="KB111" s="1103"/>
      <c r="KC111" s="1050"/>
      <c r="KD111" s="1050"/>
      <c r="KE111" s="1050"/>
      <c r="KF111" s="1050"/>
      <c r="KG111" s="1103"/>
      <c r="KH111" s="1103"/>
      <c r="KI111" s="1103"/>
      <c r="KJ111" s="1103"/>
      <c r="KK111" s="1103"/>
      <c r="KL111" s="1103"/>
      <c r="KM111" s="1103"/>
      <c r="KN111" s="1103"/>
    </row>
    <row r="112" spans="2:300">
      <c r="B112" s="1048" t="str">
        <f t="shared" si="4"/>
        <v>R516</v>
      </c>
      <c r="C112" s="1092">
        <v>5</v>
      </c>
      <c r="D112" s="1092">
        <v>16</v>
      </c>
      <c r="E112" s="584">
        <v>0</v>
      </c>
      <c r="F112" s="584">
        <v>0</v>
      </c>
      <c r="G112" s="584">
        <v>0</v>
      </c>
      <c r="H112" s="584">
        <v>0</v>
      </c>
      <c r="I112" s="584">
        <v>0</v>
      </c>
      <c r="J112" s="584">
        <v>0</v>
      </c>
      <c r="K112" s="584">
        <v>0</v>
      </c>
      <c r="L112" s="584">
        <v>0</v>
      </c>
      <c r="M112" s="584">
        <v>0</v>
      </c>
      <c r="N112" s="584">
        <v>0</v>
      </c>
      <c r="O112" s="584">
        <v>0</v>
      </c>
      <c r="P112" s="584">
        <v>0</v>
      </c>
      <c r="Q112" s="584">
        <v>0</v>
      </c>
      <c r="R112" s="584">
        <v>0</v>
      </c>
      <c r="S112" s="584">
        <v>0</v>
      </c>
      <c r="T112" s="584">
        <v>0</v>
      </c>
      <c r="U112" s="584">
        <v>0</v>
      </c>
      <c r="V112" s="584">
        <v>0</v>
      </c>
      <c r="W112" s="584">
        <v>0</v>
      </c>
      <c r="X112" s="584">
        <v>0</v>
      </c>
      <c r="Y112" s="584">
        <v>0</v>
      </c>
      <c r="Z112" s="584">
        <v>0</v>
      </c>
      <c r="AA112" s="584">
        <v>0</v>
      </c>
      <c r="AB112" s="584">
        <v>0</v>
      </c>
      <c r="AC112" s="584">
        <v>0</v>
      </c>
      <c r="AD112" s="584">
        <v>0</v>
      </c>
      <c r="AE112" s="584">
        <v>0</v>
      </c>
      <c r="AF112" s="584">
        <v>0</v>
      </c>
      <c r="AG112" s="584">
        <v>0</v>
      </c>
      <c r="AH112" s="584">
        <v>0</v>
      </c>
      <c r="AI112" s="584">
        <v>0</v>
      </c>
      <c r="AJ112" s="584">
        <v>0</v>
      </c>
      <c r="AK112" s="584">
        <v>0</v>
      </c>
      <c r="AL112" s="584">
        <v>0</v>
      </c>
      <c r="AM112" s="584">
        <v>0</v>
      </c>
      <c r="AN112" s="584">
        <v>0</v>
      </c>
      <c r="AO112" s="584">
        <v>127.5474375</v>
      </c>
      <c r="AP112" s="584">
        <v>50</v>
      </c>
      <c r="AQ112" s="584">
        <v>205.81743750000001</v>
      </c>
      <c r="AR112" s="584">
        <v>105</v>
      </c>
      <c r="AS112" s="584">
        <v>52.991</v>
      </c>
      <c r="AT112" s="584">
        <v>220</v>
      </c>
      <c r="AU112" s="584">
        <v>0</v>
      </c>
      <c r="AV112" s="584">
        <v>0</v>
      </c>
      <c r="AW112" s="584">
        <v>0</v>
      </c>
      <c r="AX112" s="584">
        <v>0</v>
      </c>
      <c r="AY112" s="584">
        <v>0</v>
      </c>
      <c r="AZ112" s="584">
        <v>0</v>
      </c>
      <c r="BA112" s="584">
        <v>0</v>
      </c>
      <c r="BB112" s="584">
        <v>0</v>
      </c>
      <c r="BC112" s="584">
        <v>0</v>
      </c>
      <c r="BD112" s="584">
        <v>0</v>
      </c>
      <c r="BE112" s="584">
        <v>0</v>
      </c>
      <c r="BF112" s="584">
        <v>0</v>
      </c>
      <c r="BG112" s="584">
        <v>0</v>
      </c>
      <c r="BH112" s="584">
        <v>0</v>
      </c>
      <c r="BI112" s="584">
        <v>0</v>
      </c>
      <c r="BJ112" s="584">
        <v>0</v>
      </c>
      <c r="BK112" s="584">
        <v>0</v>
      </c>
      <c r="BL112" s="584">
        <v>0</v>
      </c>
      <c r="BM112" s="584">
        <v>0</v>
      </c>
      <c r="BN112" s="584">
        <v>0</v>
      </c>
      <c r="BO112" s="584">
        <v>0</v>
      </c>
      <c r="BP112" s="584">
        <v>0</v>
      </c>
      <c r="BQ112" s="584">
        <v>0</v>
      </c>
      <c r="BR112" s="584">
        <v>0</v>
      </c>
      <c r="BS112" s="584">
        <v>0</v>
      </c>
      <c r="BT112" s="584">
        <v>0</v>
      </c>
      <c r="BU112" s="584">
        <v>0</v>
      </c>
      <c r="BV112" s="584">
        <v>0</v>
      </c>
      <c r="BW112" s="584">
        <v>0</v>
      </c>
      <c r="BX112" s="584">
        <v>0</v>
      </c>
      <c r="BY112" s="584">
        <v>0</v>
      </c>
      <c r="BZ112" s="584">
        <v>0</v>
      </c>
      <c r="CA112" s="584">
        <v>0</v>
      </c>
      <c r="CB112" s="584">
        <v>0</v>
      </c>
      <c r="CC112" s="584">
        <v>0</v>
      </c>
      <c r="CD112" s="584">
        <v>0</v>
      </c>
      <c r="CE112" s="584">
        <v>0</v>
      </c>
      <c r="CF112" s="584">
        <v>0</v>
      </c>
      <c r="CG112" s="584">
        <v>0</v>
      </c>
      <c r="CH112" s="584">
        <v>0</v>
      </c>
      <c r="CI112" s="584">
        <v>0</v>
      </c>
      <c r="CJ112" s="584">
        <v>0</v>
      </c>
      <c r="CK112" s="584">
        <v>0</v>
      </c>
      <c r="CL112" s="584">
        <v>0</v>
      </c>
      <c r="CM112" s="584">
        <v>0</v>
      </c>
      <c r="CN112" s="584">
        <v>0</v>
      </c>
      <c r="CO112" s="584">
        <v>0</v>
      </c>
      <c r="CP112" s="584">
        <v>0</v>
      </c>
      <c r="CQ112" s="584">
        <v>0</v>
      </c>
      <c r="CR112" s="584">
        <v>0</v>
      </c>
      <c r="CS112" s="584">
        <v>0</v>
      </c>
      <c r="CT112" s="584">
        <v>0</v>
      </c>
      <c r="CU112" s="584">
        <v>0</v>
      </c>
      <c r="CV112" s="584">
        <v>0</v>
      </c>
      <c r="CW112" s="584">
        <v>0</v>
      </c>
      <c r="CX112" s="584">
        <v>0</v>
      </c>
      <c r="CY112" s="584">
        <v>0</v>
      </c>
      <c r="CZ112" s="584">
        <v>0</v>
      </c>
      <c r="DA112" s="584">
        <v>0</v>
      </c>
      <c r="DB112" s="584">
        <v>0</v>
      </c>
      <c r="DC112" s="584">
        <v>0</v>
      </c>
      <c r="DD112" s="584">
        <v>0</v>
      </c>
      <c r="DE112" s="584">
        <v>0</v>
      </c>
      <c r="DF112" s="584">
        <v>0</v>
      </c>
      <c r="DG112" s="584">
        <v>0</v>
      </c>
      <c r="DH112" s="584">
        <v>0</v>
      </c>
      <c r="DI112" s="584">
        <v>0</v>
      </c>
      <c r="DJ112" s="584">
        <v>0</v>
      </c>
      <c r="DK112" s="584">
        <v>0</v>
      </c>
      <c r="DL112" s="584">
        <v>0</v>
      </c>
      <c r="DM112" s="584">
        <v>0</v>
      </c>
      <c r="DN112" s="584">
        <v>0</v>
      </c>
      <c r="DO112" s="584">
        <v>0</v>
      </c>
      <c r="DP112" s="584">
        <v>0</v>
      </c>
      <c r="DQ112" s="584">
        <v>0</v>
      </c>
      <c r="DR112" s="584">
        <v>0</v>
      </c>
      <c r="DS112" s="584">
        <v>0</v>
      </c>
      <c r="DT112" s="584">
        <v>0</v>
      </c>
      <c r="DU112" s="584">
        <v>0</v>
      </c>
      <c r="DV112" s="584">
        <v>0</v>
      </c>
      <c r="DW112" s="584">
        <v>0</v>
      </c>
      <c r="DX112" s="584">
        <v>0</v>
      </c>
      <c r="DY112" s="584">
        <v>0</v>
      </c>
      <c r="DZ112" s="584">
        <v>0</v>
      </c>
      <c r="EA112" s="1062">
        <v>0</v>
      </c>
      <c r="EB112" s="1046">
        <v>0</v>
      </c>
      <c r="EC112" s="1093">
        <v>0</v>
      </c>
      <c r="ED112" s="1046">
        <v>0</v>
      </c>
      <c r="EE112" s="1046">
        <v>0</v>
      </c>
      <c r="EF112" s="1046">
        <v>0</v>
      </c>
      <c r="EG112" s="1046">
        <v>0</v>
      </c>
      <c r="EH112" s="1046">
        <v>0</v>
      </c>
      <c r="EI112" s="1046">
        <v>0</v>
      </c>
      <c r="EJ112" s="1046">
        <v>0</v>
      </c>
      <c r="EK112" s="1046">
        <v>0</v>
      </c>
      <c r="EL112" s="1046">
        <v>0</v>
      </c>
      <c r="EM112" s="1046">
        <v>0</v>
      </c>
      <c r="EN112" s="1046">
        <v>0</v>
      </c>
      <c r="EO112" s="1046">
        <v>0</v>
      </c>
      <c r="EP112" s="1094">
        <v>0</v>
      </c>
      <c r="EQ112" s="1094">
        <v>0</v>
      </c>
      <c r="ER112" s="1094">
        <v>0</v>
      </c>
      <c r="ES112" s="1095">
        <v>0</v>
      </c>
      <c r="ET112" s="1094">
        <v>0</v>
      </c>
      <c r="EU112" s="1094">
        <v>0</v>
      </c>
      <c r="EV112" s="1096">
        <v>0.82789999999999997</v>
      </c>
      <c r="EW112" s="1097">
        <v>0.15</v>
      </c>
      <c r="EX112" s="1096">
        <v>289.50050968399592</v>
      </c>
      <c r="EY112" s="1096">
        <v>1.5443934760448521</v>
      </c>
      <c r="EZ112" s="1096">
        <v>0</v>
      </c>
      <c r="FA112" s="1096">
        <v>29.683749999999996</v>
      </c>
      <c r="FB112" s="1098">
        <v>0</v>
      </c>
      <c r="FC112" s="1098">
        <v>0</v>
      </c>
      <c r="FD112" s="1098" t="s">
        <v>450</v>
      </c>
      <c r="FE112" s="1098" t="s">
        <v>396</v>
      </c>
      <c r="FF112" s="1098">
        <v>1</v>
      </c>
      <c r="FG112" s="1098">
        <v>0</v>
      </c>
      <c r="FH112" s="1098">
        <v>0</v>
      </c>
      <c r="FI112" s="1098">
        <v>0</v>
      </c>
      <c r="FJ112" s="1098">
        <v>0</v>
      </c>
      <c r="FK112" s="1096">
        <v>75.126961750000007</v>
      </c>
      <c r="FL112" s="1096">
        <v>50</v>
      </c>
      <c r="FM112" s="1096">
        <v>150.25392350000001</v>
      </c>
      <c r="FN112" s="1096">
        <v>100</v>
      </c>
      <c r="FO112" s="1096">
        <v>300.50784700000003</v>
      </c>
      <c r="FP112" s="1099">
        <v>200</v>
      </c>
      <c r="FQ112" s="1064">
        <v>1.0156981024599609</v>
      </c>
      <c r="FR112" s="1065">
        <v>0.15</v>
      </c>
      <c r="FS112" s="1066">
        <v>289.50050968399586</v>
      </c>
      <c r="FT112" s="1066">
        <v>3.1754272996334754</v>
      </c>
      <c r="FU112" s="1065"/>
      <c r="FV112" s="1066">
        <v>71.634977440810914</v>
      </c>
      <c r="FW112" s="1065"/>
      <c r="FX112" s="1065"/>
      <c r="FY112" s="1065" t="s">
        <v>438</v>
      </c>
      <c r="FZ112" s="1065" t="s">
        <v>406</v>
      </c>
      <c r="GA112" s="1065">
        <v>1</v>
      </c>
      <c r="GB112" s="1065"/>
      <c r="GC112" s="1065"/>
      <c r="GD112" s="1065"/>
      <c r="GE112" s="1065"/>
      <c r="GF112" s="1066">
        <v>81.477801410075188</v>
      </c>
      <c r="GG112" s="1066">
        <v>50</v>
      </c>
      <c r="GH112" s="1066">
        <v>162.95560282015038</v>
      </c>
      <c r="GI112" s="1066">
        <v>100</v>
      </c>
      <c r="GJ112" s="1066">
        <v>325.91120564030075</v>
      </c>
      <c r="GK112" s="1066">
        <v>200</v>
      </c>
      <c r="GL112" s="584">
        <v>0.94489999999999996</v>
      </c>
      <c r="GM112" s="584">
        <v>0.11</v>
      </c>
      <c r="GN112" s="584"/>
      <c r="GO112" s="584"/>
      <c r="GP112" s="584"/>
      <c r="GQ112" s="584">
        <v>73.234999999999999</v>
      </c>
      <c r="GR112" s="584"/>
      <c r="GS112" s="584">
        <v>56.065239551478101</v>
      </c>
      <c r="GT112" s="584" t="s">
        <v>471</v>
      </c>
      <c r="GU112" s="584" t="s">
        <v>381</v>
      </c>
      <c r="GV112" s="584">
        <v>1</v>
      </c>
      <c r="GW112" s="584"/>
      <c r="GX112" s="584"/>
      <c r="GY112" s="584"/>
      <c r="GZ112" s="584"/>
      <c r="HA112" s="584">
        <v>35.368707000000001</v>
      </c>
      <c r="HB112" s="584">
        <v>50</v>
      </c>
      <c r="HC112" s="584">
        <v>70.737414000000001</v>
      </c>
      <c r="HD112" s="584">
        <v>100</v>
      </c>
      <c r="HE112" s="584">
        <v>141.474828</v>
      </c>
      <c r="HF112" s="584">
        <v>200</v>
      </c>
      <c r="HG112" s="1100">
        <v>1.4300000000000002</v>
      </c>
      <c r="HH112" s="1100">
        <v>0.11</v>
      </c>
      <c r="HI112" s="1101">
        <v>0</v>
      </c>
      <c r="HJ112" s="1101">
        <v>0</v>
      </c>
      <c r="HK112" s="1101">
        <v>0</v>
      </c>
      <c r="HL112" s="1101">
        <v>0</v>
      </c>
      <c r="HM112" s="1101">
        <v>71.927999999999997</v>
      </c>
      <c r="HN112" s="1101">
        <v>54.999999999999993</v>
      </c>
      <c r="HO112" s="1101">
        <v>0</v>
      </c>
      <c r="HP112" s="1101">
        <v>0</v>
      </c>
      <c r="HQ112" s="1101">
        <v>1</v>
      </c>
      <c r="HR112" s="1101">
        <v>0.64</v>
      </c>
      <c r="HS112" s="1101">
        <v>1.32</v>
      </c>
      <c r="HT112" s="1101">
        <v>0.3</v>
      </c>
      <c r="HU112" s="1101">
        <v>0.28000000000000003</v>
      </c>
      <c r="HV112" s="1101">
        <v>34.903273600000006</v>
      </c>
      <c r="HW112" s="1101">
        <v>50</v>
      </c>
      <c r="HX112" s="1101">
        <v>69.806547200000011</v>
      </c>
      <c r="HY112" s="1101">
        <v>100</v>
      </c>
      <c r="HZ112" s="1101">
        <v>139.61309440000002</v>
      </c>
      <c r="IA112" s="1101">
        <v>200</v>
      </c>
      <c r="IB112" s="1102"/>
      <c r="IC112" s="1092"/>
      <c r="ID112" s="1050"/>
      <c r="IE112" s="1050"/>
      <c r="IF112" s="1103"/>
      <c r="IG112" s="1103"/>
      <c r="IH112" s="1103"/>
      <c r="II112" s="1103"/>
      <c r="IJ112" s="1103"/>
      <c r="IK112" s="1103"/>
      <c r="IL112" s="1103"/>
      <c r="IM112" s="1050"/>
      <c r="IN112" s="1050"/>
      <c r="IO112" s="1050"/>
      <c r="IP112" s="1050"/>
      <c r="IQ112" s="1103"/>
      <c r="IR112" s="1103"/>
      <c r="IS112" s="1103"/>
      <c r="IT112" s="1103"/>
      <c r="IU112" s="1103"/>
      <c r="IV112" s="1103"/>
      <c r="JR112" s="1092"/>
      <c r="JS112" s="1092"/>
      <c r="JU112" s="1050"/>
      <c r="JV112" s="1103"/>
      <c r="JW112" s="1103"/>
      <c r="JX112" s="1103"/>
      <c r="JY112" s="1103"/>
      <c r="JZ112" s="1103"/>
      <c r="KA112" s="1103"/>
      <c r="KB112" s="1103"/>
      <c r="KC112" s="1050"/>
      <c r="KD112" s="1050"/>
      <c r="KE112" s="1050"/>
      <c r="KF112" s="1050"/>
      <c r="KG112" s="1103"/>
      <c r="KH112" s="1103"/>
      <c r="KI112" s="1103"/>
      <c r="KJ112" s="1103"/>
      <c r="KK112" s="1103"/>
      <c r="KL112" s="1103"/>
      <c r="KM112" s="1103"/>
      <c r="KN112" s="1103"/>
    </row>
    <row r="113" spans="2:300">
      <c r="B113" s="1048" t="str">
        <f t="shared" si="4"/>
        <v>R66</v>
      </c>
      <c r="C113" s="1046">
        <v>6</v>
      </c>
      <c r="D113" s="1046">
        <v>6</v>
      </c>
      <c r="E113" s="584">
        <v>0.21</v>
      </c>
      <c r="F113" s="584">
        <v>0.21</v>
      </c>
      <c r="G113" s="584">
        <v>504</v>
      </c>
      <c r="H113" s="584">
        <v>14.7</v>
      </c>
      <c r="I113" s="584">
        <v>0</v>
      </c>
      <c r="J113" s="584">
        <v>0</v>
      </c>
      <c r="K113" s="584">
        <v>0</v>
      </c>
      <c r="L113" s="584">
        <v>0</v>
      </c>
      <c r="M113" s="584">
        <v>0</v>
      </c>
      <c r="N113" s="584">
        <v>0</v>
      </c>
      <c r="O113" s="584">
        <v>0</v>
      </c>
      <c r="P113" s="584">
        <v>0</v>
      </c>
      <c r="Q113" s="584">
        <v>0</v>
      </c>
      <c r="R113" s="584">
        <v>0</v>
      </c>
      <c r="S113" s="584">
        <v>0</v>
      </c>
      <c r="T113" s="584">
        <v>127.6574375</v>
      </c>
      <c r="U113" s="584">
        <v>22.5</v>
      </c>
      <c r="V113" s="584">
        <v>187.75743750000001</v>
      </c>
      <c r="W113" s="584">
        <v>47.25</v>
      </c>
      <c r="X113" s="584">
        <v>236.691</v>
      </c>
      <c r="Y113" s="584">
        <v>99</v>
      </c>
      <c r="Z113" s="584">
        <v>0.2</v>
      </c>
      <c r="AA113" s="584">
        <v>0.2</v>
      </c>
      <c r="AB113" s="584">
        <v>480</v>
      </c>
      <c r="AC113" s="584">
        <v>18</v>
      </c>
      <c r="AD113" s="584">
        <v>0</v>
      </c>
      <c r="AE113" s="584">
        <v>0</v>
      </c>
      <c r="AF113" s="584">
        <v>0</v>
      </c>
      <c r="AG113" s="584">
        <v>0</v>
      </c>
      <c r="AH113" s="584">
        <v>0</v>
      </c>
      <c r="AI113" s="584">
        <v>0</v>
      </c>
      <c r="AJ113" s="584">
        <v>0</v>
      </c>
      <c r="AK113" s="584">
        <v>0</v>
      </c>
      <c r="AL113" s="584">
        <v>0</v>
      </c>
      <c r="AM113" s="584">
        <v>0</v>
      </c>
      <c r="AN113" s="584">
        <v>0</v>
      </c>
      <c r="AO113" s="584">
        <v>125.0974375</v>
      </c>
      <c r="AP113" s="584">
        <v>22.5</v>
      </c>
      <c r="AQ113" s="584">
        <v>182.71743749999999</v>
      </c>
      <c r="AR113" s="584">
        <v>47.25</v>
      </c>
      <c r="AS113" s="584">
        <v>226.791</v>
      </c>
      <c r="AT113" s="584">
        <v>99</v>
      </c>
      <c r="AU113" s="584">
        <v>0.3</v>
      </c>
      <c r="AV113" s="584">
        <v>0.25</v>
      </c>
      <c r="AW113" s="584">
        <v>425.88376577840103</v>
      </c>
      <c r="AX113" s="584">
        <v>19.254032258064498</v>
      </c>
      <c r="AY113" s="584">
        <v>0</v>
      </c>
      <c r="AZ113" s="584">
        <v>0</v>
      </c>
      <c r="BA113" s="584">
        <v>0</v>
      </c>
      <c r="BB113" s="584">
        <v>0</v>
      </c>
      <c r="BC113" s="584">
        <v>0</v>
      </c>
      <c r="BD113" s="584">
        <v>0</v>
      </c>
      <c r="BE113" s="584">
        <v>0</v>
      </c>
      <c r="BF113" s="584">
        <v>0</v>
      </c>
      <c r="BG113" s="584">
        <v>0.3</v>
      </c>
      <c r="BH113" s="584">
        <v>0</v>
      </c>
      <c r="BI113" s="584">
        <v>0.6</v>
      </c>
      <c r="BJ113" s="584">
        <v>124.25095161290299</v>
      </c>
      <c r="BK113" s="584">
        <v>22.5</v>
      </c>
      <c r="BL113" s="584">
        <v>174.08845161290299</v>
      </c>
      <c r="BM113" s="584">
        <v>47.25</v>
      </c>
      <c r="BN113" s="584">
        <v>200.10226209677401</v>
      </c>
      <c r="BO113" s="584">
        <v>99</v>
      </c>
      <c r="BP113" s="584">
        <v>0.27500000000000002</v>
      </c>
      <c r="BQ113" s="584">
        <v>0.125</v>
      </c>
      <c r="BR113" s="584">
        <v>375.26297335203401</v>
      </c>
      <c r="BS113" s="584">
        <v>14.437938288920099</v>
      </c>
      <c r="BT113" s="584">
        <v>0</v>
      </c>
      <c r="BU113" s="584">
        <v>0</v>
      </c>
      <c r="BV113" s="584">
        <v>0</v>
      </c>
      <c r="BW113" s="584">
        <v>0</v>
      </c>
      <c r="BX113" s="584">
        <v>0</v>
      </c>
      <c r="BY113" s="584">
        <v>0</v>
      </c>
      <c r="BZ113" s="584">
        <v>0</v>
      </c>
      <c r="CA113" s="584">
        <v>0.27500000000000002</v>
      </c>
      <c r="CB113" s="584">
        <v>0.27500000000000002</v>
      </c>
      <c r="CC113" s="584">
        <v>0.3</v>
      </c>
      <c r="CD113" s="584">
        <v>0.3</v>
      </c>
      <c r="CE113" s="584">
        <v>122.9665</v>
      </c>
      <c r="CF113" s="584">
        <v>22.5</v>
      </c>
      <c r="CG113" s="584">
        <v>168.399</v>
      </c>
      <c r="CH113" s="584">
        <v>47.25</v>
      </c>
      <c r="CI113" s="584">
        <v>165.339</v>
      </c>
      <c r="CJ113" s="584">
        <v>99</v>
      </c>
      <c r="CK113" s="584">
        <v>0.35</v>
      </c>
      <c r="CL113" s="584">
        <v>0.17</v>
      </c>
      <c r="CM113" s="584">
        <v>434.01601946002802</v>
      </c>
      <c r="CN113" s="584">
        <v>16.482724842216001</v>
      </c>
      <c r="CO113" s="584">
        <v>0</v>
      </c>
      <c r="CP113" s="584">
        <v>0</v>
      </c>
      <c r="CQ113" s="584">
        <v>0</v>
      </c>
      <c r="CR113" s="584">
        <v>0</v>
      </c>
      <c r="CS113" s="584">
        <v>0</v>
      </c>
      <c r="CT113" s="584">
        <v>0</v>
      </c>
      <c r="CU113" s="584">
        <v>0</v>
      </c>
      <c r="CV113" s="584">
        <v>0</v>
      </c>
      <c r="CW113" s="584">
        <v>0.35</v>
      </c>
      <c r="CX113" s="584">
        <v>0</v>
      </c>
      <c r="CY113" s="584">
        <v>0.3</v>
      </c>
      <c r="CZ113" s="584">
        <v>125.30110000000001</v>
      </c>
      <c r="DA113" s="584">
        <v>22.5</v>
      </c>
      <c r="DB113" s="584">
        <v>175.4811</v>
      </c>
      <c r="DC113" s="584">
        <v>47.25</v>
      </c>
      <c r="DD113" s="584">
        <v>204.75360000000001</v>
      </c>
      <c r="DE113" s="584">
        <v>99</v>
      </c>
      <c r="DF113" s="584">
        <v>0.35</v>
      </c>
      <c r="DG113" s="584">
        <v>0.2</v>
      </c>
      <c r="DH113" s="584">
        <v>328.54707223001401</v>
      </c>
      <c r="DI113" s="584">
        <v>16.777386570827499</v>
      </c>
      <c r="DJ113" s="584">
        <v>300</v>
      </c>
      <c r="DK113" s="584">
        <v>0</v>
      </c>
      <c r="DL113" s="584">
        <v>0</v>
      </c>
      <c r="DM113" s="584">
        <v>0</v>
      </c>
      <c r="DN113" s="584">
        <v>0</v>
      </c>
      <c r="DO113" s="584">
        <v>0</v>
      </c>
      <c r="DP113" s="584">
        <v>0</v>
      </c>
      <c r="DQ113" s="584">
        <v>0</v>
      </c>
      <c r="DR113" s="584">
        <v>0.35</v>
      </c>
      <c r="DS113" s="584">
        <v>0</v>
      </c>
      <c r="DT113" s="584">
        <v>2.4</v>
      </c>
      <c r="DU113" s="584">
        <v>126.18899999999999</v>
      </c>
      <c r="DV113" s="584">
        <v>22.5</v>
      </c>
      <c r="DW113" s="584">
        <v>224.25149999999999</v>
      </c>
      <c r="DX113" s="584">
        <v>47.25</v>
      </c>
      <c r="DY113" s="584">
        <v>273.22649999999999</v>
      </c>
      <c r="DZ113" s="584">
        <v>99</v>
      </c>
      <c r="EA113" s="1062">
        <v>0.55800000000000005</v>
      </c>
      <c r="EB113" s="1046">
        <v>0.2</v>
      </c>
      <c r="EC113" s="1093">
        <v>132.51783893985726</v>
      </c>
      <c r="ED113" s="1046">
        <v>0</v>
      </c>
      <c r="EE113" s="1046">
        <v>285.42303771661568</v>
      </c>
      <c r="EF113" s="1046">
        <v>14.5</v>
      </c>
      <c r="EG113" s="1046">
        <v>0</v>
      </c>
      <c r="EH113" s="1046">
        <v>0</v>
      </c>
      <c r="EI113" s="1046" t="s">
        <v>477</v>
      </c>
      <c r="EJ113" s="1046" t="s">
        <v>514</v>
      </c>
      <c r="EK113" s="1046">
        <v>0</v>
      </c>
      <c r="EL113" s="1046">
        <v>0</v>
      </c>
      <c r="EM113" s="1046">
        <v>0</v>
      </c>
      <c r="EN113" s="1046">
        <v>0</v>
      </c>
      <c r="EO113" s="1046">
        <v>0</v>
      </c>
      <c r="EP113" s="1094">
        <v>42.680205000000001</v>
      </c>
      <c r="EQ113" s="1094">
        <v>22.5</v>
      </c>
      <c r="ER113" s="1094">
        <v>85.360410000000002</v>
      </c>
      <c r="ES113" s="1095">
        <v>45</v>
      </c>
      <c r="ET113" s="1094">
        <v>170.72082</v>
      </c>
      <c r="EU113" s="1094">
        <v>90</v>
      </c>
      <c r="EV113" s="1096">
        <v>0.505</v>
      </c>
      <c r="EW113" s="1097">
        <v>0.15</v>
      </c>
      <c r="EX113" s="1096">
        <v>289.50050968399592</v>
      </c>
      <c r="EY113" s="1096">
        <v>1.5443934760448521</v>
      </c>
      <c r="EZ113" s="1096">
        <v>0</v>
      </c>
      <c r="FA113" s="1096">
        <v>15.216666666666665</v>
      </c>
      <c r="FB113" s="1098">
        <v>0</v>
      </c>
      <c r="FC113" s="1098">
        <v>0</v>
      </c>
      <c r="FD113" s="1098" t="s">
        <v>479</v>
      </c>
      <c r="FE113" s="1098" t="s">
        <v>490</v>
      </c>
      <c r="FF113" s="1098">
        <v>1</v>
      </c>
      <c r="FG113" s="1098">
        <v>0</v>
      </c>
      <c r="FH113" s="1098">
        <v>0</v>
      </c>
      <c r="FI113" s="1098">
        <v>0</v>
      </c>
      <c r="FJ113" s="1098">
        <v>0</v>
      </c>
      <c r="FK113" s="1096">
        <v>32.529834000000001</v>
      </c>
      <c r="FL113" s="1096">
        <v>22.5</v>
      </c>
      <c r="FM113" s="1096">
        <v>65.059668000000002</v>
      </c>
      <c r="FN113" s="1096">
        <v>45</v>
      </c>
      <c r="FO113" s="1096">
        <v>130.119336</v>
      </c>
      <c r="FP113" s="1099">
        <v>90</v>
      </c>
      <c r="FQ113" s="1064">
        <v>0.57475999999999994</v>
      </c>
      <c r="FR113" s="1065">
        <v>0.15</v>
      </c>
      <c r="FS113" s="1066">
        <v>289.50050968399586</v>
      </c>
      <c r="FT113" s="1066">
        <v>3.2237153637237084</v>
      </c>
      <c r="FU113" s="1065"/>
      <c r="FV113" s="1066">
        <v>35.03122609560868</v>
      </c>
      <c r="FW113" s="1065"/>
      <c r="FX113" s="1065"/>
      <c r="FY113" s="1065" t="s">
        <v>490</v>
      </c>
      <c r="FZ113" s="1065" t="s">
        <v>490</v>
      </c>
      <c r="GA113" s="1065">
        <v>1</v>
      </c>
      <c r="GB113" s="1065"/>
      <c r="GC113" s="1065"/>
      <c r="GD113" s="1065"/>
      <c r="GE113" s="1065"/>
      <c r="GF113" s="1066">
        <v>33.437528781444456</v>
      </c>
      <c r="GG113" s="1066">
        <v>22.5</v>
      </c>
      <c r="GH113" s="1066">
        <v>66.875057562888912</v>
      </c>
      <c r="GI113" s="1066">
        <v>45</v>
      </c>
      <c r="GJ113" s="1066">
        <v>133.75011512577782</v>
      </c>
      <c r="GK113" s="1066">
        <v>90</v>
      </c>
      <c r="GL113" s="584">
        <v>0.45900000000000002</v>
      </c>
      <c r="GM113" s="584">
        <v>0.11</v>
      </c>
      <c r="GN113" s="584"/>
      <c r="GO113" s="584"/>
      <c r="GP113" s="584"/>
      <c r="GQ113" s="584">
        <v>14.9166666666667</v>
      </c>
      <c r="GR113" s="584"/>
      <c r="GS113" s="584">
        <v>56.065239551478101</v>
      </c>
      <c r="GT113" s="584" t="s">
        <v>484</v>
      </c>
      <c r="GU113" s="584" t="s">
        <v>500</v>
      </c>
      <c r="GV113" s="584">
        <v>1</v>
      </c>
      <c r="GW113" s="584"/>
      <c r="GX113" s="584"/>
      <c r="GY113" s="584"/>
      <c r="GZ113" s="584"/>
      <c r="HA113" s="584">
        <v>10.766992500000001</v>
      </c>
      <c r="HB113" s="584">
        <v>22.5</v>
      </c>
      <c r="HC113" s="584">
        <v>21.533985000000001</v>
      </c>
      <c r="HD113" s="584">
        <v>45</v>
      </c>
      <c r="HE113" s="584">
        <v>43.067970000000003</v>
      </c>
      <c r="HF113" s="584">
        <v>90</v>
      </c>
      <c r="HG113" s="1100">
        <v>0.55000000000000004</v>
      </c>
      <c r="HH113" s="1100">
        <v>0.11</v>
      </c>
      <c r="HI113" s="1101">
        <v>0</v>
      </c>
      <c r="HJ113" s="1101">
        <v>0</v>
      </c>
      <c r="HK113" s="1101">
        <v>0</v>
      </c>
      <c r="HL113" s="1101">
        <v>0</v>
      </c>
      <c r="HM113" s="1101">
        <v>25.019999999999996</v>
      </c>
      <c r="HN113" s="1101">
        <v>54.999999999999993</v>
      </c>
      <c r="HO113" s="1101">
        <v>0</v>
      </c>
      <c r="HP113" s="1101">
        <v>0</v>
      </c>
      <c r="HQ113" s="1101">
        <v>1</v>
      </c>
      <c r="HR113" s="1101">
        <v>0.44</v>
      </c>
      <c r="HS113" s="1101">
        <v>0.36</v>
      </c>
      <c r="HT113" s="1101">
        <v>0.3</v>
      </c>
      <c r="HU113" s="1101">
        <v>0.28000000000000003</v>
      </c>
      <c r="HV113" s="1101">
        <v>11.564965799999998</v>
      </c>
      <c r="HW113" s="1101">
        <v>22.5</v>
      </c>
      <c r="HX113" s="1101">
        <v>23.129931599999995</v>
      </c>
      <c r="HY113" s="1101">
        <v>45</v>
      </c>
      <c r="HZ113" s="1101">
        <v>46.259863199999991</v>
      </c>
      <c r="IA113" s="1101">
        <v>90</v>
      </c>
      <c r="IB113" s="1062"/>
      <c r="ID113" s="1050"/>
      <c r="IE113" s="1050"/>
      <c r="IF113" s="1103"/>
      <c r="IG113" s="1103"/>
      <c r="IH113" s="1103"/>
      <c r="II113" s="1103"/>
      <c r="IJ113" s="1103"/>
      <c r="IK113" s="1103"/>
      <c r="IL113" s="1103"/>
      <c r="IM113" s="1050"/>
      <c r="IN113" s="1050"/>
      <c r="IO113" s="1050"/>
      <c r="IP113" s="1050"/>
      <c r="IQ113" s="1103"/>
      <c r="IR113" s="1103"/>
      <c r="IS113" s="1103"/>
      <c r="IT113" s="1103"/>
      <c r="IU113" s="1103"/>
      <c r="IV113" s="1103"/>
      <c r="JU113" s="1050"/>
      <c r="JV113" s="1103"/>
      <c r="JW113" s="1103"/>
      <c r="JX113" s="1103"/>
      <c r="JY113" s="1103"/>
      <c r="JZ113" s="1103"/>
      <c r="KA113" s="1103"/>
      <c r="KB113" s="1103"/>
      <c r="KC113" s="1050"/>
      <c r="KD113" s="1050"/>
      <c r="KE113" s="1050"/>
      <c r="KF113" s="1050"/>
      <c r="KG113" s="1103"/>
      <c r="KH113" s="1103"/>
      <c r="KI113" s="1103"/>
      <c r="KJ113" s="1103"/>
      <c r="KK113" s="1103"/>
      <c r="KL113" s="1103"/>
      <c r="KM113" s="1103"/>
      <c r="KN113" s="1103"/>
    </row>
    <row r="114" spans="2:300">
      <c r="B114" s="1048" t="str">
        <f t="shared" si="4"/>
        <v>R67</v>
      </c>
      <c r="C114" s="1046">
        <v>6</v>
      </c>
      <c r="D114" s="1046">
        <v>7</v>
      </c>
      <c r="E114" s="584">
        <v>0.23</v>
      </c>
      <c r="F114" s="584">
        <v>0.23</v>
      </c>
      <c r="G114" s="584">
        <v>552</v>
      </c>
      <c r="H114" s="584">
        <v>16.100000000000001</v>
      </c>
      <c r="I114" s="584">
        <v>0</v>
      </c>
      <c r="J114" s="584">
        <v>0</v>
      </c>
      <c r="K114" s="584">
        <v>0</v>
      </c>
      <c r="L114" s="584">
        <v>0</v>
      </c>
      <c r="M114" s="584">
        <v>0</v>
      </c>
      <c r="N114" s="584">
        <v>0</v>
      </c>
      <c r="O114" s="584">
        <v>0</v>
      </c>
      <c r="P114" s="584">
        <v>0</v>
      </c>
      <c r="Q114" s="584">
        <v>0</v>
      </c>
      <c r="R114" s="584">
        <v>0</v>
      </c>
      <c r="S114" s="584">
        <v>0</v>
      </c>
      <c r="T114" s="584">
        <v>148.0774375</v>
      </c>
      <c r="U114" s="584">
        <v>26.25</v>
      </c>
      <c r="V114" s="584">
        <v>229.96743749999999</v>
      </c>
      <c r="W114" s="584">
        <v>55.125</v>
      </c>
      <c r="X114" s="584">
        <v>297.74099999999999</v>
      </c>
      <c r="Y114" s="584">
        <v>115.5</v>
      </c>
      <c r="Z114" s="584">
        <v>0.2</v>
      </c>
      <c r="AA114" s="584">
        <v>0.2</v>
      </c>
      <c r="AB114" s="584">
        <v>480</v>
      </c>
      <c r="AC114" s="584">
        <v>17</v>
      </c>
      <c r="AD114" s="584">
        <v>0</v>
      </c>
      <c r="AE114" s="584">
        <v>0</v>
      </c>
      <c r="AF114" s="584">
        <v>0</v>
      </c>
      <c r="AG114" s="584">
        <v>0</v>
      </c>
      <c r="AH114" s="584">
        <v>0</v>
      </c>
      <c r="AI114" s="584">
        <v>0</v>
      </c>
      <c r="AJ114" s="584">
        <v>0</v>
      </c>
      <c r="AK114" s="584">
        <v>0</v>
      </c>
      <c r="AL114" s="584">
        <v>0</v>
      </c>
      <c r="AM114" s="584">
        <v>0</v>
      </c>
      <c r="AN114" s="584">
        <v>0</v>
      </c>
      <c r="AO114" s="584">
        <v>139.19743750000001</v>
      </c>
      <c r="AP114" s="584">
        <v>26.25</v>
      </c>
      <c r="AQ114" s="584">
        <v>212.3274375</v>
      </c>
      <c r="AR114" s="584">
        <v>55.125</v>
      </c>
      <c r="AS114" s="584">
        <v>263.09100000000001</v>
      </c>
      <c r="AT114" s="584">
        <v>115.5</v>
      </c>
      <c r="AU114" s="584">
        <v>0.35</v>
      </c>
      <c r="AV114" s="584">
        <v>0.25</v>
      </c>
      <c r="AW114" s="584">
        <v>434.85835597826099</v>
      </c>
      <c r="AX114" s="584">
        <v>19.527853260869598</v>
      </c>
      <c r="AY114" s="584">
        <v>0</v>
      </c>
      <c r="AZ114" s="584">
        <v>0</v>
      </c>
      <c r="BA114" s="584">
        <v>0</v>
      </c>
      <c r="BB114" s="584">
        <v>0</v>
      </c>
      <c r="BC114" s="584">
        <v>0</v>
      </c>
      <c r="BD114" s="584">
        <v>0</v>
      </c>
      <c r="BE114" s="584">
        <v>0</v>
      </c>
      <c r="BF114" s="584">
        <v>0</v>
      </c>
      <c r="BG114" s="584">
        <v>0.35</v>
      </c>
      <c r="BH114" s="584">
        <v>0</v>
      </c>
      <c r="BI114" s="584">
        <v>0.6</v>
      </c>
      <c r="BJ114" s="584">
        <v>138.008234375</v>
      </c>
      <c r="BK114" s="584">
        <v>26.25</v>
      </c>
      <c r="BL114" s="584">
        <v>202.99882031249999</v>
      </c>
      <c r="BM114" s="584">
        <v>55.125</v>
      </c>
      <c r="BN114" s="584">
        <v>240.04023632812499</v>
      </c>
      <c r="BO114" s="584">
        <v>115.5</v>
      </c>
      <c r="BP114" s="584">
        <v>0.32500000000000001</v>
      </c>
      <c r="BQ114" s="584">
        <v>0.13500000000000001</v>
      </c>
      <c r="BR114" s="584">
        <v>369.304347826087</v>
      </c>
      <c r="BS114" s="584">
        <v>14.582894021739101</v>
      </c>
      <c r="BT114" s="584">
        <v>0</v>
      </c>
      <c r="BU114" s="584">
        <v>0</v>
      </c>
      <c r="BV114" s="584">
        <v>0</v>
      </c>
      <c r="BW114" s="584">
        <v>0</v>
      </c>
      <c r="BX114" s="584">
        <v>0</v>
      </c>
      <c r="BY114" s="584">
        <v>0</v>
      </c>
      <c r="BZ114" s="584">
        <v>0</v>
      </c>
      <c r="CA114" s="584">
        <v>0.27500000000000002</v>
      </c>
      <c r="CB114" s="584">
        <v>0.32500000000000001</v>
      </c>
      <c r="CC114" s="584">
        <v>0.3</v>
      </c>
      <c r="CD114" s="584">
        <v>0.3</v>
      </c>
      <c r="CE114" s="584">
        <v>130.2543</v>
      </c>
      <c r="CF114" s="584">
        <v>26.25</v>
      </c>
      <c r="CG114" s="584">
        <v>188.65305000000001</v>
      </c>
      <c r="CH114" s="584">
        <v>55.125</v>
      </c>
      <c r="CI114" s="584">
        <v>203.40180000000001</v>
      </c>
      <c r="CJ114" s="584">
        <v>115.5</v>
      </c>
      <c r="CK114" s="584">
        <v>0.42499999999999999</v>
      </c>
      <c r="CL114" s="584">
        <v>0.17</v>
      </c>
      <c r="CM114" s="584">
        <v>442.13162364130397</v>
      </c>
      <c r="CN114" s="584">
        <v>16.855915987318799</v>
      </c>
      <c r="CO114" s="584">
        <v>0</v>
      </c>
      <c r="CP114" s="584">
        <v>0</v>
      </c>
      <c r="CQ114" s="584">
        <v>0</v>
      </c>
      <c r="CR114" s="584">
        <v>0</v>
      </c>
      <c r="CS114" s="584">
        <v>0</v>
      </c>
      <c r="CT114" s="584">
        <v>0</v>
      </c>
      <c r="CU114" s="584">
        <v>0</v>
      </c>
      <c r="CV114" s="584">
        <v>0</v>
      </c>
      <c r="CW114" s="584">
        <v>0.42499999999999999</v>
      </c>
      <c r="CX114" s="584">
        <v>0</v>
      </c>
      <c r="CY114" s="584">
        <v>0.45</v>
      </c>
      <c r="CZ114" s="584">
        <v>140.21260000000001</v>
      </c>
      <c r="DA114" s="584">
        <v>26.25</v>
      </c>
      <c r="DB114" s="584">
        <v>205.08885000000001</v>
      </c>
      <c r="DC114" s="584">
        <v>55.125</v>
      </c>
      <c r="DD114" s="584">
        <v>241.20885000000001</v>
      </c>
      <c r="DE114" s="584">
        <v>115.5</v>
      </c>
      <c r="DF114" s="584">
        <v>0.35</v>
      </c>
      <c r="DG114" s="584">
        <v>0.2</v>
      </c>
      <c r="DH114" s="584">
        <v>328.78736413043498</v>
      </c>
      <c r="DI114" s="584">
        <v>19.031227807971</v>
      </c>
      <c r="DJ114" s="584">
        <v>300</v>
      </c>
      <c r="DK114" s="584">
        <v>0</v>
      </c>
      <c r="DL114" s="584">
        <v>0</v>
      </c>
      <c r="DM114" s="584">
        <v>0</v>
      </c>
      <c r="DN114" s="584">
        <v>0</v>
      </c>
      <c r="DO114" s="584">
        <v>0</v>
      </c>
      <c r="DP114" s="584">
        <v>0</v>
      </c>
      <c r="DQ114" s="584">
        <v>0</v>
      </c>
      <c r="DR114" s="584">
        <v>0.35</v>
      </c>
      <c r="DS114" s="584">
        <v>0</v>
      </c>
      <c r="DT114" s="584">
        <v>2.4</v>
      </c>
      <c r="DU114" s="584">
        <v>140.18450000000001</v>
      </c>
      <c r="DV114" s="584">
        <v>26.25</v>
      </c>
      <c r="DW114" s="584">
        <v>246.69075000000001</v>
      </c>
      <c r="DX114" s="584">
        <v>55.125</v>
      </c>
      <c r="DY114" s="584">
        <v>317.32650000000001</v>
      </c>
      <c r="DZ114" s="584">
        <v>115.5</v>
      </c>
      <c r="EA114" s="1062">
        <v>0.56340000000000001</v>
      </c>
      <c r="EB114" s="1046">
        <v>0.2</v>
      </c>
      <c r="EC114" s="1093">
        <v>132.51783893985726</v>
      </c>
      <c r="ED114" s="1046">
        <v>0</v>
      </c>
      <c r="EE114" s="1046">
        <v>285.42303771661568</v>
      </c>
      <c r="EF114" s="1046">
        <v>15.75238095238095</v>
      </c>
      <c r="EG114" s="1046">
        <v>0</v>
      </c>
      <c r="EH114" s="1046">
        <v>0</v>
      </c>
      <c r="EI114" s="1046" t="s">
        <v>475</v>
      </c>
      <c r="EJ114" s="1046" t="s">
        <v>505</v>
      </c>
      <c r="EK114" s="1046">
        <v>0</v>
      </c>
      <c r="EL114" s="1046">
        <v>0</v>
      </c>
      <c r="EM114" s="1046">
        <v>0</v>
      </c>
      <c r="EN114" s="1046">
        <v>0</v>
      </c>
      <c r="EO114" s="1046">
        <v>0</v>
      </c>
      <c r="EP114" s="1094">
        <v>49.922573999999997</v>
      </c>
      <c r="EQ114" s="1094">
        <v>26.25</v>
      </c>
      <c r="ER114" s="1094">
        <v>99.845147999999995</v>
      </c>
      <c r="ES114" s="1095">
        <v>52.5</v>
      </c>
      <c r="ET114" s="1094">
        <v>199.69029599999999</v>
      </c>
      <c r="EU114" s="1094">
        <v>105</v>
      </c>
      <c r="EV114" s="1096">
        <v>0.50800000000000001</v>
      </c>
      <c r="EW114" s="1097">
        <v>0.15</v>
      </c>
      <c r="EX114" s="1096">
        <v>289.50050968399592</v>
      </c>
      <c r="EY114" s="1096">
        <v>1.5443934760448521</v>
      </c>
      <c r="EZ114" s="1096">
        <v>0</v>
      </c>
      <c r="FA114" s="1096">
        <v>14.859523809523807</v>
      </c>
      <c r="FB114" s="1098">
        <v>0</v>
      </c>
      <c r="FC114" s="1098">
        <v>0</v>
      </c>
      <c r="FD114" s="1098" t="s">
        <v>477</v>
      </c>
      <c r="FE114" s="1098" t="s">
        <v>490</v>
      </c>
      <c r="FF114" s="1098">
        <v>1</v>
      </c>
      <c r="FG114" s="1098">
        <v>0</v>
      </c>
      <c r="FH114" s="1098">
        <v>0</v>
      </c>
      <c r="FI114" s="1098">
        <v>0</v>
      </c>
      <c r="FJ114" s="1098">
        <v>0</v>
      </c>
      <c r="FK114" s="1096">
        <v>37.914685500000004</v>
      </c>
      <c r="FL114" s="1096">
        <v>26.25</v>
      </c>
      <c r="FM114" s="1096">
        <v>75.829371000000009</v>
      </c>
      <c r="FN114" s="1096">
        <v>52.5</v>
      </c>
      <c r="FO114" s="1096">
        <v>151.65874200000002</v>
      </c>
      <c r="FP114" s="1099">
        <v>105</v>
      </c>
      <c r="FQ114" s="1064">
        <v>0.57475999999999994</v>
      </c>
      <c r="FR114" s="1065">
        <v>0.15</v>
      </c>
      <c r="FS114" s="1066">
        <v>289.50050968399586</v>
      </c>
      <c r="FT114" s="1066">
        <v>3.2237153637237084</v>
      </c>
      <c r="FU114" s="1065"/>
      <c r="FV114" s="1066">
        <v>33.955083985766308</v>
      </c>
      <c r="FW114" s="1065"/>
      <c r="FX114" s="1065"/>
      <c r="FY114" s="1065" t="s">
        <v>490</v>
      </c>
      <c r="FZ114" s="1065" t="s">
        <v>490</v>
      </c>
      <c r="GA114" s="1065">
        <v>1</v>
      </c>
      <c r="GB114" s="1065"/>
      <c r="GC114" s="1065"/>
      <c r="GD114" s="1065"/>
      <c r="GE114" s="1065"/>
      <c r="GF114" s="1066">
        <v>38.899602226994212</v>
      </c>
      <c r="GG114" s="1066">
        <v>26.25</v>
      </c>
      <c r="GH114" s="1066">
        <v>77.799204453988423</v>
      </c>
      <c r="GI114" s="1066">
        <v>52.5</v>
      </c>
      <c r="GJ114" s="1066">
        <v>155.59840890797685</v>
      </c>
      <c r="GK114" s="1066">
        <v>105</v>
      </c>
      <c r="GL114" s="584">
        <v>0.50800000000000001</v>
      </c>
      <c r="GM114" s="584">
        <v>0.11</v>
      </c>
      <c r="GN114" s="584"/>
      <c r="GO114" s="584"/>
      <c r="GP114" s="584"/>
      <c r="GQ114" s="584">
        <v>17.728571428571399</v>
      </c>
      <c r="GR114" s="584"/>
      <c r="GS114" s="584">
        <v>56.065239551478101</v>
      </c>
      <c r="GT114" s="584" t="s">
        <v>484</v>
      </c>
      <c r="GU114" s="584" t="s">
        <v>473</v>
      </c>
      <c r="GV114" s="584">
        <v>1</v>
      </c>
      <c r="GW114" s="584"/>
      <c r="GX114" s="584"/>
      <c r="GY114" s="584"/>
      <c r="GZ114" s="584"/>
      <c r="HA114" s="584">
        <v>12.851131499999999</v>
      </c>
      <c r="HB114" s="584">
        <v>26.25</v>
      </c>
      <c r="HC114" s="584">
        <v>25.702262999999999</v>
      </c>
      <c r="HD114" s="584">
        <v>52.5</v>
      </c>
      <c r="HE114" s="584">
        <v>51.404525999999997</v>
      </c>
      <c r="HF114" s="584">
        <v>105</v>
      </c>
      <c r="HG114" s="1100">
        <v>0.59</v>
      </c>
      <c r="HH114" s="1100">
        <v>0.11</v>
      </c>
      <c r="HI114" s="1101">
        <v>0</v>
      </c>
      <c r="HJ114" s="1101">
        <v>0</v>
      </c>
      <c r="HK114" s="1101">
        <v>0</v>
      </c>
      <c r="HL114" s="1101">
        <v>0</v>
      </c>
      <c r="HM114" s="1101">
        <v>29.05714285714286</v>
      </c>
      <c r="HN114" s="1101">
        <v>54.999999999999993</v>
      </c>
      <c r="HO114" s="1101">
        <v>0</v>
      </c>
      <c r="HP114" s="1101">
        <v>0</v>
      </c>
      <c r="HQ114" s="1101">
        <v>1</v>
      </c>
      <c r="HR114" s="1101">
        <v>0.48</v>
      </c>
      <c r="HS114" s="1101">
        <v>0.44</v>
      </c>
      <c r="HT114" s="1101">
        <v>0.3</v>
      </c>
      <c r="HU114" s="1101">
        <v>0.3</v>
      </c>
      <c r="HV114" s="1101">
        <v>13.908306</v>
      </c>
      <c r="HW114" s="1101">
        <v>26.25</v>
      </c>
      <c r="HX114" s="1101">
        <v>27.816611999999999</v>
      </c>
      <c r="HY114" s="1101">
        <v>52.5</v>
      </c>
      <c r="HZ114" s="1101">
        <v>55.633223999999998</v>
      </c>
      <c r="IA114" s="1101">
        <v>105</v>
      </c>
      <c r="IB114" s="1062"/>
      <c r="ID114" s="1050"/>
      <c r="IE114" s="1050"/>
      <c r="IF114" s="1103"/>
      <c r="IG114" s="1103"/>
      <c r="IH114" s="1103"/>
      <c r="II114" s="1103"/>
      <c r="IJ114" s="1103"/>
      <c r="IK114" s="1103"/>
      <c r="IL114" s="1103"/>
      <c r="IM114" s="1050"/>
      <c r="IN114" s="1050"/>
      <c r="IO114" s="1050"/>
      <c r="IP114" s="1050"/>
      <c r="IQ114" s="1103"/>
      <c r="IR114" s="1103"/>
      <c r="IS114" s="1103"/>
      <c r="IT114" s="1103"/>
      <c r="IU114" s="1103"/>
      <c r="IV114" s="1103"/>
      <c r="JU114" s="1050"/>
      <c r="JV114" s="1103"/>
      <c r="JW114" s="1103"/>
      <c r="JX114" s="1103"/>
      <c r="JY114" s="1103"/>
      <c r="JZ114" s="1103"/>
      <c r="KA114" s="1103"/>
      <c r="KB114" s="1103"/>
      <c r="KC114" s="1050"/>
      <c r="KD114" s="1050"/>
      <c r="KE114" s="1050"/>
      <c r="KF114" s="1050"/>
      <c r="KG114" s="1103"/>
      <c r="KH114" s="1103"/>
      <c r="KI114" s="1103"/>
      <c r="KJ114" s="1103"/>
      <c r="KK114" s="1103"/>
      <c r="KL114" s="1103"/>
      <c r="KM114" s="1103"/>
      <c r="KN114" s="1103"/>
    </row>
    <row r="115" spans="2:300">
      <c r="B115" s="1048" t="str">
        <f t="shared" si="4"/>
        <v>R68</v>
      </c>
      <c r="C115" s="1046">
        <v>6</v>
      </c>
      <c r="D115" s="1046">
        <v>8</v>
      </c>
      <c r="E115" s="584">
        <v>0.25</v>
      </c>
      <c r="F115" s="584">
        <v>0.25</v>
      </c>
      <c r="G115" s="584">
        <v>600</v>
      </c>
      <c r="H115" s="584">
        <v>17.5</v>
      </c>
      <c r="I115" s="584">
        <v>0</v>
      </c>
      <c r="J115" s="584">
        <v>0</v>
      </c>
      <c r="K115" s="584">
        <v>0</v>
      </c>
      <c r="L115" s="584">
        <v>0</v>
      </c>
      <c r="M115" s="584">
        <v>0</v>
      </c>
      <c r="N115" s="584">
        <v>0</v>
      </c>
      <c r="O115" s="584">
        <v>0</v>
      </c>
      <c r="P115" s="584">
        <v>0</v>
      </c>
      <c r="Q115" s="584">
        <v>0</v>
      </c>
      <c r="R115" s="584">
        <v>0</v>
      </c>
      <c r="S115" s="584">
        <v>0</v>
      </c>
      <c r="T115" s="584">
        <v>170.09743750000001</v>
      </c>
      <c r="U115" s="584">
        <v>30</v>
      </c>
      <c r="V115" s="584">
        <v>275.53743750000001</v>
      </c>
      <c r="W115" s="584">
        <v>63</v>
      </c>
      <c r="X115" s="584">
        <v>365.39100000000002</v>
      </c>
      <c r="Y115" s="584">
        <v>132</v>
      </c>
      <c r="Z115" s="584">
        <v>0.215</v>
      </c>
      <c r="AA115" s="584">
        <v>0.215</v>
      </c>
      <c r="AB115" s="584">
        <v>516</v>
      </c>
      <c r="AC115" s="584">
        <v>16</v>
      </c>
      <c r="AD115" s="584">
        <v>0</v>
      </c>
      <c r="AE115" s="584">
        <v>0</v>
      </c>
      <c r="AF115" s="584">
        <v>0</v>
      </c>
      <c r="AG115" s="584">
        <v>0</v>
      </c>
      <c r="AH115" s="584">
        <v>0</v>
      </c>
      <c r="AI115" s="584">
        <v>0</v>
      </c>
      <c r="AJ115" s="584">
        <v>0</v>
      </c>
      <c r="AK115" s="584">
        <v>0</v>
      </c>
      <c r="AL115" s="584">
        <v>0</v>
      </c>
      <c r="AM115" s="584">
        <v>0</v>
      </c>
      <c r="AN115" s="584">
        <v>0</v>
      </c>
      <c r="AO115" s="584">
        <v>158.33743749999999</v>
      </c>
      <c r="AP115" s="584">
        <v>30</v>
      </c>
      <c r="AQ115" s="584">
        <v>252.0174375</v>
      </c>
      <c r="AR115" s="584">
        <v>63</v>
      </c>
      <c r="AS115" s="584">
        <v>319.19099999999997</v>
      </c>
      <c r="AT115" s="584">
        <v>132</v>
      </c>
      <c r="AU115" s="584">
        <v>0.42499999999999999</v>
      </c>
      <c r="AV115" s="584">
        <v>0.25</v>
      </c>
      <c r="AW115" s="584">
        <v>453.69929745493101</v>
      </c>
      <c r="AX115" s="584">
        <v>17.989528101802801</v>
      </c>
      <c r="AY115" s="584">
        <v>0</v>
      </c>
      <c r="AZ115" s="584">
        <v>0</v>
      </c>
      <c r="BA115" s="584">
        <v>0</v>
      </c>
      <c r="BB115" s="584">
        <v>0</v>
      </c>
      <c r="BC115" s="584">
        <v>0</v>
      </c>
      <c r="BD115" s="584">
        <v>0</v>
      </c>
      <c r="BE115" s="584">
        <v>0</v>
      </c>
      <c r="BF115" s="584">
        <v>0</v>
      </c>
      <c r="BG115" s="584">
        <v>0.42499999999999999</v>
      </c>
      <c r="BH115" s="584">
        <v>0</v>
      </c>
      <c r="BI115" s="584">
        <v>0.45</v>
      </c>
      <c r="BJ115" s="584">
        <v>155.63730487804901</v>
      </c>
      <c r="BK115" s="584">
        <v>30</v>
      </c>
      <c r="BL115" s="584">
        <v>236.35885975609801</v>
      </c>
      <c r="BM115" s="584">
        <v>63</v>
      </c>
      <c r="BN115" s="584">
        <v>279.18792987804898</v>
      </c>
      <c r="BO115" s="584">
        <v>132</v>
      </c>
      <c r="BP115" s="584">
        <v>0.4</v>
      </c>
      <c r="BQ115" s="584">
        <v>0.14000000000000001</v>
      </c>
      <c r="BR115" s="584">
        <v>391.30275715800599</v>
      </c>
      <c r="BS115" s="584">
        <v>16.852249469777298</v>
      </c>
      <c r="BT115" s="584">
        <v>0</v>
      </c>
      <c r="BU115" s="584">
        <v>0</v>
      </c>
      <c r="BV115" s="584">
        <v>0</v>
      </c>
      <c r="BW115" s="584">
        <v>0</v>
      </c>
      <c r="BX115" s="584">
        <v>0</v>
      </c>
      <c r="BY115" s="584">
        <v>0</v>
      </c>
      <c r="BZ115" s="584">
        <v>0</v>
      </c>
      <c r="CA115" s="584">
        <v>0.27500000000000002</v>
      </c>
      <c r="CB115" s="584">
        <v>0.4</v>
      </c>
      <c r="CC115" s="584">
        <v>0.3</v>
      </c>
      <c r="CD115" s="584">
        <v>0.3</v>
      </c>
      <c r="CE115" s="584">
        <v>146.15170000000001</v>
      </c>
      <c r="CF115" s="584">
        <v>30</v>
      </c>
      <c r="CG115" s="584">
        <v>220.7517</v>
      </c>
      <c r="CH115" s="584">
        <v>63</v>
      </c>
      <c r="CI115" s="584">
        <v>240.64920000000001</v>
      </c>
      <c r="CJ115" s="584">
        <v>132</v>
      </c>
      <c r="CK115" s="584">
        <v>0.5</v>
      </c>
      <c r="CL115" s="584">
        <v>0.17</v>
      </c>
      <c r="CM115" s="584">
        <v>455.760604453871</v>
      </c>
      <c r="CN115" s="584">
        <v>16.7754374337222</v>
      </c>
      <c r="CO115" s="584">
        <v>0</v>
      </c>
      <c r="CP115" s="584">
        <v>0</v>
      </c>
      <c r="CQ115" s="584">
        <v>0</v>
      </c>
      <c r="CR115" s="584">
        <v>0</v>
      </c>
      <c r="CS115" s="584">
        <v>0</v>
      </c>
      <c r="CT115" s="584">
        <v>0</v>
      </c>
      <c r="CU115" s="584">
        <v>0</v>
      </c>
      <c r="CV115" s="584">
        <v>0</v>
      </c>
      <c r="CW115" s="584">
        <v>0.5</v>
      </c>
      <c r="CX115" s="584">
        <v>0</v>
      </c>
      <c r="CY115" s="584">
        <v>0.6</v>
      </c>
      <c r="CZ115" s="584">
        <v>158.42410000000001</v>
      </c>
      <c r="DA115" s="584">
        <v>30</v>
      </c>
      <c r="DB115" s="584">
        <v>238.70910000000001</v>
      </c>
      <c r="DC115" s="584">
        <v>63</v>
      </c>
      <c r="DD115" s="584">
        <v>278.78910000000002</v>
      </c>
      <c r="DE115" s="584">
        <v>132</v>
      </c>
      <c r="DF115" s="584">
        <v>0.35</v>
      </c>
      <c r="DG115" s="584">
        <v>0.2</v>
      </c>
      <c r="DH115" s="584">
        <v>335.154758748674</v>
      </c>
      <c r="DI115" s="584">
        <v>19.475144883351</v>
      </c>
      <c r="DJ115" s="584">
        <v>300</v>
      </c>
      <c r="DK115" s="584">
        <v>0</v>
      </c>
      <c r="DL115" s="584">
        <v>0</v>
      </c>
      <c r="DM115" s="584">
        <v>0</v>
      </c>
      <c r="DN115" s="584">
        <v>0</v>
      </c>
      <c r="DO115" s="584">
        <v>0</v>
      </c>
      <c r="DP115" s="584">
        <v>0</v>
      </c>
      <c r="DQ115" s="584">
        <v>0</v>
      </c>
      <c r="DR115" s="584">
        <v>0.35</v>
      </c>
      <c r="DS115" s="584">
        <v>0</v>
      </c>
      <c r="DT115" s="584">
        <v>2.4</v>
      </c>
      <c r="DU115" s="584">
        <v>156.43525</v>
      </c>
      <c r="DV115" s="584">
        <v>30</v>
      </c>
      <c r="DW115" s="584">
        <v>268.94774999999998</v>
      </c>
      <c r="DX115" s="584">
        <v>63</v>
      </c>
      <c r="DY115" s="584">
        <v>361.42649999999998</v>
      </c>
      <c r="DZ115" s="584">
        <v>132</v>
      </c>
      <c r="EA115" s="1062">
        <v>0.60639999999999994</v>
      </c>
      <c r="EB115" s="1046">
        <v>0.2</v>
      </c>
      <c r="EC115" s="1093">
        <v>132.51783893985726</v>
      </c>
      <c r="ED115" s="1046">
        <v>0</v>
      </c>
      <c r="EE115" s="1046">
        <v>285.42303771661568</v>
      </c>
      <c r="EF115" s="1046">
        <v>15.529166666666669</v>
      </c>
      <c r="EG115" s="1046">
        <v>0</v>
      </c>
      <c r="EH115" s="1046">
        <v>0</v>
      </c>
      <c r="EI115" s="1046" t="s">
        <v>467</v>
      </c>
      <c r="EJ115" s="1046" t="s">
        <v>492</v>
      </c>
      <c r="EK115" s="1046">
        <v>0</v>
      </c>
      <c r="EL115" s="1046">
        <v>0</v>
      </c>
      <c r="EM115" s="1046">
        <v>0</v>
      </c>
      <c r="EN115" s="1046">
        <v>0</v>
      </c>
      <c r="EO115" s="1046">
        <v>0</v>
      </c>
      <c r="EP115" s="1094">
        <v>57.028093500000004</v>
      </c>
      <c r="EQ115" s="1094">
        <v>30</v>
      </c>
      <c r="ER115" s="1094">
        <v>114.05618700000001</v>
      </c>
      <c r="ES115" s="1095">
        <v>60</v>
      </c>
      <c r="ET115" s="1094">
        <v>228.11237400000002</v>
      </c>
      <c r="EU115" s="1094">
        <v>120</v>
      </c>
      <c r="EV115" s="1096">
        <v>0.60460000000000003</v>
      </c>
      <c r="EW115" s="1097">
        <v>0.15</v>
      </c>
      <c r="EX115" s="1096">
        <v>289.50050968399592</v>
      </c>
      <c r="EY115" s="1096">
        <v>1.5443934760448521</v>
      </c>
      <c r="EZ115" s="1096">
        <v>0</v>
      </c>
      <c r="FA115" s="1096">
        <v>14.975</v>
      </c>
      <c r="FB115" s="1098">
        <v>0</v>
      </c>
      <c r="FC115" s="1098">
        <v>0</v>
      </c>
      <c r="FD115" s="1098" t="s">
        <v>459</v>
      </c>
      <c r="FE115" s="1098" t="s">
        <v>481</v>
      </c>
      <c r="FF115" s="1098">
        <v>1</v>
      </c>
      <c r="FG115" s="1098">
        <v>0</v>
      </c>
      <c r="FH115" s="1098">
        <v>0</v>
      </c>
      <c r="FI115" s="1098">
        <v>0</v>
      </c>
      <c r="FJ115" s="1098">
        <v>0</v>
      </c>
      <c r="FK115" s="1096">
        <v>43.344663000000004</v>
      </c>
      <c r="FL115" s="1096">
        <v>30</v>
      </c>
      <c r="FM115" s="1096">
        <v>86.689326000000008</v>
      </c>
      <c r="FN115" s="1096">
        <v>60</v>
      </c>
      <c r="FO115" s="1096">
        <v>173.37865200000002</v>
      </c>
      <c r="FP115" s="1099">
        <v>120</v>
      </c>
      <c r="FQ115" s="1064">
        <v>0.57475999999999994</v>
      </c>
      <c r="FR115" s="1065">
        <v>0.15</v>
      </c>
      <c r="FS115" s="1066">
        <v>289.50050968399586</v>
      </c>
      <c r="FT115" s="1066">
        <v>3.2237153637237084</v>
      </c>
      <c r="FU115" s="1065"/>
      <c r="FV115" s="1066">
        <v>33.016490092577826</v>
      </c>
      <c r="FW115" s="1065"/>
      <c r="FX115" s="1065"/>
      <c r="FY115" s="1065" t="s">
        <v>490</v>
      </c>
      <c r="FZ115" s="1065" t="s">
        <v>490</v>
      </c>
      <c r="GA115" s="1065">
        <v>1</v>
      </c>
      <c r="GB115" s="1065"/>
      <c r="GC115" s="1065"/>
      <c r="GD115" s="1065"/>
      <c r="GE115" s="1065"/>
      <c r="GF115" s="1066">
        <v>44.346196986315817</v>
      </c>
      <c r="GG115" s="1066">
        <v>30</v>
      </c>
      <c r="GH115" s="1066">
        <v>88.692393972631635</v>
      </c>
      <c r="GI115" s="1066">
        <v>60</v>
      </c>
      <c r="GJ115" s="1066">
        <v>177.38478794526327</v>
      </c>
      <c r="GK115" s="1066">
        <v>120</v>
      </c>
      <c r="GL115" s="584">
        <v>0.51319999999999999</v>
      </c>
      <c r="GM115" s="584">
        <v>0.11</v>
      </c>
      <c r="GN115" s="584"/>
      <c r="GO115" s="584"/>
      <c r="GP115" s="584"/>
      <c r="GQ115" s="584">
        <v>20.2083333333333</v>
      </c>
      <c r="GR115" s="584"/>
      <c r="GS115" s="584">
        <v>56.065239551478101</v>
      </c>
      <c r="GT115" s="584" t="s">
        <v>473</v>
      </c>
      <c r="GU115" s="584" t="s">
        <v>471</v>
      </c>
      <c r="GV115" s="584">
        <v>1</v>
      </c>
      <c r="GW115" s="584"/>
      <c r="GX115" s="584"/>
      <c r="GY115" s="584"/>
      <c r="GZ115" s="584"/>
      <c r="HA115" s="584">
        <v>14.978925</v>
      </c>
      <c r="HB115" s="584">
        <v>30</v>
      </c>
      <c r="HC115" s="584">
        <v>29.957850000000001</v>
      </c>
      <c r="HD115" s="584">
        <v>60</v>
      </c>
      <c r="HE115" s="584">
        <v>59.915700000000001</v>
      </c>
      <c r="HF115" s="584">
        <v>120</v>
      </c>
      <c r="HG115" s="1100">
        <v>0.63</v>
      </c>
      <c r="HH115" s="1100">
        <v>0.11</v>
      </c>
      <c r="HI115" s="1101">
        <v>0</v>
      </c>
      <c r="HJ115" s="1101">
        <v>0</v>
      </c>
      <c r="HK115" s="1101">
        <v>0</v>
      </c>
      <c r="HL115" s="1101">
        <v>0</v>
      </c>
      <c r="HM115" s="1101">
        <v>32.175000000000004</v>
      </c>
      <c r="HN115" s="1101">
        <v>54.999999999999993</v>
      </c>
      <c r="HO115" s="1101">
        <v>0</v>
      </c>
      <c r="HP115" s="1101">
        <v>0</v>
      </c>
      <c r="HQ115" s="1101">
        <v>1</v>
      </c>
      <c r="HR115" s="1101">
        <v>0.52</v>
      </c>
      <c r="HS115" s="1101">
        <v>0.52</v>
      </c>
      <c r="HT115" s="1101">
        <v>0.3</v>
      </c>
      <c r="HU115" s="1101">
        <v>0.3</v>
      </c>
      <c r="HV115" s="1101">
        <v>16.262241000000003</v>
      </c>
      <c r="HW115" s="1101">
        <v>30</v>
      </c>
      <c r="HX115" s="1101">
        <v>32.524482000000006</v>
      </c>
      <c r="HY115" s="1101">
        <v>60</v>
      </c>
      <c r="HZ115" s="1101">
        <v>65.048964000000012</v>
      </c>
      <c r="IA115" s="1101">
        <v>120</v>
      </c>
      <c r="IB115" s="1062"/>
      <c r="ID115" s="1050"/>
      <c r="IE115" s="1050"/>
      <c r="IF115" s="1103"/>
      <c r="IG115" s="1103"/>
      <c r="IH115" s="1103"/>
      <c r="II115" s="1103"/>
      <c r="IJ115" s="1103"/>
      <c r="IK115" s="1103"/>
      <c r="IL115" s="1103"/>
      <c r="IM115" s="1050"/>
      <c r="IN115" s="1050"/>
      <c r="IO115" s="1050"/>
      <c r="IP115" s="1050"/>
      <c r="IQ115" s="1103"/>
      <c r="IR115" s="1103"/>
      <c r="IS115" s="1103"/>
      <c r="IT115" s="1103"/>
      <c r="IU115" s="1103"/>
      <c r="IV115" s="1103"/>
      <c r="JU115" s="1050"/>
      <c r="JV115" s="1103"/>
      <c r="JW115" s="1103"/>
      <c r="JX115" s="1103"/>
      <c r="JY115" s="1103"/>
      <c r="JZ115" s="1103"/>
      <c r="KA115" s="1103"/>
      <c r="KB115" s="1103"/>
      <c r="KC115" s="1050"/>
      <c r="KD115" s="1050"/>
      <c r="KE115" s="1050"/>
      <c r="KF115" s="1050"/>
      <c r="KG115" s="1103"/>
      <c r="KH115" s="1103"/>
      <c r="KI115" s="1103"/>
      <c r="KJ115" s="1103"/>
      <c r="KK115" s="1103"/>
      <c r="KL115" s="1103"/>
      <c r="KM115" s="1103"/>
      <c r="KN115" s="1103"/>
    </row>
    <row r="116" spans="2:300">
      <c r="B116" s="1048" t="str">
        <f t="shared" si="4"/>
        <v>R69</v>
      </c>
      <c r="C116" s="1046">
        <v>6</v>
      </c>
      <c r="D116" s="1046">
        <v>9</v>
      </c>
      <c r="E116" s="584">
        <v>0.28999999999999998</v>
      </c>
      <c r="F116" s="584">
        <v>0.28999999999999998</v>
      </c>
      <c r="G116" s="584">
        <v>696</v>
      </c>
      <c r="H116" s="584">
        <v>18.850000000000001</v>
      </c>
      <c r="I116" s="584">
        <v>0</v>
      </c>
      <c r="J116" s="584">
        <v>0</v>
      </c>
      <c r="K116" s="584">
        <v>0</v>
      </c>
      <c r="L116" s="584">
        <v>0</v>
      </c>
      <c r="M116" s="584">
        <v>0</v>
      </c>
      <c r="N116" s="584">
        <v>0</v>
      </c>
      <c r="O116" s="584">
        <v>0</v>
      </c>
      <c r="P116" s="584">
        <v>0</v>
      </c>
      <c r="Q116" s="584">
        <v>0</v>
      </c>
      <c r="R116" s="584">
        <v>0</v>
      </c>
      <c r="S116" s="584">
        <v>0</v>
      </c>
      <c r="T116" s="584">
        <v>201.2374375</v>
      </c>
      <c r="U116" s="584">
        <v>33.75</v>
      </c>
      <c r="V116" s="584">
        <v>339.58743750000002</v>
      </c>
      <c r="W116" s="584">
        <v>70.875</v>
      </c>
      <c r="X116" s="584">
        <v>469.34100000000001</v>
      </c>
      <c r="Y116" s="584">
        <v>148.5</v>
      </c>
      <c r="Z116" s="584">
        <v>0.24</v>
      </c>
      <c r="AA116" s="584">
        <v>0.24</v>
      </c>
      <c r="AB116" s="584">
        <v>576</v>
      </c>
      <c r="AC116" s="584">
        <v>16</v>
      </c>
      <c r="AD116" s="584">
        <v>0</v>
      </c>
      <c r="AE116" s="584">
        <v>0</v>
      </c>
      <c r="AF116" s="584">
        <v>0</v>
      </c>
      <c r="AG116" s="584">
        <v>0</v>
      </c>
      <c r="AH116" s="584">
        <v>0</v>
      </c>
      <c r="AI116" s="584">
        <v>0</v>
      </c>
      <c r="AJ116" s="584">
        <v>0</v>
      </c>
      <c r="AK116" s="584">
        <v>0</v>
      </c>
      <c r="AL116" s="584">
        <v>0</v>
      </c>
      <c r="AM116" s="584">
        <v>0</v>
      </c>
      <c r="AN116" s="584">
        <v>0</v>
      </c>
      <c r="AO116" s="584">
        <v>182.43743749999999</v>
      </c>
      <c r="AP116" s="584">
        <v>33.75</v>
      </c>
      <c r="AQ116" s="584">
        <v>301.78743750000001</v>
      </c>
      <c r="AR116" s="584">
        <v>70.875</v>
      </c>
      <c r="AS116" s="584">
        <v>395.09100000000001</v>
      </c>
      <c r="AT116" s="584">
        <v>148.5</v>
      </c>
      <c r="AU116" s="584">
        <v>0.6</v>
      </c>
      <c r="AV116" s="584">
        <v>0.25</v>
      </c>
      <c r="AW116" s="584">
        <v>450.04005198487698</v>
      </c>
      <c r="AX116" s="584">
        <v>16.936613894139899</v>
      </c>
      <c r="AY116" s="584">
        <v>0</v>
      </c>
      <c r="AZ116" s="584">
        <v>0</v>
      </c>
      <c r="BA116" s="584">
        <v>0</v>
      </c>
      <c r="BB116" s="584">
        <v>0</v>
      </c>
      <c r="BC116" s="584">
        <v>0</v>
      </c>
      <c r="BD116" s="584">
        <v>0</v>
      </c>
      <c r="BE116" s="584">
        <v>0</v>
      </c>
      <c r="BF116" s="584">
        <v>0</v>
      </c>
      <c r="BG116" s="584">
        <v>0.6</v>
      </c>
      <c r="BH116" s="584">
        <v>0</v>
      </c>
      <c r="BI116" s="584">
        <v>0.3</v>
      </c>
      <c r="BJ116" s="584">
        <v>171.004875</v>
      </c>
      <c r="BK116" s="584">
        <v>33.75</v>
      </c>
      <c r="BL116" s="584">
        <v>265.42518749999999</v>
      </c>
      <c r="BM116" s="584">
        <v>70.875</v>
      </c>
      <c r="BN116" s="584">
        <v>310.551046875</v>
      </c>
      <c r="BO116" s="584">
        <v>148.5</v>
      </c>
      <c r="BP116" s="584">
        <v>0.5</v>
      </c>
      <c r="BQ116" s="584">
        <v>0.14000000000000001</v>
      </c>
      <c r="BR116" s="584">
        <v>431.98653119092597</v>
      </c>
      <c r="BS116" s="584">
        <v>21.9069706994329</v>
      </c>
      <c r="BT116" s="584">
        <v>0</v>
      </c>
      <c r="BU116" s="584">
        <v>0</v>
      </c>
      <c r="BV116" s="584">
        <v>0</v>
      </c>
      <c r="BW116" s="584">
        <v>0</v>
      </c>
      <c r="BX116" s="584">
        <v>0</v>
      </c>
      <c r="BY116" s="584">
        <v>0</v>
      </c>
      <c r="BZ116" s="584">
        <v>0</v>
      </c>
      <c r="CA116" s="584">
        <v>0.27500000000000002</v>
      </c>
      <c r="CB116" s="584">
        <v>0.5</v>
      </c>
      <c r="CC116" s="584">
        <v>0.3</v>
      </c>
      <c r="CD116" s="584">
        <v>0.3</v>
      </c>
      <c r="CE116" s="584">
        <v>171.52119999999999</v>
      </c>
      <c r="CF116" s="584">
        <v>33.75</v>
      </c>
      <c r="CG116" s="584">
        <v>271.63619999999997</v>
      </c>
      <c r="CH116" s="584">
        <v>70.875</v>
      </c>
      <c r="CI116" s="584">
        <v>275.28120000000001</v>
      </c>
      <c r="CJ116" s="584">
        <v>148.5</v>
      </c>
      <c r="CK116" s="584">
        <v>0.6</v>
      </c>
      <c r="CL116" s="584">
        <v>0.17</v>
      </c>
      <c r="CM116" s="584">
        <v>465.06304643194699</v>
      </c>
      <c r="CN116" s="584">
        <v>16.937768785444199</v>
      </c>
      <c r="CO116" s="584">
        <v>0</v>
      </c>
      <c r="CP116" s="584">
        <v>0</v>
      </c>
      <c r="CQ116" s="584">
        <v>0</v>
      </c>
      <c r="CR116" s="584">
        <v>0</v>
      </c>
      <c r="CS116" s="584">
        <v>0</v>
      </c>
      <c r="CT116" s="584">
        <v>0</v>
      </c>
      <c r="CU116" s="584">
        <v>0</v>
      </c>
      <c r="CV116" s="584">
        <v>0</v>
      </c>
      <c r="CW116" s="584">
        <v>0.6</v>
      </c>
      <c r="CX116" s="584">
        <v>0</v>
      </c>
      <c r="CY116" s="584">
        <v>0.6</v>
      </c>
      <c r="CZ116" s="584">
        <v>173.9826625</v>
      </c>
      <c r="DA116" s="584">
        <v>33.75</v>
      </c>
      <c r="DB116" s="584">
        <v>269.72797500000001</v>
      </c>
      <c r="DC116" s="584">
        <v>70.875</v>
      </c>
      <c r="DD116" s="584">
        <v>319.12110000000001</v>
      </c>
      <c r="DE116" s="584">
        <v>148.5</v>
      </c>
      <c r="DF116" s="584">
        <v>0.35</v>
      </c>
      <c r="DG116" s="584">
        <v>0.2</v>
      </c>
      <c r="DH116" s="584">
        <v>341.83926039697502</v>
      </c>
      <c r="DI116" s="584">
        <v>18.630480033081302</v>
      </c>
      <c r="DJ116" s="584">
        <v>300</v>
      </c>
      <c r="DK116" s="584">
        <v>0</v>
      </c>
      <c r="DL116" s="584">
        <v>0</v>
      </c>
      <c r="DM116" s="584">
        <v>0</v>
      </c>
      <c r="DN116" s="584">
        <v>0</v>
      </c>
      <c r="DO116" s="584">
        <v>0</v>
      </c>
      <c r="DP116" s="584">
        <v>0</v>
      </c>
      <c r="DQ116" s="584">
        <v>0</v>
      </c>
      <c r="DR116" s="584">
        <v>0.35</v>
      </c>
      <c r="DS116" s="584">
        <v>0</v>
      </c>
      <c r="DT116" s="584">
        <v>2.4</v>
      </c>
      <c r="DU116" s="584">
        <v>173.43600000000001</v>
      </c>
      <c r="DV116" s="584">
        <v>33.75</v>
      </c>
      <c r="DW116" s="584">
        <v>291.20474999999999</v>
      </c>
      <c r="DX116" s="584">
        <v>70.875</v>
      </c>
      <c r="DY116" s="584">
        <v>405.5265</v>
      </c>
      <c r="DZ116" s="584">
        <v>148.5</v>
      </c>
      <c r="EA116" s="1062">
        <v>0.66279999999999994</v>
      </c>
      <c r="EB116" s="1046">
        <v>0.25</v>
      </c>
      <c r="EC116" s="1093">
        <v>132.51783893985731</v>
      </c>
      <c r="ED116" s="1046">
        <v>0</v>
      </c>
      <c r="EE116" s="1046">
        <v>346.58511722731902</v>
      </c>
      <c r="EF116" s="1046">
        <v>17.744444444444444</v>
      </c>
      <c r="EG116" s="1046">
        <v>0</v>
      </c>
      <c r="EH116" s="1046">
        <v>0</v>
      </c>
      <c r="EI116" s="1046" t="s">
        <v>465</v>
      </c>
      <c r="EJ116" s="1046" t="s">
        <v>477</v>
      </c>
      <c r="EK116" s="1046">
        <v>0</v>
      </c>
      <c r="EL116" s="1046">
        <v>0</v>
      </c>
      <c r="EM116" s="1046">
        <v>0</v>
      </c>
      <c r="EN116" s="1046">
        <v>0</v>
      </c>
      <c r="EO116" s="1046">
        <v>0</v>
      </c>
      <c r="EP116" s="1094">
        <v>72.549985500000005</v>
      </c>
      <c r="EQ116" s="1094">
        <v>33.75</v>
      </c>
      <c r="ER116" s="1094">
        <v>145.09997100000001</v>
      </c>
      <c r="ES116" s="1095">
        <v>67.5</v>
      </c>
      <c r="ET116" s="1094">
        <v>290.19994200000002</v>
      </c>
      <c r="EU116" s="1094">
        <v>135</v>
      </c>
      <c r="EV116" s="1096">
        <v>0.60460000000000003</v>
      </c>
      <c r="EW116" s="1097">
        <v>0.15</v>
      </c>
      <c r="EX116" s="1096">
        <v>289.50050968399592</v>
      </c>
      <c r="EY116" s="1096">
        <v>1.5443934760448521</v>
      </c>
      <c r="EZ116" s="1096">
        <v>0</v>
      </c>
      <c r="FA116" s="1096">
        <v>14.144444444444444</v>
      </c>
      <c r="FB116" s="1098">
        <v>0</v>
      </c>
      <c r="FC116" s="1098">
        <v>0</v>
      </c>
      <c r="FD116" s="1098" t="s">
        <v>459</v>
      </c>
      <c r="FE116" s="1098" t="s">
        <v>481</v>
      </c>
      <c r="FF116" s="1098">
        <v>1</v>
      </c>
      <c r="FG116" s="1098">
        <v>0</v>
      </c>
      <c r="FH116" s="1098">
        <v>0</v>
      </c>
      <c r="FI116" s="1098">
        <v>0</v>
      </c>
      <c r="FJ116" s="1098">
        <v>0</v>
      </c>
      <c r="FK116" s="1096">
        <v>48.652751249999994</v>
      </c>
      <c r="FL116" s="1096">
        <v>33.75</v>
      </c>
      <c r="FM116" s="1096">
        <v>97.305502499999989</v>
      </c>
      <c r="FN116" s="1096">
        <v>67.5</v>
      </c>
      <c r="FO116" s="1096">
        <v>194.61100499999998</v>
      </c>
      <c r="FP116" s="1099">
        <v>135</v>
      </c>
      <c r="FQ116" s="1064">
        <v>0.64195999999999998</v>
      </c>
      <c r="FR116" s="1065">
        <v>0.15</v>
      </c>
      <c r="FS116" s="1066">
        <v>289.50050968399586</v>
      </c>
      <c r="FT116" s="1066">
        <v>3.2237153637237084</v>
      </c>
      <c r="FU116" s="1065"/>
      <c r="FV116" s="1066">
        <v>33.070722800440578</v>
      </c>
      <c r="FW116" s="1065"/>
      <c r="FX116" s="1065"/>
      <c r="FY116" s="1065" t="s">
        <v>481</v>
      </c>
      <c r="FZ116" s="1065" t="s">
        <v>490</v>
      </c>
      <c r="GA116" s="1065">
        <v>1</v>
      </c>
      <c r="GB116" s="1065"/>
      <c r="GC116" s="1065"/>
      <c r="GD116" s="1065"/>
      <c r="GE116" s="1065"/>
      <c r="GF116" s="1066">
        <v>49.896653918271085</v>
      </c>
      <c r="GG116" s="1066">
        <v>33.75</v>
      </c>
      <c r="GH116" s="1066">
        <v>99.793307836542169</v>
      </c>
      <c r="GI116" s="1066">
        <v>67.5</v>
      </c>
      <c r="GJ116" s="1066">
        <v>199.58661567308434</v>
      </c>
      <c r="GK116" s="1066">
        <v>135</v>
      </c>
      <c r="GL116" s="584">
        <v>0.56459999999999999</v>
      </c>
      <c r="GM116" s="584">
        <v>0.11</v>
      </c>
      <c r="GN116" s="584"/>
      <c r="GO116" s="584"/>
      <c r="GP116" s="584"/>
      <c r="GQ116" s="584">
        <v>24.266666666666701</v>
      </c>
      <c r="GR116" s="584"/>
      <c r="GS116" s="584">
        <v>56.065239551478101</v>
      </c>
      <c r="GT116" s="584" t="s">
        <v>473</v>
      </c>
      <c r="GU116" s="584" t="s">
        <v>459</v>
      </c>
      <c r="GV116" s="584">
        <v>1</v>
      </c>
      <c r="GW116" s="584"/>
      <c r="GX116" s="584"/>
      <c r="GY116" s="584"/>
      <c r="GZ116" s="584"/>
      <c r="HA116" s="584">
        <v>17.388756000000001</v>
      </c>
      <c r="HB116" s="584">
        <v>33.75</v>
      </c>
      <c r="HC116" s="584">
        <v>34.777512000000002</v>
      </c>
      <c r="HD116" s="584">
        <v>67.5</v>
      </c>
      <c r="HE116" s="584">
        <v>69.555024000000003</v>
      </c>
      <c r="HF116" s="584">
        <v>135</v>
      </c>
      <c r="HG116" s="1100">
        <v>0.75</v>
      </c>
      <c r="HH116" s="1100">
        <v>0.11</v>
      </c>
      <c r="HI116" s="1101">
        <v>0</v>
      </c>
      <c r="HJ116" s="1101">
        <v>0</v>
      </c>
      <c r="HK116" s="1101">
        <v>0</v>
      </c>
      <c r="HL116" s="1101">
        <v>0</v>
      </c>
      <c r="HM116" s="1101">
        <v>32.799999999999997</v>
      </c>
      <c r="HN116" s="1101">
        <v>54.999999999999993</v>
      </c>
      <c r="HO116" s="1101">
        <v>0</v>
      </c>
      <c r="HP116" s="1101">
        <v>0</v>
      </c>
      <c r="HQ116" s="1101">
        <v>1</v>
      </c>
      <c r="HR116" s="1101">
        <v>0.56000000000000005</v>
      </c>
      <c r="HS116" s="1101">
        <v>0.64</v>
      </c>
      <c r="HT116" s="1101">
        <v>0.28000000000000003</v>
      </c>
      <c r="HU116" s="1101">
        <v>0.26</v>
      </c>
      <c r="HV116" s="1101">
        <v>18.377792999999997</v>
      </c>
      <c r="HW116" s="1101">
        <v>33.75</v>
      </c>
      <c r="HX116" s="1101">
        <v>36.755585999999994</v>
      </c>
      <c r="HY116" s="1101">
        <v>67.5</v>
      </c>
      <c r="HZ116" s="1101">
        <v>73.511171999999988</v>
      </c>
      <c r="IA116" s="1101">
        <v>135</v>
      </c>
      <c r="IB116" s="1062"/>
      <c r="ID116" s="1050"/>
      <c r="IE116" s="1050"/>
      <c r="IF116" s="1103"/>
      <c r="IG116" s="1103"/>
      <c r="IH116" s="1103"/>
      <c r="II116" s="1103"/>
      <c r="IJ116" s="1103"/>
      <c r="IK116" s="1103"/>
      <c r="IL116" s="1103"/>
      <c r="IM116" s="1050"/>
      <c r="IN116" s="1050"/>
      <c r="IO116" s="1050"/>
      <c r="IP116" s="1050"/>
      <c r="IQ116" s="1103"/>
      <c r="IR116" s="1103"/>
      <c r="IS116" s="1103"/>
      <c r="IT116" s="1103"/>
      <c r="IU116" s="1103"/>
      <c r="IV116" s="1103"/>
      <c r="JU116" s="1050"/>
      <c r="JV116" s="1103"/>
      <c r="JW116" s="1103"/>
      <c r="JX116" s="1103"/>
      <c r="JY116" s="1103"/>
      <c r="JZ116" s="1103"/>
      <c r="KA116" s="1103"/>
      <c r="KB116" s="1103"/>
      <c r="KC116" s="1050"/>
      <c r="KD116" s="1050"/>
      <c r="KE116" s="1050"/>
      <c r="KF116" s="1050"/>
      <c r="KG116" s="1103"/>
      <c r="KH116" s="1103"/>
      <c r="KI116" s="1103"/>
      <c r="KJ116" s="1103"/>
      <c r="KK116" s="1103"/>
      <c r="KL116" s="1103"/>
      <c r="KM116" s="1103"/>
      <c r="KN116" s="1103"/>
    </row>
    <row r="117" spans="2:300">
      <c r="B117" s="1048" t="str">
        <f t="shared" si="4"/>
        <v>R610</v>
      </c>
      <c r="C117" s="1046">
        <v>6</v>
      </c>
      <c r="D117" s="1092">
        <v>10</v>
      </c>
      <c r="E117" s="584">
        <v>0.34499999999999997</v>
      </c>
      <c r="F117" s="584">
        <v>0.34499999999999997</v>
      </c>
      <c r="G117" s="584">
        <v>828</v>
      </c>
      <c r="H117" s="584">
        <v>19.664999999999999</v>
      </c>
      <c r="I117" s="584">
        <v>0</v>
      </c>
      <c r="J117" s="584">
        <v>0</v>
      </c>
      <c r="K117" s="584">
        <v>0</v>
      </c>
      <c r="L117" s="584">
        <v>0</v>
      </c>
      <c r="M117" s="584">
        <v>0</v>
      </c>
      <c r="N117" s="584">
        <v>0</v>
      </c>
      <c r="O117" s="584">
        <v>0</v>
      </c>
      <c r="P117" s="584">
        <v>0</v>
      </c>
      <c r="Q117" s="584">
        <v>0</v>
      </c>
      <c r="R117" s="584">
        <v>0</v>
      </c>
      <c r="S117" s="584">
        <v>0</v>
      </c>
      <c r="T117" s="584">
        <v>241.81743750000001</v>
      </c>
      <c r="U117" s="584">
        <v>37.5</v>
      </c>
      <c r="V117" s="584">
        <v>422.95743750000003</v>
      </c>
      <c r="W117" s="584">
        <v>78.75</v>
      </c>
      <c r="X117" s="584">
        <v>611.24099999999999</v>
      </c>
      <c r="Y117" s="584">
        <v>165</v>
      </c>
      <c r="Z117" s="584">
        <v>0.27500000000000002</v>
      </c>
      <c r="AA117" s="584">
        <v>0.27500000000000002</v>
      </c>
      <c r="AB117" s="584">
        <v>660</v>
      </c>
      <c r="AC117" s="584">
        <v>16</v>
      </c>
      <c r="AD117" s="584">
        <v>0</v>
      </c>
      <c r="AE117" s="584">
        <v>0</v>
      </c>
      <c r="AF117" s="584">
        <v>0</v>
      </c>
      <c r="AG117" s="584">
        <v>0</v>
      </c>
      <c r="AH117" s="584">
        <v>0</v>
      </c>
      <c r="AI117" s="584">
        <v>0</v>
      </c>
      <c r="AJ117" s="584">
        <v>0</v>
      </c>
      <c r="AK117" s="584">
        <v>0</v>
      </c>
      <c r="AL117" s="584">
        <v>0</v>
      </c>
      <c r="AM117" s="584">
        <v>0</v>
      </c>
      <c r="AN117" s="584">
        <v>0</v>
      </c>
      <c r="AO117" s="584">
        <v>212.69743750000001</v>
      </c>
      <c r="AP117" s="584">
        <v>37.5</v>
      </c>
      <c r="AQ117" s="584">
        <v>364.15743750000001</v>
      </c>
      <c r="AR117" s="584">
        <v>78.75</v>
      </c>
      <c r="AS117" s="584">
        <v>495.74099999999999</v>
      </c>
      <c r="AT117" s="584">
        <v>165</v>
      </c>
      <c r="AU117" s="584">
        <v>0.6</v>
      </c>
      <c r="AV117" s="584">
        <v>0.25</v>
      </c>
      <c r="AW117" s="584">
        <v>476.59131234015302</v>
      </c>
      <c r="AX117" s="584">
        <v>18.5118286445013</v>
      </c>
      <c r="AY117" s="584">
        <v>0</v>
      </c>
      <c r="AZ117" s="584">
        <v>0</v>
      </c>
      <c r="BA117" s="584">
        <v>0</v>
      </c>
      <c r="BB117" s="584">
        <v>0</v>
      </c>
      <c r="BC117" s="584">
        <v>0</v>
      </c>
      <c r="BD117" s="584">
        <v>0</v>
      </c>
      <c r="BE117" s="584">
        <v>0</v>
      </c>
      <c r="BF117" s="584">
        <v>0</v>
      </c>
      <c r="BG117" s="584">
        <v>0.6</v>
      </c>
      <c r="BH117" s="584">
        <v>0</v>
      </c>
      <c r="BI117" s="584">
        <v>0.45</v>
      </c>
      <c r="BJ117" s="584">
        <v>188.81586764705901</v>
      </c>
      <c r="BK117" s="584">
        <v>37.5</v>
      </c>
      <c r="BL117" s="584">
        <v>299.81191544117598</v>
      </c>
      <c r="BM117" s="584">
        <v>78.75</v>
      </c>
      <c r="BN117" s="584">
        <v>360.38234283088201</v>
      </c>
      <c r="BO117" s="584">
        <v>165</v>
      </c>
      <c r="BP117" s="584">
        <v>0.6</v>
      </c>
      <c r="BQ117" s="584">
        <v>0.14499999999999999</v>
      </c>
      <c r="BR117" s="584">
        <v>467.75063938618899</v>
      </c>
      <c r="BS117" s="584">
        <v>27.4452173913044</v>
      </c>
      <c r="BT117" s="584">
        <v>0</v>
      </c>
      <c r="BU117" s="584">
        <v>0</v>
      </c>
      <c r="BV117" s="584">
        <v>0</v>
      </c>
      <c r="BW117" s="584">
        <v>0</v>
      </c>
      <c r="BX117" s="584">
        <v>0</v>
      </c>
      <c r="BY117" s="584">
        <v>0</v>
      </c>
      <c r="BZ117" s="584">
        <v>0</v>
      </c>
      <c r="CA117" s="584">
        <v>0.27500000000000002</v>
      </c>
      <c r="CB117" s="584">
        <v>0.6</v>
      </c>
      <c r="CC117" s="584">
        <v>0.3</v>
      </c>
      <c r="CD117" s="584">
        <v>0.3</v>
      </c>
      <c r="CE117" s="584">
        <v>195.04535000000001</v>
      </c>
      <c r="CF117" s="584">
        <v>37.5</v>
      </c>
      <c r="CG117" s="584">
        <v>316.08659999999998</v>
      </c>
      <c r="CH117" s="584">
        <v>78.75</v>
      </c>
      <c r="CI117" s="584">
        <v>319.08659999999998</v>
      </c>
      <c r="CJ117" s="584">
        <v>165</v>
      </c>
      <c r="CK117" s="584">
        <v>0.72499999999999998</v>
      </c>
      <c r="CL117" s="584">
        <v>0.17</v>
      </c>
      <c r="CM117" s="584">
        <v>480.33339993606103</v>
      </c>
      <c r="CN117" s="584">
        <v>17.1060941496164</v>
      </c>
      <c r="CO117" s="584">
        <v>0</v>
      </c>
      <c r="CP117" s="584">
        <v>0</v>
      </c>
      <c r="CQ117" s="584">
        <v>0</v>
      </c>
      <c r="CR117" s="584">
        <v>0</v>
      </c>
      <c r="CS117" s="584">
        <v>0</v>
      </c>
      <c r="CT117" s="584">
        <v>0</v>
      </c>
      <c r="CU117" s="584">
        <v>0</v>
      </c>
      <c r="CV117" s="584">
        <v>0</v>
      </c>
      <c r="CW117" s="584">
        <v>0.72499999999999998</v>
      </c>
      <c r="CX117" s="584">
        <v>0</v>
      </c>
      <c r="CY117" s="584">
        <v>0.6</v>
      </c>
      <c r="CZ117" s="584">
        <v>192.07735</v>
      </c>
      <c r="DA117" s="584">
        <v>37.5</v>
      </c>
      <c r="DB117" s="584">
        <v>304.1361</v>
      </c>
      <c r="DC117" s="584">
        <v>78.75</v>
      </c>
      <c r="DD117" s="584">
        <v>362.76735000000002</v>
      </c>
      <c r="DE117" s="584">
        <v>165</v>
      </c>
      <c r="DF117" s="584">
        <v>0.35</v>
      </c>
      <c r="DG117" s="584">
        <v>0.2</v>
      </c>
      <c r="DH117" s="584">
        <v>350.66096547314601</v>
      </c>
      <c r="DI117" s="584">
        <v>17.812848785166199</v>
      </c>
      <c r="DJ117" s="584">
        <v>300</v>
      </c>
      <c r="DK117" s="584">
        <v>0</v>
      </c>
      <c r="DL117" s="584">
        <v>0</v>
      </c>
      <c r="DM117" s="584">
        <v>0</v>
      </c>
      <c r="DN117" s="584">
        <v>0</v>
      </c>
      <c r="DO117" s="584">
        <v>0</v>
      </c>
      <c r="DP117" s="584">
        <v>0</v>
      </c>
      <c r="DQ117" s="584">
        <v>0</v>
      </c>
      <c r="DR117" s="584">
        <v>0.35</v>
      </c>
      <c r="DS117" s="584">
        <v>0</v>
      </c>
      <c r="DT117" s="584">
        <v>2.4</v>
      </c>
      <c r="DU117" s="584">
        <v>192.0635</v>
      </c>
      <c r="DV117" s="584">
        <v>37.5</v>
      </c>
      <c r="DW117" s="584">
        <v>313.40100000000001</v>
      </c>
      <c r="DX117" s="584">
        <v>78.75</v>
      </c>
      <c r="DY117" s="584">
        <v>449.62650000000002</v>
      </c>
      <c r="DZ117" s="584">
        <v>165</v>
      </c>
      <c r="EA117" s="1062">
        <v>0.71720000000000006</v>
      </c>
      <c r="EB117" s="1046">
        <v>0.3</v>
      </c>
      <c r="EC117" s="1093">
        <v>132.51783893985731</v>
      </c>
      <c r="ED117" s="1046">
        <v>0</v>
      </c>
      <c r="EE117" s="1046">
        <v>397.55351681957183</v>
      </c>
      <c r="EF117" s="1046">
        <v>20.896666666666665</v>
      </c>
      <c r="EG117" s="1046">
        <v>0</v>
      </c>
      <c r="EH117" s="1046">
        <v>0</v>
      </c>
      <c r="EI117" s="1046" t="s">
        <v>463</v>
      </c>
      <c r="EJ117" s="1046" t="s">
        <v>465</v>
      </c>
      <c r="EK117" s="1046">
        <v>0</v>
      </c>
      <c r="EL117" s="1046">
        <v>0</v>
      </c>
      <c r="EM117" s="1046">
        <v>0</v>
      </c>
      <c r="EN117" s="1046">
        <v>0</v>
      </c>
      <c r="EO117" s="1046">
        <v>0</v>
      </c>
      <c r="EP117" s="1094">
        <v>88.574944500000001</v>
      </c>
      <c r="EQ117" s="1094">
        <v>37.5</v>
      </c>
      <c r="ER117" s="1094">
        <v>177.149889</v>
      </c>
      <c r="ES117" s="1095">
        <v>75</v>
      </c>
      <c r="ET117" s="1094">
        <v>354.299778</v>
      </c>
      <c r="EU117" s="1094">
        <v>150</v>
      </c>
      <c r="EV117" s="1096">
        <v>0.60799999999999998</v>
      </c>
      <c r="EW117" s="1097">
        <v>0.15</v>
      </c>
      <c r="EX117" s="1096">
        <v>289.50050968399592</v>
      </c>
      <c r="EY117" s="1096">
        <v>1.5443934760448521</v>
      </c>
      <c r="EZ117" s="1096">
        <v>0</v>
      </c>
      <c r="FA117" s="1096">
        <v>15.736666666666668</v>
      </c>
      <c r="FB117" s="1098">
        <v>0</v>
      </c>
      <c r="FC117" s="1098">
        <v>0</v>
      </c>
      <c r="FD117" s="1098" t="s">
        <v>458</v>
      </c>
      <c r="FE117" s="1098" t="s">
        <v>468</v>
      </c>
      <c r="FF117" s="1098">
        <v>1</v>
      </c>
      <c r="FG117" s="1098">
        <v>0</v>
      </c>
      <c r="FH117" s="1098">
        <v>0</v>
      </c>
      <c r="FI117" s="1098">
        <v>0</v>
      </c>
      <c r="FJ117" s="1098">
        <v>0</v>
      </c>
      <c r="FK117" s="1096">
        <v>54.292908000000004</v>
      </c>
      <c r="FL117" s="1096">
        <v>37.5</v>
      </c>
      <c r="FM117" s="1096">
        <v>108.58581600000001</v>
      </c>
      <c r="FN117" s="1096">
        <v>75</v>
      </c>
      <c r="FO117" s="1096">
        <v>217.17163200000002</v>
      </c>
      <c r="FP117" s="1099">
        <v>150</v>
      </c>
      <c r="FQ117" s="1064">
        <v>0.64393371008606481</v>
      </c>
      <c r="FR117" s="1065">
        <v>0.15</v>
      </c>
      <c r="FS117" s="1066">
        <v>289.50050968399586</v>
      </c>
      <c r="FT117" s="1066">
        <v>3.2237153637237084</v>
      </c>
      <c r="FU117" s="1065"/>
      <c r="FV117" s="1066">
        <v>36.177083365514996</v>
      </c>
      <c r="FW117" s="1065"/>
      <c r="FX117" s="1065"/>
      <c r="FY117" s="1065" t="s">
        <v>481</v>
      </c>
      <c r="FZ117" s="1065" t="s">
        <v>479</v>
      </c>
      <c r="GA117" s="1065">
        <v>1</v>
      </c>
      <c r="GB117" s="1065"/>
      <c r="GC117" s="1065"/>
      <c r="GD117" s="1065"/>
      <c r="GE117" s="1065"/>
      <c r="GF117" s="1066">
        <v>55.897827533007465</v>
      </c>
      <c r="GG117" s="1066">
        <v>37.5</v>
      </c>
      <c r="GH117" s="1066">
        <v>111.79565506601493</v>
      </c>
      <c r="GI117" s="1066">
        <v>75</v>
      </c>
      <c r="GJ117" s="1066">
        <v>223.59131013202986</v>
      </c>
      <c r="GK117" s="1066">
        <v>150</v>
      </c>
      <c r="GL117" s="584">
        <v>0.6391</v>
      </c>
      <c r="GM117" s="584">
        <v>0.11</v>
      </c>
      <c r="GN117" s="584"/>
      <c r="GO117" s="584"/>
      <c r="GP117" s="584"/>
      <c r="GQ117" s="584">
        <v>28.8</v>
      </c>
      <c r="GR117" s="584"/>
      <c r="GS117" s="584">
        <v>56.065239551478101</v>
      </c>
      <c r="GT117" s="584" t="s">
        <v>473</v>
      </c>
      <c r="GU117" s="584" t="s">
        <v>436</v>
      </c>
      <c r="GV117" s="584">
        <v>1</v>
      </c>
      <c r="GW117" s="584"/>
      <c r="GX117" s="584"/>
      <c r="GY117" s="584"/>
      <c r="GZ117" s="584"/>
      <c r="HA117" s="584">
        <v>19.987919999999999</v>
      </c>
      <c r="HB117" s="584">
        <v>37.5</v>
      </c>
      <c r="HC117" s="584">
        <v>39.975839999999998</v>
      </c>
      <c r="HD117" s="584">
        <v>75</v>
      </c>
      <c r="HE117" s="584">
        <v>79.951679999999996</v>
      </c>
      <c r="HF117" s="584">
        <v>150</v>
      </c>
      <c r="HG117" s="1100">
        <v>0.83</v>
      </c>
      <c r="HH117" s="1100">
        <v>0.11</v>
      </c>
      <c r="HI117" s="1101">
        <v>0</v>
      </c>
      <c r="HJ117" s="1101">
        <v>0</v>
      </c>
      <c r="HK117" s="1101">
        <v>0</v>
      </c>
      <c r="HL117" s="1101">
        <v>0</v>
      </c>
      <c r="HM117" s="1101">
        <v>39.96</v>
      </c>
      <c r="HN117" s="1101">
        <v>54.999999999999993</v>
      </c>
      <c r="HO117" s="1101">
        <v>0</v>
      </c>
      <c r="HP117" s="1101">
        <v>0</v>
      </c>
      <c r="HQ117" s="1101">
        <v>1</v>
      </c>
      <c r="HR117" s="1101">
        <v>0.6</v>
      </c>
      <c r="HS117" s="1101">
        <v>0.72</v>
      </c>
      <c r="HT117" s="1101">
        <v>0.28000000000000003</v>
      </c>
      <c r="HU117" s="1101">
        <v>0.3</v>
      </c>
      <c r="HV117" s="1101">
        <v>21.473364</v>
      </c>
      <c r="HW117" s="1101">
        <v>37.5</v>
      </c>
      <c r="HX117" s="1101">
        <v>42.946728</v>
      </c>
      <c r="HY117" s="1101">
        <v>75</v>
      </c>
      <c r="HZ117" s="1101">
        <v>85.893456</v>
      </c>
      <c r="IA117" s="1101">
        <v>150</v>
      </c>
      <c r="IB117" s="1062"/>
      <c r="IC117" s="1092"/>
      <c r="ID117" s="1050"/>
      <c r="IE117" s="1050"/>
      <c r="IF117" s="1103"/>
      <c r="IG117" s="1103"/>
      <c r="IH117" s="1103"/>
      <c r="II117" s="1103"/>
      <c r="IJ117" s="1103"/>
      <c r="IK117" s="1103"/>
      <c r="IL117" s="1103"/>
      <c r="IM117" s="1050"/>
      <c r="IN117" s="1050"/>
      <c r="IO117" s="1050"/>
      <c r="IP117" s="1050"/>
      <c r="IQ117" s="1103"/>
      <c r="IR117" s="1103"/>
      <c r="IS117" s="1103"/>
      <c r="IT117" s="1103"/>
      <c r="IU117" s="1103"/>
      <c r="IV117" s="1103"/>
      <c r="JS117" s="1092"/>
      <c r="JU117" s="1050"/>
      <c r="JV117" s="1103"/>
      <c r="JW117" s="1103"/>
      <c r="JX117" s="1103"/>
      <c r="JY117" s="1103"/>
      <c r="JZ117" s="1103"/>
      <c r="KA117" s="1103"/>
      <c r="KB117" s="1103"/>
      <c r="KC117" s="1050"/>
      <c r="KD117" s="1050"/>
      <c r="KE117" s="1050"/>
      <c r="KF117" s="1050"/>
      <c r="KG117" s="1103"/>
      <c r="KH117" s="1103"/>
      <c r="KI117" s="1103"/>
      <c r="KJ117" s="1103"/>
      <c r="KK117" s="1103"/>
      <c r="KL117" s="1103"/>
      <c r="KM117" s="1103"/>
      <c r="KN117" s="1103"/>
    </row>
    <row r="118" spans="2:300">
      <c r="B118" s="1048" t="str">
        <f t="shared" si="4"/>
        <v>R611</v>
      </c>
      <c r="C118" s="1046">
        <v>6</v>
      </c>
      <c r="D118" s="1092">
        <v>11</v>
      </c>
      <c r="E118" s="584">
        <v>0.39</v>
      </c>
      <c r="F118" s="584">
        <v>0.39</v>
      </c>
      <c r="G118" s="584">
        <v>936</v>
      </c>
      <c r="H118" s="584">
        <v>21.45</v>
      </c>
      <c r="I118" s="584">
        <v>0</v>
      </c>
      <c r="J118" s="584">
        <v>0</v>
      </c>
      <c r="K118" s="584">
        <v>0</v>
      </c>
      <c r="L118" s="584">
        <v>0</v>
      </c>
      <c r="M118" s="584">
        <v>0</v>
      </c>
      <c r="N118" s="584">
        <v>0</v>
      </c>
      <c r="O118" s="584">
        <v>0</v>
      </c>
      <c r="P118" s="584">
        <v>0</v>
      </c>
      <c r="Q118" s="584">
        <v>0</v>
      </c>
      <c r="R118" s="584">
        <v>0</v>
      </c>
      <c r="S118" s="584">
        <v>0</v>
      </c>
      <c r="T118" s="584">
        <v>282.2374375</v>
      </c>
      <c r="U118" s="584">
        <v>41.25</v>
      </c>
      <c r="V118" s="584">
        <v>506.32743749999997</v>
      </c>
      <c r="W118" s="584">
        <v>86.625</v>
      </c>
      <c r="X118" s="584">
        <v>753.14099999999996</v>
      </c>
      <c r="Y118" s="584">
        <v>181.5</v>
      </c>
      <c r="Z118" s="584">
        <v>0.31</v>
      </c>
      <c r="AA118" s="584">
        <v>0.31</v>
      </c>
      <c r="AB118" s="584">
        <v>744</v>
      </c>
      <c r="AC118" s="584">
        <v>18</v>
      </c>
      <c r="AD118" s="584">
        <v>0</v>
      </c>
      <c r="AE118" s="584">
        <v>0</v>
      </c>
      <c r="AF118" s="584">
        <v>0</v>
      </c>
      <c r="AG118" s="584">
        <v>0</v>
      </c>
      <c r="AH118" s="584">
        <v>0</v>
      </c>
      <c r="AI118" s="584">
        <v>0</v>
      </c>
      <c r="AJ118" s="584">
        <v>0</v>
      </c>
      <c r="AK118" s="584">
        <v>0</v>
      </c>
      <c r="AL118" s="584">
        <v>0</v>
      </c>
      <c r="AM118" s="584">
        <v>0</v>
      </c>
      <c r="AN118" s="584">
        <v>0</v>
      </c>
      <c r="AO118" s="584">
        <v>245.75743750000001</v>
      </c>
      <c r="AP118" s="584">
        <v>41.25</v>
      </c>
      <c r="AQ118" s="584">
        <v>432.40743750000001</v>
      </c>
      <c r="AR118" s="584">
        <v>86.625</v>
      </c>
      <c r="AS118" s="584">
        <v>607.94100000000003</v>
      </c>
      <c r="AT118" s="584">
        <v>181.5</v>
      </c>
      <c r="AU118" s="584">
        <v>0.82499999999999996</v>
      </c>
      <c r="AV118" s="584">
        <v>0.25</v>
      </c>
      <c r="AW118" s="584">
        <v>480.873374417702</v>
      </c>
      <c r="AX118" s="584">
        <v>16.921414013975198</v>
      </c>
      <c r="AY118" s="584">
        <v>0</v>
      </c>
      <c r="AZ118" s="584">
        <v>0</v>
      </c>
      <c r="BA118" s="584">
        <v>0</v>
      </c>
      <c r="BB118" s="584">
        <v>0</v>
      </c>
      <c r="BC118" s="584">
        <v>0</v>
      </c>
      <c r="BD118" s="584">
        <v>0</v>
      </c>
      <c r="BE118" s="584">
        <v>0</v>
      </c>
      <c r="BF118" s="584">
        <v>0</v>
      </c>
      <c r="BG118" s="584">
        <v>0.82499999999999996</v>
      </c>
      <c r="BH118" s="584">
        <v>0</v>
      </c>
      <c r="BI118" s="584">
        <v>0.3</v>
      </c>
      <c r="BJ118" s="584">
        <v>206.499296875</v>
      </c>
      <c r="BK118" s="584">
        <v>41.25</v>
      </c>
      <c r="BL118" s="584">
        <v>334.50128906250001</v>
      </c>
      <c r="BM118" s="584">
        <v>86.625</v>
      </c>
      <c r="BN118" s="584">
        <v>401.990478515625</v>
      </c>
      <c r="BO118" s="584">
        <v>181.5</v>
      </c>
      <c r="BP118" s="584">
        <v>0</v>
      </c>
      <c r="BQ118" s="584">
        <v>0</v>
      </c>
      <c r="BR118" s="584">
        <v>0</v>
      </c>
      <c r="BS118" s="584">
        <v>0</v>
      </c>
      <c r="BT118" s="584">
        <v>0</v>
      </c>
      <c r="BU118" s="584">
        <v>0</v>
      </c>
      <c r="BV118" s="584">
        <v>0</v>
      </c>
      <c r="BW118" s="584">
        <v>0</v>
      </c>
      <c r="BX118" s="584">
        <v>0</v>
      </c>
      <c r="BY118" s="584">
        <v>0</v>
      </c>
      <c r="BZ118" s="584">
        <v>0</v>
      </c>
      <c r="CA118" s="584">
        <v>0</v>
      </c>
      <c r="CB118" s="584">
        <v>0</v>
      </c>
      <c r="CC118" s="584">
        <v>0</v>
      </c>
      <c r="CD118" s="584">
        <v>0</v>
      </c>
      <c r="CE118" s="584">
        <v>0</v>
      </c>
      <c r="CF118" s="584">
        <v>0</v>
      </c>
      <c r="CG118" s="584">
        <v>0</v>
      </c>
      <c r="CH118" s="584">
        <v>0</v>
      </c>
      <c r="CI118" s="584">
        <v>0</v>
      </c>
      <c r="CJ118" s="584">
        <v>0</v>
      </c>
      <c r="CK118" s="584">
        <v>0.82499999999999996</v>
      </c>
      <c r="CL118" s="584">
        <v>0.17</v>
      </c>
      <c r="CM118" s="584">
        <v>492.27750145574498</v>
      </c>
      <c r="CN118" s="584">
        <v>16.8892141401397</v>
      </c>
      <c r="CO118" s="584">
        <v>0</v>
      </c>
      <c r="CP118" s="584">
        <v>0</v>
      </c>
      <c r="CQ118" s="584">
        <v>0</v>
      </c>
      <c r="CR118" s="584">
        <v>0</v>
      </c>
      <c r="CS118" s="584">
        <v>0</v>
      </c>
      <c r="CT118" s="584">
        <v>0</v>
      </c>
      <c r="CU118" s="584">
        <v>0</v>
      </c>
      <c r="CV118" s="584">
        <v>0</v>
      </c>
      <c r="CW118" s="584">
        <v>0.82499999999999996</v>
      </c>
      <c r="CX118" s="584">
        <v>0</v>
      </c>
      <c r="CY118" s="584">
        <v>0.6</v>
      </c>
      <c r="CZ118" s="584">
        <v>209.599975</v>
      </c>
      <c r="DA118" s="584">
        <v>41.25</v>
      </c>
      <c r="DB118" s="584">
        <v>338.18310000000002</v>
      </c>
      <c r="DC118" s="584">
        <v>86.625</v>
      </c>
      <c r="DD118" s="584">
        <v>406.28685000000002</v>
      </c>
      <c r="DE118" s="584">
        <v>181.5</v>
      </c>
      <c r="DF118" s="584">
        <v>0.4</v>
      </c>
      <c r="DG118" s="584">
        <v>0.2</v>
      </c>
      <c r="DH118" s="584">
        <v>390.95860830745301</v>
      </c>
      <c r="DI118" s="584">
        <v>18.7575371700311</v>
      </c>
      <c r="DJ118" s="584">
        <v>300</v>
      </c>
      <c r="DK118" s="584">
        <v>0</v>
      </c>
      <c r="DL118" s="584">
        <v>0</v>
      </c>
      <c r="DM118" s="584">
        <v>0</v>
      </c>
      <c r="DN118" s="584">
        <v>0</v>
      </c>
      <c r="DO118" s="584">
        <v>0</v>
      </c>
      <c r="DP118" s="584">
        <v>0</v>
      </c>
      <c r="DQ118" s="584">
        <v>0</v>
      </c>
      <c r="DR118" s="584">
        <v>0.4</v>
      </c>
      <c r="DS118" s="584">
        <v>0</v>
      </c>
      <c r="DT118" s="584">
        <v>2.4</v>
      </c>
      <c r="DU118" s="584">
        <v>211.6285</v>
      </c>
      <c r="DV118" s="584">
        <v>41.25</v>
      </c>
      <c r="DW118" s="584">
        <v>352.09724999999997</v>
      </c>
      <c r="DX118" s="584">
        <v>86.625</v>
      </c>
      <c r="DY118" s="584">
        <v>526.60500000000002</v>
      </c>
      <c r="DZ118" s="584">
        <v>181.5</v>
      </c>
      <c r="EA118" s="1062">
        <v>0.76579999999999993</v>
      </c>
      <c r="EB118" s="1046">
        <v>0.3</v>
      </c>
      <c r="EC118" s="1093">
        <v>132.51783893985731</v>
      </c>
      <c r="ED118" s="1046">
        <v>0</v>
      </c>
      <c r="EE118" s="1046">
        <v>397.55351681957183</v>
      </c>
      <c r="EF118" s="1046">
        <v>22.346969696969694</v>
      </c>
      <c r="EG118" s="1046">
        <v>0</v>
      </c>
      <c r="EH118" s="1046">
        <v>0</v>
      </c>
      <c r="EI118" s="1046" t="s">
        <v>454</v>
      </c>
      <c r="EJ118" s="1046" t="s">
        <v>446</v>
      </c>
      <c r="EK118" s="1046">
        <v>0</v>
      </c>
      <c r="EL118" s="1046">
        <v>0</v>
      </c>
      <c r="EM118" s="1046">
        <v>0</v>
      </c>
      <c r="EN118" s="1046">
        <v>0</v>
      </c>
      <c r="EO118" s="1046">
        <v>0</v>
      </c>
      <c r="EP118" s="1094">
        <v>97.667192249999999</v>
      </c>
      <c r="EQ118" s="1094">
        <v>41.25</v>
      </c>
      <c r="ER118" s="1094">
        <v>195.3343845</v>
      </c>
      <c r="ES118" s="1095">
        <v>82.5</v>
      </c>
      <c r="ET118" s="1094">
        <v>390.668769</v>
      </c>
      <c r="EU118" s="1094">
        <v>165</v>
      </c>
      <c r="EV118" s="1096">
        <v>0.60699999999999998</v>
      </c>
      <c r="EW118" s="1097">
        <v>0.15</v>
      </c>
      <c r="EX118" s="1096">
        <v>289.50050968399592</v>
      </c>
      <c r="EY118" s="1096">
        <v>1.5443934760448521</v>
      </c>
      <c r="EZ118" s="1096">
        <v>0</v>
      </c>
      <c r="FA118" s="1096">
        <v>15.471212121212119</v>
      </c>
      <c r="FB118" s="1098">
        <v>0</v>
      </c>
      <c r="FC118" s="1098">
        <v>0</v>
      </c>
      <c r="FD118" s="1098" t="s">
        <v>450</v>
      </c>
      <c r="FE118" s="1098" t="s">
        <v>461</v>
      </c>
      <c r="FF118" s="1098">
        <v>1</v>
      </c>
      <c r="FG118" s="1098">
        <v>0</v>
      </c>
      <c r="FH118" s="1098">
        <v>0</v>
      </c>
      <c r="FI118" s="1098">
        <v>0</v>
      </c>
      <c r="FJ118" s="1098">
        <v>0</v>
      </c>
      <c r="FK118" s="1096">
        <v>59.679231000000001</v>
      </c>
      <c r="FL118" s="1096">
        <v>41.25</v>
      </c>
      <c r="FM118" s="1096">
        <v>119.358462</v>
      </c>
      <c r="FN118" s="1096">
        <v>82.5</v>
      </c>
      <c r="FO118" s="1096">
        <v>238.71692400000001</v>
      </c>
      <c r="FP118" s="1099">
        <v>165</v>
      </c>
      <c r="FQ118" s="1064">
        <v>0.78455946703562329</v>
      </c>
      <c r="FR118" s="1065">
        <v>0.15</v>
      </c>
      <c r="FS118" s="1066">
        <v>289.50050968399586</v>
      </c>
      <c r="FT118" s="1066">
        <v>3.2237153637237084</v>
      </c>
      <c r="FU118" s="1065"/>
      <c r="FV118" s="1066">
        <v>36.714407088066757</v>
      </c>
      <c r="FW118" s="1065"/>
      <c r="FX118" s="1065"/>
      <c r="FY118" s="1065" t="s">
        <v>479</v>
      </c>
      <c r="FZ118" s="1065" t="s">
        <v>461</v>
      </c>
      <c r="GA118" s="1065">
        <v>1</v>
      </c>
      <c r="GB118" s="1065"/>
      <c r="GC118" s="1065"/>
      <c r="GD118" s="1065"/>
      <c r="GE118" s="1065"/>
      <c r="GF118" s="1066">
        <v>61.57458419065906</v>
      </c>
      <c r="GG118" s="1066">
        <v>41.25</v>
      </c>
      <c r="GH118" s="1066">
        <v>123.14916838131812</v>
      </c>
      <c r="GI118" s="1066">
        <v>82.5</v>
      </c>
      <c r="GJ118" s="1066">
        <v>246.29833676263624</v>
      </c>
      <c r="GK118" s="1066">
        <v>165</v>
      </c>
      <c r="GL118" s="584">
        <v>0.70860000000000001</v>
      </c>
      <c r="GM118" s="584">
        <v>0.11</v>
      </c>
      <c r="GN118" s="584"/>
      <c r="GO118" s="584"/>
      <c r="GP118" s="584"/>
      <c r="GQ118" s="584">
        <v>31.448484848484799</v>
      </c>
      <c r="GR118" s="584"/>
      <c r="GS118" s="584">
        <v>56.065239551478101</v>
      </c>
      <c r="GT118" s="584" t="s">
        <v>471</v>
      </c>
      <c r="GU118" s="584" t="s">
        <v>416</v>
      </c>
      <c r="GV118" s="584">
        <v>1</v>
      </c>
      <c r="GW118" s="584"/>
      <c r="GX118" s="584"/>
      <c r="GY118" s="584"/>
      <c r="GZ118" s="584"/>
      <c r="HA118" s="584">
        <v>22.415409</v>
      </c>
      <c r="HB118" s="584">
        <v>41.25</v>
      </c>
      <c r="HC118" s="584">
        <v>44.830818000000001</v>
      </c>
      <c r="HD118" s="584">
        <v>82.5</v>
      </c>
      <c r="HE118" s="584">
        <v>89.661636000000001</v>
      </c>
      <c r="HF118" s="584">
        <v>165</v>
      </c>
      <c r="HG118" s="1100">
        <v>0.95</v>
      </c>
      <c r="HH118" s="1100">
        <v>0.11</v>
      </c>
      <c r="HI118" s="1101">
        <v>0</v>
      </c>
      <c r="HJ118" s="1101">
        <v>0</v>
      </c>
      <c r="HK118" s="1101">
        <v>0</v>
      </c>
      <c r="HL118" s="1101">
        <v>0</v>
      </c>
      <c r="HM118" s="1101">
        <v>42.61090909090909</v>
      </c>
      <c r="HN118" s="1101">
        <v>54.999999999999993</v>
      </c>
      <c r="HO118" s="1101">
        <v>0</v>
      </c>
      <c r="HP118" s="1101">
        <v>0</v>
      </c>
      <c r="HQ118" s="1101">
        <v>1</v>
      </c>
      <c r="HR118" s="1101">
        <v>0.64</v>
      </c>
      <c r="HS118" s="1101">
        <v>0.84</v>
      </c>
      <c r="HT118" s="1101">
        <v>0.28000000000000003</v>
      </c>
      <c r="HU118" s="1101">
        <v>0.28000000000000003</v>
      </c>
      <c r="HV118" s="1101">
        <v>24.049789799999999</v>
      </c>
      <c r="HW118" s="1101">
        <v>41.25</v>
      </c>
      <c r="HX118" s="1101">
        <v>48.099579599999998</v>
      </c>
      <c r="HY118" s="1101">
        <v>82.5</v>
      </c>
      <c r="HZ118" s="1101">
        <v>96.199159199999997</v>
      </c>
      <c r="IA118" s="1101">
        <v>165</v>
      </c>
      <c r="IB118" s="1062"/>
      <c r="IC118" s="1092"/>
      <c r="ID118" s="1050"/>
      <c r="IE118" s="1050"/>
      <c r="IF118" s="1103"/>
      <c r="IG118" s="1103"/>
      <c r="IH118" s="1103"/>
      <c r="II118" s="1103"/>
      <c r="IJ118" s="1103"/>
      <c r="IK118" s="1103"/>
      <c r="IL118" s="1103"/>
      <c r="IM118" s="1050"/>
      <c r="IN118" s="1050"/>
      <c r="IO118" s="1050"/>
      <c r="IP118" s="1050"/>
      <c r="IQ118" s="1103"/>
      <c r="IR118" s="1103"/>
      <c r="IS118" s="1103"/>
      <c r="IT118" s="1103"/>
      <c r="IU118" s="1103"/>
      <c r="IV118" s="1103"/>
      <c r="JS118" s="1092"/>
      <c r="JU118" s="1050"/>
      <c r="JV118" s="1103"/>
      <c r="JW118" s="1103"/>
      <c r="JX118" s="1103"/>
      <c r="JY118" s="1103"/>
      <c r="JZ118" s="1103"/>
      <c r="KA118" s="1103"/>
      <c r="KB118" s="1103"/>
      <c r="KC118" s="1050"/>
      <c r="KD118" s="1050"/>
      <c r="KE118" s="1050"/>
      <c r="KF118" s="1050"/>
      <c r="KG118" s="1103"/>
      <c r="KH118" s="1103"/>
      <c r="KI118" s="1103"/>
      <c r="KJ118" s="1103"/>
      <c r="KK118" s="1103"/>
      <c r="KL118" s="1103"/>
      <c r="KM118" s="1103"/>
      <c r="KN118" s="1103"/>
    </row>
    <row r="119" spans="2:300">
      <c r="B119" s="1048" t="str">
        <f t="shared" si="4"/>
        <v>R612</v>
      </c>
      <c r="C119" s="1046">
        <v>6</v>
      </c>
      <c r="D119" s="1092">
        <v>12</v>
      </c>
      <c r="E119" s="584">
        <v>0.45</v>
      </c>
      <c r="F119" s="584">
        <v>0.45</v>
      </c>
      <c r="G119" s="584">
        <v>1080</v>
      </c>
      <c r="H119" s="584">
        <v>23.85</v>
      </c>
      <c r="I119" s="584">
        <v>0</v>
      </c>
      <c r="J119" s="584">
        <v>0</v>
      </c>
      <c r="K119" s="584">
        <v>0</v>
      </c>
      <c r="L119" s="584">
        <v>0</v>
      </c>
      <c r="M119" s="584">
        <v>0</v>
      </c>
      <c r="N119" s="584">
        <v>0</v>
      </c>
      <c r="O119" s="584">
        <v>0</v>
      </c>
      <c r="P119" s="584">
        <v>0</v>
      </c>
      <c r="Q119" s="584">
        <v>0</v>
      </c>
      <c r="R119" s="584">
        <v>0</v>
      </c>
      <c r="S119" s="584">
        <v>0</v>
      </c>
      <c r="T119" s="584">
        <v>333.69743749999998</v>
      </c>
      <c r="U119" s="584">
        <v>45</v>
      </c>
      <c r="V119" s="584">
        <v>612.37743750000004</v>
      </c>
      <c r="W119" s="584">
        <v>94.5</v>
      </c>
      <c r="X119" s="584">
        <v>939.59100000000001</v>
      </c>
      <c r="Y119" s="584">
        <v>198</v>
      </c>
      <c r="Z119" s="584">
        <v>0.34</v>
      </c>
      <c r="AA119" s="584">
        <v>0.34</v>
      </c>
      <c r="AB119" s="584">
        <v>816</v>
      </c>
      <c r="AC119" s="584">
        <v>19</v>
      </c>
      <c r="AD119" s="584">
        <v>0</v>
      </c>
      <c r="AE119" s="584">
        <v>0</v>
      </c>
      <c r="AF119" s="584">
        <v>0</v>
      </c>
      <c r="AG119" s="584">
        <v>0</v>
      </c>
      <c r="AH119" s="584">
        <v>0</v>
      </c>
      <c r="AI119" s="584">
        <v>0</v>
      </c>
      <c r="AJ119" s="584">
        <v>0</v>
      </c>
      <c r="AK119" s="584">
        <v>0</v>
      </c>
      <c r="AL119" s="584">
        <v>0</v>
      </c>
      <c r="AM119" s="584">
        <v>0</v>
      </c>
      <c r="AN119" s="584">
        <v>0</v>
      </c>
      <c r="AO119" s="584">
        <v>279.13743749999998</v>
      </c>
      <c r="AP119" s="584">
        <v>45</v>
      </c>
      <c r="AQ119" s="584">
        <v>501.49743749999999</v>
      </c>
      <c r="AR119" s="584">
        <v>94.5</v>
      </c>
      <c r="AS119" s="584">
        <v>721.79100000000005</v>
      </c>
      <c r="AT119" s="584">
        <v>198</v>
      </c>
      <c r="AU119" s="584">
        <v>0.97499999999999998</v>
      </c>
      <c r="AV119" s="584">
        <v>0.25</v>
      </c>
      <c r="AW119" s="584">
        <v>485.771405024947</v>
      </c>
      <c r="AX119" s="584">
        <v>16.985744832501801</v>
      </c>
      <c r="AY119" s="584">
        <v>0</v>
      </c>
      <c r="AZ119" s="584">
        <v>0</v>
      </c>
      <c r="BA119" s="584">
        <v>0</v>
      </c>
      <c r="BB119" s="584">
        <v>0</v>
      </c>
      <c r="BC119" s="584">
        <v>0</v>
      </c>
      <c r="BD119" s="584">
        <v>0</v>
      </c>
      <c r="BE119" s="584">
        <v>0</v>
      </c>
      <c r="BF119" s="584">
        <v>0</v>
      </c>
      <c r="BG119" s="584">
        <v>0.97499999999999998</v>
      </c>
      <c r="BH119" s="584">
        <v>0</v>
      </c>
      <c r="BI119" s="584">
        <v>0.3</v>
      </c>
      <c r="BJ119" s="584">
        <v>223.486278688525</v>
      </c>
      <c r="BK119" s="584">
        <v>45</v>
      </c>
      <c r="BL119" s="584">
        <v>366.69736475409798</v>
      </c>
      <c r="BM119" s="584">
        <v>94.5</v>
      </c>
      <c r="BN119" s="584">
        <v>443.30322540983599</v>
      </c>
      <c r="BO119" s="584">
        <v>198</v>
      </c>
      <c r="BP119" s="584">
        <v>0</v>
      </c>
      <c r="BQ119" s="584">
        <v>0</v>
      </c>
      <c r="BR119" s="584">
        <v>0</v>
      </c>
      <c r="BS119" s="584">
        <v>0</v>
      </c>
      <c r="BT119" s="584">
        <v>0</v>
      </c>
      <c r="BU119" s="584">
        <v>0</v>
      </c>
      <c r="BV119" s="584">
        <v>0</v>
      </c>
      <c r="BW119" s="584">
        <v>0</v>
      </c>
      <c r="BX119" s="584">
        <v>0</v>
      </c>
      <c r="BY119" s="584">
        <v>0</v>
      </c>
      <c r="BZ119" s="584">
        <v>0</v>
      </c>
      <c r="CA119" s="584">
        <v>0</v>
      </c>
      <c r="CB119" s="584">
        <v>0</v>
      </c>
      <c r="CC119" s="584">
        <v>0</v>
      </c>
      <c r="CD119" s="584">
        <v>0</v>
      </c>
      <c r="CE119" s="584">
        <v>0</v>
      </c>
      <c r="CF119" s="584">
        <v>0</v>
      </c>
      <c r="CG119" s="584">
        <v>0</v>
      </c>
      <c r="CH119" s="584">
        <v>0</v>
      </c>
      <c r="CI119" s="584">
        <v>0</v>
      </c>
      <c r="CJ119" s="584">
        <v>0</v>
      </c>
      <c r="CK119" s="584">
        <v>0.97499999999999998</v>
      </c>
      <c r="CL119" s="584">
        <v>0.17</v>
      </c>
      <c r="CM119" s="584">
        <v>509.62155871347102</v>
      </c>
      <c r="CN119" s="584">
        <v>17.1312332947256</v>
      </c>
      <c r="CO119" s="584">
        <v>0</v>
      </c>
      <c r="CP119" s="584">
        <v>0</v>
      </c>
      <c r="CQ119" s="584">
        <v>0</v>
      </c>
      <c r="CR119" s="584">
        <v>0</v>
      </c>
      <c r="CS119" s="584">
        <v>0</v>
      </c>
      <c r="CT119" s="584">
        <v>0</v>
      </c>
      <c r="CU119" s="584">
        <v>0</v>
      </c>
      <c r="CV119" s="584">
        <v>0</v>
      </c>
      <c r="CW119" s="584">
        <v>0.97499999999999998</v>
      </c>
      <c r="CX119" s="584">
        <v>0</v>
      </c>
      <c r="CY119" s="584">
        <v>0.6</v>
      </c>
      <c r="CZ119" s="584">
        <v>228.68860000000001</v>
      </c>
      <c r="DA119" s="584">
        <v>45</v>
      </c>
      <c r="DB119" s="584">
        <v>374.63985000000002</v>
      </c>
      <c r="DC119" s="584">
        <v>94.5</v>
      </c>
      <c r="DD119" s="584">
        <v>455.68484999999998</v>
      </c>
      <c r="DE119" s="584">
        <v>198</v>
      </c>
      <c r="DF119" s="584">
        <v>0</v>
      </c>
      <c r="DG119" s="584">
        <v>0</v>
      </c>
      <c r="DH119" s="584">
        <v>0</v>
      </c>
      <c r="DI119" s="584">
        <v>0</v>
      </c>
      <c r="DJ119" s="584">
        <v>0</v>
      </c>
      <c r="DK119" s="584">
        <v>0</v>
      </c>
      <c r="DL119" s="584">
        <v>0</v>
      </c>
      <c r="DM119" s="584">
        <v>0</v>
      </c>
      <c r="DN119" s="584">
        <v>0</v>
      </c>
      <c r="DO119" s="584">
        <v>0</v>
      </c>
      <c r="DP119" s="584">
        <v>0</v>
      </c>
      <c r="DQ119" s="584">
        <v>0</v>
      </c>
      <c r="DR119" s="584">
        <v>0</v>
      </c>
      <c r="DS119" s="584">
        <v>0</v>
      </c>
      <c r="DT119" s="584">
        <v>0</v>
      </c>
      <c r="DU119" s="584">
        <v>0</v>
      </c>
      <c r="DV119" s="584">
        <v>0</v>
      </c>
      <c r="DW119" s="584">
        <v>0</v>
      </c>
      <c r="DX119" s="584">
        <v>0</v>
      </c>
      <c r="DY119" s="584">
        <v>0</v>
      </c>
      <c r="DZ119" s="584">
        <v>0</v>
      </c>
      <c r="EA119" s="1062">
        <v>0.8306</v>
      </c>
      <c r="EB119" s="1046">
        <v>0.35</v>
      </c>
      <c r="EC119" s="1093">
        <v>132.51783893985731</v>
      </c>
      <c r="ED119" s="1046">
        <v>0</v>
      </c>
      <c r="EE119" s="1046">
        <v>458.71559633027522</v>
      </c>
      <c r="EF119" s="1046">
        <v>29.658333333333335</v>
      </c>
      <c r="EG119" s="1046">
        <v>0</v>
      </c>
      <c r="EH119" s="1046">
        <v>0</v>
      </c>
      <c r="EI119" s="1046" t="s">
        <v>446</v>
      </c>
      <c r="EJ119" s="1046" t="s">
        <v>442</v>
      </c>
      <c r="EK119" s="1046">
        <v>0</v>
      </c>
      <c r="EL119" s="1046">
        <v>0</v>
      </c>
      <c r="EM119" s="1046">
        <v>0</v>
      </c>
      <c r="EN119" s="1046">
        <v>0</v>
      </c>
      <c r="EO119" s="1046">
        <v>0</v>
      </c>
      <c r="EP119" s="1094">
        <v>118.63706850000003</v>
      </c>
      <c r="EQ119" s="1094">
        <v>45</v>
      </c>
      <c r="ER119" s="1094">
        <v>237.27413700000005</v>
      </c>
      <c r="ES119" s="1095">
        <v>90</v>
      </c>
      <c r="ET119" s="1094">
        <v>474.54827400000011</v>
      </c>
      <c r="EU119" s="1094">
        <v>180</v>
      </c>
      <c r="EV119" s="1096">
        <v>0.61</v>
      </c>
      <c r="EW119" s="1097">
        <v>0.15</v>
      </c>
      <c r="EX119" s="1096">
        <v>289.50050968399592</v>
      </c>
      <c r="EY119" s="1096">
        <v>1.5443934760448521</v>
      </c>
      <c r="EZ119" s="1096">
        <v>0</v>
      </c>
      <c r="FA119" s="1096">
        <v>15.549999999999999</v>
      </c>
      <c r="FB119" s="1098">
        <v>0</v>
      </c>
      <c r="FC119" s="1098">
        <v>0</v>
      </c>
      <c r="FD119" s="1098" t="s">
        <v>448</v>
      </c>
      <c r="FE119" s="1098" t="s">
        <v>461</v>
      </c>
      <c r="FF119" s="1098">
        <v>1</v>
      </c>
      <c r="FG119" s="1098">
        <v>0</v>
      </c>
      <c r="FH119" s="1098">
        <v>0</v>
      </c>
      <c r="FI119" s="1098">
        <v>0</v>
      </c>
      <c r="FJ119" s="1098">
        <v>0</v>
      </c>
      <c r="FK119" s="1096">
        <v>65.118528000000012</v>
      </c>
      <c r="FL119" s="1096">
        <v>45</v>
      </c>
      <c r="FM119" s="1096">
        <v>130.23705600000002</v>
      </c>
      <c r="FN119" s="1096">
        <v>90</v>
      </c>
      <c r="FO119" s="1096">
        <v>260.47411200000005</v>
      </c>
      <c r="FP119" s="1099">
        <v>180</v>
      </c>
      <c r="FQ119" s="1064">
        <v>0.89382878474779204</v>
      </c>
      <c r="FR119" s="1065">
        <v>0.15</v>
      </c>
      <c r="FS119" s="1066">
        <v>289.50050968399586</v>
      </c>
      <c r="FT119" s="1066">
        <v>3.2237153637237084</v>
      </c>
      <c r="FU119" s="1065"/>
      <c r="FV119" s="1066">
        <v>41.176033891013944</v>
      </c>
      <c r="FW119" s="1065"/>
      <c r="FX119" s="1065"/>
      <c r="FY119" s="1065" t="s">
        <v>461</v>
      </c>
      <c r="FZ119" s="1065" t="s">
        <v>438</v>
      </c>
      <c r="GA119" s="1065">
        <v>1</v>
      </c>
      <c r="GB119" s="1065"/>
      <c r="GC119" s="1065"/>
      <c r="GD119" s="1065"/>
      <c r="GE119" s="1065"/>
      <c r="GF119" s="1066">
        <v>67.960107723401578</v>
      </c>
      <c r="GG119" s="1066">
        <v>45</v>
      </c>
      <c r="GH119" s="1066">
        <v>135.92021544680316</v>
      </c>
      <c r="GI119" s="1066">
        <v>90</v>
      </c>
      <c r="GJ119" s="1066">
        <v>271.84043089360631</v>
      </c>
      <c r="GK119" s="1066">
        <v>180</v>
      </c>
      <c r="GL119" s="584">
        <v>0.71760000000000002</v>
      </c>
      <c r="GM119" s="584">
        <v>0.11</v>
      </c>
      <c r="GN119" s="584"/>
      <c r="GO119" s="584"/>
      <c r="GP119" s="584"/>
      <c r="GQ119" s="584">
        <v>41.9166666666667</v>
      </c>
      <c r="GR119" s="584"/>
      <c r="GS119" s="584">
        <v>56.065239551478101</v>
      </c>
      <c r="GT119" s="584" t="s">
        <v>479</v>
      </c>
      <c r="GU119" s="584" t="s">
        <v>408</v>
      </c>
      <c r="GV119" s="584">
        <v>1</v>
      </c>
      <c r="GW119" s="584"/>
      <c r="GX119" s="584"/>
      <c r="GY119" s="584"/>
      <c r="GZ119" s="584"/>
      <c r="HA119" s="584">
        <v>26.301645000000001</v>
      </c>
      <c r="HB119" s="584">
        <v>45</v>
      </c>
      <c r="HC119" s="584">
        <v>52.603290000000001</v>
      </c>
      <c r="HD119" s="584">
        <v>90</v>
      </c>
      <c r="HE119" s="584">
        <v>105.20658</v>
      </c>
      <c r="HF119" s="584">
        <v>180</v>
      </c>
      <c r="HG119" s="1100">
        <v>1.03</v>
      </c>
      <c r="HH119" s="1100">
        <v>0.11</v>
      </c>
      <c r="HI119" s="1101">
        <v>0</v>
      </c>
      <c r="HJ119" s="1101">
        <v>0</v>
      </c>
      <c r="HK119" s="1101">
        <v>0</v>
      </c>
      <c r="HL119" s="1101">
        <v>0</v>
      </c>
      <c r="HM119" s="1101">
        <v>48.600000000000009</v>
      </c>
      <c r="HN119" s="1101">
        <v>54.999999999999993</v>
      </c>
      <c r="HO119" s="1101">
        <v>0</v>
      </c>
      <c r="HP119" s="1101">
        <v>0</v>
      </c>
      <c r="HQ119" s="1101">
        <v>1</v>
      </c>
      <c r="HR119" s="1101">
        <v>0.64</v>
      </c>
      <c r="HS119" s="1101">
        <v>0.92</v>
      </c>
      <c r="HT119" s="1101">
        <v>0.3</v>
      </c>
      <c r="HU119" s="1101">
        <v>0.3</v>
      </c>
      <c r="HV119" s="1101">
        <v>27.293688</v>
      </c>
      <c r="HW119" s="1101">
        <v>45</v>
      </c>
      <c r="HX119" s="1101">
        <v>54.587375999999999</v>
      </c>
      <c r="HY119" s="1101">
        <v>90</v>
      </c>
      <c r="HZ119" s="1101">
        <v>109.174752</v>
      </c>
      <c r="IA119" s="1101">
        <v>180</v>
      </c>
      <c r="IB119" s="1062"/>
      <c r="IC119" s="1092"/>
      <c r="ID119" s="1050"/>
      <c r="IE119" s="1050"/>
      <c r="IF119" s="1103"/>
      <c r="IG119" s="1103"/>
      <c r="IH119" s="1103"/>
      <c r="II119" s="1103"/>
      <c r="IJ119" s="1103"/>
      <c r="IK119" s="1103"/>
      <c r="IL119" s="1103"/>
      <c r="IM119" s="1050"/>
      <c r="IN119" s="1050"/>
      <c r="IO119" s="1050"/>
      <c r="IP119" s="1050"/>
      <c r="IQ119" s="1103"/>
      <c r="IR119" s="1103"/>
      <c r="IS119" s="1103"/>
      <c r="IT119" s="1103"/>
      <c r="IU119" s="1103"/>
      <c r="IV119" s="1103"/>
      <c r="JS119" s="1092"/>
      <c r="JU119" s="1050"/>
      <c r="JV119" s="1103"/>
      <c r="JW119" s="1103"/>
      <c r="JX119" s="1103"/>
      <c r="JY119" s="1103"/>
      <c r="JZ119" s="1103"/>
      <c r="KA119" s="1103"/>
      <c r="KB119" s="1103"/>
      <c r="KC119" s="1050"/>
      <c r="KD119" s="1050"/>
      <c r="KE119" s="1050"/>
      <c r="KF119" s="1050"/>
      <c r="KG119" s="1103"/>
      <c r="KH119" s="1103"/>
      <c r="KI119" s="1103"/>
      <c r="KJ119" s="1103"/>
      <c r="KK119" s="1103"/>
      <c r="KL119" s="1103"/>
      <c r="KM119" s="1103"/>
      <c r="KN119" s="1103"/>
    </row>
    <row r="120" spans="2:300">
      <c r="B120" s="1048" t="str">
        <f t="shared" si="4"/>
        <v>R613</v>
      </c>
      <c r="C120" s="1046">
        <v>6</v>
      </c>
      <c r="D120" s="1092">
        <v>13</v>
      </c>
      <c r="E120" s="584">
        <v>0.45</v>
      </c>
      <c r="F120" s="584">
        <v>0.45</v>
      </c>
      <c r="G120" s="584">
        <v>1080</v>
      </c>
      <c r="H120" s="584">
        <v>23.4</v>
      </c>
      <c r="I120" s="584">
        <v>0</v>
      </c>
      <c r="J120" s="584">
        <v>0</v>
      </c>
      <c r="K120" s="584">
        <v>0</v>
      </c>
      <c r="L120" s="584">
        <v>0</v>
      </c>
      <c r="M120" s="584">
        <v>0</v>
      </c>
      <c r="N120" s="584">
        <v>0</v>
      </c>
      <c r="O120" s="584">
        <v>0</v>
      </c>
      <c r="P120" s="584">
        <v>0</v>
      </c>
      <c r="Q120" s="584">
        <v>0</v>
      </c>
      <c r="R120" s="584">
        <v>0</v>
      </c>
      <c r="S120" s="584">
        <v>0</v>
      </c>
      <c r="T120" s="584">
        <v>357.7974375</v>
      </c>
      <c r="U120" s="584">
        <v>48.75</v>
      </c>
      <c r="V120" s="584">
        <v>662.98743750000006</v>
      </c>
      <c r="W120" s="584">
        <v>102.375</v>
      </c>
      <c r="X120" s="584">
        <v>1017.141</v>
      </c>
      <c r="Y120" s="584">
        <v>214.5</v>
      </c>
      <c r="Z120" s="584">
        <v>0.39</v>
      </c>
      <c r="AA120" s="584">
        <v>0.39</v>
      </c>
      <c r="AB120" s="584">
        <v>936</v>
      </c>
      <c r="AC120" s="584">
        <v>22</v>
      </c>
      <c r="AD120" s="584">
        <v>0</v>
      </c>
      <c r="AE120" s="584">
        <v>0</v>
      </c>
      <c r="AF120" s="584">
        <v>0</v>
      </c>
      <c r="AG120" s="584">
        <v>0</v>
      </c>
      <c r="AH120" s="584">
        <v>0</v>
      </c>
      <c r="AI120" s="584">
        <v>0</v>
      </c>
      <c r="AJ120" s="584">
        <v>0</v>
      </c>
      <c r="AK120" s="584">
        <v>0</v>
      </c>
      <c r="AL120" s="584">
        <v>0</v>
      </c>
      <c r="AM120" s="584">
        <v>0</v>
      </c>
      <c r="AN120" s="584">
        <v>0</v>
      </c>
      <c r="AO120" s="584">
        <v>325.63743749999998</v>
      </c>
      <c r="AP120" s="584">
        <v>48.75</v>
      </c>
      <c r="AQ120" s="584">
        <v>597.46743749999996</v>
      </c>
      <c r="AR120" s="584">
        <v>102.375</v>
      </c>
      <c r="AS120" s="584">
        <v>888.44100000000003</v>
      </c>
      <c r="AT120" s="584">
        <v>214.5</v>
      </c>
      <c r="AU120" s="584">
        <v>0.97499999999999998</v>
      </c>
      <c r="AV120" s="584">
        <v>0.25</v>
      </c>
      <c r="AW120" s="584">
        <v>519.24512104743098</v>
      </c>
      <c r="AX120" s="584">
        <v>17.6121541501976</v>
      </c>
      <c r="AY120" s="584">
        <v>0</v>
      </c>
      <c r="AZ120" s="584">
        <v>0</v>
      </c>
      <c r="BA120" s="584">
        <v>0</v>
      </c>
      <c r="BB120" s="584">
        <v>0</v>
      </c>
      <c r="BC120" s="584">
        <v>0</v>
      </c>
      <c r="BD120" s="584">
        <v>0</v>
      </c>
      <c r="BE120" s="584">
        <v>0</v>
      </c>
      <c r="BF120" s="584">
        <v>0</v>
      </c>
      <c r="BG120" s="584">
        <v>0.97499999999999998</v>
      </c>
      <c r="BH120" s="584">
        <v>0</v>
      </c>
      <c r="BI120" s="584">
        <v>0.3</v>
      </c>
      <c r="BJ120" s="584">
        <v>251.98162215909099</v>
      </c>
      <c r="BK120" s="584">
        <v>48.75</v>
      </c>
      <c r="BL120" s="584">
        <v>416.55945596590902</v>
      </c>
      <c r="BM120" s="584">
        <v>102.375</v>
      </c>
      <c r="BN120" s="584">
        <v>482.83501171875002</v>
      </c>
      <c r="BO120" s="584">
        <v>214.5</v>
      </c>
      <c r="BP120" s="584">
        <v>0</v>
      </c>
      <c r="BQ120" s="584">
        <v>0</v>
      </c>
      <c r="BR120" s="584">
        <v>0</v>
      </c>
      <c r="BS120" s="584">
        <v>0</v>
      </c>
      <c r="BT120" s="584">
        <v>0</v>
      </c>
      <c r="BU120" s="584">
        <v>0</v>
      </c>
      <c r="BV120" s="584">
        <v>0</v>
      </c>
      <c r="BW120" s="584">
        <v>0</v>
      </c>
      <c r="BX120" s="584">
        <v>0</v>
      </c>
      <c r="BY120" s="584">
        <v>0</v>
      </c>
      <c r="BZ120" s="584">
        <v>0</v>
      </c>
      <c r="CA120" s="584">
        <v>0</v>
      </c>
      <c r="CB120" s="584">
        <v>0</v>
      </c>
      <c r="CC120" s="584">
        <v>0</v>
      </c>
      <c r="CD120" s="584">
        <v>0</v>
      </c>
      <c r="CE120" s="584">
        <v>0</v>
      </c>
      <c r="CF120" s="584">
        <v>0</v>
      </c>
      <c r="CG120" s="584">
        <v>0</v>
      </c>
      <c r="CH120" s="584">
        <v>0</v>
      </c>
      <c r="CI120" s="584">
        <v>0</v>
      </c>
      <c r="CJ120" s="584">
        <v>0</v>
      </c>
      <c r="CK120" s="584">
        <v>0.97499999999999998</v>
      </c>
      <c r="CL120" s="584">
        <v>0.17</v>
      </c>
      <c r="CM120" s="584">
        <v>525.86116600790501</v>
      </c>
      <c r="CN120" s="584">
        <v>17.293058300395298</v>
      </c>
      <c r="CO120" s="584">
        <v>0</v>
      </c>
      <c r="CP120" s="584">
        <v>0</v>
      </c>
      <c r="CQ120" s="584">
        <v>0</v>
      </c>
      <c r="CR120" s="584">
        <v>0</v>
      </c>
      <c r="CS120" s="584">
        <v>0</v>
      </c>
      <c r="CT120" s="584">
        <v>0</v>
      </c>
      <c r="CU120" s="584">
        <v>0</v>
      </c>
      <c r="CV120" s="584">
        <v>0</v>
      </c>
      <c r="CW120" s="584">
        <v>0.97499999999999998</v>
      </c>
      <c r="CX120" s="584">
        <v>0</v>
      </c>
      <c r="CY120" s="584">
        <v>0.6</v>
      </c>
      <c r="CZ120" s="584">
        <v>258.14485000000002</v>
      </c>
      <c r="DA120" s="584">
        <v>48.75</v>
      </c>
      <c r="DB120" s="584">
        <v>425.50484999999998</v>
      </c>
      <c r="DC120" s="584">
        <v>102.375</v>
      </c>
      <c r="DD120" s="584">
        <v>493.07234999999997</v>
      </c>
      <c r="DE120" s="584">
        <v>214.5</v>
      </c>
      <c r="DF120" s="584">
        <v>0</v>
      </c>
      <c r="DG120" s="584">
        <v>0</v>
      </c>
      <c r="DH120" s="584">
        <v>0</v>
      </c>
      <c r="DI120" s="584">
        <v>0</v>
      </c>
      <c r="DJ120" s="584">
        <v>0</v>
      </c>
      <c r="DK120" s="584">
        <v>0</v>
      </c>
      <c r="DL120" s="584">
        <v>0</v>
      </c>
      <c r="DM120" s="584">
        <v>0</v>
      </c>
      <c r="DN120" s="584">
        <v>0</v>
      </c>
      <c r="DO120" s="584">
        <v>0</v>
      </c>
      <c r="DP120" s="584">
        <v>0</v>
      </c>
      <c r="DQ120" s="584">
        <v>0</v>
      </c>
      <c r="DR120" s="584">
        <v>0</v>
      </c>
      <c r="DS120" s="584">
        <v>0</v>
      </c>
      <c r="DT120" s="584">
        <v>0</v>
      </c>
      <c r="DU120" s="584">
        <v>0</v>
      </c>
      <c r="DV120" s="584">
        <v>0</v>
      </c>
      <c r="DW120" s="584">
        <v>0</v>
      </c>
      <c r="DX120" s="584">
        <v>0</v>
      </c>
      <c r="DY120" s="584">
        <v>0</v>
      </c>
      <c r="DZ120" s="584">
        <v>0</v>
      </c>
      <c r="EA120" s="1062">
        <v>0.89249999999999996</v>
      </c>
      <c r="EB120" s="1046">
        <v>0.35</v>
      </c>
      <c r="EC120" s="1093">
        <v>132.51783893985731</v>
      </c>
      <c r="ED120" s="1046">
        <v>0</v>
      </c>
      <c r="EE120" s="1046">
        <v>458.71559633027522</v>
      </c>
      <c r="EF120" s="1046">
        <v>32.661538461538463</v>
      </c>
      <c r="EG120" s="1046">
        <v>0</v>
      </c>
      <c r="EH120" s="1046">
        <v>0</v>
      </c>
      <c r="EI120" s="1046" t="s">
        <v>445</v>
      </c>
      <c r="EJ120" s="1046" t="s">
        <v>423</v>
      </c>
      <c r="EK120" s="1046">
        <v>0</v>
      </c>
      <c r="EL120" s="1046">
        <v>0</v>
      </c>
      <c r="EM120" s="1046">
        <v>0</v>
      </c>
      <c r="EN120" s="1046">
        <v>0</v>
      </c>
      <c r="EO120" s="1046">
        <v>0</v>
      </c>
      <c r="EP120" s="1094">
        <v>129.09798900000001</v>
      </c>
      <c r="EQ120" s="1094">
        <v>48.75</v>
      </c>
      <c r="ER120" s="1094">
        <v>258.19597800000003</v>
      </c>
      <c r="ES120" s="1095">
        <v>97.5</v>
      </c>
      <c r="ET120" s="1094">
        <v>516.39195600000005</v>
      </c>
      <c r="EU120" s="1094">
        <v>195</v>
      </c>
      <c r="EV120" s="1096">
        <v>0.6782999999999999</v>
      </c>
      <c r="EW120" s="1097">
        <v>0.15</v>
      </c>
      <c r="EX120" s="1096">
        <v>289.50050968399592</v>
      </c>
      <c r="EY120" s="1096">
        <v>1.5443934760448521</v>
      </c>
      <c r="EZ120" s="1096">
        <v>0</v>
      </c>
      <c r="FA120" s="1096">
        <v>20.007692307692309</v>
      </c>
      <c r="FB120" s="1098">
        <v>0</v>
      </c>
      <c r="FC120" s="1098">
        <v>0</v>
      </c>
      <c r="FD120" s="1098" t="s">
        <v>448</v>
      </c>
      <c r="FE120" s="1098" t="s">
        <v>432</v>
      </c>
      <c r="FF120" s="1098">
        <v>1</v>
      </c>
      <c r="FG120" s="1098">
        <v>0</v>
      </c>
      <c r="FH120" s="1098">
        <v>0</v>
      </c>
      <c r="FI120" s="1098">
        <v>0</v>
      </c>
      <c r="FJ120" s="1098">
        <v>0</v>
      </c>
      <c r="FK120" s="1096">
        <v>71.397806250000002</v>
      </c>
      <c r="FL120" s="1096">
        <v>48.75</v>
      </c>
      <c r="FM120" s="1096">
        <v>142.7956125</v>
      </c>
      <c r="FN120" s="1096">
        <v>97.5</v>
      </c>
      <c r="FO120" s="1096">
        <v>285.59122500000001</v>
      </c>
      <c r="FP120" s="1099">
        <v>195</v>
      </c>
      <c r="FQ120" s="1064">
        <v>1.0020981024599609</v>
      </c>
      <c r="FR120" s="1065">
        <v>0.15</v>
      </c>
      <c r="FS120" s="1066">
        <v>289.50050968399586</v>
      </c>
      <c r="FT120" s="1066">
        <v>3.2237153637237084</v>
      </c>
      <c r="FU120" s="1065"/>
      <c r="FV120" s="1066">
        <v>46.601551891736669</v>
      </c>
      <c r="FW120" s="1065"/>
      <c r="FX120" s="1065"/>
      <c r="FY120" s="1065" t="s">
        <v>461</v>
      </c>
      <c r="FZ120" s="1065" t="s">
        <v>416</v>
      </c>
      <c r="GA120" s="1065">
        <v>1</v>
      </c>
      <c r="GB120" s="1065"/>
      <c r="GC120" s="1065"/>
      <c r="GD120" s="1065"/>
      <c r="GE120" s="1065"/>
      <c r="GF120" s="1066">
        <v>74.661324499633281</v>
      </c>
      <c r="GG120" s="1066">
        <v>48.75</v>
      </c>
      <c r="GH120" s="1066">
        <v>149.32264899926656</v>
      </c>
      <c r="GI120" s="1066">
        <v>97.5</v>
      </c>
      <c r="GJ120" s="1066">
        <v>298.64529799853312</v>
      </c>
      <c r="GK120" s="1066">
        <v>195</v>
      </c>
      <c r="GL120" s="584">
        <v>0.78790000000000004</v>
      </c>
      <c r="GM120" s="584">
        <v>0.11</v>
      </c>
      <c r="GN120" s="584"/>
      <c r="GO120" s="584"/>
      <c r="GP120" s="584"/>
      <c r="GQ120" s="584">
        <v>45.756410256410298</v>
      </c>
      <c r="GR120" s="584"/>
      <c r="GS120" s="584">
        <v>56.065239551478101</v>
      </c>
      <c r="GT120" s="584" t="s">
        <v>461</v>
      </c>
      <c r="GU120" s="584" t="s">
        <v>396</v>
      </c>
      <c r="GV120" s="584">
        <v>1</v>
      </c>
      <c r="GW120" s="584"/>
      <c r="GX120" s="584"/>
      <c r="GY120" s="584"/>
      <c r="GZ120" s="584"/>
      <c r="HA120" s="584">
        <v>29.2279725</v>
      </c>
      <c r="HB120" s="584">
        <v>48.75</v>
      </c>
      <c r="HC120" s="584">
        <v>58.455945</v>
      </c>
      <c r="HD120" s="584">
        <v>97.5</v>
      </c>
      <c r="HE120" s="584">
        <v>116.91189</v>
      </c>
      <c r="HF120" s="584">
        <v>195</v>
      </c>
      <c r="HG120" s="1100">
        <v>1.1500000000000001</v>
      </c>
      <c r="HH120" s="1100">
        <v>0.11</v>
      </c>
      <c r="HI120" s="1101">
        <v>0</v>
      </c>
      <c r="HJ120" s="1101">
        <v>0</v>
      </c>
      <c r="HK120" s="1101">
        <v>0</v>
      </c>
      <c r="HL120" s="1101">
        <v>0</v>
      </c>
      <c r="HM120" s="1101">
        <v>50.741538461538461</v>
      </c>
      <c r="HN120" s="1101">
        <v>54.999999999999993</v>
      </c>
      <c r="HO120" s="1101">
        <v>0</v>
      </c>
      <c r="HP120" s="1101">
        <v>0</v>
      </c>
      <c r="HQ120" s="1101">
        <v>1</v>
      </c>
      <c r="HR120" s="1101">
        <v>0.68</v>
      </c>
      <c r="HS120" s="1101">
        <v>1.04</v>
      </c>
      <c r="HT120" s="1101">
        <v>0.3</v>
      </c>
      <c r="HU120" s="1101">
        <v>0.28000000000000003</v>
      </c>
      <c r="HV120" s="1101">
        <v>29.977827600000001</v>
      </c>
      <c r="HW120" s="1101">
        <v>48.75</v>
      </c>
      <c r="HX120" s="1101">
        <v>59.955655200000002</v>
      </c>
      <c r="HY120" s="1101">
        <v>97.5</v>
      </c>
      <c r="HZ120" s="1101">
        <v>119.9113104</v>
      </c>
      <c r="IA120" s="1101">
        <v>195</v>
      </c>
      <c r="IB120" s="1062"/>
      <c r="IC120" s="1092"/>
      <c r="ID120" s="1050"/>
      <c r="IE120" s="1050"/>
      <c r="IF120" s="1103"/>
      <c r="IG120" s="1103"/>
      <c r="IH120" s="1103"/>
      <c r="II120" s="1103"/>
      <c r="IJ120" s="1103"/>
      <c r="IK120" s="1103"/>
      <c r="IL120" s="1103"/>
      <c r="IM120" s="1050"/>
      <c r="IN120" s="1050"/>
      <c r="IO120" s="1050"/>
      <c r="IP120" s="1050"/>
      <c r="IQ120" s="1103"/>
      <c r="IR120" s="1103"/>
      <c r="IS120" s="1103"/>
      <c r="IT120" s="1103"/>
      <c r="IU120" s="1103"/>
      <c r="IV120" s="1103"/>
      <c r="JS120" s="1092"/>
      <c r="JU120" s="1050"/>
      <c r="JV120" s="1103"/>
      <c r="JW120" s="1103"/>
      <c r="JX120" s="1103"/>
      <c r="JY120" s="1103"/>
      <c r="JZ120" s="1103"/>
      <c r="KA120" s="1103"/>
      <c r="KB120" s="1103"/>
      <c r="KC120" s="1050"/>
      <c r="KD120" s="1050"/>
      <c r="KE120" s="1050"/>
      <c r="KF120" s="1050"/>
      <c r="KG120" s="1103"/>
      <c r="KH120" s="1103"/>
      <c r="KI120" s="1103"/>
      <c r="KJ120" s="1103"/>
      <c r="KK120" s="1103"/>
      <c r="KL120" s="1103"/>
      <c r="KM120" s="1103"/>
      <c r="KN120" s="1103"/>
    </row>
    <row r="121" spans="2:300">
      <c r="B121" s="1048" t="str">
        <f t="shared" si="4"/>
        <v>R614</v>
      </c>
      <c r="C121" s="1046">
        <v>6</v>
      </c>
      <c r="D121" s="1092">
        <v>14</v>
      </c>
      <c r="E121" s="584">
        <v>0</v>
      </c>
      <c r="F121" s="584">
        <v>0</v>
      </c>
      <c r="G121" s="584">
        <v>0</v>
      </c>
      <c r="H121" s="584">
        <v>0</v>
      </c>
      <c r="I121" s="584">
        <v>0</v>
      </c>
      <c r="J121" s="584">
        <v>0</v>
      </c>
      <c r="K121" s="584">
        <v>0</v>
      </c>
      <c r="L121" s="584">
        <v>0</v>
      </c>
      <c r="M121" s="584">
        <v>0</v>
      </c>
      <c r="N121" s="584">
        <v>0</v>
      </c>
      <c r="O121" s="584">
        <v>0</v>
      </c>
      <c r="P121" s="584">
        <v>0</v>
      </c>
      <c r="Q121" s="584">
        <v>0</v>
      </c>
      <c r="R121" s="584">
        <v>0</v>
      </c>
      <c r="S121" s="584">
        <v>0</v>
      </c>
      <c r="T121" s="584">
        <v>0</v>
      </c>
      <c r="U121" s="584">
        <v>0</v>
      </c>
      <c r="V121" s="584">
        <v>0</v>
      </c>
      <c r="W121" s="584">
        <v>0</v>
      </c>
      <c r="X121" s="584">
        <v>0</v>
      </c>
      <c r="Y121" s="584">
        <v>0</v>
      </c>
      <c r="Z121" s="584">
        <v>0</v>
      </c>
      <c r="AA121" s="584">
        <v>0</v>
      </c>
      <c r="AB121" s="584">
        <v>0</v>
      </c>
      <c r="AC121" s="584">
        <v>0</v>
      </c>
      <c r="AD121" s="584">
        <v>0</v>
      </c>
      <c r="AE121" s="584">
        <v>0</v>
      </c>
      <c r="AF121" s="584">
        <v>0</v>
      </c>
      <c r="AG121" s="584">
        <v>0</v>
      </c>
      <c r="AH121" s="584">
        <v>0</v>
      </c>
      <c r="AI121" s="584">
        <v>0</v>
      </c>
      <c r="AJ121" s="584">
        <v>0</v>
      </c>
      <c r="AK121" s="584">
        <v>0</v>
      </c>
      <c r="AL121" s="584">
        <v>0</v>
      </c>
      <c r="AM121" s="584">
        <v>0</v>
      </c>
      <c r="AN121" s="584">
        <v>0</v>
      </c>
      <c r="AO121" s="584">
        <v>0</v>
      </c>
      <c r="AP121" s="584">
        <v>0</v>
      </c>
      <c r="AQ121" s="584">
        <v>0</v>
      </c>
      <c r="AR121" s="584">
        <v>0</v>
      </c>
      <c r="AS121" s="584">
        <v>0</v>
      </c>
      <c r="AT121" s="584">
        <v>0</v>
      </c>
      <c r="AU121" s="584">
        <v>0</v>
      </c>
      <c r="AV121" s="584">
        <v>0</v>
      </c>
      <c r="AW121" s="584">
        <v>0</v>
      </c>
      <c r="AX121" s="584">
        <v>0</v>
      </c>
      <c r="AY121" s="584">
        <v>0</v>
      </c>
      <c r="AZ121" s="584">
        <v>0</v>
      </c>
      <c r="BA121" s="584">
        <v>0</v>
      </c>
      <c r="BB121" s="584">
        <v>0</v>
      </c>
      <c r="BC121" s="584">
        <v>0</v>
      </c>
      <c r="BD121" s="584">
        <v>0</v>
      </c>
      <c r="BE121" s="584">
        <v>0</v>
      </c>
      <c r="BF121" s="584">
        <v>0</v>
      </c>
      <c r="BG121" s="584">
        <v>0</v>
      </c>
      <c r="BH121" s="584">
        <v>0</v>
      </c>
      <c r="BI121" s="584">
        <v>0</v>
      </c>
      <c r="BJ121" s="584">
        <v>0</v>
      </c>
      <c r="BK121" s="584">
        <v>0</v>
      </c>
      <c r="BL121" s="584">
        <v>0</v>
      </c>
      <c r="BM121" s="584">
        <v>0</v>
      </c>
      <c r="BN121" s="584">
        <v>0</v>
      </c>
      <c r="BO121" s="584">
        <v>0</v>
      </c>
      <c r="BP121" s="584">
        <v>0</v>
      </c>
      <c r="BQ121" s="584">
        <v>0</v>
      </c>
      <c r="BR121" s="584">
        <v>0</v>
      </c>
      <c r="BS121" s="584">
        <v>0</v>
      </c>
      <c r="BT121" s="584">
        <v>0</v>
      </c>
      <c r="BU121" s="584">
        <v>0</v>
      </c>
      <c r="BV121" s="584">
        <v>0</v>
      </c>
      <c r="BW121" s="584">
        <v>0</v>
      </c>
      <c r="BX121" s="584">
        <v>0</v>
      </c>
      <c r="BY121" s="584">
        <v>0</v>
      </c>
      <c r="BZ121" s="584">
        <v>0</v>
      </c>
      <c r="CA121" s="584">
        <v>0</v>
      </c>
      <c r="CB121" s="584">
        <v>0</v>
      </c>
      <c r="CC121" s="584">
        <v>0</v>
      </c>
      <c r="CD121" s="584">
        <v>0</v>
      </c>
      <c r="CE121" s="584">
        <v>0</v>
      </c>
      <c r="CF121" s="584">
        <v>0</v>
      </c>
      <c r="CG121" s="584">
        <v>0</v>
      </c>
      <c r="CH121" s="584">
        <v>0</v>
      </c>
      <c r="CI121" s="584">
        <v>0</v>
      </c>
      <c r="CJ121" s="584">
        <v>0</v>
      </c>
      <c r="CK121" s="584">
        <v>0</v>
      </c>
      <c r="CL121" s="584">
        <v>0</v>
      </c>
      <c r="CM121" s="584">
        <v>0</v>
      </c>
      <c r="CN121" s="584">
        <v>0</v>
      </c>
      <c r="CO121" s="584">
        <v>0</v>
      </c>
      <c r="CP121" s="584">
        <v>0</v>
      </c>
      <c r="CQ121" s="584">
        <v>0</v>
      </c>
      <c r="CR121" s="584">
        <v>0</v>
      </c>
      <c r="CS121" s="584">
        <v>0</v>
      </c>
      <c r="CT121" s="584">
        <v>0</v>
      </c>
      <c r="CU121" s="584">
        <v>0</v>
      </c>
      <c r="CV121" s="584">
        <v>0</v>
      </c>
      <c r="CW121" s="584">
        <v>0</v>
      </c>
      <c r="CX121" s="584">
        <v>0</v>
      </c>
      <c r="CY121" s="584">
        <v>0</v>
      </c>
      <c r="CZ121" s="584">
        <v>0</v>
      </c>
      <c r="DA121" s="584">
        <v>0</v>
      </c>
      <c r="DB121" s="584">
        <v>0</v>
      </c>
      <c r="DC121" s="584">
        <v>0</v>
      </c>
      <c r="DD121" s="584">
        <v>0</v>
      </c>
      <c r="DE121" s="584">
        <v>0</v>
      </c>
      <c r="DF121" s="584">
        <v>0</v>
      </c>
      <c r="DG121" s="584">
        <v>0</v>
      </c>
      <c r="DH121" s="584">
        <v>0</v>
      </c>
      <c r="DI121" s="584">
        <v>0</v>
      </c>
      <c r="DJ121" s="584">
        <v>0</v>
      </c>
      <c r="DK121" s="584">
        <v>0</v>
      </c>
      <c r="DL121" s="584">
        <v>0</v>
      </c>
      <c r="DM121" s="584">
        <v>0</v>
      </c>
      <c r="DN121" s="584">
        <v>0</v>
      </c>
      <c r="DO121" s="584">
        <v>0</v>
      </c>
      <c r="DP121" s="584">
        <v>0</v>
      </c>
      <c r="DQ121" s="584">
        <v>0</v>
      </c>
      <c r="DR121" s="584">
        <v>0</v>
      </c>
      <c r="DS121" s="584">
        <v>0</v>
      </c>
      <c r="DT121" s="584">
        <v>0</v>
      </c>
      <c r="DU121" s="584">
        <v>0</v>
      </c>
      <c r="DV121" s="584">
        <v>0</v>
      </c>
      <c r="DW121" s="584">
        <v>0</v>
      </c>
      <c r="DX121" s="584">
        <v>0</v>
      </c>
      <c r="DY121" s="584">
        <v>0</v>
      </c>
      <c r="DZ121" s="584">
        <v>0</v>
      </c>
      <c r="EA121" s="1062">
        <v>0.96029999999999993</v>
      </c>
      <c r="EB121" s="1046">
        <v>0.4</v>
      </c>
      <c r="EC121" s="1093">
        <v>132.51783893985737</v>
      </c>
      <c r="ED121" s="1046">
        <v>0</v>
      </c>
      <c r="EE121" s="1046">
        <v>519.87767584097855</v>
      </c>
      <c r="EF121" s="1046">
        <v>45.988095238095241</v>
      </c>
      <c r="EG121" s="1046">
        <v>0</v>
      </c>
      <c r="EH121" s="1046">
        <v>0</v>
      </c>
      <c r="EI121" s="1046" t="s">
        <v>442</v>
      </c>
      <c r="EJ121" s="1046" t="s">
        <v>420</v>
      </c>
      <c r="EK121" s="1046">
        <v>0</v>
      </c>
      <c r="EL121" s="1046">
        <v>0</v>
      </c>
      <c r="EM121" s="1046">
        <v>0</v>
      </c>
      <c r="EN121" s="1046">
        <v>0</v>
      </c>
      <c r="EO121" s="1046">
        <v>0</v>
      </c>
      <c r="EP121" s="1094">
        <v>154.37400750000003</v>
      </c>
      <c r="EQ121" s="1094">
        <v>52.5</v>
      </c>
      <c r="ER121" s="1094">
        <v>308.74801500000007</v>
      </c>
      <c r="ES121" s="1095">
        <v>105</v>
      </c>
      <c r="ET121" s="1094">
        <v>617.49603000000013</v>
      </c>
      <c r="EU121" s="1094">
        <v>210</v>
      </c>
      <c r="EV121" s="1096">
        <v>0.75260000000000005</v>
      </c>
      <c r="EW121" s="1097">
        <v>0.15</v>
      </c>
      <c r="EX121" s="1096">
        <v>289.50050968399592</v>
      </c>
      <c r="EY121" s="1096">
        <v>1.5443934760448521</v>
      </c>
      <c r="EZ121" s="1096">
        <v>0</v>
      </c>
      <c r="FA121" s="1096">
        <v>23.245238095238093</v>
      </c>
      <c r="FB121" s="1098">
        <v>0</v>
      </c>
      <c r="FC121" s="1098">
        <v>0</v>
      </c>
      <c r="FD121" s="1098" t="s">
        <v>446</v>
      </c>
      <c r="FE121" s="1098" t="s">
        <v>410</v>
      </c>
      <c r="FF121" s="1098">
        <v>1</v>
      </c>
      <c r="FG121" s="1098">
        <v>0</v>
      </c>
      <c r="FH121" s="1098">
        <v>0</v>
      </c>
      <c r="FI121" s="1098">
        <v>0</v>
      </c>
      <c r="FJ121" s="1098">
        <v>0</v>
      </c>
      <c r="FK121" s="1096">
        <v>77.556911999999997</v>
      </c>
      <c r="FL121" s="1096">
        <v>52.5</v>
      </c>
      <c r="FM121" s="1096">
        <v>155.11382399999999</v>
      </c>
      <c r="FN121" s="1096">
        <v>105</v>
      </c>
      <c r="FO121" s="1096">
        <v>310.22764799999999</v>
      </c>
      <c r="FP121" s="1099">
        <v>210</v>
      </c>
      <c r="FQ121" s="1064">
        <v>1.0064981024599609</v>
      </c>
      <c r="FR121" s="1065">
        <v>0.15</v>
      </c>
      <c r="FS121" s="1066">
        <v>289.50050968399586</v>
      </c>
      <c r="FT121" s="1066">
        <v>3.2237153637237084</v>
      </c>
      <c r="FU121" s="1065"/>
      <c r="FV121" s="1066">
        <v>50.535757903627278</v>
      </c>
      <c r="FW121" s="1065"/>
      <c r="FX121" s="1065"/>
      <c r="FY121" s="1065" t="s">
        <v>467</v>
      </c>
      <c r="FZ121" s="1065" t="s">
        <v>1102</v>
      </c>
      <c r="GA121" s="1065">
        <v>1</v>
      </c>
      <c r="GB121" s="1065"/>
      <c r="GC121" s="1065"/>
      <c r="GD121" s="1065"/>
      <c r="GE121" s="1065"/>
      <c r="GF121" s="1066">
        <v>81.21498908780697</v>
      </c>
      <c r="GG121" s="1066">
        <v>52.5</v>
      </c>
      <c r="GH121" s="1066">
        <v>162.42997817561394</v>
      </c>
      <c r="GI121" s="1066">
        <v>105</v>
      </c>
      <c r="GJ121" s="1066">
        <v>324.85995635122788</v>
      </c>
      <c r="GK121" s="1066">
        <v>210</v>
      </c>
      <c r="GL121" s="584">
        <v>0.86</v>
      </c>
      <c r="GM121" s="584">
        <v>0.11</v>
      </c>
      <c r="GN121" s="584"/>
      <c r="GO121" s="584"/>
      <c r="GP121" s="584"/>
      <c r="GQ121" s="584">
        <v>48.369047619047599</v>
      </c>
      <c r="GR121" s="584"/>
      <c r="GS121" s="584">
        <v>56.065239551478101</v>
      </c>
      <c r="GT121" s="584" t="s">
        <v>461</v>
      </c>
      <c r="GU121" s="584" t="s">
        <v>389</v>
      </c>
      <c r="GV121" s="584">
        <v>1</v>
      </c>
      <c r="GW121" s="584"/>
      <c r="GX121" s="584"/>
      <c r="GY121" s="584"/>
      <c r="GZ121" s="584"/>
      <c r="HA121" s="584">
        <v>32.014507500000001</v>
      </c>
      <c r="HB121" s="584">
        <v>52.5</v>
      </c>
      <c r="HC121" s="584">
        <v>64.029015000000001</v>
      </c>
      <c r="HD121" s="584">
        <v>105</v>
      </c>
      <c r="HE121" s="584">
        <v>128.05803</v>
      </c>
      <c r="HF121" s="584">
        <v>210</v>
      </c>
      <c r="HG121" s="1100">
        <v>1.27</v>
      </c>
      <c r="HH121" s="1100">
        <v>0.11</v>
      </c>
      <c r="HI121" s="1101">
        <v>0</v>
      </c>
      <c r="HJ121" s="1101">
        <v>0</v>
      </c>
      <c r="HK121" s="1101">
        <v>0</v>
      </c>
      <c r="HL121" s="1101">
        <v>0</v>
      </c>
      <c r="HM121" s="1101">
        <v>55.199999999999989</v>
      </c>
      <c r="HN121" s="1101">
        <v>54.999999999999993</v>
      </c>
      <c r="HO121" s="1101">
        <v>0</v>
      </c>
      <c r="HP121" s="1101">
        <v>0</v>
      </c>
      <c r="HQ121" s="1101">
        <v>1</v>
      </c>
      <c r="HR121" s="1101">
        <v>0.72</v>
      </c>
      <c r="HS121" s="1101">
        <v>1.1599999999999999</v>
      </c>
      <c r="HT121" s="1101">
        <v>0.28000000000000003</v>
      </c>
      <c r="HU121" s="1101">
        <v>0.28000000000000003</v>
      </c>
      <c r="HV121" s="1101">
        <v>33.202301999999996</v>
      </c>
      <c r="HW121" s="1101">
        <v>52.5</v>
      </c>
      <c r="HX121" s="1101">
        <v>66.404603999999992</v>
      </c>
      <c r="HY121" s="1101">
        <v>105</v>
      </c>
      <c r="HZ121" s="1101">
        <v>132.80920799999998</v>
      </c>
      <c r="IA121" s="1101">
        <v>210</v>
      </c>
      <c r="IB121" s="1062"/>
      <c r="IC121" s="1092"/>
      <c r="ID121" s="1050"/>
      <c r="IE121" s="1050"/>
      <c r="IF121" s="1103"/>
      <c r="IG121" s="1103"/>
      <c r="IH121" s="1103"/>
      <c r="II121" s="1103"/>
      <c r="IJ121" s="1103"/>
      <c r="IK121" s="1103"/>
      <c r="IL121" s="1103"/>
      <c r="IM121" s="1050"/>
      <c r="IN121" s="1050"/>
      <c r="IO121" s="1050"/>
      <c r="IP121" s="1050"/>
      <c r="IQ121" s="1103"/>
      <c r="IR121" s="1103"/>
      <c r="IS121" s="1103"/>
      <c r="IT121" s="1103"/>
      <c r="IU121" s="1103"/>
      <c r="IV121" s="1103"/>
      <c r="JS121" s="1092"/>
      <c r="JU121" s="1050"/>
      <c r="JV121" s="1103"/>
      <c r="JW121" s="1103"/>
      <c r="JX121" s="1103"/>
      <c r="JY121" s="1103"/>
      <c r="JZ121" s="1103"/>
      <c r="KA121" s="1103"/>
      <c r="KB121" s="1103"/>
      <c r="KC121" s="1050"/>
      <c r="KD121" s="1050"/>
      <c r="KE121" s="1050"/>
      <c r="KF121" s="1050"/>
      <c r="KG121" s="1103"/>
      <c r="KH121" s="1103"/>
      <c r="KI121" s="1103"/>
      <c r="KJ121" s="1103"/>
      <c r="KK121" s="1103"/>
      <c r="KL121" s="1103"/>
      <c r="KM121" s="1103"/>
      <c r="KN121" s="1103"/>
    </row>
    <row r="122" spans="2:300">
      <c r="B122" s="1048" t="str">
        <f t="shared" si="4"/>
        <v>R615</v>
      </c>
      <c r="C122" s="1046">
        <v>6</v>
      </c>
      <c r="D122" s="1092">
        <v>15</v>
      </c>
      <c r="E122" s="584">
        <v>0</v>
      </c>
      <c r="F122" s="584">
        <v>0</v>
      </c>
      <c r="G122" s="584">
        <v>0</v>
      </c>
      <c r="H122" s="584">
        <v>0</v>
      </c>
      <c r="I122" s="584">
        <v>0</v>
      </c>
      <c r="J122" s="584">
        <v>0</v>
      </c>
      <c r="K122" s="584">
        <v>0</v>
      </c>
      <c r="L122" s="584">
        <v>0</v>
      </c>
      <c r="M122" s="584">
        <v>0</v>
      </c>
      <c r="N122" s="584">
        <v>0</v>
      </c>
      <c r="O122" s="584">
        <v>0</v>
      </c>
      <c r="P122" s="584">
        <v>0</v>
      </c>
      <c r="Q122" s="584">
        <v>0</v>
      </c>
      <c r="R122" s="584">
        <v>0</v>
      </c>
      <c r="S122" s="584">
        <v>0</v>
      </c>
      <c r="T122" s="584">
        <v>0</v>
      </c>
      <c r="U122" s="584">
        <v>0</v>
      </c>
      <c r="V122" s="584">
        <v>0</v>
      </c>
      <c r="W122" s="584">
        <v>0</v>
      </c>
      <c r="X122" s="584">
        <v>0</v>
      </c>
      <c r="Y122" s="584">
        <v>0</v>
      </c>
      <c r="Z122" s="584">
        <v>0</v>
      </c>
      <c r="AA122" s="584">
        <v>0</v>
      </c>
      <c r="AB122" s="584">
        <v>0</v>
      </c>
      <c r="AC122" s="584">
        <v>0</v>
      </c>
      <c r="AD122" s="584">
        <v>0</v>
      </c>
      <c r="AE122" s="584">
        <v>0</v>
      </c>
      <c r="AF122" s="584">
        <v>0</v>
      </c>
      <c r="AG122" s="584">
        <v>0</v>
      </c>
      <c r="AH122" s="584">
        <v>0</v>
      </c>
      <c r="AI122" s="584">
        <v>0</v>
      </c>
      <c r="AJ122" s="584">
        <v>0</v>
      </c>
      <c r="AK122" s="584">
        <v>0</v>
      </c>
      <c r="AL122" s="584">
        <v>0</v>
      </c>
      <c r="AM122" s="584">
        <v>0</v>
      </c>
      <c r="AN122" s="584">
        <v>0</v>
      </c>
      <c r="AO122" s="584">
        <v>0</v>
      </c>
      <c r="AP122" s="584">
        <v>0</v>
      </c>
      <c r="AQ122" s="584">
        <v>0</v>
      </c>
      <c r="AR122" s="584">
        <v>0</v>
      </c>
      <c r="AS122" s="584">
        <v>0</v>
      </c>
      <c r="AT122" s="584">
        <v>0</v>
      </c>
      <c r="AU122" s="584">
        <v>0</v>
      </c>
      <c r="AV122" s="584">
        <v>0</v>
      </c>
      <c r="AW122" s="584">
        <v>0</v>
      </c>
      <c r="AX122" s="584">
        <v>0</v>
      </c>
      <c r="AY122" s="584">
        <v>0</v>
      </c>
      <c r="AZ122" s="584">
        <v>0</v>
      </c>
      <c r="BA122" s="584">
        <v>0</v>
      </c>
      <c r="BB122" s="584">
        <v>0</v>
      </c>
      <c r="BC122" s="584">
        <v>0</v>
      </c>
      <c r="BD122" s="584">
        <v>0</v>
      </c>
      <c r="BE122" s="584">
        <v>0</v>
      </c>
      <c r="BF122" s="584">
        <v>0</v>
      </c>
      <c r="BG122" s="584">
        <v>0</v>
      </c>
      <c r="BH122" s="584">
        <v>0</v>
      </c>
      <c r="BI122" s="584">
        <v>0</v>
      </c>
      <c r="BJ122" s="584">
        <v>0</v>
      </c>
      <c r="BK122" s="584">
        <v>0</v>
      </c>
      <c r="BL122" s="584">
        <v>0</v>
      </c>
      <c r="BM122" s="584">
        <v>0</v>
      </c>
      <c r="BN122" s="584">
        <v>0</v>
      </c>
      <c r="BO122" s="584">
        <v>0</v>
      </c>
      <c r="BP122" s="584">
        <v>0</v>
      </c>
      <c r="BQ122" s="584">
        <v>0</v>
      </c>
      <c r="BR122" s="584">
        <v>0</v>
      </c>
      <c r="BS122" s="584">
        <v>0</v>
      </c>
      <c r="BT122" s="584">
        <v>0</v>
      </c>
      <c r="BU122" s="584">
        <v>0</v>
      </c>
      <c r="BV122" s="584">
        <v>0</v>
      </c>
      <c r="BW122" s="584">
        <v>0</v>
      </c>
      <c r="BX122" s="584">
        <v>0</v>
      </c>
      <c r="BY122" s="584">
        <v>0</v>
      </c>
      <c r="BZ122" s="584">
        <v>0</v>
      </c>
      <c r="CA122" s="584">
        <v>0</v>
      </c>
      <c r="CB122" s="584">
        <v>0</v>
      </c>
      <c r="CC122" s="584">
        <v>0</v>
      </c>
      <c r="CD122" s="584">
        <v>0</v>
      </c>
      <c r="CE122" s="584">
        <v>0</v>
      </c>
      <c r="CF122" s="584">
        <v>0</v>
      </c>
      <c r="CG122" s="584">
        <v>0</v>
      </c>
      <c r="CH122" s="584">
        <v>0</v>
      </c>
      <c r="CI122" s="584">
        <v>0</v>
      </c>
      <c r="CJ122" s="584">
        <v>0</v>
      </c>
      <c r="CK122" s="584">
        <v>0</v>
      </c>
      <c r="CL122" s="584">
        <v>0</v>
      </c>
      <c r="CM122" s="584">
        <v>0</v>
      </c>
      <c r="CN122" s="584">
        <v>0</v>
      </c>
      <c r="CO122" s="584">
        <v>0</v>
      </c>
      <c r="CP122" s="584">
        <v>0</v>
      </c>
      <c r="CQ122" s="584">
        <v>0</v>
      </c>
      <c r="CR122" s="584">
        <v>0</v>
      </c>
      <c r="CS122" s="584">
        <v>0</v>
      </c>
      <c r="CT122" s="584">
        <v>0</v>
      </c>
      <c r="CU122" s="584">
        <v>0</v>
      </c>
      <c r="CV122" s="584">
        <v>0</v>
      </c>
      <c r="CW122" s="584">
        <v>0</v>
      </c>
      <c r="CX122" s="584">
        <v>0</v>
      </c>
      <c r="CY122" s="584">
        <v>0</v>
      </c>
      <c r="CZ122" s="584">
        <v>0</v>
      </c>
      <c r="DA122" s="584">
        <v>0</v>
      </c>
      <c r="DB122" s="584">
        <v>0</v>
      </c>
      <c r="DC122" s="584">
        <v>0</v>
      </c>
      <c r="DD122" s="584">
        <v>0</v>
      </c>
      <c r="DE122" s="584">
        <v>0</v>
      </c>
      <c r="DF122" s="584">
        <v>0</v>
      </c>
      <c r="DG122" s="584">
        <v>0</v>
      </c>
      <c r="DH122" s="584">
        <v>0</v>
      </c>
      <c r="DI122" s="584">
        <v>0</v>
      </c>
      <c r="DJ122" s="584">
        <v>0</v>
      </c>
      <c r="DK122" s="584">
        <v>0</v>
      </c>
      <c r="DL122" s="584">
        <v>0</v>
      </c>
      <c r="DM122" s="584">
        <v>0</v>
      </c>
      <c r="DN122" s="584">
        <v>0</v>
      </c>
      <c r="DO122" s="584">
        <v>0</v>
      </c>
      <c r="DP122" s="584">
        <v>0</v>
      </c>
      <c r="DQ122" s="584">
        <v>0</v>
      </c>
      <c r="DR122" s="584">
        <v>0</v>
      </c>
      <c r="DS122" s="584">
        <v>0</v>
      </c>
      <c r="DT122" s="584">
        <v>0</v>
      </c>
      <c r="DU122" s="584">
        <v>0</v>
      </c>
      <c r="DV122" s="584">
        <v>0</v>
      </c>
      <c r="DW122" s="584">
        <v>0</v>
      </c>
      <c r="DX122" s="584">
        <v>0</v>
      </c>
      <c r="DY122" s="584">
        <v>0</v>
      </c>
      <c r="DZ122" s="584">
        <v>0</v>
      </c>
      <c r="EA122" s="1062">
        <v>1.0270999999999999</v>
      </c>
      <c r="EB122" s="1046">
        <v>0.45</v>
      </c>
      <c r="EC122" s="1093">
        <v>132.51783893985726</v>
      </c>
      <c r="ED122" s="1046">
        <v>0</v>
      </c>
      <c r="EE122" s="1046">
        <v>581.03975535168195</v>
      </c>
      <c r="EF122" s="1046">
        <v>54.436666666666667</v>
      </c>
      <c r="EG122" s="1046">
        <v>0</v>
      </c>
      <c r="EH122" s="1046">
        <v>0</v>
      </c>
      <c r="EI122" s="1046" t="s">
        <v>442</v>
      </c>
      <c r="EJ122" s="1046" t="s">
        <v>418</v>
      </c>
      <c r="EK122" s="1046">
        <v>0</v>
      </c>
      <c r="EL122" s="1046">
        <v>0</v>
      </c>
      <c r="EM122" s="1046">
        <v>0</v>
      </c>
      <c r="EN122" s="1046">
        <v>0</v>
      </c>
      <c r="EO122" s="1046">
        <v>0</v>
      </c>
      <c r="EP122" s="1094">
        <v>180.76553325</v>
      </c>
      <c r="EQ122" s="1094">
        <v>56.25</v>
      </c>
      <c r="ER122" s="1094">
        <v>361.53106650000001</v>
      </c>
      <c r="ES122" s="1095">
        <v>112.5</v>
      </c>
      <c r="ET122" s="1094">
        <v>723.06213300000002</v>
      </c>
      <c r="EU122" s="1094">
        <v>225</v>
      </c>
      <c r="EV122" s="1096">
        <v>0.75260000000000005</v>
      </c>
      <c r="EW122" s="1097">
        <v>0.15</v>
      </c>
      <c r="EX122" s="1096">
        <v>289.50050968399592</v>
      </c>
      <c r="EY122" s="1096">
        <v>1.5443934760448521</v>
      </c>
      <c r="EZ122" s="1096">
        <v>0</v>
      </c>
      <c r="FA122" s="1096">
        <v>23.006666666666664</v>
      </c>
      <c r="FB122" s="1098">
        <v>0</v>
      </c>
      <c r="FC122" s="1098">
        <v>0</v>
      </c>
      <c r="FD122" s="1098" t="s">
        <v>430</v>
      </c>
      <c r="FE122" s="1098" t="s">
        <v>410</v>
      </c>
      <c r="FF122" s="1098">
        <v>1</v>
      </c>
      <c r="FG122" s="1098">
        <v>0</v>
      </c>
      <c r="FH122" s="1098">
        <v>0</v>
      </c>
      <c r="FI122" s="1098">
        <v>0</v>
      </c>
      <c r="FJ122" s="1098">
        <v>0</v>
      </c>
      <c r="FK122" s="1096">
        <v>83.044032750000014</v>
      </c>
      <c r="FL122" s="1096">
        <v>56.25</v>
      </c>
      <c r="FM122" s="1096">
        <v>166.08806550000003</v>
      </c>
      <c r="FN122" s="1096">
        <v>112.5</v>
      </c>
      <c r="FO122" s="1096">
        <v>332.17613100000005</v>
      </c>
      <c r="FP122" s="1099">
        <v>225</v>
      </c>
      <c r="FQ122" s="1064">
        <v>1.0110981024599608</v>
      </c>
      <c r="FR122" s="1065">
        <v>0.15</v>
      </c>
      <c r="FS122" s="1066">
        <v>289.50050968399586</v>
      </c>
      <c r="FT122" s="1066">
        <v>3.2237153637237084</v>
      </c>
      <c r="FU122" s="1065"/>
      <c r="FV122" s="1066">
        <v>57.868105221813224</v>
      </c>
      <c r="FW122" s="1065"/>
      <c r="FX122" s="1065"/>
      <c r="FY122" s="1065" t="s">
        <v>467</v>
      </c>
      <c r="FZ122" s="1065" t="s">
        <v>408</v>
      </c>
      <c r="GA122" s="1065">
        <v>1</v>
      </c>
      <c r="GB122" s="1065"/>
      <c r="GC122" s="1065"/>
      <c r="GD122" s="1065"/>
      <c r="GE122" s="1065"/>
      <c r="GF122" s="1066">
        <v>88.634492098742626</v>
      </c>
      <c r="GG122" s="1066">
        <v>56.25</v>
      </c>
      <c r="GH122" s="1066">
        <v>177.26898419748525</v>
      </c>
      <c r="GI122" s="1066">
        <v>112.5</v>
      </c>
      <c r="GJ122" s="1066">
        <v>354.53796839497051</v>
      </c>
      <c r="GK122" s="1066">
        <v>225</v>
      </c>
      <c r="GL122" s="584">
        <v>0.94489999999999996</v>
      </c>
      <c r="GM122" s="584">
        <v>0.11</v>
      </c>
      <c r="GN122" s="584"/>
      <c r="GO122" s="584"/>
      <c r="GP122" s="584"/>
      <c r="GQ122" s="584">
        <v>62.62</v>
      </c>
      <c r="GR122" s="584"/>
      <c r="GS122" s="584">
        <v>56.065239551478101</v>
      </c>
      <c r="GT122" s="584" t="s">
        <v>459</v>
      </c>
      <c r="GU122" s="584" t="s">
        <v>381</v>
      </c>
      <c r="GV122" s="584">
        <v>1</v>
      </c>
      <c r="GW122" s="584"/>
      <c r="GX122" s="584"/>
      <c r="GY122" s="584"/>
      <c r="GZ122" s="584"/>
      <c r="HA122" s="584">
        <v>37.446799499999997</v>
      </c>
      <c r="HB122" s="584">
        <v>56.25</v>
      </c>
      <c r="HC122" s="584">
        <v>74.893598999999995</v>
      </c>
      <c r="HD122" s="584">
        <v>112.5</v>
      </c>
      <c r="HE122" s="584">
        <v>149.78719799999999</v>
      </c>
      <c r="HF122" s="584">
        <v>225</v>
      </c>
      <c r="HG122" s="1100">
        <v>1.3900000000000001</v>
      </c>
      <c r="HH122" s="1100">
        <v>0.11</v>
      </c>
      <c r="HI122" s="1101">
        <v>0</v>
      </c>
      <c r="HJ122" s="1101">
        <v>0</v>
      </c>
      <c r="HK122" s="1101">
        <v>0</v>
      </c>
      <c r="HL122" s="1101">
        <v>0</v>
      </c>
      <c r="HM122" s="1101">
        <v>60.239999999999995</v>
      </c>
      <c r="HN122" s="1101">
        <v>54.999999999999993</v>
      </c>
      <c r="HO122" s="1101">
        <v>0</v>
      </c>
      <c r="HP122" s="1101">
        <v>0</v>
      </c>
      <c r="HQ122" s="1101">
        <v>1</v>
      </c>
      <c r="HR122" s="1101">
        <v>0.72</v>
      </c>
      <c r="HS122" s="1101">
        <v>1.28</v>
      </c>
      <c r="HT122" s="1101">
        <v>0.3</v>
      </c>
      <c r="HU122" s="1101">
        <v>0.28000000000000003</v>
      </c>
      <c r="HV122" s="1101">
        <v>36.686348999999993</v>
      </c>
      <c r="HW122" s="1101">
        <v>56.25</v>
      </c>
      <c r="HX122" s="1101">
        <v>73.372697999999986</v>
      </c>
      <c r="HY122" s="1101">
        <v>112.5</v>
      </c>
      <c r="HZ122" s="1101">
        <v>146.74539599999997</v>
      </c>
      <c r="IA122" s="1101">
        <v>225</v>
      </c>
      <c r="IB122" s="1062"/>
      <c r="IC122" s="1092"/>
      <c r="ID122" s="1050"/>
      <c r="IE122" s="1050"/>
      <c r="IF122" s="1103"/>
      <c r="IG122" s="1103"/>
      <c r="IH122" s="1103"/>
      <c r="II122" s="1103"/>
      <c r="IJ122" s="1103"/>
      <c r="IK122" s="1103"/>
      <c r="IL122" s="1103"/>
      <c r="IM122" s="1050"/>
      <c r="IN122" s="1050"/>
      <c r="IO122" s="1050"/>
      <c r="IP122" s="1050"/>
      <c r="IQ122" s="1103"/>
      <c r="IR122" s="1103"/>
      <c r="IS122" s="1103"/>
      <c r="IT122" s="1103"/>
      <c r="IU122" s="1103"/>
      <c r="IV122" s="1103"/>
      <c r="JS122" s="1092"/>
      <c r="JU122" s="1050"/>
      <c r="JV122" s="1103"/>
      <c r="JW122" s="1103"/>
      <c r="JX122" s="1103"/>
      <c r="JY122" s="1103"/>
      <c r="JZ122" s="1103"/>
      <c r="KA122" s="1103"/>
      <c r="KB122" s="1103"/>
      <c r="KC122" s="1050"/>
      <c r="KD122" s="1050"/>
      <c r="KE122" s="1050"/>
      <c r="KF122" s="1050"/>
      <c r="KG122" s="1103"/>
      <c r="KH122" s="1103"/>
      <c r="KI122" s="1103"/>
      <c r="KJ122" s="1103"/>
      <c r="KK122" s="1103"/>
      <c r="KL122" s="1103"/>
      <c r="KM122" s="1103"/>
      <c r="KN122" s="1103"/>
    </row>
    <row r="123" spans="2:300">
      <c r="B123" s="1048" t="str">
        <f t="shared" si="4"/>
        <v>R616</v>
      </c>
      <c r="C123" s="1046">
        <v>6</v>
      </c>
      <c r="D123" s="1092">
        <v>16</v>
      </c>
      <c r="E123" s="584">
        <v>0</v>
      </c>
      <c r="F123" s="584">
        <v>0</v>
      </c>
      <c r="G123" s="584">
        <v>0</v>
      </c>
      <c r="H123" s="584">
        <v>0</v>
      </c>
      <c r="I123" s="584">
        <v>0</v>
      </c>
      <c r="J123" s="584">
        <v>0</v>
      </c>
      <c r="K123" s="584">
        <v>0</v>
      </c>
      <c r="L123" s="584">
        <v>0</v>
      </c>
      <c r="M123" s="584">
        <v>0</v>
      </c>
      <c r="N123" s="584">
        <v>0</v>
      </c>
      <c r="O123" s="584">
        <v>0</v>
      </c>
      <c r="P123" s="584">
        <v>0</v>
      </c>
      <c r="Q123" s="584">
        <v>0</v>
      </c>
      <c r="R123" s="584">
        <v>0</v>
      </c>
      <c r="S123" s="584">
        <v>0</v>
      </c>
      <c r="T123" s="584">
        <v>0</v>
      </c>
      <c r="U123" s="584">
        <v>0</v>
      </c>
      <c r="V123" s="584">
        <v>0</v>
      </c>
      <c r="W123" s="584">
        <v>0</v>
      </c>
      <c r="X123" s="584">
        <v>0</v>
      </c>
      <c r="Y123" s="584">
        <v>0</v>
      </c>
      <c r="Z123" s="584">
        <v>0</v>
      </c>
      <c r="AA123" s="584">
        <v>0</v>
      </c>
      <c r="AB123" s="584">
        <v>0</v>
      </c>
      <c r="AC123" s="584">
        <v>0</v>
      </c>
      <c r="AD123" s="584">
        <v>0</v>
      </c>
      <c r="AE123" s="584">
        <v>0</v>
      </c>
      <c r="AF123" s="584">
        <v>0</v>
      </c>
      <c r="AG123" s="584">
        <v>0</v>
      </c>
      <c r="AH123" s="584">
        <v>0</v>
      </c>
      <c r="AI123" s="584">
        <v>0</v>
      </c>
      <c r="AJ123" s="584">
        <v>0</v>
      </c>
      <c r="AK123" s="584">
        <v>0</v>
      </c>
      <c r="AL123" s="584">
        <v>0</v>
      </c>
      <c r="AM123" s="584">
        <v>0</v>
      </c>
      <c r="AN123" s="584">
        <v>0</v>
      </c>
      <c r="AO123" s="584">
        <v>134.8974375</v>
      </c>
      <c r="AP123" s="584">
        <v>60</v>
      </c>
      <c r="AQ123" s="584">
        <v>210.0174375</v>
      </c>
      <c r="AR123" s="584">
        <v>126</v>
      </c>
      <c r="AS123" s="584">
        <v>61.790999999999997</v>
      </c>
      <c r="AT123" s="584">
        <v>264</v>
      </c>
      <c r="AU123" s="584">
        <v>0</v>
      </c>
      <c r="AV123" s="584">
        <v>0</v>
      </c>
      <c r="AW123" s="584">
        <v>0</v>
      </c>
      <c r="AX123" s="584">
        <v>0</v>
      </c>
      <c r="AY123" s="584">
        <v>0</v>
      </c>
      <c r="AZ123" s="584">
        <v>0</v>
      </c>
      <c r="BA123" s="584">
        <v>0</v>
      </c>
      <c r="BB123" s="584">
        <v>0</v>
      </c>
      <c r="BC123" s="584">
        <v>0</v>
      </c>
      <c r="BD123" s="584">
        <v>0</v>
      </c>
      <c r="BE123" s="584">
        <v>0</v>
      </c>
      <c r="BF123" s="584">
        <v>0</v>
      </c>
      <c r="BG123" s="584">
        <v>0</v>
      </c>
      <c r="BH123" s="584">
        <v>0</v>
      </c>
      <c r="BI123" s="584">
        <v>0</v>
      </c>
      <c r="BJ123" s="584">
        <v>0</v>
      </c>
      <c r="BK123" s="584">
        <v>0</v>
      </c>
      <c r="BL123" s="584">
        <v>0</v>
      </c>
      <c r="BM123" s="584">
        <v>0</v>
      </c>
      <c r="BN123" s="584">
        <v>0</v>
      </c>
      <c r="BO123" s="584">
        <v>0</v>
      </c>
      <c r="BP123" s="584">
        <v>0</v>
      </c>
      <c r="BQ123" s="584">
        <v>0</v>
      </c>
      <c r="BR123" s="584">
        <v>0</v>
      </c>
      <c r="BS123" s="584">
        <v>0</v>
      </c>
      <c r="BT123" s="584">
        <v>0</v>
      </c>
      <c r="BU123" s="584">
        <v>0</v>
      </c>
      <c r="BV123" s="584">
        <v>0</v>
      </c>
      <c r="BW123" s="584">
        <v>0</v>
      </c>
      <c r="BX123" s="584">
        <v>0</v>
      </c>
      <c r="BY123" s="584">
        <v>0</v>
      </c>
      <c r="BZ123" s="584">
        <v>0</v>
      </c>
      <c r="CA123" s="584">
        <v>0</v>
      </c>
      <c r="CB123" s="584">
        <v>0</v>
      </c>
      <c r="CC123" s="584">
        <v>0</v>
      </c>
      <c r="CD123" s="584">
        <v>0</v>
      </c>
      <c r="CE123" s="584">
        <v>0</v>
      </c>
      <c r="CF123" s="584">
        <v>0</v>
      </c>
      <c r="CG123" s="584">
        <v>0</v>
      </c>
      <c r="CH123" s="584">
        <v>0</v>
      </c>
      <c r="CI123" s="584">
        <v>0</v>
      </c>
      <c r="CJ123" s="584">
        <v>0</v>
      </c>
      <c r="CK123" s="584">
        <v>0</v>
      </c>
      <c r="CL123" s="584">
        <v>0</v>
      </c>
      <c r="CM123" s="584">
        <v>0</v>
      </c>
      <c r="CN123" s="584">
        <v>0</v>
      </c>
      <c r="CO123" s="584">
        <v>0</v>
      </c>
      <c r="CP123" s="584">
        <v>0</v>
      </c>
      <c r="CQ123" s="584">
        <v>0</v>
      </c>
      <c r="CR123" s="584">
        <v>0</v>
      </c>
      <c r="CS123" s="584">
        <v>0</v>
      </c>
      <c r="CT123" s="584">
        <v>0</v>
      </c>
      <c r="CU123" s="584">
        <v>0</v>
      </c>
      <c r="CV123" s="584">
        <v>0</v>
      </c>
      <c r="CW123" s="584">
        <v>0</v>
      </c>
      <c r="CX123" s="584">
        <v>0</v>
      </c>
      <c r="CY123" s="584">
        <v>0</v>
      </c>
      <c r="CZ123" s="584">
        <v>0</v>
      </c>
      <c r="DA123" s="584">
        <v>0</v>
      </c>
      <c r="DB123" s="584">
        <v>0</v>
      </c>
      <c r="DC123" s="584">
        <v>0</v>
      </c>
      <c r="DD123" s="584">
        <v>0</v>
      </c>
      <c r="DE123" s="584">
        <v>0</v>
      </c>
      <c r="DF123" s="584">
        <v>0</v>
      </c>
      <c r="DG123" s="584">
        <v>0</v>
      </c>
      <c r="DH123" s="584">
        <v>0</v>
      </c>
      <c r="DI123" s="584">
        <v>0</v>
      </c>
      <c r="DJ123" s="584">
        <v>0</v>
      </c>
      <c r="DK123" s="584">
        <v>0</v>
      </c>
      <c r="DL123" s="584">
        <v>0</v>
      </c>
      <c r="DM123" s="584">
        <v>0</v>
      </c>
      <c r="DN123" s="584">
        <v>0</v>
      </c>
      <c r="DO123" s="584">
        <v>0</v>
      </c>
      <c r="DP123" s="584">
        <v>0</v>
      </c>
      <c r="DQ123" s="584">
        <v>0</v>
      </c>
      <c r="DR123" s="584">
        <v>0</v>
      </c>
      <c r="DS123" s="584">
        <v>0</v>
      </c>
      <c r="DT123" s="584">
        <v>0</v>
      </c>
      <c r="DU123" s="584">
        <v>0</v>
      </c>
      <c r="DV123" s="584">
        <v>0</v>
      </c>
      <c r="DW123" s="584">
        <v>0</v>
      </c>
      <c r="DX123" s="584">
        <v>0</v>
      </c>
      <c r="DY123" s="584">
        <v>0</v>
      </c>
      <c r="DZ123" s="584">
        <v>0</v>
      </c>
      <c r="EA123" s="1062">
        <v>0</v>
      </c>
      <c r="EB123" s="1046">
        <v>0</v>
      </c>
      <c r="EC123" s="1093">
        <v>0</v>
      </c>
      <c r="ED123" s="1046">
        <v>0</v>
      </c>
      <c r="EE123" s="1046">
        <v>0</v>
      </c>
      <c r="EF123" s="1046">
        <v>0</v>
      </c>
      <c r="EG123" s="1046">
        <v>0</v>
      </c>
      <c r="EH123" s="1046">
        <v>0</v>
      </c>
      <c r="EI123" s="1046">
        <v>0</v>
      </c>
      <c r="EJ123" s="1046">
        <v>0</v>
      </c>
      <c r="EK123" s="1046">
        <v>0</v>
      </c>
      <c r="EL123" s="1046">
        <v>0</v>
      </c>
      <c r="EM123" s="1046">
        <v>0</v>
      </c>
      <c r="EN123" s="1046">
        <v>0</v>
      </c>
      <c r="EO123" s="1046">
        <v>0</v>
      </c>
      <c r="EP123" s="1094">
        <v>0</v>
      </c>
      <c r="EQ123" s="1094">
        <v>0</v>
      </c>
      <c r="ER123" s="1094">
        <v>0</v>
      </c>
      <c r="ES123" s="1095">
        <v>0</v>
      </c>
      <c r="ET123" s="1094">
        <v>0</v>
      </c>
      <c r="EU123" s="1094">
        <v>0</v>
      </c>
      <c r="EV123" s="1096">
        <v>0.82789999999999997</v>
      </c>
      <c r="EW123" s="1097">
        <v>0.15</v>
      </c>
      <c r="EX123" s="1096">
        <v>289.50050968399592</v>
      </c>
      <c r="EY123" s="1096">
        <v>1.5443934760448521</v>
      </c>
      <c r="EZ123" s="1096">
        <v>0</v>
      </c>
      <c r="FA123" s="1096">
        <v>26.622916666666669</v>
      </c>
      <c r="FB123" s="1098">
        <v>0</v>
      </c>
      <c r="FC123" s="1098">
        <v>0</v>
      </c>
      <c r="FD123" s="1098" t="s">
        <v>430</v>
      </c>
      <c r="FE123" s="1098" t="s">
        <v>396</v>
      </c>
      <c r="FF123" s="1098">
        <v>1</v>
      </c>
      <c r="FG123" s="1098">
        <v>0</v>
      </c>
      <c r="FH123" s="1098">
        <v>0</v>
      </c>
      <c r="FI123" s="1098">
        <v>0</v>
      </c>
      <c r="FJ123" s="1098">
        <v>0</v>
      </c>
      <c r="FK123" s="1096">
        <v>89.431711500000006</v>
      </c>
      <c r="FL123" s="1096">
        <v>60</v>
      </c>
      <c r="FM123" s="1096">
        <v>178.86342300000001</v>
      </c>
      <c r="FN123" s="1096">
        <v>120</v>
      </c>
      <c r="FO123" s="1096">
        <v>357.72684600000002</v>
      </c>
      <c r="FP123" s="1099">
        <v>240</v>
      </c>
      <c r="FQ123" s="1064">
        <v>1.1157674201721295</v>
      </c>
      <c r="FR123" s="1065">
        <v>0.15</v>
      </c>
      <c r="FS123" s="1066">
        <v>289.50050968399586</v>
      </c>
      <c r="FT123" s="1066">
        <v>3.2237153637237084</v>
      </c>
      <c r="FU123" s="1065"/>
      <c r="FV123" s="1066">
        <v>63.888548656746472</v>
      </c>
      <c r="FW123" s="1065"/>
      <c r="FX123" s="1065"/>
      <c r="FY123" s="1065" t="s">
        <v>416</v>
      </c>
      <c r="FZ123" s="1065" t="s">
        <v>396</v>
      </c>
      <c r="GA123" s="1065">
        <v>1</v>
      </c>
      <c r="GB123" s="1065"/>
      <c r="GC123" s="1065"/>
      <c r="GD123" s="1065"/>
      <c r="GE123" s="1065"/>
      <c r="GF123" s="1066">
        <v>95.960911440979487</v>
      </c>
      <c r="GG123" s="1066">
        <v>60</v>
      </c>
      <c r="GH123" s="1066">
        <v>191.92182288195897</v>
      </c>
      <c r="GI123" s="1066">
        <v>120</v>
      </c>
      <c r="GJ123" s="1066">
        <v>383.84364576391795</v>
      </c>
      <c r="GK123" s="1066">
        <v>240</v>
      </c>
      <c r="GL123" s="584">
        <v>1.0129999999999999</v>
      </c>
      <c r="GM123" s="584">
        <v>0.11</v>
      </c>
      <c r="GN123" s="584"/>
      <c r="GO123" s="584"/>
      <c r="GP123" s="584"/>
      <c r="GQ123" s="584">
        <v>70.704166666666694</v>
      </c>
      <c r="GR123" s="584"/>
      <c r="GS123" s="584">
        <v>56.065239551478101</v>
      </c>
      <c r="GT123" s="584" t="s">
        <v>459</v>
      </c>
      <c r="GU123" s="584" t="s">
        <v>375</v>
      </c>
      <c r="GV123" s="584">
        <v>1</v>
      </c>
      <c r="GW123" s="584"/>
      <c r="GX123" s="584"/>
      <c r="GY123" s="584"/>
      <c r="GZ123" s="584"/>
      <c r="HA123" s="584">
        <v>41.846589000000002</v>
      </c>
      <c r="HB123" s="584">
        <v>60</v>
      </c>
      <c r="HC123" s="584">
        <v>83.693178000000003</v>
      </c>
      <c r="HD123" s="584">
        <v>120</v>
      </c>
      <c r="HE123" s="584">
        <v>167.38635600000001</v>
      </c>
      <c r="HF123" s="584">
        <v>240</v>
      </c>
      <c r="HG123" s="1100">
        <v>1.51</v>
      </c>
      <c r="HH123" s="1100">
        <v>0.11</v>
      </c>
      <c r="HI123" s="1101">
        <v>0</v>
      </c>
      <c r="HJ123" s="1101">
        <v>0</v>
      </c>
      <c r="HK123" s="1101">
        <v>0</v>
      </c>
      <c r="HL123" s="1101">
        <v>0</v>
      </c>
      <c r="HM123" s="1101">
        <v>65.212500000000006</v>
      </c>
      <c r="HN123" s="1101">
        <v>54.999999999999993</v>
      </c>
      <c r="HO123" s="1101">
        <v>0</v>
      </c>
      <c r="HP123" s="1101">
        <v>0</v>
      </c>
      <c r="HQ123" s="1101">
        <v>1</v>
      </c>
      <c r="HR123" s="1101">
        <v>0.76</v>
      </c>
      <c r="HS123" s="1101">
        <v>1.4</v>
      </c>
      <c r="HT123" s="1101">
        <v>0.3</v>
      </c>
      <c r="HU123" s="1101">
        <v>0.28000000000000003</v>
      </c>
      <c r="HV123" s="1101">
        <v>40.302830999999998</v>
      </c>
      <c r="HW123" s="1101">
        <v>60</v>
      </c>
      <c r="HX123" s="1101">
        <v>80.605661999999995</v>
      </c>
      <c r="HY123" s="1101">
        <v>120</v>
      </c>
      <c r="HZ123" s="1101">
        <v>161.21132399999999</v>
      </c>
      <c r="IA123" s="1101">
        <v>240</v>
      </c>
      <c r="IB123" s="1062"/>
      <c r="IC123" s="1092"/>
      <c r="ID123" s="1050"/>
      <c r="IE123" s="1050"/>
      <c r="IF123" s="1103"/>
      <c r="IG123" s="1103"/>
      <c r="IH123" s="1103"/>
      <c r="II123" s="1103"/>
      <c r="IJ123" s="1103"/>
      <c r="IK123" s="1103"/>
      <c r="IL123" s="1103"/>
      <c r="IM123" s="1050"/>
      <c r="IN123" s="1050"/>
      <c r="IO123" s="1050"/>
      <c r="IP123" s="1050"/>
      <c r="IQ123" s="1103"/>
      <c r="IR123" s="1103"/>
      <c r="IS123" s="1103"/>
      <c r="IT123" s="1103"/>
      <c r="IU123" s="1103"/>
      <c r="IV123" s="1103"/>
      <c r="JS123" s="1092"/>
      <c r="JU123" s="1050"/>
      <c r="JV123" s="1103"/>
      <c r="JW123" s="1103"/>
      <c r="JX123" s="1103"/>
      <c r="JY123" s="1103"/>
      <c r="JZ123" s="1103"/>
      <c r="KA123" s="1103"/>
      <c r="KB123" s="1103"/>
      <c r="KC123" s="1050"/>
      <c r="KD123" s="1050"/>
      <c r="KE123" s="1050"/>
      <c r="KF123" s="1050"/>
      <c r="KG123" s="1103"/>
      <c r="KH123" s="1103"/>
      <c r="KI123" s="1103"/>
      <c r="KJ123" s="1103"/>
      <c r="KK123" s="1103"/>
      <c r="KL123" s="1103"/>
      <c r="KM123" s="1103"/>
      <c r="KN123" s="1103"/>
    </row>
    <row r="124" spans="2:300">
      <c r="B124" s="1048" t="str">
        <f t="shared" si="4"/>
        <v>R77</v>
      </c>
      <c r="C124" s="1046">
        <v>7</v>
      </c>
      <c r="D124" s="1046">
        <v>7</v>
      </c>
      <c r="E124" s="584">
        <v>0.23</v>
      </c>
      <c r="F124" s="584">
        <v>0.23</v>
      </c>
      <c r="G124" s="584">
        <v>552</v>
      </c>
      <c r="H124" s="584">
        <v>18.170000000000002</v>
      </c>
      <c r="I124" s="584">
        <v>0</v>
      </c>
      <c r="J124" s="584">
        <v>0</v>
      </c>
      <c r="K124" s="584">
        <v>0</v>
      </c>
      <c r="L124" s="584">
        <v>0</v>
      </c>
      <c r="M124" s="584">
        <v>0</v>
      </c>
      <c r="N124" s="584">
        <v>0</v>
      </c>
      <c r="O124" s="584">
        <v>0</v>
      </c>
      <c r="P124" s="584">
        <v>0</v>
      </c>
      <c r="Q124" s="584">
        <v>0</v>
      </c>
      <c r="R124" s="584">
        <v>0</v>
      </c>
      <c r="S124" s="584">
        <v>0</v>
      </c>
      <c r="T124" s="584">
        <v>164.93993750000001</v>
      </c>
      <c r="U124" s="584">
        <v>30.625</v>
      </c>
      <c r="V124" s="584">
        <v>252.93618749999999</v>
      </c>
      <c r="W124" s="584">
        <v>64.3125</v>
      </c>
      <c r="X124" s="584">
        <v>345.86599999999999</v>
      </c>
      <c r="Y124" s="584">
        <v>134.75</v>
      </c>
      <c r="Z124" s="584">
        <v>0.2</v>
      </c>
      <c r="AA124" s="584">
        <v>0.2</v>
      </c>
      <c r="AB124" s="584">
        <v>480</v>
      </c>
      <c r="AC124" s="584">
        <v>18</v>
      </c>
      <c r="AD124" s="584">
        <v>0</v>
      </c>
      <c r="AE124" s="584">
        <v>0</v>
      </c>
      <c r="AF124" s="584">
        <v>0</v>
      </c>
      <c r="AG124" s="584">
        <v>0</v>
      </c>
      <c r="AH124" s="584">
        <v>0</v>
      </c>
      <c r="AI124" s="584">
        <v>0</v>
      </c>
      <c r="AJ124" s="584">
        <v>0</v>
      </c>
      <c r="AK124" s="584">
        <v>0</v>
      </c>
      <c r="AL124" s="584">
        <v>0</v>
      </c>
      <c r="AM124" s="584">
        <v>0</v>
      </c>
      <c r="AN124" s="584">
        <v>0</v>
      </c>
      <c r="AO124" s="584">
        <v>154.6724375</v>
      </c>
      <c r="AP124" s="584">
        <v>30.625</v>
      </c>
      <c r="AQ124" s="584">
        <v>232.53993750000001</v>
      </c>
      <c r="AR124" s="584">
        <v>64.3125</v>
      </c>
      <c r="AS124" s="584">
        <v>305.44099999999997</v>
      </c>
      <c r="AT124" s="584">
        <v>134.75</v>
      </c>
      <c r="AU124" s="584">
        <v>0.35</v>
      </c>
      <c r="AV124" s="584">
        <v>0.255</v>
      </c>
      <c r="AW124" s="584">
        <v>445.51030373831799</v>
      </c>
      <c r="AX124" s="584">
        <v>28.791266549844199</v>
      </c>
      <c r="AY124" s="584">
        <v>0</v>
      </c>
      <c r="AZ124" s="584">
        <v>0</v>
      </c>
      <c r="BA124" s="584">
        <v>0</v>
      </c>
      <c r="BB124" s="584">
        <v>0</v>
      </c>
      <c r="BC124" s="584">
        <v>0</v>
      </c>
      <c r="BD124" s="584">
        <v>0</v>
      </c>
      <c r="BE124" s="584">
        <v>0</v>
      </c>
      <c r="BF124" s="584">
        <v>0</v>
      </c>
      <c r="BG124" s="584">
        <v>0.35</v>
      </c>
      <c r="BH124" s="584">
        <v>0</v>
      </c>
      <c r="BI124" s="584">
        <v>0.6</v>
      </c>
      <c r="BJ124" s="584">
        <v>154.81959431220801</v>
      </c>
      <c r="BK124" s="584">
        <v>30.625</v>
      </c>
      <c r="BL124" s="584">
        <v>223.74157991749399</v>
      </c>
      <c r="BM124" s="584">
        <v>64.3125</v>
      </c>
      <c r="BN124" s="584">
        <v>279.482578665304</v>
      </c>
      <c r="BO124" s="584">
        <v>134.75</v>
      </c>
      <c r="BP124" s="584">
        <v>0.32500000000000001</v>
      </c>
      <c r="BQ124" s="584">
        <v>0.14499999999999999</v>
      </c>
      <c r="BR124" s="584">
        <v>397.54205607476598</v>
      </c>
      <c r="BS124" s="584">
        <v>14.7689982476635</v>
      </c>
      <c r="BT124" s="584">
        <v>0</v>
      </c>
      <c r="BU124" s="584">
        <v>0</v>
      </c>
      <c r="BV124" s="584">
        <v>0</v>
      </c>
      <c r="BW124" s="584">
        <v>0</v>
      </c>
      <c r="BX124" s="584">
        <v>0</v>
      </c>
      <c r="BY124" s="584">
        <v>0</v>
      </c>
      <c r="BZ124" s="584">
        <v>0</v>
      </c>
      <c r="CA124" s="584">
        <v>0.32500000000000001</v>
      </c>
      <c r="CB124" s="584">
        <v>0.32500000000000001</v>
      </c>
      <c r="CC124" s="584">
        <v>0.3</v>
      </c>
      <c r="CD124" s="584">
        <v>0.3</v>
      </c>
      <c r="CE124" s="584">
        <v>148.79485</v>
      </c>
      <c r="CF124" s="584">
        <v>30.625</v>
      </c>
      <c r="CG124" s="584">
        <v>212.615475</v>
      </c>
      <c r="CH124" s="584">
        <v>64.3125</v>
      </c>
      <c r="CI124" s="584">
        <v>249.3861</v>
      </c>
      <c r="CJ124" s="584">
        <v>134.75</v>
      </c>
      <c r="CK124" s="584">
        <v>0.375</v>
      </c>
      <c r="CL124" s="584">
        <v>0.19500000000000001</v>
      </c>
      <c r="CM124" s="584">
        <v>498.876606308411</v>
      </c>
      <c r="CN124" s="584">
        <v>20.702786214953299</v>
      </c>
      <c r="CO124" s="584">
        <v>0</v>
      </c>
      <c r="CP124" s="584">
        <v>0</v>
      </c>
      <c r="CQ124" s="584">
        <v>0</v>
      </c>
      <c r="CR124" s="584">
        <v>0</v>
      </c>
      <c r="CS124" s="584">
        <v>0</v>
      </c>
      <c r="CT124" s="584">
        <v>0</v>
      </c>
      <c r="CU124" s="584">
        <v>0</v>
      </c>
      <c r="CV124" s="584">
        <v>0</v>
      </c>
      <c r="CW124" s="584">
        <v>0.375</v>
      </c>
      <c r="CX124" s="584">
        <v>0</v>
      </c>
      <c r="CY124" s="584">
        <v>0.45</v>
      </c>
      <c r="CZ124" s="584">
        <v>163.54485</v>
      </c>
      <c r="DA124" s="584">
        <v>30.625</v>
      </c>
      <c r="DB124" s="584">
        <v>239.72422499999999</v>
      </c>
      <c r="DC124" s="584">
        <v>64.3125</v>
      </c>
      <c r="DD124" s="584">
        <v>312.44110000000001</v>
      </c>
      <c r="DE124" s="584">
        <v>134.75</v>
      </c>
      <c r="DF124" s="584">
        <v>0.35</v>
      </c>
      <c r="DG124" s="584">
        <v>0.2</v>
      </c>
      <c r="DH124" s="584">
        <v>303.04906542056102</v>
      </c>
      <c r="DI124" s="584">
        <v>17.295559190031099</v>
      </c>
      <c r="DJ124" s="584">
        <v>300</v>
      </c>
      <c r="DK124" s="584">
        <v>0</v>
      </c>
      <c r="DL124" s="584">
        <v>0</v>
      </c>
      <c r="DM124" s="584">
        <v>0</v>
      </c>
      <c r="DN124" s="584">
        <v>0</v>
      </c>
      <c r="DO124" s="584">
        <v>0</v>
      </c>
      <c r="DP124" s="584">
        <v>0</v>
      </c>
      <c r="DQ124" s="584">
        <v>0</v>
      </c>
      <c r="DR124" s="584">
        <v>0.35</v>
      </c>
      <c r="DS124" s="584">
        <v>0</v>
      </c>
      <c r="DT124" s="584">
        <v>2.4</v>
      </c>
      <c r="DU124" s="584">
        <v>154.6954375</v>
      </c>
      <c r="DV124" s="584">
        <v>30.625</v>
      </c>
      <c r="DW124" s="584">
        <v>278.962625</v>
      </c>
      <c r="DX124" s="584">
        <v>64.3125</v>
      </c>
      <c r="DY124" s="584">
        <v>351.97649999999999</v>
      </c>
      <c r="DZ124" s="584">
        <v>134.75</v>
      </c>
      <c r="EA124" s="1062">
        <v>0.66200000000000003</v>
      </c>
      <c r="EB124" s="1046">
        <v>0.2</v>
      </c>
      <c r="EC124" s="1093">
        <v>132.51783893985726</v>
      </c>
      <c r="ED124" s="1046">
        <v>0</v>
      </c>
      <c r="EE124" s="1046">
        <v>285.42303771661568</v>
      </c>
      <c r="EF124" s="1046">
        <v>15.885714285714286</v>
      </c>
      <c r="EG124" s="1046">
        <v>0</v>
      </c>
      <c r="EH124" s="1046">
        <v>0</v>
      </c>
      <c r="EI124" s="1046" t="s">
        <v>456</v>
      </c>
      <c r="EJ124" s="1046" t="s">
        <v>505</v>
      </c>
      <c r="EK124" s="1046">
        <v>0</v>
      </c>
      <c r="EL124" s="1046">
        <v>0</v>
      </c>
      <c r="EM124" s="1046">
        <v>0</v>
      </c>
      <c r="EN124" s="1046">
        <v>0</v>
      </c>
      <c r="EO124" s="1046">
        <v>0</v>
      </c>
      <c r="EP124" s="1094">
        <v>58.259026000000006</v>
      </c>
      <c r="EQ124" s="1094">
        <v>30.625</v>
      </c>
      <c r="ER124" s="1094">
        <v>116.51805200000001</v>
      </c>
      <c r="ES124" s="1095">
        <v>61.25</v>
      </c>
      <c r="ET124" s="1094">
        <v>233.03610400000002</v>
      </c>
      <c r="EU124" s="1094">
        <v>122.5</v>
      </c>
      <c r="EV124" s="1096">
        <v>0.60460000000000003</v>
      </c>
      <c r="EW124" s="1097">
        <v>0.15</v>
      </c>
      <c r="EX124" s="1096">
        <v>289.50050968399592</v>
      </c>
      <c r="EY124" s="1096">
        <v>1.5443934760448521</v>
      </c>
      <c r="EZ124" s="1096">
        <v>0</v>
      </c>
      <c r="FA124" s="1096">
        <v>20.057142857142857</v>
      </c>
      <c r="FB124" s="1098">
        <v>0</v>
      </c>
      <c r="FC124" s="1098">
        <v>0</v>
      </c>
      <c r="FD124" s="1098" t="s">
        <v>459</v>
      </c>
      <c r="FE124" s="1098" t="s">
        <v>490</v>
      </c>
      <c r="FF124" s="1098">
        <v>2</v>
      </c>
      <c r="FG124" s="1098">
        <v>0</v>
      </c>
      <c r="FH124" s="1098">
        <v>0</v>
      </c>
      <c r="FI124" s="1098">
        <v>0</v>
      </c>
      <c r="FJ124" s="1098">
        <v>0</v>
      </c>
      <c r="FK124" s="1096">
        <v>44.858410625000005</v>
      </c>
      <c r="FL124" s="1096">
        <v>30.625</v>
      </c>
      <c r="FM124" s="1096">
        <v>89.71682125000001</v>
      </c>
      <c r="FN124" s="1096">
        <v>61.25</v>
      </c>
      <c r="FO124" s="1096">
        <v>179.43364250000002</v>
      </c>
      <c r="FP124" s="1099">
        <v>122.5</v>
      </c>
      <c r="FQ124" s="1064">
        <v>0.64195999999999998</v>
      </c>
      <c r="FR124" s="1065">
        <v>0.15</v>
      </c>
      <c r="FS124" s="1066">
        <v>289.50050968399586</v>
      </c>
      <c r="FT124" s="1066">
        <v>3.1547324150233758</v>
      </c>
      <c r="FU124" s="1065"/>
      <c r="FV124" s="1066">
        <v>32.640979640637703</v>
      </c>
      <c r="FW124" s="1065"/>
      <c r="FX124" s="1065"/>
      <c r="FY124" s="1065" t="s">
        <v>481</v>
      </c>
      <c r="FZ124" s="1065" t="s">
        <v>490</v>
      </c>
      <c r="GA124" s="1065">
        <v>1</v>
      </c>
      <c r="GB124" s="1065"/>
      <c r="GC124" s="1065"/>
      <c r="GD124" s="1065"/>
      <c r="GE124" s="1065"/>
      <c r="GF124" s="1066">
        <v>45.216660207008921</v>
      </c>
      <c r="GG124" s="1066">
        <v>30.625</v>
      </c>
      <c r="GH124" s="1066">
        <v>90.433320414017842</v>
      </c>
      <c r="GI124" s="1066">
        <v>61.25</v>
      </c>
      <c r="GJ124" s="1066">
        <v>180.86664082803568</v>
      </c>
      <c r="GK124" s="1066">
        <v>122.5</v>
      </c>
      <c r="GL124" s="584">
        <v>0.53320000000000001</v>
      </c>
      <c r="GM124" s="584">
        <v>0.13</v>
      </c>
      <c r="GN124" s="584"/>
      <c r="GO124" s="584"/>
      <c r="GP124" s="584"/>
      <c r="GQ124" s="584">
        <v>17.714285714285701</v>
      </c>
      <c r="GR124" s="584"/>
      <c r="GS124" s="584">
        <v>66.2589194699286</v>
      </c>
      <c r="GT124" s="584" t="s">
        <v>471</v>
      </c>
      <c r="GU124" s="584" t="s">
        <v>473</v>
      </c>
      <c r="GV124" s="584">
        <v>1</v>
      </c>
      <c r="GW124" s="584"/>
      <c r="GX124" s="584"/>
      <c r="GY124" s="584"/>
      <c r="GZ124" s="584"/>
      <c r="HA124" s="584">
        <v>16.216270000000002</v>
      </c>
      <c r="HB124" s="584">
        <v>30.625</v>
      </c>
      <c r="HC124" s="584">
        <v>32.432540000000003</v>
      </c>
      <c r="HD124" s="584">
        <v>61.25</v>
      </c>
      <c r="HE124" s="584">
        <v>64.865080000000006</v>
      </c>
      <c r="HF124" s="584">
        <v>122.5</v>
      </c>
      <c r="HG124" s="1100">
        <v>0.73</v>
      </c>
      <c r="HH124" s="1100">
        <v>0.13</v>
      </c>
      <c r="HI124" s="1101">
        <v>0</v>
      </c>
      <c r="HJ124" s="1101">
        <v>0</v>
      </c>
      <c r="HK124" s="1101">
        <v>0</v>
      </c>
      <c r="HL124" s="1101">
        <v>0</v>
      </c>
      <c r="HM124" s="1101">
        <v>28.08</v>
      </c>
      <c r="HN124" s="1101">
        <v>65</v>
      </c>
      <c r="HO124" s="1101">
        <v>0</v>
      </c>
      <c r="HP124" s="1101">
        <v>0</v>
      </c>
      <c r="HQ124" s="1101">
        <v>1</v>
      </c>
      <c r="HR124" s="1101">
        <v>0.6</v>
      </c>
      <c r="HS124" s="1101">
        <v>0.48</v>
      </c>
      <c r="HT124" s="1101">
        <v>0.28000000000000003</v>
      </c>
      <c r="HU124" s="1101">
        <v>0.28000000000000003</v>
      </c>
      <c r="HV124" s="1101">
        <v>17.310656299999998</v>
      </c>
      <c r="HW124" s="1101">
        <v>30.625</v>
      </c>
      <c r="HX124" s="1101">
        <v>34.621312599999996</v>
      </c>
      <c r="HY124" s="1101">
        <v>61.25</v>
      </c>
      <c r="HZ124" s="1101">
        <v>69.242625199999992</v>
      </c>
      <c r="IA124" s="1101">
        <v>122.5</v>
      </c>
      <c r="IB124" s="1062"/>
      <c r="ID124" s="1050"/>
      <c r="IE124" s="1050"/>
      <c r="IF124" s="1103"/>
      <c r="IG124" s="1103"/>
      <c r="IH124" s="1103"/>
      <c r="II124" s="1103"/>
      <c r="IJ124" s="1103"/>
      <c r="IK124" s="1103"/>
      <c r="IL124" s="1103"/>
      <c r="IM124" s="1050"/>
      <c r="IN124" s="1050"/>
      <c r="IO124" s="1050"/>
      <c r="IP124" s="1050"/>
      <c r="IQ124" s="1103"/>
      <c r="IR124" s="1103"/>
      <c r="IS124" s="1103"/>
      <c r="IT124" s="1103"/>
      <c r="IU124" s="1103"/>
      <c r="IV124" s="1103"/>
      <c r="JU124" s="1050"/>
      <c r="JV124" s="1103"/>
      <c r="JW124" s="1103"/>
      <c r="JX124" s="1103"/>
      <c r="JY124" s="1103"/>
      <c r="JZ124" s="1103"/>
      <c r="KA124" s="1103"/>
      <c r="KB124" s="1103"/>
      <c r="KC124" s="1050"/>
      <c r="KD124" s="1050"/>
      <c r="KE124" s="1050"/>
      <c r="KF124" s="1050"/>
      <c r="KG124" s="1103"/>
      <c r="KH124" s="1103"/>
      <c r="KI124" s="1103"/>
      <c r="KJ124" s="1103"/>
      <c r="KK124" s="1103"/>
      <c r="KL124" s="1103"/>
      <c r="KM124" s="1103"/>
      <c r="KN124" s="1103"/>
    </row>
    <row r="125" spans="2:300">
      <c r="B125" s="1048" t="str">
        <f t="shared" si="4"/>
        <v>R78</v>
      </c>
      <c r="C125" s="1046">
        <v>7</v>
      </c>
      <c r="D125" s="1046">
        <v>8</v>
      </c>
      <c r="E125" s="584">
        <v>0.25</v>
      </c>
      <c r="F125" s="584">
        <v>0.25</v>
      </c>
      <c r="G125" s="584">
        <v>600</v>
      </c>
      <c r="H125" s="584">
        <v>19.75</v>
      </c>
      <c r="I125" s="584">
        <v>0</v>
      </c>
      <c r="J125" s="584">
        <v>0</v>
      </c>
      <c r="K125" s="584">
        <v>0</v>
      </c>
      <c r="L125" s="584">
        <v>0</v>
      </c>
      <c r="M125" s="584">
        <v>0</v>
      </c>
      <c r="N125" s="584">
        <v>0</v>
      </c>
      <c r="O125" s="584">
        <v>0</v>
      </c>
      <c r="P125" s="584">
        <v>0</v>
      </c>
      <c r="Q125" s="584">
        <v>0</v>
      </c>
      <c r="R125" s="584">
        <v>0</v>
      </c>
      <c r="S125" s="584">
        <v>0</v>
      </c>
      <c r="T125" s="584">
        <v>189.57243750000001</v>
      </c>
      <c r="U125" s="584">
        <v>35</v>
      </c>
      <c r="V125" s="584">
        <v>303.88743749999998</v>
      </c>
      <c r="W125" s="584">
        <v>73.5</v>
      </c>
      <c r="X125" s="584">
        <v>424.791</v>
      </c>
      <c r="Y125" s="584">
        <v>154</v>
      </c>
      <c r="Z125" s="584">
        <v>0.215</v>
      </c>
      <c r="AA125" s="584">
        <v>0.215</v>
      </c>
      <c r="AB125" s="584">
        <v>516</v>
      </c>
      <c r="AC125" s="584">
        <v>17</v>
      </c>
      <c r="AD125" s="584">
        <v>0</v>
      </c>
      <c r="AE125" s="584">
        <v>0</v>
      </c>
      <c r="AF125" s="584">
        <v>0</v>
      </c>
      <c r="AG125" s="584">
        <v>0</v>
      </c>
      <c r="AH125" s="584">
        <v>0</v>
      </c>
      <c r="AI125" s="584">
        <v>0</v>
      </c>
      <c r="AJ125" s="584">
        <v>0</v>
      </c>
      <c r="AK125" s="584">
        <v>0</v>
      </c>
      <c r="AL125" s="584">
        <v>0</v>
      </c>
      <c r="AM125" s="584">
        <v>0</v>
      </c>
      <c r="AN125" s="584">
        <v>0</v>
      </c>
      <c r="AO125" s="584">
        <v>175.97493750000001</v>
      </c>
      <c r="AP125" s="584">
        <v>35</v>
      </c>
      <c r="AQ125" s="584">
        <v>276.69243749999998</v>
      </c>
      <c r="AR125" s="584">
        <v>73.5</v>
      </c>
      <c r="AS125" s="584">
        <v>370.89100000000002</v>
      </c>
      <c r="AT125" s="584">
        <v>154</v>
      </c>
      <c r="AU125" s="584">
        <v>0.45</v>
      </c>
      <c r="AV125" s="584">
        <v>0.255</v>
      </c>
      <c r="AW125" s="584">
        <v>455.031094711648</v>
      </c>
      <c r="AX125" s="584">
        <v>26.835330806929601</v>
      </c>
      <c r="AY125" s="584">
        <v>0</v>
      </c>
      <c r="AZ125" s="584">
        <v>0</v>
      </c>
      <c r="BA125" s="584">
        <v>0</v>
      </c>
      <c r="BB125" s="584">
        <v>0</v>
      </c>
      <c r="BC125" s="584">
        <v>0</v>
      </c>
      <c r="BD125" s="584">
        <v>0</v>
      </c>
      <c r="BE125" s="584">
        <v>0</v>
      </c>
      <c r="BF125" s="584">
        <v>0</v>
      </c>
      <c r="BG125" s="584">
        <v>0.45</v>
      </c>
      <c r="BH125" s="584">
        <v>0</v>
      </c>
      <c r="BI125" s="584">
        <v>0.45</v>
      </c>
      <c r="BJ125" s="584">
        <v>172.31246262822</v>
      </c>
      <c r="BK125" s="584">
        <v>35</v>
      </c>
      <c r="BL125" s="584">
        <v>258.22965025643902</v>
      </c>
      <c r="BM125" s="584">
        <v>73.5</v>
      </c>
      <c r="BN125" s="584">
        <v>327.12525861636698</v>
      </c>
      <c r="BO125" s="584">
        <v>154</v>
      </c>
      <c r="BP125" s="584">
        <v>0.42499999999999999</v>
      </c>
      <c r="BQ125" s="584">
        <v>0.155</v>
      </c>
      <c r="BR125" s="584">
        <v>427.37246409847302</v>
      </c>
      <c r="BS125" s="584">
        <v>16.732982106222899</v>
      </c>
      <c r="BT125" s="584">
        <v>0</v>
      </c>
      <c r="BU125" s="584">
        <v>0</v>
      </c>
      <c r="BV125" s="584">
        <v>0</v>
      </c>
      <c r="BW125" s="584">
        <v>0</v>
      </c>
      <c r="BX125" s="584">
        <v>0</v>
      </c>
      <c r="BY125" s="584">
        <v>0</v>
      </c>
      <c r="BZ125" s="584">
        <v>0</v>
      </c>
      <c r="CA125" s="584">
        <v>0.35</v>
      </c>
      <c r="CB125" s="584">
        <v>0.42499999999999999</v>
      </c>
      <c r="CC125" s="584">
        <v>0.3</v>
      </c>
      <c r="CD125" s="584">
        <v>0.3</v>
      </c>
      <c r="CE125" s="584">
        <v>166.91114999999999</v>
      </c>
      <c r="CF125" s="584">
        <v>35</v>
      </c>
      <c r="CG125" s="584">
        <v>251.38364999999999</v>
      </c>
      <c r="CH125" s="584">
        <v>73.5</v>
      </c>
      <c r="CI125" s="584">
        <v>303.66489999999999</v>
      </c>
      <c r="CJ125" s="584">
        <v>154</v>
      </c>
      <c r="CK125" s="584">
        <v>0.45</v>
      </c>
      <c r="CL125" s="584">
        <v>0.19500000000000001</v>
      </c>
      <c r="CM125" s="584">
        <v>509.68590437656701</v>
      </c>
      <c r="CN125" s="584">
        <v>20.653838329154301</v>
      </c>
      <c r="CO125" s="584">
        <v>0</v>
      </c>
      <c r="CP125" s="584">
        <v>0</v>
      </c>
      <c r="CQ125" s="584">
        <v>0</v>
      </c>
      <c r="CR125" s="584">
        <v>0</v>
      </c>
      <c r="CS125" s="584">
        <v>0</v>
      </c>
      <c r="CT125" s="584">
        <v>0</v>
      </c>
      <c r="CU125" s="584">
        <v>0</v>
      </c>
      <c r="CV125" s="584">
        <v>0</v>
      </c>
      <c r="CW125" s="584">
        <v>0.45</v>
      </c>
      <c r="CX125" s="584">
        <v>0</v>
      </c>
      <c r="CY125" s="584">
        <v>0.45</v>
      </c>
      <c r="CZ125" s="584">
        <v>182.27666249999999</v>
      </c>
      <c r="DA125" s="584">
        <v>35</v>
      </c>
      <c r="DB125" s="584">
        <v>275.94135</v>
      </c>
      <c r="DC125" s="584">
        <v>73.5</v>
      </c>
      <c r="DD125" s="584">
        <v>362.42135000000002</v>
      </c>
      <c r="DE125" s="584">
        <v>154</v>
      </c>
      <c r="DF125" s="584">
        <v>0.35</v>
      </c>
      <c r="DG125" s="584">
        <v>0.2</v>
      </c>
      <c r="DH125" s="584">
        <v>308.09322999772098</v>
      </c>
      <c r="DI125" s="584">
        <v>17.620347390016001</v>
      </c>
      <c r="DJ125" s="584">
        <v>300</v>
      </c>
      <c r="DK125" s="584">
        <v>0</v>
      </c>
      <c r="DL125" s="584">
        <v>0</v>
      </c>
      <c r="DM125" s="584">
        <v>0</v>
      </c>
      <c r="DN125" s="584">
        <v>0</v>
      </c>
      <c r="DO125" s="584">
        <v>0</v>
      </c>
      <c r="DP125" s="584">
        <v>0</v>
      </c>
      <c r="DQ125" s="584">
        <v>0</v>
      </c>
      <c r="DR125" s="584">
        <v>0.35</v>
      </c>
      <c r="DS125" s="584">
        <v>0</v>
      </c>
      <c r="DT125" s="584">
        <v>2.4</v>
      </c>
      <c r="DU125" s="584">
        <v>172.07118750000001</v>
      </c>
      <c r="DV125" s="584">
        <v>35</v>
      </c>
      <c r="DW125" s="584">
        <v>303.76962500000002</v>
      </c>
      <c r="DX125" s="584">
        <v>73.5</v>
      </c>
      <c r="DY125" s="584">
        <v>401.0265</v>
      </c>
      <c r="DZ125" s="584">
        <v>154</v>
      </c>
      <c r="EA125" s="1062">
        <v>0.66</v>
      </c>
      <c r="EB125" s="1046">
        <v>0.2</v>
      </c>
      <c r="EC125" s="1093">
        <v>132.51783893985726</v>
      </c>
      <c r="ED125" s="1046">
        <v>0</v>
      </c>
      <c r="EE125" s="1046">
        <v>285.42303771661568</v>
      </c>
      <c r="EF125" s="1046">
        <v>17.12142857142857</v>
      </c>
      <c r="EG125" s="1046">
        <v>0</v>
      </c>
      <c r="EH125" s="1046">
        <v>0</v>
      </c>
      <c r="EI125" s="1046" t="s">
        <v>448</v>
      </c>
      <c r="EJ125" s="1046" t="s">
        <v>492</v>
      </c>
      <c r="EK125" s="1046">
        <v>0</v>
      </c>
      <c r="EL125" s="1046">
        <v>0</v>
      </c>
      <c r="EM125" s="1046">
        <v>0</v>
      </c>
      <c r="EN125" s="1046">
        <v>0</v>
      </c>
      <c r="EO125" s="1046">
        <v>0</v>
      </c>
      <c r="EP125" s="1094">
        <v>66.751456999999988</v>
      </c>
      <c r="EQ125" s="1094">
        <v>35</v>
      </c>
      <c r="ER125" s="1094">
        <v>133.50291399999998</v>
      </c>
      <c r="ES125" s="1095">
        <v>70</v>
      </c>
      <c r="ET125" s="1094">
        <v>267.00582799999995</v>
      </c>
      <c r="EU125" s="1094">
        <v>140</v>
      </c>
      <c r="EV125" s="1096">
        <v>0.60799999999999998</v>
      </c>
      <c r="EW125" s="1097">
        <v>0.15</v>
      </c>
      <c r="EX125" s="1096">
        <v>289.50050968399592</v>
      </c>
      <c r="EY125" s="1096">
        <v>1.5443934760448521</v>
      </c>
      <c r="EZ125" s="1096">
        <v>0</v>
      </c>
      <c r="FA125" s="1096">
        <v>21.25714285714286</v>
      </c>
      <c r="FB125" s="1098">
        <v>0</v>
      </c>
      <c r="FC125" s="1098">
        <v>0</v>
      </c>
      <c r="FD125" s="1098" t="s">
        <v>458</v>
      </c>
      <c r="FE125" s="1098" t="s">
        <v>481</v>
      </c>
      <c r="FF125" s="1098">
        <v>2</v>
      </c>
      <c r="FG125" s="1098">
        <v>0</v>
      </c>
      <c r="FH125" s="1098">
        <v>0</v>
      </c>
      <c r="FI125" s="1098">
        <v>0</v>
      </c>
      <c r="FJ125" s="1098">
        <v>0</v>
      </c>
      <c r="FK125" s="1096">
        <v>51.431563000000004</v>
      </c>
      <c r="FL125" s="1096">
        <v>35</v>
      </c>
      <c r="FM125" s="1096">
        <v>102.86312600000001</v>
      </c>
      <c r="FN125" s="1096">
        <v>70</v>
      </c>
      <c r="FO125" s="1096">
        <v>205.72625200000002</v>
      </c>
      <c r="FP125" s="1099">
        <v>140</v>
      </c>
      <c r="FQ125" s="1064">
        <v>0.64700000000000002</v>
      </c>
      <c r="FR125" s="1065">
        <v>0.15</v>
      </c>
      <c r="FS125" s="1066">
        <v>289.50050968399586</v>
      </c>
      <c r="FT125" s="1066">
        <v>3.1547324150233758</v>
      </c>
      <c r="FU125" s="1065"/>
      <c r="FV125" s="1066">
        <v>32.456334143091361</v>
      </c>
      <c r="FW125" s="1065"/>
      <c r="FX125" s="1065"/>
      <c r="FY125" s="1065" t="s">
        <v>479</v>
      </c>
      <c r="FZ125" s="1065" t="s">
        <v>490</v>
      </c>
      <c r="GA125" s="1065">
        <v>1</v>
      </c>
      <c r="GB125" s="1065"/>
      <c r="GC125" s="1065"/>
      <c r="GD125" s="1065"/>
      <c r="GE125" s="1065"/>
      <c r="GF125" s="1066">
        <v>51.650823881091469</v>
      </c>
      <c r="GG125" s="1066">
        <v>35</v>
      </c>
      <c r="GH125" s="1066">
        <v>103.30164776218294</v>
      </c>
      <c r="GI125" s="1066">
        <v>70</v>
      </c>
      <c r="GJ125" s="1066">
        <v>206.60329552436588</v>
      </c>
      <c r="GK125" s="1066">
        <v>140</v>
      </c>
      <c r="GL125" s="584">
        <v>0.57979999999999998</v>
      </c>
      <c r="GM125" s="584">
        <v>0.13</v>
      </c>
      <c r="GN125" s="584"/>
      <c r="GO125" s="584"/>
      <c r="GP125" s="584"/>
      <c r="GQ125" s="584">
        <v>21.480357142857098</v>
      </c>
      <c r="GR125" s="584"/>
      <c r="GS125" s="584">
        <v>66.2589194699286</v>
      </c>
      <c r="GT125" s="584" t="s">
        <v>461</v>
      </c>
      <c r="GU125" s="584" t="s">
        <v>461</v>
      </c>
      <c r="GV125" s="584">
        <v>1</v>
      </c>
      <c r="GW125" s="584"/>
      <c r="GX125" s="584"/>
      <c r="GY125" s="584"/>
      <c r="GZ125" s="584"/>
      <c r="HA125" s="584">
        <v>19.050112250000002</v>
      </c>
      <c r="HB125" s="584">
        <v>35</v>
      </c>
      <c r="HC125" s="584">
        <v>38.100224500000003</v>
      </c>
      <c r="HD125" s="584">
        <v>70</v>
      </c>
      <c r="HE125" s="584">
        <v>76.200449000000006</v>
      </c>
      <c r="HF125" s="584">
        <v>140</v>
      </c>
      <c r="HG125" s="1100">
        <v>0.73</v>
      </c>
      <c r="HH125" s="1100">
        <v>0.13</v>
      </c>
      <c r="HI125" s="1101">
        <v>0</v>
      </c>
      <c r="HJ125" s="1101">
        <v>0</v>
      </c>
      <c r="HK125" s="1101">
        <v>0</v>
      </c>
      <c r="HL125" s="1101">
        <v>0</v>
      </c>
      <c r="HM125" s="1101">
        <v>31.725000000000001</v>
      </c>
      <c r="HN125" s="1101">
        <v>65</v>
      </c>
      <c r="HO125" s="1101">
        <v>0</v>
      </c>
      <c r="HP125" s="1101">
        <v>0</v>
      </c>
      <c r="HQ125" s="1101">
        <v>1</v>
      </c>
      <c r="HR125" s="1101">
        <v>0.6</v>
      </c>
      <c r="HS125" s="1101">
        <v>0.6</v>
      </c>
      <c r="HT125" s="1101">
        <v>0.3</v>
      </c>
      <c r="HU125" s="1101">
        <v>0.28000000000000003</v>
      </c>
      <c r="HV125" s="1101">
        <v>20.284211499999998</v>
      </c>
      <c r="HW125" s="1101">
        <v>35</v>
      </c>
      <c r="HX125" s="1101">
        <v>40.568422999999996</v>
      </c>
      <c r="HY125" s="1101">
        <v>70</v>
      </c>
      <c r="HZ125" s="1101">
        <v>81.136845999999991</v>
      </c>
      <c r="IA125" s="1101">
        <v>140</v>
      </c>
      <c r="IB125" s="1062"/>
      <c r="ID125" s="1050"/>
      <c r="IE125" s="1050"/>
      <c r="IF125" s="1103"/>
      <c r="IG125" s="1103"/>
      <c r="IH125" s="1103"/>
      <c r="II125" s="1103"/>
      <c r="IJ125" s="1103"/>
      <c r="IK125" s="1103"/>
      <c r="IL125" s="1103"/>
      <c r="IM125" s="1050"/>
      <c r="IN125" s="1050"/>
      <c r="IO125" s="1050"/>
      <c r="IP125" s="1050"/>
      <c r="IQ125" s="1103"/>
      <c r="IR125" s="1103"/>
      <c r="IS125" s="1103"/>
      <c r="IT125" s="1103"/>
      <c r="IU125" s="1103"/>
      <c r="IV125" s="1103"/>
      <c r="JU125" s="1050"/>
      <c r="JV125" s="1103"/>
      <c r="JW125" s="1103"/>
      <c r="JX125" s="1103"/>
      <c r="JY125" s="1103"/>
      <c r="JZ125" s="1103"/>
      <c r="KA125" s="1103"/>
      <c r="KB125" s="1103"/>
      <c r="KC125" s="1050"/>
      <c r="KD125" s="1050"/>
      <c r="KE125" s="1050"/>
      <c r="KF125" s="1050"/>
      <c r="KG125" s="1103"/>
      <c r="KH125" s="1103"/>
      <c r="KI125" s="1103"/>
      <c r="KJ125" s="1103"/>
      <c r="KK125" s="1103"/>
      <c r="KL125" s="1103"/>
      <c r="KM125" s="1103"/>
      <c r="KN125" s="1103"/>
    </row>
    <row r="126" spans="2:300">
      <c r="B126" s="1048" t="str">
        <f t="shared" si="4"/>
        <v>R79</v>
      </c>
      <c r="C126" s="1046">
        <v>7</v>
      </c>
      <c r="D126" s="1046">
        <v>9</v>
      </c>
      <c r="E126" s="584">
        <v>0.28999999999999998</v>
      </c>
      <c r="F126" s="584">
        <v>0.28999999999999998</v>
      </c>
      <c r="G126" s="584">
        <v>696</v>
      </c>
      <c r="H126" s="584">
        <v>20.88</v>
      </c>
      <c r="I126" s="584">
        <v>0</v>
      </c>
      <c r="J126" s="584">
        <v>0</v>
      </c>
      <c r="K126" s="584">
        <v>0</v>
      </c>
      <c r="L126" s="584">
        <v>0</v>
      </c>
      <c r="M126" s="584">
        <v>0</v>
      </c>
      <c r="N126" s="584">
        <v>0</v>
      </c>
      <c r="O126" s="584">
        <v>0</v>
      </c>
      <c r="P126" s="584">
        <v>0</v>
      </c>
      <c r="Q126" s="584">
        <v>0</v>
      </c>
      <c r="R126" s="584">
        <v>0</v>
      </c>
      <c r="S126" s="584">
        <v>0</v>
      </c>
      <c r="T126" s="584">
        <v>224.74993749999999</v>
      </c>
      <c r="U126" s="584">
        <v>39.375</v>
      </c>
      <c r="V126" s="584">
        <v>376.2061875</v>
      </c>
      <c r="W126" s="584">
        <v>82.6875</v>
      </c>
      <c r="X126" s="584">
        <v>546.06600000000003</v>
      </c>
      <c r="Y126" s="584">
        <v>173.25</v>
      </c>
      <c r="Z126" s="584">
        <v>0.24</v>
      </c>
      <c r="AA126" s="584">
        <v>0.24</v>
      </c>
      <c r="AB126" s="584">
        <v>576</v>
      </c>
      <c r="AC126" s="584">
        <v>18</v>
      </c>
      <c r="AD126" s="584">
        <v>0</v>
      </c>
      <c r="AE126" s="584">
        <v>0</v>
      </c>
      <c r="AF126" s="584">
        <v>0</v>
      </c>
      <c r="AG126" s="584">
        <v>0</v>
      </c>
      <c r="AH126" s="584">
        <v>0</v>
      </c>
      <c r="AI126" s="584">
        <v>0</v>
      </c>
      <c r="AJ126" s="584">
        <v>0</v>
      </c>
      <c r="AK126" s="584">
        <v>0</v>
      </c>
      <c r="AL126" s="584">
        <v>0</v>
      </c>
      <c r="AM126" s="584">
        <v>0</v>
      </c>
      <c r="AN126" s="584">
        <v>0</v>
      </c>
      <c r="AO126" s="584">
        <v>203.0124375</v>
      </c>
      <c r="AP126" s="584">
        <v>39.375</v>
      </c>
      <c r="AQ126" s="584">
        <v>332.49993749999999</v>
      </c>
      <c r="AR126" s="584">
        <v>82.6875</v>
      </c>
      <c r="AS126" s="584">
        <v>459.44099999999997</v>
      </c>
      <c r="AT126" s="584">
        <v>173.25</v>
      </c>
      <c r="AU126" s="584">
        <v>0.52500000000000002</v>
      </c>
      <c r="AV126" s="584">
        <v>0.255</v>
      </c>
      <c r="AW126" s="584">
        <v>459.11314912637101</v>
      </c>
      <c r="AX126" s="584">
        <v>26.761799573344199</v>
      </c>
      <c r="AY126" s="584">
        <v>0</v>
      </c>
      <c r="AZ126" s="584">
        <v>0</v>
      </c>
      <c r="BA126" s="584">
        <v>0</v>
      </c>
      <c r="BB126" s="584">
        <v>0</v>
      </c>
      <c r="BC126" s="584">
        <v>0</v>
      </c>
      <c r="BD126" s="584">
        <v>0</v>
      </c>
      <c r="BE126" s="584">
        <v>0</v>
      </c>
      <c r="BF126" s="584">
        <v>0</v>
      </c>
      <c r="BG126" s="584">
        <v>0.52500000000000002</v>
      </c>
      <c r="BH126" s="584">
        <v>0</v>
      </c>
      <c r="BI126" s="584">
        <v>0.45</v>
      </c>
      <c r="BJ126" s="584">
        <v>190.540577948497</v>
      </c>
      <c r="BK126" s="584">
        <v>39.375</v>
      </c>
      <c r="BL126" s="584">
        <v>291.09232693899799</v>
      </c>
      <c r="BM126" s="584">
        <v>82.6875</v>
      </c>
      <c r="BN126" s="584">
        <v>364.78036330251899</v>
      </c>
      <c r="BO126" s="584">
        <v>173.25</v>
      </c>
      <c r="BP126" s="584">
        <v>0.52500000000000002</v>
      </c>
      <c r="BQ126" s="584">
        <v>0.16</v>
      </c>
      <c r="BR126" s="584">
        <v>475.70052824055301</v>
      </c>
      <c r="BS126" s="584">
        <v>21.173787586347</v>
      </c>
      <c r="BT126" s="584">
        <v>0</v>
      </c>
      <c r="BU126" s="584">
        <v>0</v>
      </c>
      <c r="BV126" s="584">
        <v>0</v>
      </c>
      <c r="BW126" s="584">
        <v>0</v>
      </c>
      <c r="BX126" s="584">
        <v>0</v>
      </c>
      <c r="BY126" s="584">
        <v>0</v>
      </c>
      <c r="BZ126" s="584">
        <v>0</v>
      </c>
      <c r="CA126" s="584">
        <v>0.35</v>
      </c>
      <c r="CB126" s="584">
        <v>0.52500000000000002</v>
      </c>
      <c r="CC126" s="584">
        <v>0.3</v>
      </c>
      <c r="CD126" s="584">
        <v>0.3</v>
      </c>
      <c r="CE126" s="584">
        <v>197.07905</v>
      </c>
      <c r="CF126" s="584">
        <v>39.375</v>
      </c>
      <c r="CG126" s="584">
        <v>312.00779999999997</v>
      </c>
      <c r="CH126" s="584">
        <v>82.6875</v>
      </c>
      <c r="CI126" s="584">
        <v>353.74529999999999</v>
      </c>
      <c r="CJ126" s="584">
        <v>173.25</v>
      </c>
      <c r="CK126" s="584">
        <v>0.55000000000000004</v>
      </c>
      <c r="CL126" s="584">
        <v>0.19500000000000001</v>
      </c>
      <c r="CM126" s="584">
        <v>524.36805414465698</v>
      </c>
      <c r="CN126" s="584">
        <v>21.057634345794401</v>
      </c>
      <c r="CO126" s="584">
        <v>0</v>
      </c>
      <c r="CP126" s="584">
        <v>0</v>
      </c>
      <c r="CQ126" s="584">
        <v>0</v>
      </c>
      <c r="CR126" s="584">
        <v>0</v>
      </c>
      <c r="CS126" s="584">
        <v>0</v>
      </c>
      <c r="CT126" s="584">
        <v>0</v>
      </c>
      <c r="CU126" s="584">
        <v>0</v>
      </c>
      <c r="CV126" s="584">
        <v>0</v>
      </c>
      <c r="CW126" s="584">
        <v>0.55000000000000004</v>
      </c>
      <c r="CX126" s="584">
        <v>0</v>
      </c>
      <c r="CY126" s="584">
        <v>0.45</v>
      </c>
      <c r="CZ126" s="584">
        <v>202.49459999999999</v>
      </c>
      <c r="DA126" s="584">
        <v>39.375</v>
      </c>
      <c r="DB126" s="584">
        <v>314.20710000000003</v>
      </c>
      <c r="DC126" s="584">
        <v>82.6875</v>
      </c>
      <c r="DD126" s="584">
        <v>416.55959999999999</v>
      </c>
      <c r="DE126" s="584">
        <v>173.25</v>
      </c>
      <c r="DF126" s="584">
        <v>0.35</v>
      </c>
      <c r="DG126" s="584">
        <v>0.2</v>
      </c>
      <c r="DH126" s="584">
        <v>313.50365704998001</v>
      </c>
      <c r="DI126" s="584">
        <v>16.849565014221898</v>
      </c>
      <c r="DJ126" s="584">
        <v>300</v>
      </c>
      <c r="DK126" s="584">
        <v>0</v>
      </c>
      <c r="DL126" s="584">
        <v>0</v>
      </c>
      <c r="DM126" s="584">
        <v>0</v>
      </c>
      <c r="DN126" s="584">
        <v>0</v>
      </c>
      <c r="DO126" s="584">
        <v>0</v>
      </c>
      <c r="DP126" s="584">
        <v>0</v>
      </c>
      <c r="DQ126" s="584">
        <v>0</v>
      </c>
      <c r="DR126" s="584">
        <v>0.35</v>
      </c>
      <c r="DS126" s="584">
        <v>0</v>
      </c>
      <c r="DT126" s="584">
        <v>2.4</v>
      </c>
      <c r="DU126" s="584">
        <v>190.19693749999999</v>
      </c>
      <c r="DV126" s="584">
        <v>39.375</v>
      </c>
      <c r="DW126" s="584">
        <v>328.57662499999998</v>
      </c>
      <c r="DX126" s="584">
        <v>82.6875</v>
      </c>
      <c r="DY126" s="584">
        <v>450.07650000000001</v>
      </c>
      <c r="DZ126" s="584">
        <v>173.25</v>
      </c>
      <c r="EA126" s="1062">
        <v>0.71920000000000006</v>
      </c>
      <c r="EB126" s="1046">
        <v>0.25</v>
      </c>
      <c r="EC126" s="1093">
        <v>132.51783893985731</v>
      </c>
      <c r="ED126" s="1046">
        <v>0</v>
      </c>
      <c r="EE126" s="1046">
        <v>346.58511722731902</v>
      </c>
      <c r="EF126" s="1046">
        <v>19.898412698412695</v>
      </c>
      <c r="EG126" s="1046">
        <v>0</v>
      </c>
      <c r="EH126" s="1046">
        <v>0</v>
      </c>
      <c r="EI126" s="1046" t="s">
        <v>444</v>
      </c>
      <c r="EJ126" s="1046" t="s">
        <v>477</v>
      </c>
      <c r="EK126" s="1046">
        <v>0</v>
      </c>
      <c r="EL126" s="1046">
        <v>0</v>
      </c>
      <c r="EM126" s="1046">
        <v>0</v>
      </c>
      <c r="EN126" s="1046">
        <v>0</v>
      </c>
      <c r="EO126" s="1046">
        <v>0</v>
      </c>
      <c r="EP126" s="1094">
        <v>84.974454000000009</v>
      </c>
      <c r="EQ126" s="1094">
        <v>39.375</v>
      </c>
      <c r="ER126" s="1094">
        <v>169.94890800000002</v>
      </c>
      <c r="ES126" s="1095">
        <v>78.75</v>
      </c>
      <c r="ET126" s="1094">
        <v>339.89781600000003</v>
      </c>
      <c r="EU126" s="1094">
        <v>157.5</v>
      </c>
      <c r="EV126" s="1096">
        <v>0.60699999999999998</v>
      </c>
      <c r="EW126" s="1097">
        <v>0.15</v>
      </c>
      <c r="EX126" s="1096">
        <v>289.50050968399592</v>
      </c>
      <c r="EY126" s="1096">
        <v>1.5443934760448521</v>
      </c>
      <c r="EZ126" s="1096">
        <v>0</v>
      </c>
      <c r="FA126" s="1096">
        <v>21.112698412698411</v>
      </c>
      <c r="FB126" s="1098">
        <v>0</v>
      </c>
      <c r="FC126" s="1098">
        <v>0</v>
      </c>
      <c r="FD126" s="1098" t="s">
        <v>450</v>
      </c>
      <c r="FE126" s="1098" t="s">
        <v>481</v>
      </c>
      <c r="FF126" s="1098">
        <v>2</v>
      </c>
      <c r="FG126" s="1098">
        <v>0</v>
      </c>
      <c r="FH126" s="1098">
        <v>0</v>
      </c>
      <c r="FI126" s="1098">
        <v>0</v>
      </c>
      <c r="FJ126" s="1098">
        <v>0</v>
      </c>
      <c r="FK126" s="1096">
        <v>57.838190624999996</v>
      </c>
      <c r="FL126" s="1096">
        <v>39.375</v>
      </c>
      <c r="FM126" s="1096">
        <v>115.67638124999999</v>
      </c>
      <c r="FN126" s="1096">
        <v>78.75</v>
      </c>
      <c r="FO126" s="1096">
        <v>231.35276249999998</v>
      </c>
      <c r="FP126" s="1099">
        <v>157.5</v>
      </c>
      <c r="FQ126" s="1064">
        <v>0.77972000000000008</v>
      </c>
      <c r="FR126" s="1065">
        <v>0.15</v>
      </c>
      <c r="FS126" s="1066">
        <v>289.50050968399586</v>
      </c>
      <c r="FT126" s="1066">
        <v>3.1547324150233758</v>
      </c>
      <c r="FU126" s="1065"/>
      <c r="FV126" s="1066">
        <v>33.149683896912371</v>
      </c>
      <c r="FW126" s="1065"/>
      <c r="FX126" s="1065"/>
      <c r="FY126" s="1065" t="s">
        <v>461</v>
      </c>
      <c r="FZ126" s="1065" t="s">
        <v>481</v>
      </c>
      <c r="GA126" s="1065">
        <v>1</v>
      </c>
      <c r="GB126" s="1065"/>
      <c r="GC126" s="1065"/>
      <c r="GD126" s="1065"/>
      <c r="GE126" s="1065"/>
      <c r="GF126" s="1066">
        <v>58.214304603316407</v>
      </c>
      <c r="GG126" s="1066">
        <v>39.375</v>
      </c>
      <c r="GH126" s="1066">
        <v>116.42860920663281</v>
      </c>
      <c r="GI126" s="1066">
        <v>78.75</v>
      </c>
      <c r="GJ126" s="1066">
        <v>232.85721841326563</v>
      </c>
      <c r="GK126" s="1066">
        <v>157.5</v>
      </c>
      <c r="GL126" s="584">
        <v>0.65469999999999995</v>
      </c>
      <c r="GM126" s="584">
        <v>0.13</v>
      </c>
      <c r="GN126" s="584"/>
      <c r="GO126" s="584"/>
      <c r="GP126" s="584"/>
      <c r="GQ126" s="584">
        <v>24.5825396825397</v>
      </c>
      <c r="GR126" s="584"/>
      <c r="GS126" s="584">
        <v>66.2589194699286</v>
      </c>
      <c r="GT126" s="584" t="s">
        <v>461</v>
      </c>
      <c r="GU126" s="584" t="s">
        <v>438</v>
      </c>
      <c r="GV126" s="584">
        <v>1</v>
      </c>
      <c r="GW126" s="584"/>
      <c r="GX126" s="584"/>
      <c r="GY126" s="584"/>
      <c r="GZ126" s="584"/>
      <c r="HA126" s="584">
        <v>21.91068675</v>
      </c>
      <c r="HB126" s="584">
        <v>39.375</v>
      </c>
      <c r="HC126" s="584">
        <v>43.8213735</v>
      </c>
      <c r="HD126" s="584">
        <v>78.75</v>
      </c>
      <c r="HE126" s="584">
        <v>87.642747</v>
      </c>
      <c r="HF126" s="584">
        <v>157.5</v>
      </c>
      <c r="HG126" s="1100">
        <v>0.81</v>
      </c>
      <c r="HH126" s="1100">
        <v>0.13</v>
      </c>
      <c r="HI126" s="1101">
        <v>0</v>
      </c>
      <c r="HJ126" s="1101">
        <v>0</v>
      </c>
      <c r="HK126" s="1101">
        <v>0</v>
      </c>
      <c r="HL126" s="1101">
        <v>0</v>
      </c>
      <c r="HM126" s="1101">
        <v>32.331428571428575</v>
      </c>
      <c r="HN126" s="1101">
        <v>65</v>
      </c>
      <c r="HO126" s="1101">
        <v>0</v>
      </c>
      <c r="HP126" s="1101">
        <v>0</v>
      </c>
      <c r="HQ126" s="1101">
        <v>1</v>
      </c>
      <c r="HR126" s="1101">
        <v>0.64</v>
      </c>
      <c r="HS126" s="1101">
        <v>0.68</v>
      </c>
      <c r="HT126" s="1101">
        <v>0.3</v>
      </c>
      <c r="HU126" s="1101">
        <v>0.26</v>
      </c>
      <c r="HV126" s="1101">
        <v>22.913435700000001</v>
      </c>
      <c r="HW126" s="1101">
        <v>39.375</v>
      </c>
      <c r="HX126" s="1101">
        <v>45.826871400000002</v>
      </c>
      <c r="HY126" s="1101">
        <v>78.75</v>
      </c>
      <c r="HZ126" s="1101">
        <v>91.653742800000003</v>
      </c>
      <c r="IA126" s="1101">
        <v>157.5</v>
      </c>
      <c r="IB126" s="1062"/>
      <c r="ID126" s="1050"/>
      <c r="IE126" s="1050"/>
      <c r="IF126" s="1103"/>
      <c r="IG126" s="1103"/>
      <c r="IH126" s="1103"/>
      <c r="II126" s="1103"/>
      <c r="IJ126" s="1103"/>
      <c r="IK126" s="1103"/>
      <c r="IL126" s="1103"/>
      <c r="IM126" s="1050"/>
      <c r="IN126" s="1050"/>
      <c r="IO126" s="1050"/>
      <c r="IP126" s="1050"/>
      <c r="IQ126" s="1103"/>
      <c r="IR126" s="1103"/>
      <c r="IS126" s="1103"/>
      <c r="IT126" s="1103"/>
      <c r="IU126" s="1103"/>
      <c r="IV126" s="1103"/>
      <c r="JU126" s="1050"/>
      <c r="JV126" s="1103"/>
      <c r="JW126" s="1103"/>
      <c r="JX126" s="1103"/>
      <c r="JY126" s="1103"/>
      <c r="JZ126" s="1103"/>
      <c r="KA126" s="1103"/>
      <c r="KB126" s="1103"/>
      <c r="KC126" s="1050"/>
      <c r="KD126" s="1050"/>
      <c r="KE126" s="1050"/>
      <c r="KF126" s="1050"/>
      <c r="KG126" s="1103"/>
      <c r="KH126" s="1103"/>
      <c r="KI126" s="1103"/>
      <c r="KJ126" s="1103"/>
      <c r="KK126" s="1103"/>
      <c r="KL126" s="1103"/>
      <c r="KM126" s="1103"/>
      <c r="KN126" s="1103"/>
    </row>
    <row r="127" spans="2:300">
      <c r="B127" s="1048" t="str">
        <f t="shared" si="4"/>
        <v>R710</v>
      </c>
      <c r="C127" s="1046">
        <v>7</v>
      </c>
      <c r="D127" s="1092">
        <v>10</v>
      </c>
      <c r="E127" s="584">
        <v>0.34499999999999997</v>
      </c>
      <c r="F127" s="584">
        <v>0.34499999999999997</v>
      </c>
      <c r="G127" s="584">
        <v>828</v>
      </c>
      <c r="H127" s="584">
        <v>21.39</v>
      </c>
      <c r="I127" s="584">
        <v>0</v>
      </c>
      <c r="J127" s="584">
        <v>0</v>
      </c>
      <c r="K127" s="584">
        <v>0</v>
      </c>
      <c r="L127" s="584">
        <v>0</v>
      </c>
      <c r="M127" s="584">
        <v>0</v>
      </c>
      <c r="N127" s="584">
        <v>0</v>
      </c>
      <c r="O127" s="584">
        <v>0</v>
      </c>
      <c r="P127" s="584">
        <v>0</v>
      </c>
      <c r="Q127" s="584">
        <v>0</v>
      </c>
      <c r="R127" s="584">
        <v>0</v>
      </c>
      <c r="S127" s="584">
        <v>0</v>
      </c>
      <c r="T127" s="584">
        <v>270.84243750000002</v>
      </c>
      <c r="U127" s="584">
        <v>43.75</v>
      </c>
      <c r="V127" s="584">
        <v>470.86368750000003</v>
      </c>
      <c r="W127" s="584">
        <v>91.875</v>
      </c>
      <c r="X127" s="584">
        <v>711.61599999999999</v>
      </c>
      <c r="Y127" s="584">
        <v>192.5</v>
      </c>
      <c r="Z127" s="584">
        <v>0.27500000000000002</v>
      </c>
      <c r="AA127" s="584">
        <v>0.27500000000000002</v>
      </c>
      <c r="AB127" s="584">
        <v>660</v>
      </c>
      <c r="AC127" s="584">
        <v>18</v>
      </c>
      <c r="AD127" s="584">
        <v>0</v>
      </c>
      <c r="AE127" s="584">
        <v>0</v>
      </c>
      <c r="AF127" s="584">
        <v>0</v>
      </c>
      <c r="AG127" s="584">
        <v>0</v>
      </c>
      <c r="AH127" s="584">
        <v>0</v>
      </c>
      <c r="AI127" s="584">
        <v>0</v>
      </c>
      <c r="AJ127" s="584">
        <v>0</v>
      </c>
      <c r="AK127" s="584">
        <v>0</v>
      </c>
      <c r="AL127" s="584">
        <v>0</v>
      </c>
      <c r="AM127" s="584">
        <v>0</v>
      </c>
      <c r="AN127" s="584">
        <v>0</v>
      </c>
      <c r="AO127" s="584">
        <v>237.1724375</v>
      </c>
      <c r="AP127" s="584">
        <v>43.75</v>
      </c>
      <c r="AQ127" s="584">
        <v>402.87618750000001</v>
      </c>
      <c r="AR127" s="584">
        <v>91.875</v>
      </c>
      <c r="AS127" s="584">
        <v>576.86599999999999</v>
      </c>
      <c r="AT127" s="584">
        <v>192.5</v>
      </c>
      <c r="AU127" s="584">
        <v>0.625</v>
      </c>
      <c r="AV127" s="584">
        <v>0.255</v>
      </c>
      <c r="AW127" s="584">
        <v>474.12437328202299</v>
      </c>
      <c r="AX127" s="584">
        <v>27.105337067069801</v>
      </c>
      <c r="AY127" s="584">
        <v>0</v>
      </c>
      <c r="AZ127" s="584">
        <v>0</v>
      </c>
      <c r="BA127" s="584">
        <v>0</v>
      </c>
      <c r="BB127" s="584">
        <v>0</v>
      </c>
      <c r="BC127" s="584">
        <v>0</v>
      </c>
      <c r="BD127" s="584">
        <v>0</v>
      </c>
      <c r="BE127" s="584">
        <v>0</v>
      </c>
      <c r="BF127" s="584">
        <v>0</v>
      </c>
      <c r="BG127" s="584">
        <v>0.625</v>
      </c>
      <c r="BH127" s="584">
        <v>0</v>
      </c>
      <c r="BI127" s="584">
        <v>0.45</v>
      </c>
      <c r="BJ127" s="584">
        <v>208.30961690260199</v>
      </c>
      <c r="BK127" s="584">
        <v>43.75</v>
      </c>
      <c r="BL127" s="584">
        <v>326.59372018794699</v>
      </c>
      <c r="BM127" s="584">
        <v>91.875</v>
      </c>
      <c r="BN127" s="584">
        <v>419.13717424638099</v>
      </c>
      <c r="BO127" s="584">
        <v>192.5</v>
      </c>
      <c r="BP127" s="584">
        <v>0.65</v>
      </c>
      <c r="BQ127" s="584">
        <v>0.16500000000000001</v>
      </c>
      <c r="BR127" s="584">
        <v>510.37603078614598</v>
      </c>
      <c r="BS127" s="584">
        <v>25.993049752611299</v>
      </c>
      <c r="BT127" s="584">
        <v>0</v>
      </c>
      <c r="BU127" s="584">
        <v>0</v>
      </c>
      <c r="BV127" s="584">
        <v>0</v>
      </c>
      <c r="BW127" s="584">
        <v>0</v>
      </c>
      <c r="BX127" s="584">
        <v>0</v>
      </c>
      <c r="BY127" s="584">
        <v>0</v>
      </c>
      <c r="BZ127" s="584">
        <v>0</v>
      </c>
      <c r="CA127" s="584">
        <v>0.35</v>
      </c>
      <c r="CB127" s="584">
        <v>0.65</v>
      </c>
      <c r="CC127" s="584">
        <v>0.3</v>
      </c>
      <c r="CD127" s="584">
        <v>0.3</v>
      </c>
      <c r="CE127" s="584">
        <v>223.35495</v>
      </c>
      <c r="CF127" s="584">
        <v>43.75</v>
      </c>
      <c r="CG127" s="584">
        <v>364.00245000000001</v>
      </c>
      <c r="CH127" s="584">
        <v>91.875</v>
      </c>
      <c r="CI127" s="584">
        <v>408.93369999999999</v>
      </c>
      <c r="CJ127" s="584">
        <v>192.5</v>
      </c>
      <c r="CK127" s="584">
        <v>0.625</v>
      </c>
      <c r="CL127" s="584">
        <v>0.19500000000000001</v>
      </c>
      <c r="CM127" s="584">
        <v>539.88455195162203</v>
      </c>
      <c r="CN127" s="584">
        <v>20.969029686641001</v>
      </c>
      <c r="CO127" s="584">
        <v>0</v>
      </c>
      <c r="CP127" s="584">
        <v>0</v>
      </c>
      <c r="CQ127" s="584">
        <v>0</v>
      </c>
      <c r="CR127" s="584">
        <v>0</v>
      </c>
      <c r="CS127" s="584">
        <v>0</v>
      </c>
      <c r="CT127" s="584">
        <v>0</v>
      </c>
      <c r="CU127" s="584">
        <v>0</v>
      </c>
      <c r="CV127" s="584">
        <v>0</v>
      </c>
      <c r="CW127" s="584">
        <v>0.625</v>
      </c>
      <c r="CX127" s="584">
        <v>0</v>
      </c>
      <c r="CY127" s="584">
        <v>0.6</v>
      </c>
      <c r="CZ127" s="584">
        <v>225.80609999999999</v>
      </c>
      <c r="DA127" s="584">
        <v>43.75</v>
      </c>
      <c r="DB127" s="584">
        <v>356.56484999999998</v>
      </c>
      <c r="DC127" s="584">
        <v>91.875</v>
      </c>
      <c r="DD127" s="584">
        <v>470.1961</v>
      </c>
      <c r="DE127" s="584">
        <v>192.5</v>
      </c>
      <c r="DF127" s="584">
        <v>0.375</v>
      </c>
      <c r="DG127" s="584">
        <v>0.2</v>
      </c>
      <c r="DH127" s="584">
        <v>334.27570093457899</v>
      </c>
      <c r="DI127" s="584">
        <v>16.633022539857102</v>
      </c>
      <c r="DJ127" s="584">
        <v>300</v>
      </c>
      <c r="DK127" s="584">
        <v>0</v>
      </c>
      <c r="DL127" s="584">
        <v>0</v>
      </c>
      <c r="DM127" s="584">
        <v>0</v>
      </c>
      <c r="DN127" s="584">
        <v>0</v>
      </c>
      <c r="DO127" s="584">
        <v>0</v>
      </c>
      <c r="DP127" s="584">
        <v>0</v>
      </c>
      <c r="DQ127" s="584">
        <v>0</v>
      </c>
      <c r="DR127" s="584">
        <v>0.375</v>
      </c>
      <c r="DS127" s="584">
        <v>0</v>
      </c>
      <c r="DT127" s="584">
        <v>2.4</v>
      </c>
      <c r="DU127" s="584">
        <v>209.94943749999999</v>
      </c>
      <c r="DV127" s="584">
        <v>43.75</v>
      </c>
      <c r="DW127" s="584">
        <v>360.82287500000001</v>
      </c>
      <c r="DX127" s="584">
        <v>91.875</v>
      </c>
      <c r="DY127" s="584">
        <v>514.06574999999998</v>
      </c>
      <c r="DZ127" s="584">
        <v>192.5</v>
      </c>
      <c r="EA127" s="1062">
        <v>0.78060000000000007</v>
      </c>
      <c r="EB127" s="1046">
        <v>0.3</v>
      </c>
      <c r="EC127" s="1093">
        <v>132.51783893985731</v>
      </c>
      <c r="ED127" s="1046">
        <v>0</v>
      </c>
      <c r="EE127" s="1046">
        <v>397.55351681957183</v>
      </c>
      <c r="EF127" s="1046">
        <v>23.930000000000003</v>
      </c>
      <c r="EG127" s="1046">
        <v>0</v>
      </c>
      <c r="EH127" s="1046">
        <v>0</v>
      </c>
      <c r="EI127" s="1046" t="s">
        <v>442</v>
      </c>
      <c r="EJ127" s="1046" t="s">
        <v>465</v>
      </c>
      <c r="EK127" s="1046">
        <v>0</v>
      </c>
      <c r="EL127" s="1046">
        <v>0</v>
      </c>
      <c r="EM127" s="1046">
        <v>0</v>
      </c>
      <c r="EN127" s="1046">
        <v>0</v>
      </c>
      <c r="EO127" s="1046">
        <v>0</v>
      </c>
      <c r="EP127" s="1094">
        <v>103.85818275</v>
      </c>
      <c r="EQ127" s="1094">
        <v>43.75</v>
      </c>
      <c r="ER127" s="1094">
        <v>207.71636549999999</v>
      </c>
      <c r="ES127" s="1095">
        <v>87.5</v>
      </c>
      <c r="ET127" s="1094">
        <v>415.43273099999999</v>
      </c>
      <c r="EU127" s="1094">
        <v>175</v>
      </c>
      <c r="EV127" s="1096">
        <v>0.61</v>
      </c>
      <c r="EW127" s="1097">
        <v>0.15</v>
      </c>
      <c r="EX127" s="1096">
        <v>289.50050968399592</v>
      </c>
      <c r="EY127" s="1096">
        <v>1.5443934760448521</v>
      </c>
      <c r="EZ127" s="1096">
        <v>0</v>
      </c>
      <c r="FA127" s="1096">
        <v>23.657142857142858</v>
      </c>
      <c r="FB127" s="1098">
        <v>0</v>
      </c>
      <c r="FC127" s="1098">
        <v>0</v>
      </c>
      <c r="FD127" s="1098" t="s">
        <v>448</v>
      </c>
      <c r="FE127" s="1098" t="s">
        <v>468</v>
      </c>
      <c r="FF127" s="1098">
        <v>2</v>
      </c>
      <c r="FG127" s="1098">
        <v>0</v>
      </c>
      <c r="FH127" s="1098">
        <v>0</v>
      </c>
      <c r="FI127" s="1098">
        <v>0</v>
      </c>
      <c r="FJ127" s="1098">
        <v>0</v>
      </c>
      <c r="FK127" s="1096">
        <v>64.701473749999991</v>
      </c>
      <c r="FL127" s="1096">
        <v>43.75</v>
      </c>
      <c r="FM127" s="1096">
        <v>129.40294749999998</v>
      </c>
      <c r="FN127" s="1096">
        <v>87.5</v>
      </c>
      <c r="FO127" s="1096">
        <v>258.80589499999996</v>
      </c>
      <c r="FP127" s="1099">
        <v>175</v>
      </c>
      <c r="FQ127" s="1064">
        <v>0.78455946703562329</v>
      </c>
      <c r="FR127" s="1065">
        <v>0.15</v>
      </c>
      <c r="FS127" s="1066">
        <v>289.50050968399586</v>
      </c>
      <c r="FT127" s="1066">
        <v>3.1547324150233758</v>
      </c>
      <c r="FU127" s="1065"/>
      <c r="FV127" s="1066">
        <v>34.830473513934322</v>
      </c>
      <c r="FW127" s="1065"/>
      <c r="FX127" s="1065"/>
      <c r="FY127" s="1065" t="s">
        <v>461</v>
      </c>
      <c r="FZ127" s="1065" t="s">
        <v>461</v>
      </c>
      <c r="GA127" s="1065">
        <v>1</v>
      </c>
      <c r="GB127" s="1065"/>
      <c r="GC127" s="1065"/>
      <c r="GD127" s="1065"/>
      <c r="GE127" s="1065"/>
      <c r="GF127" s="1066">
        <v>64.971110227853785</v>
      </c>
      <c r="GG127" s="1066">
        <v>43.75</v>
      </c>
      <c r="GH127" s="1066">
        <v>129.94222045570757</v>
      </c>
      <c r="GI127" s="1066">
        <v>87.5</v>
      </c>
      <c r="GJ127" s="1066">
        <v>259.88444091141514</v>
      </c>
      <c r="GK127" s="1066">
        <v>175</v>
      </c>
      <c r="GL127" s="584">
        <v>0.72860000000000003</v>
      </c>
      <c r="GM127" s="584">
        <v>0.13</v>
      </c>
      <c r="GN127" s="584"/>
      <c r="GO127" s="584"/>
      <c r="GP127" s="584"/>
      <c r="GQ127" s="584">
        <v>29.351428571428599</v>
      </c>
      <c r="GR127" s="584"/>
      <c r="GS127" s="584">
        <v>66.2589194699286</v>
      </c>
      <c r="GT127" s="584" t="s">
        <v>459</v>
      </c>
      <c r="GU127" s="584" t="s">
        <v>416</v>
      </c>
      <c r="GV127" s="584">
        <v>1</v>
      </c>
      <c r="GW127" s="584"/>
      <c r="GX127" s="584"/>
      <c r="GY127" s="584"/>
      <c r="GZ127" s="584"/>
      <c r="HA127" s="584">
        <v>25.1639065</v>
      </c>
      <c r="HB127" s="584">
        <v>43.75</v>
      </c>
      <c r="HC127" s="584">
        <v>50.327812999999999</v>
      </c>
      <c r="HD127" s="584">
        <v>87.5</v>
      </c>
      <c r="HE127" s="584">
        <v>100.655626</v>
      </c>
      <c r="HF127" s="584">
        <v>175</v>
      </c>
      <c r="HG127" s="1100">
        <v>0.89</v>
      </c>
      <c r="HH127" s="1100">
        <v>0.13</v>
      </c>
      <c r="HI127" s="1101">
        <v>0</v>
      </c>
      <c r="HJ127" s="1101">
        <v>0</v>
      </c>
      <c r="HK127" s="1101">
        <v>0</v>
      </c>
      <c r="HL127" s="1101">
        <v>0</v>
      </c>
      <c r="HM127" s="1101">
        <v>38.494285714285716</v>
      </c>
      <c r="HN127" s="1101">
        <v>65</v>
      </c>
      <c r="HO127" s="1101">
        <v>0</v>
      </c>
      <c r="HP127" s="1101">
        <v>0</v>
      </c>
      <c r="HQ127" s="1101">
        <v>1</v>
      </c>
      <c r="HR127" s="1101">
        <v>0.68</v>
      </c>
      <c r="HS127" s="1101">
        <v>0.76</v>
      </c>
      <c r="HT127" s="1101">
        <v>0.3</v>
      </c>
      <c r="HU127" s="1101">
        <v>0.3</v>
      </c>
      <c r="HV127" s="1101">
        <v>26.517381500000003</v>
      </c>
      <c r="HW127" s="1101">
        <v>43.75</v>
      </c>
      <c r="HX127" s="1101">
        <v>53.034763000000005</v>
      </c>
      <c r="HY127" s="1101">
        <v>87.5</v>
      </c>
      <c r="HZ127" s="1101">
        <v>106.06952600000001</v>
      </c>
      <c r="IA127" s="1101">
        <v>175</v>
      </c>
      <c r="IB127" s="1062"/>
      <c r="IC127" s="1092"/>
      <c r="ID127" s="1050"/>
      <c r="IE127" s="1050"/>
      <c r="IF127" s="1103"/>
      <c r="IG127" s="1103"/>
      <c r="IH127" s="1103"/>
      <c r="II127" s="1103"/>
      <c r="IJ127" s="1103"/>
      <c r="IK127" s="1103"/>
      <c r="IL127" s="1103"/>
      <c r="IM127" s="1050"/>
      <c r="IN127" s="1050"/>
      <c r="IO127" s="1050"/>
      <c r="IP127" s="1050"/>
      <c r="IQ127" s="1103"/>
      <c r="IR127" s="1103"/>
      <c r="IS127" s="1103"/>
      <c r="IT127" s="1103"/>
      <c r="IU127" s="1103"/>
      <c r="IV127" s="1103"/>
      <c r="JS127" s="1092"/>
      <c r="JU127" s="1050"/>
      <c r="JV127" s="1103"/>
      <c r="JW127" s="1103"/>
      <c r="JX127" s="1103"/>
      <c r="JY127" s="1103"/>
      <c r="JZ127" s="1103"/>
      <c r="KA127" s="1103"/>
      <c r="KB127" s="1103"/>
      <c r="KC127" s="1050"/>
      <c r="KD127" s="1050"/>
      <c r="KE127" s="1050"/>
      <c r="KF127" s="1050"/>
      <c r="KG127" s="1103"/>
      <c r="KH127" s="1103"/>
      <c r="KI127" s="1103"/>
      <c r="KJ127" s="1103"/>
      <c r="KK127" s="1103"/>
      <c r="KL127" s="1103"/>
      <c r="KM127" s="1103"/>
      <c r="KN127" s="1103"/>
    </row>
    <row r="128" spans="2:300">
      <c r="B128" s="1048" t="str">
        <f t="shared" si="4"/>
        <v>R711</v>
      </c>
      <c r="C128" s="1046">
        <v>7</v>
      </c>
      <c r="D128" s="1092">
        <v>11</v>
      </c>
      <c r="E128" s="584">
        <v>0.39</v>
      </c>
      <c r="F128" s="584">
        <v>0.39</v>
      </c>
      <c r="G128" s="584">
        <v>936</v>
      </c>
      <c r="H128" s="584">
        <v>23.01</v>
      </c>
      <c r="I128" s="584">
        <v>0</v>
      </c>
      <c r="J128" s="584">
        <v>0</v>
      </c>
      <c r="K128" s="584">
        <v>0</v>
      </c>
      <c r="L128" s="584">
        <v>0</v>
      </c>
      <c r="M128" s="584">
        <v>0</v>
      </c>
      <c r="N128" s="584">
        <v>0</v>
      </c>
      <c r="O128" s="584">
        <v>0</v>
      </c>
      <c r="P128" s="584">
        <v>0</v>
      </c>
      <c r="Q128" s="584">
        <v>0</v>
      </c>
      <c r="R128" s="584">
        <v>0</v>
      </c>
      <c r="S128" s="584">
        <v>0</v>
      </c>
      <c r="T128" s="584">
        <v>316.74993749999999</v>
      </c>
      <c r="U128" s="584">
        <v>48.125</v>
      </c>
      <c r="V128" s="584">
        <v>565.5211875</v>
      </c>
      <c r="W128" s="584">
        <v>101.0625</v>
      </c>
      <c r="X128" s="584">
        <v>877.16600000000005</v>
      </c>
      <c r="Y128" s="584">
        <v>211.75</v>
      </c>
      <c r="Z128" s="584">
        <v>0.31</v>
      </c>
      <c r="AA128" s="584">
        <v>0.31</v>
      </c>
      <c r="AB128" s="584">
        <v>744</v>
      </c>
      <c r="AC128" s="584">
        <v>19</v>
      </c>
      <c r="AD128" s="584">
        <v>0</v>
      </c>
      <c r="AE128" s="584">
        <v>0</v>
      </c>
      <c r="AF128" s="584">
        <v>0</v>
      </c>
      <c r="AG128" s="584">
        <v>0</v>
      </c>
      <c r="AH128" s="584">
        <v>0</v>
      </c>
      <c r="AI128" s="584">
        <v>0</v>
      </c>
      <c r="AJ128" s="584">
        <v>0</v>
      </c>
      <c r="AK128" s="584">
        <v>0</v>
      </c>
      <c r="AL128" s="584">
        <v>0</v>
      </c>
      <c r="AM128" s="584">
        <v>0</v>
      </c>
      <c r="AN128" s="584">
        <v>0</v>
      </c>
      <c r="AO128" s="584">
        <v>274.56993749999998</v>
      </c>
      <c r="AP128" s="584">
        <v>48.125</v>
      </c>
      <c r="AQ128" s="584">
        <v>480.05118750000003</v>
      </c>
      <c r="AR128" s="584">
        <v>101.0625</v>
      </c>
      <c r="AS128" s="584">
        <v>707.76599999999996</v>
      </c>
      <c r="AT128" s="584">
        <v>211.75</v>
      </c>
      <c r="AU128" s="584">
        <v>0.72499999999999998</v>
      </c>
      <c r="AV128" s="584">
        <v>0.255</v>
      </c>
      <c r="AW128" s="584">
        <v>490.89925984646197</v>
      </c>
      <c r="AX128" s="584">
        <v>26.990413155040098</v>
      </c>
      <c r="AY128" s="584">
        <v>0</v>
      </c>
      <c r="AZ128" s="584">
        <v>0</v>
      </c>
      <c r="BA128" s="584">
        <v>0</v>
      </c>
      <c r="BB128" s="584">
        <v>0</v>
      </c>
      <c r="BC128" s="584">
        <v>0</v>
      </c>
      <c r="BD128" s="584">
        <v>0</v>
      </c>
      <c r="BE128" s="584">
        <v>0</v>
      </c>
      <c r="BF128" s="584">
        <v>0</v>
      </c>
      <c r="BG128" s="584">
        <v>0.72499999999999998</v>
      </c>
      <c r="BH128" s="584">
        <v>0</v>
      </c>
      <c r="BI128" s="584">
        <v>0.45</v>
      </c>
      <c r="BJ128" s="584">
        <v>229.18794258907701</v>
      </c>
      <c r="BK128" s="584">
        <v>48.125</v>
      </c>
      <c r="BL128" s="584">
        <v>366.09561129891898</v>
      </c>
      <c r="BM128" s="584">
        <v>101.0625</v>
      </c>
      <c r="BN128" s="584">
        <v>475.75735933119199</v>
      </c>
      <c r="BO128" s="584">
        <v>211.75</v>
      </c>
      <c r="BP128" s="584">
        <v>0</v>
      </c>
      <c r="BQ128" s="584">
        <v>0</v>
      </c>
      <c r="BR128" s="584">
        <v>0</v>
      </c>
      <c r="BS128" s="584">
        <v>0</v>
      </c>
      <c r="BT128" s="584">
        <v>0</v>
      </c>
      <c r="BU128" s="584">
        <v>0</v>
      </c>
      <c r="BV128" s="584">
        <v>0</v>
      </c>
      <c r="BW128" s="584">
        <v>0</v>
      </c>
      <c r="BX128" s="584">
        <v>0</v>
      </c>
      <c r="BY128" s="584">
        <v>0</v>
      </c>
      <c r="BZ128" s="584">
        <v>0</v>
      </c>
      <c r="CA128" s="584">
        <v>0</v>
      </c>
      <c r="CB128" s="584">
        <v>0</v>
      </c>
      <c r="CC128" s="584">
        <v>0</v>
      </c>
      <c r="CD128" s="584">
        <v>0</v>
      </c>
      <c r="CE128" s="584">
        <v>0</v>
      </c>
      <c r="CF128" s="584">
        <v>0</v>
      </c>
      <c r="CG128" s="584">
        <v>0</v>
      </c>
      <c r="CH128" s="584">
        <v>0</v>
      </c>
      <c r="CI128" s="584">
        <v>0</v>
      </c>
      <c r="CJ128" s="584">
        <v>0</v>
      </c>
      <c r="CK128" s="584">
        <v>0.72499999999999998</v>
      </c>
      <c r="CL128" s="584">
        <v>0.19500000000000001</v>
      </c>
      <c r="CM128" s="584">
        <v>556.26668891855797</v>
      </c>
      <c r="CN128" s="584">
        <v>21.071246244993301</v>
      </c>
      <c r="CO128" s="584">
        <v>0</v>
      </c>
      <c r="CP128" s="584">
        <v>0</v>
      </c>
      <c r="CQ128" s="584">
        <v>0</v>
      </c>
      <c r="CR128" s="584">
        <v>0</v>
      </c>
      <c r="CS128" s="584">
        <v>0</v>
      </c>
      <c r="CT128" s="584">
        <v>0</v>
      </c>
      <c r="CU128" s="584">
        <v>0</v>
      </c>
      <c r="CV128" s="584">
        <v>0</v>
      </c>
      <c r="CW128" s="584">
        <v>0.72499999999999998</v>
      </c>
      <c r="CX128" s="584">
        <v>0</v>
      </c>
      <c r="CY128" s="584">
        <v>0.6</v>
      </c>
      <c r="CZ128" s="584">
        <v>248.98185000000001</v>
      </c>
      <c r="DA128" s="584">
        <v>48.125</v>
      </c>
      <c r="DB128" s="584">
        <v>399.43372499999998</v>
      </c>
      <c r="DC128" s="584">
        <v>101.0625</v>
      </c>
      <c r="DD128" s="584">
        <v>528.55309999999997</v>
      </c>
      <c r="DE128" s="584">
        <v>211.75</v>
      </c>
      <c r="DF128" s="584">
        <v>0.42499999999999999</v>
      </c>
      <c r="DG128" s="584">
        <v>0.2</v>
      </c>
      <c r="DH128" s="584">
        <v>368.70160213618198</v>
      </c>
      <c r="DI128" s="584">
        <v>17.4057908878505</v>
      </c>
      <c r="DJ128" s="584">
        <v>300</v>
      </c>
      <c r="DK128" s="584">
        <v>0</v>
      </c>
      <c r="DL128" s="584">
        <v>0</v>
      </c>
      <c r="DM128" s="584">
        <v>0</v>
      </c>
      <c r="DN128" s="584">
        <v>0</v>
      </c>
      <c r="DO128" s="584">
        <v>0</v>
      </c>
      <c r="DP128" s="584">
        <v>0</v>
      </c>
      <c r="DQ128" s="584">
        <v>0</v>
      </c>
      <c r="DR128" s="584">
        <v>0.42499999999999999</v>
      </c>
      <c r="DS128" s="584">
        <v>0</v>
      </c>
      <c r="DT128" s="584">
        <v>2.4</v>
      </c>
      <c r="DU128" s="584">
        <v>230.63943750000001</v>
      </c>
      <c r="DV128" s="584">
        <v>48.125</v>
      </c>
      <c r="DW128" s="584">
        <v>402.81912499999999</v>
      </c>
      <c r="DX128" s="584">
        <v>101.0625</v>
      </c>
      <c r="DY128" s="584">
        <v>597.49424999999997</v>
      </c>
      <c r="DZ128" s="584">
        <v>211.75</v>
      </c>
      <c r="EA128" s="1062">
        <v>0.78060000000000007</v>
      </c>
      <c r="EB128" s="1046">
        <v>0.3</v>
      </c>
      <c r="EC128" s="1093">
        <v>132.51783893985731</v>
      </c>
      <c r="ED128" s="1046">
        <v>0</v>
      </c>
      <c r="EE128" s="1046">
        <v>397.55351681957183</v>
      </c>
      <c r="EF128" s="1046">
        <v>24.875324675324677</v>
      </c>
      <c r="EG128" s="1046">
        <v>0</v>
      </c>
      <c r="EH128" s="1046">
        <v>0</v>
      </c>
      <c r="EI128" s="1046" t="s">
        <v>442</v>
      </c>
      <c r="EJ128" s="1046" t="s">
        <v>446</v>
      </c>
      <c r="EK128" s="1046">
        <v>0</v>
      </c>
      <c r="EL128" s="1046">
        <v>0</v>
      </c>
      <c r="EM128" s="1046">
        <v>0</v>
      </c>
      <c r="EN128" s="1046">
        <v>0</v>
      </c>
      <c r="EO128" s="1046">
        <v>0</v>
      </c>
      <c r="EP128" s="1094">
        <v>114.42251849999998</v>
      </c>
      <c r="EQ128" s="1094">
        <v>48.125</v>
      </c>
      <c r="ER128" s="1094">
        <v>228.84503699999996</v>
      </c>
      <c r="ES128" s="1095">
        <v>96.25</v>
      </c>
      <c r="ET128" s="1094">
        <v>457.69007399999992</v>
      </c>
      <c r="EU128" s="1094">
        <v>192.5</v>
      </c>
      <c r="EV128" s="1096">
        <v>0.61339999999999995</v>
      </c>
      <c r="EW128" s="1097">
        <v>0.15</v>
      </c>
      <c r="EX128" s="1096">
        <v>289.50050968399592</v>
      </c>
      <c r="EY128" s="1096">
        <v>1.5443934760448521</v>
      </c>
      <c r="EZ128" s="1096">
        <v>0</v>
      </c>
      <c r="FA128" s="1096">
        <v>23.06103896103896</v>
      </c>
      <c r="FB128" s="1098">
        <v>0</v>
      </c>
      <c r="FC128" s="1098">
        <v>0</v>
      </c>
      <c r="FD128" s="1098" t="s">
        <v>446</v>
      </c>
      <c r="FE128" s="1098" t="s">
        <v>461</v>
      </c>
      <c r="FF128" s="1098">
        <v>2</v>
      </c>
      <c r="FG128" s="1098">
        <v>0</v>
      </c>
      <c r="FH128" s="1098">
        <v>0</v>
      </c>
      <c r="FI128" s="1098">
        <v>0</v>
      </c>
      <c r="FJ128" s="1098">
        <v>0</v>
      </c>
      <c r="FK128" s="1096">
        <v>71.059051374999996</v>
      </c>
      <c r="FL128" s="1096">
        <v>48.125</v>
      </c>
      <c r="FM128" s="1096">
        <v>142.11810274999999</v>
      </c>
      <c r="FN128" s="1096">
        <v>96.25</v>
      </c>
      <c r="FO128" s="1096">
        <v>284.23620549999998</v>
      </c>
      <c r="FP128" s="1099">
        <v>192.5</v>
      </c>
      <c r="FQ128" s="1064">
        <v>0.78935946703562321</v>
      </c>
      <c r="FR128" s="1065">
        <v>0.15</v>
      </c>
      <c r="FS128" s="1066">
        <v>289.50050968399586</v>
      </c>
      <c r="FT128" s="1066">
        <v>3.1547324150233758</v>
      </c>
      <c r="FU128" s="1065"/>
      <c r="FV128" s="1066">
        <v>37.232625849912907</v>
      </c>
      <c r="FW128" s="1065"/>
      <c r="FX128" s="1065"/>
      <c r="FY128" s="1065" t="s">
        <v>459</v>
      </c>
      <c r="FZ128" s="1065" t="s">
        <v>459</v>
      </c>
      <c r="GA128" s="1065">
        <v>1</v>
      </c>
      <c r="GB128" s="1065"/>
      <c r="GC128" s="1065"/>
      <c r="GD128" s="1065"/>
      <c r="GE128" s="1065"/>
      <c r="GF128" s="1066">
        <v>71.921849703146222</v>
      </c>
      <c r="GG128" s="1066">
        <v>48.125</v>
      </c>
      <c r="GH128" s="1066">
        <v>143.84369940629244</v>
      </c>
      <c r="GI128" s="1066">
        <v>96.25</v>
      </c>
      <c r="GJ128" s="1066">
        <v>287.68739881258489</v>
      </c>
      <c r="GK128" s="1066">
        <v>192.5</v>
      </c>
      <c r="GL128" s="584">
        <v>0.73740000000000006</v>
      </c>
      <c r="GM128" s="584">
        <v>0.13</v>
      </c>
      <c r="GN128" s="584"/>
      <c r="GO128" s="584"/>
      <c r="GP128" s="584"/>
      <c r="GQ128" s="584">
        <v>34.093506493506503</v>
      </c>
      <c r="GR128" s="584"/>
      <c r="GS128" s="584">
        <v>66.2589194699286</v>
      </c>
      <c r="GT128" s="584" t="s">
        <v>459</v>
      </c>
      <c r="GU128" s="584" t="s">
        <v>412</v>
      </c>
      <c r="GV128" s="584">
        <v>1</v>
      </c>
      <c r="GW128" s="584"/>
      <c r="GX128" s="584"/>
      <c r="GY128" s="584"/>
      <c r="GZ128" s="584"/>
      <c r="HA128" s="584">
        <v>28.575803000000001</v>
      </c>
      <c r="HB128" s="584">
        <v>48.125</v>
      </c>
      <c r="HC128" s="584">
        <v>57.151606000000001</v>
      </c>
      <c r="HD128" s="584">
        <v>96.25</v>
      </c>
      <c r="HE128" s="584">
        <v>114.303212</v>
      </c>
      <c r="HF128" s="584">
        <v>192.5</v>
      </c>
      <c r="HG128" s="1100">
        <v>1.01</v>
      </c>
      <c r="HH128" s="1100">
        <v>0.13</v>
      </c>
      <c r="HI128" s="1101">
        <v>0</v>
      </c>
      <c r="HJ128" s="1101">
        <v>0</v>
      </c>
      <c r="HK128" s="1101">
        <v>0</v>
      </c>
      <c r="HL128" s="1101">
        <v>0</v>
      </c>
      <c r="HM128" s="1101">
        <v>40.516363636363629</v>
      </c>
      <c r="HN128" s="1101">
        <v>65</v>
      </c>
      <c r="HO128" s="1101">
        <v>0</v>
      </c>
      <c r="HP128" s="1101">
        <v>0</v>
      </c>
      <c r="HQ128" s="1101">
        <v>1</v>
      </c>
      <c r="HR128" s="1101">
        <v>0.72</v>
      </c>
      <c r="HS128" s="1101">
        <v>0.88</v>
      </c>
      <c r="HT128" s="1101">
        <v>0.3</v>
      </c>
      <c r="HU128" s="1101">
        <v>0.28000000000000003</v>
      </c>
      <c r="HV128" s="1101">
        <v>29.550973899999995</v>
      </c>
      <c r="HW128" s="1101">
        <v>48.125</v>
      </c>
      <c r="HX128" s="1101">
        <v>59.101947799999991</v>
      </c>
      <c r="HY128" s="1101">
        <v>96.25</v>
      </c>
      <c r="HZ128" s="1101">
        <v>118.20389559999998</v>
      </c>
      <c r="IA128" s="1101">
        <v>192.5</v>
      </c>
      <c r="IB128" s="1062"/>
      <c r="IC128" s="1092"/>
      <c r="ID128" s="1050"/>
      <c r="IE128" s="1050"/>
      <c r="IF128" s="1103"/>
      <c r="IG128" s="1103"/>
      <c r="IH128" s="1103"/>
      <c r="II128" s="1103"/>
      <c r="IJ128" s="1103"/>
      <c r="IK128" s="1103"/>
      <c r="IL128" s="1103"/>
      <c r="IM128" s="1050"/>
      <c r="IN128" s="1050"/>
      <c r="IO128" s="1050"/>
      <c r="IP128" s="1050"/>
      <c r="IQ128" s="1103"/>
      <c r="IR128" s="1103"/>
      <c r="IS128" s="1103"/>
      <c r="IT128" s="1103"/>
      <c r="IU128" s="1103"/>
      <c r="IV128" s="1103"/>
      <c r="JS128" s="1092"/>
      <c r="JU128" s="1050"/>
      <c r="JV128" s="1103"/>
      <c r="JW128" s="1103"/>
      <c r="JX128" s="1103"/>
      <c r="JY128" s="1103"/>
      <c r="JZ128" s="1103"/>
      <c r="KA128" s="1103"/>
      <c r="KB128" s="1103"/>
      <c r="KC128" s="1050"/>
      <c r="KD128" s="1050"/>
      <c r="KE128" s="1050"/>
      <c r="KF128" s="1050"/>
      <c r="KG128" s="1103"/>
      <c r="KH128" s="1103"/>
      <c r="KI128" s="1103"/>
      <c r="KJ128" s="1103"/>
      <c r="KK128" s="1103"/>
      <c r="KL128" s="1103"/>
      <c r="KM128" s="1103"/>
      <c r="KN128" s="1103"/>
    </row>
    <row r="129" spans="2:300">
      <c r="B129" s="1048" t="str">
        <f t="shared" si="4"/>
        <v>R712</v>
      </c>
      <c r="C129" s="1046">
        <v>7</v>
      </c>
      <c r="D129" s="1092">
        <v>12</v>
      </c>
      <c r="E129" s="584">
        <v>0.45</v>
      </c>
      <c r="F129" s="584">
        <v>0.45</v>
      </c>
      <c r="G129" s="584">
        <v>1080</v>
      </c>
      <c r="H129" s="584">
        <v>25.2</v>
      </c>
      <c r="I129" s="584">
        <v>0</v>
      </c>
      <c r="J129" s="584">
        <v>0</v>
      </c>
      <c r="K129" s="584">
        <v>0</v>
      </c>
      <c r="L129" s="584">
        <v>0</v>
      </c>
      <c r="M129" s="584">
        <v>0</v>
      </c>
      <c r="N129" s="584">
        <v>0</v>
      </c>
      <c r="O129" s="584">
        <v>0</v>
      </c>
      <c r="P129" s="584">
        <v>0</v>
      </c>
      <c r="Q129" s="584">
        <v>0</v>
      </c>
      <c r="R129" s="584">
        <v>0</v>
      </c>
      <c r="S129" s="584">
        <v>0</v>
      </c>
      <c r="T129" s="584">
        <v>375.4224375</v>
      </c>
      <c r="U129" s="584">
        <v>52.5</v>
      </c>
      <c r="V129" s="584">
        <v>686.40243750000002</v>
      </c>
      <c r="W129" s="584">
        <v>110.25</v>
      </c>
      <c r="X129" s="584">
        <v>1094.691</v>
      </c>
      <c r="Y129" s="584">
        <v>231</v>
      </c>
      <c r="Z129" s="584">
        <v>0.34</v>
      </c>
      <c r="AA129" s="584">
        <v>0.34</v>
      </c>
      <c r="AB129" s="584">
        <v>816</v>
      </c>
      <c r="AC129" s="584">
        <v>20</v>
      </c>
      <c r="AD129" s="584">
        <v>0</v>
      </c>
      <c r="AE129" s="584">
        <v>0</v>
      </c>
      <c r="AF129" s="584">
        <v>0</v>
      </c>
      <c r="AG129" s="584">
        <v>0</v>
      </c>
      <c r="AH129" s="584">
        <v>0</v>
      </c>
      <c r="AI129" s="584">
        <v>0</v>
      </c>
      <c r="AJ129" s="584">
        <v>0</v>
      </c>
      <c r="AK129" s="584">
        <v>0</v>
      </c>
      <c r="AL129" s="584">
        <v>0</v>
      </c>
      <c r="AM129" s="584">
        <v>0</v>
      </c>
      <c r="AN129" s="584">
        <v>0</v>
      </c>
      <c r="AO129" s="584">
        <v>312.33743750000002</v>
      </c>
      <c r="AP129" s="584">
        <v>52.5</v>
      </c>
      <c r="AQ129" s="584">
        <v>558.19743749999998</v>
      </c>
      <c r="AR129" s="584">
        <v>110.25</v>
      </c>
      <c r="AS129" s="584">
        <v>840.59100000000001</v>
      </c>
      <c r="AT129" s="584">
        <v>231</v>
      </c>
      <c r="AU129" s="584">
        <v>0.82499999999999996</v>
      </c>
      <c r="AV129" s="584">
        <v>0.255</v>
      </c>
      <c r="AW129" s="584">
        <v>496.276686839283</v>
      </c>
      <c r="AX129" s="584">
        <v>27.1409346751953</v>
      </c>
      <c r="AY129" s="584">
        <v>0</v>
      </c>
      <c r="AZ129" s="584">
        <v>0</v>
      </c>
      <c r="BA129" s="584">
        <v>0</v>
      </c>
      <c r="BB129" s="584">
        <v>0</v>
      </c>
      <c r="BC129" s="584">
        <v>0</v>
      </c>
      <c r="BD129" s="584">
        <v>0</v>
      </c>
      <c r="BE129" s="584">
        <v>0</v>
      </c>
      <c r="BF129" s="584">
        <v>0</v>
      </c>
      <c r="BG129" s="584">
        <v>0.82499999999999996</v>
      </c>
      <c r="BH129" s="584">
        <v>0</v>
      </c>
      <c r="BI129" s="584">
        <v>0.45</v>
      </c>
      <c r="BJ129" s="584">
        <v>247.561583166079</v>
      </c>
      <c r="BK129" s="584">
        <v>52.5</v>
      </c>
      <c r="BL129" s="584">
        <v>400.49920369235502</v>
      </c>
      <c r="BM129" s="584">
        <v>110.25</v>
      </c>
      <c r="BN129" s="584">
        <v>522.29307848935196</v>
      </c>
      <c r="BO129" s="584">
        <v>231</v>
      </c>
      <c r="BP129" s="584">
        <v>0</v>
      </c>
      <c r="BQ129" s="584">
        <v>0</v>
      </c>
      <c r="BR129" s="584">
        <v>0</v>
      </c>
      <c r="BS129" s="584">
        <v>0</v>
      </c>
      <c r="BT129" s="584">
        <v>0</v>
      </c>
      <c r="BU129" s="584">
        <v>0</v>
      </c>
      <c r="BV129" s="584">
        <v>0</v>
      </c>
      <c r="BW129" s="584">
        <v>0</v>
      </c>
      <c r="BX129" s="584">
        <v>0</v>
      </c>
      <c r="BY129" s="584">
        <v>0</v>
      </c>
      <c r="BZ129" s="584">
        <v>0</v>
      </c>
      <c r="CA129" s="584">
        <v>0</v>
      </c>
      <c r="CB129" s="584">
        <v>0</v>
      </c>
      <c r="CC129" s="584">
        <v>0</v>
      </c>
      <c r="CD129" s="584">
        <v>0</v>
      </c>
      <c r="CE129" s="584">
        <v>0</v>
      </c>
      <c r="CF129" s="584">
        <v>0</v>
      </c>
      <c r="CG129" s="584">
        <v>0</v>
      </c>
      <c r="CH129" s="584">
        <v>0</v>
      </c>
      <c r="CI129" s="584">
        <v>0</v>
      </c>
      <c r="CJ129" s="584">
        <v>0</v>
      </c>
      <c r="CK129" s="584">
        <v>0.82499999999999996</v>
      </c>
      <c r="CL129" s="584">
        <v>0.19500000000000001</v>
      </c>
      <c r="CM129" s="584">
        <v>587.67262907920895</v>
      </c>
      <c r="CN129" s="584">
        <v>22.232382028497</v>
      </c>
      <c r="CO129" s="584">
        <v>0</v>
      </c>
      <c r="CP129" s="584">
        <v>0</v>
      </c>
      <c r="CQ129" s="584">
        <v>0</v>
      </c>
      <c r="CR129" s="584">
        <v>0</v>
      </c>
      <c r="CS129" s="584">
        <v>0</v>
      </c>
      <c r="CT129" s="584">
        <v>0</v>
      </c>
      <c r="CU129" s="584">
        <v>0</v>
      </c>
      <c r="CV129" s="584">
        <v>0</v>
      </c>
      <c r="CW129" s="584">
        <v>0.82499999999999996</v>
      </c>
      <c r="CX129" s="584">
        <v>0</v>
      </c>
      <c r="CY129" s="584">
        <v>0.6</v>
      </c>
      <c r="CZ129" s="584">
        <v>288.22635000000002</v>
      </c>
      <c r="DA129" s="584">
        <v>52.5</v>
      </c>
      <c r="DB129" s="584">
        <v>463.15260000000001</v>
      </c>
      <c r="DC129" s="584">
        <v>110.25</v>
      </c>
      <c r="DD129" s="584">
        <v>589.16010000000006</v>
      </c>
      <c r="DE129" s="584">
        <v>231</v>
      </c>
      <c r="DF129" s="584">
        <v>0</v>
      </c>
      <c r="DG129" s="584">
        <v>0</v>
      </c>
      <c r="DH129" s="584">
        <v>0</v>
      </c>
      <c r="DI129" s="584">
        <v>0</v>
      </c>
      <c r="DJ129" s="584">
        <v>0</v>
      </c>
      <c r="DK129" s="584">
        <v>0</v>
      </c>
      <c r="DL129" s="584">
        <v>0</v>
      </c>
      <c r="DM129" s="584">
        <v>0</v>
      </c>
      <c r="DN129" s="584">
        <v>0</v>
      </c>
      <c r="DO129" s="584">
        <v>0</v>
      </c>
      <c r="DP129" s="584">
        <v>0</v>
      </c>
      <c r="DQ129" s="584">
        <v>0</v>
      </c>
      <c r="DR129" s="584">
        <v>0</v>
      </c>
      <c r="DS129" s="584">
        <v>0</v>
      </c>
      <c r="DT129" s="584">
        <v>0</v>
      </c>
      <c r="DU129" s="584">
        <v>0</v>
      </c>
      <c r="DV129" s="584">
        <v>0</v>
      </c>
      <c r="DW129" s="584">
        <v>0</v>
      </c>
      <c r="DX129" s="584">
        <v>0</v>
      </c>
      <c r="DY129" s="584">
        <v>0</v>
      </c>
      <c r="DZ129" s="584">
        <v>0</v>
      </c>
      <c r="EA129" s="1062">
        <v>0.84199999999999997</v>
      </c>
      <c r="EB129" s="1046">
        <v>0.35</v>
      </c>
      <c r="EC129" s="1093">
        <v>132.51783893985731</v>
      </c>
      <c r="ED129" s="1046">
        <v>0</v>
      </c>
      <c r="EE129" s="1046">
        <v>458.71559633027522</v>
      </c>
      <c r="EF129" s="1046">
        <v>32.492857142857147</v>
      </c>
      <c r="EG129" s="1046">
        <v>0</v>
      </c>
      <c r="EH129" s="1046">
        <v>0</v>
      </c>
      <c r="EI129" s="1046" t="s">
        <v>440</v>
      </c>
      <c r="EJ129" s="1046" t="s">
        <v>442</v>
      </c>
      <c r="EK129" s="1046">
        <v>0</v>
      </c>
      <c r="EL129" s="1046">
        <v>0</v>
      </c>
      <c r="EM129" s="1046">
        <v>0</v>
      </c>
      <c r="EN129" s="1046">
        <v>0</v>
      </c>
      <c r="EO129" s="1046">
        <v>0</v>
      </c>
      <c r="EP129" s="1094">
        <v>138.9938535</v>
      </c>
      <c r="EQ129" s="1094">
        <v>52.5</v>
      </c>
      <c r="ER129" s="1094">
        <v>277.987707</v>
      </c>
      <c r="ES129" s="1095">
        <v>105</v>
      </c>
      <c r="ET129" s="1094">
        <v>555.975414</v>
      </c>
      <c r="EU129" s="1094">
        <v>210</v>
      </c>
      <c r="EV129" s="1096">
        <v>0.61720000000000008</v>
      </c>
      <c r="EW129" s="1097">
        <v>0.15</v>
      </c>
      <c r="EX129" s="1096">
        <v>289.50050968399592</v>
      </c>
      <c r="EY129" s="1096">
        <v>1.5443934760448521</v>
      </c>
      <c r="EZ129" s="1096">
        <v>0</v>
      </c>
      <c r="FA129" s="1096">
        <v>23.134523809523806</v>
      </c>
      <c r="FB129" s="1098">
        <v>0</v>
      </c>
      <c r="FC129" s="1098">
        <v>0</v>
      </c>
      <c r="FD129" s="1098" t="s">
        <v>445</v>
      </c>
      <c r="FE129" s="1098" t="s">
        <v>461</v>
      </c>
      <c r="FF129" s="1098">
        <v>2</v>
      </c>
      <c r="FG129" s="1098">
        <v>0</v>
      </c>
      <c r="FH129" s="1098">
        <v>0</v>
      </c>
      <c r="FI129" s="1098">
        <v>0</v>
      </c>
      <c r="FJ129" s="1098">
        <v>0</v>
      </c>
      <c r="FK129" s="1096">
        <v>77.53410375</v>
      </c>
      <c r="FL129" s="1096">
        <v>52.5</v>
      </c>
      <c r="FM129" s="1096">
        <v>155.0682075</v>
      </c>
      <c r="FN129" s="1096">
        <v>105</v>
      </c>
      <c r="FO129" s="1096">
        <v>310.136415</v>
      </c>
      <c r="FP129" s="1099">
        <v>210</v>
      </c>
      <c r="FQ129" s="1064">
        <v>0.89382878474779204</v>
      </c>
      <c r="FR129" s="1065">
        <v>0.15</v>
      </c>
      <c r="FS129" s="1066">
        <v>289.50050968399586</v>
      </c>
      <c r="FT129" s="1066">
        <v>3.1547324150233758</v>
      </c>
      <c r="FU129" s="1065"/>
      <c r="FV129" s="1066">
        <v>39.095544687676089</v>
      </c>
      <c r="FW129" s="1065"/>
      <c r="FX129" s="1065"/>
      <c r="FY129" s="1065" t="s">
        <v>452</v>
      </c>
      <c r="FZ129" s="1065" t="s">
        <v>438</v>
      </c>
      <c r="GA129" s="1065">
        <v>1</v>
      </c>
      <c r="GB129" s="1065"/>
      <c r="GC129" s="1065"/>
      <c r="GD129" s="1065"/>
      <c r="GE129" s="1065"/>
      <c r="GF129" s="1066">
        <v>78.843979585927102</v>
      </c>
      <c r="GG129" s="1066">
        <v>52.5</v>
      </c>
      <c r="GH129" s="1066">
        <v>157.6879591718542</v>
      </c>
      <c r="GI129" s="1066">
        <v>105</v>
      </c>
      <c r="GJ129" s="1066">
        <v>315.37591834370841</v>
      </c>
      <c r="GK129" s="1066">
        <v>210</v>
      </c>
      <c r="GL129" s="584">
        <v>0.74219999999999997</v>
      </c>
      <c r="GM129" s="584">
        <v>0.13</v>
      </c>
      <c r="GN129" s="584"/>
      <c r="GO129" s="584"/>
      <c r="GP129" s="584"/>
      <c r="GQ129" s="584">
        <v>41.217857142857099</v>
      </c>
      <c r="GR129" s="584"/>
      <c r="GS129" s="584">
        <v>66.2589194699286</v>
      </c>
      <c r="GT129" s="584" t="s">
        <v>438</v>
      </c>
      <c r="GU129" s="584" t="s">
        <v>406</v>
      </c>
      <c r="GV129" s="584">
        <v>1</v>
      </c>
      <c r="GW129" s="584"/>
      <c r="GX129" s="584"/>
      <c r="GY129" s="584"/>
      <c r="GZ129" s="584"/>
      <c r="HA129" s="584">
        <v>32.641290750000003</v>
      </c>
      <c r="HB129" s="584">
        <v>52.5</v>
      </c>
      <c r="HC129" s="584">
        <v>65.282581500000006</v>
      </c>
      <c r="HD129" s="584">
        <v>105</v>
      </c>
      <c r="HE129" s="584">
        <v>130.56516300000001</v>
      </c>
      <c r="HF129" s="584">
        <v>210</v>
      </c>
      <c r="HG129" s="1100">
        <v>1.1299999999999999</v>
      </c>
      <c r="HH129" s="1100">
        <v>0.13</v>
      </c>
      <c r="HI129" s="1101">
        <v>0</v>
      </c>
      <c r="HJ129" s="1101">
        <v>0</v>
      </c>
      <c r="HK129" s="1101">
        <v>0</v>
      </c>
      <c r="HL129" s="1101">
        <v>0</v>
      </c>
      <c r="HM129" s="1101">
        <v>44.550000000000011</v>
      </c>
      <c r="HN129" s="1101">
        <v>65</v>
      </c>
      <c r="HO129" s="1101">
        <v>0</v>
      </c>
      <c r="HP129" s="1101">
        <v>0</v>
      </c>
      <c r="HQ129" s="1101">
        <v>1</v>
      </c>
      <c r="HR129" s="1101">
        <v>0.76</v>
      </c>
      <c r="HS129" s="1101">
        <v>1</v>
      </c>
      <c r="HT129" s="1101">
        <v>0.3</v>
      </c>
      <c r="HU129" s="1101">
        <v>0.28000000000000003</v>
      </c>
      <c r="HV129" s="1101">
        <v>33.068395500000001</v>
      </c>
      <c r="HW129" s="1101">
        <v>52.5</v>
      </c>
      <c r="HX129" s="1101">
        <v>66.136791000000002</v>
      </c>
      <c r="HY129" s="1101">
        <v>105</v>
      </c>
      <c r="HZ129" s="1101">
        <v>132.273582</v>
      </c>
      <c r="IA129" s="1101">
        <v>210</v>
      </c>
      <c r="IB129" s="1062"/>
      <c r="IC129" s="1092"/>
      <c r="ID129" s="1050"/>
      <c r="IE129" s="1050"/>
      <c r="IF129" s="1103"/>
      <c r="IG129" s="1103"/>
      <c r="IH129" s="1103"/>
      <c r="II129" s="1103"/>
      <c r="IJ129" s="1103"/>
      <c r="IK129" s="1103"/>
      <c r="IL129" s="1103"/>
      <c r="IM129" s="1050"/>
      <c r="IN129" s="1050"/>
      <c r="IO129" s="1050"/>
      <c r="IP129" s="1050"/>
      <c r="IQ129" s="1103"/>
      <c r="IR129" s="1103"/>
      <c r="IS129" s="1103"/>
      <c r="IT129" s="1103"/>
      <c r="IU129" s="1103"/>
      <c r="IV129" s="1103"/>
      <c r="JS129" s="1092"/>
      <c r="JU129" s="1050"/>
      <c r="JV129" s="1103"/>
      <c r="JW129" s="1103"/>
      <c r="JX129" s="1103"/>
      <c r="JY129" s="1103"/>
      <c r="JZ129" s="1103"/>
      <c r="KA129" s="1103"/>
      <c r="KB129" s="1103"/>
      <c r="KC129" s="1050"/>
      <c r="KD129" s="1050"/>
      <c r="KE129" s="1050"/>
      <c r="KF129" s="1050"/>
      <c r="KG129" s="1103"/>
      <c r="KH129" s="1103"/>
      <c r="KI129" s="1103"/>
      <c r="KJ129" s="1103"/>
      <c r="KK129" s="1103"/>
      <c r="KL129" s="1103"/>
      <c r="KM129" s="1103"/>
      <c r="KN129" s="1103"/>
    </row>
    <row r="130" spans="2:300">
      <c r="B130" s="1048" t="str">
        <f t="shared" si="4"/>
        <v>R713</v>
      </c>
      <c r="C130" s="1046">
        <v>7</v>
      </c>
      <c r="D130" s="1092">
        <v>13</v>
      </c>
      <c r="E130" s="584">
        <v>0.45</v>
      </c>
      <c r="F130" s="584">
        <v>0.45</v>
      </c>
      <c r="G130" s="584">
        <v>1080</v>
      </c>
      <c r="H130" s="584">
        <v>24.3</v>
      </c>
      <c r="I130" s="584">
        <v>0</v>
      </c>
      <c r="J130" s="584">
        <v>0</v>
      </c>
      <c r="K130" s="584">
        <v>0</v>
      </c>
      <c r="L130" s="584">
        <v>0</v>
      </c>
      <c r="M130" s="584">
        <v>0</v>
      </c>
      <c r="N130" s="584">
        <v>0</v>
      </c>
      <c r="O130" s="584">
        <v>0</v>
      </c>
      <c r="P130" s="584">
        <v>0</v>
      </c>
      <c r="Q130" s="584">
        <v>0</v>
      </c>
      <c r="R130" s="584">
        <v>0</v>
      </c>
      <c r="S130" s="584">
        <v>0</v>
      </c>
      <c r="T130" s="584">
        <v>402.45993750000002</v>
      </c>
      <c r="U130" s="584">
        <v>56.875</v>
      </c>
      <c r="V130" s="584">
        <v>744.36749999999995</v>
      </c>
      <c r="W130" s="584">
        <v>119.4375</v>
      </c>
      <c r="X130" s="584">
        <v>1185.1659999999999</v>
      </c>
      <c r="Y130" s="584">
        <v>250.25</v>
      </c>
      <c r="Z130" s="584">
        <v>0.39</v>
      </c>
      <c r="AA130" s="584">
        <v>0.39</v>
      </c>
      <c r="AB130" s="584">
        <v>936</v>
      </c>
      <c r="AC130" s="584">
        <v>23</v>
      </c>
      <c r="AD130" s="584">
        <v>0</v>
      </c>
      <c r="AE130" s="584">
        <v>0</v>
      </c>
      <c r="AF130" s="584">
        <v>0</v>
      </c>
      <c r="AG130" s="584">
        <v>0</v>
      </c>
      <c r="AH130" s="584">
        <v>0</v>
      </c>
      <c r="AI130" s="584">
        <v>0</v>
      </c>
      <c r="AJ130" s="584">
        <v>0</v>
      </c>
      <c r="AK130" s="584">
        <v>0</v>
      </c>
      <c r="AL130" s="584">
        <v>0</v>
      </c>
      <c r="AM130" s="584">
        <v>0</v>
      </c>
      <c r="AN130" s="584">
        <v>0</v>
      </c>
      <c r="AO130" s="584">
        <v>365.27493750000002</v>
      </c>
      <c r="AP130" s="584">
        <v>56.875</v>
      </c>
      <c r="AQ130" s="584">
        <v>667.42368750000003</v>
      </c>
      <c r="AR130" s="584">
        <v>119.4375</v>
      </c>
      <c r="AS130" s="584">
        <v>1035.0160000000001</v>
      </c>
      <c r="AT130" s="584">
        <v>250.25</v>
      </c>
      <c r="AU130" s="584">
        <v>0.82499999999999996</v>
      </c>
      <c r="AV130" s="584">
        <v>0.255</v>
      </c>
      <c r="AW130" s="584">
        <v>533.547786745964</v>
      </c>
      <c r="AX130" s="584">
        <v>27.830014868309298</v>
      </c>
      <c r="AY130" s="584">
        <v>0</v>
      </c>
      <c r="AZ130" s="584">
        <v>0</v>
      </c>
      <c r="BA130" s="584">
        <v>0</v>
      </c>
      <c r="BB130" s="584">
        <v>0</v>
      </c>
      <c r="BC130" s="584">
        <v>0</v>
      </c>
      <c r="BD130" s="584">
        <v>0</v>
      </c>
      <c r="BE130" s="584">
        <v>0</v>
      </c>
      <c r="BF130" s="584">
        <v>0</v>
      </c>
      <c r="BG130" s="584">
        <v>0.82499999999999996</v>
      </c>
      <c r="BH130" s="584">
        <v>0</v>
      </c>
      <c r="BI130" s="584">
        <v>0.45</v>
      </c>
      <c r="BJ130" s="584">
        <v>280.49485814349703</v>
      </c>
      <c r="BK130" s="584">
        <v>56.875</v>
      </c>
      <c r="BL130" s="584">
        <v>456.38900129234798</v>
      </c>
      <c r="BM130" s="584">
        <v>119.4375</v>
      </c>
      <c r="BN130" s="584">
        <v>569.03355571456405</v>
      </c>
      <c r="BO130" s="584">
        <v>250.25</v>
      </c>
      <c r="BP130" s="584">
        <v>1.05</v>
      </c>
      <c r="BQ130" s="584">
        <v>0.17499999999999999</v>
      </c>
      <c r="BR130" s="584">
        <v>556.95624468988899</v>
      </c>
      <c r="BS130" s="584">
        <v>47.299081350892102</v>
      </c>
      <c r="BT130" s="584">
        <v>0</v>
      </c>
      <c r="BU130" s="584">
        <v>0</v>
      </c>
      <c r="BV130" s="584">
        <v>0</v>
      </c>
      <c r="BW130" s="584">
        <v>0</v>
      </c>
      <c r="BX130" s="584">
        <v>0</v>
      </c>
      <c r="BY130" s="584">
        <v>0</v>
      </c>
      <c r="BZ130" s="584">
        <v>0</v>
      </c>
      <c r="CA130" s="584">
        <v>0.35</v>
      </c>
      <c r="CB130" s="584">
        <v>1.05</v>
      </c>
      <c r="CC130" s="584">
        <v>0.3</v>
      </c>
      <c r="CD130" s="584">
        <v>0.3</v>
      </c>
      <c r="CE130" s="584">
        <v>280.71100000000001</v>
      </c>
      <c r="CF130" s="584">
        <v>56.875</v>
      </c>
      <c r="CG130" s="584">
        <v>472.25099999999998</v>
      </c>
      <c r="CH130" s="584">
        <v>119.4375</v>
      </c>
      <c r="CI130" s="584">
        <v>587.38350000000003</v>
      </c>
      <c r="CJ130" s="584">
        <v>250.25</v>
      </c>
      <c r="CK130" s="584">
        <v>0</v>
      </c>
      <c r="CL130" s="584">
        <v>0</v>
      </c>
      <c r="CM130" s="584">
        <v>0</v>
      </c>
      <c r="CN130" s="584">
        <v>0</v>
      </c>
      <c r="CO130" s="584">
        <v>0</v>
      </c>
      <c r="CP130" s="584">
        <v>0</v>
      </c>
      <c r="CQ130" s="584">
        <v>0</v>
      </c>
      <c r="CR130" s="584">
        <v>0</v>
      </c>
      <c r="CS130" s="584">
        <v>0</v>
      </c>
      <c r="CT130" s="584">
        <v>0</v>
      </c>
      <c r="CU130" s="584">
        <v>0</v>
      </c>
      <c r="CV130" s="584">
        <v>0</v>
      </c>
      <c r="CW130" s="584">
        <v>0</v>
      </c>
      <c r="CX130" s="584">
        <v>0</v>
      </c>
      <c r="CY130" s="584">
        <v>0</v>
      </c>
      <c r="CZ130" s="584">
        <v>0</v>
      </c>
      <c r="DA130" s="584">
        <v>0</v>
      </c>
      <c r="DB130" s="584">
        <v>0</v>
      </c>
      <c r="DC130" s="584">
        <v>0</v>
      </c>
      <c r="DD130" s="584">
        <v>0</v>
      </c>
      <c r="DE130" s="584">
        <v>0</v>
      </c>
      <c r="DF130" s="584">
        <v>0</v>
      </c>
      <c r="DG130" s="584">
        <v>0</v>
      </c>
      <c r="DH130" s="584">
        <v>0</v>
      </c>
      <c r="DI130" s="584">
        <v>0</v>
      </c>
      <c r="DJ130" s="584">
        <v>0</v>
      </c>
      <c r="DK130" s="584">
        <v>0</v>
      </c>
      <c r="DL130" s="584">
        <v>0</v>
      </c>
      <c r="DM130" s="584">
        <v>0</v>
      </c>
      <c r="DN130" s="584">
        <v>0</v>
      </c>
      <c r="DO130" s="584">
        <v>0</v>
      </c>
      <c r="DP130" s="584">
        <v>0</v>
      </c>
      <c r="DQ130" s="584">
        <v>0</v>
      </c>
      <c r="DR130" s="584">
        <v>0</v>
      </c>
      <c r="DS130" s="584">
        <v>0</v>
      </c>
      <c r="DT130" s="584">
        <v>0</v>
      </c>
      <c r="DU130" s="584">
        <v>0</v>
      </c>
      <c r="DV130" s="584">
        <v>0</v>
      </c>
      <c r="DW130" s="584">
        <v>0</v>
      </c>
      <c r="DX130" s="584">
        <v>0</v>
      </c>
      <c r="DY130" s="584">
        <v>0</v>
      </c>
      <c r="DZ130" s="584">
        <v>0</v>
      </c>
      <c r="EA130" s="1062">
        <v>0.89910000000000001</v>
      </c>
      <c r="EB130" s="1046">
        <v>0.35</v>
      </c>
      <c r="EC130" s="1093">
        <v>132.51783893985731</v>
      </c>
      <c r="ED130" s="1046">
        <v>0</v>
      </c>
      <c r="EE130" s="1046">
        <v>458.71559633027522</v>
      </c>
      <c r="EF130" s="1046">
        <v>30.395604395604394</v>
      </c>
      <c r="EG130" s="1046">
        <v>0</v>
      </c>
      <c r="EH130" s="1046">
        <v>0</v>
      </c>
      <c r="EI130" s="1046" t="s">
        <v>425</v>
      </c>
      <c r="EJ130" s="1046" t="s">
        <v>425</v>
      </c>
      <c r="EK130" s="1046">
        <v>0</v>
      </c>
      <c r="EL130" s="1046">
        <v>0</v>
      </c>
      <c r="EM130" s="1046">
        <v>0</v>
      </c>
      <c r="EN130" s="1046">
        <v>0</v>
      </c>
      <c r="EO130" s="1046">
        <v>0</v>
      </c>
      <c r="EP130" s="1094">
        <v>150.10861500000001</v>
      </c>
      <c r="EQ130" s="1094">
        <v>56.875</v>
      </c>
      <c r="ER130" s="1094">
        <v>300.21723000000003</v>
      </c>
      <c r="ES130" s="1095">
        <v>113.75</v>
      </c>
      <c r="ET130" s="1094">
        <v>600.43446000000006</v>
      </c>
      <c r="EU130" s="1094">
        <v>227.5</v>
      </c>
      <c r="EV130" s="1096">
        <v>0.68310000000000004</v>
      </c>
      <c r="EW130" s="1097">
        <v>0.15</v>
      </c>
      <c r="EX130" s="1096">
        <v>289.50050968399592</v>
      </c>
      <c r="EY130" s="1096">
        <v>1.5443934760448521</v>
      </c>
      <c r="EZ130" s="1096">
        <v>0</v>
      </c>
      <c r="FA130" s="1096">
        <v>30.57032967032967</v>
      </c>
      <c r="FB130" s="1098">
        <v>0</v>
      </c>
      <c r="FC130" s="1098">
        <v>0</v>
      </c>
      <c r="FD130" s="1098" t="s">
        <v>430</v>
      </c>
      <c r="FE130" s="1098" t="s">
        <v>432</v>
      </c>
      <c r="FF130" s="1098">
        <v>2</v>
      </c>
      <c r="FG130" s="1098">
        <v>0</v>
      </c>
      <c r="FH130" s="1098">
        <v>0</v>
      </c>
      <c r="FI130" s="1098">
        <v>0</v>
      </c>
      <c r="FJ130" s="1098">
        <v>0</v>
      </c>
      <c r="FK130" s="1096">
        <v>85.654783625000007</v>
      </c>
      <c r="FL130" s="1096">
        <v>56.875</v>
      </c>
      <c r="FM130" s="1096">
        <v>171.30956725000001</v>
      </c>
      <c r="FN130" s="1096">
        <v>113.75</v>
      </c>
      <c r="FO130" s="1096">
        <v>342.61913450000003</v>
      </c>
      <c r="FP130" s="1099">
        <v>227.5</v>
      </c>
      <c r="FQ130" s="1064">
        <v>1.0020981024599609</v>
      </c>
      <c r="FR130" s="1065">
        <v>0.15</v>
      </c>
      <c r="FS130" s="1066">
        <v>289.50050968399586</v>
      </c>
      <c r="FT130" s="1066">
        <v>3.1547324150233758</v>
      </c>
      <c r="FU130" s="1065"/>
      <c r="FV130" s="1066">
        <v>43.594013580054785</v>
      </c>
      <c r="FW130" s="1065"/>
      <c r="FX130" s="1065"/>
      <c r="FY130" s="1065" t="s">
        <v>452</v>
      </c>
      <c r="FZ130" s="1065" t="s">
        <v>416</v>
      </c>
      <c r="GA130" s="1065">
        <v>1</v>
      </c>
      <c r="GB130" s="1065"/>
      <c r="GC130" s="1065"/>
      <c r="GD130" s="1065"/>
      <c r="GE130" s="1065"/>
      <c r="GF130" s="1066">
        <v>86.418268259316534</v>
      </c>
      <c r="GG130" s="1066">
        <v>56.875</v>
      </c>
      <c r="GH130" s="1066">
        <v>172.83653651863307</v>
      </c>
      <c r="GI130" s="1066">
        <v>113.75</v>
      </c>
      <c r="GJ130" s="1066">
        <v>345.67307303726614</v>
      </c>
      <c r="GK130" s="1066">
        <v>227.5</v>
      </c>
      <c r="GL130" s="584">
        <v>0.88</v>
      </c>
      <c r="GM130" s="584">
        <v>0.13</v>
      </c>
      <c r="GN130" s="584"/>
      <c r="GO130" s="584"/>
      <c r="GP130" s="584"/>
      <c r="GQ130" s="584">
        <v>43.310989010988997</v>
      </c>
      <c r="GR130" s="584"/>
      <c r="GS130" s="584">
        <v>66.2589194699286</v>
      </c>
      <c r="GT130" s="584" t="s">
        <v>438</v>
      </c>
      <c r="GU130" s="584" t="s">
        <v>389</v>
      </c>
      <c r="GV130" s="584">
        <v>1</v>
      </c>
      <c r="GW130" s="584"/>
      <c r="GX130" s="584"/>
      <c r="GY130" s="584"/>
      <c r="GZ130" s="584"/>
      <c r="HA130" s="584">
        <v>35.828538250000001</v>
      </c>
      <c r="HB130" s="584">
        <v>56.875</v>
      </c>
      <c r="HC130" s="584">
        <v>71.657076500000002</v>
      </c>
      <c r="HD130" s="584">
        <v>113.75</v>
      </c>
      <c r="HE130" s="584">
        <v>143.314153</v>
      </c>
      <c r="HF130" s="584">
        <v>227.5</v>
      </c>
      <c r="HG130" s="1100">
        <v>1.21</v>
      </c>
      <c r="HH130" s="1100">
        <v>0.13</v>
      </c>
      <c r="HI130" s="1101">
        <v>0</v>
      </c>
      <c r="HJ130" s="1101">
        <v>0</v>
      </c>
      <c r="HK130" s="1101">
        <v>0</v>
      </c>
      <c r="HL130" s="1101">
        <v>0</v>
      </c>
      <c r="HM130" s="1101">
        <v>49.964835164835158</v>
      </c>
      <c r="HN130" s="1101">
        <v>65</v>
      </c>
      <c r="HO130" s="1101">
        <v>0</v>
      </c>
      <c r="HP130" s="1101">
        <v>0</v>
      </c>
      <c r="HQ130" s="1101">
        <v>1</v>
      </c>
      <c r="HR130" s="1101">
        <v>0.8</v>
      </c>
      <c r="HS130" s="1101">
        <v>1.08</v>
      </c>
      <c r="HT130" s="1101">
        <v>0.3</v>
      </c>
      <c r="HU130" s="1101">
        <v>0.3</v>
      </c>
      <c r="HV130" s="1101">
        <v>37.032564499999999</v>
      </c>
      <c r="HW130" s="1101">
        <v>56.875</v>
      </c>
      <c r="HX130" s="1101">
        <v>74.065128999999999</v>
      </c>
      <c r="HY130" s="1101">
        <v>113.75</v>
      </c>
      <c r="HZ130" s="1101">
        <v>148.130258</v>
      </c>
      <c r="IA130" s="1101">
        <v>227.5</v>
      </c>
      <c r="IB130" s="1062"/>
      <c r="IC130" s="1092"/>
      <c r="ID130" s="1050"/>
      <c r="IE130" s="1050"/>
      <c r="IF130" s="1103"/>
      <c r="IG130" s="1103"/>
      <c r="IH130" s="1103"/>
      <c r="II130" s="1103"/>
      <c r="IJ130" s="1103"/>
      <c r="IK130" s="1103"/>
      <c r="IL130" s="1103"/>
      <c r="IM130" s="1050"/>
      <c r="IN130" s="1050"/>
      <c r="IO130" s="1050"/>
      <c r="IP130" s="1050"/>
      <c r="IQ130" s="1103"/>
      <c r="IR130" s="1103"/>
      <c r="IS130" s="1103"/>
      <c r="IT130" s="1103"/>
      <c r="IU130" s="1103"/>
      <c r="IV130" s="1103"/>
      <c r="JS130" s="1092"/>
      <c r="JU130" s="1050"/>
      <c r="JV130" s="1103"/>
      <c r="JW130" s="1103"/>
      <c r="JX130" s="1103"/>
      <c r="JY130" s="1103"/>
      <c r="JZ130" s="1103"/>
      <c r="KA130" s="1103"/>
      <c r="KB130" s="1103"/>
      <c r="KC130" s="1050"/>
      <c r="KD130" s="1050"/>
      <c r="KE130" s="1050"/>
      <c r="KF130" s="1050"/>
      <c r="KG130" s="1103"/>
      <c r="KH130" s="1103"/>
      <c r="KI130" s="1103"/>
      <c r="KJ130" s="1103"/>
      <c r="KK130" s="1103"/>
      <c r="KL130" s="1103"/>
      <c r="KM130" s="1103"/>
      <c r="KN130" s="1103"/>
    </row>
    <row r="131" spans="2:300">
      <c r="B131" s="1048" t="str">
        <f t="shared" si="4"/>
        <v>R714</v>
      </c>
      <c r="C131" s="1046">
        <v>7</v>
      </c>
      <c r="D131" s="1092">
        <v>14</v>
      </c>
      <c r="E131" s="584">
        <v>0.45</v>
      </c>
      <c r="F131" s="584">
        <v>0.45</v>
      </c>
      <c r="G131" s="584">
        <v>1080</v>
      </c>
      <c r="H131" s="584">
        <v>23.85</v>
      </c>
      <c r="I131" s="584">
        <v>0</v>
      </c>
      <c r="J131" s="584">
        <v>0</v>
      </c>
      <c r="K131" s="584">
        <v>0</v>
      </c>
      <c r="L131" s="584">
        <v>0</v>
      </c>
      <c r="M131" s="584">
        <v>0</v>
      </c>
      <c r="N131" s="584">
        <v>0</v>
      </c>
      <c r="O131" s="584">
        <v>0</v>
      </c>
      <c r="P131" s="584">
        <v>0</v>
      </c>
      <c r="Q131" s="584">
        <v>0</v>
      </c>
      <c r="R131" s="584">
        <v>0</v>
      </c>
      <c r="S131" s="584">
        <v>0</v>
      </c>
      <c r="T131" s="584">
        <v>429.49743749999999</v>
      </c>
      <c r="U131" s="584">
        <v>61.25</v>
      </c>
      <c r="V131" s="584">
        <v>801.14625000000001</v>
      </c>
      <c r="W131" s="584">
        <v>128.625</v>
      </c>
      <c r="X131" s="584">
        <v>1275.6410000000001</v>
      </c>
      <c r="Y131" s="584">
        <v>269.5</v>
      </c>
      <c r="Z131" s="584">
        <v>0.47499999999999998</v>
      </c>
      <c r="AA131" s="584">
        <v>0.47499999999999998</v>
      </c>
      <c r="AB131" s="584">
        <v>1140</v>
      </c>
      <c r="AC131" s="584">
        <v>24</v>
      </c>
      <c r="AD131" s="584">
        <v>0</v>
      </c>
      <c r="AE131" s="584">
        <v>0</v>
      </c>
      <c r="AF131" s="584">
        <v>0</v>
      </c>
      <c r="AG131" s="584">
        <v>0</v>
      </c>
      <c r="AH131" s="584">
        <v>0</v>
      </c>
      <c r="AI131" s="584">
        <v>0</v>
      </c>
      <c r="AJ131" s="584">
        <v>0</v>
      </c>
      <c r="AK131" s="584">
        <v>0</v>
      </c>
      <c r="AL131" s="584">
        <v>0</v>
      </c>
      <c r="AM131" s="584">
        <v>0</v>
      </c>
      <c r="AN131" s="584">
        <v>0</v>
      </c>
      <c r="AO131" s="584">
        <v>446.14743750000002</v>
      </c>
      <c r="AP131" s="584">
        <v>61.25</v>
      </c>
      <c r="AQ131" s="584">
        <v>835.14</v>
      </c>
      <c r="AR131" s="584">
        <v>128.625</v>
      </c>
      <c r="AS131" s="584">
        <v>1343.0160000000001</v>
      </c>
      <c r="AT131" s="584">
        <v>269.5</v>
      </c>
      <c r="AU131" s="584">
        <v>0.82499999999999996</v>
      </c>
      <c r="AV131" s="584">
        <v>0.255</v>
      </c>
      <c r="AW131" s="584">
        <v>553.39375806239298</v>
      </c>
      <c r="AX131" s="584">
        <v>28.365195471896801</v>
      </c>
      <c r="AY131" s="584">
        <v>0</v>
      </c>
      <c r="AZ131" s="584">
        <v>0</v>
      </c>
      <c r="BA131" s="584">
        <v>0</v>
      </c>
      <c r="BB131" s="584">
        <v>0</v>
      </c>
      <c r="BC131" s="584">
        <v>0</v>
      </c>
      <c r="BD131" s="584">
        <v>0</v>
      </c>
      <c r="BE131" s="584">
        <v>0</v>
      </c>
      <c r="BF131" s="584">
        <v>0</v>
      </c>
      <c r="BG131" s="584">
        <v>0.82499999999999996</v>
      </c>
      <c r="BH131" s="584">
        <v>0</v>
      </c>
      <c r="BI131" s="584">
        <v>0.45</v>
      </c>
      <c r="BJ131" s="584">
        <v>305.80425385020402</v>
      </c>
      <c r="BK131" s="584">
        <v>61.25</v>
      </c>
      <c r="BL131" s="584">
        <v>503.20800786083299</v>
      </c>
      <c r="BM131" s="584">
        <v>128.625</v>
      </c>
      <c r="BN131" s="584">
        <v>615.78237503948901</v>
      </c>
      <c r="BO131" s="584">
        <v>269.5</v>
      </c>
      <c r="BP131" s="584">
        <v>0.97499999999999998</v>
      </c>
      <c r="BQ131" s="584">
        <v>0.17499999999999999</v>
      </c>
      <c r="BR131" s="584">
        <v>587.15364617612204</v>
      </c>
      <c r="BS131" s="584">
        <v>55.077224562327203</v>
      </c>
      <c r="BT131" s="584">
        <v>0</v>
      </c>
      <c r="BU131" s="584">
        <v>0</v>
      </c>
      <c r="BV131" s="584">
        <v>0</v>
      </c>
      <c r="BW131" s="584">
        <v>0</v>
      </c>
      <c r="BX131" s="584">
        <v>0</v>
      </c>
      <c r="BY131" s="584">
        <v>0</v>
      </c>
      <c r="BZ131" s="584">
        <v>0</v>
      </c>
      <c r="CA131" s="584">
        <v>0.3</v>
      </c>
      <c r="CB131" s="584">
        <v>0.97499999999999998</v>
      </c>
      <c r="CC131" s="584">
        <v>0.45</v>
      </c>
      <c r="CD131" s="584">
        <v>0.45</v>
      </c>
      <c r="CE131" s="584">
        <v>305.43074999999999</v>
      </c>
      <c r="CF131" s="584">
        <v>61.25</v>
      </c>
      <c r="CG131" s="584">
        <v>506.73075</v>
      </c>
      <c r="CH131" s="584">
        <v>128.625</v>
      </c>
      <c r="CI131" s="584">
        <v>664.36575000000005</v>
      </c>
      <c r="CJ131" s="584">
        <v>269.5</v>
      </c>
      <c r="CK131" s="584">
        <v>0</v>
      </c>
      <c r="CL131" s="584">
        <v>0</v>
      </c>
      <c r="CM131" s="584">
        <v>0</v>
      </c>
      <c r="CN131" s="584">
        <v>0</v>
      </c>
      <c r="CO131" s="584">
        <v>0</v>
      </c>
      <c r="CP131" s="584">
        <v>0</v>
      </c>
      <c r="CQ131" s="584">
        <v>0</v>
      </c>
      <c r="CR131" s="584">
        <v>0</v>
      </c>
      <c r="CS131" s="584">
        <v>0</v>
      </c>
      <c r="CT131" s="584">
        <v>0</v>
      </c>
      <c r="CU131" s="584">
        <v>0</v>
      </c>
      <c r="CV131" s="584">
        <v>0</v>
      </c>
      <c r="CW131" s="584">
        <v>0</v>
      </c>
      <c r="CX131" s="584">
        <v>0</v>
      </c>
      <c r="CY131" s="584">
        <v>0</v>
      </c>
      <c r="CZ131" s="584">
        <v>0</v>
      </c>
      <c r="DA131" s="584">
        <v>0</v>
      </c>
      <c r="DB131" s="584">
        <v>0</v>
      </c>
      <c r="DC131" s="584">
        <v>0</v>
      </c>
      <c r="DD131" s="584">
        <v>0</v>
      </c>
      <c r="DE131" s="584">
        <v>0</v>
      </c>
      <c r="DF131" s="584">
        <v>0</v>
      </c>
      <c r="DG131" s="584">
        <v>0</v>
      </c>
      <c r="DH131" s="584">
        <v>0</v>
      </c>
      <c r="DI131" s="584">
        <v>0</v>
      </c>
      <c r="DJ131" s="584">
        <v>0</v>
      </c>
      <c r="DK131" s="584">
        <v>0</v>
      </c>
      <c r="DL131" s="584">
        <v>0</v>
      </c>
      <c r="DM131" s="584">
        <v>0</v>
      </c>
      <c r="DN131" s="584">
        <v>0</v>
      </c>
      <c r="DO131" s="584">
        <v>0</v>
      </c>
      <c r="DP131" s="584">
        <v>0</v>
      </c>
      <c r="DQ131" s="584">
        <v>0</v>
      </c>
      <c r="DR131" s="584">
        <v>0</v>
      </c>
      <c r="DS131" s="584">
        <v>0</v>
      </c>
      <c r="DT131" s="584">
        <v>0</v>
      </c>
      <c r="DU131" s="584">
        <v>0</v>
      </c>
      <c r="DV131" s="584">
        <v>0</v>
      </c>
      <c r="DW131" s="584">
        <v>0</v>
      </c>
      <c r="DX131" s="584">
        <v>0</v>
      </c>
      <c r="DY131" s="584">
        <v>0</v>
      </c>
      <c r="DZ131" s="584">
        <v>0</v>
      </c>
      <c r="EA131" s="1062">
        <v>0.96029999999999993</v>
      </c>
      <c r="EB131" s="1046">
        <v>0.4</v>
      </c>
      <c r="EC131" s="1093">
        <v>132.51783893985737</v>
      </c>
      <c r="ED131" s="1046">
        <v>0</v>
      </c>
      <c r="EE131" s="1046">
        <v>519.87767584097855</v>
      </c>
      <c r="EF131" s="1046">
        <v>42.01428571428572</v>
      </c>
      <c r="EG131" s="1046">
        <v>0</v>
      </c>
      <c r="EH131" s="1046">
        <v>0</v>
      </c>
      <c r="EI131" s="1046" t="s">
        <v>423</v>
      </c>
      <c r="EJ131" s="1046" t="s">
        <v>420</v>
      </c>
      <c r="EK131" s="1046">
        <v>0</v>
      </c>
      <c r="EL131" s="1046">
        <v>0</v>
      </c>
      <c r="EM131" s="1046">
        <v>0</v>
      </c>
      <c r="EN131" s="1046">
        <v>0</v>
      </c>
      <c r="EO131" s="1046">
        <v>0</v>
      </c>
      <c r="EP131" s="1094">
        <v>179.14792350000005</v>
      </c>
      <c r="EQ131" s="1094">
        <v>61.25</v>
      </c>
      <c r="ER131" s="1094">
        <v>358.29584700000009</v>
      </c>
      <c r="ES131" s="1095">
        <v>122.5</v>
      </c>
      <c r="ET131" s="1094">
        <v>716.59169400000019</v>
      </c>
      <c r="EU131" s="1094">
        <v>245</v>
      </c>
      <c r="EV131" s="1096">
        <v>0.75260000000000005</v>
      </c>
      <c r="EW131" s="1097">
        <v>0.15</v>
      </c>
      <c r="EX131" s="1096">
        <v>289.50050968399592</v>
      </c>
      <c r="EY131" s="1096">
        <v>1.5443934760448521</v>
      </c>
      <c r="EZ131" s="1096">
        <v>0</v>
      </c>
      <c r="FA131" s="1096">
        <v>35.49285714285714</v>
      </c>
      <c r="FB131" s="1098">
        <v>0</v>
      </c>
      <c r="FC131" s="1098">
        <v>0</v>
      </c>
      <c r="FD131" s="1098" t="s">
        <v>430</v>
      </c>
      <c r="FE131" s="1098" t="s">
        <v>410</v>
      </c>
      <c r="FF131" s="1098">
        <v>2</v>
      </c>
      <c r="FG131" s="1098">
        <v>0</v>
      </c>
      <c r="FH131" s="1098">
        <v>0</v>
      </c>
      <c r="FI131" s="1098">
        <v>0</v>
      </c>
      <c r="FJ131" s="1098">
        <v>0</v>
      </c>
      <c r="FK131" s="1096">
        <v>93.426717999999994</v>
      </c>
      <c r="FL131" s="1096">
        <v>61.25</v>
      </c>
      <c r="FM131" s="1096">
        <v>186.85343599999999</v>
      </c>
      <c r="FN131" s="1096">
        <v>122.5</v>
      </c>
      <c r="FO131" s="1096">
        <v>373.70687199999998</v>
      </c>
      <c r="FP131" s="1099">
        <v>245</v>
      </c>
      <c r="FQ131" s="1064">
        <v>1.0108981024599608</v>
      </c>
      <c r="FR131" s="1065">
        <v>0.15</v>
      </c>
      <c r="FS131" s="1066">
        <v>289.50050968399586</v>
      </c>
      <c r="FT131" s="1066">
        <v>3.1547324150233758</v>
      </c>
      <c r="FU131" s="1065"/>
      <c r="FV131" s="1066">
        <v>50.638206446349194</v>
      </c>
      <c r="FW131" s="1065"/>
      <c r="FX131" s="1065"/>
      <c r="FY131" s="1065" t="s">
        <v>416</v>
      </c>
      <c r="FZ131" s="1065" t="s">
        <v>412</v>
      </c>
      <c r="GA131" s="1065">
        <v>1</v>
      </c>
      <c r="GB131" s="1065"/>
      <c r="GC131" s="1065"/>
      <c r="GD131" s="1065"/>
      <c r="GE131" s="1065"/>
      <c r="GF131" s="1066">
        <v>94.75886389063659</v>
      </c>
      <c r="GG131" s="1066">
        <v>61.25</v>
      </c>
      <c r="GH131" s="1066">
        <v>189.51772778127318</v>
      </c>
      <c r="GI131" s="1066">
        <v>122.5</v>
      </c>
      <c r="GJ131" s="1066">
        <v>379.03545556254636</v>
      </c>
      <c r="GK131" s="1066">
        <v>245</v>
      </c>
      <c r="GL131" s="584">
        <v>0.89219999999999999</v>
      </c>
      <c r="GM131" s="584">
        <v>0.13</v>
      </c>
      <c r="GN131" s="584"/>
      <c r="GO131" s="584"/>
      <c r="GP131" s="584"/>
      <c r="GQ131" s="584">
        <v>54.121428571428602</v>
      </c>
      <c r="GR131" s="584"/>
      <c r="GS131" s="584">
        <v>66.2589194699286</v>
      </c>
      <c r="GT131" s="584" t="s">
        <v>438</v>
      </c>
      <c r="GU131" s="584" t="s">
        <v>385</v>
      </c>
      <c r="GV131" s="584">
        <v>1</v>
      </c>
      <c r="GW131" s="584"/>
      <c r="GX131" s="584"/>
      <c r="GY131" s="584"/>
      <c r="GZ131" s="584"/>
      <c r="HA131" s="584">
        <v>41.182814749999999</v>
      </c>
      <c r="HB131" s="584">
        <v>61.25</v>
      </c>
      <c r="HC131" s="584">
        <v>82.365629499999997</v>
      </c>
      <c r="HD131" s="584">
        <v>122.5</v>
      </c>
      <c r="HE131" s="584">
        <v>164.73125899999999</v>
      </c>
      <c r="HF131" s="584">
        <v>245</v>
      </c>
      <c r="HG131" s="1100">
        <v>1.33</v>
      </c>
      <c r="HH131" s="1100">
        <v>0.13</v>
      </c>
      <c r="HI131" s="1101">
        <v>0</v>
      </c>
      <c r="HJ131" s="1101">
        <v>0</v>
      </c>
      <c r="HK131" s="1101">
        <v>0</v>
      </c>
      <c r="HL131" s="1101">
        <v>0</v>
      </c>
      <c r="HM131" s="1101">
        <v>53.845714285714287</v>
      </c>
      <c r="HN131" s="1101">
        <v>65</v>
      </c>
      <c r="HO131" s="1101">
        <v>0</v>
      </c>
      <c r="HP131" s="1101">
        <v>0</v>
      </c>
      <c r="HQ131" s="1101">
        <v>1</v>
      </c>
      <c r="HR131" s="1101">
        <v>0.84</v>
      </c>
      <c r="HS131" s="1101">
        <v>1.2</v>
      </c>
      <c r="HT131" s="1101">
        <v>0.28000000000000003</v>
      </c>
      <c r="HU131" s="1101">
        <v>0.3</v>
      </c>
      <c r="HV131" s="1101">
        <v>40.813973199999992</v>
      </c>
      <c r="HW131" s="1101">
        <v>61.25</v>
      </c>
      <c r="HX131" s="1101">
        <v>81.627946399999985</v>
      </c>
      <c r="HY131" s="1101">
        <v>122.5</v>
      </c>
      <c r="HZ131" s="1101">
        <v>163.25589279999997</v>
      </c>
      <c r="IA131" s="1101">
        <v>245</v>
      </c>
      <c r="IB131" s="1062"/>
      <c r="IC131" s="1092"/>
      <c r="ID131" s="1050"/>
      <c r="IE131" s="1050"/>
      <c r="IF131" s="1103"/>
      <c r="IG131" s="1103"/>
      <c r="IH131" s="1103"/>
      <c r="II131" s="1103"/>
      <c r="IJ131" s="1103"/>
      <c r="IK131" s="1103"/>
      <c r="IL131" s="1103"/>
      <c r="IM131" s="1050"/>
      <c r="IN131" s="1050"/>
      <c r="IO131" s="1050"/>
      <c r="IP131" s="1050"/>
      <c r="IQ131" s="1103"/>
      <c r="IR131" s="1103"/>
      <c r="IS131" s="1103"/>
      <c r="IT131" s="1103"/>
      <c r="IU131" s="1103"/>
      <c r="IV131" s="1103"/>
      <c r="JS131" s="1092"/>
      <c r="JU131" s="1050"/>
      <c r="JV131" s="1103"/>
      <c r="JW131" s="1103"/>
      <c r="JX131" s="1103"/>
      <c r="JY131" s="1103"/>
      <c r="JZ131" s="1103"/>
      <c r="KA131" s="1103"/>
      <c r="KB131" s="1103"/>
      <c r="KC131" s="1050"/>
      <c r="KD131" s="1050"/>
      <c r="KE131" s="1050"/>
      <c r="KF131" s="1050"/>
      <c r="KG131" s="1103"/>
      <c r="KH131" s="1103"/>
      <c r="KI131" s="1103"/>
      <c r="KJ131" s="1103"/>
      <c r="KK131" s="1103"/>
      <c r="KL131" s="1103"/>
      <c r="KM131" s="1103"/>
      <c r="KN131" s="1103"/>
    </row>
    <row r="132" spans="2:300">
      <c r="B132" s="1048" t="str">
        <f t="shared" si="4"/>
        <v>R715</v>
      </c>
      <c r="C132" s="1046">
        <v>7</v>
      </c>
      <c r="D132" s="1092">
        <v>15</v>
      </c>
      <c r="E132" s="584">
        <v>0</v>
      </c>
      <c r="F132" s="584">
        <v>0</v>
      </c>
      <c r="G132" s="584">
        <v>0</v>
      </c>
      <c r="H132" s="584">
        <v>0</v>
      </c>
      <c r="I132" s="584">
        <v>0</v>
      </c>
      <c r="J132" s="584">
        <v>0</v>
      </c>
      <c r="K132" s="584">
        <v>0</v>
      </c>
      <c r="L132" s="584">
        <v>0</v>
      </c>
      <c r="M132" s="584">
        <v>0</v>
      </c>
      <c r="N132" s="584">
        <v>0</v>
      </c>
      <c r="O132" s="584">
        <v>0</v>
      </c>
      <c r="P132" s="584">
        <v>0</v>
      </c>
      <c r="Q132" s="584">
        <v>0</v>
      </c>
      <c r="R132" s="584">
        <v>0</v>
      </c>
      <c r="S132" s="584">
        <v>0</v>
      </c>
      <c r="T132" s="584">
        <v>0</v>
      </c>
      <c r="U132" s="584">
        <v>0</v>
      </c>
      <c r="V132" s="584">
        <v>0</v>
      </c>
      <c r="W132" s="584">
        <v>0</v>
      </c>
      <c r="X132" s="584">
        <v>0</v>
      </c>
      <c r="Y132" s="584">
        <v>0</v>
      </c>
      <c r="Z132" s="584">
        <v>0</v>
      </c>
      <c r="AA132" s="584">
        <v>0</v>
      </c>
      <c r="AB132" s="584">
        <v>0</v>
      </c>
      <c r="AC132" s="584">
        <v>0</v>
      </c>
      <c r="AD132" s="584">
        <v>0</v>
      </c>
      <c r="AE132" s="584">
        <v>0</v>
      </c>
      <c r="AF132" s="584">
        <v>0</v>
      </c>
      <c r="AG132" s="584">
        <v>0</v>
      </c>
      <c r="AH132" s="584">
        <v>0</v>
      </c>
      <c r="AI132" s="584">
        <v>0</v>
      </c>
      <c r="AJ132" s="584">
        <v>0</v>
      </c>
      <c r="AK132" s="584">
        <v>0</v>
      </c>
      <c r="AL132" s="584">
        <v>0</v>
      </c>
      <c r="AM132" s="584">
        <v>0</v>
      </c>
      <c r="AN132" s="584">
        <v>0</v>
      </c>
      <c r="AO132" s="584">
        <v>0</v>
      </c>
      <c r="AP132" s="584">
        <v>0</v>
      </c>
      <c r="AQ132" s="584">
        <v>0</v>
      </c>
      <c r="AR132" s="584">
        <v>0</v>
      </c>
      <c r="AS132" s="584">
        <v>0</v>
      </c>
      <c r="AT132" s="584">
        <v>0</v>
      </c>
      <c r="AU132" s="584">
        <v>0</v>
      </c>
      <c r="AV132" s="584">
        <v>0</v>
      </c>
      <c r="AW132" s="584">
        <v>0</v>
      </c>
      <c r="AX132" s="584">
        <v>0</v>
      </c>
      <c r="AY132" s="584">
        <v>0</v>
      </c>
      <c r="AZ132" s="584">
        <v>0</v>
      </c>
      <c r="BA132" s="584">
        <v>0</v>
      </c>
      <c r="BB132" s="584">
        <v>0</v>
      </c>
      <c r="BC132" s="584">
        <v>0</v>
      </c>
      <c r="BD132" s="584">
        <v>0</v>
      </c>
      <c r="BE132" s="584">
        <v>0</v>
      </c>
      <c r="BF132" s="584">
        <v>0</v>
      </c>
      <c r="BG132" s="584">
        <v>0</v>
      </c>
      <c r="BH132" s="584">
        <v>0</v>
      </c>
      <c r="BI132" s="584">
        <v>0</v>
      </c>
      <c r="BJ132" s="584">
        <v>0</v>
      </c>
      <c r="BK132" s="584">
        <v>0</v>
      </c>
      <c r="BL132" s="584">
        <v>0</v>
      </c>
      <c r="BM132" s="584">
        <v>0</v>
      </c>
      <c r="BN132" s="584">
        <v>0</v>
      </c>
      <c r="BO132" s="584">
        <v>0</v>
      </c>
      <c r="BP132" s="584">
        <v>0</v>
      </c>
      <c r="BQ132" s="584">
        <v>0</v>
      </c>
      <c r="BR132" s="584">
        <v>0</v>
      </c>
      <c r="BS132" s="584">
        <v>0</v>
      </c>
      <c r="BT132" s="584">
        <v>0</v>
      </c>
      <c r="BU132" s="584">
        <v>0</v>
      </c>
      <c r="BV132" s="584">
        <v>0</v>
      </c>
      <c r="BW132" s="584">
        <v>0</v>
      </c>
      <c r="BX132" s="584">
        <v>0</v>
      </c>
      <c r="BY132" s="584">
        <v>0</v>
      </c>
      <c r="BZ132" s="584">
        <v>0</v>
      </c>
      <c r="CA132" s="584">
        <v>0</v>
      </c>
      <c r="CB132" s="584">
        <v>0</v>
      </c>
      <c r="CC132" s="584">
        <v>0</v>
      </c>
      <c r="CD132" s="584">
        <v>0</v>
      </c>
      <c r="CE132" s="584">
        <v>0</v>
      </c>
      <c r="CF132" s="584">
        <v>0</v>
      </c>
      <c r="CG132" s="584">
        <v>0</v>
      </c>
      <c r="CH132" s="584">
        <v>0</v>
      </c>
      <c r="CI132" s="584">
        <v>0</v>
      </c>
      <c r="CJ132" s="584">
        <v>0</v>
      </c>
      <c r="CK132" s="584">
        <v>0</v>
      </c>
      <c r="CL132" s="584">
        <v>0</v>
      </c>
      <c r="CM132" s="584">
        <v>0</v>
      </c>
      <c r="CN132" s="584">
        <v>0</v>
      </c>
      <c r="CO132" s="584">
        <v>0</v>
      </c>
      <c r="CP132" s="584">
        <v>0</v>
      </c>
      <c r="CQ132" s="584">
        <v>0</v>
      </c>
      <c r="CR132" s="584">
        <v>0</v>
      </c>
      <c r="CS132" s="584">
        <v>0</v>
      </c>
      <c r="CT132" s="584">
        <v>0</v>
      </c>
      <c r="CU132" s="584">
        <v>0</v>
      </c>
      <c r="CV132" s="584">
        <v>0</v>
      </c>
      <c r="CW132" s="584">
        <v>0</v>
      </c>
      <c r="CX132" s="584">
        <v>0</v>
      </c>
      <c r="CY132" s="584">
        <v>0</v>
      </c>
      <c r="CZ132" s="584">
        <v>0</v>
      </c>
      <c r="DA132" s="584">
        <v>0</v>
      </c>
      <c r="DB132" s="584">
        <v>0</v>
      </c>
      <c r="DC132" s="584">
        <v>0</v>
      </c>
      <c r="DD132" s="584">
        <v>0</v>
      </c>
      <c r="DE132" s="584">
        <v>0</v>
      </c>
      <c r="DF132" s="584">
        <v>0</v>
      </c>
      <c r="DG132" s="584">
        <v>0</v>
      </c>
      <c r="DH132" s="584">
        <v>0</v>
      </c>
      <c r="DI132" s="584">
        <v>0</v>
      </c>
      <c r="DJ132" s="584">
        <v>0</v>
      </c>
      <c r="DK132" s="584">
        <v>0</v>
      </c>
      <c r="DL132" s="584">
        <v>0</v>
      </c>
      <c r="DM132" s="584">
        <v>0</v>
      </c>
      <c r="DN132" s="584">
        <v>0</v>
      </c>
      <c r="DO132" s="584">
        <v>0</v>
      </c>
      <c r="DP132" s="584">
        <v>0</v>
      </c>
      <c r="DQ132" s="584">
        <v>0</v>
      </c>
      <c r="DR132" s="584">
        <v>0</v>
      </c>
      <c r="DS132" s="584">
        <v>0</v>
      </c>
      <c r="DT132" s="584">
        <v>0</v>
      </c>
      <c r="DU132" s="584">
        <v>0</v>
      </c>
      <c r="DV132" s="584">
        <v>0</v>
      </c>
      <c r="DW132" s="584">
        <v>0</v>
      </c>
      <c r="DX132" s="584">
        <v>0</v>
      </c>
      <c r="DY132" s="584">
        <v>0</v>
      </c>
      <c r="DZ132" s="584">
        <v>0</v>
      </c>
      <c r="EA132" s="1062">
        <v>1.0270999999999999</v>
      </c>
      <c r="EB132" s="1046">
        <v>0.45</v>
      </c>
      <c r="EC132" s="1093">
        <v>132.51783893985726</v>
      </c>
      <c r="ED132" s="1046">
        <v>0</v>
      </c>
      <c r="EE132" s="1046">
        <v>581.03975535168195</v>
      </c>
      <c r="EF132" s="1046">
        <v>51.142857142857146</v>
      </c>
      <c r="EG132" s="1046">
        <v>0</v>
      </c>
      <c r="EH132" s="1046">
        <v>0</v>
      </c>
      <c r="EI132" s="1046" t="s">
        <v>421</v>
      </c>
      <c r="EJ132" s="1046" t="s">
        <v>418</v>
      </c>
      <c r="EK132" s="1046">
        <v>0</v>
      </c>
      <c r="EL132" s="1046">
        <v>0</v>
      </c>
      <c r="EM132" s="1046">
        <v>0</v>
      </c>
      <c r="EN132" s="1046">
        <v>0</v>
      </c>
      <c r="EO132" s="1046">
        <v>0</v>
      </c>
      <c r="EP132" s="1094">
        <v>210.04492500000003</v>
      </c>
      <c r="EQ132" s="1094">
        <v>65.625</v>
      </c>
      <c r="ER132" s="1094">
        <v>420.08985000000007</v>
      </c>
      <c r="ES132" s="1095">
        <v>131.25</v>
      </c>
      <c r="ET132" s="1094">
        <v>840.17970000000014</v>
      </c>
      <c r="EU132" s="1094">
        <v>262.5</v>
      </c>
      <c r="EV132" s="1096">
        <v>0.75260000000000005</v>
      </c>
      <c r="EW132" s="1097">
        <v>0.15</v>
      </c>
      <c r="EX132" s="1096">
        <v>289.50050968399592</v>
      </c>
      <c r="EY132" s="1096">
        <v>1.5443934760448521</v>
      </c>
      <c r="EZ132" s="1096">
        <v>0</v>
      </c>
      <c r="FA132" s="1096">
        <v>35.647619047619045</v>
      </c>
      <c r="FB132" s="1098">
        <v>0</v>
      </c>
      <c r="FC132" s="1098">
        <v>0</v>
      </c>
      <c r="FD132" s="1098" t="s">
        <v>429</v>
      </c>
      <c r="FE132" s="1098" t="s">
        <v>410</v>
      </c>
      <c r="FF132" s="1098">
        <v>2</v>
      </c>
      <c r="FG132" s="1098">
        <v>0</v>
      </c>
      <c r="FH132" s="1098">
        <v>0</v>
      </c>
      <c r="FI132" s="1098">
        <v>0</v>
      </c>
      <c r="FJ132" s="1098">
        <v>0</v>
      </c>
      <c r="FK132" s="1096">
        <v>100.13990812500001</v>
      </c>
      <c r="FL132" s="1096">
        <v>65.625</v>
      </c>
      <c r="FM132" s="1096">
        <v>200.27981625000001</v>
      </c>
      <c r="FN132" s="1096">
        <v>131.25</v>
      </c>
      <c r="FO132" s="1096">
        <v>400.55963250000002</v>
      </c>
      <c r="FP132" s="1099">
        <v>262.5</v>
      </c>
      <c r="FQ132" s="1064">
        <v>1.0156981024599609</v>
      </c>
      <c r="FR132" s="1065">
        <v>0.15</v>
      </c>
      <c r="FS132" s="1066">
        <v>289.50050968399586</v>
      </c>
      <c r="FT132" s="1066">
        <v>3.1547324150233758</v>
      </c>
      <c r="FU132" s="1065"/>
      <c r="FV132" s="1066">
        <v>58.77544845107024</v>
      </c>
      <c r="FW132" s="1065"/>
      <c r="FX132" s="1065"/>
      <c r="FY132" s="1065" t="s">
        <v>414</v>
      </c>
      <c r="FZ132" s="1065" t="s">
        <v>406</v>
      </c>
      <c r="GA132" s="1065">
        <v>1</v>
      </c>
      <c r="GB132" s="1065"/>
      <c r="GC132" s="1065"/>
      <c r="GD132" s="1065"/>
      <c r="GE132" s="1065"/>
      <c r="GF132" s="1066">
        <v>103.62279570027991</v>
      </c>
      <c r="GG132" s="1066">
        <v>65.625</v>
      </c>
      <c r="GH132" s="1066">
        <v>207.24559140055982</v>
      </c>
      <c r="GI132" s="1066">
        <v>131.25</v>
      </c>
      <c r="GJ132" s="1066">
        <v>414.49118280111963</v>
      </c>
      <c r="GK132" s="1066">
        <v>262.5</v>
      </c>
      <c r="GL132" s="584">
        <v>0.97070000000000001</v>
      </c>
      <c r="GM132" s="584">
        <v>0.13</v>
      </c>
      <c r="GN132" s="584"/>
      <c r="GO132" s="584"/>
      <c r="GP132" s="584"/>
      <c r="GQ132" s="584">
        <v>60.3247619047619</v>
      </c>
      <c r="GR132" s="584"/>
      <c r="GS132" s="584">
        <v>66.2589194699286</v>
      </c>
      <c r="GT132" s="584" t="s">
        <v>450</v>
      </c>
      <c r="GU132" s="584" t="s">
        <v>379</v>
      </c>
      <c r="GV132" s="584">
        <v>1</v>
      </c>
      <c r="GW132" s="584"/>
      <c r="GX132" s="584"/>
      <c r="GY132" s="584"/>
      <c r="GZ132" s="584"/>
      <c r="HA132" s="584">
        <v>45.721880249999998</v>
      </c>
      <c r="HB132" s="584">
        <v>65.625</v>
      </c>
      <c r="HC132" s="584">
        <v>91.443760499999996</v>
      </c>
      <c r="HD132" s="584">
        <v>131.25</v>
      </c>
      <c r="HE132" s="584">
        <v>182.88752099999999</v>
      </c>
      <c r="HF132" s="584">
        <v>262.5</v>
      </c>
      <c r="HG132" s="1100">
        <v>1.4500000000000002</v>
      </c>
      <c r="HH132" s="1100">
        <v>0.13</v>
      </c>
      <c r="HI132" s="1101">
        <v>0</v>
      </c>
      <c r="HJ132" s="1101">
        <v>0</v>
      </c>
      <c r="HK132" s="1101">
        <v>0</v>
      </c>
      <c r="HL132" s="1101">
        <v>0</v>
      </c>
      <c r="HM132" s="1101">
        <v>58.306285714285721</v>
      </c>
      <c r="HN132" s="1101">
        <v>65</v>
      </c>
      <c r="HO132" s="1101">
        <v>0</v>
      </c>
      <c r="HP132" s="1101">
        <v>0</v>
      </c>
      <c r="HQ132" s="1101">
        <v>1</v>
      </c>
      <c r="HR132" s="1101">
        <v>0.88</v>
      </c>
      <c r="HS132" s="1101">
        <v>1.32</v>
      </c>
      <c r="HT132" s="1101">
        <v>0.28000000000000003</v>
      </c>
      <c r="HU132" s="1101">
        <v>0.3</v>
      </c>
      <c r="HV132" s="1101">
        <v>44.877909899999999</v>
      </c>
      <c r="HW132" s="1101">
        <v>65.625</v>
      </c>
      <c r="HX132" s="1101">
        <v>89.755819799999998</v>
      </c>
      <c r="HY132" s="1101">
        <v>131.25</v>
      </c>
      <c r="HZ132" s="1101">
        <v>179.5116396</v>
      </c>
      <c r="IA132" s="1101">
        <v>262.5</v>
      </c>
      <c r="IB132" s="1062"/>
      <c r="IC132" s="1092"/>
      <c r="ID132" s="1050"/>
      <c r="IE132" s="1050"/>
      <c r="IF132" s="1103"/>
      <c r="IG132" s="1103"/>
      <c r="IH132" s="1103"/>
      <c r="II132" s="1103"/>
      <c r="IJ132" s="1103"/>
      <c r="IK132" s="1103"/>
      <c r="IL132" s="1103"/>
      <c r="IM132" s="1050"/>
      <c r="IN132" s="1050"/>
      <c r="IO132" s="1050"/>
      <c r="IP132" s="1050"/>
      <c r="IQ132" s="1103"/>
      <c r="IR132" s="1103"/>
      <c r="IS132" s="1103"/>
      <c r="IT132" s="1103"/>
      <c r="IU132" s="1103"/>
      <c r="IV132" s="1103"/>
      <c r="JS132" s="1092"/>
      <c r="JU132" s="1050"/>
      <c r="JV132" s="1103"/>
      <c r="JW132" s="1103"/>
      <c r="JX132" s="1103"/>
      <c r="JY132" s="1103"/>
      <c r="JZ132" s="1103"/>
      <c r="KA132" s="1103"/>
      <c r="KB132" s="1103"/>
      <c r="KC132" s="1050"/>
      <c r="KD132" s="1050"/>
      <c r="KE132" s="1050"/>
      <c r="KF132" s="1050"/>
      <c r="KG132" s="1103"/>
      <c r="KH132" s="1103"/>
      <c r="KI132" s="1103"/>
      <c r="KJ132" s="1103"/>
      <c r="KK132" s="1103"/>
      <c r="KL132" s="1103"/>
      <c r="KM132" s="1103"/>
      <c r="KN132" s="1103"/>
    </row>
    <row r="133" spans="2:300">
      <c r="B133" s="1048" t="str">
        <f t="shared" si="4"/>
        <v>R716</v>
      </c>
      <c r="C133" s="1046">
        <v>7</v>
      </c>
      <c r="D133" s="1092">
        <v>16</v>
      </c>
      <c r="E133" s="584">
        <v>0</v>
      </c>
      <c r="F133" s="584">
        <v>0</v>
      </c>
      <c r="G133" s="584">
        <v>0</v>
      </c>
      <c r="H133" s="584">
        <v>0</v>
      </c>
      <c r="I133" s="584">
        <v>0</v>
      </c>
      <c r="J133" s="584">
        <v>0</v>
      </c>
      <c r="K133" s="584">
        <v>0</v>
      </c>
      <c r="L133" s="584">
        <v>0</v>
      </c>
      <c r="M133" s="584">
        <v>0</v>
      </c>
      <c r="N133" s="584">
        <v>0</v>
      </c>
      <c r="O133" s="584">
        <v>0</v>
      </c>
      <c r="P133" s="584">
        <v>0</v>
      </c>
      <c r="Q133" s="584">
        <v>0</v>
      </c>
      <c r="R133" s="584">
        <v>0</v>
      </c>
      <c r="S133" s="584">
        <v>0</v>
      </c>
      <c r="T133" s="584">
        <v>0</v>
      </c>
      <c r="U133" s="584">
        <v>0</v>
      </c>
      <c r="V133" s="584">
        <v>0</v>
      </c>
      <c r="W133" s="584">
        <v>0</v>
      </c>
      <c r="X133" s="584">
        <v>0</v>
      </c>
      <c r="Y133" s="584">
        <v>0</v>
      </c>
      <c r="Z133" s="584">
        <v>0</v>
      </c>
      <c r="AA133" s="584">
        <v>0</v>
      </c>
      <c r="AB133" s="584">
        <v>0</v>
      </c>
      <c r="AC133" s="584">
        <v>0</v>
      </c>
      <c r="AD133" s="584">
        <v>0</v>
      </c>
      <c r="AE133" s="584">
        <v>0</v>
      </c>
      <c r="AF133" s="584">
        <v>0</v>
      </c>
      <c r="AG133" s="584">
        <v>0</v>
      </c>
      <c r="AH133" s="584">
        <v>0</v>
      </c>
      <c r="AI133" s="584">
        <v>0</v>
      </c>
      <c r="AJ133" s="584">
        <v>0</v>
      </c>
      <c r="AK133" s="584">
        <v>0</v>
      </c>
      <c r="AL133" s="584">
        <v>0</v>
      </c>
      <c r="AM133" s="584">
        <v>0</v>
      </c>
      <c r="AN133" s="584">
        <v>0</v>
      </c>
      <c r="AO133" s="584">
        <v>142.24743749999999</v>
      </c>
      <c r="AP133" s="584">
        <v>70</v>
      </c>
      <c r="AQ133" s="584">
        <v>214.21743749999999</v>
      </c>
      <c r="AR133" s="584">
        <v>147</v>
      </c>
      <c r="AS133" s="584">
        <v>70.591000000000093</v>
      </c>
      <c r="AT133" s="584">
        <v>308</v>
      </c>
      <c r="AU133" s="584">
        <v>0</v>
      </c>
      <c r="AV133" s="584">
        <v>0</v>
      </c>
      <c r="AW133" s="584">
        <v>0</v>
      </c>
      <c r="AX133" s="584">
        <v>0</v>
      </c>
      <c r="AY133" s="584">
        <v>0</v>
      </c>
      <c r="AZ133" s="584">
        <v>0</v>
      </c>
      <c r="BA133" s="584">
        <v>0</v>
      </c>
      <c r="BB133" s="584">
        <v>0</v>
      </c>
      <c r="BC133" s="584">
        <v>0</v>
      </c>
      <c r="BD133" s="584">
        <v>0</v>
      </c>
      <c r="BE133" s="584">
        <v>0</v>
      </c>
      <c r="BF133" s="584">
        <v>0</v>
      </c>
      <c r="BG133" s="584">
        <v>0</v>
      </c>
      <c r="BH133" s="584">
        <v>0</v>
      </c>
      <c r="BI133" s="584">
        <v>0</v>
      </c>
      <c r="BJ133" s="584">
        <v>0</v>
      </c>
      <c r="BK133" s="584">
        <v>0</v>
      </c>
      <c r="BL133" s="584">
        <v>0</v>
      </c>
      <c r="BM133" s="584">
        <v>0</v>
      </c>
      <c r="BN133" s="584">
        <v>0</v>
      </c>
      <c r="BO133" s="584">
        <v>0</v>
      </c>
      <c r="BP133" s="584">
        <v>0</v>
      </c>
      <c r="BQ133" s="584">
        <v>0</v>
      </c>
      <c r="BR133" s="584">
        <v>0</v>
      </c>
      <c r="BS133" s="584">
        <v>0</v>
      </c>
      <c r="BT133" s="584">
        <v>0</v>
      </c>
      <c r="BU133" s="584">
        <v>0</v>
      </c>
      <c r="BV133" s="584">
        <v>0</v>
      </c>
      <c r="BW133" s="584">
        <v>0</v>
      </c>
      <c r="BX133" s="584">
        <v>0</v>
      </c>
      <c r="BY133" s="584">
        <v>0</v>
      </c>
      <c r="BZ133" s="584">
        <v>0</v>
      </c>
      <c r="CA133" s="584">
        <v>0</v>
      </c>
      <c r="CB133" s="584">
        <v>0</v>
      </c>
      <c r="CC133" s="584">
        <v>0</v>
      </c>
      <c r="CD133" s="584">
        <v>0</v>
      </c>
      <c r="CE133" s="584">
        <v>0</v>
      </c>
      <c r="CF133" s="584">
        <v>0</v>
      </c>
      <c r="CG133" s="584">
        <v>0</v>
      </c>
      <c r="CH133" s="584">
        <v>0</v>
      </c>
      <c r="CI133" s="584">
        <v>0</v>
      </c>
      <c r="CJ133" s="584">
        <v>0</v>
      </c>
      <c r="CK133" s="584">
        <v>0</v>
      </c>
      <c r="CL133" s="584">
        <v>0</v>
      </c>
      <c r="CM133" s="584">
        <v>0</v>
      </c>
      <c r="CN133" s="584">
        <v>0</v>
      </c>
      <c r="CO133" s="584">
        <v>0</v>
      </c>
      <c r="CP133" s="584">
        <v>0</v>
      </c>
      <c r="CQ133" s="584">
        <v>0</v>
      </c>
      <c r="CR133" s="584">
        <v>0</v>
      </c>
      <c r="CS133" s="584">
        <v>0</v>
      </c>
      <c r="CT133" s="584">
        <v>0</v>
      </c>
      <c r="CU133" s="584">
        <v>0</v>
      </c>
      <c r="CV133" s="584">
        <v>0</v>
      </c>
      <c r="CW133" s="584">
        <v>0</v>
      </c>
      <c r="CX133" s="584">
        <v>0</v>
      </c>
      <c r="CY133" s="584">
        <v>0</v>
      </c>
      <c r="CZ133" s="584">
        <v>0</v>
      </c>
      <c r="DA133" s="584">
        <v>0</v>
      </c>
      <c r="DB133" s="584">
        <v>0</v>
      </c>
      <c r="DC133" s="584">
        <v>0</v>
      </c>
      <c r="DD133" s="584">
        <v>0</v>
      </c>
      <c r="DE133" s="584">
        <v>0</v>
      </c>
      <c r="DF133" s="584">
        <v>0</v>
      </c>
      <c r="DG133" s="584">
        <v>0</v>
      </c>
      <c r="DH133" s="584">
        <v>0</v>
      </c>
      <c r="DI133" s="584">
        <v>0</v>
      </c>
      <c r="DJ133" s="584">
        <v>0</v>
      </c>
      <c r="DK133" s="584">
        <v>0</v>
      </c>
      <c r="DL133" s="584">
        <v>0</v>
      </c>
      <c r="DM133" s="584">
        <v>0</v>
      </c>
      <c r="DN133" s="584">
        <v>0</v>
      </c>
      <c r="DO133" s="584">
        <v>0</v>
      </c>
      <c r="DP133" s="584">
        <v>0</v>
      </c>
      <c r="DQ133" s="584">
        <v>0</v>
      </c>
      <c r="DR133" s="584">
        <v>0</v>
      </c>
      <c r="DS133" s="584">
        <v>0</v>
      </c>
      <c r="DT133" s="584">
        <v>0</v>
      </c>
      <c r="DU133" s="584">
        <v>0</v>
      </c>
      <c r="DV133" s="584">
        <v>0</v>
      </c>
      <c r="DW133" s="584">
        <v>0</v>
      </c>
      <c r="DX133" s="584">
        <v>0</v>
      </c>
      <c r="DY133" s="584">
        <v>0</v>
      </c>
      <c r="DZ133" s="584">
        <v>0</v>
      </c>
      <c r="EA133" s="1062">
        <v>0</v>
      </c>
      <c r="EB133" s="1046">
        <v>0</v>
      </c>
      <c r="EC133" s="1093">
        <v>0</v>
      </c>
      <c r="ED133" s="1046">
        <v>0</v>
      </c>
      <c r="EE133" s="1046">
        <v>0</v>
      </c>
      <c r="EF133" s="1046">
        <v>0</v>
      </c>
      <c r="EG133" s="1046">
        <v>0</v>
      </c>
      <c r="EH133" s="1046">
        <v>0</v>
      </c>
      <c r="EI133" s="1046">
        <v>0</v>
      </c>
      <c r="EJ133" s="1046">
        <v>0</v>
      </c>
      <c r="EK133" s="1046">
        <v>0</v>
      </c>
      <c r="EL133" s="1046">
        <v>0</v>
      </c>
      <c r="EM133" s="1046">
        <v>0</v>
      </c>
      <c r="EN133" s="1046">
        <v>0</v>
      </c>
      <c r="EO133" s="1046">
        <v>0</v>
      </c>
      <c r="EP133" s="1094">
        <v>0</v>
      </c>
      <c r="EQ133" s="1094">
        <v>0</v>
      </c>
      <c r="ER133" s="1094">
        <v>0</v>
      </c>
      <c r="ES133" s="1095">
        <v>0</v>
      </c>
      <c r="ET133" s="1094">
        <v>0</v>
      </c>
      <c r="EU133" s="1094">
        <v>0</v>
      </c>
      <c r="EV133" s="1096">
        <v>0.82789999999999997</v>
      </c>
      <c r="EW133" s="1097">
        <v>0.15</v>
      </c>
      <c r="EX133" s="1096">
        <v>289.50050968399592</v>
      </c>
      <c r="EY133" s="1096">
        <v>1.5443934760448521</v>
      </c>
      <c r="EZ133" s="1096">
        <v>0</v>
      </c>
      <c r="FA133" s="1096">
        <v>42.583928571428565</v>
      </c>
      <c r="FB133" s="1098">
        <v>0</v>
      </c>
      <c r="FC133" s="1098">
        <v>0</v>
      </c>
      <c r="FD133" s="1098" t="s">
        <v>428</v>
      </c>
      <c r="FE133" s="1098" t="s">
        <v>396</v>
      </c>
      <c r="FF133" s="1098">
        <v>2</v>
      </c>
      <c r="FG133" s="1098">
        <v>0</v>
      </c>
      <c r="FH133" s="1098">
        <v>0</v>
      </c>
      <c r="FI133" s="1098">
        <v>0</v>
      </c>
      <c r="FJ133" s="1098">
        <v>0</v>
      </c>
      <c r="FK133" s="1096">
        <v>108.72116749999999</v>
      </c>
      <c r="FL133" s="1096">
        <v>70</v>
      </c>
      <c r="FM133" s="1096">
        <v>217.44233499999999</v>
      </c>
      <c r="FN133" s="1096">
        <v>140</v>
      </c>
      <c r="FO133" s="1096">
        <v>434.88466999999997</v>
      </c>
      <c r="FP133" s="1099">
        <v>280</v>
      </c>
      <c r="FQ133" s="1064">
        <v>1.2222367378842984</v>
      </c>
      <c r="FR133" s="1065">
        <v>0.15</v>
      </c>
      <c r="FS133" s="1066">
        <v>289.50050968399586</v>
      </c>
      <c r="FT133" s="1066">
        <v>3.1547324150233758</v>
      </c>
      <c r="FU133" s="1065"/>
      <c r="FV133" s="1066">
        <v>62.812396957080388</v>
      </c>
      <c r="FW133" s="1065"/>
      <c r="FX133" s="1065"/>
      <c r="FY133" s="1065" t="s">
        <v>408</v>
      </c>
      <c r="FZ133" s="1065" t="s">
        <v>389</v>
      </c>
      <c r="GA133" s="1065">
        <v>1</v>
      </c>
      <c r="GB133" s="1065"/>
      <c r="GC133" s="1065"/>
      <c r="GD133" s="1065"/>
      <c r="GE133" s="1065"/>
      <c r="GF133" s="1066">
        <v>111.63985109592944</v>
      </c>
      <c r="GG133" s="1066">
        <v>70</v>
      </c>
      <c r="GH133" s="1066">
        <v>223.27970219185889</v>
      </c>
      <c r="GI133" s="1066">
        <v>140</v>
      </c>
      <c r="GJ133" s="1066">
        <v>446.55940438371778</v>
      </c>
      <c r="GK133" s="1066">
        <v>280</v>
      </c>
      <c r="GL133" s="584">
        <v>1.1003000000000001</v>
      </c>
      <c r="GM133" s="584">
        <v>0.13</v>
      </c>
      <c r="GN133" s="584"/>
      <c r="GO133" s="584"/>
      <c r="GP133" s="584"/>
      <c r="GQ133" s="584">
        <v>68.097321428571405</v>
      </c>
      <c r="GR133" s="584"/>
      <c r="GS133" s="584">
        <v>66.2589194699286</v>
      </c>
      <c r="GT133" s="584" t="s">
        <v>436</v>
      </c>
      <c r="GU133" s="584" t="s">
        <v>351</v>
      </c>
      <c r="GV133" s="584">
        <v>1</v>
      </c>
      <c r="GW133" s="584"/>
      <c r="GX133" s="584"/>
      <c r="GY133" s="584"/>
      <c r="GZ133" s="584"/>
      <c r="HA133" s="584">
        <v>50.90497225</v>
      </c>
      <c r="HB133" s="584">
        <v>70</v>
      </c>
      <c r="HC133" s="584">
        <v>101.8099445</v>
      </c>
      <c r="HD133" s="584">
        <v>140</v>
      </c>
      <c r="HE133" s="584">
        <v>203.619889</v>
      </c>
      <c r="HF133" s="584">
        <v>280</v>
      </c>
      <c r="HG133" s="1100">
        <v>1.5699999999999998</v>
      </c>
      <c r="HH133" s="1100">
        <v>0.13</v>
      </c>
      <c r="HI133" s="1101">
        <v>0</v>
      </c>
      <c r="HJ133" s="1101">
        <v>0</v>
      </c>
      <c r="HK133" s="1101">
        <v>0</v>
      </c>
      <c r="HL133" s="1101">
        <v>0</v>
      </c>
      <c r="HM133" s="1101">
        <v>62.967857142857142</v>
      </c>
      <c r="HN133" s="1101">
        <v>65</v>
      </c>
      <c r="HO133" s="1101">
        <v>0</v>
      </c>
      <c r="HP133" s="1101">
        <v>0</v>
      </c>
      <c r="HQ133" s="1101">
        <v>1</v>
      </c>
      <c r="HR133" s="1101">
        <v>0.88</v>
      </c>
      <c r="HS133" s="1101">
        <v>1.44</v>
      </c>
      <c r="HT133" s="1101">
        <v>0.3</v>
      </c>
      <c r="HU133" s="1101">
        <v>0.3</v>
      </c>
      <c r="HV133" s="1101">
        <v>49.150210999999999</v>
      </c>
      <c r="HW133" s="1101">
        <v>70</v>
      </c>
      <c r="HX133" s="1101">
        <v>98.300421999999998</v>
      </c>
      <c r="HY133" s="1101">
        <v>140</v>
      </c>
      <c r="HZ133" s="1101">
        <v>196.600844</v>
      </c>
      <c r="IA133" s="1101">
        <v>280</v>
      </c>
      <c r="IB133" s="1062"/>
      <c r="IC133" s="1092"/>
      <c r="ID133" s="1050"/>
      <c r="IE133" s="1050"/>
      <c r="IF133" s="1103"/>
      <c r="IG133" s="1103"/>
      <c r="IH133" s="1103"/>
      <c r="II133" s="1103"/>
      <c r="IJ133" s="1103"/>
      <c r="IK133" s="1103"/>
      <c r="IL133" s="1103"/>
      <c r="IM133" s="1050"/>
      <c r="IN133" s="1050"/>
      <c r="IO133" s="1050"/>
      <c r="IP133" s="1050"/>
      <c r="IQ133" s="1103"/>
      <c r="IR133" s="1103"/>
      <c r="IS133" s="1103"/>
      <c r="IT133" s="1103"/>
      <c r="IU133" s="1103"/>
      <c r="IV133" s="1103"/>
      <c r="JS133" s="1092"/>
      <c r="JU133" s="1050"/>
      <c r="JV133" s="1103"/>
      <c r="JW133" s="1103"/>
      <c r="JX133" s="1103"/>
      <c r="JY133" s="1103"/>
      <c r="JZ133" s="1103"/>
      <c r="KA133" s="1103"/>
      <c r="KB133" s="1103"/>
      <c r="KC133" s="1050"/>
      <c r="KD133" s="1050"/>
      <c r="KE133" s="1050"/>
      <c r="KF133" s="1050"/>
      <c r="KG133" s="1103"/>
      <c r="KH133" s="1103"/>
      <c r="KI133" s="1103"/>
      <c r="KJ133" s="1103"/>
      <c r="KK133" s="1103"/>
      <c r="KL133" s="1103"/>
      <c r="KM133" s="1103"/>
      <c r="KN133" s="1103"/>
    </row>
    <row r="134" spans="2:300">
      <c r="B134" s="1048" t="str">
        <f t="shared" si="4"/>
        <v>R88</v>
      </c>
      <c r="C134" s="1046">
        <v>8</v>
      </c>
      <c r="D134" s="1046">
        <v>8</v>
      </c>
      <c r="E134" s="584">
        <v>0.25</v>
      </c>
      <c r="F134" s="584">
        <v>0.25</v>
      </c>
      <c r="G134" s="584">
        <v>600</v>
      </c>
      <c r="H134" s="584">
        <v>22</v>
      </c>
      <c r="I134" s="584">
        <v>0</v>
      </c>
      <c r="J134" s="584">
        <v>0</v>
      </c>
      <c r="K134" s="584">
        <v>0</v>
      </c>
      <c r="L134" s="584">
        <v>0</v>
      </c>
      <c r="M134" s="584">
        <v>0</v>
      </c>
      <c r="N134" s="584">
        <v>0</v>
      </c>
      <c r="O134" s="584">
        <v>0</v>
      </c>
      <c r="P134" s="584">
        <v>0</v>
      </c>
      <c r="Q134" s="584">
        <v>0</v>
      </c>
      <c r="R134" s="584">
        <v>0</v>
      </c>
      <c r="S134" s="584">
        <v>0</v>
      </c>
      <c r="T134" s="584">
        <v>209.0474375</v>
      </c>
      <c r="U134" s="584">
        <v>40</v>
      </c>
      <c r="V134" s="584">
        <v>332.2374375</v>
      </c>
      <c r="W134" s="584">
        <v>84</v>
      </c>
      <c r="X134" s="584">
        <v>484.19099999999997</v>
      </c>
      <c r="Y134" s="584">
        <v>176</v>
      </c>
      <c r="Z134" s="584">
        <v>0.215</v>
      </c>
      <c r="AA134" s="584">
        <v>0.215</v>
      </c>
      <c r="AB134" s="584">
        <v>516</v>
      </c>
      <c r="AC134" s="584">
        <v>19</v>
      </c>
      <c r="AD134" s="584">
        <v>0</v>
      </c>
      <c r="AE134" s="584">
        <v>0</v>
      </c>
      <c r="AF134" s="584">
        <v>0</v>
      </c>
      <c r="AG134" s="584">
        <v>0</v>
      </c>
      <c r="AH134" s="584">
        <v>0</v>
      </c>
      <c r="AI134" s="584">
        <v>0</v>
      </c>
      <c r="AJ134" s="584">
        <v>0</v>
      </c>
      <c r="AK134" s="584">
        <v>0</v>
      </c>
      <c r="AL134" s="584">
        <v>0</v>
      </c>
      <c r="AM134" s="584">
        <v>0</v>
      </c>
      <c r="AN134" s="584">
        <v>0</v>
      </c>
      <c r="AO134" s="584">
        <v>193.6124375</v>
      </c>
      <c r="AP134" s="584">
        <v>40</v>
      </c>
      <c r="AQ134" s="584">
        <v>301.36743749999999</v>
      </c>
      <c r="AR134" s="584">
        <v>84</v>
      </c>
      <c r="AS134" s="584">
        <v>422.59100000000001</v>
      </c>
      <c r="AT134" s="584">
        <v>176</v>
      </c>
      <c r="AU134" s="584">
        <v>0.47499999999999998</v>
      </c>
      <c r="AV134" s="584">
        <v>0.31</v>
      </c>
      <c r="AW134" s="584">
        <v>518.05069972011199</v>
      </c>
      <c r="AX134" s="584">
        <v>30.392546981207499</v>
      </c>
      <c r="AY134" s="584">
        <v>0</v>
      </c>
      <c r="AZ134" s="584">
        <v>0</v>
      </c>
      <c r="BA134" s="584">
        <v>0</v>
      </c>
      <c r="BB134" s="584">
        <v>0</v>
      </c>
      <c r="BC134" s="584">
        <v>0</v>
      </c>
      <c r="BD134" s="584">
        <v>0</v>
      </c>
      <c r="BE134" s="584">
        <v>0</v>
      </c>
      <c r="BF134" s="584">
        <v>0</v>
      </c>
      <c r="BG134" s="584">
        <v>0.47499999999999998</v>
      </c>
      <c r="BH134" s="584">
        <v>0</v>
      </c>
      <c r="BI134" s="584">
        <v>0.45</v>
      </c>
      <c r="BJ134" s="584">
        <v>198.772269912035</v>
      </c>
      <c r="BK134" s="584">
        <v>40</v>
      </c>
      <c r="BL134" s="584">
        <v>301.25448982406999</v>
      </c>
      <c r="BM134" s="584">
        <v>84</v>
      </c>
      <c r="BN134" s="584">
        <v>415.99675531787301</v>
      </c>
      <c r="BO134" s="584">
        <v>176</v>
      </c>
      <c r="BP134" s="584">
        <v>0.42499999999999999</v>
      </c>
      <c r="BQ134" s="584">
        <v>0.17</v>
      </c>
      <c r="BR134" s="584">
        <v>469.84846061575399</v>
      </c>
      <c r="BS134" s="584">
        <v>16.8839704118353</v>
      </c>
      <c r="BT134" s="584">
        <v>0</v>
      </c>
      <c r="BU134" s="584">
        <v>0</v>
      </c>
      <c r="BV134" s="584">
        <v>0</v>
      </c>
      <c r="BW134" s="584">
        <v>0</v>
      </c>
      <c r="BX134" s="584">
        <v>0</v>
      </c>
      <c r="BY134" s="584">
        <v>0</v>
      </c>
      <c r="BZ134" s="584">
        <v>0</v>
      </c>
      <c r="CA134" s="584">
        <v>0.42499999999999999</v>
      </c>
      <c r="CB134" s="584">
        <v>0.42499999999999999</v>
      </c>
      <c r="CC134" s="584">
        <v>0.3</v>
      </c>
      <c r="CD134" s="584">
        <v>0.3</v>
      </c>
      <c r="CE134" s="584">
        <v>192.38135</v>
      </c>
      <c r="CF134" s="584">
        <v>40</v>
      </c>
      <c r="CG134" s="584">
        <v>287.65447499999999</v>
      </c>
      <c r="CH134" s="584">
        <v>84</v>
      </c>
      <c r="CI134" s="584">
        <v>372.79759999999999</v>
      </c>
      <c r="CJ134" s="584">
        <v>176</v>
      </c>
      <c r="CK134" s="584">
        <v>0.5</v>
      </c>
      <c r="CL134" s="584">
        <v>0.24</v>
      </c>
      <c r="CM134" s="584">
        <v>614.54418232706905</v>
      </c>
      <c r="CN134" s="584">
        <v>21.675713714514199</v>
      </c>
      <c r="CO134" s="584">
        <v>0</v>
      </c>
      <c r="CP134" s="584">
        <v>0</v>
      </c>
      <c r="CQ134" s="584">
        <v>0</v>
      </c>
      <c r="CR134" s="584">
        <v>0</v>
      </c>
      <c r="CS134" s="584">
        <v>0</v>
      </c>
      <c r="CT134" s="584">
        <v>0</v>
      </c>
      <c r="CU134" s="584">
        <v>0</v>
      </c>
      <c r="CV134" s="584">
        <v>0</v>
      </c>
      <c r="CW134" s="584">
        <v>0.5</v>
      </c>
      <c r="CX134" s="584">
        <v>0</v>
      </c>
      <c r="CY134" s="584">
        <v>0.45</v>
      </c>
      <c r="CZ134" s="584">
        <v>219.03919999999999</v>
      </c>
      <c r="DA134" s="584">
        <v>40</v>
      </c>
      <c r="DB134" s="584">
        <v>337.81920000000002</v>
      </c>
      <c r="DC134" s="584">
        <v>84</v>
      </c>
      <c r="DD134" s="584">
        <v>489.35919999999999</v>
      </c>
      <c r="DE134" s="584">
        <v>176</v>
      </c>
      <c r="DF134" s="584">
        <v>0.35</v>
      </c>
      <c r="DG134" s="584">
        <v>0.2</v>
      </c>
      <c r="DH134" s="584">
        <v>289.393242702919</v>
      </c>
      <c r="DI134" s="584">
        <v>16.320945421831301</v>
      </c>
      <c r="DJ134" s="584">
        <v>300</v>
      </c>
      <c r="DK134" s="584">
        <v>0</v>
      </c>
      <c r="DL134" s="584">
        <v>0</v>
      </c>
      <c r="DM134" s="584">
        <v>0</v>
      </c>
      <c r="DN134" s="584">
        <v>0</v>
      </c>
      <c r="DO134" s="584">
        <v>0</v>
      </c>
      <c r="DP134" s="584">
        <v>0</v>
      </c>
      <c r="DQ134" s="584">
        <v>0</v>
      </c>
      <c r="DR134" s="584">
        <v>0.35</v>
      </c>
      <c r="DS134" s="584">
        <v>0</v>
      </c>
      <c r="DT134" s="584">
        <v>2.4</v>
      </c>
      <c r="DU134" s="584">
        <v>188.41024999999999</v>
      </c>
      <c r="DV134" s="584">
        <v>40</v>
      </c>
      <c r="DW134" s="584">
        <v>339.99775</v>
      </c>
      <c r="DX134" s="584">
        <v>84</v>
      </c>
      <c r="DY134" s="584">
        <v>440.62650000000002</v>
      </c>
      <c r="DZ134" s="584">
        <v>176</v>
      </c>
      <c r="EA134" s="1062">
        <v>0.68059999999999998</v>
      </c>
      <c r="EB134" s="1046">
        <v>0.2</v>
      </c>
      <c r="EC134" s="1093">
        <v>132.51783893985726</v>
      </c>
      <c r="ED134" s="1046">
        <v>0</v>
      </c>
      <c r="EE134" s="1046">
        <v>285.42303771661568</v>
      </c>
      <c r="EF134" s="1046">
        <v>22.675000000000001</v>
      </c>
      <c r="EG134" s="1046">
        <v>0</v>
      </c>
      <c r="EH134" s="1046">
        <v>0</v>
      </c>
      <c r="EI134" s="1046" t="s">
        <v>442</v>
      </c>
      <c r="EJ134" s="1046" t="s">
        <v>492</v>
      </c>
      <c r="EK134" s="1046">
        <v>0</v>
      </c>
      <c r="EL134" s="1046">
        <v>0</v>
      </c>
      <c r="EM134" s="1046">
        <v>0</v>
      </c>
      <c r="EN134" s="1046">
        <v>0</v>
      </c>
      <c r="EO134" s="1046">
        <v>0</v>
      </c>
      <c r="EP134" s="1094">
        <v>77.159067999999991</v>
      </c>
      <c r="EQ134" s="1094">
        <v>40</v>
      </c>
      <c r="ER134" s="1094">
        <v>154.31813599999998</v>
      </c>
      <c r="ES134" s="1095">
        <v>80</v>
      </c>
      <c r="ET134" s="1094">
        <v>308.63627199999996</v>
      </c>
      <c r="EU134" s="1094">
        <v>160</v>
      </c>
      <c r="EV134" s="1096">
        <v>0.61</v>
      </c>
      <c r="EW134" s="1097">
        <v>0.15</v>
      </c>
      <c r="EX134" s="1096">
        <v>289.50050968399592</v>
      </c>
      <c r="EY134" s="1096">
        <v>1.5443934760448521</v>
      </c>
      <c r="EZ134" s="1096">
        <v>0</v>
      </c>
      <c r="FA134" s="1096">
        <v>21.5</v>
      </c>
      <c r="FB134" s="1098">
        <v>0</v>
      </c>
      <c r="FC134" s="1098">
        <v>0</v>
      </c>
      <c r="FD134" s="1098" t="s">
        <v>448</v>
      </c>
      <c r="FE134" s="1098" t="s">
        <v>481</v>
      </c>
      <c r="FF134" s="1098">
        <v>2</v>
      </c>
      <c r="FG134" s="1098">
        <v>0</v>
      </c>
      <c r="FH134" s="1098">
        <v>0</v>
      </c>
      <c r="FI134" s="1098">
        <v>0</v>
      </c>
      <c r="FJ134" s="1098">
        <v>0</v>
      </c>
      <c r="FK134" s="1096">
        <v>58.817048</v>
      </c>
      <c r="FL134" s="1096">
        <v>40</v>
      </c>
      <c r="FM134" s="1096">
        <v>117.634096</v>
      </c>
      <c r="FN134" s="1096">
        <v>80</v>
      </c>
      <c r="FO134" s="1096">
        <v>235.268192</v>
      </c>
      <c r="FP134" s="1099">
        <v>160</v>
      </c>
      <c r="FQ134" s="1064">
        <v>0.88458000000000003</v>
      </c>
      <c r="FR134" s="1065">
        <v>0.15</v>
      </c>
      <c r="FS134" s="1066">
        <v>289.50050968399586</v>
      </c>
      <c r="FT134" s="1066">
        <v>3.1935353236673123</v>
      </c>
      <c r="FU134" s="1065"/>
      <c r="FV134" s="1066">
        <v>44.387539115933563</v>
      </c>
      <c r="FW134" s="1065"/>
      <c r="FX134" s="1065"/>
      <c r="FY134" s="1065" t="s">
        <v>438</v>
      </c>
      <c r="FZ134" s="1065" t="s">
        <v>490</v>
      </c>
      <c r="GA134" s="1065">
        <v>3</v>
      </c>
      <c r="GB134" s="1065"/>
      <c r="GC134" s="1065"/>
      <c r="GD134" s="1065"/>
      <c r="GE134" s="1065"/>
      <c r="GF134" s="1066">
        <v>60.908325444039754</v>
      </c>
      <c r="GG134" s="1066">
        <v>40</v>
      </c>
      <c r="GH134" s="1066">
        <v>121.81665088807951</v>
      </c>
      <c r="GI134" s="1066">
        <v>80</v>
      </c>
      <c r="GJ134" s="1066">
        <v>243.63330177615902</v>
      </c>
      <c r="GK134" s="1066">
        <v>160</v>
      </c>
      <c r="GL134" s="584">
        <v>0.65469999999999995</v>
      </c>
      <c r="GM134" s="584">
        <v>0.13</v>
      </c>
      <c r="GN134" s="584"/>
      <c r="GO134" s="584"/>
      <c r="GP134" s="584"/>
      <c r="GQ134" s="584">
        <v>21.287500000000001</v>
      </c>
      <c r="GR134" s="584"/>
      <c r="GS134" s="584">
        <v>66.2589194699286</v>
      </c>
      <c r="GT134" s="584" t="s">
        <v>438</v>
      </c>
      <c r="GU134" s="584" t="s">
        <v>461</v>
      </c>
      <c r="GV134" s="584">
        <v>1</v>
      </c>
      <c r="GW134" s="584"/>
      <c r="GX134" s="584"/>
      <c r="GY134" s="584"/>
      <c r="GZ134" s="584"/>
      <c r="HA134" s="584">
        <v>21.741285999999999</v>
      </c>
      <c r="HB134" s="584">
        <v>40</v>
      </c>
      <c r="HC134" s="584">
        <v>43.482571999999998</v>
      </c>
      <c r="HD134" s="584">
        <v>80</v>
      </c>
      <c r="HE134" s="584">
        <v>86.965143999999995</v>
      </c>
      <c r="HF134" s="584">
        <v>160</v>
      </c>
      <c r="HG134" s="1100">
        <v>0.91</v>
      </c>
      <c r="HH134" s="1100">
        <v>0.11</v>
      </c>
      <c r="HI134" s="1101">
        <v>0</v>
      </c>
      <c r="HJ134" s="1101">
        <v>0</v>
      </c>
      <c r="HK134" s="1101">
        <v>0</v>
      </c>
      <c r="HL134" s="1101">
        <v>0</v>
      </c>
      <c r="HM134" s="1101">
        <v>41.58</v>
      </c>
      <c r="HN134" s="1101">
        <v>54.999999999999993</v>
      </c>
      <c r="HO134" s="1101">
        <v>0</v>
      </c>
      <c r="HP134" s="1101">
        <v>0</v>
      </c>
      <c r="HQ134" s="1101">
        <v>3</v>
      </c>
      <c r="HR134" s="1101">
        <v>0.8</v>
      </c>
      <c r="HS134" s="1101">
        <v>0.48</v>
      </c>
      <c r="HT134" s="1101">
        <v>0.3</v>
      </c>
      <c r="HU134" s="1101">
        <v>0.26</v>
      </c>
      <c r="HV134" s="1101">
        <v>23.159196799999997</v>
      </c>
      <c r="HW134" s="1101">
        <v>40</v>
      </c>
      <c r="HX134" s="1101">
        <v>46.318393599999993</v>
      </c>
      <c r="HY134" s="1101">
        <v>80</v>
      </c>
      <c r="HZ134" s="1101">
        <v>92.636787199999986</v>
      </c>
      <c r="IA134" s="1101">
        <v>160</v>
      </c>
      <c r="IB134" s="1062"/>
      <c r="ID134" s="1050"/>
      <c r="IE134" s="1050"/>
      <c r="IF134" s="1103"/>
      <c r="IG134" s="1103"/>
      <c r="IH134" s="1103"/>
      <c r="II134" s="1103"/>
      <c r="IJ134" s="1103"/>
      <c r="IK134" s="1103"/>
      <c r="IL134" s="1103"/>
      <c r="IM134" s="1050"/>
      <c r="IN134" s="1050"/>
      <c r="IO134" s="1050"/>
      <c r="IP134" s="1050"/>
      <c r="IQ134" s="1103"/>
      <c r="IR134" s="1103"/>
      <c r="IS134" s="1103"/>
      <c r="IT134" s="1103"/>
      <c r="IU134" s="1103"/>
      <c r="IV134" s="1103"/>
      <c r="JU134" s="1050"/>
      <c r="JV134" s="1103"/>
      <c r="JW134" s="1103"/>
      <c r="JX134" s="1103"/>
      <c r="JY134" s="1103"/>
      <c r="JZ134" s="1103"/>
      <c r="KA134" s="1103"/>
      <c r="KB134" s="1103"/>
      <c r="KC134" s="1050"/>
      <c r="KD134" s="1050"/>
      <c r="KE134" s="1050"/>
      <c r="KF134" s="1050"/>
      <c r="KG134" s="1103"/>
      <c r="KH134" s="1103"/>
      <c r="KI134" s="1103"/>
      <c r="KJ134" s="1103"/>
      <c r="KK134" s="1103"/>
      <c r="KL134" s="1103"/>
      <c r="KM134" s="1103"/>
      <c r="KN134" s="1103"/>
    </row>
    <row r="135" spans="2:300">
      <c r="B135" s="1048" t="str">
        <f t="shared" si="4"/>
        <v>R89</v>
      </c>
      <c r="C135" s="1046">
        <v>8</v>
      </c>
      <c r="D135" s="1046">
        <v>9</v>
      </c>
      <c r="E135" s="584">
        <v>0.28999999999999998</v>
      </c>
      <c r="F135" s="584">
        <v>0.28999999999999998</v>
      </c>
      <c r="G135" s="584">
        <v>696</v>
      </c>
      <c r="H135" s="584">
        <v>23.2</v>
      </c>
      <c r="I135" s="584">
        <v>0</v>
      </c>
      <c r="J135" s="584">
        <v>0</v>
      </c>
      <c r="K135" s="584">
        <v>0</v>
      </c>
      <c r="L135" s="584">
        <v>0</v>
      </c>
      <c r="M135" s="584">
        <v>0</v>
      </c>
      <c r="N135" s="584">
        <v>0</v>
      </c>
      <c r="O135" s="584">
        <v>0</v>
      </c>
      <c r="P135" s="584">
        <v>0</v>
      </c>
      <c r="Q135" s="584">
        <v>0</v>
      </c>
      <c r="R135" s="584">
        <v>0</v>
      </c>
      <c r="S135" s="584">
        <v>0</v>
      </c>
      <c r="T135" s="584">
        <v>248.2624375</v>
      </c>
      <c r="U135" s="584">
        <v>45</v>
      </c>
      <c r="V135" s="584">
        <v>412.82493749999998</v>
      </c>
      <c r="W135" s="584">
        <v>94.5</v>
      </c>
      <c r="X135" s="584">
        <v>622.79100000000005</v>
      </c>
      <c r="Y135" s="584">
        <v>198</v>
      </c>
      <c r="Z135" s="584">
        <v>0.24</v>
      </c>
      <c r="AA135" s="584">
        <v>0.24</v>
      </c>
      <c r="AB135" s="584">
        <v>576</v>
      </c>
      <c r="AC135" s="584">
        <v>19</v>
      </c>
      <c r="AD135" s="584">
        <v>0</v>
      </c>
      <c r="AE135" s="584">
        <v>0</v>
      </c>
      <c r="AF135" s="584">
        <v>0</v>
      </c>
      <c r="AG135" s="584">
        <v>0</v>
      </c>
      <c r="AH135" s="584">
        <v>0</v>
      </c>
      <c r="AI135" s="584">
        <v>0</v>
      </c>
      <c r="AJ135" s="584">
        <v>0</v>
      </c>
      <c r="AK135" s="584">
        <v>0</v>
      </c>
      <c r="AL135" s="584">
        <v>0</v>
      </c>
      <c r="AM135" s="584">
        <v>0</v>
      </c>
      <c r="AN135" s="584">
        <v>0</v>
      </c>
      <c r="AO135" s="584">
        <v>223.58743749999999</v>
      </c>
      <c r="AP135" s="584">
        <v>45</v>
      </c>
      <c r="AQ135" s="584">
        <v>363.21243750000002</v>
      </c>
      <c r="AR135" s="584">
        <v>94.5</v>
      </c>
      <c r="AS135" s="584">
        <v>523.79100000000005</v>
      </c>
      <c r="AT135" s="584">
        <v>198</v>
      </c>
      <c r="AU135" s="584">
        <v>0.55000000000000004</v>
      </c>
      <c r="AV135" s="584">
        <v>0.31</v>
      </c>
      <c r="AW135" s="584">
        <v>511.25294369208802</v>
      </c>
      <c r="AX135" s="584">
        <v>30.054591945830399</v>
      </c>
      <c r="AY135" s="584">
        <v>0</v>
      </c>
      <c r="AZ135" s="584">
        <v>0</v>
      </c>
      <c r="BA135" s="584">
        <v>0</v>
      </c>
      <c r="BB135" s="584">
        <v>0</v>
      </c>
      <c r="BC135" s="584">
        <v>0</v>
      </c>
      <c r="BD135" s="584">
        <v>0</v>
      </c>
      <c r="BE135" s="584">
        <v>0</v>
      </c>
      <c r="BF135" s="584">
        <v>0</v>
      </c>
      <c r="BG135" s="584">
        <v>0.55000000000000004</v>
      </c>
      <c r="BH135" s="584">
        <v>0</v>
      </c>
      <c r="BI135" s="584">
        <v>0.45</v>
      </c>
      <c r="BJ135" s="584">
        <v>217.140447683535</v>
      </c>
      <c r="BK135" s="584">
        <v>45</v>
      </c>
      <c r="BL135" s="584">
        <v>335.33501183178902</v>
      </c>
      <c r="BM135" s="584">
        <v>94.5</v>
      </c>
      <c r="BN135" s="584">
        <v>459.60200955096201</v>
      </c>
      <c r="BO135" s="584">
        <v>198</v>
      </c>
      <c r="BP135" s="584">
        <v>0.55000000000000004</v>
      </c>
      <c r="BQ135" s="584">
        <v>0.18</v>
      </c>
      <c r="BR135" s="584">
        <v>499.73414112615802</v>
      </c>
      <c r="BS135" s="584">
        <v>19.474495723449799</v>
      </c>
      <c r="BT135" s="584">
        <v>0</v>
      </c>
      <c r="BU135" s="584">
        <v>0</v>
      </c>
      <c r="BV135" s="584">
        <v>0</v>
      </c>
      <c r="BW135" s="584">
        <v>0</v>
      </c>
      <c r="BX135" s="584">
        <v>0</v>
      </c>
      <c r="BY135" s="584">
        <v>0</v>
      </c>
      <c r="BZ135" s="584">
        <v>0</v>
      </c>
      <c r="CA135" s="584">
        <v>0.45</v>
      </c>
      <c r="CB135" s="584">
        <v>0.55000000000000004</v>
      </c>
      <c r="CC135" s="584">
        <v>0.3</v>
      </c>
      <c r="CD135" s="584">
        <v>0.3</v>
      </c>
      <c r="CE135" s="584">
        <v>214.2244</v>
      </c>
      <c r="CF135" s="584">
        <v>45</v>
      </c>
      <c r="CG135" s="584">
        <v>334.98315000000002</v>
      </c>
      <c r="CH135" s="584">
        <v>94.5</v>
      </c>
      <c r="CI135" s="584">
        <v>444.43439999999998</v>
      </c>
      <c r="CJ135" s="584">
        <v>198</v>
      </c>
      <c r="CK135" s="584">
        <v>0.57499999999999996</v>
      </c>
      <c r="CL135" s="584">
        <v>0.24</v>
      </c>
      <c r="CM135" s="584">
        <v>623.48033232359205</v>
      </c>
      <c r="CN135" s="584">
        <v>21.666020580898099</v>
      </c>
      <c r="CO135" s="584">
        <v>0</v>
      </c>
      <c r="CP135" s="584">
        <v>0</v>
      </c>
      <c r="CQ135" s="584">
        <v>0</v>
      </c>
      <c r="CR135" s="584">
        <v>0</v>
      </c>
      <c r="CS135" s="584">
        <v>0</v>
      </c>
      <c r="CT135" s="584">
        <v>0</v>
      </c>
      <c r="CU135" s="584">
        <v>0</v>
      </c>
      <c r="CV135" s="584">
        <v>0</v>
      </c>
      <c r="CW135" s="584">
        <v>0.57499999999999996</v>
      </c>
      <c r="CX135" s="584">
        <v>0</v>
      </c>
      <c r="CY135" s="584">
        <v>0.6</v>
      </c>
      <c r="CZ135" s="584">
        <v>242.72413750000001</v>
      </c>
      <c r="DA135" s="584">
        <v>45</v>
      </c>
      <c r="DB135" s="584">
        <v>383.29132499999997</v>
      </c>
      <c r="DC135" s="584">
        <v>94.5</v>
      </c>
      <c r="DD135" s="584">
        <v>556.89570000000003</v>
      </c>
      <c r="DE135" s="584">
        <v>198</v>
      </c>
      <c r="DF135" s="584">
        <v>0.35</v>
      </c>
      <c r="DG135" s="584">
        <v>0.2</v>
      </c>
      <c r="DH135" s="584">
        <v>293.657341411262</v>
      </c>
      <c r="DI135" s="584">
        <v>15.550180684248</v>
      </c>
      <c r="DJ135" s="584">
        <v>300</v>
      </c>
      <c r="DK135" s="584">
        <v>0</v>
      </c>
      <c r="DL135" s="584">
        <v>0</v>
      </c>
      <c r="DM135" s="584">
        <v>0</v>
      </c>
      <c r="DN135" s="584">
        <v>0</v>
      </c>
      <c r="DO135" s="584">
        <v>0</v>
      </c>
      <c r="DP135" s="584">
        <v>0</v>
      </c>
      <c r="DQ135" s="584">
        <v>0</v>
      </c>
      <c r="DR135" s="584">
        <v>0.35</v>
      </c>
      <c r="DS135" s="584">
        <v>0</v>
      </c>
      <c r="DT135" s="584">
        <v>2.4</v>
      </c>
      <c r="DU135" s="584">
        <v>207.661</v>
      </c>
      <c r="DV135" s="584">
        <v>45</v>
      </c>
      <c r="DW135" s="584">
        <v>367.35475000000002</v>
      </c>
      <c r="DX135" s="584">
        <v>94.5</v>
      </c>
      <c r="DY135" s="584">
        <v>494.62650000000002</v>
      </c>
      <c r="DZ135" s="584">
        <v>198</v>
      </c>
      <c r="EA135" s="1062">
        <v>0.74199999999999999</v>
      </c>
      <c r="EB135" s="1046">
        <v>0.25</v>
      </c>
      <c r="EC135" s="1093">
        <v>132.51783893985731</v>
      </c>
      <c r="ED135" s="1046">
        <v>0</v>
      </c>
      <c r="EE135" s="1046">
        <v>346.58511722731902</v>
      </c>
      <c r="EF135" s="1046">
        <v>25.058333333333334</v>
      </c>
      <c r="EG135" s="1046">
        <v>0</v>
      </c>
      <c r="EH135" s="1046">
        <v>0</v>
      </c>
      <c r="EI135" s="1046" t="s">
        <v>440</v>
      </c>
      <c r="EJ135" s="1046" t="s">
        <v>477</v>
      </c>
      <c r="EK135" s="1046">
        <v>0</v>
      </c>
      <c r="EL135" s="1046">
        <v>0</v>
      </c>
      <c r="EM135" s="1046">
        <v>0</v>
      </c>
      <c r="EN135" s="1046">
        <v>0</v>
      </c>
      <c r="EO135" s="1046">
        <v>0</v>
      </c>
      <c r="EP135" s="1094">
        <v>98.024800500000012</v>
      </c>
      <c r="EQ135" s="1094">
        <v>45</v>
      </c>
      <c r="ER135" s="1094">
        <v>196.04960100000002</v>
      </c>
      <c r="ES135" s="1095">
        <v>90</v>
      </c>
      <c r="ET135" s="1094">
        <v>392.09920200000005</v>
      </c>
      <c r="EU135" s="1094">
        <v>180</v>
      </c>
      <c r="EV135" s="1096">
        <v>0.61339999999999995</v>
      </c>
      <c r="EW135" s="1097">
        <v>0.15</v>
      </c>
      <c r="EX135" s="1096">
        <v>289.50050968399592</v>
      </c>
      <c r="EY135" s="1096">
        <v>1.5443934760448521</v>
      </c>
      <c r="EZ135" s="1096">
        <v>0</v>
      </c>
      <c r="FA135" s="1096">
        <v>21.172222222222224</v>
      </c>
      <c r="FB135" s="1098">
        <v>0</v>
      </c>
      <c r="FC135" s="1098">
        <v>0</v>
      </c>
      <c r="FD135" s="1098" t="s">
        <v>446</v>
      </c>
      <c r="FE135" s="1098" t="s">
        <v>481</v>
      </c>
      <c r="FF135" s="1098">
        <v>2</v>
      </c>
      <c r="FG135" s="1098">
        <v>0</v>
      </c>
      <c r="FH135" s="1098">
        <v>0</v>
      </c>
      <c r="FI135" s="1098">
        <v>0</v>
      </c>
      <c r="FJ135" s="1098">
        <v>0</v>
      </c>
      <c r="FK135" s="1096">
        <v>66.1113</v>
      </c>
      <c r="FL135" s="1096">
        <v>45</v>
      </c>
      <c r="FM135" s="1096">
        <v>132.2226</v>
      </c>
      <c r="FN135" s="1096">
        <v>90</v>
      </c>
      <c r="FO135" s="1096">
        <v>264.4452</v>
      </c>
      <c r="FP135" s="1099">
        <v>180</v>
      </c>
      <c r="FQ135" s="1064">
        <v>0.88458000000000003</v>
      </c>
      <c r="FR135" s="1065">
        <v>0.15</v>
      </c>
      <c r="FS135" s="1066">
        <v>289.50050968399586</v>
      </c>
      <c r="FT135" s="1066">
        <v>3.1935353236673123</v>
      </c>
      <c r="FU135" s="1065"/>
      <c r="FV135" s="1066">
        <v>43.328469178740917</v>
      </c>
      <c r="FW135" s="1065"/>
      <c r="FX135" s="1065"/>
      <c r="FY135" s="1065" t="s">
        <v>438</v>
      </c>
      <c r="FZ135" s="1065" t="s">
        <v>490</v>
      </c>
      <c r="GA135" s="1065">
        <v>3</v>
      </c>
      <c r="GB135" s="1065"/>
      <c r="GC135" s="1065"/>
      <c r="GD135" s="1065"/>
      <c r="GE135" s="1065"/>
      <c r="GF135" s="1066">
        <v>68.334855555035247</v>
      </c>
      <c r="GG135" s="1066">
        <v>45</v>
      </c>
      <c r="GH135" s="1066">
        <v>136.66971111007049</v>
      </c>
      <c r="GI135" s="1066">
        <v>90</v>
      </c>
      <c r="GJ135" s="1066">
        <v>273.33942222014099</v>
      </c>
      <c r="GK135" s="1066">
        <v>180</v>
      </c>
      <c r="GL135" s="584">
        <v>0.65469999999999995</v>
      </c>
      <c r="GM135" s="584">
        <v>0.13</v>
      </c>
      <c r="GN135" s="584"/>
      <c r="GO135" s="584"/>
      <c r="GP135" s="584"/>
      <c r="GQ135" s="584">
        <v>23.725000000000001</v>
      </c>
      <c r="GR135" s="584"/>
      <c r="GS135" s="584">
        <v>66.2589194699286</v>
      </c>
      <c r="GT135" s="584" t="s">
        <v>438</v>
      </c>
      <c r="GU135" s="584" t="s">
        <v>438</v>
      </c>
      <c r="GV135" s="584">
        <v>1</v>
      </c>
      <c r="GW135" s="584"/>
      <c r="GX135" s="584"/>
      <c r="GY135" s="584"/>
      <c r="GZ135" s="584"/>
      <c r="HA135" s="584">
        <v>24.889360499999999</v>
      </c>
      <c r="HB135" s="584">
        <v>45</v>
      </c>
      <c r="HC135" s="584">
        <v>49.778720999999997</v>
      </c>
      <c r="HD135" s="584">
        <v>90</v>
      </c>
      <c r="HE135" s="584">
        <v>99.557441999999995</v>
      </c>
      <c r="HF135" s="584">
        <v>180</v>
      </c>
      <c r="HG135" s="1100">
        <v>0.95</v>
      </c>
      <c r="HH135" s="1100">
        <v>0.11</v>
      </c>
      <c r="HI135" s="1101">
        <v>0</v>
      </c>
      <c r="HJ135" s="1101">
        <v>0</v>
      </c>
      <c r="HK135" s="1101">
        <v>0</v>
      </c>
      <c r="HL135" s="1101">
        <v>0</v>
      </c>
      <c r="HM135" s="1101">
        <v>47.04</v>
      </c>
      <c r="HN135" s="1101">
        <v>54.999999999999993</v>
      </c>
      <c r="HO135" s="1101">
        <v>0</v>
      </c>
      <c r="HP135" s="1101">
        <v>0</v>
      </c>
      <c r="HQ135" s="1101">
        <v>3</v>
      </c>
      <c r="HR135" s="1101">
        <v>0.84</v>
      </c>
      <c r="HS135" s="1101">
        <v>0.56000000000000005</v>
      </c>
      <c r="HT135" s="1101">
        <v>0.28000000000000003</v>
      </c>
      <c r="HU135" s="1101">
        <v>0.28000000000000003</v>
      </c>
      <c r="HV135" s="1101">
        <v>27.018223200000001</v>
      </c>
      <c r="HW135" s="1101">
        <v>45</v>
      </c>
      <c r="HX135" s="1101">
        <v>54.036446400000003</v>
      </c>
      <c r="HY135" s="1101">
        <v>90</v>
      </c>
      <c r="HZ135" s="1101">
        <v>108.07289280000001</v>
      </c>
      <c r="IA135" s="1101">
        <v>180</v>
      </c>
      <c r="IB135" s="1062"/>
      <c r="ID135" s="1050"/>
      <c r="IE135" s="1050"/>
      <c r="IF135" s="1103"/>
      <c r="IG135" s="1103"/>
      <c r="IH135" s="1103"/>
      <c r="II135" s="1103"/>
      <c r="IJ135" s="1103"/>
      <c r="IK135" s="1103"/>
      <c r="IL135" s="1103"/>
      <c r="IM135" s="1050"/>
      <c r="IN135" s="1050"/>
      <c r="IO135" s="1050"/>
      <c r="IP135" s="1050"/>
      <c r="IQ135" s="1103"/>
      <c r="IR135" s="1103"/>
      <c r="IS135" s="1103"/>
      <c r="IT135" s="1103"/>
      <c r="IU135" s="1103"/>
      <c r="IV135" s="1103"/>
      <c r="JU135" s="1050"/>
      <c r="JV135" s="1103"/>
      <c r="JW135" s="1103"/>
      <c r="JX135" s="1103"/>
      <c r="JY135" s="1103"/>
      <c r="JZ135" s="1103"/>
      <c r="KA135" s="1103"/>
      <c r="KB135" s="1103"/>
      <c r="KC135" s="1050"/>
      <c r="KD135" s="1050"/>
      <c r="KE135" s="1050"/>
      <c r="KF135" s="1050"/>
      <c r="KG135" s="1103"/>
      <c r="KH135" s="1103"/>
      <c r="KI135" s="1103"/>
      <c r="KJ135" s="1103"/>
      <c r="KK135" s="1103"/>
      <c r="KL135" s="1103"/>
      <c r="KM135" s="1103"/>
      <c r="KN135" s="1103"/>
    </row>
    <row r="136" spans="2:300">
      <c r="B136" s="1048" t="str">
        <f t="shared" si="4"/>
        <v>R810</v>
      </c>
      <c r="C136" s="1046">
        <v>8</v>
      </c>
      <c r="D136" s="1092">
        <v>10</v>
      </c>
      <c r="E136" s="584">
        <v>0.34499999999999997</v>
      </c>
      <c r="F136" s="584">
        <v>0.34499999999999997</v>
      </c>
      <c r="G136" s="584">
        <v>828</v>
      </c>
      <c r="H136" s="584">
        <v>23.46</v>
      </c>
      <c r="I136" s="584">
        <v>0</v>
      </c>
      <c r="J136" s="584">
        <v>0</v>
      </c>
      <c r="K136" s="584">
        <v>0</v>
      </c>
      <c r="L136" s="584">
        <v>0</v>
      </c>
      <c r="M136" s="584">
        <v>0</v>
      </c>
      <c r="N136" s="584">
        <v>0</v>
      </c>
      <c r="O136" s="584">
        <v>0</v>
      </c>
      <c r="P136" s="584">
        <v>0</v>
      </c>
      <c r="Q136" s="584">
        <v>0</v>
      </c>
      <c r="R136" s="584">
        <v>0</v>
      </c>
      <c r="S136" s="584">
        <v>0</v>
      </c>
      <c r="T136" s="584">
        <v>299.86743749999999</v>
      </c>
      <c r="U136" s="584">
        <v>50</v>
      </c>
      <c r="V136" s="584">
        <v>518.76993749999997</v>
      </c>
      <c r="W136" s="584">
        <v>105</v>
      </c>
      <c r="X136" s="584">
        <v>811.99099999999999</v>
      </c>
      <c r="Y136" s="584">
        <v>220</v>
      </c>
      <c r="Z136" s="584">
        <v>0.27500000000000002</v>
      </c>
      <c r="AA136" s="584">
        <v>0.27500000000000002</v>
      </c>
      <c r="AB136" s="584">
        <v>660</v>
      </c>
      <c r="AC136" s="584">
        <v>19</v>
      </c>
      <c r="AD136" s="584">
        <v>0</v>
      </c>
      <c r="AE136" s="584">
        <v>0</v>
      </c>
      <c r="AF136" s="584">
        <v>0</v>
      </c>
      <c r="AG136" s="584">
        <v>0</v>
      </c>
      <c r="AH136" s="584">
        <v>0</v>
      </c>
      <c r="AI136" s="584">
        <v>0</v>
      </c>
      <c r="AJ136" s="584">
        <v>0</v>
      </c>
      <c r="AK136" s="584">
        <v>0</v>
      </c>
      <c r="AL136" s="584">
        <v>0</v>
      </c>
      <c r="AM136" s="584">
        <v>0</v>
      </c>
      <c r="AN136" s="584">
        <v>0</v>
      </c>
      <c r="AO136" s="584">
        <v>261.64743750000002</v>
      </c>
      <c r="AP136" s="584">
        <v>50</v>
      </c>
      <c r="AQ136" s="584">
        <v>441.59493750000001</v>
      </c>
      <c r="AR136" s="584">
        <v>105</v>
      </c>
      <c r="AS136" s="584">
        <v>657.99099999999999</v>
      </c>
      <c r="AT136" s="584">
        <v>220</v>
      </c>
      <c r="AU136" s="584">
        <v>0.65</v>
      </c>
      <c r="AV136" s="584">
        <v>0.31</v>
      </c>
      <c r="AW136" s="584">
        <v>528.623027965284</v>
      </c>
      <c r="AX136" s="584">
        <v>29.750838958534199</v>
      </c>
      <c r="AY136" s="584">
        <v>0</v>
      </c>
      <c r="AZ136" s="584">
        <v>0</v>
      </c>
      <c r="BA136" s="584">
        <v>0</v>
      </c>
      <c r="BB136" s="584">
        <v>0</v>
      </c>
      <c r="BC136" s="584">
        <v>0</v>
      </c>
      <c r="BD136" s="584">
        <v>0</v>
      </c>
      <c r="BE136" s="584">
        <v>0</v>
      </c>
      <c r="BF136" s="584">
        <v>0</v>
      </c>
      <c r="BG136" s="584">
        <v>0.65</v>
      </c>
      <c r="BH136" s="584">
        <v>0</v>
      </c>
      <c r="BI136" s="584">
        <v>0.45</v>
      </c>
      <c r="BJ136" s="584">
        <v>242.40795159112801</v>
      </c>
      <c r="BK136" s="584">
        <v>50</v>
      </c>
      <c r="BL136" s="584">
        <v>381.80241378977797</v>
      </c>
      <c r="BM136" s="584">
        <v>105</v>
      </c>
      <c r="BN136" s="584">
        <v>526.49892729026101</v>
      </c>
      <c r="BO136" s="584">
        <v>220</v>
      </c>
      <c r="BP136" s="584">
        <v>0.67500000000000004</v>
      </c>
      <c r="BQ136" s="584">
        <v>0.185</v>
      </c>
      <c r="BR136" s="584">
        <v>554.35920925747303</v>
      </c>
      <c r="BS136" s="584">
        <v>24.949676952748302</v>
      </c>
      <c r="BT136" s="584">
        <v>0</v>
      </c>
      <c r="BU136" s="584">
        <v>0</v>
      </c>
      <c r="BV136" s="584">
        <v>0</v>
      </c>
      <c r="BW136" s="584">
        <v>0</v>
      </c>
      <c r="BX136" s="584">
        <v>0</v>
      </c>
      <c r="BY136" s="584">
        <v>0</v>
      </c>
      <c r="BZ136" s="584">
        <v>0</v>
      </c>
      <c r="CA136" s="584">
        <v>0.45</v>
      </c>
      <c r="CB136" s="584">
        <v>0.67500000000000004</v>
      </c>
      <c r="CC136" s="584">
        <v>0.3</v>
      </c>
      <c r="CD136" s="584">
        <v>0.3</v>
      </c>
      <c r="CE136" s="584">
        <v>254.40029999999999</v>
      </c>
      <c r="CF136" s="584">
        <v>50</v>
      </c>
      <c r="CG136" s="584">
        <v>415.56029999999998</v>
      </c>
      <c r="CH136" s="584">
        <v>105</v>
      </c>
      <c r="CI136" s="584">
        <v>510.34780000000001</v>
      </c>
      <c r="CJ136" s="584">
        <v>220</v>
      </c>
      <c r="CK136" s="584">
        <v>0.67500000000000004</v>
      </c>
      <c r="CL136" s="584">
        <v>0.24</v>
      </c>
      <c r="CM136" s="584">
        <v>639.15621986499502</v>
      </c>
      <c r="CN136" s="584">
        <v>21.898343780135001</v>
      </c>
      <c r="CO136" s="584">
        <v>0</v>
      </c>
      <c r="CP136" s="584">
        <v>0</v>
      </c>
      <c r="CQ136" s="584">
        <v>0</v>
      </c>
      <c r="CR136" s="584">
        <v>0</v>
      </c>
      <c r="CS136" s="584">
        <v>0</v>
      </c>
      <c r="CT136" s="584">
        <v>0</v>
      </c>
      <c r="CU136" s="584">
        <v>0</v>
      </c>
      <c r="CV136" s="584">
        <v>0</v>
      </c>
      <c r="CW136" s="584">
        <v>0.67500000000000004</v>
      </c>
      <c r="CX136" s="584">
        <v>0</v>
      </c>
      <c r="CY136" s="584">
        <v>0.6</v>
      </c>
      <c r="CZ136" s="584">
        <v>269.71395000000001</v>
      </c>
      <c r="DA136" s="584">
        <v>50</v>
      </c>
      <c r="DB136" s="584">
        <v>432.88395000000003</v>
      </c>
      <c r="DC136" s="584">
        <v>105</v>
      </c>
      <c r="DD136" s="584">
        <v>628.87144999999998</v>
      </c>
      <c r="DE136" s="584">
        <v>220</v>
      </c>
      <c r="DF136" s="584">
        <v>0.4</v>
      </c>
      <c r="DG136" s="584">
        <v>0.2</v>
      </c>
      <c r="DH136" s="584">
        <v>323.291947926712</v>
      </c>
      <c r="DI136" s="584">
        <v>15.892576181292201</v>
      </c>
      <c r="DJ136" s="584">
        <v>300</v>
      </c>
      <c r="DK136" s="584">
        <v>0</v>
      </c>
      <c r="DL136" s="584">
        <v>0</v>
      </c>
      <c r="DM136" s="584">
        <v>0</v>
      </c>
      <c r="DN136" s="584">
        <v>0</v>
      </c>
      <c r="DO136" s="584">
        <v>0</v>
      </c>
      <c r="DP136" s="584">
        <v>0</v>
      </c>
      <c r="DQ136" s="584">
        <v>0</v>
      </c>
      <c r="DR136" s="584">
        <v>0.4</v>
      </c>
      <c r="DS136" s="584">
        <v>0</v>
      </c>
      <c r="DT136" s="584">
        <v>2.4</v>
      </c>
      <c r="DU136" s="584">
        <v>228.5385</v>
      </c>
      <c r="DV136" s="584">
        <v>50</v>
      </c>
      <c r="DW136" s="584">
        <v>409.65100000000001</v>
      </c>
      <c r="DX136" s="584">
        <v>105</v>
      </c>
      <c r="DY136" s="584">
        <v>578.505</v>
      </c>
      <c r="DZ136" s="584">
        <v>220</v>
      </c>
      <c r="EA136" s="1062">
        <v>0.84250000000000003</v>
      </c>
      <c r="EB136" s="1046">
        <v>0.3</v>
      </c>
      <c r="EC136" s="1093">
        <v>132.51783893985731</v>
      </c>
      <c r="ED136" s="1046">
        <v>0</v>
      </c>
      <c r="EE136" s="1046">
        <v>397.55351681957183</v>
      </c>
      <c r="EF136" s="1046">
        <v>24.335000000000001</v>
      </c>
      <c r="EG136" s="1046">
        <v>0</v>
      </c>
      <c r="EH136" s="1046">
        <v>0</v>
      </c>
      <c r="EI136" s="1046" t="s">
        <v>423</v>
      </c>
      <c r="EJ136" s="1046" t="s">
        <v>465</v>
      </c>
      <c r="EK136" s="1046">
        <v>0</v>
      </c>
      <c r="EL136" s="1046">
        <v>0</v>
      </c>
      <c r="EM136" s="1046">
        <v>0</v>
      </c>
      <c r="EN136" s="1046">
        <v>0</v>
      </c>
      <c r="EO136" s="1046">
        <v>0</v>
      </c>
      <c r="EP136" s="1094">
        <v>118.77452700000001</v>
      </c>
      <c r="EQ136" s="1094">
        <v>50</v>
      </c>
      <c r="ER136" s="1094">
        <v>237.54905400000001</v>
      </c>
      <c r="ES136" s="1095">
        <v>100</v>
      </c>
      <c r="ET136" s="1094">
        <v>475.09810800000002</v>
      </c>
      <c r="EU136" s="1094">
        <v>200</v>
      </c>
      <c r="EV136" s="1096">
        <v>0.68310000000000004</v>
      </c>
      <c r="EW136" s="1097">
        <v>0.15</v>
      </c>
      <c r="EX136" s="1096">
        <v>289.50050968399592</v>
      </c>
      <c r="EY136" s="1096">
        <v>1.5443934760448521</v>
      </c>
      <c r="EZ136" s="1096">
        <v>0</v>
      </c>
      <c r="FA136" s="1096">
        <v>22.734999999999999</v>
      </c>
      <c r="FB136" s="1098">
        <v>0</v>
      </c>
      <c r="FC136" s="1098">
        <v>0</v>
      </c>
      <c r="FD136" s="1098" t="s">
        <v>430</v>
      </c>
      <c r="FE136" s="1098" t="s">
        <v>468</v>
      </c>
      <c r="FF136" s="1098">
        <v>2</v>
      </c>
      <c r="FG136" s="1098">
        <v>0</v>
      </c>
      <c r="FH136" s="1098">
        <v>0</v>
      </c>
      <c r="FI136" s="1098">
        <v>0</v>
      </c>
      <c r="FJ136" s="1098">
        <v>0</v>
      </c>
      <c r="FK136" s="1096">
        <v>73.763617000000011</v>
      </c>
      <c r="FL136" s="1096">
        <v>50</v>
      </c>
      <c r="FM136" s="1096">
        <v>147.52723400000002</v>
      </c>
      <c r="FN136" s="1096">
        <v>100</v>
      </c>
      <c r="FO136" s="1096">
        <v>295.05446800000004</v>
      </c>
      <c r="FP136" s="1099">
        <v>200</v>
      </c>
      <c r="FQ136" s="1064">
        <v>0.98803999999999992</v>
      </c>
      <c r="FR136" s="1065">
        <v>0.15</v>
      </c>
      <c r="FS136" s="1066">
        <v>289.50050968399586</v>
      </c>
      <c r="FT136" s="1066">
        <v>3.1935353236673123</v>
      </c>
      <c r="FU136" s="1065"/>
      <c r="FV136" s="1066">
        <v>47.582600449302028</v>
      </c>
      <c r="FW136" s="1065"/>
      <c r="FX136" s="1065"/>
      <c r="FY136" s="1065" t="s">
        <v>416</v>
      </c>
      <c r="FZ136" s="1065" t="s">
        <v>481</v>
      </c>
      <c r="GA136" s="1065">
        <v>3</v>
      </c>
      <c r="GB136" s="1065"/>
      <c r="GC136" s="1065"/>
      <c r="GD136" s="1065"/>
      <c r="GE136" s="1065"/>
      <c r="GF136" s="1066">
        <v>76.762277838656587</v>
      </c>
      <c r="GG136" s="1066">
        <v>50</v>
      </c>
      <c r="GH136" s="1066">
        <v>153.52455567731317</v>
      </c>
      <c r="GI136" s="1066">
        <v>100</v>
      </c>
      <c r="GJ136" s="1066">
        <v>307.04911135462635</v>
      </c>
      <c r="GK136" s="1066">
        <v>200</v>
      </c>
      <c r="GL136" s="584">
        <v>0.72860000000000003</v>
      </c>
      <c r="GM136" s="584">
        <v>0.13</v>
      </c>
      <c r="GN136" s="584"/>
      <c r="GO136" s="584"/>
      <c r="GP136" s="584"/>
      <c r="GQ136" s="584">
        <v>27.92</v>
      </c>
      <c r="GR136" s="584"/>
      <c r="GS136" s="584">
        <v>66.2589194699286</v>
      </c>
      <c r="GT136" s="584" t="s">
        <v>436</v>
      </c>
      <c r="GU136" s="584" t="s">
        <v>416</v>
      </c>
      <c r="GV136" s="584">
        <v>1</v>
      </c>
      <c r="GW136" s="584"/>
      <c r="GX136" s="584"/>
      <c r="GY136" s="584"/>
      <c r="GZ136" s="584"/>
      <c r="HA136" s="584">
        <v>28.477903999999999</v>
      </c>
      <c r="HB136" s="584">
        <v>50</v>
      </c>
      <c r="HC136" s="584">
        <v>56.955807999999998</v>
      </c>
      <c r="HD136" s="584">
        <v>100</v>
      </c>
      <c r="HE136" s="584">
        <v>113.911616</v>
      </c>
      <c r="HF136" s="584">
        <v>200</v>
      </c>
      <c r="HG136" s="1100">
        <v>0.99</v>
      </c>
      <c r="HH136" s="1100">
        <v>0.11</v>
      </c>
      <c r="HI136" s="1101">
        <v>0</v>
      </c>
      <c r="HJ136" s="1101">
        <v>0</v>
      </c>
      <c r="HK136" s="1101">
        <v>0</v>
      </c>
      <c r="HL136" s="1101">
        <v>0</v>
      </c>
      <c r="HM136" s="1101">
        <v>52.2</v>
      </c>
      <c r="HN136" s="1101">
        <v>54.999999999999993</v>
      </c>
      <c r="HO136" s="1101">
        <v>0</v>
      </c>
      <c r="HP136" s="1101">
        <v>0</v>
      </c>
      <c r="HQ136" s="1101">
        <v>3</v>
      </c>
      <c r="HR136" s="1101">
        <v>0.88</v>
      </c>
      <c r="HS136" s="1101">
        <v>0.64</v>
      </c>
      <c r="HT136" s="1101">
        <v>0.3</v>
      </c>
      <c r="HU136" s="1101">
        <v>0.28000000000000003</v>
      </c>
      <c r="HV136" s="1101">
        <v>31.032639999999997</v>
      </c>
      <c r="HW136" s="1101">
        <v>50</v>
      </c>
      <c r="HX136" s="1101">
        <v>62.065279999999994</v>
      </c>
      <c r="HY136" s="1101">
        <v>100</v>
      </c>
      <c r="HZ136" s="1101">
        <v>124.13055999999999</v>
      </c>
      <c r="IA136" s="1101">
        <v>200</v>
      </c>
      <c r="IB136" s="1062"/>
      <c r="IC136" s="1092"/>
      <c r="ID136" s="1050"/>
      <c r="IE136" s="1050"/>
      <c r="IF136" s="1103"/>
      <c r="IG136" s="1103"/>
      <c r="IH136" s="1103"/>
      <c r="II136" s="1103"/>
      <c r="IJ136" s="1103"/>
      <c r="IK136" s="1103"/>
      <c r="IL136" s="1103"/>
      <c r="IM136" s="1050"/>
      <c r="IN136" s="1050"/>
      <c r="IO136" s="1050"/>
      <c r="IP136" s="1050"/>
      <c r="IQ136" s="1103"/>
      <c r="IR136" s="1103"/>
      <c r="IS136" s="1103"/>
      <c r="IT136" s="1103"/>
      <c r="IU136" s="1103"/>
      <c r="IV136" s="1103"/>
      <c r="JS136" s="1092"/>
      <c r="JU136" s="1050"/>
      <c r="JV136" s="1103"/>
      <c r="JW136" s="1103"/>
      <c r="JX136" s="1103"/>
      <c r="JY136" s="1103"/>
      <c r="JZ136" s="1103"/>
      <c r="KA136" s="1103"/>
      <c r="KB136" s="1103"/>
      <c r="KC136" s="1050"/>
      <c r="KD136" s="1050"/>
      <c r="KE136" s="1050"/>
      <c r="KF136" s="1050"/>
      <c r="KG136" s="1103"/>
      <c r="KH136" s="1103"/>
      <c r="KI136" s="1103"/>
      <c r="KJ136" s="1103"/>
      <c r="KK136" s="1103"/>
      <c r="KL136" s="1103"/>
      <c r="KM136" s="1103"/>
      <c r="KN136" s="1103"/>
    </row>
    <row r="137" spans="2:300">
      <c r="B137" s="1048" t="str">
        <f t="shared" si="4"/>
        <v>R811</v>
      </c>
      <c r="C137" s="1046">
        <v>8</v>
      </c>
      <c r="D137" s="1092">
        <v>11</v>
      </c>
      <c r="E137" s="584">
        <v>0.39</v>
      </c>
      <c r="F137" s="584">
        <v>0.39</v>
      </c>
      <c r="G137" s="584">
        <v>936</v>
      </c>
      <c r="H137" s="584">
        <v>24.96</v>
      </c>
      <c r="I137" s="584">
        <v>0</v>
      </c>
      <c r="J137" s="584">
        <v>0</v>
      </c>
      <c r="K137" s="584">
        <v>0</v>
      </c>
      <c r="L137" s="584">
        <v>0</v>
      </c>
      <c r="M137" s="584">
        <v>0</v>
      </c>
      <c r="N137" s="584">
        <v>0</v>
      </c>
      <c r="O137" s="584">
        <v>0</v>
      </c>
      <c r="P137" s="584">
        <v>0</v>
      </c>
      <c r="Q137" s="584">
        <v>0</v>
      </c>
      <c r="R137" s="584">
        <v>0</v>
      </c>
      <c r="S137" s="584">
        <v>0</v>
      </c>
      <c r="T137" s="584">
        <v>351.26243749999998</v>
      </c>
      <c r="U137" s="584">
        <v>55</v>
      </c>
      <c r="V137" s="584">
        <v>624.71493750000002</v>
      </c>
      <c r="W137" s="584">
        <v>115.5</v>
      </c>
      <c r="X137" s="584">
        <v>1001.191</v>
      </c>
      <c r="Y137" s="584">
        <v>242</v>
      </c>
      <c r="Z137" s="584">
        <v>0.31</v>
      </c>
      <c r="AA137" s="584">
        <v>0.31</v>
      </c>
      <c r="AB137" s="584">
        <v>744</v>
      </c>
      <c r="AC137" s="584">
        <v>21</v>
      </c>
      <c r="AD137" s="584">
        <v>0</v>
      </c>
      <c r="AE137" s="584">
        <v>0</v>
      </c>
      <c r="AF137" s="584">
        <v>0</v>
      </c>
      <c r="AG137" s="584">
        <v>0</v>
      </c>
      <c r="AH137" s="584">
        <v>0</v>
      </c>
      <c r="AI137" s="584">
        <v>0</v>
      </c>
      <c r="AJ137" s="584">
        <v>0</v>
      </c>
      <c r="AK137" s="584">
        <v>0</v>
      </c>
      <c r="AL137" s="584">
        <v>0</v>
      </c>
      <c r="AM137" s="584">
        <v>0</v>
      </c>
      <c r="AN137" s="584">
        <v>0</v>
      </c>
      <c r="AO137" s="584">
        <v>303.38243749999998</v>
      </c>
      <c r="AP137" s="584">
        <v>55</v>
      </c>
      <c r="AQ137" s="584">
        <v>527.69493750000004</v>
      </c>
      <c r="AR137" s="584">
        <v>115.5</v>
      </c>
      <c r="AS137" s="584">
        <v>807.59100000000001</v>
      </c>
      <c r="AT137" s="584">
        <v>242</v>
      </c>
      <c r="AU137" s="584">
        <v>0.77500000000000002</v>
      </c>
      <c r="AV137" s="584">
        <v>0.31</v>
      </c>
      <c r="AW137" s="584">
        <v>548.37140515222495</v>
      </c>
      <c r="AX137" s="584">
        <v>29.687235802107701</v>
      </c>
      <c r="AY137" s="584">
        <v>0</v>
      </c>
      <c r="AZ137" s="584">
        <v>0</v>
      </c>
      <c r="BA137" s="584">
        <v>0</v>
      </c>
      <c r="BB137" s="584">
        <v>0</v>
      </c>
      <c r="BC137" s="584">
        <v>0</v>
      </c>
      <c r="BD137" s="584">
        <v>0</v>
      </c>
      <c r="BE137" s="584">
        <v>0</v>
      </c>
      <c r="BF137" s="584">
        <v>0</v>
      </c>
      <c r="BG137" s="584">
        <v>0.77500000000000002</v>
      </c>
      <c r="BH137" s="584">
        <v>0</v>
      </c>
      <c r="BI137" s="584">
        <v>0.45</v>
      </c>
      <c r="BJ137" s="584">
        <v>268.35979877049198</v>
      </c>
      <c r="BK137" s="584">
        <v>55</v>
      </c>
      <c r="BL137" s="584">
        <v>429.71936987704902</v>
      </c>
      <c r="BM137" s="584">
        <v>115.5</v>
      </c>
      <c r="BN137" s="584">
        <v>598.69940655737696</v>
      </c>
      <c r="BO137" s="584">
        <v>242</v>
      </c>
      <c r="BP137" s="584">
        <v>0</v>
      </c>
      <c r="BQ137" s="584">
        <v>0</v>
      </c>
      <c r="BR137" s="584">
        <v>0</v>
      </c>
      <c r="BS137" s="584">
        <v>0</v>
      </c>
      <c r="BT137" s="584">
        <v>0</v>
      </c>
      <c r="BU137" s="584">
        <v>0</v>
      </c>
      <c r="BV137" s="584">
        <v>0</v>
      </c>
      <c r="BW137" s="584">
        <v>0</v>
      </c>
      <c r="BX137" s="584">
        <v>0</v>
      </c>
      <c r="BY137" s="584">
        <v>0</v>
      </c>
      <c r="BZ137" s="584">
        <v>0</v>
      </c>
      <c r="CA137" s="584">
        <v>0</v>
      </c>
      <c r="CB137" s="584">
        <v>0</v>
      </c>
      <c r="CC137" s="584">
        <v>0</v>
      </c>
      <c r="CD137" s="584">
        <v>0</v>
      </c>
      <c r="CE137" s="584">
        <v>0</v>
      </c>
      <c r="CF137" s="584">
        <v>0</v>
      </c>
      <c r="CG137" s="584">
        <v>0</v>
      </c>
      <c r="CH137" s="584">
        <v>0</v>
      </c>
      <c r="CI137" s="584">
        <v>0</v>
      </c>
      <c r="CJ137" s="584">
        <v>0</v>
      </c>
      <c r="CK137" s="584">
        <v>0.77500000000000002</v>
      </c>
      <c r="CL137" s="584">
        <v>0.24</v>
      </c>
      <c r="CM137" s="584">
        <v>653.44847775175697</v>
      </c>
      <c r="CN137" s="584">
        <v>21.941667154566701</v>
      </c>
      <c r="CO137" s="584">
        <v>0</v>
      </c>
      <c r="CP137" s="584">
        <v>0</v>
      </c>
      <c r="CQ137" s="584">
        <v>0</v>
      </c>
      <c r="CR137" s="584">
        <v>0</v>
      </c>
      <c r="CS137" s="584">
        <v>0</v>
      </c>
      <c r="CT137" s="584">
        <v>0</v>
      </c>
      <c r="CU137" s="584">
        <v>0</v>
      </c>
      <c r="CV137" s="584">
        <v>0</v>
      </c>
      <c r="CW137" s="584">
        <v>0.77500000000000002</v>
      </c>
      <c r="CX137" s="584">
        <v>0</v>
      </c>
      <c r="CY137" s="584">
        <v>0.6</v>
      </c>
      <c r="CZ137" s="584">
        <v>296.89595000000003</v>
      </c>
      <c r="DA137" s="584">
        <v>55</v>
      </c>
      <c r="DB137" s="584">
        <v>483.38594999999998</v>
      </c>
      <c r="DC137" s="584">
        <v>115.5</v>
      </c>
      <c r="DD137" s="584">
        <v>703.09720000000004</v>
      </c>
      <c r="DE137" s="584">
        <v>242</v>
      </c>
      <c r="DF137" s="584">
        <v>0.45</v>
      </c>
      <c r="DG137" s="584">
        <v>0.2</v>
      </c>
      <c r="DH137" s="584">
        <v>366.82075161006998</v>
      </c>
      <c r="DI137" s="584">
        <v>17.2181705942623</v>
      </c>
      <c r="DJ137" s="584">
        <v>300</v>
      </c>
      <c r="DK137" s="584">
        <v>0</v>
      </c>
      <c r="DL137" s="584">
        <v>0</v>
      </c>
      <c r="DM137" s="584">
        <v>0</v>
      </c>
      <c r="DN137" s="584">
        <v>0</v>
      </c>
      <c r="DO137" s="584">
        <v>0</v>
      </c>
      <c r="DP137" s="584">
        <v>0</v>
      </c>
      <c r="DQ137" s="584">
        <v>0</v>
      </c>
      <c r="DR137" s="584">
        <v>0.45</v>
      </c>
      <c r="DS137" s="584">
        <v>0</v>
      </c>
      <c r="DT137" s="584">
        <v>2.4</v>
      </c>
      <c r="DU137" s="584">
        <v>259.15587499999998</v>
      </c>
      <c r="DV137" s="584">
        <v>55</v>
      </c>
      <c r="DW137" s="584">
        <v>455.19024999999999</v>
      </c>
      <c r="DX137" s="584">
        <v>115.5</v>
      </c>
      <c r="DY137" s="584">
        <v>668.38350000000003</v>
      </c>
      <c r="DZ137" s="584">
        <v>242</v>
      </c>
      <c r="EA137" s="1062">
        <v>0.85070000000000001</v>
      </c>
      <c r="EB137" s="1046">
        <v>0.3</v>
      </c>
      <c r="EC137" s="1093">
        <v>132.51783893985731</v>
      </c>
      <c r="ED137" s="1046">
        <v>0</v>
      </c>
      <c r="EE137" s="1046">
        <v>397.55351681957183</v>
      </c>
      <c r="EF137" s="1046">
        <v>27.662500000000001</v>
      </c>
      <c r="EG137" s="1046">
        <v>0</v>
      </c>
      <c r="EH137" s="1046">
        <v>0</v>
      </c>
      <c r="EI137" s="1046" t="s">
        <v>421</v>
      </c>
      <c r="EJ137" s="1046" t="s">
        <v>446</v>
      </c>
      <c r="EK137" s="1046">
        <v>0</v>
      </c>
      <c r="EL137" s="1046">
        <v>0</v>
      </c>
      <c r="EM137" s="1046">
        <v>0</v>
      </c>
      <c r="EN137" s="1046">
        <v>0</v>
      </c>
      <c r="EO137" s="1046">
        <v>0</v>
      </c>
      <c r="EP137" s="1094">
        <v>131.37012075000001</v>
      </c>
      <c r="EQ137" s="1094">
        <v>55</v>
      </c>
      <c r="ER137" s="1094">
        <v>262.74024150000002</v>
      </c>
      <c r="ES137" s="1095">
        <v>110</v>
      </c>
      <c r="ET137" s="1094">
        <v>525.48048300000005</v>
      </c>
      <c r="EU137" s="1094">
        <v>220</v>
      </c>
      <c r="EV137" s="1096">
        <v>0.68670000000000009</v>
      </c>
      <c r="EW137" s="1097">
        <v>0.15</v>
      </c>
      <c r="EX137" s="1096">
        <v>289.50050968399592</v>
      </c>
      <c r="EY137" s="1096">
        <v>1.5443934760448521</v>
      </c>
      <c r="EZ137" s="1096">
        <v>0</v>
      </c>
      <c r="FA137" s="1096">
        <v>22.256818181818179</v>
      </c>
      <c r="FB137" s="1098">
        <v>0</v>
      </c>
      <c r="FC137" s="1098">
        <v>0</v>
      </c>
      <c r="FD137" s="1098" t="s">
        <v>429</v>
      </c>
      <c r="FE137" s="1098" t="s">
        <v>461</v>
      </c>
      <c r="FF137" s="1098">
        <v>2</v>
      </c>
      <c r="FG137" s="1098">
        <v>0</v>
      </c>
      <c r="FH137" s="1098">
        <v>0</v>
      </c>
      <c r="FI137" s="1098">
        <v>0</v>
      </c>
      <c r="FJ137" s="1098">
        <v>0</v>
      </c>
      <c r="FK137" s="1096">
        <v>81.036777499999999</v>
      </c>
      <c r="FL137" s="1096">
        <v>55</v>
      </c>
      <c r="FM137" s="1096">
        <v>162.073555</v>
      </c>
      <c r="FN137" s="1096">
        <v>110</v>
      </c>
      <c r="FO137" s="1096">
        <v>324.14711</v>
      </c>
      <c r="FP137" s="1099">
        <v>220</v>
      </c>
      <c r="FQ137" s="1064">
        <v>0.98803999999999992</v>
      </c>
      <c r="FR137" s="1065">
        <v>0.15</v>
      </c>
      <c r="FS137" s="1066">
        <v>289.50050968399586</v>
      </c>
      <c r="FT137" s="1066">
        <v>3.1935353236673123</v>
      </c>
      <c r="FU137" s="1065"/>
      <c r="FV137" s="1066">
        <v>49.854741728103292</v>
      </c>
      <c r="FW137" s="1065"/>
      <c r="FX137" s="1065"/>
      <c r="FY137" s="1065" t="s">
        <v>416</v>
      </c>
      <c r="FZ137" s="1065" t="s">
        <v>479</v>
      </c>
      <c r="GA137" s="1065">
        <v>3</v>
      </c>
      <c r="GB137" s="1065"/>
      <c r="GC137" s="1065"/>
      <c r="GD137" s="1065"/>
      <c r="GE137" s="1065"/>
      <c r="GF137" s="1066">
        <v>84.928879153313133</v>
      </c>
      <c r="GG137" s="1066">
        <v>55</v>
      </c>
      <c r="GH137" s="1066">
        <v>169.85775830662627</v>
      </c>
      <c r="GI137" s="1066">
        <v>110</v>
      </c>
      <c r="GJ137" s="1066">
        <v>339.71551661325253</v>
      </c>
      <c r="GK137" s="1066">
        <v>220</v>
      </c>
      <c r="GL137" s="584">
        <v>0.73260000000000003</v>
      </c>
      <c r="GM137" s="584">
        <v>0.13</v>
      </c>
      <c r="GN137" s="584"/>
      <c r="GO137" s="584"/>
      <c r="GP137" s="584"/>
      <c r="GQ137" s="584">
        <v>32.736363636363599</v>
      </c>
      <c r="GR137" s="584"/>
      <c r="GS137" s="584">
        <v>66.2589194699286</v>
      </c>
      <c r="GT137" s="584" t="s">
        <v>416</v>
      </c>
      <c r="GU137" s="584" t="s">
        <v>410</v>
      </c>
      <c r="GV137" s="584">
        <v>1</v>
      </c>
      <c r="GW137" s="584"/>
      <c r="GX137" s="584"/>
      <c r="GY137" s="584"/>
      <c r="GZ137" s="584"/>
      <c r="HA137" s="584">
        <v>32.365161999999998</v>
      </c>
      <c r="HB137" s="584">
        <v>55</v>
      </c>
      <c r="HC137" s="584">
        <v>64.730323999999996</v>
      </c>
      <c r="HD137" s="584">
        <v>110</v>
      </c>
      <c r="HE137" s="584">
        <v>129.46064799999999</v>
      </c>
      <c r="HF137" s="584">
        <v>220</v>
      </c>
      <c r="HG137" s="1100">
        <v>0.95</v>
      </c>
      <c r="HH137" s="1100">
        <v>0.11</v>
      </c>
      <c r="HI137" s="1101">
        <v>0</v>
      </c>
      <c r="HJ137" s="1101">
        <v>0</v>
      </c>
      <c r="HK137" s="1101">
        <v>0</v>
      </c>
      <c r="HL137" s="1101">
        <v>0</v>
      </c>
      <c r="HM137" s="1101">
        <v>64.309090909090912</v>
      </c>
      <c r="HN137" s="1101">
        <v>54.999999999999993</v>
      </c>
      <c r="HO137" s="1101">
        <v>0</v>
      </c>
      <c r="HP137" s="1101">
        <v>0</v>
      </c>
      <c r="HQ137" s="1101">
        <v>3</v>
      </c>
      <c r="HR137" s="1101">
        <v>0.84</v>
      </c>
      <c r="HS137" s="1101">
        <v>0.8</v>
      </c>
      <c r="HT137" s="1101">
        <v>0.3</v>
      </c>
      <c r="HU137" s="1101">
        <v>0.3</v>
      </c>
      <c r="HV137" s="1101">
        <v>36.749288</v>
      </c>
      <c r="HW137" s="1101">
        <v>55</v>
      </c>
      <c r="HX137" s="1101">
        <v>73.498576</v>
      </c>
      <c r="HY137" s="1101">
        <v>110</v>
      </c>
      <c r="HZ137" s="1101">
        <v>146.997152</v>
      </c>
      <c r="IA137" s="1101">
        <v>220</v>
      </c>
      <c r="IB137" s="1062"/>
      <c r="IC137" s="1092"/>
      <c r="ID137" s="1050"/>
      <c r="IE137" s="1050"/>
      <c r="IF137" s="1103"/>
      <c r="IG137" s="1103"/>
      <c r="IH137" s="1103"/>
      <c r="II137" s="1103"/>
      <c r="IJ137" s="1103"/>
      <c r="IK137" s="1103"/>
      <c r="IL137" s="1103"/>
      <c r="IM137" s="1050"/>
      <c r="IN137" s="1050"/>
      <c r="IO137" s="1050"/>
      <c r="IP137" s="1050"/>
      <c r="IQ137" s="1103"/>
      <c r="IR137" s="1103"/>
      <c r="IS137" s="1103"/>
      <c r="IT137" s="1103"/>
      <c r="IU137" s="1103"/>
      <c r="IV137" s="1103"/>
      <c r="JS137" s="1092"/>
      <c r="JU137" s="1050"/>
      <c r="JV137" s="1103"/>
      <c r="JW137" s="1103"/>
      <c r="JX137" s="1103"/>
      <c r="JY137" s="1103"/>
      <c r="JZ137" s="1103"/>
      <c r="KA137" s="1103"/>
      <c r="KB137" s="1103"/>
      <c r="KC137" s="1050"/>
      <c r="KD137" s="1050"/>
      <c r="KE137" s="1050"/>
      <c r="KF137" s="1050"/>
      <c r="KG137" s="1103"/>
      <c r="KH137" s="1103"/>
      <c r="KI137" s="1103"/>
      <c r="KJ137" s="1103"/>
      <c r="KK137" s="1103"/>
      <c r="KL137" s="1103"/>
      <c r="KM137" s="1103"/>
      <c r="KN137" s="1103"/>
    </row>
    <row r="138" spans="2:300">
      <c r="B138" s="1048" t="str">
        <f t="shared" si="4"/>
        <v>R812</v>
      </c>
      <c r="C138" s="1046">
        <v>8</v>
      </c>
      <c r="D138" s="1092">
        <v>12</v>
      </c>
      <c r="E138" s="584">
        <v>0.45</v>
      </c>
      <c r="F138" s="584">
        <v>0.45</v>
      </c>
      <c r="G138" s="584">
        <v>1080</v>
      </c>
      <c r="H138" s="584">
        <v>26.55</v>
      </c>
      <c r="I138" s="584">
        <v>0</v>
      </c>
      <c r="J138" s="584">
        <v>0</v>
      </c>
      <c r="K138" s="584">
        <v>0</v>
      </c>
      <c r="L138" s="584">
        <v>0</v>
      </c>
      <c r="M138" s="584">
        <v>0</v>
      </c>
      <c r="N138" s="584">
        <v>0</v>
      </c>
      <c r="O138" s="584">
        <v>0</v>
      </c>
      <c r="P138" s="584">
        <v>0</v>
      </c>
      <c r="Q138" s="584">
        <v>0</v>
      </c>
      <c r="R138" s="584">
        <v>0</v>
      </c>
      <c r="S138" s="584">
        <v>0</v>
      </c>
      <c r="T138" s="584">
        <v>417.14743750000002</v>
      </c>
      <c r="U138" s="584">
        <v>60</v>
      </c>
      <c r="V138" s="584">
        <v>761.61374999999998</v>
      </c>
      <c r="W138" s="584">
        <v>126</v>
      </c>
      <c r="X138" s="584">
        <v>1249.7909999999999</v>
      </c>
      <c r="Y138" s="584">
        <v>264</v>
      </c>
      <c r="Z138" s="584">
        <v>0.34</v>
      </c>
      <c r="AA138" s="584">
        <v>0.34</v>
      </c>
      <c r="AB138" s="584">
        <v>816</v>
      </c>
      <c r="AC138" s="584">
        <v>21</v>
      </c>
      <c r="AD138" s="584">
        <v>0</v>
      </c>
      <c r="AE138" s="584">
        <v>0</v>
      </c>
      <c r="AF138" s="584">
        <v>0</v>
      </c>
      <c r="AG138" s="584">
        <v>0</v>
      </c>
      <c r="AH138" s="584">
        <v>0</v>
      </c>
      <c r="AI138" s="584">
        <v>0</v>
      </c>
      <c r="AJ138" s="584">
        <v>0</v>
      </c>
      <c r="AK138" s="584">
        <v>0</v>
      </c>
      <c r="AL138" s="584">
        <v>0</v>
      </c>
      <c r="AM138" s="584">
        <v>0</v>
      </c>
      <c r="AN138" s="584">
        <v>0</v>
      </c>
      <c r="AO138" s="584">
        <v>345.53743750000001</v>
      </c>
      <c r="AP138" s="584">
        <v>60</v>
      </c>
      <c r="AQ138" s="584">
        <v>614.89743750000002</v>
      </c>
      <c r="AR138" s="584">
        <v>126</v>
      </c>
      <c r="AS138" s="584">
        <v>959.39099999999996</v>
      </c>
      <c r="AT138" s="584">
        <v>264</v>
      </c>
      <c r="AU138" s="584">
        <v>0.875</v>
      </c>
      <c r="AV138" s="584">
        <v>0.31</v>
      </c>
      <c r="AW138" s="584">
        <v>570.14234883095901</v>
      </c>
      <c r="AX138" s="584">
        <v>30.798968019349601</v>
      </c>
      <c r="AY138" s="584">
        <v>0</v>
      </c>
      <c r="AZ138" s="584">
        <v>0</v>
      </c>
      <c r="BA138" s="584">
        <v>0</v>
      </c>
      <c r="BB138" s="584">
        <v>0</v>
      </c>
      <c r="BC138" s="584">
        <v>0</v>
      </c>
      <c r="BD138" s="584">
        <v>0</v>
      </c>
      <c r="BE138" s="584">
        <v>0</v>
      </c>
      <c r="BF138" s="584">
        <v>0</v>
      </c>
      <c r="BG138" s="584">
        <v>0.875</v>
      </c>
      <c r="BH138" s="584">
        <v>0</v>
      </c>
      <c r="BI138" s="584">
        <v>0.45</v>
      </c>
      <c r="BJ138" s="584">
        <v>303.18873884708398</v>
      </c>
      <c r="BK138" s="584">
        <v>60</v>
      </c>
      <c r="BL138" s="584">
        <v>484.993966044074</v>
      </c>
      <c r="BM138" s="584">
        <v>126</v>
      </c>
      <c r="BN138" s="584">
        <v>651.435013988175</v>
      </c>
      <c r="BO138" s="584">
        <v>264</v>
      </c>
      <c r="BP138" s="584">
        <v>0.95</v>
      </c>
      <c r="BQ138" s="584">
        <v>0.19500000000000001</v>
      </c>
      <c r="BR138" s="584">
        <v>583.12308519215298</v>
      </c>
      <c r="BS138" s="584">
        <v>37.884219295888201</v>
      </c>
      <c r="BT138" s="584">
        <v>0</v>
      </c>
      <c r="BU138" s="584">
        <v>0</v>
      </c>
      <c r="BV138" s="584">
        <v>0</v>
      </c>
      <c r="BW138" s="584">
        <v>0</v>
      </c>
      <c r="BX138" s="584">
        <v>0</v>
      </c>
      <c r="BY138" s="584">
        <v>0</v>
      </c>
      <c r="BZ138" s="584">
        <v>0</v>
      </c>
      <c r="CA138" s="584">
        <v>0.45</v>
      </c>
      <c r="CB138" s="584">
        <v>0.95</v>
      </c>
      <c r="CC138" s="584">
        <v>0.3</v>
      </c>
      <c r="CD138" s="584">
        <v>0.3</v>
      </c>
      <c r="CE138" s="584">
        <v>294.86635000000001</v>
      </c>
      <c r="CF138" s="584">
        <v>60</v>
      </c>
      <c r="CG138" s="584">
        <v>491.586975</v>
      </c>
      <c r="CH138" s="584">
        <v>126</v>
      </c>
      <c r="CI138" s="584">
        <v>656.30759999999998</v>
      </c>
      <c r="CJ138" s="584">
        <v>264</v>
      </c>
      <c r="CK138" s="584">
        <v>0.9</v>
      </c>
      <c r="CL138" s="584">
        <v>0.24</v>
      </c>
      <c r="CM138" s="584">
        <v>682.92609513571597</v>
      </c>
      <c r="CN138" s="584">
        <v>23.104047299113098</v>
      </c>
      <c r="CO138" s="584">
        <v>0</v>
      </c>
      <c r="CP138" s="584">
        <v>0</v>
      </c>
      <c r="CQ138" s="584">
        <v>0</v>
      </c>
      <c r="CR138" s="584">
        <v>0</v>
      </c>
      <c r="CS138" s="584">
        <v>0</v>
      </c>
      <c r="CT138" s="584">
        <v>0</v>
      </c>
      <c r="CU138" s="584">
        <v>0</v>
      </c>
      <c r="CV138" s="584">
        <v>0</v>
      </c>
      <c r="CW138" s="584">
        <v>0.9</v>
      </c>
      <c r="CX138" s="584">
        <v>0</v>
      </c>
      <c r="CY138" s="584">
        <v>0.6</v>
      </c>
      <c r="CZ138" s="584">
        <v>340.1422</v>
      </c>
      <c r="DA138" s="584">
        <v>60</v>
      </c>
      <c r="DB138" s="584">
        <v>553.77719999999999</v>
      </c>
      <c r="DC138" s="584">
        <v>126</v>
      </c>
      <c r="DD138" s="584">
        <v>782.88720000000001</v>
      </c>
      <c r="DE138" s="584">
        <v>264</v>
      </c>
      <c r="DF138" s="584">
        <v>0.52500000000000002</v>
      </c>
      <c r="DG138" s="584">
        <v>0.2</v>
      </c>
      <c r="DH138" s="584">
        <v>410.159147406611</v>
      </c>
      <c r="DI138" s="584">
        <v>18.8004701693093</v>
      </c>
      <c r="DJ138" s="584">
        <v>300</v>
      </c>
      <c r="DK138" s="584">
        <v>0</v>
      </c>
      <c r="DL138" s="584">
        <v>0</v>
      </c>
      <c r="DM138" s="584">
        <v>0</v>
      </c>
      <c r="DN138" s="584">
        <v>0</v>
      </c>
      <c r="DO138" s="584">
        <v>0</v>
      </c>
      <c r="DP138" s="584">
        <v>0</v>
      </c>
      <c r="DQ138" s="584">
        <v>0</v>
      </c>
      <c r="DR138" s="584">
        <v>0.52500000000000002</v>
      </c>
      <c r="DS138" s="584">
        <v>0</v>
      </c>
      <c r="DT138" s="584">
        <v>2.4</v>
      </c>
      <c r="DU138" s="584">
        <v>283.87225000000001</v>
      </c>
      <c r="DV138" s="584">
        <v>60</v>
      </c>
      <c r="DW138" s="584">
        <v>512.54724999999996</v>
      </c>
      <c r="DX138" s="584">
        <v>126</v>
      </c>
      <c r="DY138" s="584">
        <v>782.20124999999996</v>
      </c>
      <c r="DZ138" s="584">
        <v>264</v>
      </c>
      <c r="EA138" s="1062">
        <v>0.9103</v>
      </c>
      <c r="EB138" s="1046">
        <v>0.35</v>
      </c>
      <c r="EC138" s="1093">
        <v>132.51783893985731</v>
      </c>
      <c r="ED138" s="1046">
        <v>0</v>
      </c>
      <c r="EE138" s="1046">
        <v>458.71559633027522</v>
      </c>
      <c r="EF138" s="1046">
        <v>34.895833333333336</v>
      </c>
      <c r="EG138" s="1046">
        <v>0</v>
      </c>
      <c r="EH138" s="1046">
        <v>0</v>
      </c>
      <c r="EI138" s="1046" t="s">
        <v>420</v>
      </c>
      <c r="EJ138" s="1046" t="s">
        <v>442</v>
      </c>
      <c r="EK138" s="1046">
        <v>0</v>
      </c>
      <c r="EL138" s="1046">
        <v>0</v>
      </c>
      <c r="EM138" s="1046">
        <v>0</v>
      </c>
      <c r="EN138" s="1046">
        <v>0</v>
      </c>
      <c r="EO138" s="1046">
        <v>0</v>
      </c>
      <c r="EP138" s="1094">
        <v>159.415875</v>
      </c>
      <c r="EQ138" s="1094">
        <v>60</v>
      </c>
      <c r="ER138" s="1094">
        <v>318.83175</v>
      </c>
      <c r="ES138" s="1095">
        <v>120</v>
      </c>
      <c r="ET138" s="1094">
        <v>637.6635</v>
      </c>
      <c r="EU138" s="1094">
        <v>240</v>
      </c>
      <c r="EV138" s="1096">
        <v>0.6895</v>
      </c>
      <c r="EW138" s="1097">
        <v>0.15</v>
      </c>
      <c r="EX138" s="1096">
        <v>289.50050968399592</v>
      </c>
      <c r="EY138" s="1096">
        <v>1.5443934760448521</v>
      </c>
      <c r="EZ138" s="1096">
        <v>0</v>
      </c>
      <c r="FA138" s="1096">
        <v>22.158333333333331</v>
      </c>
      <c r="FB138" s="1098">
        <v>0</v>
      </c>
      <c r="FC138" s="1098">
        <v>0</v>
      </c>
      <c r="FD138" s="1098" t="s">
        <v>428</v>
      </c>
      <c r="FE138" s="1098" t="s">
        <v>461</v>
      </c>
      <c r="FF138" s="1098">
        <v>2</v>
      </c>
      <c r="FG138" s="1098">
        <v>0</v>
      </c>
      <c r="FH138" s="1098">
        <v>0</v>
      </c>
      <c r="FI138" s="1098">
        <v>0</v>
      </c>
      <c r="FJ138" s="1098">
        <v>0</v>
      </c>
      <c r="FK138" s="1096">
        <v>88.380569999999992</v>
      </c>
      <c r="FL138" s="1096">
        <v>60</v>
      </c>
      <c r="FM138" s="1096">
        <v>176.76113999999998</v>
      </c>
      <c r="FN138" s="1096">
        <v>120</v>
      </c>
      <c r="FO138" s="1096">
        <v>353.52227999999997</v>
      </c>
      <c r="FP138" s="1099">
        <v>240</v>
      </c>
      <c r="FQ138" s="1064">
        <v>0.99419999999999997</v>
      </c>
      <c r="FR138" s="1065">
        <v>0.15</v>
      </c>
      <c r="FS138" s="1066">
        <v>289.50050968399586</v>
      </c>
      <c r="FT138" s="1066">
        <v>3.1935353236673123</v>
      </c>
      <c r="FU138" s="1065"/>
      <c r="FV138" s="1066">
        <v>50.523829559882891</v>
      </c>
      <c r="FW138" s="1065"/>
      <c r="FX138" s="1065"/>
      <c r="FY138" s="1065" t="s">
        <v>414</v>
      </c>
      <c r="FZ138" s="1065" t="s">
        <v>461</v>
      </c>
      <c r="GA138" s="1065">
        <v>3</v>
      </c>
      <c r="GB138" s="1065"/>
      <c r="GC138" s="1065"/>
      <c r="GD138" s="1065"/>
      <c r="GE138" s="1065"/>
      <c r="GF138" s="1066">
        <v>92.807216388183051</v>
      </c>
      <c r="GG138" s="1066">
        <v>60</v>
      </c>
      <c r="GH138" s="1066">
        <v>185.6144327763661</v>
      </c>
      <c r="GI138" s="1066">
        <v>120</v>
      </c>
      <c r="GJ138" s="1066">
        <v>371.2288655527322</v>
      </c>
      <c r="GK138" s="1066">
        <v>240</v>
      </c>
      <c r="GL138" s="584">
        <v>0.80789999999999995</v>
      </c>
      <c r="GM138" s="584">
        <v>0.13</v>
      </c>
      <c r="GN138" s="584"/>
      <c r="GO138" s="584"/>
      <c r="GP138" s="584"/>
      <c r="GQ138" s="584">
        <v>38.116666666666703</v>
      </c>
      <c r="GR138" s="584"/>
      <c r="GS138" s="584">
        <v>66.2589194699286</v>
      </c>
      <c r="GT138" s="584" t="s">
        <v>416</v>
      </c>
      <c r="GU138" s="584" t="s">
        <v>396</v>
      </c>
      <c r="GV138" s="584">
        <v>1</v>
      </c>
      <c r="GW138" s="584"/>
      <c r="GX138" s="584"/>
      <c r="GY138" s="584"/>
      <c r="GZ138" s="584"/>
      <c r="HA138" s="584">
        <v>36.574187999999999</v>
      </c>
      <c r="HB138" s="584">
        <v>60</v>
      </c>
      <c r="HC138" s="584">
        <v>73.148375999999999</v>
      </c>
      <c r="HD138" s="584">
        <v>120</v>
      </c>
      <c r="HE138" s="584">
        <v>146.296752</v>
      </c>
      <c r="HF138" s="584">
        <v>240</v>
      </c>
      <c r="HG138" s="1100">
        <v>0.99</v>
      </c>
      <c r="HH138" s="1100">
        <v>0.11</v>
      </c>
      <c r="HI138" s="1101">
        <v>0</v>
      </c>
      <c r="HJ138" s="1101">
        <v>0</v>
      </c>
      <c r="HK138" s="1101">
        <v>0</v>
      </c>
      <c r="HL138" s="1101">
        <v>0</v>
      </c>
      <c r="HM138" s="1101">
        <v>69.300000000000011</v>
      </c>
      <c r="HN138" s="1101">
        <v>54.999999999999993</v>
      </c>
      <c r="HO138" s="1101">
        <v>0</v>
      </c>
      <c r="HP138" s="1101">
        <v>0</v>
      </c>
      <c r="HQ138" s="1101">
        <v>3</v>
      </c>
      <c r="HR138" s="1101">
        <v>0.88</v>
      </c>
      <c r="HS138" s="1101">
        <v>0.88</v>
      </c>
      <c r="HT138" s="1101">
        <v>0.3</v>
      </c>
      <c r="HU138" s="1101">
        <v>0.3</v>
      </c>
      <c r="HV138" s="1101">
        <v>41.265192000000006</v>
      </c>
      <c r="HW138" s="1101">
        <v>60</v>
      </c>
      <c r="HX138" s="1101">
        <v>82.530384000000012</v>
      </c>
      <c r="HY138" s="1101">
        <v>120</v>
      </c>
      <c r="HZ138" s="1101">
        <v>165.06076800000002</v>
      </c>
      <c r="IA138" s="1101">
        <v>240</v>
      </c>
      <c r="IB138" s="1062"/>
      <c r="IC138" s="1092"/>
      <c r="ID138" s="1050"/>
      <c r="IE138" s="1050"/>
      <c r="IF138" s="1103"/>
      <c r="IG138" s="1103"/>
      <c r="IH138" s="1103"/>
      <c r="II138" s="1103"/>
      <c r="IJ138" s="1103"/>
      <c r="IK138" s="1103"/>
      <c r="IL138" s="1103"/>
      <c r="IM138" s="1050"/>
      <c r="IN138" s="1050"/>
      <c r="IO138" s="1050"/>
      <c r="IP138" s="1050"/>
      <c r="IQ138" s="1103"/>
      <c r="IR138" s="1103"/>
      <c r="IS138" s="1103"/>
      <c r="IT138" s="1103"/>
      <c r="IU138" s="1103"/>
      <c r="IV138" s="1103"/>
      <c r="JS138" s="1092"/>
      <c r="JU138" s="1050"/>
      <c r="JV138" s="1103"/>
      <c r="JW138" s="1103"/>
      <c r="JX138" s="1103"/>
      <c r="JY138" s="1103"/>
      <c r="JZ138" s="1103"/>
      <c r="KA138" s="1103"/>
      <c r="KB138" s="1103"/>
      <c r="KC138" s="1050"/>
      <c r="KD138" s="1050"/>
      <c r="KE138" s="1050"/>
      <c r="KF138" s="1050"/>
      <c r="KG138" s="1103"/>
      <c r="KH138" s="1103"/>
      <c r="KI138" s="1103"/>
      <c r="KJ138" s="1103"/>
      <c r="KK138" s="1103"/>
      <c r="KL138" s="1103"/>
      <c r="KM138" s="1103"/>
      <c r="KN138" s="1103"/>
    </row>
    <row r="139" spans="2:300">
      <c r="B139" s="1048" t="str">
        <f t="shared" si="4"/>
        <v>R813</v>
      </c>
      <c r="C139" s="1046">
        <v>8</v>
      </c>
      <c r="D139" s="1092">
        <v>13</v>
      </c>
      <c r="E139" s="584">
        <v>0.45</v>
      </c>
      <c r="F139" s="584">
        <v>0.45</v>
      </c>
      <c r="G139" s="584">
        <v>1080</v>
      </c>
      <c r="H139" s="584">
        <v>25.65</v>
      </c>
      <c r="I139" s="584">
        <v>0</v>
      </c>
      <c r="J139" s="584">
        <v>0</v>
      </c>
      <c r="K139" s="584">
        <v>0</v>
      </c>
      <c r="L139" s="584">
        <v>0</v>
      </c>
      <c r="M139" s="584">
        <v>0</v>
      </c>
      <c r="N139" s="584">
        <v>0</v>
      </c>
      <c r="O139" s="584">
        <v>0</v>
      </c>
      <c r="P139" s="584">
        <v>0</v>
      </c>
      <c r="Q139" s="584">
        <v>0</v>
      </c>
      <c r="R139" s="584">
        <v>0</v>
      </c>
      <c r="S139" s="584">
        <v>0</v>
      </c>
      <c r="T139" s="584">
        <v>447.12243749999999</v>
      </c>
      <c r="U139" s="584">
        <v>65</v>
      </c>
      <c r="V139" s="584">
        <v>824.56124999999997</v>
      </c>
      <c r="W139" s="584">
        <v>136.5</v>
      </c>
      <c r="X139" s="584">
        <v>1353.191</v>
      </c>
      <c r="Y139" s="584">
        <v>286</v>
      </c>
      <c r="Z139" s="584">
        <v>0.39</v>
      </c>
      <c r="AA139" s="584">
        <v>0.39</v>
      </c>
      <c r="AB139" s="584">
        <v>936</v>
      </c>
      <c r="AC139" s="584">
        <v>24</v>
      </c>
      <c r="AD139" s="584">
        <v>0</v>
      </c>
      <c r="AE139" s="584">
        <v>0</v>
      </c>
      <c r="AF139" s="584">
        <v>0</v>
      </c>
      <c r="AG139" s="584">
        <v>0</v>
      </c>
      <c r="AH139" s="584">
        <v>0</v>
      </c>
      <c r="AI139" s="584">
        <v>0</v>
      </c>
      <c r="AJ139" s="584">
        <v>0</v>
      </c>
      <c r="AK139" s="584">
        <v>0</v>
      </c>
      <c r="AL139" s="584">
        <v>0</v>
      </c>
      <c r="AM139" s="584">
        <v>0</v>
      </c>
      <c r="AN139" s="584">
        <v>0</v>
      </c>
      <c r="AO139" s="584">
        <v>404.91243750000001</v>
      </c>
      <c r="AP139" s="584">
        <v>65</v>
      </c>
      <c r="AQ139" s="584">
        <v>738.56624999999997</v>
      </c>
      <c r="AR139" s="584">
        <v>136.5</v>
      </c>
      <c r="AS139" s="584">
        <v>1181.5909999999999</v>
      </c>
      <c r="AT139" s="584">
        <v>286</v>
      </c>
      <c r="AU139" s="584">
        <v>0</v>
      </c>
      <c r="AV139" s="584">
        <v>0</v>
      </c>
      <c r="AW139" s="584">
        <v>0</v>
      </c>
      <c r="AX139" s="584">
        <v>0</v>
      </c>
      <c r="AY139" s="584">
        <v>0</v>
      </c>
      <c r="AZ139" s="584">
        <v>0</v>
      </c>
      <c r="BA139" s="584">
        <v>0</v>
      </c>
      <c r="BB139" s="584">
        <v>0</v>
      </c>
      <c r="BC139" s="584">
        <v>0</v>
      </c>
      <c r="BD139" s="584">
        <v>0</v>
      </c>
      <c r="BE139" s="584">
        <v>0</v>
      </c>
      <c r="BF139" s="584">
        <v>0</v>
      </c>
      <c r="BG139" s="584">
        <v>0</v>
      </c>
      <c r="BH139" s="584">
        <v>0</v>
      </c>
      <c r="BI139" s="584">
        <v>0</v>
      </c>
      <c r="BJ139" s="584">
        <v>0</v>
      </c>
      <c r="BK139" s="584">
        <v>0</v>
      </c>
      <c r="BL139" s="584">
        <v>0</v>
      </c>
      <c r="BM139" s="584">
        <v>0</v>
      </c>
      <c r="BN139" s="584">
        <v>0</v>
      </c>
      <c r="BO139" s="584">
        <v>0</v>
      </c>
      <c r="BP139" s="584">
        <v>1.125</v>
      </c>
      <c r="BQ139" s="584">
        <v>0.2</v>
      </c>
      <c r="BR139" s="584">
        <v>612.58569299552903</v>
      </c>
      <c r="BS139" s="584">
        <v>42.474254843517102</v>
      </c>
      <c r="BT139" s="584">
        <v>0</v>
      </c>
      <c r="BU139" s="584">
        <v>0</v>
      </c>
      <c r="BV139" s="584">
        <v>0</v>
      </c>
      <c r="BW139" s="584">
        <v>0</v>
      </c>
      <c r="BX139" s="584">
        <v>0</v>
      </c>
      <c r="BY139" s="584">
        <v>0</v>
      </c>
      <c r="BZ139" s="584">
        <v>0</v>
      </c>
      <c r="CA139" s="584">
        <v>0.45</v>
      </c>
      <c r="CB139" s="584">
        <v>1.125</v>
      </c>
      <c r="CC139" s="584">
        <v>0.3</v>
      </c>
      <c r="CD139" s="584">
        <v>0.3</v>
      </c>
      <c r="CE139" s="584">
        <v>324.12074999999999</v>
      </c>
      <c r="CF139" s="584">
        <v>65</v>
      </c>
      <c r="CG139" s="584">
        <v>549.80137500000001</v>
      </c>
      <c r="CH139" s="584">
        <v>136.5</v>
      </c>
      <c r="CI139" s="584">
        <v>739.04949999999997</v>
      </c>
      <c r="CJ139" s="584">
        <v>286</v>
      </c>
      <c r="CK139" s="584">
        <v>0</v>
      </c>
      <c r="CL139" s="584">
        <v>0</v>
      </c>
      <c r="CM139" s="584">
        <v>0</v>
      </c>
      <c r="CN139" s="584">
        <v>0</v>
      </c>
      <c r="CO139" s="584">
        <v>0</v>
      </c>
      <c r="CP139" s="584">
        <v>0</v>
      </c>
      <c r="CQ139" s="584">
        <v>0</v>
      </c>
      <c r="CR139" s="584">
        <v>0</v>
      </c>
      <c r="CS139" s="584">
        <v>0</v>
      </c>
      <c r="CT139" s="584">
        <v>0</v>
      </c>
      <c r="CU139" s="584">
        <v>0</v>
      </c>
      <c r="CV139" s="584">
        <v>0</v>
      </c>
      <c r="CW139" s="584">
        <v>0</v>
      </c>
      <c r="CX139" s="584">
        <v>0</v>
      </c>
      <c r="CY139" s="584">
        <v>0</v>
      </c>
      <c r="CZ139" s="584">
        <v>0</v>
      </c>
      <c r="DA139" s="584">
        <v>0</v>
      </c>
      <c r="DB139" s="584">
        <v>0</v>
      </c>
      <c r="DC139" s="584">
        <v>0</v>
      </c>
      <c r="DD139" s="584">
        <v>0</v>
      </c>
      <c r="DE139" s="584">
        <v>0</v>
      </c>
      <c r="DF139" s="584">
        <v>0.57499999999999996</v>
      </c>
      <c r="DG139" s="584">
        <v>0.2</v>
      </c>
      <c r="DH139" s="584">
        <v>464.24413189269802</v>
      </c>
      <c r="DI139" s="584">
        <v>20.556565946348702</v>
      </c>
      <c r="DJ139" s="584">
        <v>300</v>
      </c>
      <c r="DK139" s="584">
        <v>0</v>
      </c>
      <c r="DL139" s="584">
        <v>0</v>
      </c>
      <c r="DM139" s="584">
        <v>0</v>
      </c>
      <c r="DN139" s="584">
        <v>0</v>
      </c>
      <c r="DO139" s="584">
        <v>0</v>
      </c>
      <c r="DP139" s="584">
        <v>0</v>
      </c>
      <c r="DQ139" s="584">
        <v>0</v>
      </c>
      <c r="DR139" s="584">
        <v>0.57499999999999996</v>
      </c>
      <c r="DS139" s="584">
        <v>0</v>
      </c>
      <c r="DT139" s="584">
        <v>2.4</v>
      </c>
      <c r="DU139" s="584">
        <v>327.20249999999999</v>
      </c>
      <c r="DV139" s="584">
        <v>65</v>
      </c>
      <c r="DW139" s="584">
        <v>564.71500000000003</v>
      </c>
      <c r="DX139" s="584">
        <v>136.5</v>
      </c>
      <c r="DY139" s="584">
        <v>885.57974999999999</v>
      </c>
      <c r="DZ139" s="584">
        <v>286</v>
      </c>
      <c r="EA139" s="1062">
        <v>0.9103</v>
      </c>
      <c r="EB139" s="1046">
        <v>0.35</v>
      </c>
      <c r="EC139" s="1093">
        <v>132.51783893985731</v>
      </c>
      <c r="ED139" s="1046">
        <v>0</v>
      </c>
      <c r="EE139" s="1046">
        <v>458.71559633027522</v>
      </c>
      <c r="EF139" s="1046">
        <v>34.118269230769229</v>
      </c>
      <c r="EG139" s="1046">
        <v>0</v>
      </c>
      <c r="EH139" s="1046">
        <v>0</v>
      </c>
      <c r="EI139" s="1046" t="s">
        <v>420</v>
      </c>
      <c r="EJ139" s="1046" t="s">
        <v>425</v>
      </c>
      <c r="EK139" s="1046">
        <v>0</v>
      </c>
      <c r="EL139" s="1046">
        <v>0</v>
      </c>
      <c r="EM139" s="1046">
        <v>0</v>
      </c>
      <c r="EN139" s="1046">
        <v>0</v>
      </c>
      <c r="EO139" s="1046">
        <v>0</v>
      </c>
      <c r="EP139" s="1094">
        <v>172.50220575000003</v>
      </c>
      <c r="EQ139" s="1094">
        <v>65</v>
      </c>
      <c r="ER139" s="1094">
        <v>345.00441150000006</v>
      </c>
      <c r="ES139" s="1095">
        <v>130</v>
      </c>
      <c r="ET139" s="1094">
        <v>690.00882300000012</v>
      </c>
      <c r="EU139" s="1094">
        <v>260</v>
      </c>
      <c r="EV139" s="1096">
        <v>0.69450000000000001</v>
      </c>
      <c r="EW139" s="1097">
        <v>0.15</v>
      </c>
      <c r="EX139" s="1096">
        <v>289.50050968399592</v>
      </c>
      <c r="EY139" s="1096">
        <v>1.5443934760448521</v>
      </c>
      <c r="EZ139" s="1096">
        <v>0</v>
      </c>
      <c r="FA139" s="1096">
        <v>29.934615384615388</v>
      </c>
      <c r="FB139" s="1098">
        <v>0</v>
      </c>
      <c r="FC139" s="1098">
        <v>0</v>
      </c>
      <c r="FD139" s="1098" t="s">
        <v>427</v>
      </c>
      <c r="FE139" s="1098" t="s">
        <v>432</v>
      </c>
      <c r="FF139" s="1098">
        <v>2</v>
      </c>
      <c r="FG139" s="1098">
        <v>0</v>
      </c>
      <c r="FH139" s="1098">
        <v>0</v>
      </c>
      <c r="FI139" s="1098">
        <v>0</v>
      </c>
      <c r="FJ139" s="1098">
        <v>0</v>
      </c>
      <c r="FK139" s="1096">
        <v>97.729036000000008</v>
      </c>
      <c r="FL139" s="1096">
        <v>65</v>
      </c>
      <c r="FM139" s="1096">
        <v>195.45807200000002</v>
      </c>
      <c r="FN139" s="1096">
        <v>130</v>
      </c>
      <c r="FO139" s="1096">
        <v>390.91614400000003</v>
      </c>
      <c r="FP139" s="1099">
        <v>260</v>
      </c>
      <c r="FQ139" s="1064">
        <v>1.00064</v>
      </c>
      <c r="FR139" s="1065">
        <v>0.15</v>
      </c>
      <c r="FS139" s="1066">
        <v>289.50050968399586</v>
      </c>
      <c r="FT139" s="1066">
        <v>3.1935353236673123</v>
      </c>
      <c r="FU139" s="1065"/>
      <c r="FV139" s="1066">
        <v>58.954491002126886</v>
      </c>
      <c r="FW139" s="1065"/>
      <c r="FX139" s="1065"/>
      <c r="FY139" s="1065" t="s">
        <v>408</v>
      </c>
      <c r="FZ139" s="1065" t="s">
        <v>438</v>
      </c>
      <c r="GA139" s="1065">
        <v>3</v>
      </c>
      <c r="GB139" s="1065"/>
      <c r="GC139" s="1065"/>
      <c r="GD139" s="1065"/>
      <c r="GE139" s="1065"/>
      <c r="GF139" s="1066">
        <v>102.69147559465706</v>
      </c>
      <c r="GG139" s="1066">
        <v>65</v>
      </c>
      <c r="GH139" s="1066">
        <v>205.38295118931413</v>
      </c>
      <c r="GI139" s="1066">
        <v>130</v>
      </c>
      <c r="GJ139" s="1066">
        <v>410.76590237862825</v>
      </c>
      <c r="GK139" s="1066">
        <v>260</v>
      </c>
      <c r="GL139" s="584">
        <v>0.88400000000000001</v>
      </c>
      <c r="GM139" s="584">
        <v>0.13</v>
      </c>
      <c r="GN139" s="584"/>
      <c r="GO139" s="584"/>
      <c r="GP139" s="584"/>
      <c r="GQ139" s="584">
        <v>43.017307692307703</v>
      </c>
      <c r="GR139" s="584"/>
      <c r="GS139" s="584">
        <v>66.2589194699286</v>
      </c>
      <c r="GT139" s="584" t="s">
        <v>416</v>
      </c>
      <c r="GU139" s="584" t="s">
        <v>387</v>
      </c>
      <c r="GV139" s="584">
        <v>1</v>
      </c>
      <c r="GW139" s="584"/>
      <c r="GX139" s="584"/>
      <c r="GY139" s="584"/>
      <c r="GZ139" s="584"/>
      <c r="HA139" s="584">
        <v>40.8719945</v>
      </c>
      <c r="HB139" s="584">
        <v>65</v>
      </c>
      <c r="HC139" s="584">
        <v>81.743988999999999</v>
      </c>
      <c r="HD139" s="584">
        <v>130</v>
      </c>
      <c r="HE139" s="584">
        <v>163.487978</v>
      </c>
      <c r="HF139" s="584">
        <v>260</v>
      </c>
      <c r="HG139" s="1100">
        <v>1.07</v>
      </c>
      <c r="HH139" s="1100">
        <v>0.11</v>
      </c>
      <c r="HI139" s="1101">
        <v>0</v>
      </c>
      <c r="HJ139" s="1101">
        <v>0</v>
      </c>
      <c r="HK139" s="1101">
        <v>0</v>
      </c>
      <c r="HL139" s="1101">
        <v>0</v>
      </c>
      <c r="HM139" s="1101">
        <v>74.769230769230774</v>
      </c>
      <c r="HN139" s="1101">
        <v>54.999999999999993</v>
      </c>
      <c r="HO139" s="1101">
        <v>0</v>
      </c>
      <c r="HP139" s="1101">
        <v>0</v>
      </c>
      <c r="HQ139" s="1101">
        <v>3</v>
      </c>
      <c r="HR139" s="1101">
        <v>0.96</v>
      </c>
      <c r="HS139" s="1101">
        <v>0.96</v>
      </c>
      <c r="HT139" s="1101">
        <v>0.3</v>
      </c>
      <c r="HU139" s="1101">
        <v>0.3</v>
      </c>
      <c r="HV139" s="1101">
        <v>46.098939999999999</v>
      </c>
      <c r="HW139" s="1101">
        <v>65</v>
      </c>
      <c r="HX139" s="1101">
        <v>92.197879999999998</v>
      </c>
      <c r="HY139" s="1101">
        <v>130</v>
      </c>
      <c r="HZ139" s="1101">
        <v>184.39576</v>
      </c>
      <c r="IA139" s="1101">
        <v>260</v>
      </c>
      <c r="IB139" s="1062"/>
      <c r="IC139" s="1092"/>
      <c r="ID139" s="1050"/>
      <c r="IE139" s="1050"/>
      <c r="IF139" s="1103"/>
      <c r="IG139" s="1103"/>
      <c r="IH139" s="1103"/>
      <c r="II139" s="1103"/>
      <c r="IJ139" s="1103"/>
      <c r="IK139" s="1103"/>
      <c r="IL139" s="1103"/>
      <c r="IM139" s="1050"/>
      <c r="IN139" s="1050"/>
      <c r="IO139" s="1050"/>
      <c r="IP139" s="1050"/>
      <c r="IQ139" s="1103"/>
      <c r="IR139" s="1103"/>
      <c r="IS139" s="1103"/>
      <c r="IT139" s="1103"/>
      <c r="IU139" s="1103"/>
      <c r="IV139" s="1103"/>
      <c r="JS139" s="1092"/>
      <c r="JU139" s="1050"/>
      <c r="JV139" s="1103"/>
      <c r="JW139" s="1103"/>
      <c r="JX139" s="1103"/>
      <c r="JY139" s="1103"/>
      <c r="JZ139" s="1103"/>
      <c r="KA139" s="1103"/>
      <c r="KB139" s="1103"/>
      <c r="KC139" s="1050"/>
      <c r="KD139" s="1050"/>
      <c r="KE139" s="1050"/>
      <c r="KF139" s="1050"/>
      <c r="KG139" s="1103"/>
      <c r="KH139" s="1103"/>
      <c r="KI139" s="1103"/>
      <c r="KJ139" s="1103"/>
      <c r="KK139" s="1103"/>
      <c r="KL139" s="1103"/>
      <c r="KM139" s="1103"/>
      <c r="KN139" s="1103"/>
    </row>
    <row r="140" spans="2:300">
      <c r="B140" s="1048" t="str">
        <f t="shared" si="4"/>
        <v>R814</v>
      </c>
      <c r="C140" s="1046">
        <v>8</v>
      </c>
      <c r="D140" s="1092">
        <v>14</v>
      </c>
      <c r="E140" s="584">
        <v>0.45</v>
      </c>
      <c r="F140" s="584">
        <v>0.45</v>
      </c>
      <c r="G140" s="584">
        <v>1080</v>
      </c>
      <c r="H140" s="584">
        <v>24.75</v>
      </c>
      <c r="I140" s="584">
        <v>0</v>
      </c>
      <c r="J140" s="584">
        <v>0</v>
      </c>
      <c r="K140" s="584">
        <v>0</v>
      </c>
      <c r="L140" s="584">
        <v>0</v>
      </c>
      <c r="M140" s="584">
        <v>0</v>
      </c>
      <c r="N140" s="584">
        <v>0</v>
      </c>
      <c r="O140" s="584">
        <v>0</v>
      </c>
      <c r="P140" s="584">
        <v>0</v>
      </c>
      <c r="Q140" s="584">
        <v>0</v>
      </c>
      <c r="R140" s="584">
        <v>0</v>
      </c>
      <c r="S140" s="584">
        <v>0</v>
      </c>
      <c r="T140" s="584">
        <v>477.09743750000001</v>
      </c>
      <c r="U140" s="584">
        <v>70</v>
      </c>
      <c r="V140" s="584">
        <v>887.50874999999996</v>
      </c>
      <c r="W140" s="584">
        <v>147</v>
      </c>
      <c r="X140" s="584">
        <v>1456.5909999999999</v>
      </c>
      <c r="Y140" s="584">
        <v>308</v>
      </c>
      <c r="Z140" s="584">
        <v>0.47499999999999998</v>
      </c>
      <c r="AA140" s="584">
        <v>0.47499999999999998</v>
      </c>
      <c r="AB140" s="584">
        <v>1140</v>
      </c>
      <c r="AC140" s="584">
        <v>25</v>
      </c>
      <c r="AD140" s="584">
        <v>0</v>
      </c>
      <c r="AE140" s="584">
        <v>0</v>
      </c>
      <c r="AF140" s="584">
        <v>0</v>
      </c>
      <c r="AG140" s="584">
        <v>0</v>
      </c>
      <c r="AH140" s="584">
        <v>0</v>
      </c>
      <c r="AI140" s="584">
        <v>0</v>
      </c>
      <c r="AJ140" s="584">
        <v>0</v>
      </c>
      <c r="AK140" s="584">
        <v>0</v>
      </c>
      <c r="AL140" s="584">
        <v>0</v>
      </c>
      <c r="AM140" s="584">
        <v>0</v>
      </c>
      <c r="AN140" s="584">
        <v>0</v>
      </c>
      <c r="AO140" s="584">
        <v>495.99743749999999</v>
      </c>
      <c r="AP140" s="584">
        <v>70</v>
      </c>
      <c r="AQ140" s="584">
        <v>927.40743750000001</v>
      </c>
      <c r="AR140" s="584">
        <v>147</v>
      </c>
      <c r="AS140" s="584">
        <v>1533.5909999999999</v>
      </c>
      <c r="AT140" s="584">
        <v>308</v>
      </c>
      <c r="AU140" s="584">
        <v>0</v>
      </c>
      <c r="AV140" s="584">
        <v>0</v>
      </c>
      <c r="AW140" s="584">
        <v>0</v>
      </c>
      <c r="AX140" s="584">
        <v>0</v>
      </c>
      <c r="AY140" s="584">
        <v>0</v>
      </c>
      <c r="AZ140" s="584">
        <v>0</v>
      </c>
      <c r="BA140" s="584">
        <v>0</v>
      </c>
      <c r="BB140" s="584">
        <v>0</v>
      </c>
      <c r="BC140" s="584">
        <v>0</v>
      </c>
      <c r="BD140" s="584">
        <v>0</v>
      </c>
      <c r="BE140" s="584">
        <v>0</v>
      </c>
      <c r="BF140" s="584">
        <v>0</v>
      </c>
      <c r="BG140" s="584">
        <v>0</v>
      </c>
      <c r="BH140" s="584">
        <v>0</v>
      </c>
      <c r="BI140" s="584">
        <v>0</v>
      </c>
      <c r="BJ140" s="584">
        <v>0</v>
      </c>
      <c r="BK140" s="584">
        <v>0</v>
      </c>
      <c r="BL140" s="584">
        <v>0</v>
      </c>
      <c r="BM140" s="584">
        <v>0</v>
      </c>
      <c r="BN140" s="584">
        <v>0</v>
      </c>
      <c r="BO140" s="584">
        <v>0</v>
      </c>
      <c r="BP140" s="584">
        <v>1</v>
      </c>
      <c r="BQ140" s="584">
        <v>0.2</v>
      </c>
      <c r="BR140" s="584">
        <v>639.71571230662698</v>
      </c>
      <c r="BS140" s="584">
        <v>49.2141768644655</v>
      </c>
      <c r="BT140" s="584">
        <v>0</v>
      </c>
      <c r="BU140" s="584">
        <v>0</v>
      </c>
      <c r="BV140" s="584">
        <v>0</v>
      </c>
      <c r="BW140" s="584">
        <v>0</v>
      </c>
      <c r="BX140" s="584">
        <v>0</v>
      </c>
      <c r="BY140" s="584">
        <v>0</v>
      </c>
      <c r="BZ140" s="584">
        <v>0</v>
      </c>
      <c r="CA140" s="584">
        <v>0.4</v>
      </c>
      <c r="CB140" s="584">
        <v>1</v>
      </c>
      <c r="CC140" s="584">
        <v>0.45</v>
      </c>
      <c r="CD140" s="584">
        <v>0.45</v>
      </c>
      <c r="CE140" s="584">
        <v>354.02449999999999</v>
      </c>
      <c r="CF140" s="584">
        <v>70</v>
      </c>
      <c r="CG140" s="584">
        <v>589.58699999999999</v>
      </c>
      <c r="CH140" s="584">
        <v>147</v>
      </c>
      <c r="CI140" s="584">
        <v>824.59699999999998</v>
      </c>
      <c r="CJ140" s="584">
        <v>308</v>
      </c>
      <c r="CK140" s="584">
        <v>0</v>
      </c>
      <c r="CL140" s="584">
        <v>0</v>
      </c>
      <c r="CM140" s="584">
        <v>0</v>
      </c>
      <c r="CN140" s="584">
        <v>0</v>
      </c>
      <c r="CO140" s="584">
        <v>0</v>
      </c>
      <c r="CP140" s="584">
        <v>0</v>
      </c>
      <c r="CQ140" s="584">
        <v>0</v>
      </c>
      <c r="CR140" s="584">
        <v>0</v>
      </c>
      <c r="CS140" s="584">
        <v>0</v>
      </c>
      <c r="CT140" s="584">
        <v>0</v>
      </c>
      <c r="CU140" s="584">
        <v>0</v>
      </c>
      <c r="CV140" s="584">
        <v>0</v>
      </c>
      <c r="CW140" s="584">
        <v>0</v>
      </c>
      <c r="CX140" s="584">
        <v>0</v>
      </c>
      <c r="CY140" s="584">
        <v>0</v>
      </c>
      <c r="CZ140" s="584">
        <v>0</v>
      </c>
      <c r="DA140" s="584">
        <v>0</v>
      </c>
      <c r="DB140" s="584">
        <v>0</v>
      </c>
      <c r="DC140" s="584">
        <v>0</v>
      </c>
      <c r="DD140" s="584">
        <v>0</v>
      </c>
      <c r="DE140" s="584">
        <v>0</v>
      </c>
      <c r="DF140" s="584">
        <v>0.65</v>
      </c>
      <c r="DG140" s="584">
        <v>0.2</v>
      </c>
      <c r="DH140" s="584">
        <v>513.673372200416</v>
      </c>
      <c r="DI140" s="584">
        <v>22.009823250981299</v>
      </c>
      <c r="DJ140" s="584">
        <v>300</v>
      </c>
      <c r="DK140" s="584">
        <v>0</v>
      </c>
      <c r="DL140" s="584">
        <v>0</v>
      </c>
      <c r="DM140" s="584">
        <v>0</v>
      </c>
      <c r="DN140" s="584">
        <v>0</v>
      </c>
      <c r="DO140" s="584">
        <v>0</v>
      </c>
      <c r="DP140" s="584">
        <v>0</v>
      </c>
      <c r="DQ140" s="584">
        <v>0</v>
      </c>
      <c r="DR140" s="584">
        <v>0.65</v>
      </c>
      <c r="DS140" s="584">
        <v>0</v>
      </c>
      <c r="DT140" s="584">
        <v>2.4</v>
      </c>
      <c r="DU140" s="584">
        <v>360.69875000000002</v>
      </c>
      <c r="DV140" s="584">
        <v>70</v>
      </c>
      <c r="DW140" s="584">
        <v>630.26125000000002</v>
      </c>
      <c r="DX140" s="584">
        <v>147</v>
      </c>
      <c r="DY140" s="584">
        <v>1015.8975</v>
      </c>
      <c r="DZ140" s="584">
        <v>308</v>
      </c>
      <c r="EA140" s="1062">
        <v>0.97709999999999997</v>
      </c>
      <c r="EB140" s="1046">
        <v>0.4</v>
      </c>
      <c r="EC140" s="1093">
        <v>132.51783893985737</v>
      </c>
      <c r="ED140" s="1046">
        <v>0</v>
      </c>
      <c r="EE140" s="1046">
        <v>519.87767584097855</v>
      </c>
      <c r="EF140" s="1046">
        <v>46.871428571428574</v>
      </c>
      <c r="EG140" s="1046">
        <v>0</v>
      </c>
      <c r="EH140" s="1046">
        <v>0</v>
      </c>
      <c r="EI140" s="1046" t="s">
        <v>418</v>
      </c>
      <c r="EJ140" s="1046" t="s">
        <v>420</v>
      </c>
      <c r="EK140" s="1046">
        <v>0</v>
      </c>
      <c r="EL140" s="1046">
        <v>0</v>
      </c>
      <c r="EM140" s="1046">
        <v>0</v>
      </c>
      <c r="EN140" s="1046">
        <v>0</v>
      </c>
      <c r="EO140" s="1046">
        <v>0</v>
      </c>
      <c r="EP140" s="1094">
        <v>206.07464400000003</v>
      </c>
      <c r="EQ140" s="1094">
        <v>70</v>
      </c>
      <c r="ER140" s="1094">
        <v>412.14928800000007</v>
      </c>
      <c r="ES140" s="1095">
        <v>140</v>
      </c>
      <c r="ET140" s="1094">
        <v>824.29857600000014</v>
      </c>
      <c r="EU140" s="1094">
        <v>280</v>
      </c>
      <c r="EV140" s="1096">
        <v>0.75760000000000005</v>
      </c>
      <c r="EW140" s="1097">
        <v>0.15</v>
      </c>
      <c r="EX140" s="1096">
        <v>289.50050968399592</v>
      </c>
      <c r="EY140" s="1096">
        <v>1.5443934760448521</v>
      </c>
      <c r="EZ140" s="1096">
        <v>0</v>
      </c>
      <c r="FA140" s="1096">
        <v>33.371428571428574</v>
      </c>
      <c r="FB140" s="1098">
        <v>0</v>
      </c>
      <c r="FC140" s="1098">
        <v>0</v>
      </c>
      <c r="FD140" s="1098" t="s">
        <v>408</v>
      </c>
      <c r="FE140" s="1098" t="s">
        <v>410</v>
      </c>
      <c r="FF140" s="1098">
        <v>2</v>
      </c>
      <c r="FG140" s="1098">
        <v>0</v>
      </c>
      <c r="FH140" s="1098">
        <v>0</v>
      </c>
      <c r="FI140" s="1098">
        <v>0</v>
      </c>
      <c r="FJ140" s="1098">
        <v>0</v>
      </c>
      <c r="FK140" s="1096">
        <v>106.19067800000002</v>
      </c>
      <c r="FL140" s="1096">
        <v>70</v>
      </c>
      <c r="FM140" s="1096">
        <v>212.38135600000004</v>
      </c>
      <c r="FN140" s="1096">
        <v>140</v>
      </c>
      <c r="FO140" s="1096">
        <v>424.76271200000008</v>
      </c>
      <c r="FP140" s="1099">
        <v>280</v>
      </c>
      <c r="FQ140" s="1064">
        <v>1.0990599999999999</v>
      </c>
      <c r="FR140" s="1065">
        <v>0.15</v>
      </c>
      <c r="FS140" s="1066">
        <v>289.50050968399586</v>
      </c>
      <c r="FT140" s="1066">
        <v>3.1935353236673123</v>
      </c>
      <c r="FU140" s="1065"/>
      <c r="FV140" s="1066">
        <v>67.952264459496106</v>
      </c>
      <c r="FW140" s="1065"/>
      <c r="FX140" s="1065"/>
      <c r="FY140" s="1065" t="s">
        <v>396</v>
      </c>
      <c r="FZ140" s="1065" t="s">
        <v>416</v>
      </c>
      <c r="GA140" s="1065">
        <v>3</v>
      </c>
      <c r="GB140" s="1065"/>
      <c r="GC140" s="1065"/>
      <c r="GD140" s="1065"/>
      <c r="GE140" s="1065"/>
      <c r="GF140" s="1066">
        <v>113.06232828443932</v>
      </c>
      <c r="GG140" s="1066">
        <v>70</v>
      </c>
      <c r="GH140" s="1066">
        <v>226.12465656887863</v>
      </c>
      <c r="GI140" s="1066">
        <v>140</v>
      </c>
      <c r="GJ140" s="1066">
        <v>452.24931313775727</v>
      </c>
      <c r="GK140" s="1066">
        <v>280</v>
      </c>
      <c r="GL140" s="584">
        <v>0.96489999999999998</v>
      </c>
      <c r="GM140" s="584">
        <v>0.13</v>
      </c>
      <c r="GN140" s="584"/>
      <c r="GO140" s="584"/>
      <c r="GP140" s="584"/>
      <c r="GQ140" s="584">
        <v>49.8178571428571</v>
      </c>
      <c r="GR140" s="584"/>
      <c r="GS140" s="584">
        <v>66.2589194699286</v>
      </c>
      <c r="GT140" s="584" t="s">
        <v>416</v>
      </c>
      <c r="GU140" s="584" t="s">
        <v>381</v>
      </c>
      <c r="GV140" s="584">
        <v>1</v>
      </c>
      <c r="GW140" s="584"/>
      <c r="GX140" s="584"/>
      <c r="GY140" s="584"/>
      <c r="GZ140" s="584"/>
      <c r="HA140" s="584">
        <v>45.883969</v>
      </c>
      <c r="HB140" s="584">
        <v>70</v>
      </c>
      <c r="HC140" s="584">
        <v>91.767938000000001</v>
      </c>
      <c r="HD140" s="584">
        <v>140</v>
      </c>
      <c r="HE140" s="584">
        <v>183.535876</v>
      </c>
      <c r="HF140" s="584">
        <v>280</v>
      </c>
      <c r="HG140" s="1100">
        <v>1.1900000000000002</v>
      </c>
      <c r="HH140" s="1100">
        <v>0.11</v>
      </c>
      <c r="HI140" s="1101">
        <v>0</v>
      </c>
      <c r="HJ140" s="1101">
        <v>0</v>
      </c>
      <c r="HK140" s="1101">
        <v>0</v>
      </c>
      <c r="HL140" s="1101">
        <v>0</v>
      </c>
      <c r="HM140" s="1101">
        <v>75.934285714285707</v>
      </c>
      <c r="HN140" s="1101">
        <v>54.999999999999993</v>
      </c>
      <c r="HO140" s="1101">
        <v>0</v>
      </c>
      <c r="HP140" s="1101">
        <v>0</v>
      </c>
      <c r="HQ140" s="1101">
        <v>3</v>
      </c>
      <c r="HR140" s="1101">
        <v>1.08</v>
      </c>
      <c r="HS140" s="1101">
        <v>1.04</v>
      </c>
      <c r="HT140" s="1101">
        <v>0.3</v>
      </c>
      <c r="HU140" s="1101">
        <v>0.28000000000000003</v>
      </c>
      <c r="HV140" s="1101">
        <v>49.965029600000001</v>
      </c>
      <c r="HW140" s="1101">
        <v>70</v>
      </c>
      <c r="HX140" s="1101">
        <v>99.930059200000002</v>
      </c>
      <c r="HY140" s="1101">
        <v>140</v>
      </c>
      <c r="HZ140" s="1101">
        <v>199.8601184</v>
      </c>
      <c r="IA140" s="1101">
        <v>280</v>
      </c>
      <c r="IB140" s="1062"/>
      <c r="IC140" s="1092"/>
      <c r="ID140" s="1050"/>
      <c r="IE140" s="1050"/>
      <c r="IF140" s="1103"/>
      <c r="IG140" s="1103"/>
      <c r="IH140" s="1103"/>
      <c r="II140" s="1103"/>
      <c r="IJ140" s="1103"/>
      <c r="IK140" s="1103"/>
      <c r="IL140" s="1103"/>
      <c r="IM140" s="1050"/>
      <c r="IN140" s="1050"/>
      <c r="IO140" s="1050"/>
      <c r="IP140" s="1050"/>
      <c r="IQ140" s="1103"/>
      <c r="IR140" s="1103"/>
      <c r="IS140" s="1103"/>
      <c r="IT140" s="1103"/>
      <c r="IU140" s="1103"/>
      <c r="IV140" s="1103"/>
      <c r="JS140" s="1092"/>
      <c r="JU140" s="1050"/>
      <c r="JV140" s="1103"/>
      <c r="JW140" s="1103"/>
      <c r="JX140" s="1103"/>
      <c r="JY140" s="1103"/>
      <c r="JZ140" s="1103"/>
      <c r="KA140" s="1103"/>
      <c r="KB140" s="1103"/>
      <c r="KC140" s="1050"/>
      <c r="KD140" s="1050"/>
      <c r="KE140" s="1050"/>
      <c r="KF140" s="1050"/>
      <c r="KG140" s="1103"/>
      <c r="KH140" s="1103"/>
      <c r="KI140" s="1103"/>
      <c r="KJ140" s="1103"/>
      <c r="KK140" s="1103"/>
      <c r="KL140" s="1103"/>
      <c r="KM140" s="1103"/>
      <c r="KN140" s="1103"/>
    </row>
    <row r="141" spans="2:300">
      <c r="B141" s="1048" t="str">
        <f t="shared" si="4"/>
        <v>R815</v>
      </c>
      <c r="C141" s="1046">
        <v>8</v>
      </c>
      <c r="D141" s="1092">
        <v>15</v>
      </c>
      <c r="E141" s="584">
        <v>0</v>
      </c>
      <c r="F141" s="584">
        <v>0</v>
      </c>
      <c r="G141" s="584">
        <v>0</v>
      </c>
      <c r="H141" s="584">
        <v>0</v>
      </c>
      <c r="I141" s="584">
        <v>0</v>
      </c>
      <c r="J141" s="584">
        <v>0</v>
      </c>
      <c r="K141" s="584">
        <v>0</v>
      </c>
      <c r="L141" s="584">
        <v>0</v>
      </c>
      <c r="M141" s="584">
        <v>0</v>
      </c>
      <c r="N141" s="584">
        <v>0</v>
      </c>
      <c r="O141" s="584">
        <v>0</v>
      </c>
      <c r="P141" s="584">
        <v>0</v>
      </c>
      <c r="Q141" s="584">
        <v>0</v>
      </c>
      <c r="R141" s="584">
        <v>0</v>
      </c>
      <c r="S141" s="584">
        <v>0</v>
      </c>
      <c r="T141" s="584">
        <v>0</v>
      </c>
      <c r="U141" s="584">
        <v>0</v>
      </c>
      <c r="V141" s="584">
        <v>0</v>
      </c>
      <c r="W141" s="584">
        <v>0</v>
      </c>
      <c r="X141" s="584">
        <v>0</v>
      </c>
      <c r="Y141" s="584">
        <v>0</v>
      </c>
      <c r="Z141" s="584">
        <v>0</v>
      </c>
      <c r="AA141" s="584">
        <v>0</v>
      </c>
      <c r="AB141" s="584">
        <v>0</v>
      </c>
      <c r="AC141" s="584">
        <v>0</v>
      </c>
      <c r="AD141" s="584">
        <v>0</v>
      </c>
      <c r="AE141" s="584">
        <v>0</v>
      </c>
      <c r="AF141" s="584">
        <v>0</v>
      </c>
      <c r="AG141" s="584">
        <v>0</v>
      </c>
      <c r="AH141" s="584">
        <v>0</v>
      </c>
      <c r="AI141" s="584">
        <v>0</v>
      </c>
      <c r="AJ141" s="584">
        <v>0</v>
      </c>
      <c r="AK141" s="584">
        <v>0</v>
      </c>
      <c r="AL141" s="584">
        <v>0</v>
      </c>
      <c r="AM141" s="584">
        <v>0</v>
      </c>
      <c r="AN141" s="584">
        <v>0</v>
      </c>
      <c r="AO141" s="584">
        <v>0</v>
      </c>
      <c r="AP141" s="584">
        <v>0</v>
      </c>
      <c r="AQ141" s="584">
        <v>0</v>
      </c>
      <c r="AR141" s="584">
        <v>0</v>
      </c>
      <c r="AS141" s="584">
        <v>0</v>
      </c>
      <c r="AT141" s="584">
        <v>0</v>
      </c>
      <c r="AU141" s="584">
        <v>0</v>
      </c>
      <c r="AV141" s="584">
        <v>0</v>
      </c>
      <c r="AW141" s="584">
        <v>0</v>
      </c>
      <c r="AX141" s="584">
        <v>0</v>
      </c>
      <c r="AY141" s="584">
        <v>0</v>
      </c>
      <c r="AZ141" s="584">
        <v>0</v>
      </c>
      <c r="BA141" s="584">
        <v>0</v>
      </c>
      <c r="BB141" s="584">
        <v>0</v>
      </c>
      <c r="BC141" s="584">
        <v>0</v>
      </c>
      <c r="BD141" s="584">
        <v>0</v>
      </c>
      <c r="BE141" s="584">
        <v>0</v>
      </c>
      <c r="BF141" s="584">
        <v>0</v>
      </c>
      <c r="BG141" s="584">
        <v>0</v>
      </c>
      <c r="BH141" s="584">
        <v>0</v>
      </c>
      <c r="BI141" s="584">
        <v>0</v>
      </c>
      <c r="BJ141" s="584">
        <v>0</v>
      </c>
      <c r="BK141" s="584">
        <v>0</v>
      </c>
      <c r="BL141" s="584">
        <v>0</v>
      </c>
      <c r="BM141" s="584">
        <v>0</v>
      </c>
      <c r="BN141" s="584">
        <v>0</v>
      </c>
      <c r="BO141" s="584">
        <v>0</v>
      </c>
      <c r="BP141" s="584">
        <v>0</v>
      </c>
      <c r="BQ141" s="584">
        <v>0</v>
      </c>
      <c r="BR141" s="584">
        <v>0</v>
      </c>
      <c r="BS141" s="584">
        <v>0</v>
      </c>
      <c r="BT141" s="584">
        <v>0</v>
      </c>
      <c r="BU141" s="584">
        <v>0</v>
      </c>
      <c r="BV141" s="584">
        <v>0</v>
      </c>
      <c r="BW141" s="584">
        <v>0</v>
      </c>
      <c r="BX141" s="584">
        <v>0</v>
      </c>
      <c r="BY141" s="584">
        <v>0</v>
      </c>
      <c r="BZ141" s="584">
        <v>0</v>
      </c>
      <c r="CA141" s="584">
        <v>0</v>
      </c>
      <c r="CB141" s="584">
        <v>0</v>
      </c>
      <c r="CC141" s="584">
        <v>0</v>
      </c>
      <c r="CD141" s="584">
        <v>0</v>
      </c>
      <c r="CE141" s="584">
        <v>0</v>
      </c>
      <c r="CF141" s="584">
        <v>0</v>
      </c>
      <c r="CG141" s="584">
        <v>0</v>
      </c>
      <c r="CH141" s="584">
        <v>0</v>
      </c>
      <c r="CI141" s="584">
        <v>0</v>
      </c>
      <c r="CJ141" s="584">
        <v>0</v>
      </c>
      <c r="CK141" s="584">
        <v>0</v>
      </c>
      <c r="CL141" s="584">
        <v>0</v>
      </c>
      <c r="CM141" s="584">
        <v>0</v>
      </c>
      <c r="CN141" s="584">
        <v>0</v>
      </c>
      <c r="CO141" s="584">
        <v>0</v>
      </c>
      <c r="CP141" s="584">
        <v>0</v>
      </c>
      <c r="CQ141" s="584">
        <v>0</v>
      </c>
      <c r="CR141" s="584">
        <v>0</v>
      </c>
      <c r="CS141" s="584">
        <v>0</v>
      </c>
      <c r="CT141" s="584">
        <v>0</v>
      </c>
      <c r="CU141" s="584">
        <v>0</v>
      </c>
      <c r="CV141" s="584">
        <v>0</v>
      </c>
      <c r="CW141" s="584">
        <v>0</v>
      </c>
      <c r="CX141" s="584">
        <v>0</v>
      </c>
      <c r="CY141" s="584">
        <v>0</v>
      </c>
      <c r="CZ141" s="584">
        <v>0</v>
      </c>
      <c r="DA141" s="584">
        <v>0</v>
      </c>
      <c r="DB141" s="584">
        <v>0</v>
      </c>
      <c r="DC141" s="584">
        <v>0</v>
      </c>
      <c r="DD141" s="584">
        <v>0</v>
      </c>
      <c r="DE141" s="584">
        <v>0</v>
      </c>
      <c r="DF141" s="584">
        <v>0</v>
      </c>
      <c r="DG141" s="584">
        <v>0</v>
      </c>
      <c r="DH141" s="584">
        <v>0</v>
      </c>
      <c r="DI141" s="584">
        <v>0</v>
      </c>
      <c r="DJ141" s="584">
        <v>0</v>
      </c>
      <c r="DK141" s="584">
        <v>0</v>
      </c>
      <c r="DL141" s="584">
        <v>0</v>
      </c>
      <c r="DM141" s="584">
        <v>0</v>
      </c>
      <c r="DN141" s="584">
        <v>0</v>
      </c>
      <c r="DO141" s="584">
        <v>0</v>
      </c>
      <c r="DP141" s="584">
        <v>0</v>
      </c>
      <c r="DQ141" s="584">
        <v>0</v>
      </c>
      <c r="DR141" s="584">
        <v>0</v>
      </c>
      <c r="DS141" s="584">
        <v>0</v>
      </c>
      <c r="DT141" s="584">
        <v>0</v>
      </c>
      <c r="DU141" s="584">
        <v>0</v>
      </c>
      <c r="DV141" s="584">
        <v>0</v>
      </c>
      <c r="DW141" s="584">
        <v>0</v>
      </c>
      <c r="DX141" s="584">
        <v>0</v>
      </c>
      <c r="DY141" s="584">
        <v>0</v>
      </c>
      <c r="DZ141" s="584">
        <v>0</v>
      </c>
      <c r="EA141" s="1062">
        <v>1.0270999999999999</v>
      </c>
      <c r="EB141" s="1046">
        <v>0.45</v>
      </c>
      <c r="EC141" s="1093">
        <v>132.51783893985726</v>
      </c>
      <c r="ED141" s="1046">
        <v>0</v>
      </c>
      <c r="EE141" s="1046">
        <v>581.03975535168195</v>
      </c>
      <c r="EF141" s="1046">
        <v>52.3825</v>
      </c>
      <c r="EG141" s="1046">
        <v>0</v>
      </c>
      <c r="EH141" s="1046">
        <v>0</v>
      </c>
      <c r="EI141" s="1046" t="s">
        <v>418</v>
      </c>
      <c r="EJ141" s="1046" t="s">
        <v>418</v>
      </c>
      <c r="EK141" s="1046">
        <v>0</v>
      </c>
      <c r="EL141" s="1046">
        <v>0</v>
      </c>
      <c r="EM141" s="1046">
        <v>0</v>
      </c>
      <c r="EN141" s="1046">
        <v>0</v>
      </c>
      <c r="EO141" s="1046">
        <v>0</v>
      </c>
      <c r="EP141" s="1094">
        <v>240.41616974999999</v>
      </c>
      <c r="EQ141" s="1094">
        <v>75</v>
      </c>
      <c r="ER141" s="1094">
        <v>480.83233949999999</v>
      </c>
      <c r="ES141" s="1095">
        <v>150</v>
      </c>
      <c r="ET141" s="1094">
        <v>961.66467899999998</v>
      </c>
      <c r="EU141" s="1094">
        <v>300</v>
      </c>
      <c r="EV141" s="1096">
        <v>0.7622000000000001</v>
      </c>
      <c r="EW141" s="1097">
        <v>0.15</v>
      </c>
      <c r="EX141" s="1096">
        <v>289.50050968399592</v>
      </c>
      <c r="EY141" s="1096">
        <v>1.5443934760448521</v>
      </c>
      <c r="EZ141" s="1096">
        <v>0</v>
      </c>
      <c r="FA141" s="1096">
        <v>33.64</v>
      </c>
      <c r="FB141" s="1098">
        <v>0</v>
      </c>
      <c r="FC141" s="1098">
        <v>0</v>
      </c>
      <c r="FD141" s="1098" t="s">
        <v>406</v>
      </c>
      <c r="FE141" s="1098" t="s">
        <v>410</v>
      </c>
      <c r="FF141" s="1098">
        <v>2</v>
      </c>
      <c r="FG141" s="1098">
        <v>0</v>
      </c>
      <c r="FH141" s="1098">
        <v>0</v>
      </c>
      <c r="FI141" s="1098">
        <v>0</v>
      </c>
      <c r="FJ141" s="1098">
        <v>0</v>
      </c>
      <c r="FK141" s="1096">
        <v>113.85476700000001</v>
      </c>
      <c r="FL141" s="1096">
        <v>75</v>
      </c>
      <c r="FM141" s="1096">
        <v>227.70953400000002</v>
      </c>
      <c r="FN141" s="1096">
        <v>150</v>
      </c>
      <c r="FO141" s="1096">
        <v>455.41906800000004</v>
      </c>
      <c r="FP141" s="1099">
        <v>300</v>
      </c>
      <c r="FQ141" s="1064">
        <v>1.0990599999999999</v>
      </c>
      <c r="FR141" s="1065">
        <v>0.15</v>
      </c>
      <c r="FS141" s="1066">
        <v>289.50050968399586</v>
      </c>
      <c r="FT141" s="1066">
        <v>3.1935353236673123</v>
      </c>
      <c r="FU141" s="1065"/>
      <c r="FV141" s="1066">
        <v>72.871353728546126</v>
      </c>
      <c r="FW141" s="1065"/>
      <c r="FX141" s="1065"/>
      <c r="FY141" s="1065" t="s">
        <v>396</v>
      </c>
      <c r="FZ141" s="1065" t="s">
        <v>1102</v>
      </c>
      <c r="GA141" s="1065">
        <v>3</v>
      </c>
      <c r="GB141" s="1065"/>
      <c r="GC141" s="1065"/>
      <c r="GD141" s="1065"/>
      <c r="GE141" s="1065"/>
      <c r="GF141" s="1066">
        <v>122.58589684806638</v>
      </c>
      <c r="GG141" s="1066">
        <v>75</v>
      </c>
      <c r="GH141" s="1066">
        <v>245.17179369613277</v>
      </c>
      <c r="GI141" s="1066">
        <v>150</v>
      </c>
      <c r="GJ141" s="1066">
        <v>490.34358739226553</v>
      </c>
      <c r="GK141" s="1066">
        <v>300</v>
      </c>
      <c r="GL141" s="584">
        <v>0.97070000000000001</v>
      </c>
      <c r="GM141" s="584">
        <v>0.13</v>
      </c>
      <c r="GN141" s="584"/>
      <c r="GO141" s="584"/>
      <c r="GP141" s="584"/>
      <c r="GQ141" s="584">
        <v>53.9033333333333</v>
      </c>
      <c r="GR141" s="584"/>
      <c r="GS141" s="584">
        <v>66.2589194699286</v>
      </c>
      <c r="GT141" s="584" t="s">
        <v>416</v>
      </c>
      <c r="GU141" s="584" t="s">
        <v>379</v>
      </c>
      <c r="GV141" s="584">
        <v>1</v>
      </c>
      <c r="GW141" s="584"/>
      <c r="GX141" s="584"/>
      <c r="GY141" s="584"/>
      <c r="GZ141" s="584"/>
      <c r="HA141" s="584">
        <v>50.363751000000001</v>
      </c>
      <c r="HB141" s="584">
        <v>75</v>
      </c>
      <c r="HC141" s="584">
        <v>100.727502</v>
      </c>
      <c r="HD141" s="584">
        <v>150</v>
      </c>
      <c r="HE141" s="584">
        <v>201.455004</v>
      </c>
      <c r="HF141" s="584">
        <v>300</v>
      </c>
      <c r="HG141" s="1100">
        <v>1.27</v>
      </c>
      <c r="HH141" s="1100">
        <v>0.11</v>
      </c>
      <c r="HI141" s="1101">
        <v>0</v>
      </c>
      <c r="HJ141" s="1101">
        <v>0</v>
      </c>
      <c r="HK141" s="1101">
        <v>0</v>
      </c>
      <c r="HL141" s="1101">
        <v>0</v>
      </c>
      <c r="HM141" s="1101">
        <v>86.04</v>
      </c>
      <c r="HN141" s="1101">
        <v>54.999999999999993</v>
      </c>
      <c r="HO141" s="1101">
        <v>0</v>
      </c>
      <c r="HP141" s="1101">
        <v>0</v>
      </c>
      <c r="HQ141" s="1101">
        <v>3</v>
      </c>
      <c r="HR141" s="1101">
        <v>1.1599999999999999</v>
      </c>
      <c r="HS141" s="1101">
        <v>1.1200000000000001</v>
      </c>
      <c r="HT141" s="1101">
        <v>0.3</v>
      </c>
      <c r="HU141" s="1101">
        <v>0.3</v>
      </c>
      <c r="HV141" s="1101">
        <v>56.508071999999999</v>
      </c>
      <c r="HW141" s="1101">
        <v>75</v>
      </c>
      <c r="HX141" s="1101">
        <v>113.016144</v>
      </c>
      <c r="HY141" s="1101">
        <v>150</v>
      </c>
      <c r="HZ141" s="1101">
        <v>226.03228799999999</v>
      </c>
      <c r="IA141" s="1101">
        <v>300</v>
      </c>
      <c r="IB141" s="1062"/>
      <c r="IC141" s="1092"/>
      <c r="ID141" s="1050"/>
      <c r="IE141" s="1050"/>
      <c r="IF141" s="1103"/>
      <c r="IG141" s="1103"/>
      <c r="IH141" s="1103"/>
      <c r="II141" s="1103"/>
      <c r="IJ141" s="1103"/>
      <c r="IK141" s="1103"/>
      <c r="IL141" s="1103"/>
      <c r="IM141" s="1050"/>
      <c r="IN141" s="1050"/>
      <c r="IO141" s="1050"/>
      <c r="IP141" s="1050"/>
      <c r="IQ141" s="1103"/>
      <c r="IR141" s="1103"/>
      <c r="IS141" s="1103"/>
      <c r="IT141" s="1103"/>
      <c r="IU141" s="1103"/>
      <c r="IV141" s="1103"/>
      <c r="JS141" s="1092"/>
      <c r="JU141" s="1050"/>
      <c r="JV141" s="1103"/>
      <c r="JW141" s="1103"/>
      <c r="JX141" s="1103"/>
      <c r="JY141" s="1103"/>
      <c r="JZ141" s="1103"/>
      <c r="KA141" s="1103"/>
      <c r="KB141" s="1103"/>
      <c r="KC141" s="1050"/>
      <c r="KD141" s="1050"/>
      <c r="KE141" s="1050"/>
      <c r="KF141" s="1050"/>
      <c r="KG141" s="1103"/>
      <c r="KH141" s="1103"/>
      <c r="KI141" s="1103"/>
      <c r="KJ141" s="1103"/>
      <c r="KK141" s="1103"/>
      <c r="KL141" s="1103"/>
      <c r="KM141" s="1103"/>
      <c r="KN141" s="1103"/>
    </row>
    <row r="142" spans="2:300">
      <c r="B142" s="1048" t="str">
        <f t="shared" si="4"/>
        <v>R816</v>
      </c>
      <c r="C142" s="1046">
        <v>8</v>
      </c>
      <c r="D142" s="1092">
        <v>16</v>
      </c>
      <c r="E142" s="584">
        <v>0</v>
      </c>
      <c r="F142" s="584">
        <v>0</v>
      </c>
      <c r="G142" s="584">
        <v>0</v>
      </c>
      <c r="H142" s="584">
        <v>0</v>
      </c>
      <c r="I142" s="584">
        <v>0</v>
      </c>
      <c r="J142" s="584">
        <v>0</v>
      </c>
      <c r="K142" s="584">
        <v>0</v>
      </c>
      <c r="L142" s="584">
        <v>0</v>
      </c>
      <c r="M142" s="584">
        <v>0</v>
      </c>
      <c r="N142" s="584">
        <v>0</v>
      </c>
      <c r="O142" s="584">
        <v>0</v>
      </c>
      <c r="P142" s="584">
        <v>0</v>
      </c>
      <c r="Q142" s="584">
        <v>0</v>
      </c>
      <c r="R142" s="584">
        <v>0</v>
      </c>
      <c r="S142" s="584">
        <v>0</v>
      </c>
      <c r="T142" s="584">
        <v>0</v>
      </c>
      <c r="U142" s="584">
        <v>0</v>
      </c>
      <c r="V142" s="584">
        <v>0</v>
      </c>
      <c r="W142" s="584">
        <v>0</v>
      </c>
      <c r="X142" s="584">
        <v>0</v>
      </c>
      <c r="Y142" s="584">
        <v>0</v>
      </c>
      <c r="Z142" s="584">
        <v>0</v>
      </c>
      <c r="AA142" s="584">
        <v>0</v>
      </c>
      <c r="AB142" s="584">
        <v>0</v>
      </c>
      <c r="AC142" s="584">
        <v>0</v>
      </c>
      <c r="AD142" s="584">
        <v>0</v>
      </c>
      <c r="AE142" s="584">
        <v>0</v>
      </c>
      <c r="AF142" s="584">
        <v>0</v>
      </c>
      <c r="AG142" s="584">
        <v>0</v>
      </c>
      <c r="AH142" s="584">
        <v>0</v>
      </c>
      <c r="AI142" s="584">
        <v>0</v>
      </c>
      <c r="AJ142" s="584">
        <v>0</v>
      </c>
      <c r="AK142" s="584">
        <v>0</v>
      </c>
      <c r="AL142" s="584">
        <v>0</v>
      </c>
      <c r="AM142" s="584">
        <v>0</v>
      </c>
      <c r="AN142" s="584">
        <v>0</v>
      </c>
      <c r="AO142" s="584">
        <v>149.59743750000001</v>
      </c>
      <c r="AP142" s="584">
        <v>80</v>
      </c>
      <c r="AQ142" s="584">
        <v>218.41743750000001</v>
      </c>
      <c r="AR142" s="584">
        <v>168</v>
      </c>
      <c r="AS142" s="584">
        <v>79.391000000000005</v>
      </c>
      <c r="AT142" s="584">
        <v>352</v>
      </c>
      <c r="AU142" s="584">
        <v>0</v>
      </c>
      <c r="AV142" s="584">
        <v>0</v>
      </c>
      <c r="AW142" s="584">
        <v>0</v>
      </c>
      <c r="AX142" s="584">
        <v>0</v>
      </c>
      <c r="AY142" s="584">
        <v>0</v>
      </c>
      <c r="AZ142" s="584">
        <v>0</v>
      </c>
      <c r="BA142" s="584">
        <v>0</v>
      </c>
      <c r="BB142" s="584">
        <v>0</v>
      </c>
      <c r="BC142" s="584">
        <v>0</v>
      </c>
      <c r="BD142" s="584">
        <v>0</v>
      </c>
      <c r="BE142" s="584">
        <v>0</v>
      </c>
      <c r="BF142" s="584">
        <v>0</v>
      </c>
      <c r="BG142" s="584">
        <v>0</v>
      </c>
      <c r="BH142" s="584">
        <v>0</v>
      </c>
      <c r="BI142" s="584">
        <v>0</v>
      </c>
      <c r="BJ142" s="584">
        <v>0</v>
      </c>
      <c r="BK142" s="584">
        <v>0</v>
      </c>
      <c r="BL142" s="584">
        <v>0</v>
      </c>
      <c r="BM142" s="584">
        <v>0</v>
      </c>
      <c r="BN142" s="584">
        <v>0</v>
      </c>
      <c r="BO142" s="584">
        <v>0</v>
      </c>
      <c r="BP142" s="584">
        <v>0</v>
      </c>
      <c r="BQ142" s="584">
        <v>0</v>
      </c>
      <c r="BR142" s="584">
        <v>0</v>
      </c>
      <c r="BS142" s="584">
        <v>0</v>
      </c>
      <c r="BT142" s="584">
        <v>0</v>
      </c>
      <c r="BU142" s="584">
        <v>0</v>
      </c>
      <c r="BV142" s="584">
        <v>0</v>
      </c>
      <c r="BW142" s="584">
        <v>0</v>
      </c>
      <c r="BX142" s="584">
        <v>0</v>
      </c>
      <c r="BY142" s="584">
        <v>0</v>
      </c>
      <c r="BZ142" s="584">
        <v>0</v>
      </c>
      <c r="CA142" s="584">
        <v>0</v>
      </c>
      <c r="CB142" s="584">
        <v>0</v>
      </c>
      <c r="CC142" s="584">
        <v>0</v>
      </c>
      <c r="CD142" s="584">
        <v>0</v>
      </c>
      <c r="CE142" s="584">
        <v>0</v>
      </c>
      <c r="CF142" s="584">
        <v>0</v>
      </c>
      <c r="CG142" s="584">
        <v>0</v>
      </c>
      <c r="CH142" s="584">
        <v>0</v>
      </c>
      <c r="CI142" s="584">
        <v>0</v>
      </c>
      <c r="CJ142" s="584">
        <v>0</v>
      </c>
      <c r="CK142" s="584">
        <v>0</v>
      </c>
      <c r="CL142" s="584">
        <v>0</v>
      </c>
      <c r="CM142" s="584">
        <v>0</v>
      </c>
      <c r="CN142" s="584">
        <v>0</v>
      </c>
      <c r="CO142" s="584">
        <v>0</v>
      </c>
      <c r="CP142" s="584">
        <v>0</v>
      </c>
      <c r="CQ142" s="584">
        <v>0</v>
      </c>
      <c r="CR142" s="584">
        <v>0</v>
      </c>
      <c r="CS142" s="584">
        <v>0</v>
      </c>
      <c r="CT142" s="584">
        <v>0</v>
      </c>
      <c r="CU142" s="584">
        <v>0</v>
      </c>
      <c r="CV142" s="584">
        <v>0</v>
      </c>
      <c r="CW142" s="584">
        <v>0</v>
      </c>
      <c r="CX142" s="584">
        <v>0</v>
      </c>
      <c r="CY142" s="584">
        <v>0</v>
      </c>
      <c r="CZ142" s="584">
        <v>0</v>
      </c>
      <c r="DA142" s="584">
        <v>0</v>
      </c>
      <c r="DB142" s="584">
        <v>0</v>
      </c>
      <c r="DC142" s="584">
        <v>0</v>
      </c>
      <c r="DD142" s="584">
        <v>0</v>
      </c>
      <c r="DE142" s="584">
        <v>0</v>
      </c>
      <c r="DF142" s="584">
        <v>0</v>
      </c>
      <c r="DG142" s="584">
        <v>0</v>
      </c>
      <c r="DH142" s="584">
        <v>0</v>
      </c>
      <c r="DI142" s="584">
        <v>0</v>
      </c>
      <c r="DJ142" s="584">
        <v>0</v>
      </c>
      <c r="DK142" s="584">
        <v>0</v>
      </c>
      <c r="DL142" s="584">
        <v>0</v>
      </c>
      <c r="DM142" s="584">
        <v>0</v>
      </c>
      <c r="DN142" s="584">
        <v>0</v>
      </c>
      <c r="DO142" s="584">
        <v>0</v>
      </c>
      <c r="DP142" s="584">
        <v>0</v>
      </c>
      <c r="DQ142" s="584">
        <v>0</v>
      </c>
      <c r="DR142" s="584">
        <v>0</v>
      </c>
      <c r="DS142" s="584">
        <v>0</v>
      </c>
      <c r="DT142" s="584">
        <v>0</v>
      </c>
      <c r="DU142" s="584">
        <v>0</v>
      </c>
      <c r="DV142" s="584">
        <v>0</v>
      </c>
      <c r="DW142" s="584">
        <v>0</v>
      </c>
      <c r="DX142" s="584">
        <v>0</v>
      </c>
      <c r="DY142" s="584">
        <v>0</v>
      </c>
      <c r="DZ142" s="584">
        <v>0</v>
      </c>
      <c r="EA142" s="1062">
        <v>0</v>
      </c>
      <c r="EB142" s="1046">
        <v>0</v>
      </c>
      <c r="EC142" s="1093">
        <v>0</v>
      </c>
      <c r="ED142" s="1046">
        <v>0</v>
      </c>
      <c r="EE142" s="1046">
        <v>0</v>
      </c>
      <c r="EF142" s="1046">
        <v>0</v>
      </c>
      <c r="EG142" s="1046">
        <v>0</v>
      </c>
      <c r="EH142" s="1046">
        <v>0</v>
      </c>
      <c r="EI142" s="1046">
        <v>0</v>
      </c>
      <c r="EJ142" s="1046">
        <v>0</v>
      </c>
      <c r="EK142" s="1046">
        <v>0</v>
      </c>
      <c r="EL142" s="1046">
        <v>0</v>
      </c>
      <c r="EM142" s="1046">
        <v>0</v>
      </c>
      <c r="EN142" s="1046">
        <v>0</v>
      </c>
      <c r="EO142" s="1046">
        <v>0</v>
      </c>
      <c r="EP142" s="1094">
        <v>0</v>
      </c>
      <c r="EQ142" s="1094">
        <v>0</v>
      </c>
      <c r="ER142" s="1094">
        <v>0</v>
      </c>
      <c r="ES142" s="1095">
        <v>0</v>
      </c>
      <c r="ET142" s="1094">
        <v>0</v>
      </c>
      <c r="EU142" s="1094">
        <v>0</v>
      </c>
      <c r="EV142" s="1096">
        <v>0.82789999999999997</v>
      </c>
      <c r="EW142" s="1097">
        <v>0.15</v>
      </c>
      <c r="EX142" s="1096">
        <v>289.50050968399592</v>
      </c>
      <c r="EY142" s="1096">
        <v>1.5443934760448521</v>
      </c>
      <c r="EZ142" s="1096">
        <v>0</v>
      </c>
      <c r="FA142" s="1096">
        <v>39.118749999999999</v>
      </c>
      <c r="FB142" s="1098">
        <v>0</v>
      </c>
      <c r="FC142" s="1098">
        <v>0</v>
      </c>
      <c r="FD142" s="1098" t="s">
        <v>406</v>
      </c>
      <c r="FE142" s="1098" t="s">
        <v>396</v>
      </c>
      <c r="FF142" s="1098">
        <v>2</v>
      </c>
      <c r="FG142" s="1098">
        <v>0</v>
      </c>
      <c r="FH142" s="1098">
        <v>0</v>
      </c>
      <c r="FI142" s="1098">
        <v>0</v>
      </c>
      <c r="FJ142" s="1098">
        <v>0</v>
      </c>
      <c r="FK142" s="1096">
        <v>123.164974</v>
      </c>
      <c r="FL142" s="1096">
        <v>80</v>
      </c>
      <c r="FM142" s="1096">
        <v>246.329948</v>
      </c>
      <c r="FN142" s="1096">
        <v>160</v>
      </c>
      <c r="FO142" s="1096">
        <v>492.659896</v>
      </c>
      <c r="FP142" s="1099">
        <v>320</v>
      </c>
      <c r="FQ142" s="1064">
        <v>1.2</v>
      </c>
      <c r="FR142" s="1065">
        <v>0.15</v>
      </c>
      <c r="FS142" s="1066">
        <v>289.50050968399586</v>
      </c>
      <c r="FT142" s="1066">
        <v>3.1935353236673123</v>
      </c>
      <c r="FU142" s="1065"/>
      <c r="FV142" s="1066">
        <v>84.405126027257381</v>
      </c>
      <c r="FW142" s="1065"/>
      <c r="FX142" s="1065"/>
      <c r="FY142" s="1065" t="s">
        <v>389</v>
      </c>
      <c r="FZ142" s="1065" t="s">
        <v>408</v>
      </c>
      <c r="GA142" s="1065">
        <v>3</v>
      </c>
      <c r="GB142" s="1065"/>
      <c r="GC142" s="1065"/>
      <c r="GD142" s="1065"/>
      <c r="GE142" s="1065"/>
      <c r="GF142" s="1066">
        <v>134.37897177128229</v>
      </c>
      <c r="GG142" s="1066">
        <v>80</v>
      </c>
      <c r="GH142" s="1066">
        <v>268.75794354256459</v>
      </c>
      <c r="GI142" s="1066">
        <v>160</v>
      </c>
      <c r="GJ142" s="1066">
        <v>537.51588708512918</v>
      </c>
      <c r="GK142" s="1066">
        <v>320</v>
      </c>
      <c r="GL142" s="584">
        <v>1.1003000000000001</v>
      </c>
      <c r="GM142" s="584">
        <v>0.13</v>
      </c>
      <c r="GN142" s="584"/>
      <c r="GO142" s="584"/>
      <c r="GP142" s="584"/>
      <c r="GQ142" s="584">
        <v>61.262500000000003</v>
      </c>
      <c r="GR142" s="584"/>
      <c r="GS142" s="584">
        <v>66.2589194699286</v>
      </c>
      <c r="GT142" s="584" t="s">
        <v>414</v>
      </c>
      <c r="GU142" s="584" t="s">
        <v>351</v>
      </c>
      <c r="GV142" s="584">
        <v>1</v>
      </c>
      <c r="GW142" s="584"/>
      <c r="GX142" s="584"/>
      <c r="GY142" s="584"/>
      <c r="GZ142" s="584"/>
      <c r="HA142" s="584">
        <v>56.031523999999997</v>
      </c>
      <c r="HB142" s="584">
        <v>80</v>
      </c>
      <c r="HC142" s="584">
        <v>112.06304799999999</v>
      </c>
      <c r="HD142" s="584">
        <v>160</v>
      </c>
      <c r="HE142" s="584">
        <v>224.12609599999999</v>
      </c>
      <c r="HF142" s="584">
        <v>320</v>
      </c>
      <c r="HG142" s="1100">
        <v>1.35</v>
      </c>
      <c r="HH142" s="1100">
        <v>0.11</v>
      </c>
      <c r="HI142" s="1101">
        <v>0</v>
      </c>
      <c r="HJ142" s="1101">
        <v>0</v>
      </c>
      <c r="HK142" s="1101">
        <v>0</v>
      </c>
      <c r="HL142" s="1101">
        <v>0</v>
      </c>
      <c r="HM142" s="1101">
        <v>88.58250000000001</v>
      </c>
      <c r="HN142" s="1101">
        <v>54.999999999999993</v>
      </c>
      <c r="HO142" s="1101">
        <v>0</v>
      </c>
      <c r="HP142" s="1101">
        <v>0</v>
      </c>
      <c r="HQ142" s="1101">
        <v>3</v>
      </c>
      <c r="HR142" s="1101">
        <v>1.24</v>
      </c>
      <c r="HS142" s="1101">
        <v>1.24</v>
      </c>
      <c r="HT142" s="1101">
        <v>0.3</v>
      </c>
      <c r="HU142" s="1101">
        <v>0.28000000000000003</v>
      </c>
      <c r="HV142" s="1101">
        <v>61.073418400000001</v>
      </c>
      <c r="HW142" s="1101">
        <v>80</v>
      </c>
      <c r="HX142" s="1101">
        <v>122.1468368</v>
      </c>
      <c r="HY142" s="1101">
        <v>160</v>
      </c>
      <c r="HZ142" s="1101">
        <v>244.29367360000001</v>
      </c>
      <c r="IA142" s="1101">
        <v>320</v>
      </c>
      <c r="IB142" s="1062"/>
      <c r="IC142" s="1092"/>
      <c r="ID142" s="1050"/>
      <c r="IE142" s="1050"/>
      <c r="IF142" s="1103"/>
      <c r="IG142" s="1103"/>
      <c r="IH142" s="1103"/>
      <c r="II142" s="1103"/>
      <c r="IJ142" s="1103"/>
      <c r="IK142" s="1103"/>
      <c r="IL142" s="1103"/>
      <c r="IM142" s="1050"/>
      <c r="IN142" s="1050"/>
      <c r="IO142" s="1050"/>
      <c r="IP142" s="1050"/>
      <c r="IQ142" s="1103"/>
      <c r="IR142" s="1103"/>
      <c r="IS142" s="1103"/>
      <c r="IT142" s="1103"/>
      <c r="IU142" s="1103"/>
      <c r="IV142" s="1103"/>
      <c r="JS142" s="1092"/>
      <c r="JU142" s="1050"/>
      <c r="JV142" s="1103"/>
      <c r="JW142" s="1103"/>
      <c r="JX142" s="1103"/>
      <c r="JY142" s="1103"/>
      <c r="JZ142" s="1103"/>
      <c r="KA142" s="1103"/>
      <c r="KB142" s="1103"/>
      <c r="KC142" s="1050"/>
      <c r="KD142" s="1050"/>
      <c r="KE142" s="1050"/>
      <c r="KF142" s="1050"/>
      <c r="KG142" s="1103"/>
      <c r="KH142" s="1103"/>
      <c r="KI142" s="1103"/>
      <c r="KJ142" s="1103"/>
      <c r="KK142" s="1103"/>
      <c r="KL142" s="1103"/>
      <c r="KM142" s="1103"/>
      <c r="KN142" s="1103"/>
    </row>
    <row r="143" spans="2:300">
      <c r="B143" s="1048" t="str">
        <f t="shared" si="4"/>
        <v>R99</v>
      </c>
      <c r="C143" s="1046">
        <v>9</v>
      </c>
      <c r="D143" s="1046">
        <v>9</v>
      </c>
      <c r="E143" s="584">
        <v>0.28999999999999998</v>
      </c>
      <c r="F143" s="584">
        <v>0.28999999999999998</v>
      </c>
      <c r="G143" s="584">
        <v>696</v>
      </c>
      <c r="H143" s="584">
        <v>25.52</v>
      </c>
      <c r="I143" s="584">
        <v>0</v>
      </c>
      <c r="J143" s="584">
        <v>0</v>
      </c>
      <c r="K143" s="584">
        <v>0</v>
      </c>
      <c r="L143" s="584">
        <v>0</v>
      </c>
      <c r="M143" s="584">
        <v>0</v>
      </c>
      <c r="N143" s="584">
        <v>0</v>
      </c>
      <c r="O143" s="584">
        <v>0</v>
      </c>
      <c r="P143" s="584">
        <v>0</v>
      </c>
      <c r="Q143" s="584">
        <v>0</v>
      </c>
      <c r="R143" s="584">
        <v>0</v>
      </c>
      <c r="S143" s="584">
        <v>0</v>
      </c>
      <c r="T143" s="584">
        <v>271.77493750000002</v>
      </c>
      <c r="U143" s="584">
        <v>50.625</v>
      </c>
      <c r="V143" s="584">
        <v>449.44368750000001</v>
      </c>
      <c r="W143" s="584">
        <v>106.3125</v>
      </c>
      <c r="X143" s="584">
        <v>699.51599999999996</v>
      </c>
      <c r="Y143" s="584">
        <v>222.75</v>
      </c>
      <c r="Z143" s="584">
        <v>0.24</v>
      </c>
      <c r="AA143" s="584">
        <v>0.24</v>
      </c>
      <c r="AB143" s="584">
        <v>576</v>
      </c>
      <c r="AC143" s="584">
        <v>21</v>
      </c>
      <c r="AD143" s="584">
        <v>0</v>
      </c>
      <c r="AE143" s="584">
        <v>0</v>
      </c>
      <c r="AF143" s="584">
        <v>0</v>
      </c>
      <c r="AG143" s="584">
        <v>0</v>
      </c>
      <c r="AH143" s="584">
        <v>0</v>
      </c>
      <c r="AI143" s="584">
        <v>0</v>
      </c>
      <c r="AJ143" s="584">
        <v>0</v>
      </c>
      <c r="AK143" s="584">
        <v>0</v>
      </c>
      <c r="AL143" s="584">
        <v>0</v>
      </c>
      <c r="AM143" s="584">
        <v>0</v>
      </c>
      <c r="AN143" s="584">
        <v>0</v>
      </c>
      <c r="AO143" s="584">
        <v>244.16243750000001</v>
      </c>
      <c r="AP143" s="584">
        <v>50.625</v>
      </c>
      <c r="AQ143" s="584">
        <v>393.9249375</v>
      </c>
      <c r="AR143" s="584">
        <v>106.3125</v>
      </c>
      <c r="AS143" s="584">
        <v>588.14099999999996</v>
      </c>
      <c r="AT143" s="584">
        <v>222.75</v>
      </c>
      <c r="AU143" s="584">
        <v>0.55000000000000004</v>
      </c>
      <c r="AV143" s="584">
        <v>0.37</v>
      </c>
      <c r="AW143" s="584">
        <v>575.84900983814703</v>
      </c>
      <c r="AX143" s="584">
        <v>33.045537131069501</v>
      </c>
      <c r="AY143" s="584">
        <v>0</v>
      </c>
      <c r="AZ143" s="584">
        <v>0</v>
      </c>
      <c r="BA143" s="584">
        <v>0</v>
      </c>
      <c r="BB143" s="584">
        <v>0</v>
      </c>
      <c r="BC143" s="584">
        <v>0</v>
      </c>
      <c r="BD143" s="584">
        <v>0</v>
      </c>
      <c r="BE143" s="584">
        <v>0</v>
      </c>
      <c r="BF143" s="584">
        <v>0</v>
      </c>
      <c r="BG143" s="584">
        <v>0.55000000000000004</v>
      </c>
      <c r="BH143" s="584">
        <v>0</v>
      </c>
      <c r="BI143" s="584">
        <v>0.6</v>
      </c>
      <c r="BJ143" s="584">
        <v>249.28109307660301</v>
      </c>
      <c r="BK143" s="584">
        <v>50.625</v>
      </c>
      <c r="BL143" s="584">
        <v>390.10954352636099</v>
      </c>
      <c r="BM143" s="584">
        <v>106.3125</v>
      </c>
      <c r="BN143" s="584">
        <v>576.34743807719803</v>
      </c>
      <c r="BO143" s="584">
        <v>222.75</v>
      </c>
      <c r="BP143" s="584">
        <v>0.57499999999999996</v>
      </c>
      <c r="BQ143" s="584">
        <v>0.19500000000000001</v>
      </c>
      <c r="BR143" s="584">
        <v>540.93256109171705</v>
      </c>
      <c r="BS143" s="584">
        <v>19.546031815296701</v>
      </c>
      <c r="BT143" s="584">
        <v>0</v>
      </c>
      <c r="BU143" s="584">
        <v>0</v>
      </c>
      <c r="BV143" s="584">
        <v>0</v>
      </c>
      <c r="BW143" s="584">
        <v>0</v>
      </c>
      <c r="BX143" s="584">
        <v>0</v>
      </c>
      <c r="BY143" s="584">
        <v>0</v>
      </c>
      <c r="BZ143" s="584">
        <v>0</v>
      </c>
      <c r="CA143" s="584">
        <v>0.57499999999999996</v>
      </c>
      <c r="CB143" s="584">
        <v>0.57499999999999996</v>
      </c>
      <c r="CC143" s="584">
        <v>0.3</v>
      </c>
      <c r="CD143" s="584">
        <v>0.3</v>
      </c>
      <c r="CE143" s="584">
        <v>242.90885</v>
      </c>
      <c r="CF143" s="584">
        <v>50.625</v>
      </c>
      <c r="CG143" s="584">
        <v>379.95322499999997</v>
      </c>
      <c r="CH143" s="584">
        <v>106.3125</v>
      </c>
      <c r="CI143" s="584">
        <v>537.42510000000004</v>
      </c>
      <c r="CJ143" s="584">
        <v>222.75</v>
      </c>
      <c r="CK143" s="584">
        <v>0.6</v>
      </c>
      <c r="CL143" s="584">
        <v>0.28000000000000003</v>
      </c>
      <c r="CM143" s="584">
        <v>714.92066010790199</v>
      </c>
      <c r="CN143" s="584">
        <v>24.2943192637258</v>
      </c>
      <c r="CO143" s="584">
        <v>0</v>
      </c>
      <c r="CP143" s="584">
        <v>0</v>
      </c>
      <c r="CQ143" s="584">
        <v>0</v>
      </c>
      <c r="CR143" s="584">
        <v>0</v>
      </c>
      <c r="CS143" s="584">
        <v>0</v>
      </c>
      <c r="CT143" s="584">
        <v>0</v>
      </c>
      <c r="CU143" s="584">
        <v>0</v>
      </c>
      <c r="CV143" s="584">
        <v>0</v>
      </c>
      <c r="CW143" s="584">
        <v>0.6</v>
      </c>
      <c r="CX143" s="584">
        <v>0</v>
      </c>
      <c r="CY143" s="584">
        <v>0.45</v>
      </c>
      <c r="CZ143" s="584">
        <v>285.94589999999999</v>
      </c>
      <c r="DA143" s="584">
        <v>50.625</v>
      </c>
      <c r="DB143" s="584">
        <v>458.03339999999997</v>
      </c>
      <c r="DC143" s="584">
        <v>106.3125</v>
      </c>
      <c r="DD143" s="584">
        <v>708.86339999999996</v>
      </c>
      <c r="DE143" s="584">
        <v>222.75</v>
      </c>
      <c r="DF143" s="584">
        <v>0.35</v>
      </c>
      <c r="DG143" s="584">
        <v>0.2</v>
      </c>
      <c r="DH143" s="584">
        <v>279.99385115836202</v>
      </c>
      <c r="DI143" s="584">
        <v>14.637086480482401</v>
      </c>
      <c r="DJ143" s="584">
        <v>300</v>
      </c>
      <c r="DK143" s="584">
        <v>0</v>
      </c>
      <c r="DL143" s="584">
        <v>0</v>
      </c>
      <c r="DM143" s="584">
        <v>0</v>
      </c>
      <c r="DN143" s="584">
        <v>0</v>
      </c>
      <c r="DO143" s="584">
        <v>0</v>
      </c>
      <c r="DP143" s="584">
        <v>0</v>
      </c>
      <c r="DQ143" s="584">
        <v>0</v>
      </c>
      <c r="DR143" s="584">
        <v>0.35</v>
      </c>
      <c r="DS143" s="584">
        <v>0</v>
      </c>
      <c r="DT143" s="584">
        <v>2.4</v>
      </c>
      <c r="DU143" s="584">
        <v>226.03912500000001</v>
      </c>
      <c r="DV143" s="584">
        <v>50.625</v>
      </c>
      <c r="DW143" s="584">
        <v>407.96100000000001</v>
      </c>
      <c r="DX143" s="584">
        <v>106.3125</v>
      </c>
      <c r="DY143" s="584">
        <v>539.17650000000003</v>
      </c>
      <c r="DZ143" s="584">
        <v>222.75</v>
      </c>
      <c r="EA143" s="1062">
        <v>0.81029999999999991</v>
      </c>
      <c r="EB143" s="1046">
        <v>0.25</v>
      </c>
      <c r="EC143" s="1093">
        <v>132.51783893985731</v>
      </c>
      <c r="ED143" s="1046">
        <v>0</v>
      </c>
      <c r="EE143" s="1046">
        <v>346.58511722731902</v>
      </c>
      <c r="EF143" s="1046">
        <v>30.644444444444442</v>
      </c>
      <c r="EG143" s="1046">
        <v>0</v>
      </c>
      <c r="EH143" s="1046">
        <v>0</v>
      </c>
      <c r="EI143" s="1046" t="s">
        <v>420</v>
      </c>
      <c r="EJ143" s="1046" t="s">
        <v>477</v>
      </c>
      <c r="EK143" s="1046">
        <v>0</v>
      </c>
      <c r="EL143" s="1046">
        <v>0</v>
      </c>
      <c r="EM143" s="1046">
        <v>0</v>
      </c>
      <c r="EN143" s="1046">
        <v>0</v>
      </c>
      <c r="EO143" s="1046">
        <v>0</v>
      </c>
      <c r="EP143" s="1094">
        <v>111.3875955</v>
      </c>
      <c r="EQ143" s="1094">
        <v>50.625</v>
      </c>
      <c r="ER143" s="1094">
        <v>222.77519100000001</v>
      </c>
      <c r="ES143" s="1095">
        <v>101.25</v>
      </c>
      <c r="ET143" s="1094">
        <v>445.55038200000001</v>
      </c>
      <c r="EU143" s="1094">
        <v>202.5</v>
      </c>
      <c r="EV143" s="1096">
        <v>0.68670000000000009</v>
      </c>
      <c r="EW143" s="1097">
        <v>0.15</v>
      </c>
      <c r="EX143" s="1096">
        <v>289.50050968399592</v>
      </c>
      <c r="EY143" s="1096">
        <v>1.5443934760448521</v>
      </c>
      <c r="EZ143" s="1096">
        <v>0</v>
      </c>
      <c r="FA143" s="1096">
        <v>23.888888888888889</v>
      </c>
      <c r="FB143" s="1098">
        <v>0</v>
      </c>
      <c r="FC143" s="1098">
        <v>0</v>
      </c>
      <c r="FD143" s="1098" t="s">
        <v>429</v>
      </c>
      <c r="FE143" s="1098" t="s">
        <v>477</v>
      </c>
      <c r="FF143" s="1098">
        <v>2</v>
      </c>
      <c r="FG143" s="1098">
        <v>0</v>
      </c>
      <c r="FH143" s="1098">
        <v>0</v>
      </c>
      <c r="FI143" s="1098">
        <v>0</v>
      </c>
      <c r="FJ143" s="1098">
        <v>0</v>
      </c>
      <c r="FK143" s="1096">
        <v>74.914885125000012</v>
      </c>
      <c r="FL143" s="1096">
        <v>50.625</v>
      </c>
      <c r="FM143" s="1096">
        <v>149.82977025000002</v>
      </c>
      <c r="FN143" s="1096">
        <v>101.25</v>
      </c>
      <c r="FO143" s="1096">
        <v>299.65954050000005</v>
      </c>
      <c r="FP143" s="1099">
        <v>202.5</v>
      </c>
      <c r="FQ143" s="1064">
        <v>0.78979999999999995</v>
      </c>
      <c r="FR143" s="1065">
        <v>0.15</v>
      </c>
      <c r="FS143" s="1066">
        <v>289.50050968399586</v>
      </c>
      <c r="FT143" s="1066">
        <v>3.2237153637237084</v>
      </c>
      <c r="FU143" s="1065"/>
      <c r="FV143" s="1066">
        <v>36.692992680815536</v>
      </c>
      <c r="FW143" s="1065"/>
      <c r="FX143" s="1065"/>
      <c r="FY143" s="1065" t="s">
        <v>450</v>
      </c>
      <c r="FZ143" s="1065" t="s">
        <v>490</v>
      </c>
      <c r="GA143" s="1065">
        <v>2</v>
      </c>
      <c r="GB143" s="1065"/>
      <c r="GC143" s="1065"/>
      <c r="GD143" s="1065"/>
      <c r="GE143" s="1065"/>
      <c r="GF143" s="1066">
        <v>75.564553844817823</v>
      </c>
      <c r="GG143" s="1066">
        <v>50.625</v>
      </c>
      <c r="GH143" s="1066">
        <v>151.12910768963565</v>
      </c>
      <c r="GI143" s="1066">
        <v>101.25</v>
      </c>
      <c r="GJ143" s="1066">
        <v>302.25821537927129</v>
      </c>
      <c r="GK143" s="1066">
        <v>202.5</v>
      </c>
      <c r="GL143" s="584">
        <v>0.753</v>
      </c>
      <c r="GM143" s="584">
        <v>0.15</v>
      </c>
      <c r="GN143" s="584"/>
      <c r="GO143" s="584"/>
      <c r="GP143" s="584"/>
      <c r="GQ143" s="584">
        <v>26.844444444444399</v>
      </c>
      <c r="GR143" s="584"/>
      <c r="GS143" s="584">
        <v>76.452599388379198</v>
      </c>
      <c r="GT143" s="584" t="s">
        <v>414</v>
      </c>
      <c r="GU143" s="584" t="s">
        <v>436</v>
      </c>
      <c r="GV143" s="584">
        <v>1</v>
      </c>
      <c r="GW143" s="584"/>
      <c r="GX143" s="584"/>
      <c r="GY143" s="584"/>
      <c r="GZ143" s="584"/>
      <c r="HA143" s="584">
        <v>30.645216000000001</v>
      </c>
      <c r="HB143" s="584">
        <v>50.625</v>
      </c>
      <c r="HC143" s="584">
        <v>61.290432000000003</v>
      </c>
      <c r="HD143" s="584">
        <v>101.25</v>
      </c>
      <c r="HE143" s="584">
        <v>122.58086400000001</v>
      </c>
      <c r="HF143" s="584">
        <v>202.5</v>
      </c>
      <c r="HG143" s="1100">
        <v>1.07</v>
      </c>
      <c r="HH143" s="1100">
        <v>0.11</v>
      </c>
      <c r="HI143" s="1101">
        <v>0</v>
      </c>
      <c r="HJ143" s="1101">
        <v>0</v>
      </c>
      <c r="HK143" s="1101">
        <v>0</v>
      </c>
      <c r="HL143" s="1101">
        <v>0</v>
      </c>
      <c r="HM143" s="1101">
        <v>38.4</v>
      </c>
      <c r="HN143" s="1101">
        <v>54.999999999999993</v>
      </c>
      <c r="HO143" s="1101">
        <v>0</v>
      </c>
      <c r="HP143" s="1101">
        <v>0</v>
      </c>
      <c r="HQ143" s="1101">
        <v>2</v>
      </c>
      <c r="HR143" s="1101">
        <v>0.96</v>
      </c>
      <c r="HS143" s="1101">
        <v>0.64</v>
      </c>
      <c r="HT143" s="1101">
        <v>0.28000000000000003</v>
      </c>
      <c r="HU143" s="1101">
        <v>0.26</v>
      </c>
      <c r="HV143" s="1101">
        <v>28.679143499999999</v>
      </c>
      <c r="HW143" s="1101">
        <v>50.625</v>
      </c>
      <c r="HX143" s="1101">
        <v>57.358286999999997</v>
      </c>
      <c r="HY143" s="1101">
        <v>101.25</v>
      </c>
      <c r="HZ143" s="1101">
        <v>114.71657399999999</v>
      </c>
      <c r="IA143" s="1101">
        <v>202.5</v>
      </c>
      <c r="IB143" s="1062"/>
      <c r="ID143" s="1050"/>
      <c r="IE143" s="1050"/>
      <c r="IF143" s="1103"/>
      <c r="IG143" s="1103"/>
      <c r="IH143" s="1103"/>
      <c r="II143" s="1103"/>
      <c r="IJ143" s="1103"/>
      <c r="IK143" s="1103"/>
      <c r="IL143" s="1103"/>
      <c r="IM143" s="1050"/>
      <c r="IN143" s="1050"/>
      <c r="IO143" s="1050"/>
      <c r="IP143" s="1050"/>
      <c r="IQ143" s="1103"/>
      <c r="IR143" s="1103"/>
      <c r="IS143" s="1103"/>
      <c r="IT143" s="1103"/>
      <c r="IU143" s="1103"/>
      <c r="IV143" s="1103"/>
      <c r="JU143" s="1050"/>
      <c r="JV143" s="1103"/>
      <c r="JW143" s="1103"/>
      <c r="JX143" s="1103"/>
      <c r="JY143" s="1103"/>
      <c r="JZ143" s="1103"/>
      <c r="KA143" s="1103"/>
      <c r="KB143" s="1103"/>
      <c r="KC143" s="1050"/>
      <c r="KD143" s="1050"/>
      <c r="KE143" s="1050"/>
      <c r="KF143" s="1050"/>
      <c r="KG143" s="1103"/>
      <c r="KH143" s="1103"/>
      <c r="KI143" s="1103"/>
      <c r="KJ143" s="1103"/>
      <c r="KK143" s="1103"/>
      <c r="KL143" s="1103"/>
      <c r="KM143" s="1103"/>
      <c r="KN143" s="1103"/>
    </row>
    <row r="144" spans="2:300">
      <c r="B144" s="1048" t="str">
        <f t="shared" si="4"/>
        <v>R910</v>
      </c>
      <c r="C144" s="1046">
        <v>9</v>
      </c>
      <c r="D144" s="1092">
        <v>10</v>
      </c>
      <c r="E144" s="584">
        <v>0.34499999999999997</v>
      </c>
      <c r="F144" s="584">
        <v>0.34499999999999997</v>
      </c>
      <c r="G144" s="584">
        <v>828</v>
      </c>
      <c r="H144" s="584">
        <v>25.53</v>
      </c>
      <c r="I144" s="584">
        <v>0</v>
      </c>
      <c r="J144" s="584">
        <v>0</v>
      </c>
      <c r="K144" s="584">
        <v>0</v>
      </c>
      <c r="L144" s="584">
        <v>0</v>
      </c>
      <c r="M144" s="584">
        <v>0</v>
      </c>
      <c r="N144" s="584">
        <v>0</v>
      </c>
      <c r="O144" s="584">
        <v>0</v>
      </c>
      <c r="P144" s="584">
        <v>0</v>
      </c>
      <c r="Q144" s="584">
        <v>0</v>
      </c>
      <c r="R144" s="584">
        <v>0</v>
      </c>
      <c r="S144" s="584">
        <v>0</v>
      </c>
      <c r="T144" s="584">
        <v>328.89243750000003</v>
      </c>
      <c r="U144" s="584">
        <v>56.25</v>
      </c>
      <c r="V144" s="584">
        <v>566.67618749999997</v>
      </c>
      <c r="W144" s="584">
        <v>118.125</v>
      </c>
      <c r="X144" s="584">
        <v>912.36599999999999</v>
      </c>
      <c r="Y144" s="584">
        <v>247.5</v>
      </c>
      <c r="Z144" s="584">
        <v>0.27500000000000002</v>
      </c>
      <c r="AA144" s="584">
        <v>0.27500000000000002</v>
      </c>
      <c r="AB144" s="584">
        <v>660</v>
      </c>
      <c r="AC144" s="584">
        <v>21</v>
      </c>
      <c r="AD144" s="584">
        <v>0</v>
      </c>
      <c r="AE144" s="584">
        <v>0</v>
      </c>
      <c r="AF144" s="584">
        <v>0</v>
      </c>
      <c r="AG144" s="584">
        <v>0</v>
      </c>
      <c r="AH144" s="584">
        <v>0</v>
      </c>
      <c r="AI144" s="584">
        <v>0</v>
      </c>
      <c r="AJ144" s="584">
        <v>0</v>
      </c>
      <c r="AK144" s="584">
        <v>0</v>
      </c>
      <c r="AL144" s="584">
        <v>0</v>
      </c>
      <c r="AM144" s="584">
        <v>0</v>
      </c>
      <c r="AN144" s="584">
        <v>0</v>
      </c>
      <c r="AO144" s="584">
        <v>286.12243749999999</v>
      </c>
      <c r="AP144" s="584">
        <v>56.25</v>
      </c>
      <c r="AQ144" s="584">
        <v>480.31368750000001</v>
      </c>
      <c r="AR144" s="584">
        <v>118.125</v>
      </c>
      <c r="AS144" s="584">
        <v>739.11599999999999</v>
      </c>
      <c r="AT144" s="584">
        <v>247.5</v>
      </c>
      <c r="AU144" s="584">
        <v>0.7</v>
      </c>
      <c r="AV144" s="584">
        <v>0.37</v>
      </c>
      <c r="AW144" s="584">
        <v>591.97823314727395</v>
      </c>
      <c r="AX144" s="584">
        <v>32.1594353799914</v>
      </c>
      <c r="AY144" s="584">
        <v>0</v>
      </c>
      <c r="AZ144" s="584">
        <v>0</v>
      </c>
      <c r="BA144" s="584">
        <v>0</v>
      </c>
      <c r="BB144" s="584">
        <v>0</v>
      </c>
      <c r="BC144" s="584">
        <v>0</v>
      </c>
      <c r="BD144" s="584">
        <v>0</v>
      </c>
      <c r="BE144" s="584">
        <v>0</v>
      </c>
      <c r="BF144" s="584">
        <v>0</v>
      </c>
      <c r="BG144" s="584">
        <v>0.7</v>
      </c>
      <c r="BH144" s="584">
        <v>0</v>
      </c>
      <c r="BI144" s="584">
        <v>0.45</v>
      </c>
      <c r="BJ144" s="584">
        <v>278.29817835175999</v>
      </c>
      <c r="BK144" s="584">
        <v>56.25</v>
      </c>
      <c r="BL144" s="584">
        <v>443.76091686413201</v>
      </c>
      <c r="BM144" s="584">
        <v>118.125</v>
      </c>
      <c r="BN144" s="584">
        <v>657.46272957546103</v>
      </c>
      <c r="BO144" s="584">
        <v>247.5</v>
      </c>
      <c r="BP144" s="584">
        <v>0.7</v>
      </c>
      <c r="BQ144" s="584">
        <v>0.20499999999999999</v>
      </c>
      <c r="BR144" s="584">
        <v>571.76084156290199</v>
      </c>
      <c r="BS144" s="584">
        <v>23.093043151567201</v>
      </c>
      <c r="BT144" s="584">
        <v>0</v>
      </c>
      <c r="BU144" s="584">
        <v>0</v>
      </c>
      <c r="BV144" s="584">
        <v>0</v>
      </c>
      <c r="BW144" s="584">
        <v>0</v>
      </c>
      <c r="BX144" s="584">
        <v>0</v>
      </c>
      <c r="BY144" s="584">
        <v>0</v>
      </c>
      <c r="BZ144" s="584">
        <v>0</v>
      </c>
      <c r="CA144" s="584">
        <v>0.57499999999999996</v>
      </c>
      <c r="CB144" s="584">
        <v>0.7</v>
      </c>
      <c r="CC144" s="584">
        <v>0.3</v>
      </c>
      <c r="CD144" s="584">
        <v>0.3</v>
      </c>
      <c r="CE144" s="584">
        <v>270.6644</v>
      </c>
      <c r="CF144" s="584">
        <v>56.25</v>
      </c>
      <c r="CG144" s="584">
        <v>437.97502500000002</v>
      </c>
      <c r="CH144" s="584">
        <v>118.125</v>
      </c>
      <c r="CI144" s="584">
        <v>625.64940000000001</v>
      </c>
      <c r="CJ144" s="584">
        <v>247.5</v>
      </c>
      <c r="CK144" s="584">
        <v>0.72499999999999998</v>
      </c>
      <c r="CL144" s="584">
        <v>0.28000000000000003</v>
      </c>
      <c r="CM144" s="584">
        <v>729.40317732932601</v>
      </c>
      <c r="CN144" s="584">
        <v>24.482438814942</v>
      </c>
      <c r="CO144" s="584">
        <v>0</v>
      </c>
      <c r="CP144" s="584">
        <v>0</v>
      </c>
      <c r="CQ144" s="584">
        <v>0</v>
      </c>
      <c r="CR144" s="584">
        <v>0</v>
      </c>
      <c r="CS144" s="584">
        <v>0</v>
      </c>
      <c r="CT144" s="584">
        <v>0</v>
      </c>
      <c r="CU144" s="584">
        <v>0</v>
      </c>
      <c r="CV144" s="584">
        <v>0</v>
      </c>
      <c r="CW144" s="584">
        <v>0.72499999999999998</v>
      </c>
      <c r="CX144" s="584">
        <v>0</v>
      </c>
      <c r="CY144" s="584">
        <v>0.45</v>
      </c>
      <c r="CZ144" s="584">
        <v>316.61090000000002</v>
      </c>
      <c r="DA144" s="584">
        <v>56.25</v>
      </c>
      <c r="DB144" s="584">
        <v>515.20965000000001</v>
      </c>
      <c r="DC144" s="584">
        <v>118.125</v>
      </c>
      <c r="DD144" s="584">
        <v>800.47215000000006</v>
      </c>
      <c r="DE144" s="584">
        <v>247.5</v>
      </c>
      <c r="DF144" s="584">
        <v>0.42499999999999999</v>
      </c>
      <c r="DG144" s="584">
        <v>0.2</v>
      </c>
      <c r="DH144" s="584">
        <v>316.37022327179</v>
      </c>
      <c r="DI144" s="584">
        <v>15.37771060541</v>
      </c>
      <c r="DJ144" s="584">
        <v>300</v>
      </c>
      <c r="DK144" s="584">
        <v>0</v>
      </c>
      <c r="DL144" s="584">
        <v>0</v>
      </c>
      <c r="DM144" s="584">
        <v>0</v>
      </c>
      <c r="DN144" s="584">
        <v>0</v>
      </c>
      <c r="DO144" s="584">
        <v>0</v>
      </c>
      <c r="DP144" s="584">
        <v>0</v>
      </c>
      <c r="DQ144" s="584">
        <v>0</v>
      </c>
      <c r="DR144" s="584">
        <v>0.42499999999999999</v>
      </c>
      <c r="DS144" s="584">
        <v>0</v>
      </c>
      <c r="DT144" s="584">
        <v>2.4</v>
      </c>
      <c r="DU144" s="584">
        <v>248.04162500000001</v>
      </c>
      <c r="DV144" s="584">
        <v>56.25</v>
      </c>
      <c r="DW144" s="584">
        <v>460.30725000000001</v>
      </c>
      <c r="DX144" s="584">
        <v>118.125</v>
      </c>
      <c r="DY144" s="584">
        <v>642.94425000000001</v>
      </c>
      <c r="DZ144" s="584">
        <v>247.5</v>
      </c>
      <c r="EA144" s="1062">
        <v>0.87709999999999999</v>
      </c>
      <c r="EB144" s="1046">
        <v>0.3</v>
      </c>
      <c r="EC144" s="1093">
        <v>132.51783893985731</v>
      </c>
      <c r="ED144" s="1046">
        <v>0</v>
      </c>
      <c r="EE144" s="1046">
        <v>397.55351681957183</v>
      </c>
      <c r="EF144" s="1046">
        <v>35.574444444444445</v>
      </c>
      <c r="EG144" s="1046">
        <v>0</v>
      </c>
      <c r="EH144" s="1046">
        <v>0</v>
      </c>
      <c r="EI144" s="1046" t="s">
        <v>418</v>
      </c>
      <c r="EJ144" s="1046" t="s">
        <v>465</v>
      </c>
      <c r="EK144" s="1046">
        <v>0</v>
      </c>
      <c r="EL144" s="1046">
        <v>0</v>
      </c>
      <c r="EM144" s="1046">
        <v>0</v>
      </c>
      <c r="EN144" s="1046">
        <v>0</v>
      </c>
      <c r="EO144" s="1046">
        <v>0</v>
      </c>
      <c r="EP144" s="1094">
        <v>136.10216924999997</v>
      </c>
      <c r="EQ144" s="1094">
        <v>56.25</v>
      </c>
      <c r="ER144" s="1094">
        <v>272.20433849999995</v>
      </c>
      <c r="ES144" s="1095">
        <v>112.5</v>
      </c>
      <c r="ET144" s="1094">
        <v>544.4086769999999</v>
      </c>
      <c r="EU144" s="1094">
        <v>225</v>
      </c>
      <c r="EV144" s="1096">
        <v>0.6895</v>
      </c>
      <c r="EW144" s="1097">
        <v>0.15</v>
      </c>
      <c r="EX144" s="1096">
        <v>289.50050968399592</v>
      </c>
      <c r="EY144" s="1096">
        <v>1.5443934760448521</v>
      </c>
      <c r="EZ144" s="1096">
        <v>0</v>
      </c>
      <c r="FA144" s="1096">
        <v>22.922222222222221</v>
      </c>
      <c r="FB144" s="1098">
        <v>0</v>
      </c>
      <c r="FC144" s="1098">
        <v>0</v>
      </c>
      <c r="FD144" s="1098" t="s">
        <v>428</v>
      </c>
      <c r="FE144" s="1098" t="s">
        <v>468</v>
      </c>
      <c r="FF144" s="1098">
        <v>2</v>
      </c>
      <c r="FG144" s="1098">
        <v>0</v>
      </c>
      <c r="FH144" s="1098">
        <v>0</v>
      </c>
      <c r="FI144" s="1098">
        <v>0</v>
      </c>
      <c r="FJ144" s="1098">
        <v>0</v>
      </c>
      <c r="FK144" s="1096">
        <v>83.025393749999992</v>
      </c>
      <c r="FL144" s="1096">
        <v>56.25</v>
      </c>
      <c r="FM144" s="1096">
        <v>166.05078749999998</v>
      </c>
      <c r="FN144" s="1096">
        <v>112.5</v>
      </c>
      <c r="FO144" s="1096">
        <v>332.10157499999997</v>
      </c>
      <c r="FP144" s="1099">
        <v>225</v>
      </c>
      <c r="FQ144" s="1064">
        <v>0.98803999999999992</v>
      </c>
      <c r="FR144" s="1065">
        <v>0.15</v>
      </c>
      <c r="FS144" s="1066">
        <v>289.50050968399586</v>
      </c>
      <c r="FT144" s="1066">
        <v>3.2237153637237084</v>
      </c>
      <c r="FU144" s="1065"/>
      <c r="FV144" s="1066">
        <v>40.242093717317601</v>
      </c>
      <c r="FW144" s="1065"/>
      <c r="FX144" s="1065"/>
      <c r="FY144" s="1065" t="s">
        <v>416</v>
      </c>
      <c r="FZ144" s="1065" t="s">
        <v>479</v>
      </c>
      <c r="GA144" s="1065">
        <v>2</v>
      </c>
      <c r="GB144" s="1065"/>
      <c r="GC144" s="1065"/>
      <c r="GD144" s="1065"/>
      <c r="GE144" s="1065"/>
      <c r="GF144" s="1066">
        <v>84.743990709412856</v>
      </c>
      <c r="GG144" s="1066">
        <v>56.25</v>
      </c>
      <c r="GH144" s="1066">
        <v>169.48798141882571</v>
      </c>
      <c r="GI144" s="1066">
        <v>112.5</v>
      </c>
      <c r="GJ144" s="1066">
        <v>338.97596283765142</v>
      </c>
      <c r="GK144" s="1066">
        <v>225</v>
      </c>
      <c r="GL144" s="584">
        <v>0.753</v>
      </c>
      <c r="GM144" s="584">
        <v>0.15</v>
      </c>
      <c r="GN144" s="584"/>
      <c r="GO144" s="584"/>
      <c r="GP144" s="584"/>
      <c r="GQ144" s="584">
        <v>29.7088888888889</v>
      </c>
      <c r="GR144" s="584"/>
      <c r="GS144" s="584">
        <v>76.452599388379198</v>
      </c>
      <c r="GT144" s="584" t="s">
        <v>414</v>
      </c>
      <c r="GU144" s="584" t="s">
        <v>414</v>
      </c>
      <c r="GV144" s="584">
        <v>1</v>
      </c>
      <c r="GW144" s="584"/>
      <c r="GX144" s="584"/>
      <c r="GY144" s="584"/>
      <c r="GZ144" s="584"/>
      <c r="HA144" s="584">
        <v>34.682494499999997</v>
      </c>
      <c r="HB144" s="584">
        <v>56.25</v>
      </c>
      <c r="HC144" s="584">
        <v>69.364988999999994</v>
      </c>
      <c r="HD144" s="584">
        <v>112.5</v>
      </c>
      <c r="HE144" s="584">
        <v>138.72997799999999</v>
      </c>
      <c r="HF144" s="584">
        <v>225</v>
      </c>
      <c r="HG144" s="1100">
        <v>1.1100000000000001</v>
      </c>
      <c r="HH144" s="1100">
        <v>0.11</v>
      </c>
      <c r="HI144" s="1101">
        <v>0</v>
      </c>
      <c r="HJ144" s="1101">
        <v>0</v>
      </c>
      <c r="HK144" s="1101">
        <v>0</v>
      </c>
      <c r="HL144" s="1101">
        <v>0</v>
      </c>
      <c r="HM144" s="1101">
        <v>45</v>
      </c>
      <c r="HN144" s="1101">
        <v>54.999999999999993</v>
      </c>
      <c r="HO144" s="1101">
        <v>0</v>
      </c>
      <c r="HP144" s="1101">
        <v>0</v>
      </c>
      <c r="HQ144" s="1101">
        <v>2</v>
      </c>
      <c r="HR144" s="1101">
        <v>1</v>
      </c>
      <c r="HS144" s="1101">
        <v>0.72</v>
      </c>
      <c r="HT144" s="1101">
        <v>0.28000000000000003</v>
      </c>
      <c r="HU144" s="1101">
        <v>0.3</v>
      </c>
      <c r="HV144" s="1101">
        <v>33.322499999999998</v>
      </c>
      <c r="HW144" s="1101">
        <v>56.25</v>
      </c>
      <c r="HX144" s="1101">
        <v>66.644999999999996</v>
      </c>
      <c r="HY144" s="1101">
        <v>112.5</v>
      </c>
      <c r="HZ144" s="1101">
        <v>133.29</v>
      </c>
      <c r="IA144" s="1101">
        <v>225</v>
      </c>
      <c r="IB144" s="1062"/>
      <c r="IC144" s="1092"/>
      <c r="ID144" s="1050"/>
      <c r="IE144" s="1050"/>
      <c r="IF144" s="1103"/>
      <c r="IG144" s="1103"/>
      <c r="IH144" s="1103"/>
      <c r="II144" s="1103"/>
      <c r="IJ144" s="1103"/>
      <c r="IK144" s="1103"/>
      <c r="IL144" s="1103"/>
      <c r="IM144" s="1050"/>
      <c r="IN144" s="1050"/>
      <c r="IO144" s="1050"/>
      <c r="IP144" s="1050"/>
      <c r="IQ144" s="1103"/>
      <c r="IR144" s="1103"/>
      <c r="IS144" s="1103"/>
      <c r="IT144" s="1103"/>
      <c r="IU144" s="1103"/>
      <c r="IV144" s="1103"/>
      <c r="JS144" s="1092"/>
      <c r="JU144" s="1050"/>
      <c r="JV144" s="1103"/>
      <c r="JW144" s="1103"/>
      <c r="JX144" s="1103"/>
      <c r="JY144" s="1103"/>
      <c r="JZ144" s="1103"/>
      <c r="KA144" s="1103"/>
      <c r="KB144" s="1103"/>
      <c r="KC144" s="1050"/>
      <c r="KD144" s="1050"/>
      <c r="KE144" s="1050"/>
      <c r="KF144" s="1050"/>
      <c r="KG144" s="1103"/>
      <c r="KH144" s="1103"/>
      <c r="KI144" s="1103"/>
      <c r="KJ144" s="1103"/>
      <c r="KK144" s="1103"/>
      <c r="KL144" s="1103"/>
      <c r="KM144" s="1103"/>
      <c r="KN144" s="1103"/>
    </row>
    <row r="145" spans="2:300">
      <c r="B145" s="1048" t="str">
        <f t="shared" si="4"/>
        <v>R911</v>
      </c>
      <c r="C145" s="1046">
        <v>9</v>
      </c>
      <c r="D145" s="1092">
        <v>11</v>
      </c>
      <c r="E145" s="584">
        <v>0.39</v>
      </c>
      <c r="F145" s="584">
        <v>0.39</v>
      </c>
      <c r="G145" s="584">
        <v>936</v>
      </c>
      <c r="H145" s="584">
        <v>27.3</v>
      </c>
      <c r="I145" s="584">
        <v>0</v>
      </c>
      <c r="J145" s="584">
        <v>0</v>
      </c>
      <c r="K145" s="584">
        <v>0</v>
      </c>
      <c r="L145" s="584">
        <v>0</v>
      </c>
      <c r="M145" s="584">
        <v>0</v>
      </c>
      <c r="N145" s="584">
        <v>0</v>
      </c>
      <c r="O145" s="584">
        <v>0</v>
      </c>
      <c r="P145" s="584">
        <v>0</v>
      </c>
      <c r="Q145" s="584">
        <v>0</v>
      </c>
      <c r="R145" s="584">
        <v>0</v>
      </c>
      <c r="S145" s="584">
        <v>0</v>
      </c>
      <c r="T145" s="584">
        <v>385.77493750000002</v>
      </c>
      <c r="U145" s="584">
        <v>61.875</v>
      </c>
      <c r="V145" s="584">
        <v>683.90868750000004</v>
      </c>
      <c r="W145" s="584">
        <v>129.9375</v>
      </c>
      <c r="X145" s="584">
        <v>1125.2159999999999</v>
      </c>
      <c r="Y145" s="584">
        <v>272.25</v>
      </c>
      <c r="Z145" s="584">
        <v>0.31</v>
      </c>
      <c r="AA145" s="584">
        <v>0.31</v>
      </c>
      <c r="AB145" s="584">
        <v>744</v>
      </c>
      <c r="AC145" s="584">
        <v>23</v>
      </c>
      <c r="AD145" s="584">
        <v>0</v>
      </c>
      <c r="AE145" s="584">
        <v>0</v>
      </c>
      <c r="AF145" s="584">
        <v>0</v>
      </c>
      <c r="AG145" s="584">
        <v>0</v>
      </c>
      <c r="AH145" s="584">
        <v>0</v>
      </c>
      <c r="AI145" s="584">
        <v>0</v>
      </c>
      <c r="AJ145" s="584">
        <v>0</v>
      </c>
      <c r="AK145" s="584">
        <v>0</v>
      </c>
      <c r="AL145" s="584">
        <v>0</v>
      </c>
      <c r="AM145" s="584">
        <v>0</v>
      </c>
      <c r="AN145" s="584">
        <v>0</v>
      </c>
      <c r="AO145" s="584">
        <v>332.19493749999998</v>
      </c>
      <c r="AP145" s="584">
        <v>61.875</v>
      </c>
      <c r="AQ145" s="584">
        <v>575.33868749999999</v>
      </c>
      <c r="AR145" s="584">
        <v>129.9375</v>
      </c>
      <c r="AS145" s="584">
        <v>907.41600000000005</v>
      </c>
      <c r="AT145" s="584">
        <v>272.25</v>
      </c>
      <c r="AU145" s="584">
        <v>0.8</v>
      </c>
      <c r="AV145" s="584">
        <v>0.37</v>
      </c>
      <c r="AW145" s="584">
        <v>610.29384384775801</v>
      </c>
      <c r="AX145" s="584">
        <v>31.851925834202302</v>
      </c>
      <c r="AY145" s="584">
        <v>0</v>
      </c>
      <c r="AZ145" s="584">
        <v>0</v>
      </c>
      <c r="BA145" s="584">
        <v>0</v>
      </c>
      <c r="BB145" s="584">
        <v>0</v>
      </c>
      <c r="BC145" s="584">
        <v>0</v>
      </c>
      <c r="BD145" s="584">
        <v>0</v>
      </c>
      <c r="BE145" s="584">
        <v>0</v>
      </c>
      <c r="BF145" s="584">
        <v>0</v>
      </c>
      <c r="BG145" s="584">
        <v>0.8</v>
      </c>
      <c r="BH145" s="584">
        <v>0</v>
      </c>
      <c r="BI145" s="584">
        <v>0.45</v>
      </c>
      <c r="BJ145" s="584">
        <v>308.17975551722202</v>
      </c>
      <c r="BK145" s="584">
        <v>61.875</v>
      </c>
      <c r="BL145" s="584">
        <v>499.04850723226502</v>
      </c>
      <c r="BM145" s="584">
        <v>129.9375</v>
      </c>
      <c r="BN145" s="584">
        <v>741.99154459968099</v>
      </c>
      <c r="BO145" s="584">
        <v>272.25</v>
      </c>
      <c r="BP145" s="584">
        <v>0.85</v>
      </c>
      <c r="BQ145" s="584">
        <v>0.215</v>
      </c>
      <c r="BR145" s="584">
        <v>612.60218978102205</v>
      </c>
      <c r="BS145" s="584">
        <v>28.8495560153806</v>
      </c>
      <c r="BT145" s="584">
        <v>0</v>
      </c>
      <c r="BU145" s="584">
        <v>0</v>
      </c>
      <c r="BV145" s="584">
        <v>0</v>
      </c>
      <c r="BW145" s="584">
        <v>0</v>
      </c>
      <c r="BX145" s="584">
        <v>0</v>
      </c>
      <c r="BY145" s="584">
        <v>0</v>
      </c>
      <c r="BZ145" s="584">
        <v>0</v>
      </c>
      <c r="CA145" s="584">
        <v>0.57499999999999996</v>
      </c>
      <c r="CB145" s="584">
        <v>0.85</v>
      </c>
      <c r="CC145" s="584">
        <v>0.3</v>
      </c>
      <c r="CD145" s="584">
        <v>0.3</v>
      </c>
      <c r="CE145" s="584">
        <v>305.45920000000001</v>
      </c>
      <c r="CF145" s="584">
        <v>61.875</v>
      </c>
      <c r="CG145" s="584">
        <v>505.33170000000001</v>
      </c>
      <c r="CH145" s="584">
        <v>129.9375</v>
      </c>
      <c r="CI145" s="584">
        <v>722.49419999999998</v>
      </c>
      <c r="CJ145" s="584">
        <v>272.25</v>
      </c>
      <c r="CK145" s="584">
        <v>0.82499999999999996</v>
      </c>
      <c r="CL145" s="584">
        <v>0.28000000000000003</v>
      </c>
      <c r="CM145" s="584">
        <v>742.02685088633996</v>
      </c>
      <c r="CN145" s="584">
        <v>24.432846715328498</v>
      </c>
      <c r="CO145" s="584">
        <v>0</v>
      </c>
      <c r="CP145" s="584">
        <v>0</v>
      </c>
      <c r="CQ145" s="584">
        <v>0</v>
      </c>
      <c r="CR145" s="584">
        <v>0</v>
      </c>
      <c r="CS145" s="584">
        <v>0</v>
      </c>
      <c r="CT145" s="584">
        <v>0</v>
      </c>
      <c r="CU145" s="584">
        <v>0</v>
      </c>
      <c r="CV145" s="584">
        <v>0</v>
      </c>
      <c r="CW145" s="584">
        <v>0.82499999999999996</v>
      </c>
      <c r="CX145" s="584">
        <v>0</v>
      </c>
      <c r="CY145" s="584">
        <v>0.45</v>
      </c>
      <c r="CZ145" s="584">
        <v>348.08665000000002</v>
      </c>
      <c r="DA145" s="584">
        <v>61.875</v>
      </c>
      <c r="DB145" s="584">
        <v>573.94664999999998</v>
      </c>
      <c r="DC145" s="584">
        <v>129.9375</v>
      </c>
      <c r="DD145" s="584">
        <v>891.86040000000003</v>
      </c>
      <c r="DE145" s="584">
        <v>272.25</v>
      </c>
      <c r="DF145" s="584">
        <v>0.47499999999999998</v>
      </c>
      <c r="DG145" s="584">
        <v>0.2</v>
      </c>
      <c r="DH145" s="584">
        <v>354.682449165798</v>
      </c>
      <c r="DI145" s="584">
        <v>16.470691671011501</v>
      </c>
      <c r="DJ145" s="584">
        <v>300</v>
      </c>
      <c r="DK145" s="584">
        <v>0</v>
      </c>
      <c r="DL145" s="584">
        <v>0</v>
      </c>
      <c r="DM145" s="584">
        <v>0</v>
      </c>
      <c r="DN145" s="584">
        <v>0</v>
      </c>
      <c r="DO145" s="584">
        <v>0</v>
      </c>
      <c r="DP145" s="584">
        <v>0</v>
      </c>
      <c r="DQ145" s="584">
        <v>0</v>
      </c>
      <c r="DR145" s="584">
        <v>0.47499999999999998</v>
      </c>
      <c r="DS145" s="584">
        <v>0</v>
      </c>
      <c r="DT145" s="584">
        <v>2.4</v>
      </c>
      <c r="DU145" s="584">
        <v>279.78399999999999</v>
      </c>
      <c r="DV145" s="584">
        <v>61.875</v>
      </c>
      <c r="DW145" s="584">
        <v>509.1465</v>
      </c>
      <c r="DX145" s="584">
        <v>129.9375</v>
      </c>
      <c r="DY145" s="584">
        <v>739.27274999999997</v>
      </c>
      <c r="DZ145" s="584">
        <v>272.25</v>
      </c>
      <c r="EA145" s="1062">
        <v>0.87709999999999999</v>
      </c>
      <c r="EB145" s="1046">
        <v>0.3</v>
      </c>
      <c r="EC145" s="1093">
        <v>132.51783893985731</v>
      </c>
      <c r="ED145" s="1046">
        <v>0</v>
      </c>
      <c r="EE145" s="1046">
        <v>397.55351681957183</v>
      </c>
      <c r="EF145" s="1046">
        <v>34.767676767676768</v>
      </c>
      <c r="EG145" s="1046">
        <v>0</v>
      </c>
      <c r="EH145" s="1046">
        <v>0</v>
      </c>
      <c r="EI145" s="1046" t="s">
        <v>418</v>
      </c>
      <c r="EJ145" s="1046" t="s">
        <v>446</v>
      </c>
      <c r="EK145" s="1046">
        <v>0</v>
      </c>
      <c r="EL145" s="1046">
        <v>0</v>
      </c>
      <c r="EM145" s="1046">
        <v>0</v>
      </c>
      <c r="EN145" s="1046">
        <v>0</v>
      </c>
      <c r="EO145" s="1046">
        <v>0</v>
      </c>
      <c r="EP145" s="1094">
        <v>149.516505</v>
      </c>
      <c r="EQ145" s="1094">
        <v>61.875</v>
      </c>
      <c r="ER145" s="1094">
        <v>299.03300999999999</v>
      </c>
      <c r="ES145" s="1095">
        <v>123.75</v>
      </c>
      <c r="ET145" s="1094">
        <v>598.06601999999998</v>
      </c>
      <c r="EU145" s="1094">
        <v>247.5</v>
      </c>
      <c r="EV145" s="1096">
        <v>0.75760000000000005</v>
      </c>
      <c r="EW145" s="1097">
        <v>0.15</v>
      </c>
      <c r="EX145" s="1096">
        <v>289.50050968399592</v>
      </c>
      <c r="EY145" s="1096">
        <v>1.5443934760448521</v>
      </c>
      <c r="EZ145" s="1096">
        <v>0</v>
      </c>
      <c r="FA145" s="1096">
        <v>21.894949494949493</v>
      </c>
      <c r="FB145" s="1098">
        <v>0</v>
      </c>
      <c r="FC145" s="1098">
        <v>0</v>
      </c>
      <c r="FD145" s="1098" t="s">
        <v>408</v>
      </c>
      <c r="FE145" s="1098" t="s">
        <v>461</v>
      </c>
      <c r="FF145" s="1098">
        <v>2</v>
      </c>
      <c r="FG145" s="1098">
        <v>0</v>
      </c>
      <c r="FH145" s="1098">
        <v>0</v>
      </c>
      <c r="FI145" s="1098">
        <v>0</v>
      </c>
      <c r="FJ145" s="1098">
        <v>0</v>
      </c>
      <c r="FK145" s="1096">
        <v>91.078513874999999</v>
      </c>
      <c r="FL145" s="1096">
        <v>61.875</v>
      </c>
      <c r="FM145" s="1096">
        <v>182.15702775</v>
      </c>
      <c r="FN145" s="1096">
        <v>123.75</v>
      </c>
      <c r="FO145" s="1096">
        <v>364.31405549999999</v>
      </c>
      <c r="FP145" s="1099">
        <v>247.5</v>
      </c>
      <c r="FQ145" s="1064">
        <v>0.99419999999999997</v>
      </c>
      <c r="FR145" s="1065">
        <v>0.15</v>
      </c>
      <c r="FS145" s="1066">
        <v>289.50050968399586</v>
      </c>
      <c r="FT145" s="1066">
        <v>3.2237153637237084</v>
      </c>
      <c r="FU145" s="1065"/>
      <c r="FV145" s="1066">
        <v>40.856353631508853</v>
      </c>
      <c r="FW145" s="1065"/>
      <c r="FX145" s="1065"/>
      <c r="FY145" s="1065" t="s">
        <v>414</v>
      </c>
      <c r="FZ145" s="1065" t="s">
        <v>461</v>
      </c>
      <c r="GA145" s="1065">
        <v>2</v>
      </c>
      <c r="GB145" s="1065"/>
      <c r="GC145" s="1065"/>
      <c r="GD145" s="1065"/>
      <c r="GE145" s="1065"/>
      <c r="GF145" s="1066">
        <v>93.367530551869962</v>
      </c>
      <c r="GG145" s="1066">
        <v>61.875</v>
      </c>
      <c r="GH145" s="1066">
        <v>186.73506110373992</v>
      </c>
      <c r="GI145" s="1066">
        <v>123.75</v>
      </c>
      <c r="GJ145" s="1066">
        <v>373.47012220747985</v>
      </c>
      <c r="GK145" s="1066">
        <v>247.5</v>
      </c>
      <c r="GL145" s="584">
        <v>0.75760000000000005</v>
      </c>
      <c r="GM145" s="584">
        <v>0.15</v>
      </c>
      <c r="GN145" s="584"/>
      <c r="GO145" s="584"/>
      <c r="GP145" s="584"/>
      <c r="GQ145" s="584">
        <v>34.229292929292903</v>
      </c>
      <c r="GR145" s="584"/>
      <c r="GS145" s="584">
        <v>76.452599388379198</v>
      </c>
      <c r="GT145" s="584" t="s">
        <v>412</v>
      </c>
      <c r="GU145" s="584" t="s">
        <v>408</v>
      </c>
      <c r="GV145" s="584">
        <v>1</v>
      </c>
      <c r="GW145" s="584"/>
      <c r="GX145" s="584"/>
      <c r="GY145" s="584"/>
      <c r="GZ145" s="584"/>
      <c r="HA145" s="584">
        <v>39.248286749999998</v>
      </c>
      <c r="HB145" s="584">
        <v>61.875</v>
      </c>
      <c r="HC145" s="584">
        <v>78.496573499999997</v>
      </c>
      <c r="HD145" s="584">
        <v>123.75</v>
      </c>
      <c r="HE145" s="584">
        <v>156.99314699999999</v>
      </c>
      <c r="HF145" s="584">
        <v>247.5</v>
      </c>
      <c r="HG145" s="1100">
        <v>1.1500000000000001</v>
      </c>
      <c r="HH145" s="1100">
        <v>0.11</v>
      </c>
      <c r="HI145" s="1101">
        <v>0</v>
      </c>
      <c r="HJ145" s="1101">
        <v>0</v>
      </c>
      <c r="HK145" s="1101">
        <v>0</v>
      </c>
      <c r="HL145" s="1101">
        <v>0</v>
      </c>
      <c r="HM145" s="1101">
        <v>47.192727272727275</v>
      </c>
      <c r="HN145" s="1101">
        <v>54.999999999999993</v>
      </c>
      <c r="HO145" s="1101">
        <v>0</v>
      </c>
      <c r="HP145" s="1101">
        <v>0</v>
      </c>
      <c r="HQ145" s="1101">
        <v>2</v>
      </c>
      <c r="HR145" s="1101">
        <v>1.04</v>
      </c>
      <c r="HS145" s="1101">
        <v>0.84</v>
      </c>
      <c r="HT145" s="1101">
        <v>0.28000000000000003</v>
      </c>
      <c r="HU145" s="1101">
        <v>0.28000000000000003</v>
      </c>
      <c r="HV145" s="1101">
        <v>37.187138699999998</v>
      </c>
      <c r="HW145" s="1101">
        <v>61.875</v>
      </c>
      <c r="HX145" s="1101">
        <v>74.374277399999997</v>
      </c>
      <c r="HY145" s="1101">
        <v>123.75</v>
      </c>
      <c r="HZ145" s="1101">
        <v>148.74855479999999</v>
      </c>
      <c r="IA145" s="1101">
        <v>247.5</v>
      </c>
      <c r="IB145" s="1062"/>
      <c r="IC145" s="1092"/>
      <c r="ID145" s="1050"/>
      <c r="IE145" s="1050"/>
      <c r="IF145" s="1103"/>
      <c r="IG145" s="1103"/>
      <c r="IH145" s="1103"/>
      <c r="II145" s="1103"/>
      <c r="IJ145" s="1103"/>
      <c r="IK145" s="1103"/>
      <c r="IL145" s="1103"/>
      <c r="IM145" s="1050"/>
      <c r="IN145" s="1050"/>
      <c r="IO145" s="1050"/>
      <c r="IP145" s="1050"/>
      <c r="IQ145" s="1103"/>
      <c r="IR145" s="1103"/>
      <c r="IS145" s="1103"/>
      <c r="IT145" s="1103"/>
      <c r="IU145" s="1103"/>
      <c r="IV145" s="1103"/>
      <c r="JS145" s="1092"/>
      <c r="JU145" s="1050"/>
      <c r="JV145" s="1103"/>
      <c r="JW145" s="1103"/>
      <c r="JX145" s="1103"/>
      <c r="JY145" s="1103"/>
      <c r="JZ145" s="1103"/>
      <c r="KA145" s="1103"/>
      <c r="KB145" s="1103"/>
      <c r="KC145" s="1050"/>
      <c r="KD145" s="1050"/>
      <c r="KE145" s="1050"/>
      <c r="KF145" s="1050"/>
      <c r="KG145" s="1103"/>
      <c r="KH145" s="1103"/>
      <c r="KI145" s="1103"/>
      <c r="KJ145" s="1103"/>
      <c r="KK145" s="1103"/>
      <c r="KL145" s="1103"/>
      <c r="KM145" s="1103"/>
      <c r="KN145" s="1103"/>
    </row>
    <row r="146" spans="2:300">
      <c r="B146" s="1048" t="str">
        <f t="shared" si="4"/>
        <v>R912</v>
      </c>
      <c r="C146" s="1046">
        <v>9</v>
      </c>
      <c r="D146" s="1092">
        <v>12</v>
      </c>
      <c r="E146" s="584">
        <v>0.45</v>
      </c>
      <c r="F146" s="584">
        <v>0.45</v>
      </c>
      <c r="G146" s="584">
        <v>1080</v>
      </c>
      <c r="H146" s="584">
        <v>28.8</v>
      </c>
      <c r="I146" s="584">
        <v>0</v>
      </c>
      <c r="J146" s="584">
        <v>0</v>
      </c>
      <c r="K146" s="584">
        <v>0</v>
      </c>
      <c r="L146" s="584">
        <v>0</v>
      </c>
      <c r="M146" s="584">
        <v>0</v>
      </c>
      <c r="N146" s="584">
        <v>0</v>
      </c>
      <c r="O146" s="584">
        <v>0</v>
      </c>
      <c r="P146" s="584">
        <v>0</v>
      </c>
      <c r="Q146" s="584">
        <v>0</v>
      </c>
      <c r="R146" s="584">
        <v>0</v>
      </c>
      <c r="S146" s="584">
        <v>0</v>
      </c>
      <c r="T146" s="584">
        <v>458.87243749999999</v>
      </c>
      <c r="U146" s="584">
        <v>67.5</v>
      </c>
      <c r="V146" s="584">
        <v>835.63874999999996</v>
      </c>
      <c r="W146" s="584">
        <v>141.75</v>
      </c>
      <c r="X146" s="584">
        <v>1404.8910000000001</v>
      </c>
      <c r="Y146" s="584">
        <v>297</v>
      </c>
      <c r="Z146" s="584">
        <v>0.34</v>
      </c>
      <c r="AA146" s="584">
        <v>0.34</v>
      </c>
      <c r="AB146" s="584">
        <v>816</v>
      </c>
      <c r="AC146" s="584">
        <v>23</v>
      </c>
      <c r="AD146" s="584">
        <v>0</v>
      </c>
      <c r="AE146" s="584">
        <v>0</v>
      </c>
      <c r="AF146" s="584">
        <v>0</v>
      </c>
      <c r="AG146" s="584">
        <v>0</v>
      </c>
      <c r="AH146" s="584">
        <v>0</v>
      </c>
      <c r="AI146" s="584">
        <v>0</v>
      </c>
      <c r="AJ146" s="584">
        <v>0</v>
      </c>
      <c r="AK146" s="584">
        <v>0</v>
      </c>
      <c r="AL146" s="584">
        <v>0</v>
      </c>
      <c r="AM146" s="584">
        <v>0</v>
      </c>
      <c r="AN146" s="584">
        <v>0</v>
      </c>
      <c r="AO146" s="584">
        <v>378.7374375</v>
      </c>
      <c r="AP146" s="584">
        <v>67.5</v>
      </c>
      <c r="AQ146" s="584">
        <v>671.59743749999996</v>
      </c>
      <c r="AR146" s="584">
        <v>141.75</v>
      </c>
      <c r="AS146" s="584">
        <v>1078.191</v>
      </c>
      <c r="AT146" s="584">
        <v>297</v>
      </c>
      <c r="AU146" s="584">
        <v>0.92500000000000004</v>
      </c>
      <c r="AV146" s="584">
        <v>0.37</v>
      </c>
      <c r="AW146" s="584">
        <v>620.60530453512001</v>
      </c>
      <c r="AX146" s="584">
        <v>32.522332326193599</v>
      </c>
      <c r="AY146" s="584">
        <v>0</v>
      </c>
      <c r="AZ146" s="584">
        <v>0</v>
      </c>
      <c r="BA146" s="584">
        <v>0</v>
      </c>
      <c r="BB146" s="584">
        <v>0</v>
      </c>
      <c r="BC146" s="584">
        <v>0</v>
      </c>
      <c r="BD146" s="584">
        <v>0</v>
      </c>
      <c r="BE146" s="584">
        <v>0</v>
      </c>
      <c r="BF146" s="584">
        <v>0</v>
      </c>
      <c r="BG146" s="584">
        <v>0.92500000000000004</v>
      </c>
      <c r="BH146" s="584">
        <v>0</v>
      </c>
      <c r="BI146" s="584">
        <v>0.45</v>
      </c>
      <c r="BJ146" s="584">
        <v>344.07045273722599</v>
      </c>
      <c r="BK146" s="584">
        <v>67.5</v>
      </c>
      <c r="BL146" s="584">
        <v>555.92738540146001</v>
      </c>
      <c r="BM146" s="584">
        <v>141.75</v>
      </c>
      <c r="BN146" s="584">
        <v>804.85617481751797</v>
      </c>
      <c r="BO146" s="584">
        <v>297</v>
      </c>
      <c r="BP146" s="584">
        <v>0.8</v>
      </c>
      <c r="BQ146" s="584">
        <v>0.22</v>
      </c>
      <c r="BR146" s="584">
        <v>647.73435443340895</v>
      </c>
      <c r="BS146" s="584">
        <v>37.152351023094397</v>
      </c>
      <c r="BT146" s="584">
        <v>0</v>
      </c>
      <c r="BU146" s="584">
        <v>0</v>
      </c>
      <c r="BV146" s="584">
        <v>0</v>
      </c>
      <c r="BW146" s="584">
        <v>0</v>
      </c>
      <c r="BX146" s="584">
        <v>0</v>
      </c>
      <c r="BY146" s="584">
        <v>0</v>
      </c>
      <c r="BZ146" s="584">
        <v>0</v>
      </c>
      <c r="CA146" s="584">
        <v>0.5</v>
      </c>
      <c r="CB146" s="584">
        <v>0.8</v>
      </c>
      <c r="CC146" s="584">
        <v>0.45</v>
      </c>
      <c r="CD146" s="584">
        <v>0.45</v>
      </c>
      <c r="CE146" s="584">
        <v>339.51659999999998</v>
      </c>
      <c r="CF146" s="584">
        <v>67.5</v>
      </c>
      <c r="CG146" s="584">
        <v>560.73284999999998</v>
      </c>
      <c r="CH146" s="584">
        <v>141.75</v>
      </c>
      <c r="CI146" s="584">
        <v>824.09535000000005</v>
      </c>
      <c r="CJ146" s="584">
        <v>297</v>
      </c>
      <c r="CK146" s="584">
        <v>0.95</v>
      </c>
      <c r="CL146" s="584">
        <v>0.28000000000000003</v>
      </c>
      <c r="CM146" s="584">
        <v>768.29149216225903</v>
      </c>
      <c r="CN146" s="584">
        <v>25.370526205576201</v>
      </c>
      <c r="CO146" s="584">
        <v>0</v>
      </c>
      <c r="CP146" s="584">
        <v>0</v>
      </c>
      <c r="CQ146" s="584">
        <v>0</v>
      </c>
      <c r="CR146" s="584">
        <v>0</v>
      </c>
      <c r="CS146" s="584">
        <v>0</v>
      </c>
      <c r="CT146" s="584">
        <v>0</v>
      </c>
      <c r="CU146" s="584">
        <v>0</v>
      </c>
      <c r="CV146" s="584">
        <v>0</v>
      </c>
      <c r="CW146" s="584">
        <v>0.95</v>
      </c>
      <c r="CX146" s="584">
        <v>0</v>
      </c>
      <c r="CY146" s="584">
        <v>0.6</v>
      </c>
      <c r="CZ146" s="584">
        <v>395.80477500000001</v>
      </c>
      <c r="DA146" s="584">
        <v>67.5</v>
      </c>
      <c r="DB146" s="584">
        <v>651.89790000000005</v>
      </c>
      <c r="DC146" s="584">
        <v>141.75</v>
      </c>
      <c r="DD146" s="584">
        <v>988.81290000000001</v>
      </c>
      <c r="DE146" s="584">
        <v>297</v>
      </c>
      <c r="DF146" s="584">
        <v>0.55000000000000004</v>
      </c>
      <c r="DG146" s="584">
        <v>0.2</v>
      </c>
      <c r="DH146" s="584">
        <v>392.91716525068802</v>
      </c>
      <c r="DI146" s="584">
        <v>17.889895177695401</v>
      </c>
      <c r="DJ146" s="584">
        <v>300</v>
      </c>
      <c r="DK146" s="584">
        <v>0</v>
      </c>
      <c r="DL146" s="584">
        <v>0</v>
      </c>
      <c r="DM146" s="584">
        <v>0</v>
      </c>
      <c r="DN146" s="584">
        <v>0</v>
      </c>
      <c r="DO146" s="584">
        <v>0</v>
      </c>
      <c r="DP146" s="584">
        <v>0</v>
      </c>
      <c r="DQ146" s="584">
        <v>0</v>
      </c>
      <c r="DR146" s="584">
        <v>0.55000000000000004</v>
      </c>
      <c r="DS146" s="584">
        <v>0</v>
      </c>
      <c r="DT146" s="584">
        <v>2.4</v>
      </c>
      <c r="DU146" s="584">
        <v>305.62537500000002</v>
      </c>
      <c r="DV146" s="584">
        <v>67.5</v>
      </c>
      <c r="DW146" s="584">
        <v>569.80349999999999</v>
      </c>
      <c r="DX146" s="584">
        <v>141.75</v>
      </c>
      <c r="DY146" s="584">
        <v>859.54049999999995</v>
      </c>
      <c r="DZ146" s="584">
        <v>297</v>
      </c>
      <c r="EA146" s="1062">
        <v>0.98580000000000001</v>
      </c>
      <c r="EB146" s="1046">
        <v>0.35</v>
      </c>
      <c r="EC146" s="1093">
        <v>132.51783893985731</v>
      </c>
      <c r="ED146" s="1046">
        <v>0</v>
      </c>
      <c r="EE146" s="1046">
        <v>458.71559633027522</v>
      </c>
      <c r="EF146" s="1046">
        <v>34.652777777777779</v>
      </c>
      <c r="EG146" s="1046">
        <v>0</v>
      </c>
      <c r="EH146" s="1046">
        <v>0</v>
      </c>
      <c r="EI146" s="1046" t="s">
        <v>398</v>
      </c>
      <c r="EJ146" s="1046" t="s">
        <v>442</v>
      </c>
      <c r="EK146" s="1046">
        <v>0</v>
      </c>
      <c r="EL146" s="1046">
        <v>0</v>
      </c>
      <c r="EM146" s="1046">
        <v>0</v>
      </c>
      <c r="EN146" s="1046">
        <v>0</v>
      </c>
      <c r="EO146" s="1046">
        <v>0</v>
      </c>
      <c r="EP146" s="1094">
        <v>179.27848125000003</v>
      </c>
      <c r="EQ146" s="1094">
        <v>67.5</v>
      </c>
      <c r="ER146" s="1094">
        <v>358.55696250000005</v>
      </c>
      <c r="ES146" s="1095">
        <v>135</v>
      </c>
      <c r="ET146" s="1094">
        <v>717.11392500000011</v>
      </c>
      <c r="EU146" s="1094">
        <v>270</v>
      </c>
      <c r="EV146" s="1096">
        <v>0.7622000000000001</v>
      </c>
      <c r="EW146" s="1097">
        <v>0.15</v>
      </c>
      <c r="EX146" s="1096">
        <v>289.50050968399592</v>
      </c>
      <c r="EY146" s="1096">
        <v>1.5443934760448521</v>
      </c>
      <c r="EZ146" s="1096">
        <v>0</v>
      </c>
      <c r="FA146" s="1096">
        <v>22.047222222222217</v>
      </c>
      <c r="FB146" s="1098">
        <v>0</v>
      </c>
      <c r="FC146" s="1098">
        <v>0</v>
      </c>
      <c r="FD146" s="1098" t="s">
        <v>406</v>
      </c>
      <c r="FE146" s="1098" t="s">
        <v>461</v>
      </c>
      <c r="FF146" s="1098">
        <v>2</v>
      </c>
      <c r="FG146" s="1098">
        <v>0</v>
      </c>
      <c r="FH146" s="1098">
        <v>0</v>
      </c>
      <c r="FI146" s="1098">
        <v>0</v>
      </c>
      <c r="FJ146" s="1098">
        <v>0</v>
      </c>
      <c r="FK146" s="1096">
        <v>99.398711250000005</v>
      </c>
      <c r="FL146" s="1096">
        <v>67.5</v>
      </c>
      <c r="FM146" s="1096">
        <v>198.79742250000001</v>
      </c>
      <c r="FN146" s="1096">
        <v>135</v>
      </c>
      <c r="FO146" s="1096">
        <v>397.59484500000002</v>
      </c>
      <c r="FP146" s="1099">
        <v>270</v>
      </c>
      <c r="FQ146" s="1064">
        <v>1.00064</v>
      </c>
      <c r="FR146" s="1065">
        <v>0.15</v>
      </c>
      <c r="FS146" s="1066">
        <v>289.50050968399586</v>
      </c>
      <c r="FT146" s="1066">
        <v>3.2237153637237084</v>
      </c>
      <c r="FU146" s="1065"/>
      <c r="FV146" s="1066">
        <v>46.67918516761948</v>
      </c>
      <c r="FW146" s="1065"/>
      <c r="FX146" s="1065"/>
      <c r="FY146" s="1065" t="s">
        <v>408</v>
      </c>
      <c r="FZ146" s="1065" t="s">
        <v>438</v>
      </c>
      <c r="GA146" s="1065">
        <v>2</v>
      </c>
      <c r="GB146" s="1065"/>
      <c r="GC146" s="1065"/>
      <c r="GD146" s="1065"/>
      <c r="GE146" s="1065"/>
      <c r="GF146" s="1066">
        <v>103.39778126373687</v>
      </c>
      <c r="GG146" s="1066">
        <v>67.5</v>
      </c>
      <c r="GH146" s="1066">
        <v>206.79556252747375</v>
      </c>
      <c r="GI146" s="1066">
        <v>135</v>
      </c>
      <c r="GJ146" s="1066">
        <v>413.5911250549475</v>
      </c>
      <c r="GK146" s="1066">
        <v>270</v>
      </c>
      <c r="GL146" s="584">
        <v>0.9</v>
      </c>
      <c r="GM146" s="584">
        <v>0.15</v>
      </c>
      <c r="GN146" s="584"/>
      <c r="GO146" s="584"/>
      <c r="GP146" s="584"/>
      <c r="GQ146" s="584">
        <v>39.172222222222203</v>
      </c>
      <c r="GR146" s="584"/>
      <c r="GS146" s="584">
        <v>76.452599388379198</v>
      </c>
      <c r="GT146" s="584" t="s">
        <v>408</v>
      </c>
      <c r="GU146" s="584" t="s">
        <v>389</v>
      </c>
      <c r="GV146" s="584">
        <v>1</v>
      </c>
      <c r="GW146" s="584"/>
      <c r="GX146" s="584"/>
      <c r="GY146" s="584"/>
      <c r="GZ146" s="584"/>
      <c r="HA146" s="584">
        <v>44.125546499999999</v>
      </c>
      <c r="HB146" s="584">
        <v>67.5</v>
      </c>
      <c r="HC146" s="584">
        <v>88.251092999999997</v>
      </c>
      <c r="HD146" s="584">
        <v>135</v>
      </c>
      <c r="HE146" s="584">
        <v>176.50218599999999</v>
      </c>
      <c r="HF146" s="584">
        <v>270</v>
      </c>
      <c r="HG146" s="1100">
        <v>1.1900000000000002</v>
      </c>
      <c r="HH146" s="1100">
        <v>0.11</v>
      </c>
      <c r="HI146" s="1101">
        <v>0</v>
      </c>
      <c r="HJ146" s="1101">
        <v>0</v>
      </c>
      <c r="HK146" s="1101">
        <v>0</v>
      </c>
      <c r="HL146" s="1101">
        <v>0</v>
      </c>
      <c r="HM146" s="1101">
        <v>53.550000000000004</v>
      </c>
      <c r="HN146" s="1101">
        <v>54.999999999999993</v>
      </c>
      <c r="HO146" s="1101">
        <v>0</v>
      </c>
      <c r="HP146" s="1101">
        <v>0</v>
      </c>
      <c r="HQ146" s="1101">
        <v>2</v>
      </c>
      <c r="HR146" s="1101">
        <v>1.08</v>
      </c>
      <c r="HS146" s="1101">
        <v>0.92</v>
      </c>
      <c r="HT146" s="1101">
        <v>0.3</v>
      </c>
      <c r="HU146" s="1101">
        <v>0.3</v>
      </c>
      <c r="HV146" s="1101">
        <v>42.251638500000006</v>
      </c>
      <c r="HW146" s="1101">
        <v>67.5</v>
      </c>
      <c r="HX146" s="1101">
        <v>84.503277000000011</v>
      </c>
      <c r="HY146" s="1101">
        <v>135</v>
      </c>
      <c r="HZ146" s="1101">
        <v>169.00655400000002</v>
      </c>
      <c r="IA146" s="1101">
        <v>270</v>
      </c>
      <c r="IB146" s="1062"/>
      <c r="IC146" s="1092"/>
      <c r="ID146" s="1050"/>
      <c r="IE146" s="1050"/>
      <c r="IF146" s="1103"/>
      <c r="IG146" s="1103"/>
      <c r="IH146" s="1103"/>
      <c r="II146" s="1103"/>
      <c r="IJ146" s="1103"/>
      <c r="IK146" s="1103"/>
      <c r="IL146" s="1103"/>
      <c r="IM146" s="1050"/>
      <c r="IN146" s="1050"/>
      <c r="IO146" s="1050"/>
      <c r="IP146" s="1050"/>
      <c r="IQ146" s="1103"/>
      <c r="IR146" s="1103"/>
      <c r="IS146" s="1103"/>
      <c r="IT146" s="1103"/>
      <c r="IU146" s="1103"/>
      <c r="IV146" s="1103"/>
      <c r="JS146" s="1092"/>
      <c r="JU146" s="1050"/>
      <c r="JV146" s="1103"/>
      <c r="JW146" s="1103"/>
      <c r="JX146" s="1103"/>
      <c r="JY146" s="1103"/>
      <c r="JZ146" s="1103"/>
      <c r="KA146" s="1103"/>
      <c r="KB146" s="1103"/>
      <c r="KC146" s="1050"/>
      <c r="KD146" s="1050"/>
      <c r="KE146" s="1050"/>
      <c r="KF146" s="1050"/>
      <c r="KG146" s="1103"/>
      <c r="KH146" s="1103"/>
      <c r="KI146" s="1103"/>
      <c r="KJ146" s="1103"/>
      <c r="KK146" s="1103"/>
      <c r="KL146" s="1103"/>
      <c r="KM146" s="1103"/>
      <c r="KN146" s="1103"/>
    </row>
    <row r="147" spans="2:300">
      <c r="B147" s="1048" t="str">
        <f t="shared" si="4"/>
        <v>R913</v>
      </c>
      <c r="C147" s="1046">
        <v>9</v>
      </c>
      <c r="D147" s="1092">
        <v>13</v>
      </c>
      <c r="E147" s="584">
        <v>0.45</v>
      </c>
      <c r="F147" s="584">
        <v>0.45</v>
      </c>
      <c r="G147" s="584">
        <v>1080</v>
      </c>
      <c r="H147" s="584">
        <v>27.45</v>
      </c>
      <c r="I147" s="584">
        <v>0</v>
      </c>
      <c r="J147" s="584">
        <v>0</v>
      </c>
      <c r="K147" s="584">
        <v>0</v>
      </c>
      <c r="L147" s="584">
        <v>0</v>
      </c>
      <c r="M147" s="584">
        <v>0</v>
      </c>
      <c r="N147" s="584">
        <v>0</v>
      </c>
      <c r="O147" s="584">
        <v>0</v>
      </c>
      <c r="P147" s="584">
        <v>0</v>
      </c>
      <c r="Q147" s="584">
        <v>0</v>
      </c>
      <c r="R147" s="584">
        <v>0</v>
      </c>
      <c r="S147" s="584">
        <v>0</v>
      </c>
      <c r="T147" s="584">
        <v>491.78493750000001</v>
      </c>
      <c r="U147" s="584">
        <v>73.125</v>
      </c>
      <c r="V147" s="584">
        <v>904.755</v>
      </c>
      <c r="W147" s="584">
        <v>153.5625</v>
      </c>
      <c r="X147" s="584">
        <v>1521.2159999999999</v>
      </c>
      <c r="Y147" s="584">
        <v>321.75</v>
      </c>
      <c r="Z147" s="584">
        <v>0.39</v>
      </c>
      <c r="AA147" s="584">
        <v>0.39</v>
      </c>
      <c r="AB147" s="584">
        <v>936</v>
      </c>
      <c r="AC147" s="584">
        <v>26</v>
      </c>
      <c r="AD147" s="584">
        <v>0</v>
      </c>
      <c r="AE147" s="584">
        <v>0</v>
      </c>
      <c r="AF147" s="584">
        <v>0</v>
      </c>
      <c r="AG147" s="584">
        <v>0</v>
      </c>
      <c r="AH147" s="584">
        <v>0</v>
      </c>
      <c r="AI147" s="584">
        <v>0</v>
      </c>
      <c r="AJ147" s="584">
        <v>0</v>
      </c>
      <c r="AK147" s="584">
        <v>0</v>
      </c>
      <c r="AL147" s="584">
        <v>0</v>
      </c>
      <c r="AM147" s="584">
        <v>0</v>
      </c>
      <c r="AN147" s="584">
        <v>0</v>
      </c>
      <c r="AO147" s="584">
        <v>444.5499375</v>
      </c>
      <c r="AP147" s="584">
        <v>73.125</v>
      </c>
      <c r="AQ147" s="584">
        <v>808.52250000000004</v>
      </c>
      <c r="AR147" s="584">
        <v>153.5625</v>
      </c>
      <c r="AS147" s="584">
        <v>1328.1659999999999</v>
      </c>
      <c r="AT147" s="584">
        <v>321.75</v>
      </c>
      <c r="AU147" s="584">
        <v>0</v>
      </c>
      <c r="AV147" s="584">
        <v>0</v>
      </c>
      <c r="AW147" s="584">
        <v>0</v>
      </c>
      <c r="AX147" s="584">
        <v>0</v>
      </c>
      <c r="AY147" s="584">
        <v>0</v>
      </c>
      <c r="AZ147" s="584">
        <v>0</v>
      </c>
      <c r="BA147" s="584">
        <v>0</v>
      </c>
      <c r="BB147" s="584">
        <v>0</v>
      </c>
      <c r="BC147" s="584">
        <v>0</v>
      </c>
      <c r="BD147" s="584">
        <v>0</v>
      </c>
      <c r="BE147" s="584">
        <v>0</v>
      </c>
      <c r="BF147" s="584">
        <v>0</v>
      </c>
      <c r="BG147" s="584">
        <v>0</v>
      </c>
      <c r="BH147" s="584">
        <v>0</v>
      </c>
      <c r="BI147" s="584">
        <v>0</v>
      </c>
      <c r="BJ147" s="584">
        <v>0</v>
      </c>
      <c r="BK147" s="584">
        <v>0</v>
      </c>
      <c r="BL147" s="584">
        <v>0</v>
      </c>
      <c r="BM147" s="584">
        <v>0</v>
      </c>
      <c r="BN147" s="584">
        <v>0</v>
      </c>
      <c r="BO147" s="584">
        <v>0</v>
      </c>
      <c r="BP147" s="584">
        <v>0.92500000000000004</v>
      </c>
      <c r="BQ147" s="584">
        <v>0.22500000000000001</v>
      </c>
      <c r="BR147" s="584">
        <v>678.03707697412096</v>
      </c>
      <c r="BS147" s="584">
        <v>41.525684306569303</v>
      </c>
      <c r="BT147" s="584">
        <v>0</v>
      </c>
      <c r="BU147" s="584">
        <v>0</v>
      </c>
      <c r="BV147" s="584">
        <v>0</v>
      </c>
      <c r="BW147" s="584">
        <v>0</v>
      </c>
      <c r="BX147" s="584">
        <v>0</v>
      </c>
      <c r="BY147" s="584">
        <v>0</v>
      </c>
      <c r="BZ147" s="584">
        <v>0</v>
      </c>
      <c r="CA147" s="584">
        <v>0.5</v>
      </c>
      <c r="CB147" s="584">
        <v>0.92500000000000004</v>
      </c>
      <c r="CC147" s="584">
        <v>0.45</v>
      </c>
      <c r="CD147" s="584">
        <v>0.45</v>
      </c>
      <c r="CE147" s="584">
        <v>374.63625000000002</v>
      </c>
      <c r="CF147" s="584">
        <v>73.125</v>
      </c>
      <c r="CG147" s="584">
        <v>625.12312499999996</v>
      </c>
      <c r="CH147" s="584">
        <v>153.5625</v>
      </c>
      <c r="CI147" s="584">
        <v>922.25250000000005</v>
      </c>
      <c r="CJ147" s="584">
        <v>321.75</v>
      </c>
      <c r="CK147" s="584">
        <v>0</v>
      </c>
      <c r="CL147" s="584">
        <v>0</v>
      </c>
      <c r="CM147" s="584">
        <v>0</v>
      </c>
      <c r="CN147" s="584">
        <v>0</v>
      </c>
      <c r="CO147" s="584">
        <v>0</v>
      </c>
      <c r="CP147" s="584">
        <v>0</v>
      </c>
      <c r="CQ147" s="584">
        <v>0</v>
      </c>
      <c r="CR147" s="584">
        <v>0</v>
      </c>
      <c r="CS147" s="584">
        <v>0</v>
      </c>
      <c r="CT147" s="584">
        <v>0</v>
      </c>
      <c r="CU147" s="584">
        <v>0</v>
      </c>
      <c r="CV147" s="584">
        <v>0</v>
      </c>
      <c r="CW147" s="584">
        <v>0</v>
      </c>
      <c r="CX147" s="584">
        <v>0</v>
      </c>
      <c r="CY147" s="584">
        <v>0</v>
      </c>
      <c r="CZ147" s="584">
        <v>0</v>
      </c>
      <c r="DA147" s="584">
        <v>0</v>
      </c>
      <c r="DB147" s="584">
        <v>0</v>
      </c>
      <c r="DC147" s="584">
        <v>0</v>
      </c>
      <c r="DD147" s="584">
        <v>0</v>
      </c>
      <c r="DE147" s="584">
        <v>0</v>
      </c>
      <c r="DF147" s="584">
        <v>0.6</v>
      </c>
      <c r="DG147" s="584">
        <v>0.2</v>
      </c>
      <c r="DH147" s="584">
        <v>440.75937292634399</v>
      </c>
      <c r="DI147" s="584">
        <v>19.453370272063701</v>
      </c>
      <c r="DJ147" s="584">
        <v>300</v>
      </c>
      <c r="DK147" s="584">
        <v>0</v>
      </c>
      <c r="DL147" s="584">
        <v>0</v>
      </c>
      <c r="DM147" s="584">
        <v>0</v>
      </c>
      <c r="DN147" s="584">
        <v>0</v>
      </c>
      <c r="DO147" s="584">
        <v>0</v>
      </c>
      <c r="DP147" s="584">
        <v>0</v>
      </c>
      <c r="DQ147" s="584">
        <v>0</v>
      </c>
      <c r="DR147" s="584">
        <v>0.6</v>
      </c>
      <c r="DS147" s="584">
        <v>0</v>
      </c>
      <c r="DT147" s="584">
        <v>2.4</v>
      </c>
      <c r="DU147" s="584">
        <v>350.080625</v>
      </c>
      <c r="DV147" s="584">
        <v>73.125</v>
      </c>
      <c r="DW147" s="584">
        <v>625.27125000000001</v>
      </c>
      <c r="DX147" s="584">
        <v>153.5625</v>
      </c>
      <c r="DY147" s="584">
        <v>969.36900000000003</v>
      </c>
      <c r="DZ147" s="584">
        <v>321.75</v>
      </c>
      <c r="EA147" s="1062">
        <v>1.1197999999999999</v>
      </c>
      <c r="EB147" s="1046">
        <v>0.35</v>
      </c>
      <c r="EC147" s="1093">
        <v>132.51783893985731</v>
      </c>
      <c r="ED147" s="1046">
        <v>0</v>
      </c>
      <c r="EE147" s="1046">
        <v>458.71559633027522</v>
      </c>
      <c r="EF147" s="1046">
        <v>30.505128205128209</v>
      </c>
      <c r="EG147" s="1046">
        <v>0</v>
      </c>
      <c r="EH147" s="1046">
        <v>0</v>
      </c>
      <c r="EI147" s="1046" t="s">
        <v>383</v>
      </c>
      <c r="EJ147" s="1046" t="s">
        <v>425</v>
      </c>
      <c r="EK147" s="1046">
        <v>0</v>
      </c>
      <c r="EL147" s="1046">
        <v>0</v>
      </c>
      <c r="EM147" s="1046">
        <v>0</v>
      </c>
      <c r="EN147" s="1046">
        <v>0</v>
      </c>
      <c r="EO147" s="1046">
        <v>0</v>
      </c>
      <c r="EP147" s="1094">
        <v>193.02821775000004</v>
      </c>
      <c r="EQ147" s="1094">
        <v>73.125</v>
      </c>
      <c r="ER147" s="1094">
        <v>386.05643550000008</v>
      </c>
      <c r="ES147" s="1095">
        <v>146.25</v>
      </c>
      <c r="ET147" s="1094">
        <v>772.11287100000015</v>
      </c>
      <c r="EU147" s="1094">
        <v>292.5</v>
      </c>
      <c r="EV147" s="1096">
        <v>0.7622000000000001</v>
      </c>
      <c r="EW147" s="1097">
        <v>0.15</v>
      </c>
      <c r="EX147" s="1096">
        <v>289.50050968399592</v>
      </c>
      <c r="EY147" s="1096">
        <v>1.5443934760448521</v>
      </c>
      <c r="EZ147" s="1096">
        <v>0</v>
      </c>
      <c r="FA147" s="1096">
        <v>27.889743589743592</v>
      </c>
      <c r="FB147" s="1098">
        <v>0</v>
      </c>
      <c r="FC147" s="1098">
        <v>0</v>
      </c>
      <c r="FD147" s="1098" t="s">
        <v>406</v>
      </c>
      <c r="FE147" s="1098" t="s">
        <v>432</v>
      </c>
      <c r="FF147" s="1098">
        <v>2</v>
      </c>
      <c r="FG147" s="1098">
        <v>0</v>
      </c>
      <c r="FH147" s="1098">
        <v>0</v>
      </c>
      <c r="FI147" s="1098">
        <v>0</v>
      </c>
      <c r="FJ147" s="1098">
        <v>0</v>
      </c>
      <c r="FK147" s="1096">
        <v>109.35840487499999</v>
      </c>
      <c r="FL147" s="1096">
        <v>73.125</v>
      </c>
      <c r="FM147" s="1096">
        <v>218.71680974999998</v>
      </c>
      <c r="FN147" s="1096">
        <v>146.25</v>
      </c>
      <c r="FO147" s="1096">
        <v>437.43361949999996</v>
      </c>
      <c r="FP147" s="1099">
        <v>292.5</v>
      </c>
      <c r="FQ147" s="1064">
        <v>1.0990599999999999</v>
      </c>
      <c r="FR147" s="1065">
        <v>0.15</v>
      </c>
      <c r="FS147" s="1066">
        <v>289.50050968399586</v>
      </c>
      <c r="FT147" s="1066">
        <v>3.2237153637237084</v>
      </c>
      <c r="FU147" s="1065"/>
      <c r="FV147" s="1066">
        <v>53.658791011142974</v>
      </c>
      <c r="FW147" s="1065"/>
      <c r="FX147" s="1065"/>
      <c r="FY147" s="1065" t="s">
        <v>396</v>
      </c>
      <c r="FZ147" s="1065" t="s">
        <v>416</v>
      </c>
      <c r="GA147" s="1065">
        <v>2</v>
      </c>
      <c r="GB147" s="1065"/>
      <c r="GC147" s="1065"/>
      <c r="GD147" s="1065"/>
      <c r="GE147" s="1065"/>
      <c r="GF147" s="1066">
        <v>114.01700858547017</v>
      </c>
      <c r="GG147" s="1066">
        <v>73.125</v>
      </c>
      <c r="GH147" s="1066">
        <v>228.03401717094033</v>
      </c>
      <c r="GI147" s="1066">
        <v>146.25</v>
      </c>
      <c r="GJ147" s="1066">
        <v>456.06803434188066</v>
      </c>
      <c r="GK147" s="1066">
        <v>292.5</v>
      </c>
      <c r="GL147" s="584">
        <v>0.91220000000000001</v>
      </c>
      <c r="GM147" s="584">
        <v>0.15</v>
      </c>
      <c r="GN147" s="584"/>
      <c r="GO147" s="584"/>
      <c r="GP147" s="584"/>
      <c r="GQ147" s="584">
        <v>47.136752136752101</v>
      </c>
      <c r="GR147" s="584"/>
      <c r="GS147" s="584">
        <v>76.452599388379198</v>
      </c>
      <c r="GT147" s="584" t="s">
        <v>408</v>
      </c>
      <c r="GU147" s="584" t="s">
        <v>385</v>
      </c>
      <c r="GV147" s="584">
        <v>1</v>
      </c>
      <c r="GW147" s="584"/>
      <c r="GX147" s="584"/>
      <c r="GY147" s="584"/>
      <c r="GZ147" s="584"/>
      <c r="HA147" s="584">
        <v>50.088037499999999</v>
      </c>
      <c r="HB147" s="584">
        <v>73.125</v>
      </c>
      <c r="HC147" s="584">
        <v>100.176075</v>
      </c>
      <c r="HD147" s="584">
        <v>146.25</v>
      </c>
      <c r="HE147" s="584">
        <v>200.35214999999999</v>
      </c>
      <c r="HF147" s="584">
        <v>292.5</v>
      </c>
      <c r="HG147" s="1100">
        <v>1.2300000000000002</v>
      </c>
      <c r="HH147" s="1100">
        <v>0.11</v>
      </c>
      <c r="HI147" s="1101">
        <v>0</v>
      </c>
      <c r="HJ147" s="1101">
        <v>0</v>
      </c>
      <c r="HK147" s="1101">
        <v>0</v>
      </c>
      <c r="HL147" s="1101">
        <v>0</v>
      </c>
      <c r="HM147" s="1101">
        <v>55.310769230769232</v>
      </c>
      <c r="HN147" s="1101">
        <v>54.999999999999993</v>
      </c>
      <c r="HO147" s="1101">
        <v>0</v>
      </c>
      <c r="HP147" s="1101">
        <v>0</v>
      </c>
      <c r="HQ147" s="1101">
        <v>2</v>
      </c>
      <c r="HR147" s="1101">
        <v>1.1200000000000001</v>
      </c>
      <c r="HS147" s="1101">
        <v>1.04</v>
      </c>
      <c r="HT147" s="1101">
        <v>0.3</v>
      </c>
      <c r="HU147" s="1101">
        <v>0.28000000000000003</v>
      </c>
      <c r="HV147" s="1101">
        <v>46.277847899999998</v>
      </c>
      <c r="HW147" s="1101">
        <v>73.125</v>
      </c>
      <c r="HX147" s="1101">
        <v>92.555695799999995</v>
      </c>
      <c r="HY147" s="1101">
        <v>146.25</v>
      </c>
      <c r="HZ147" s="1101">
        <v>185.11139159999999</v>
      </c>
      <c r="IA147" s="1101">
        <v>292.5</v>
      </c>
      <c r="IB147" s="1062"/>
      <c r="IC147" s="1092"/>
      <c r="ID147" s="1050"/>
      <c r="IE147" s="1050"/>
      <c r="IF147" s="1103"/>
      <c r="IG147" s="1103"/>
      <c r="IH147" s="1103"/>
      <c r="II147" s="1103"/>
      <c r="IJ147" s="1103"/>
      <c r="IK147" s="1103"/>
      <c r="IL147" s="1103"/>
      <c r="IM147" s="1050"/>
      <c r="IN147" s="1050"/>
      <c r="IO147" s="1050"/>
      <c r="IP147" s="1050"/>
      <c r="IQ147" s="1103"/>
      <c r="IR147" s="1103"/>
      <c r="IS147" s="1103"/>
      <c r="IT147" s="1103"/>
      <c r="IU147" s="1103"/>
      <c r="IV147" s="1103"/>
      <c r="JS147" s="1092"/>
      <c r="JU147" s="1050"/>
      <c r="JV147" s="1103"/>
      <c r="JW147" s="1103"/>
      <c r="JX147" s="1103"/>
      <c r="JY147" s="1103"/>
      <c r="JZ147" s="1103"/>
      <c r="KA147" s="1103"/>
      <c r="KB147" s="1103"/>
      <c r="KC147" s="1050"/>
      <c r="KD147" s="1050"/>
      <c r="KE147" s="1050"/>
      <c r="KF147" s="1050"/>
      <c r="KG147" s="1103"/>
      <c r="KH147" s="1103"/>
      <c r="KI147" s="1103"/>
      <c r="KJ147" s="1103"/>
      <c r="KK147" s="1103"/>
      <c r="KL147" s="1103"/>
      <c r="KM147" s="1103"/>
      <c r="KN147" s="1103"/>
    </row>
    <row r="148" spans="2:300">
      <c r="B148" s="1048" t="str">
        <f t="shared" si="4"/>
        <v>R914</v>
      </c>
      <c r="C148" s="1046">
        <v>9</v>
      </c>
      <c r="D148" s="1092">
        <v>14</v>
      </c>
      <c r="E148" s="584">
        <v>0.45</v>
      </c>
      <c r="F148" s="584">
        <v>0.45</v>
      </c>
      <c r="G148" s="584">
        <v>1080</v>
      </c>
      <c r="H148" s="584">
        <v>26.1</v>
      </c>
      <c r="I148" s="584">
        <v>0</v>
      </c>
      <c r="J148" s="584">
        <v>0</v>
      </c>
      <c r="K148" s="584">
        <v>0</v>
      </c>
      <c r="L148" s="584">
        <v>0</v>
      </c>
      <c r="M148" s="584">
        <v>0</v>
      </c>
      <c r="N148" s="584">
        <v>0</v>
      </c>
      <c r="O148" s="584">
        <v>0</v>
      </c>
      <c r="P148" s="584">
        <v>0</v>
      </c>
      <c r="Q148" s="584">
        <v>0</v>
      </c>
      <c r="R148" s="584">
        <v>0</v>
      </c>
      <c r="S148" s="584">
        <v>0</v>
      </c>
      <c r="T148" s="584">
        <v>524.69743749999998</v>
      </c>
      <c r="U148" s="584">
        <v>78.75</v>
      </c>
      <c r="V148" s="584">
        <v>975.18243749999999</v>
      </c>
      <c r="W148" s="584">
        <v>165.375</v>
      </c>
      <c r="X148" s="584">
        <v>1637.5409999999999</v>
      </c>
      <c r="Y148" s="584">
        <v>346.5</v>
      </c>
      <c r="Z148" s="584">
        <v>0.47499999999999998</v>
      </c>
      <c r="AA148" s="584">
        <v>0.47499999999999998</v>
      </c>
      <c r="AB148" s="584">
        <v>1140</v>
      </c>
      <c r="AC148" s="584">
        <v>27</v>
      </c>
      <c r="AD148" s="584">
        <v>0</v>
      </c>
      <c r="AE148" s="584">
        <v>0</v>
      </c>
      <c r="AF148" s="584">
        <v>0</v>
      </c>
      <c r="AG148" s="584">
        <v>0</v>
      </c>
      <c r="AH148" s="584">
        <v>0</v>
      </c>
      <c r="AI148" s="584">
        <v>0</v>
      </c>
      <c r="AJ148" s="584">
        <v>0</v>
      </c>
      <c r="AK148" s="584">
        <v>0</v>
      </c>
      <c r="AL148" s="584">
        <v>0</v>
      </c>
      <c r="AM148" s="584">
        <v>0</v>
      </c>
      <c r="AN148" s="584">
        <v>0</v>
      </c>
      <c r="AO148" s="584">
        <v>545.84743749999996</v>
      </c>
      <c r="AP148" s="584">
        <v>78.75</v>
      </c>
      <c r="AQ148" s="584">
        <v>1018.3636875</v>
      </c>
      <c r="AR148" s="584">
        <v>165.375</v>
      </c>
      <c r="AS148" s="584">
        <v>1725.7269375000001</v>
      </c>
      <c r="AT148" s="584">
        <v>346.5</v>
      </c>
      <c r="AU148" s="584">
        <v>0</v>
      </c>
      <c r="AV148" s="584">
        <v>0</v>
      </c>
      <c r="AW148" s="584">
        <v>0</v>
      </c>
      <c r="AX148" s="584">
        <v>0</v>
      </c>
      <c r="AY148" s="584">
        <v>0</v>
      </c>
      <c r="AZ148" s="584">
        <v>0</v>
      </c>
      <c r="BA148" s="584">
        <v>0</v>
      </c>
      <c r="BB148" s="584">
        <v>0</v>
      </c>
      <c r="BC148" s="584">
        <v>0</v>
      </c>
      <c r="BD148" s="584">
        <v>0</v>
      </c>
      <c r="BE148" s="584">
        <v>0</v>
      </c>
      <c r="BF148" s="584">
        <v>0</v>
      </c>
      <c r="BG148" s="584">
        <v>0</v>
      </c>
      <c r="BH148" s="584">
        <v>0</v>
      </c>
      <c r="BI148" s="584">
        <v>0</v>
      </c>
      <c r="BJ148" s="584">
        <v>0</v>
      </c>
      <c r="BK148" s="584">
        <v>0</v>
      </c>
      <c r="BL148" s="584">
        <v>0</v>
      </c>
      <c r="BM148" s="584">
        <v>0</v>
      </c>
      <c r="BN148" s="584">
        <v>0</v>
      </c>
      <c r="BO148" s="584">
        <v>0</v>
      </c>
      <c r="BP148" s="584">
        <v>1.05</v>
      </c>
      <c r="BQ148" s="584">
        <v>0.23</v>
      </c>
      <c r="BR148" s="584">
        <v>707.98257427778299</v>
      </c>
      <c r="BS148" s="584">
        <v>47.174019995887697</v>
      </c>
      <c r="BT148" s="584">
        <v>0</v>
      </c>
      <c r="BU148" s="584">
        <v>0</v>
      </c>
      <c r="BV148" s="584">
        <v>0</v>
      </c>
      <c r="BW148" s="584">
        <v>0</v>
      </c>
      <c r="BX148" s="584">
        <v>0</v>
      </c>
      <c r="BY148" s="584">
        <v>0</v>
      </c>
      <c r="BZ148" s="584">
        <v>0</v>
      </c>
      <c r="CA148" s="584">
        <v>0.5</v>
      </c>
      <c r="CB148" s="584">
        <v>1.05</v>
      </c>
      <c r="CC148" s="584">
        <v>0.45</v>
      </c>
      <c r="CD148" s="584">
        <v>0.45</v>
      </c>
      <c r="CE148" s="584">
        <v>411.24340000000001</v>
      </c>
      <c r="CF148" s="584">
        <v>78.75</v>
      </c>
      <c r="CG148" s="584">
        <v>691.64715000000001</v>
      </c>
      <c r="CH148" s="584">
        <v>165.375</v>
      </c>
      <c r="CI148" s="584">
        <v>1025.58465</v>
      </c>
      <c r="CJ148" s="584">
        <v>346.5</v>
      </c>
      <c r="CK148" s="584">
        <v>0</v>
      </c>
      <c r="CL148" s="584">
        <v>0</v>
      </c>
      <c r="CM148" s="584">
        <v>0</v>
      </c>
      <c r="CN148" s="584">
        <v>0</v>
      </c>
      <c r="CO148" s="584">
        <v>0</v>
      </c>
      <c r="CP148" s="584">
        <v>0</v>
      </c>
      <c r="CQ148" s="584">
        <v>0</v>
      </c>
      <c r="CR148" s="584">
        <v>0</v>
      </c>
      <c r="CS148" s="584">
        <v>0</v>
      </c>
      <c r="CT148" s="584">
        <v>0</v>
      </c>
      <c r="CU148" s="584">
        <v>0</v>
      </c>
      <c r="CV148" s="584">
        <v>0</v>
      </c>
      <c r="CW148" s="584">
        <v>0</v>
      </c>
      <c r="CX148" s="584">
        <v>0</v>
      </c>
      <c r="CY148" s="584">
        <v>0</v>
      </c>
      <c r="CZ148" s="584">
        <v>0</v>
      </c>
      <c r="DA148" s="584">
        <v>0</v>
      </c>
      <c r="DB148" s="584">
        <v>0</v>
      </c>
      <c r="DC148" s="584">
        <v>0</v>
      </c>
      <c r="DD148" s="584">
        <v>0</v>
      </c>
      <c r="DE148" s="584">
        <v>0</v>
      </c>
      <c r="DF148" s="584">
        <v>0.67500000000000004</v>
      </c>
      <c r="DG148" s="584">
        <v>0.2</v>
      </c>
      <c r="DH148" s="584">
        <v>484.516423357664</v>
      </c>
      <c r="DI148" s="584">
        <v>20.757699599054199</v>
      </c>
      <c r="DJ148" s="584">
        <v>300</v>
      </c>
      <c r="DK148" s="584">
        <v>0</v>
      </c>
      <c r="DL148" s="584">
        <v>0</v>
      </c>
      <c r="DM148" s="584">
        <v>0</v>
      </c>
      <c r="DN148" s="584">
        <v>0</v>
      </c>
      <c r="DO148" s="584">
        <v>0</v>
      </c>
      <c r="DP148" s="584">
        <v>0</v>
      </c>
      <c r="DQ148" s="584">
        <v>0</v>
      </c>
      <c r="DR148" s="584">
        <v>0.67500000000000004</v>
      </c>
      <c r="DS148" s="584">
        <v>0</v>
      </c>
      <c r="DT148" s="584">
        <v>2.4</v>
      </c>
      <c r="DU148" s="584">
        <v>384.70187499999997</v>
      </c>
      <c r="DV148" s="584">
        <v>78.75</v>
      </c>
      <c r="DW148" s="584">
        <v>694.11749999999995</v>
      </c>
      <c r="DX148" s="584">
        <v>165.375</v>
      </c>
      <c r="DY148" s="584">
        <v>1106.1367499999999</v>
      </c>
      <c r="DZ148" s="584">
        <v>346.5</v>
      </c>
      <c r="EA148" s="1062">
        <v>1.2407000000000001</v>
      </c>
      <c r="EB148" s="1046">
        <v>0.4</v>
      </c>
      <c r="EC148" s="1093">
        <v>132.51783893985737</v>
      </c>
      <c r="ED148" s="1046">
        <v>0</v>
      </c>
      <c r="EE148" s="1046">
        <v>519.87767584097855</v>
      </c>
      <c r="EF148" s="1046">
        <v>38.153968253968259</v>
      </c>
      <c r="EG148" s="1046">
        <v>0</v>
      </c>
      <c r="EH148" s="1046">
        <v>0</v>
      </c>
      <c r="EI148" s="1046" t="s">
        <v>379</v>
      </c>
      <c r="EJ148" s="1046" t="s">
        <v>420</v>
      </c>
      <c r="EK148" s="1046">
        <v>0</v>
      </c>
      <c r="EL148" s="1046">
        <v>0</v>
      </c>
      <c r="EM148" s="1046">
        <v>0</v>
      </c>
      <c r="EN148" s="1046">
        <v>0</v>
      </c>
      <c r="EO148" s="1046">
        <v>0</v>
      </c>
      <c r="EP148" s="1094">
        <v>229.14014850000007</v>
      </c>
      <c r="EQ148" s="1094">
        <v>78.75</v>
      </c>
      <c r="ER148" s="1094">
        <v>458.28029700000013</v>
      </c>
      <c r="ES148" s="1095">
        <v>157.5</v>
      </c>
      <c r="ET148" s="1094">
        <v>916.56059400000026</v>
      </c>
      <c r="EU148" s="1094">
        <v>315</v>
      </c>
      <c r="EV148" s="1096">
        <v>0.76719999999999999</v>
      </c>
      <c r="EW148" s="1097">
        <v>0.15</v>
      </c>
      <c r="EX148" s="1096">
        <v>289.50050968399592</v>
      </c>
      <c r="EY148" s="1096">
        <v>1.5443934760448521</v>
      </c>
      <c r="EZ148" s="1096">
        <v>0</v>
      </c>
      <c r="FA148" s="1096">
        <v>32.481746031746027</v>
      </c>
      <c r="FB148" s="1098">
        <v>0</v>
      </c>
      <c r="FC148" s="1098">
        <v>0</v>
      </c>
      <c r="FD148" s="1098" t="s">
        <v>404</v>
      </c>
      <c r="FE148" s="1098" t="s">
        <v>410</v>
      </c>
      <c r="FF148" s="1098">
        <v>2</v>
      </c>
      <c r="FG148" s="1098">
        <v>0</v>
      </c>
      <c r="FH148" s="1098">
        <v>0</v>
      </c>
      <c r="FI148" s="1098">
        <v>0</v>
      </c>
      <c r="FJ148" s="1098">
        <v>0</v>
      </c>
      <c r="FK148" s="1096">
        <v>119.18958749999999</v>
      </c>
      <c r="FL148" s="1096">
        <v>78.75</v>
      </c>
      <c r="FM148" s="1096">
        <v>238.37917499999998</v>
      </c>
      <c r="FN148" s="1096">
        <v>157.5</v>
      </c>
      <c r="FO148" s="1096">
        <v>476.75834999999995</v>
      </c>
      <c r="FP148" s="1099">
        <v>315</v>
      </c>
      <c r="FQ148" s="1064">
        <v>1.0990599999999999</v>
      </c>
      <c r="FR148" s="1065">
        <v>0.15</v>
      </c>
      <c r="FS148" s="1066">
        <v>289.50050968399586</v>
      </c>
      <c r="FT148" s="1066">
        <v>3.2237153637237084</v>
      </c>
      <c r="FU148" s="1065"/>
      <c r="FV148" s="1066">
        <v>56.608908870518952</v>
      </c>
      <c r="FW148" s="1065"/>
      <c r="FX148" s="1065"/>
      <c r="FY148" s="1065" t="s">
        <v>396</v>
      </c>
      <c r="FZ148" s="1065" t="s">
        <v>1102</v>
      </c>
      <c r="GA148" s="1065">
        <v>2</v>
      </c>
      <c r="GB148" s="1065"/>
      <c r="GC148" s="1065"/>
      <c r="GD148" s="1065"/>
      <c r="GE148" s="1065"/>
      <c r="GF148" s="1066">
        <v>123.6991783777445</v>
      </c>
      <c r="GG148" s="1066">
        <v>78.75</v>
      </c>
      <c r="GH148" s="1066">
        <v>247.398356755489</v>
      </c>
      <c r="GI148" s="1066">
        <v>157.5</v>
      </c>
      <c r="GJ148" s="1066">
        <v>494.79671351097801</v>
      </c>
      <c r="GK148" s="1066">
        <v>315</v>
      </c>
      <c r="GL148" s="584">
        <v>0.99070000000000003</v>
      </c>
      <c r="GM148" s="584">
        <v>0.15</v>
      </c>
      <c r="GN148" s="584"/>
      <c r="GO148" s="584"/>
      <c r="GP148" s="584"/>
      <c r="GQ148" s="584">
        <v>52.002380952381003</v>
      </c>
      <c r="GR148" s="584"/>
      <c r="GS148" s="584">
        <v>76.452599388379198</v>
      </c>
      <c r="GT148" s="584" t="s">
        <v>406</v>
      </c>
      <c r="GU148" s="584" t="s">
        <v>379</v>
      </c>
      <c r="GV148" s="584">
        <v>1</v>
      </c>
      <c r="GW148" s="584"/>
      <c r="GX148" s="584"/>
      <c r="GY148" s="584"/>
      <c r="GZ148" s="584"/>
      <c r="HA148" s="584">
        <v>55.444515750000001</v>
      </c>
      <c r="HB148" s="584">
        <v>78.75</v>
      </c>
      <c r="HC148" s="584">
        <v>110.8890315</v>
      </c>
      <c r="HD148" s="584">
        <v>157.5</v>
      </c>
      <c r="HE148" s="584">
        <v>221.778063</v>
      </c>
      <c r="HF148" s="584">
        <v>315</v>
      </c>
      <c r="HG148" s="1100">
        <v>1.27</v>
      </c>
      <c r="HH148" s="1100">
        <v>0.11</v>
      </c>
      <c r="HI148" s="1101">
        <v>0</v>
      </c>
      <c r="HJ148" s="1101">
        <v>0</v>
      </c>
      <c r="HK148" s="1101">
        <v>0</v>
      </c>
      <c r="HL148" s="1101">
        <v>0</v>
      </c>
      <c r="HM148" s="1101">
        <v>59.905714285714268</v>
      </c>
      <c r="HN148" s="1101">
        <v>54.999999999999993</v>
      </c>
      <c r="HO148" s="1101">
        <v>0</v>
      </c>
      <c r="HP148" s="1101">
        <v>0</v>
      </c>
      <c r="HQ148" s="1101">
        <v>2</v>
      </c>
      <c r="HR148" s="1101">
        <v>1.1599999999999999</v>
      </c>
      <c r="HS148" s="1101">
        <v>1.1599999999999999</v>
      </c>
      <c r="HT148" s="1101">
        <v>0.3</v>
      </c>
      <c r="HU148" s="1101">
        <v>0.28000000000000003</v>
      </c>
      <c r="HV148" s="1101">
        <v>51.257589299999999</v>
      </c>
      <c r="HW148" s="1101">
        <v>78.75</v>
      </c>
      <c r="HX148" s="1101">
        <v>102.5151786</v>
      </c>
      <c r="HY148" s="1101">
        <v>157.5</v>
      </c>
      <c r="HZ148" s="1101">
        <v>205.0303572</v>
      </c>
      <c r="IA148" s="1101">
        <v>315</v>
      </c>
      <c r="IB148" s="1062"/>
      <c r="IC148" s="1092"/>
      <c r="ID148" s="1050"/>
      <c r="IE148" s="1050"/>
      <c r="IF148" s="1103"/>
      <c r="IG148" s="1103"/>
      <c r="IH148" s="1103"/>
      <c r="II148" s="1103"/>
      <c r="IJ148" s="1103"/>
      <c r="IK148" s="1103"/>
      <c r="IL148" s="1103"/>
      <c r="IM148" s="1050"/>
      <c r="IN148" s="1050"/>
      <c r="IO148" s="1050"/>
      <c r="IP148" s="1050"/>
      <c r="IQ148" s="1103"/>
      <c r="IR148" s="1103"/>
      <c r="IS148" s="1103"/>
      <c r="IT148" s="1103"/>
      <c r="IU148" s="1103"/>
      <c r="IV148" s="1103"/>
      <c r="JS148" s="1092"/>
      <c r="JU148" s="1050"/>
      <c r="JV148" s="1103"/>
      <c r="JW148" s="1103"/>
      <c r="JX148" s="1103"/>
      <c r="JY148" s="1103"/>
      <c r="JZ148" s="1103"/>
      <c r="KA148" s="1103"/>
      <c r="KB148" s="1103"/>
      <c r="KC148" s="1050"/>
      <c r="KD148" s="1050"/>
      <c r="KE148" s="1050"/>
      <c r="KF148" s="1050"/>
      <c r="KG148" s="1103"/>
      <c r="KH148" s="1103"/>
      <c r="KI148" s="1103"/>
      <c r="KJ148" s="1103"/>
      <c r="KK148" s="1103"/>
      <c r="KL148" s="1103"/>
      <c r="KM148" s="1103"/>
      <c r="KN148" s="1103"/>
    </row>
    <row r="149" spans="2:300">
      <c r="B149" s="1048" t="str">
        <f t="shared" si="4"/>
        <v>R915</v>
      </c>
      <c r="C149" s="1046">
        <v>9</v>
      </c>
      <c r="D149" s="1092">
        <v>15</v>
      </c>
      <c r="E149" s="584">
        <v>0</v>
      </c>
      <c r="F149" s="584">
        <v>0</v>
      </c>
      <c r="G149" s="584">
        <v>0</v>
      </c>
      <c r="H149" s="584">
        <v>0</v>
      </c>
      <c r="I149" s="584">
        <v>0</v>
      </c>
      <c r="J149" s="584">
        <v>0</v>
      </c>
      <c r="K149" s="584">
        <v>0</v>
      </c>
      <c r="L149" s="584">
        <v>0</v>
      </c>
      <c r="M149" s="584">
        <v>0</v>
      </c>
      <c r="N149" s="584">
        <v>0</v>
      </c>
      <c r="O149" s="584">
        <v>0</v>
      </c>
      <c r="P149" s="584">
        <v>0</v>
      </c>
      <c r="Q149" s="584">
        <v>0</v>
      </c>
      <c r="R149" s="584">
        <v>0</v>
      </c>
      <c r="S149" s="584">
        <v>0</v>
      </c>
      <c r="T149" s="584">
        <v>0</v>
      </c>
      <c r="U149" s="584">
        <v>0</v>
      </c>
      <c r="V149" s="584">
        <v>0</v>
      </c>
      <c r="W149" s="584">
        <v>0</v>
      </c>
      <c r="X149" s="584">
        <v>0</v>
      </c>
      <c r="Y149" s="584">
        <v>0</v>
      </c>
      <c r="Z149" s="584">
        <v>0</v>
      </c>
      <c r="AA149" s="584">
        <v>0</v>
      </c>
      <c r="AB149" s="584">
        <v>0</v>
      </c>
      <c r="AC149" s="584">
        <v>0</v>
      </c>
      <c r="AD149" s="584">
        <v>0</v>
      </c>
      <c r="AE149" s="584">
        <v>0</v>
      </c>
      <c r="AF149" s="584">
        <v>0</v>
      </c>
      <c r="AG149" s="584">
        <v>0</v>
      </c>
      <c r="AH149" s="584">
        <v>0</v>
      </c>
      <c r="AI149" s="584">
        <v>0</v>
      </c>
      <c r="AJ149" s="584">
        <v>0</v>
      </c>
      <c r="AK149" s="584">
        <v>0</v>
      </c>
      <c r="AL149" s="584">
        <v>0</v>
      </c>
      <c r="AM149" s="584">
        <v>0</v>
      </c>
      <c r="AN149" s="584">
        <v>0</v>
      </c>
      <c r="AO149" s="584">
        <v>0</v>
      </c>
      <c r="AP149" s="584">
        <v>0</v>
      </c>
      <c r="AQ149" s="584">
        <v>0</v>
      </c>
      <c r="AR149" s="584">
        <v>0</v>
      </c>
      <c r="AS149" s="584">
        <v>0</v>
      </c>
      <c r="AT149" s="584">
        <v>0</v>
      </c>
      <c r="AU149" s="584">
        <v>0</v>
      </c>
      <c r="AV149" s="584">
        <v>0</v>
      </c>
      <c r="AW149" s="584">
        <v>0</v>
      </c>
      <c r="AX149" s="584">
        <v>0</v>
      </c>
      <c r="AY149" s="584">
        <v>0</v>
      </c>
      <c r="AZ149" s="584">
        <v>0</v>
      </c>
      <c r="BA149" s="584">
        <v>0</v>
      </c>
      <c r="BB149" s="584">
        <v>0</v>
      </c>
      <c r="BC149" s="584">
        <v>0</v>
      </c>
      <c r="BD149" s="584">
        <v>0</v>
      </c>
      <c r="BE149" s="584">
        <v>0</v>
      </c>
      <c r="BF149" s="584">
        <v>0</v>
      </c>
      <c r="BG149" s="584">
        <v>0</v>
      </c>
      <c r="BH149" s="584">
        <v>0</v>
      </c>
      <c r="BI149" s="584">
        <v>0</v>
      </c>
      <c r="BJ149" s="584">
        <v>0</v>
      </c>
      <c r="BK149" s="584">
        <v>0</v>
      </c>
      <c r="BL149" s="584">
        <v>0</v>
      </c>
      <c r="BM149" s="584">
        <v>0</v>
      </c>
      <c r="BN149" s="584">
        <v>0</v>
      </c>
      <c r="BO149" s="584">
        <v>0</v>
      </c>
      <c r="BP149" s="584">
        <v>0</v>
      </c>
      <c r="BQ149" s="584">
        <v>0</v>
      </c>
      <c r="BR149" s="584">
        <v>0</v>
      </c>
      <c r="BS149" s="584">
        <v>0</v>
      </c>
      <c r="BT149" s="584">
        <v>0</v>
      </c>
      <c r="BU149" s="584">
        <v>0</v>
      </c>
      <c r="BV149" s="584">
        <v>0</v>
      </c>
      <c r="BW149" s="584">
        <v>0</v>
      </c>
      <c r="BX149" s="584">
        <v>0</v>
      </c>
      <c r="BY149" s="584">
        <v>0</v>
      </c>
      <c r="BZ149" s="584">
        <v>0</v>
      </c>
      <c r="CA149" s="584">
        <v>0</v>
      </c>
      <c r="CB149" s="584">
        <v>0</v>
      </c>
      <c r="CC149" s="584">
        <v>0</v>
      </c>
      <c r="CD149" s="584">
        <v>0</v>
      </c>
      <c r="CE149" s="584">
        <v>0</v>
      </c>
      <c r="CF149" s="584">
        <v>0</v>
      </c>
      <c r="CG149" s="584">
        <v>0</v>
      </c>
      <c r="CH149" s="584">
        <v>0</v>
      </c>
      <c r="CI149" s="584">
        <v>0</v>
      </c>
      <c r="CJ149" s="584">
        <v>0</v>
      </c>
      <c r="CK149" s="584">
        <v>0</v>
      </c>
      <c r="CL149" s="584">
        <v>0</v>
      </c>
      <c r="CM149" s="584">
        <v>0</v>
      </c>
      <c r="CN149" s="584">
        <v>0</v>
      </c>
      <c r="CO149" s="584">
        <v>0</v>
      </c>
      <c r="CP149" s="584">
        <v>0</v>
      </c>
      <c r="CQ149" s="584">
        <v>0</v>
      </c>
      <c r="CR149" s="584">
        <v>0</v>
      </c>
      <c r="CS149" s="584">
        <v>0</v>
      </c>
      <c r="CT149" s="584">
        <v>0</v>
      </c>
      <c r="CU149" s="584">
        <v>0</v>
      </c>
      <c r="CV149" s="584">
        <v>0</v>
      </c>
      <c r="CW149" s="584">
        <v>0</v>
      </c>
      <c r="CX149" s="584">
        <v>0</v>
      </c>
      <c r="CY149" s="584">
        <v>0</v>
      </c>
      <c r="CZ149" s="584">
        <v>0</v>
      </c>
      <c r="DA149" s="584">
        <v>0</v>
      </c>
      <c r="DB149" s="584">
        <v>0</v>
      </c>
      <c r="DC149" s="584">
        <v>0</v>
      </c>
      <c r="DD149" s="584">
        <v>0</v>
      </c>
      <c r="DE149" s="584">
        <v>0</v>
      </c>
      <c r="DF149" s="584">
        <v>0</v>
      </c>
      <c r="DG149" s="584">
        <v>0</v>
      </c>
      <c r="DH149" s="584">
        <v>0</v>
      </c>
      <c r="DI149" s="584">
        <v>0</v>
      </c>
      <c r="DJ149" s="584">
        <v>0</v>
      </c>
      <c r="DK149" s="584">
        <v>0</v>
      </c>
      <c r="DL149" s="584">
        <v>0</v>
      </c>
      <c r="DM149" s="584">
        <v>0</v>
      </c>
      <c r="DN149" s="584">
        <v>0</v>
      </c>
      <c r="DO149" s="584">
        <v>0</v>
      </c>
      <c r="DP149" s="584">
        <v>0</v>
      </c>
      <c r="DQ149" s="584">
        <v>0</v>
      </c>
      <c r="DR149" s="584">
        <v>0</v>
      </c>
      <c r="DS149" s="584">
        <v>0</v>
      </c>
      <c r="DT149" s="584">
        <v>0</v>
      </c>
      <c r="DU149" s="584">
        <v>0</v>
      </c>
      <c r="DV149" s="584">
        <v>0</v>
      </c>
      <c r="DW149" s="584">
        <v>0</v>
      </c>
      <c r="DX149" s="584">
        <v>0</v>
      </c>
      <c r="DY149" s="584">
        <v>0</v>
      </c>
      <c r="DZ149" s="584">
        <v>0</v>
      </c>
      <c r="EA149" s="1062">
        <v>1.3009000000000002</v>
      </c>
      <c r="EB149" s="1046">
        <v>0.45</v>
      </c>
      <c r="EC149" s="1093">
        <v>132.51783893985726</v>
      </c>
      <c r="ED149" s="1046">
        <v>0</v>
      </c>
      <c r="EE149" s="1046">
        <v>581.03975535168195</v>
      </c>
      <c r="EF149" s="1046">
        <v>45.466666666666669</v>
      </c>
      <c r="EG149" s="1046">
        <v>0</v>
      </c>
      <c r="EH149" s="1046">
        <v>0</v>
      </c>
      <c r="EI149" s="1046" t="s">
        <v>377</v>
      </c>
      <c r="EJ149" s="1046" t="s">
        <v>418</v>
      </c>
      <c r="EK149" s="1046">
        <v>0</v>
      </c>
      <c r="EL149" s="1046">
        <v>0</v>
      </c>
      <c r="EM149" s="1046">
        <v>0</v>
      </c>
      <c r="EN149" s="1046">
        <v>0</v>
      </c>
      <c r="EO149" s="1046">
        <v>0</v>
      </c>
      <c r="EP149" s="1094">
        <v>268.17844500000001</v>
      </c>
      <c r="EQ149" s="1094">
        <v>84.375</v>
      </c>
      <c r="ER149" s="1094">
        <v>536.35689000000002</v>
      </c>
      <c r="ES149" s="1095">
        <v>168.75</v>
      </c>
      <c r="ET149" s="1094">
        <v>1072.71378</v>
      </c>
      <c r="EU149" s="1094">
        <v>337.5</v>
      </c>
      <c r="EV149" s="1096">
        <v>0.83350000000000002</v>
      </c>
      <c r="EW149" s="1097">
        <v>0.15</v>
      </c>
      <c r="EX149" s="1096">
        <v>289.50050968399592</v>
      </c>
      <c r="EY149" s="1096">
        <v>1.5443934760448521</v>
      </c>
      <c r="EZ149" s="1096">
        <v>0</v>
      </c>
      <c r="FA149" s="1096">
        <v>31.828888888888887</v>
      </c>
      <c r="FB149" s="1098">
        <v>0</v>
      </c>
      <c r="FC149" s="1098">
        <v>0</v>
      </c>
      <c r="FD149" s="1098" t="s">
        <v>394</v>
      </c>
      <c r="FE149" s="1098" t="s">
        <v>410</v>
      </c>
      <c r="FF149" s="1098">
        <v>2</v>
      </c>
      <c r="FG149" s="1098">
        <v>0</v>
      </c>
      <c r="FH149" s="1098">
        <v>0</v>
      </c>
      <c r="FI149" s="1098">
        <v>0</v>
      </c>
      <c r="FJ149" s="1098">
        <v>0</v>
      </c>
      <c r="FK149" s="1096">
        <v>127.48697662500003</v>
      </c>
      <c r="FL149" s="1096">
        <v>84.375</v>
      </c>
      <c r="FM149" s="1096">
        <v>254.97395325000005</v>
      </c>
      <c r="FN149" s="1096">
        <v>168.75</v>
      </c>
      <c r="FO149" s="1096">
        <v>509.9479065000001</v>
      </c>
      <c r="FP149" s="1099">
        <v>337.5</v>
      </c>
      <c r="FQ149" s="1064">
        <v>1.2</v>
      </c>
      <c r="FR149" s="1065">
        <v>0.15</v>
      </c>
      <c r="FS149" s="1066">
        <v>289.50050968399586</v>
      </c>
      <c r="FT149" s="1066">
        <v>3.2237153637237084</v>
      </c>
      <c r="FU149" s="1065"/>
      <c r="FV149" s="1066">
        <v>64.185954234601041</v>
      </c>
      <c r="FW149" s="1065"/>
      <c r="FX149" s="1065"/>
      <c r="FY149" s="1065" t="s">
        <v>389</v>
      </c>
      <c r="FZ149" s="1065" t="s">
        <v>408</v>
      </c>
      <c r="GA149" s="1065">
        <v>2</v>
      </c>
      <c r="GB149" s="1065"/>
      <c r="GC149" s="1065"/>
      <c r="GD149" s="1065"/>
      <c r="GE149" s="1065"/>
      <c r="GF149" s="1066">
        <v>135.04349898313532</v>
      </c>
      <c r="GG149" s="1066">
        <v>84.375</v>
      </c>
      <c r="GH149" s="1066">
        <v>270.08699796627064</v>
      </c>
      <c r="GI149" s="1066">
        <v>168.75</v>
      </c>
      <c r="GJ149" s="1066">
        <v>540.17399593254129</v>
      </c>
      <c r="GK149" s="1066">
        <v>337.5</v>
      </c>
      <c r="GL149" s="584">
        <v>1.0529999999999999</v>
      </c>
      <c r="GM149" s="584">
        <v>0.15</v>
      </c>
      <c r="GN149" s="584"/>
      <c r="GO149" s="584"/>
      <c r="GP149" s="584"/>
      <c r="GQ149" s="584">
        <v>52.984444444444399</v>
      </c>
      <c r="GR149" s="584"/>
      <c r="GS149" s="584">
        <v>76.452599388379198</v>
      </c>
      <c r="GT149" s="584" t="s">
        <v>406</v>
      </c>
      <c r="GU149" s="584" t="s">
        <v>375</v>
      </c>
      <c r="GV149" s="584">
        <v>1</v>
      </c>
      <c r="GW149" s="584"/>
      <c r="GX149" s="584"/>
      <c r="GY149" s="584"/>
      <c r="GZ149" s="584"/>
      <c r="HA149" s="584">
        <v>59.729987250000001</v>
      </c>
      <c r="HB149" s="584">
        <v>84.375</v>
      </c>
      <c r="HC149" s="584">
        <v>119.4599745</v>
      </c>
      <c r="HD149" s="584">
        <v>168.75</v>
      </c>
      <c r="HE149" s="584">
        <v>238.919949</v>
      </c>
      <c r="HF149" s="584">
        <v>337.5</v>
      </c>
      <c r="HG149" s="1100">
        <v>1.4700000000000002</v>
      </c>
      <c r="HH149" s="1100">
        <v>0.11</v>
      </c>
      <c r="HI149" s="1101">
        <v>0</v>
      </c>
      <c r="HJ149" s="1101">
        <v>0</v>
      </c>
      <c r="HK149" s="1101">
        <v>0</v>
      </c>
      <c r="HL149" s="1101">
        <v>0</v>
      </c>
      <c r="HM149" s="1101">
        <v>67.2</v>
      </c>
      <c r="HN149" s="1101">
        <v>54.999999999999993</v>
      </c>
      <c r="HO149" s="1101">
        <v>0</v>
      </c>
      <c r="HP149" s="1101">
        <v>0</v>
      </c>
      <c r="HQ149" s="1101">
        <v>2</v>
      </c>
      <c r="HR149" s="1101">
        <v>1.1200000000000001</v>
      </c>
      <c r="HS149" s="1101">
        <v>1.36</v>
      </c>
      <c r="HT149" s="1101">
        <v>0.3</v>
      </c>
      <c r="HU149" s="1101">
        <v>0.28000000000000003</v>
      </c>
      <c r="HV149" s="1101">
        <v>57.333892499999997</v>
      </c>
      <c r="HW149" s="1101">
        <v>84.375</v>
      </c>
      <c r="HX149" s="1101">
        <v>114.66778499999999</v>
      </c>
      <c r="HY149" s="1101">
        <v>168.75</v>
      </c>
      <c r="HZ149" s="1101">
        <v>229.33556999999999</v>
      </c>
      <c r="IA149" s="1101">
        <v>337.5</v>
      </c>
      <c r="IB149" s="1062"/>
      <c r="IC149" s="1092"/>
      <c r="ID149" s="1050"/>
      <c r="IE149" s="1050"/>
      <c r="IF149" s="1103"/>
      <c r="IG149" s="1103"/>
      <c r="IH149" s="1103"/>
      <c r="II149" s="1103"/>
      <c r="IJ149" s="1103"/>
      <c r="IK149" s="1103"/>
      <c r="IL149" s="1103"/>
      <c r="IM149" s="1050"/>
      <c r="IN149" s="1050"/>
      <c r="IO149" s="1050"/>
      <c r="IP149" s="1050"/>
      <c r="IQ149" s="1103"/>
      <c r="IR149" s="1103"/>
      <c r="IS149" s="1103"/>
      <c r="IT149" s="1103"/>
      <c r="IU149" s="1103"/>
      <c r="IV149" s="1103"/>
      <c r="JS149" s="1092"/>
      <c r="JU149" s="1050"/>
      <c r="JV149" s="1103"/>
      <c r="JW149" s="1103"/>
      <c r="JX149" s="1103"/>
      <c r="JY149" s="1103"/>
      <c r="JZ149" s="1103"/>
      <c r="KA149" s="1103"/>
      <c r="KB149" s="1103"/>
      <c r="KC149" s="1050"/>
      <c r="KD149" s="1050"/>
      <c r="KE149" s="1050"/>
      <c r="KF149" s="1050"/>
      <c r="KG149" s="1103"/>
      <c r="KH149" s="1103"/>
      <c r="KI149" s="1103"/>
      <c r="KJ149" s="1103"/>
      <c r="KK149" s="1103"/>
      <c r="KL149" s="1103"/>
      <c r="KM149" s="1103"/>
      <c r="KN149" s="1103"/>
    </row>
    <row r="150" spans="2:300">
      <c r="B150" s="1048" t="str">
        <f t="shared" si="4"/>
        <v>R916</v>
      </c>
      <c r="C150" s="1046">
        <v>9</v>
      </c>
      <c r="D150" s="1092">
        <v>16</v>
      </c>
      <c r="E150" s="584">
        <v>0</v>
      </c>
      <c r="F150" s="584">
        <v>0</v>
      </c>
      <c r="G150" s="584">
        <v>0</v>
      </c>
      <c r="H150" s="584">
        <v>0</v>
      </c>
      <c r="I150" s="584">
        <v>0</v>
      </c>
      <c r="J150" s="584">
        <v>0</v>
      </c>
      <c r="K150" s="584">
        <v>0</v>
      </c>
      <c r="L150" s="584">
        <v>0</v>
      </c>
      <c r="M150" s="584">
        <v>0</v>
      </c>
      <c r="N150" s="584">
        <v>0</v>
      </c>
      <c r="O150" s="584">
        <v>0</v>
      </c>
      <c r="P150" s="584">
        <v>0</v>
      </c>
      <c r="Q150" s="584">
        <v>0</v>
      </c>
      <c r="R150" s="584">
        <v>0</v>
      </c>
      <c r="S150" s="584">
        <v>0</v>
      </c>
      <c r="T150" s="584">
        <v>0</v>
      </c>
      <c r="U150" s="584">
        <v>0</v>
      </c>
      <c r="V150" s="584">
        <v>0</v>
      </c>
      <c r="W150" s="584">
        <v>0</v>
      </c>
      <c r="X150" s="584">
        <v>0</v>
      </c>
      <c r="Y150" s="584">
        <v>0</v>
      </c>
      <c r="Z150" s="584">
        <v>0</v>
      </c>
      <c r="AA150" s="584">
        <v>0</v>
      </c>
      <c r="AB150" s="584">
        <v>0</v>
      </c>
      <c r="AC150" s="584">
        <v>0</v>
      </c>
      <c r="AD150" s="584">
        <v>0</v>
      </c>
      <c r="AE150" s="584">
        <v>0</v>
      </c>
      <c r="AF150" s="584">
        <v>0</v>
      </c>
      <c r="AG150" s="584">
        <v>0</v>
      </c>
      <c r="AH150" s="584">
        <v>0</v>
      </c>
      <c r="AI150" s="584">
        <v>0</v>
      </c>
      <c r="AJ150" s="584">
        <v>0</v>
      </c>
      <c r="AK150" s="584">
        <v>0</v>
      </c>
      <c r="AL150" s="584">
        <v>0</v>
      </c>
      <c r="AM150" s="584">
        <v>0</v>
      </c>
      <c r="AN150" s="584">
        <v>0</v>
      </c>
      <c r="AO150" s="584">
        <v>156.94743750000001</v>
      </c>
      <c r="AP150" s="584">
        <v>90</v>
      </c>
      <c r="AQ150" s="584">
        <v>222.61743749999999</v>
      </c>
      <c r="AR150" s="584">
        <v>189</v>
      </c>
      <c r="AS150" s="584">
        <v>88.191000000000003</v>
      </c>
      <c r="AT150" s="584">
        <v>396</v>
      </c>
      <c r="AU150" s="584">
        <v>0</v>
      </c>
      <c r="AV150" s="584">
        <v>0</v>
      </c>
      <c r="AW150" s="584">
        <v>0</v>
      </c>
      <c r="AX150" s="584">
        <v>0</v>
      </c>
      <c r="AY150" s="584">
        <v>0</v>
      </c>
      <c r="AZ150" s="584">
        <v>0</v>
      </c>
      <c r="BA150" s="584">
        <v>0</v>
      </c>
      <c r="BB150" s="584">
        <v>0</v>
      </c>
      <c r="BC150" s="584">
        <v>0</v>
      </c>
      <c r="BD150" s="584">
        <v>0</v>
      </c>
      <c r="BE150" s="584">
        <v>0</v>
      </c>
      <c r="BF150" s="584">
        <v>0</v>
      </c>
      <c r="BG150" s="584">
        <v>0</v>
      </c>
      <c r="BH150" s="584">
        <v>0</v>
      </c>
      <c r="BI150" s="584">
        <v>0</v>
      </c>
      <c r="BJ150" s="584">
        <v>0</v>
      </c>
      <c r="BK150" s="584">
        <v>0</v>
      </c>
      <c r="BL150" s="584">
        <v>0</v>
      </c>
      <c r="BM150" s="584">
        <v>0</v>
      </c>
      <c r="BN150" s="584">
        <v>0</v>
      </c>
      <c r="BO150" s="584">
        <v>0</v>
      </c>
      <c r="BP150" s="584">
        <v>0</v>
      </c>
      <c r="BQ150" s="584">
        <v>0</v>
      </c>
      <c r="BR150" s="584">
        <v>0</v>
      </c>
      <c r="BS150" s="584">
        <v>0</v>
      </c>
      <c r="BT150" s="584">
        <v>0</v>
      </c>
      <c r="BU150" s="584">
        <v>0</v>
      </c>
      <c r="BV150" s="584">
        <v>0</v>
      </c>
      <c r="BW150" s="584">
        <v>0</v>
      </c>
      <c r="BX150" s="584">
        <v>0</v>
      </c>
      <c r="BY150" s="584">
        <v>0</v>
      </c>
      <c r="BZ150" s="584">
        <v>0</v>
      </c>
      <c r="CA150" s="584">
        <v>0</v>
      </c>
      <c r="CB150" s="584">
        <v>0</v>
      </c>
      <c r="CC150" s="584">
        <v>0</v>
      </c>
      <c r="CD150" s="584">
        <v>0</v>
      </c>
      <c r="CE150" s="584">
        <v>0</v>
      </c>
      <c r="CF150" s="584">
        <v>0</v>
      </c>
      <c r="CG150" s="584">
        <v>0</v>
      </c>
      <c r="CH150" s="584">
        <v>0</v>
      </c>
      <c r="CI150" s="584">
        <v>0</v>
      </c>
      <c r="CJ150" s="584">
        <v>0</v>
      </c>
      <c r="CK150" s="584">
        <v>0</v>
      </c>
      <c r="CL150" s="584">
        <v>0</v>
      </c>
      <c r="CM150" s="584">
        <v>0</v>
      </c>
      <c r="CN150" s="584">
        <v>0</v>
      </c>
      <c r="CO150" s="584">
        <v>0</v>
      </c>
      <c r="CP150" s="584">
        <v>0</v>
      </c>
      <c r="CQ150" s="584">
        <v>0</v>
      </c>
      <c r="CR150" s="584">
        <v>0</v>
      </c>
      <c r="CS150" s="584">
        <v>0</v>
      </c>
      <c r="CT150" s="584">
        <v>0</v>
      </c>
      <c r="CU150" s="584">
        <v>0</v>
      </c>
      <c r="CV150" s="584">
        <v>0</v>
      </c>
      <c r="CW150" s="584">
        <v>0</v>
      </c>
      <c r="CX150" s="584">
        <v>0</v>
      </c>
      <c r="CY150" s="584">
        <v>0</v>
      </c>
      <c r="CZ150" s="584">
        <v>0</v>
      </c>
      <c r="DA150" s="584">
        <v>0</v>
      </c>
      <c r="DB150" s="584">
        <v>0</v>
      </c>
      <c r="DC150" s="584">
        <v>0</v>
      </c>
      <c r="DD150" s="584">
        <v>0</v>
      </c>
      <c r="DE150" s="584">
        <v>0</v>
      </c>
      <c r="DF150" s="584">
        <v>0</v>
      </c>
      <c r="DG150" s="584">
        <v>0</v>
      </c>
      <c r="DH150" s="584">
        <v>0</v>
      </c>
      <c r="DI150" s="584">
        <v>0</v>
      </c>
      <c r="DJ150" s="584">
        <v>0</v>
      </c>
      <c r="DK150" s="584">
        <v>0</v>
      </c>
      <c r="DL150" s="584">
        <v>0</v>
      </c>
      <c r="DM150" s="584">
        <v>0</v>
      </c>
      <c r="DN150" s="584">
        <v>0</v>
      </c>
      <c r="DO150" s="584">
        <v>0</v>
      </c>
      <c r="DP150" s="584">
        <v>0</v>
      </c>
      <c r="DQ150" s="584">
        <v>0</v>
      </c>
      <c r="DR150" s="584">
        <v>0</v>
      </c>
      <c r="DS150" s="584">
        <v>0</v>
      </c>
      <c r="DT150" s="584">
        <v>0</v>
      </c>
      <c r="DU150" s="584">
        <v>0</v>
      </c>
      <c r="DV150" s="584">
        <v>0</v>
      </c>
      <c r="DW150" s="584">
        <v>0</v>
      </c>
      <c r="DX150" s="584">
        <v>0</v>
      </c>
      <c r="DY150" s="584">
        <v>0</v>
      </c>
      <c r="DZ150" s="584">
        <v>0</v>
      </c>
      <c r="EA150" s="1062">
        <v>0</v>
      </c>
      <c r="EB150" s="1046">
        <v>0</v>
      </c>
      <c r="EC150" s="1093">
        <v>0</v>
      </c>
      <c r="ED150" s="1046">
        <v>0</v>
      </c>
      <c r="EE150" s="1046">
        <v>0</v>
      </c>
      <c r="EF150" s="1046">
        <v>0</v>
      </c>
      <c r="EG150" s="1046">
        <v>0</v>
      </c>
      <c r="EH150" s="1046">
        <v>0</v>
      </c>
      <c r="EI150" s="1046">
        <v>0</v>
      </c>
      <c r="EJ150" s="1046">
        <v>0</v>
      </c>
      <c r="EK150" s="1046">
        <v>0</v>
      </c>
      <c r="EL150" s="1046">
        <v>0</v>
      </c>
      <c r="EM150" s="1046">
        <v>0</v>
      </c>
      <c r="EN150" s="1046">
        <v>0</v>
      </c>
      <c r="EO150" s="1046">
        <v>0</v>
      </c>
      <c r="EP150" s="1094">
        <v>0</v>
      </c>
      <c r="EQ150" s="1094">
        <v>0</v>
      </c>
      <c r="ER150" s="1094">
        <v>0</v>
      </c>
      <c r="ES150" s="1095">
        <v>0</v>
      </c>
      <c r="ET150" s="1094">
        <v>0</v>
      </c>
      <c r="EU150" s="1094">
        <v>0</v>
      </c>
      <c r="EV150" s="1096">
        <v>0.83350000000000002</v>
      </c>
      <c r="EW150" s="1097">
        <v>0.15</v>
      </c>
      <c r="EX150" s="1096">
        <v>289.50050968399592</v>
      </c>
      <c r="EY150" s="1096">
        <v>1.5443934760448521</v>
      </c>
      <c r="EZ150" s="1096">
        <v>0</v>
      </c>
      <c r="FA150" s="1096">
        <v>36.578472222222224</v>
      </c>
      <c r="FB150" s="1098">
        <v>0</v>
      </c>
      <c r="FC150" s="1098">
        <v>0</v>
      </c>
      <c r="FD150" s="1098" t="s">
        <v>394</v>
      </c>
      <c r="FE150" s="1098" t="s">
        <v>396</v>
      </c>
      <c r="FF150" s="1098">
        <v>2</v>
      </c>
      <c r="FG150" s="1098">
        <v>0</v>
      </c>
      <c r="FH150" s="1098">
        <v>0</v>
      </c>
      <c r="FI150" s="1098">
        <v>0</v>
      </c>
      <c r="FJ150" s="1098">
        <v>0</v>
      </c>
      <c r="FK150" s="1096">
        <v>137.66347125000001</v>
      </c>
      <c r="FL150" s="1096">
        <v>90</v>
      </c>
      <c r="FM150" s="1096">
        <v>275.32694250000003</v>
      </c>
      <c r="FN150" s="1096">
        <v>180</v>
      </c>
      <c r="FO150" s="1096">
        <v>550.65388500000006</v>
      </c>
      <c r="FP150" s="1099">
        <v>360</v>
      </c>
      <c r="FQ150" s="1064">
        <v>1.2056</v>
      </c>
      <c r="FR150" s="1065">
        <v>0.15</v>
      </c>
      <c r="FS150" s="1066">
        <v>289.50050968399586</v>
      </c>
      <c r="FT150" s="1066">
        <v>3.2237153637237084</v>
      </c>
      <c r="FU150" s="1065"/>
      <c r="FV150" s="1066">
        <v>68.897029716117089</v>
      </c>
      <c r="FW150" s="1065"/>
      <c r="FX150" s="1065"/>
      <c r="FY150" s="1065" t="s">
        <v>387</v>
      </c>
      <c r="FZ150" s="1065" t="s">
        <v>396</v>
      </c>
      <c r="GA150" s="1065">
        <v>2</v>
      </c>
      <c r="GB150" s="1065"/>
      <c r="GC150" s="1065"/>
      <c r="GD150" s="1065"/>
      <c r="GE150" s="1065"/>
      <c r="GF150" s="1066">
        <v>145.71016233239652</v>
      </c>
      <c r="GG150" s="1066">
        <v>90</v>
      </c>
      <c r="GH150" s="1066">
        <v>291.42032466479304</v>
      </c>
      <c r="GI150" s="1066">
        <v>180</v>
      </c>
      <c r="GJ150" s="1066">
        <v>582.84064932958609</v>
      </c>
      <c r="GK150" s="1066">
        <v>360</v>
      </c>
      <c r="GL150" s="584">
        <v>1.1301000000000001</v>
      </c>
      <c r="GM150" s="584">
        <v>0.15</v>
      </c>
      <c r="GN150" s="584"/>
      <c r="GO150" s="584"/>
      <c r="GP150" s="584"/>
      <c r="GQ150" s="584">
        <v>63.091666666666697</v>
      </c>
      <c r="GR150" s="584"/>
      <c r="GS150" s="584">
        <v>76.452599388379198</v>
      </c>
      <c r="GT150" s="584" t="s">
        <v>396</v>
      </c>
      <c r="GU150" s="584" t="s">
        <v>349</v>
      </c>
      <c r="GV150" s="584">
        <v>1</v>
      </c>
      <c r="GW150" s="584"/>
      <c r="GX150" s="584"/>
      <c r="GY150" s="584"/>
      <c r="GZ150" s="584"/>
      <c r="HA150" s="584">
        <v>67.281452999999999</v>
      </c>
      <c r="HB150" s="584">
        <v>90</v>
      </c>
      <c r="HC150" s="584">
        <v>134.562906</v>
      </c>
      <c r="HD150" s="584">
        <v>180</v>
      </c>
      <c r="HE150" s="584">
        <v>269.125812</v>
      </c>
      <c r="HF150" s="584">
        <v>360</v>
      </c>
      <c r="HG150" s="1100">
        <v>1.55</v>
      </c>
      <c r="HH150" s="1100">
        <v>0.11</v>
      </c>
      <c r="HI150" s="1101">
        <v>0</v>
      </c>
      <c r="HJ150" s="1101">
        <v>0</v>
      </c>
      <c r="HK150" s="1101">
        <v>0</v>
      </c>
      <c r="HL150" s="1101">
        <v>0</v>
      </c>
      <c r="HM150" s="1101">
        <v>70.605000000000004</v>
      </c>
      <c r="HN150" s="1101">
        <v>54.999999999999993</v>
      </c>
      <c r="HO150" s="1101">
        <v>0</v>
      </c>
      <c r="HP150" s="1101">
        <v>0</v>
      </c>
      <c r="HQ150" s="1101">
        <v>2</v>
      </c>
      <c r="HR150" s="1101">
        <v>1.2</v>
      </c>
      <c r="HS150" s="1101">
        <v>1.44</v>
      </c>
      <c r="HT150" s="1101">
        <v>0.3</v>
      </c>
      <c r="HU150" s="1101">
        <v>0.28000000000000003</v>
      </c>
      <c r="HV150" s="1101">
        <v>62.3586618</v>
      </c>
      <c r="HW150" s="1101">
        <v>90</v>
      </c>
      <c r="HX150" s="1101">
        <v>124.7173236</v>
      </c>
      <c r="HY150" s="1101">
        <v>180</v>
      </c>
      <c r="HZ150" s="1101">
        <v>249.4346472</v>
      </c>
      <c r="IA150" s="1101">
        <v>360</v>
      </c>
      <c r="IB150" s="1062"/>
      <c r="IC150" s="1092"/>
      <c r="ID150" s="1050"/>
      <c r="IE150" s="1050"/>
      <c r="IF150" s="1103"/>
      <c r="IG150" s="1103"/>
      <c r="IH150" s="1103"/>
      <c r="II150" s="1103"/>
      <c r="IJ150" s="1103"/>
      <c r="IK150" s="1103"/>
      <c r="IL150" s="1103"/>
      <c r="IM150" s="1050"/>
      <c r="IN150" s="1050"/>
      <c r="IO150" s="1050"/>
      <c r="IP150" s="1050"/>
      <c r="IQ150" s="1103"/>
      <c r="IR150" s="1103"/>
      <c r="IS150" s="1103"/>
      <c r="IT150" s="1103"/>
      <c r="IU150" s="1103"/>
      <c r="IV150" s="1103"/>
      <c r="JS150" s="1092"/>
      <c r="JU150" s="1050"/>
      <c r="JV150" s="1103"/>
      <c r="JW150" s="1103"/>
      <c r="JX150" s="1103"/>
      <c r="JY150" s="1103"/>
      <c r="JZ150" s="1103"/>
      <c r="KA150" s="1103"/>
      <c r="KB150" s="1103"/>
      <c r="KC150" s="1050"/>
      <c r="KD150" s="1050"/>
      <c r="KE150" s="1050"/>
      <c r="KF150" s="1050"/>
      <c r="KG150" s="1103"/>
      <c r="KH150" s="1103"/>
      <c r="KI150" s="1103"/>
      <c r="KJ150" s="1103"/>
      <c r="KK150" s="1103"/>
      <c r="KL150" s="1103"/>
      <c r="KM150" s="1103"/>
      <c r="KN150" s="1103"/>
    </row>
    <row r="151" spans="2:300">
      <c r="B151" s="1048" t="str">
        <f t="shared" si="4"/>
        <v>R1010</v>
      </c>
      <c r="C151" s="1046">
        <v>10</v>
      </c>
      <c r="D151" s="1092">
        <v>10</v>
      </c>
      <c r="E151" s="584">
        <v>0.34499999999999997</v>
      </c>
      <c r="F151" s="584">
        <v>0.34499999999999997</v>
      </c>
      <c r="G151" s="584">
        <v>828</v>
      </c>
      <c r="H151" s="584">
        <v>27.945</v>
      </c>
      <c r="I151" s="584">
        <v>0</v>
      </c>
      <c r="J151" s="584">
        <v>0</v>
      </c>
      <c r="K151" s="584">
        <v>0</v>
      </c>
      <c r="L151" s="584">
        <v>0</v>
      </c>
      <c r="M151" s="584">
        <v>0</v>
      </c>
      <c r="N151" s="584">
        <v>0</v>
      </c>
      <c r="O151" s="584">
        <v>0</v>
      </c>
      <c r="P151" s="584">
        <v>0</v>
      </c>
      <c r="Q151" s="584">
        <v>0</v>
      </c>
      <c r="R151" s="584">
        <v>0</v>
      </c>
      <c r="S151" s="584">
        <v>0</v>
      </c>
      <c r="T151" s="584">
        <v>357.91743750000001</v>
      </c>
      <c r="U151" s="584">
        <v>62.5</v>
      </c>
      <c r="V151" s="584">
        <v>614.58243749999997</v>
      </c>
      <c r="W151" s="584">
        <v>131.25</v>
      </c>
      <c r="X151" s="584">
        <v>1012.741</v>
      </c>
      <c r="Y151" s="584">
        <v>275</v>
      </c>
      <c r="Z151" s="584">
        <v>0.27500000000000002</v>
      </c>
      <c r="AA151" s="584">
        <v>0.27500000000000002</v>
      </c>
      <c r="AB151" s="584">
        <v>660</v>
      </c>
      <c r="AC151" s="584">
        <v>22</v>
      </c>
      <c r="AD151" s="584">
        <v>0</v>
      </c>
      <c r="AE151" s="584">
        <v>0</v>
      </c>
      <c r="AF151" s="584">
        <v>0</v>
      </c>
      <c r="AG151" s="584">
        <v>0</v>
      </c>
      <c r="AH151" s="584">
        <v>0</v>
      </c>
      <c r="AI151" s="584">
        <v>0</v>
      </c>
      <c r="AJ151" s="584">
        <v>0</v>
      </c>
      <c r="AK151" s="584">
        <v>0</v>
      </c>
      <c r="AL151" s="584">
        <v>0</v>
      </c>
      <c r="AM151" s="584">
        <v>0</v>
      </c>
      <c r="AN151" s="584">
        <v>0</v>
      </c>
      <c r="AO151" s="584">
        <v>310.59743750000001</v>
      </c>
      <c r="AP151" s="584">
        <v>62.5</v>
      </c>
      <c r="AQ151" s="584">
        <v>519.03243750000001</v>
      </c>
      <c r="AR151" s="584">
        <v>131.25</v>
      </c>
      <c r="AS151" s="584">
        <v>820.24099999999999</v>
      </c>
      <c r="AT151" s="584">
        <v>275</v>
      </c>
      <c r="AU151" s="584">
        <v>0.72499999999999998</v>
      </c>
      <c r="AV151" s="584">
        <v>0.43</v>
      </c>
      <c r="AW151" s="584">
        <v>660.48552051083595</v>
      </c>
      <c r="AX151" s="584">
        <v>34.1093575851393</v>
      </c>
      <c r="AY151" s="584">
        <v>0</v>
      </c>
      <c r="AZ151" s="584">
        <v>0</v>
      </c>
      <c r="BA151" s="584">
        <v>0</v>
      </c>
      <c r="BB151" s="584">
        <v>0</v>
      </c>
      <c r="BC151" s="584">
        <v>0</v>
      </c>
      <c r="BD151" s="584">
        <v>0</v>
      </c>
      <c r="BE151" s="584">
        <v>0</v>
      </c>
      <c r="BF151" s="584">
        <v>0</v>
      </c>
      <c r="BG151" s="584">
        <v>0.72499999999999998</v>
      </c>
      <c r="BH151" s="584">
        <v>0</v>
      </c>
      <c r="BI151" s="584">
        <v>0.45</v>
      </c>
      <c r="BJ151" s="584">
        <v>316.42281670859097</v>
      </c>
      <c r="BK151" s="584">
        <v>62.5</v>
      </c>
      <c r="BL151" s="584">
        <v>512.61040008465602</v>
      </c>
      <c r="BM151" s="584">
        <v>131.25</v>
      </c>
      <c r="BN151" s="584">
        <v>803.828637350039</v>
      </c>
      <c r="BO151" s="584">
        <v>275</v>
      </c>
      <c r="BP151" s="584">
        <v>0.7</v>
      </c>
      <c r="BQ151" s="584">
        <v>0.22</v>
      </c>
      <c r="BR151" s="584">
        <v>613.51741486068101</v>
      </c>
      <c r="BS151" s="584">
        <v>23.046443498452</v>
      </c>
      <c r="BT151" s="584">
        <v>0</v>
      </c>
      <c r="BU151" s="584">
        <v>0</v>
      </c>
      <c r="BV151" s="584">
        <v>0</v>
      </c>
      <c r="BW151" s="584">
        <v>0</v>
      </c>
      <c r="BX151" s="584">
        <v>0</v>
      </c>
      <c r="BY151" s="584">
        <v>0</v>
      </c>
      <c r="BZ151" s="584">
        <v>0</v>
      </c>
      <c r="CA151" s="584">
        <v>0.7</v>
      </c>
      <c r="CB151" s="584">
        <v>0.7</v>
      </c>
      <c r="CC151" s="584">
        <v>0.3</v>
      </c>
      <c r="CD151" s="584">
        <v>0.3</v>
      </c>
      <c r="CE151" s="584">
        <v>306.55959999999999</v>
      </c>
      <c r="CF151" s="584">
        <v>62.5</v>
      </c>
      <c r="CG151" s="584">
        <v>494.55959999999999</v>
      </c>
      <c r="CH151" s="584">
        <v>131.25</v>
      </c>
      <c r="CI151" s="584">
        <v>738.74459999999999</v>
      </c>
      <c r="CJ151" s="584">
        <v>275</v>
      </c>
      <c r="CK151" s="584">
        <v>0.77500000000000002</v>
      </c>
      <c r="CL151" s="584">
        <v>0.32500000000000001</v>
      </c>
      <c r="CM151" s="584">
        <v>832.00077399380802</v>
      </c>
      <c r="CN151" s="584">
        <v>25.165034829721399</v>
      </c>
      <c r="CO151" s="584">
        <v>0</v>
      </c>
      <c r="CP151" s="584">
        <v>0</v>
      </c>
      <c r="CQ151" s="584">
        <v>0</v>
      </c>
      <c r="CR151" s="584">
        <v>0</v>
      </c>
      <c r="CS151" s="584">
        <v>0</v>
      </c>
      <c r="CT151" s="584">
        <v>0</v>
      </c>
      <c r="CU151" s="584">
        <v>0</v>
      </c>
      <c r="CV151" s="584">
        <v>0</v>
      </c>
      <c r="CW151" s="584">
        <v>0.77500000000000002</v>
      </c>
      <c r="CX151" s="584">
        <v>0</v>
      </c>
      <c r="CY151" s="584">
        <v>0.45</v>
      </c>
      <c r="CZ151" s="584">
        <v>371.61250000000001</v>
      </c>
      <c r="DA151" s="584">
        <v>62.5</v>
      </c>
      <c r="DB151" s="584">
        <v>614.49749999999995</v>
      </c>
      <c r="DC151" s="584">
        <v>131.25</v>
      </c>
      <c r="DD151" s="584">
        <v>1007.2725</v>
      </c>
      <c r="DE151" s="584">
        <v>275</v>
      </c>
      <c r="DF151" s="584">
        <v>0.45</v>
      </c>
      <c r="DG151" s="584">
        <v>0.25</v>
      </c>
      <c r="DH151" s="584">
        <v>307.55804953560403</v>
      </c>
      <c r="DI151" s="584">
        <v>15.197580495356</v>
      </c>
      <c r="DJ151" s="584">
        <v>340</v>
      </c>
      <c r="DK151" s="584">
        <v>0</v>
      </c>
      <c r="DL151" s="584">
        <v>0</v>
      </c>
      <c r="DM151" s="584">
        <v>0</v>
      </c>
      <c r="DN151" s="584">
        <v>0</v>
      </c>
      <c r="DO151" s="584">
        <v>0</v>
      </c>
      <c r="DP151" s="584">
        <v>0</v>
      </c>
      <c r="DQ151" s="584">
        <v>0</v>
      </c>
      <c r="DR151" s="584">
        <v>0.45</v>
      </c>
      <c r="DS151" s="584">
        <v>0</v>
      </c>
      <c r="DT151" s="584">
        <v>2.4</v>
      </c>
      <c r="DU151" s="584">
        <v>288.13774999999998</v>
      </c>
      <c r="DV151" s="584">
        <v>62.5</v>
      </c>
      <c r="DW151" s="584">
        <v>547.03</v>
      </c>
      <c r="DX151" s="584">
        <v>131.25</v>
      </c>
      <c r="DY151" s="584">
        <v>780.60500000000002</v>
      </c>
      <c r="DZ151" s="584">
        <v>275</v>
      </c>
      <c r="EA151" s="1062">
        <v>1.0697999999999999</v>
      </c>
      <c r="EB151" s="1046">
        <v>0.3</v>
      </c>
      <c r="EC151" s="1093">
        <v>132.51783893985731</v>
      </c>
      <c r="ED151" s="1046">
        <v>0</v>
      </c>
      <c r="EE151" s="1046">
        <v>397.55351681957183</v>
      </c>
      <c r="EF151" s="1046">
        <v>27.1</v>
      </c>
      <c r="EG151" s="1046">
        <v>0</v>
      </c>
      <c r="EH151" s="1046">
        <v>0</v>
      </c>
      <c r="EI151" s="1046" t="s">
        <v>383</v>
      </c>
      <c r="EJ151" s="1046" t="s">
        <v>465</v>
      </c>
      <c r="EK151" s="1046">
        <v>0</v>
      </c>
      <c r="EL151" s="1046">
        <v>0</v>
      </c>
      <c r="EM151" s="1046">
        <v>0</v>
      </c>
      <c r="EN151" s="1046">
        <v>0</v>
      </c>
      <c r="EO151" s="1046">
        <v>0</v>
      </c>
      <c r="EP151" s="1094">
        <v>149.146275</v>
      </c>
      <c r="EQ151" s="1094">
        <v>62.5</v>
      </c>
      <c r="ER151" s="1094">
        <v>298.29255000000001</v>
      </c>
      <c r="ES151" s="1095">
        <v>125</v>
      </c>
      <c r="ET151" s="1094">
        <v>596.58510000000001</v>
      </c>
      <c r="EU151" s="1094">
        <v>250</v>
      </c>
      <c r="EV151" s="1096">
        <v>0.76719999999999999</v>
      </c>
      <c r="EW151" s="1097">
        <v>0.15</v>
      </c>
      <c r="EX151" s="1096">
        <v>289.50050968399592</v>
      </c>
      <c r="EY151" s="1096">
        <v>1.5443934760448521</v>
      </c>
      <c r="EZ151" s="1096">
        <v>0</v>
      </c>
      <c r="FA151" s="1096">
        <v>32.020000000000003</v>
      </c>
      <c r="FB151" s="1098">
        <v>0</v>
      </c>
      <c r="FC151" s="1098">
        <v>0</v>
      </c>
      <c r="FD151" s="1098" t="s">
        <v>404</v>
      </c>
      <c r="FE151" s="1098" t="s">
        <v>467</v>
      </c>
      <c r="FF151" s="1098">
        <v>3</v>
      </c>
      <c r="FG151" s="1098">
        <v>0</v>
      </c>
      <c r="FH151" s="1098">
        <v>0</v>
      </c>
      <c r="FI151" s="1098">
        <v>0</v>
      </c>
      <c r="FJ151" s="1098">
        <v>0</v>
      </c>
      <c r="FK151" s="1096">
        <v>94.4816675</v>
      </c>
      <c r="FL151" s="1096">
        <v>62.5</v>
      </c>
      <c r="FM151" s="1096">
        <v>188.963335</v>
      </c>
      <c r="FN151" s="1096">
        <v>125</v>
      </c>
      <c r="FO151" s="1096">
        <v>377.92667</v>
      </c>
      <c r="FP151" s="1099">
        <v>250</v>
      </c>
      <c r="FQ151" s="1064">
        <v>1.0990599999999999</v>
      </c>
      <c r="FR151" s="1065">
        <v>0.15</v>
      </c>
      <c r="FS151" s="1066">
        <v>289.50050968399586</v>
      </c>
      <c r="FT151" s="1066">
        <v>3.1754272996334754</v>
      </c>
      <c r="FU151" s="1065"/>
      <c r="FV151" s="1066">
        <v>46.772962244969278</v>
      </c>
      <c r="FW151" s="1065"/>
      <c r="FX151" s="1065"/>
      <c r="FY151" s="1065" t="s">
        <v>396</v>
      </c>
      <c r="FZ151" s="1065" t="s">
        <v>481</v>
      </c>
      <c r="GA151" s="1065">
        <v>3</v>
      </c>
      <c r="GB151" s="1065"/>
      <c r="GC151" s="1065"/>
      <c r="GD151" s="1065"/>
      <c r="GE151" s="1065"/>
      <c r="GF151" s="1066">
        <v>95.749842535813826</v>
      </c>
      <c r="GG151" s="1066">
        <v>62.5</v>
      </c>
      <c r="GH151" s="1066">
        <v>191.49968507162765</v>
      </c>
      <c r="GI151" s="1066">
        <v>125</v>
      </c>
      <c r="GJ151" s="1066">
        <v>382.99937014325531</v>
      </c>
      <c r="GK151" s="1066">
        <v>250</v>
      </c>
      <c r="GL151" s="584">
        <v>0.88</v>
      </c>
      <c r="GM151" s="584">
        <v>0.13</v>
      </c>
      <c r="GN151" s="584"/>
      <c r="GO151" s="584"/>
      <c r="GP151" s="584"/>
      <c r="GQ151" s="584">
        <v>37.93</v>
      </c>
      <c r="GR151" s="584"/>
      <c r="GS151" s="584">
        <v>66.2589194699286</v>
      </c>
      <c r="GT151" s="584" t="s">
        <v>389</v>
      </c>
      <c r="GU151" s="584" t="s">
        <v>416</v>
      </c>
      <c r="GV151" s="584">
        <v>2</v>
      </c>
      <c r="GW151" s="584"/>
      <c r="GX151" s="584"/>
      <c r="GY151" s="584"/>
      <c r="GZ151" s="584"/>
      <c r="HA151" s="584">
        <v>38.052332499999999</v>
      </c>
      <c r="HB151" s="584">
        <v>62.5</v>
      </c>
      <c r="HC151" s="584">
        <v>76.104664999999997</v>
      </c>
      <c r="HD151" s="584">
        <v>125</v>
      </c>
      <c r="HE151" s="584">
        <v>152.20932999999999</v>
      </c>
      <c r="HF151" s="584">
        <v>250</v>
      </c>
      <c r="HG151" s="1100">
        <v>1.27</v>
      </c>
      <c r="HH151" s="1100">
        <v>0.11</v>
      </c>
      <c r="HI151" s="1101">
        <v>0</v>
      </c>
      <c r="HJ151" s="1101">
        <v>0</v>
      </c>
      <c r="HK151" s="1101">
        <v>0</v>
      </c>
      <c r="HL151" s="1101">
        <v>0</v>
      </c>
      <c r="HM151" s="1101">
        <v>52.38</v>
      </c>
      <c r="HN151" s="1101">
        <v>54.999999999999993</v>
      </c>
      <c r="HO151" s="1101">
        <v>0</v>
      </c>
      <c r="HP151" s="1101">
        <v>0</v>
      </c>
      <c r="HQ151" s="1101">
        <v>3</v>
      </c>
      <c r="HR151" s="1101">
        <v>1.1599999999999999</v>
      </c>
      <c r="HS151" s="1101">
        <v>0.68</v>
      </c>
      <c r="HT151" s="1101">
        <v>0.3</v>
      </c>
      <c r="HU151" s="1101">
        <v>0.3</v>
      </c>
      <c r="HV151" s="1101">
        <v>38.834944999999998</v>
      </c>
      <c r="HW151" s="1101">
        <v>62.5</v>
      </c>
      <c r="HX151" s="1101">
        <v>77.669889999999995</v>
      </c>
      <c r="HY151" s="1101">
        <v>125</v>
      </c>
      <c r="HZ151" s="1101">
        <v>155.33977999999999</v>
      </c>
      <c r="IA151" s="1101">
        <v>250</v>
      </c>
      <c r="IB151" s="1062"/>
      <c r="IC151" s="1092"/>
      <c r="ID151" s="1050"/>
      <c r="IE151" s="1050"/>
      <c r="IF151" s="1103"/>
      <c r="IG151" s="1103"/>
      <c r="IH151" s="1103"/>
      <c r="II151" s="1103"/>
      <c r="IJ151" s="1103"/>
      <c r="IK151" s="1103"/>
      <c r="IL151" s="1103"/>
      <c r="IM151" s="1050"/>
      <c r="IN151" s="1050"/>
      <c r="IO151" s="1050"/>
      <c r="IP151" s="1050"/>
      <c r="IQ151" s="1103"/>
      <c r="IR151" s="1103"/>
      <c r="IS151" s="1103"/>
      <c r="IT151" s="1103"/>
      <c r="IU151" s="1103"/>
      <c r="IV151" s="1103"/>
      <c r="JS151" s="1092"/>
      <c r="JU151" s="1050"/>
      <c r="JV151" s="1103"/>
      <c r="JW151" s="1103"/>
      <c r="JX151" s="1103"/>
      <c r="JY151" s="1103"/>
      <c r="JZ151" s="1103"/>
      <c r="KA151" s="1103"/>
      <c r="KB151" s="1103"/>
      <c r="KC151" s="1050"/>
      <c r="KD151" s="1050"/>
      <c r="KE151" s="1050"/>
      <c r="KF151" s="1050"/>
      <c r="KG151" s="1103"/>
      <c r="KH151" s="1103"/>
      <c r="KI151" s="1103"/>
      <c r="KJ151" s="1103"/>
      <c r="KK151" s="1103"/>
      <c r="KL151" s="1103"/>
      <c r="KM151" s="1103"/>
      <c r="KN151" s="1103"/>
    </row>
    <row r="152" spans="2:300">
      <c r="B152" s="1048" t="str">
        <f t="shared" si="4"/>
        <v>R1011</v>
      </c>
      <c r="C152" s="1046">
        <v>10</v>
      </c>
      <c r="D152" s="1092">
        <v>11</v>
      </c>
      <c r="E152" s="584">
        <v>0.39</v>
      </c>
      <c r="F152" s="584">
        <v>0.39</v>
      </c>
      <c r="G152" s="584">
        <v>936</v>
      </c>
      <c r="H152" s="584">
        <v>29.64</v>
      </c>
      <c r="I152" s="584">
        <v>0</v>
      </c>
      <c r="J152" s="584">
        <v>0</v>
      </c>
      <c r="K152" s="584">
        <v>0</v>
      </c>
      <c r="L152" s="584">
        <v>0</v>
      </c>
      <c r="M152" s="584">
        <v>0</v>
      </c>
      <c r="N152" s="584">
        <v>0</v>
      </c>
      <c r="O152" s="584">
        <v>0</v>
      </c>
      <c r="P152" s="584">
        <v>0</v>
      </c>
      <c r="Q152" s="584">
        <v>0</v>
      </c>
      <c r="R152" s="584">
        <v>0</v>
      </c>
      <c r="S152" s="584">
        <v>0</v>
      </c>
      <c r="T152" s="584">
        <v>420.28743750000001</v>
      </c>
      <c r="U152" s="584">
        <v>68.75</v>
      </c>
      <c r="V152" s="584">
        <v>744.28875000000005</v>
      </c>
      <c r="W152" s="584">
        <v>144.375</v>
      </c>
      <c r="X152" s="584">
        <v>1249.241</v>
      </c>
      <c r="Y152" s="584">
        <v>302.5</v>
      </c>
      <c r="Z152" s="584">
        <v>0.31</v>
      </c>
      <c r="AA152" s="584">
        <v>0.31</v>
      </c>
      <c r="AB152" s="584">
        <v>744</v>
      </c>
      <c r="AC152" s="584">
        <v>25</v>
      </c>
      <c r="AD152" s="584">
        <v>0</v>
      </c>
      <c r="AE152" s="584">
        <v>0</v>
      </c>
      <c r="AF152" s="584">
        <v>0</v>
      </c>
      <c r="AG152" s="584">
        <v>0</v>
      </c>
      <c r="AH152" s="584">
        <v>0</v>
      </c>
      <c r="AI152" s="584">
        <v>0</v>
      </c>
      <c r="AJ152" s="584">
        <v>0</v>
      </c>
      <c r="AK152" s="584">
        <v>0</v>
      </c>
      <c r="AL152" s="584">
        <v>0</v>
      </c>
      <c r="AM152" s="584">
        <v>0</v>
      </c>
      <c r="AN152" s="584">
        <v>0</v>
      </c>
      <c r="AO152" s="584">
        <v>361.00743749999998</v>
      </c>
      <c r="AP152" s="584">
        <v>68.75</v>
      </c>
      <c r="AQ152" s="584">
        <v>622.98243749999995</v>
      </c>
      <c r="AR152" s="584">
        <v>144.375</v>
      </c>
      <c r="AS152" s="584">
        <v>1007.241</v>
      </c>
      <c r="AT152" s="584">
        <v>302.5</v>
      </c>
      <c r="AU152" s="584">
        <v>0.85</v>
      </c>
      <c r="AV152" s="584">
        <v>0.43</v>
      </c>
      <c r="AW152" s="584">
        <v>679.00821076127795</v>
      </c>
      <c r="AX152" s="584">
        <v>33.4614884868421</v>
      </c>
      <c r="AY152" s="584">
        <v>0</v>
      </c>
      <c r="AZ152" s="584">
        <v>0</v>
      </c>
      <c r="BA152" s="584">
        <v>0</v>
      </c>
      <c r="BB152" s="584">
        <v>0</v>
      </c>
      <c r="BC152" s="584">
        <v>0</v>
      </c>
      <c r="BD152" s="584">
        <v>0</v>
      </c>
      <c r="BE152" s="584">
        <v>0</v>
      </c>
      <c r="BF152" s="584">
        <v>0</v>
      </c>
      <c r="BG152" s="584">
        <v>0.85</v>
      </c>
      <c r="BH152" s="584">
        <v>0</v>
      </c>
      <c r="BI152" s="584">
        <v>0.45</v>
      </c>
      <c r="BJ152" s="584">
        <v>352.47570292968697</v>
      </c>
      <c r="BK152" s="584">
        <v>68.75</v>
      </c>
      <c r="BL152" s="584">
        <v>578.041671725946</v>
      </c>
      <c r="BM152" s="584">
        <v>144.375</v>
      </c>
      <c r="BN152" s="584">
        <v>908.59997673725297</v>
      </c>
      <c r="BO152" s="584">
        <v>302.5</v>
      </c>
      <c r="BP152" s="584">
        <v>0.7</v>
      </c>
      <c r="BQ152" s="584">
        <v>0.23</v>
      </c>
      <c r="BR152" s="584">
        <v>653.04646381578902</v>
      </c>
      <c r="BS152" s="584">
        <v>29.816475563909801</v>
      </c>
      <c r="BT152" s="584">
        <v>0</v>
      </c>
      <c r="BU152" s="584">
        <v>0</v>
      </c>
      <c r="BV152" s="584">
        <v>0</v>
      </c>
      <c r="BW152" s="584">
        <v>0</v>
      </c>
      <c r="BX152" s="584">
        <v>0</v>
      </c>
      <c r="BY152" s="584">
        <v>0</v>
      </c>
      <c r="BZ152" s="584">
        <v>0</v>
      </c>
      <c r="CA152" s="584">
        <v>0.6</v>
      </c>
      <c r="CB152" s="584">
        <v>0.7</v>
      </c>
      <c r="CC152" s="584">
        <v>0.45</v>
      </c>
      <c r="CD152" s="584">
        <v>0.45</v>
      </c>
      <c r="CE152" s="584">
        <v>341.53140000000002</v>
      </c>
      <c r="CF152" s="584">
        <v>68.75</v>
      </c>
      <c r="CG152" s="584">
        <v>559.49827500000004</v>
      </c>
      <c r="CH152" s="584">
        <v>144.375</v>
      </c>
      <c r="CI152" s="584">
        <v>861.507025</v>
      </c>
      <c r="CJ152" s="584">
        <v>302.5</v>
      </c>
      <c r="CK152" s="584">
        <v>0.875</v>
      </c>
      <c r="CL152" s="584">
        <v>0.32500000000000001</v>
      </c>
      <c r="CM152" s="584">
        <v>844.45488721804497</v>
      </c>
      <c r="CN152" s="584">
        <v>25.111684974154102</v>
      </c>
      <c r="CO152" s="584">
        <v>0</v>
      </c>
      <c r="CP152" s="584">
        <v>0</v>
      </c>
      <c r="CQ152" s="584">
        <v>0</v>
      </c>
      <c r="CR152" s="584">
        <v>0</v>
      </c>
      <c r="CS152" s="584">
        <v>0</v>
      </c>
      <c r="CT152" s="584">
        <v>0</v>
      </c>
      <c r="CU152" s="584">
        <v>0</v>
      </c>
      <c r="CV152" s="584">
        <v>0</v>
      </c>
      <c r="CW152" s="584">
        <v>0.875</v>
      </c>
      <c r="CX152" s="584">
        <v>0</v>
      </c>
      <c r="CY152" s="584">
        <v>0.6</v>
      </c>
      <c r="CZ152" s="584">
        <v>410.15699999999998</v>
      </c>
      <c r="DA152" s="584">
        <v>68.75</v>
      </c>
      <c r="DB152" s="584">
        <v>685.22699999999998</v>
      </c>
      <c r="DC152" s="584">
        <v>144.375</v>
      </c>
      <c r="DD152" s="584">
        <v>1119.3420000000001</v>
      </c>
      <c r="DE152" s="584">
        <v>302.5</v>
      </c>
      <c r="DF152" s="584">
        <v>0.52500000000000002</v>
      </c>
      <c r="DG152" s="584">
        <v>0.25</v>
      </c>
      <c r="DH152" s="584">
        <v>351.189350328947</v>
      </c>
      <c r="DI152" s="584">
        <v>16.5869289238722</v>
      </c>
      <c r="DJ152" s="584">
        <v>340</v>
      </c>
      <c r="DK152" s="584">
        <v>0</v>
      </c>
      <c r="DL152" s="584">
        <v>0</v>
      </c>
      <c r="DM152" s="584">
        <v>0</v>
      </c>
      <c r="DN152" s="584">
        <v>0</v>
      </c>
      <c r="DO152" s="584">
        <v>0</v>
      </c>
      <c r="DP152" s="584">
        <v>0</v>
      </c>
      <c r="DQ152" s="584">
        <v>0</v>
      </c>
      <c r="DR152" s="584">
        <v>0.52500000000000002</v>
      </c>
      <c r="DS152" s="584">
        <v>0</v>
      </c>
      <c r="DT152" s="584">
        <v>2.4</v>
      </c>
      <c r="DU152" s="584">
        <v>322.38637499999999</v>
      </c>
      <c r="DV152" s="584">
        <v>68.75</v>
      </c>
      <c r="DW152" s="584">
        <v>611.07425000000001</v>
      </c>
      <c r="DX152" s="584">
        <v>144.375</v>
      </c>
      <c r="DY152" s="584">
        <v>907.13274999999999</v>
      </c>
      <c r="DZ152" s="584">
        <v>302.5</v>
      </c>
      <c r="EA152" s="1062">
        <v>1.1407</v>
      </c>
      <c r="EB152" s="1046">
        <v>0.3</v>
      </c>
      <c r="EC152" s="1093">
        <v>132.51783893985731</v>
      </c>
      <c r="ED152" s="1046">
        <v>0</v>
      </c>
      <c r="EE152" s="1046">
        <v>397.55351681957183</v>
      </c>
      <c r="EF152" s="1046">
        <v>25.818181818181817</v>
      </c>
      <c r="EG152" s="1046">
        <v>0</v>
      </c>
      <c r="EH152" s="1046">
        <v>0</v>
      </c>
      <c r="EI152" s="1046" t="s">
        <v>379</v>
      </c>
      <c r="EJ152" s="1046" t="s">
        <v>448</v>
      </c>
      <c r="EK152" s="1046">
        <v>0</v>
      </c>
      <c r="EL152" s="1046">
        <v>0</v>
      </c>
      <c r="EM152" s="1046">
        <v>0</v>
      </c>
      <c r="EN152" s="1046">
        <v>0</v>
      </c>
      <c r="EO152" s="1046">
        <v>0</v>
      </c>
      <c r="EP152" s="1094">
        <v>163.71510000000001</v>
      </c>
      <c r="EQ152" s="1094">
        <v>68.75</v>
      </c>
      <c r="ER152" s="1094">
        <v>327.43020000000001</v>
      </c>
      <c r="ES152" s="1095">
        <v>137.5</v>
      </c>
      <c r="ET152" s="1094">
        <v>654.86040000000003</v>
      </c>
      <c r="EU152" s="1094">
        <v>275</v>
      </c>
      <c r="EV152" s="1096">
        <v>0.83350000000000002</v>
      </c>
      <c r="EW152" s="1097">
        <v>0.15</v>
      </c>
      <c r="EX152" s="1096">
        <v>289.50050968399592</v>
      </c>
      <c r="EY152" s="1096">
        <v>1.5443934760448521</v>
      </c>
      <c r="EZ152" s="1096">
        <v>0</v>
      </c>
      <c r="FA152" s="1096">
        <v>28.426363636363632</v>
      </c>
      <c r="FB152" s="1098">
        <v>0</v>
      </c>
      <c r="FC152" s="1098">
        <v>0</v>
      </c>
      <c r="FD152" s="1098" t="s">
        <v>394</v>
      </c>
      <c r="FE152" s="1098" t="s">
        <v>461</v>
      </c>
      <c r="FF152" s="1098">
        <v>3</v>
      </c>
      <c r="FG152" s="1098">
        <v>0</v>
      </c>
      <c r="FH152" s="1098">
        <v>0</v>
      </c>
      <c r="FI152" s="1098">
        <v>0</v>
      </c>
      <c r="FJ152" s="1098">
        <v>0</v>
      </c>
      <c r="FK152" s="1096">
        <v>102.96036100000002</v>
      </c>
      <c r="FL152" s="1096">
        <v>68.75</v>
      </c>
      <c r="FM152" s="1096">
        <v>205.92072200000004</v>
      </c>
      <c r="FN152" s="1096">
        <v>137.5</v>
      </c>
      <c r="FO152" s="1096">
        <v>411.84144400000008</v>
      </c>
      <c r="FP152" s="1099">
        <v>275</v>
      </c>
      <c r="FQ152" s="1064">
        <v>1.0990599999999999</v>
      </c>
      <c r="FR152" s="1065">
        <v>0.15</v>
      </c>
      <c r="FS152" s="1066">
        <v>289.50050968399586</v>
      </c>
      <c r="FT152" s="1066">
        <v>3.1754272996334754</v>
      </c>
      <c r="FU152" s="1065"/>
      <c r="FV152" s="1066">
        <v>48.524080334110224</v>
      </c>
      <c r="FW152" s="1065"/>
      <c r="FX152" s="1065"/>
      <c r="FY152" s="1065" t="s">
        <v>396</v>
      </c>
      <c r="FZ152" s="1065" t="s">
        <v>461</v>
      </c>
      <c r="GA152" s="1065">
        <v>3</v>
      </c>
      <c r="GB152" s="1065"/>
      <c r="GC152" s="1065"/>
      <c r="GD152" s="1065"/>
      <c r="GE152" s="1065"/>
      <c r="GF152" s="1066">
        <v>105.79723467189319</v>
      </c>
      <c r="GG152" s="1066">
        <v>68.75</v>
      </c>
      <c r="GH152" s="1066">
        <v>211.59446934378639</v>
      </c>
      <c r="GI152" s="1066">
        <v>137.5</v>
      </c>
      <c r="GJ152" s="1066">
        <v>423.18893868757277</v>
      </c>
      <c r="GK152" s="1066">
        <v>275</v>
      </c>
      <c r="GL152" s="584">
        <v>0.88</v>
      </c>
      <c r="GM152" s="584">
        <v>0.13</v>
      </c>
      <c r="GN152" s="584"/>
      <c r="GO152" s="584"/>
      <c r="GP152" s="584"/>
      <c r="GQ152" s="584">
        <v>46.072727272727299</v>
      </c>
      <c r="GR152" s="584"/>
      <c r="GS152" s="584">
        <v>66.2589194699286</v>
      </c>
      <c r="GT152" s="584" t="s">
        <v>389</v>
      </c>
      <c r="GU152" s="584" t="s">
        <v>408</v>
      </c>
      <c r="GV152" s="584">
        <v>2</v>
      </c>
      <c r="GW152" s="584"/>
      <c r="GX152" s="584"/>
      <c r="GY152" s="584"/>
      <c r="GZ152" s="584"/>
      <c r="HA152" s="584">
        <v>44.054270000000002</v>
      </c>
      <c r="HB152" s="584">
        <v>68.75</v>
      </c>
      <c r="HC152" s="584">
        <v>88.108540000000005</v>
      </c>
      <c r="HD152" s="584">
        <v>137.5</v>
      </c>
      <c r="HE152" s="584">
        <v>176.21708000000001</v>
      </c>
      <c r="HF152" s="584">
        <v>275</v>
      </c>
      <c r="HG152" s="1100">
        <v>1.35</v>
      </c>
      <c r="HH152" s="1100">
        <v>0.11</v>
      </c>
      <c r="HI152" s="1101">
        <v>0</v>
      </c>
      <c r="HJ152" s="1101">
        <v>0</v>
      </c>
      <c r="HK152" s="1101">
        <v>0</v>
      </c>
      <c r="HL152" s="1101">
        <v>0</v>
      </c>
      <c r="HM152" s="1101">
        <v>51.643636363636361</v>
      </c>
      <c r="HN152" s="1101">
        <v>54.999999999999993</v>
      </c>
      <c r="HO152" s="1101">
        <v>0</v>
      </c>
      <c r="HP152" s="1101">
        <v>0</v>
      </c>
      <c r="HQ152" s="1101">
        <v>3</v>
      </c>
      <c r="HR152" s="1101">
        <v>1.24</v>
      </c>
      <c r="HS152" s="1101">
        <v>0.8</v>
      </c>
      <c r="HT152" s="1101">
        <v>0.28000000000000003</v>
      </c>
      <c r="HU152" s="1101">
        <v>0.26</v>
      </c>
      <c r="HV152" s="1101">
        <v>42.519786999999994</v>
      </c>
      <c r="HW152" s="1101">
        <v>68.75</v>
      </c>
      <c r="HX152" s="1101">
        <v>85.039573999999988</v>
      </c>
      <c r="HY152" s="1101">
        <v>137.5</v>
      </c>
      <c r="HZ152" s="1101">
        <v>170.07914799999998</v>
      </c>
      <c r="IA152" s="1101">
        <v>275</v>
      </c>
      <c r="IB152" s="1062"/>
      <c r="IC152" s="1092"/>
      <c r="ID152" s="1050"/>
      <c r="IE152" s="1050"/>
      <c r="IF152" s="1103"/>
      <c r="IG152" s="1103"/>
      <c r="IH152" s="1103"/>
      <c r="II152" s="1103"/>
      <c r="IJ152" s="1103"/>
      <c r="IK152" s="1103"/>
      <c r="IL152" s="1103"/>
      <c r="IM152" s="1050"/>
      <c r="IN152" s="1050"/>
      <c r="IO152" s="1050"/>
      <c r="IP152" s="1050"/>
      <c r="IQ152" s="1103"/>
      <c r="IR152" s="1103"/>
      <c r="IS152" s="1103"/>
      <c r="IT152" s="1103"/>
      <c r="IU152" s="1103"/>
      <c r="IV152" s="1103"/>
      <c r="JS152" s="1092"/>
      <c r="JU152" s="1050"/>
      <c r="JV152" s="1103"/>
      <c r="JW152" s="1103"/>
      <c r="JX152" s="1103"/>
      <c r="JY152" s="1103"/>
      <c r="JZ152" s="1103"/>
      <c r="KA152" s="1103"/>
      <c r="KB152" s="1103"/>
      <c r="KC152" s="1050"/>
      <c r="KD152" s="1050"/>
      <c r="KE152" s="1050"/>
      <c r="KF152" s="1050"/>
      <c r="KG152" s="1103"/>
      <c r="KH152" s="1103"/>
      <c r="KI152" s="1103"/>
      <c r="KJ152" s="1103"/>
      <c r="KK152" s="1103"/>
      <c r="KL152" s="1103"/>
      <c r="KM152" s="1103"/>
      <c r="KN152" s="1103"/>
    </row>
    <row r="153" spans="2:300">
      <c r="B153" s="1048" t="str">
        <f t="shared" si="4"/>
        <v>R1012</v>
      </c>
      <c r="C153" s="1046">
        <v>10</v>
      </c>
      <c r="D153" s="1092">
        <v>12</v>
      </c>
      <c r="E153" s="584">
        <v>0.45</v>
      </c>
      <c r="F153" s="584">
        <v>0.45</v>
      </c>
      <c r="G153" s="584">
        <v>1080</v>
      </c>
      <c r="H153" s="584">
        <v>31.05</v>
      </c>
      <c r="I153" s="584">
        <v>0</v>
      </c>
      <c r="J153" s="584">
        <v>0</v>
      </c>
      <c r="K153" s="584">
        <v>0</v>
      </c>
      <c r="L153" s="584">
        <v>0</v>
      </c>
      <c r="M153" s="584">
        <v>0</v>
      </c>
      <c r="N153" s="584">
        <v>0</v>
      </c>
      <c r="O153" s="584">
        <v>0</v>
      </c>
      <c r="P153" s="584">
        <v>0</v>
      </c>
      <c r="Q153" s="584">
        <v>0</v>
      </c>
      <c r="R153" s="584">
        <v>0</v>
      </c>
      <c r="S153" s="584">
        <v>0</v>
      </c>
      <c r="T153" s="584">
        <v>500.59743750000001</v>
      </c>
      <c r="U153" s="584">
        <v>75</v>
      </c>
      <c r="V153" s="584">
        <v>910.97493750000001</v>
      </c>
      <c r="W153" s="584">
        <v>157.5</v>
      </c>
      <c r="X153" s="584">
        <v>1559.991</v>
      </c>
      <c r="Y153" s="584">
        <v>330</v>
      </c>
      <c r="Z153" s="584">
        <v>0.34</v>
      </c>
      <c r="AA153" s="584">
        <v>0.34</v>
      </c>
      <c r="AB153" s="584">
        <v>816</v>
      </c>
      <c r="AC153" s="584">
        <v>25</v>
      </c>
      <c r="AD153" s="584">
        <v>0</v>
      </c>
      <c r="AE153" s="584">
        <v>0</v>
      </c>
      <c r="AF153" s="584">
        <v>0</v>
      </c>
      <c r="AG153" s="584">
        <v>0</v>
      </c>
      <c r="AH153" s="584">
        <v>0</v>
      </c>
      <c r="AI153" s="584">
        <v>0</v>
      </c>
      <c r="AJ153" s="584">
        <v>0</v>
      </c>
      <c r="AK153" s="584">
        <v>0</v>
      </c>
      <c r="AL153" s="584">
        <v>0</v>
      </c>
      <c r="AM153" s="584">
        <v>0</v>
      </c>
      <c r="AN153" s="584">
        <v>0</v>
      </c>
      <c r="AO153" s="584">
        <v>411.93743749999999</v>
      </c>
      <c r="AP153" s="584">
        <v>75</v>
      </c>
      <c r="AQ153" s="584">
        <v>729.48374999999999</v>
      </c>
      <c r="AR153" s="584">
        <v>157.5</v>
      </c>
      <c r="AS153" s="584">
        <v>1196.991</v>
      </c>
      <c r="AT153" s="584">
        <v>330</v>
      </c>
      <c r="AU153" s="584">
        <v>0.97499999999999998</v>
      </c>
      <c r="AV153" s="584">
        <v>0.43</v>
      </c>
      <c r="AW153" s="584">
        <v>679.06594154443496</v>
      </c>
      <c r="AX153" s="584">
        <v>33.882483822260603</v>
      </c>
      <c r="AY153" s="584">
        <v>0</v>
      </c>
      <c r="AZ153" s="584">
        <v>0</v>
      </c>
      <c r="BA153" s="584">
        <v>0</v>
      </c>
      <c r="BB153" s="584">
        <v>0</v>
      </c>
      <c r="BC153" s="584">
        <v>0</v>
      </c>
      <c r="BD153" s="584">
        <v>0</v>
      </c>
      <c r="BE153" s="584">
        <v>0</v>
      </c>
      <c r="BF153" s="584">
        <v>0</v>
      </c>
      <c r="BG153" s="584">
        <v>0.97499999999999998</v>
      </c>
      <c r="BH153" s="584">
        <v>0</v>
      </c>
      <c r="BI153" s="584">
        <v>0.45</v>
      </c>
      <c r="BJ153" s="584">
        <v>386.48424872735097</v>
      </c>
      <c r="BK153" s="584">
        <v>75</v>
      </c>
      <c r="BL153" s="584">
        <v>633.68689096203605</v>
      </c>
      <c r="BM153" s="584">
        <v>157.5</v>
      </c>
      <c r="BN153" s="584">
        <v>979.54524900776505</v>
      </c>
      <c r="BO153" s="584">
        <v>330</v>
      </c>
      <c r="BP153" s="584">
        <v>0.82499999999999996</v>
      </c>
      <c r="BQ153" s="584">
        <v>0.23499999999999999</v>
      </c>
      <c r="BR153" s="584">
        <v>681.90296052631595</v>
      </c>
      <c r="BS153" s="584">
        <v>37.118905845556498</v>
      </c>
      <c r="BT153" s="584">
        <v>0</v>
      </c>
      <c r="BU153" s="584">
        <v>0</v>
      </c>
      <c r="BV153" s="584">
        <v>0</v>
      </c>
      <c r="BW153" s="584">
        <v>0</v>
      </c>
      <c r="BX153" s="584">
        <v>0</v>
      </c>
      <c r="BY153" s="584">
        <v>0</v>
      </c>
      <c r="BZ153" s="584">
        <v>0</v>
      </c>
      <c r="CA153" s="584">
        <v>0.6</v>
      </c>
      <c r="CB153" s="584">
        <v>0.82499999999999996</v>
      </c>
      <c r="CC153" s="584">
        <v>0.45</v>
      </c>
      <c r="CD153" s="584">
        <v>0.45</v>
      </c>
      <c r="CE153" s="584">
        <v>378.48230000000001</v>
      </c>
      <c r="CF153" s="584">
        <v>75</v>
      </c>
      <c r="CG153" s="584">
        <v>628.61167499999999</v>
      </c>
      <c r="CH153" s="584">
        <v>157.5</v>
      </c>
      <c r="CI153" s="584">
        <v>966.78292499999998</v>
      </c>
      <c r="CJ153" s="584">
        <v>330</v>
      </c>
      <c r="CK153" s="584">
        <v>1.0249999999999999</v>
      </c>
      <c r="CL153" s="584">
        <v>0.32500000000000001</v>
      </c>
      <c r="CM153" s="584">
        <v>868.18243097497805</v>
      </c>
      <c r="CN153" s="584">
        <v>26.035440034512501</v>
      </c>
      <c r="CO153" s="584">
        <v>0</v>
      </c>
      <c r="CP153" s="584">
        <v>0</v>
      </c>
      <c r="CQ153" s="584">
        <v>0</v>
      </c>
      <c r="CR153" s="584">
        <v>0</v>
      </c>
      <c r="CS153" s="584">
        <v>0</v>
      </c>
      <c r="CT153" s="584">
        <v>0</v>
      </c>
      <c r="CU153" s="584">
        <v>0</v>
      </c>
      <c r="CV153" s="584">
        <v>0</v>
      </c>
      <c r="CW153" s="584">
        <v>1.0249999999999999</v>
      </c>
      <c r="CX153" s="584">
        <v>0</v>
      </c>
      <c r="CY153" s="584">
        <v>0.6</v>
      </c>
      <c r="CZ153" s="584">
        <v>463.95499999999998</v>
      </c>
      <c r="DA153" s="584">
        <v>75</v>
      </c>
      <c r="DB153" s="584">
        <v>773.46</v>
      </c>
      <c r="DC153" s="584">
        <v>157.5</v>
      </c>
      <c r="DD153" s="584">
        <v>1240.29</v>
      </c>
      <c r="DE153" s="584">
        <v>330</v>
      </c>
      <c r="DF153" s="584">
        <v>0.57499999999999996</v>
      </c>
      <c r="DG153" s="584">
        <v>0.25</v>
      </c>
      <c r="DH153" s="584">
        <v>377.61917601380497</v>
      </c>
      <c r="DI153" s="584">
        <v>17.444778257118202</v>
      </c>
      <c r="DJ153" s="584">
        <v>340</v>
      </c>
      <c r="DK153" s="584">
        <v>0</v>
      </c>
      <c r="DL153" s="584">
        <v>0</v>
      </c>
      <c r="DM153" s="584">
        <v>0</v>
      </c>
      <c r="DN153" s="584">
        <v>0</v>
      </c>
      <c r="DO153" s="584">
        <v>0</v>
      </c>
      <c r="DP153" s="584">
        <v>0</v>
      </c>
      <c r="DQ153" s="584">
        <v>0</v>
      </c>
      <c r="DR153" s="584">
        <v>0.57499999999999996</v>
      </c>
      <c r="DS153" s="584">
        <v>0</v>
      </c>
      <c r="DT153" s="584">
        <v>2.4</v>
      </c>
      <c r="DU153" s="584">
        <v>352.99824999999998</v>
      </c>
      <c r="DV153" s="584">
        <v>75</v>
      </c>
      <c r="DW153" s="584">
        <v>670.37549999999999</v>
      </c>
      <c r="DX153" s="584">
        <v>157.5</v>
      </c>
      <c r="DY153" s="584">
        <v>1024.7212500000001</v>
      </c>
      <c r="DZ153" s="584">
        <v>330</v>
      </c>
      <c r="EA153" s="1062">
        <v>1.2009000000000001</v>
      </c>
      <c r="EB153" s="1046">
        <v>0.35</v>
      </c>
      <c r="EC153" s="1093">
        <v>132.51783893985731</v>
      </c>
      <c r="ED153" s="1046">
        <v>0</v>
      </c>
      <c r="EE153" s="1046">
        <v>458.71559633027522</v>
      </c>
      <c r="EF153" s="1046">
        <v>32.205000000000005</v>
      </c>
      <c r="EG153" s="1046">
        <v>0</v>
      </c>
      <c r="EH153" s="1046">
        <v>0</v>
      </c>
      <c r="EI153" s="1046" t="s">
        <v>377</v>
      </c>
      <c r="EJ153" s="1046" t="s">
        <v>442</v>
      </c>
      <c r="EK153" s="1046">
        <v>0</v>
      </c>
      <c r="EL153" s="1046">
        <v>0</v>
      </c>
      <c r="EM153" s="1046">
        <v>0</v>
      </c>
      <c r="EN153" s="1046">
        <v>0</v>
      </c>
      <c r="EO153" s="1046">
        <v>0</v>
      </c>
      <c r="EP153" s="1094">
        <v>198.47793150000001</v>
      </c>
      <c r="EQ153" s="1094">
        <v>75</v>
      </c>
      <c r="ER153" s="1094">
        <v>396.95586300000002</v>
      </c>
      <c r="ES153" s="1095">
        <v>150</v>
      </c>
      <c r="ET153" s="1094">
        <v>793.91172600000004</v>
      </c>
      <c r="EU153" s="1094">
        <v>300</v>
      </c>
      <c r="EV153" s="1096">
        <v>0.83750000000000002</v>
      </c>
      <c r="EW153" s="1097">
        <v>0.15</v>
      </c>
      <c r="EX153" s="1096">
        <v>289.50050968399592</v>
      </c>
      <c r="EY153" s="1096">
        <v>1.5443934760448521</v>
      </c>
      <c r="EZ153" s="1096">
        <v>0</v>
      </c>
      <c r="FA153" s="1096">
        <v>28.389999999999997</v>
      </c>
      <c r="FB153" s="1098">
        <v>0</v>
      </c>
      <c r="FC153" s="1098">
        <v>0</v>
      </c>
      <c r="FD153" s="1098" t="s">
        <v>392</v>
      </c>
      <c r="FE153" s="1098" t="s">
        <v>461</v>
      </c>
      <c r="FF153" s="1098">
        <v>3</v>
      </c>
      <c r="FG153" s="1098">
        <v>0</v>
      </c>
      <c r="FH153" s="1098">
        <v>0</v>
      </c>
      <c r="FI153" s="1098">
        <v>0</v>
      </c>
      <c r="FJ153" s="1098">
        <v>0</v>
      </c>
      <c r="FK153" s="1096">
        <v>112.30969200000001</v>
      </c>
      <c r="FL153" s="1096">
        <v>75</v>
      </c>
      <c r="FM153" s="1096">
        <v>224.61938400000003</v>
      </c>
      <c r="FN153" s="1096">
        <v>150</v>
      </c>
      <c r="FO153" s="1096">
        <v>449.23876800000005</v>
      </c>
      <c r="FP153" s="1099">
        <v>300</v>
      </c>
      <c r="FQ153" s="1064">
        <v>1.2</v>
      </c>
      <c r="FR153" s="1065">
        <v>0.15</v>
      </c>
      <c r="FS153" s="1066">
        <v>289.50050968399586</v>
      </c>
      <c r="FT153" s="1066">
        <v>3.1754272996334754</v>
      </c>
      <c r="FU153" s="1065"/>
      <c r="FV153" s="1066">
        <v>52.638441602479254</v>
      </c>
      <c r="FW153" s="1065"/>
      <c r="FX153" s="1065"/>
      <c r="FY153" s="1065" t="s">
        <v>389</v>
      </c>
      <c r="FZ153" s="1065" t="s">
        <v>459</v>
      </c>
      <c r="GA153" s="1065">
        <v>3</v>
      </c>
      <c r="GB153" s="1065"/>
      <c r="GC153" s="1065"/>
      <c r="GD153" s="1065"/>
      <c r="GE153" s="1065"/>
      <c r="GF153" s="1066">
        <v>116.62602161789177</v>
      </c>
      <c r="GG153" s="1066">
        <v>75</v>
      </c>
      <c r="GH153" s="1066">
        <v>233.25204323578353</v>
      </c>
      <c r="GI153" s="1066">
        <v>150</v>
      </c>
      <c r="GJ153" s="1066">
        <v>466.50408647156706</v>
      </c>
      <c r="GK153" s="1066">
        <v>300</v>
      </c>
      <c r="GL153" s="584">
        <v>0.88</v>
      </c>
      <c r="GM153" s="584">
        <v>0.13</v>
      </c>
      <c r="GN153" s="584"/>
      <c r="GO153" s="584"/>
      <c r="GP153" s="584"/>
      <c r="GQ153" s="584">
        <v>48.718333333333298</v>
      </c>
      <c r="GR153" s="584"/>
      <c r="GS153" s="584">
        <v>66.2589194699286</v>
      </c>
      <c r="GT153" s="584" t="s">
        <v>389</v>
      </c>
      <c r="GU153" s="584" t="s">
        <v>396</v>
      </c>
      <c r="GV153" s="584">
        <v>2</v>
      </c>
      <c r="GW153" s="584"/>
      <c r="GX153" s="584"/>
      <c r="GY153" s="584"/>
      <c r="GZ153" s="584"/>
      <c r="HA153" s="584">
        <v>48.837805500000002</v>
      </c>
      <c r="HB153" s="584">
        <v>75</v>
      </c>
      <c r="HC153" s="584">
        <v>97.675611000000004</v>
      </c>
      <c r="HD153" s="584">
        <v>150</v>
      </c>
      <c r="HE153" s="584">
        <v>195.35122200000001</v>
      </c>
      <c r="HF153" s="584">
        <v>300</v>
      </c>
      <c r="HG153" s="1100">
        <v>1.3900000000000001</v>
      </c>
      <c r="HH153" s="1100">
        <v>0.11</v>
      </c>
      <c r="HI153" s="1101">
        <v>0</v>
      </c>
      <c r="HJ153" s="1101">
        <v>0</v>
      </c>
      <c r="HK153" s="1101">
        <v>0</v>
      </c>
      <c r="HL153" s="1101">
        <v>0</v>
      </c>
      <c r="HM153" s="1101">
        <v>58.751999999999995</v>
      </c>
      <c r="HN153" s="1101">
        <v>54.999999999999993</v>
      </c>
      <c r="HO153" s="1101">
        <v>0</v>
      </c>
      <c r="HP153" s="1101">
        <v>0</v>
      </c>
      <c r="HQ153" s="1101">
        <v>3</v>
      </c>
      <c r="HR153" s="1101">
        <v>1.28</v>
      </c>
      <c r="HS153" s="1101">
        <v>0.88</v>
      </c>
      <c r="HT153" s="1101">
        <v>0.3</v>
      </c>
      <c r="HU153" s="1101">
        <v>0.28000000000000003</v>
      </c>
      <c r="HV153" s="1101">
        <v>48.477213599999999</v>
      </c>
      <c r="HW153" s="1101">
        <v>75</v>
      </c>
      <c r="HX153" s="1101">
        <v>96.954427199999998</v>
      </c>
      <c r="HY153" s="1101">
        <v>150</v>
      </c>
      <c r="HZ153" s="1101">
        <v>193.9088544</v>
      </c>
      <c r="IA153" s="1101">
        <v>300</v>
      </c>
      <c r="IB153" s="1062"/>
      <c r="IC153" s="1092"/>
      <c r="ID153" s="1050"/>
      <c r="IE153" s="1050"/>
      <c r="IF153" s="1103"/>
      <c r="IG153" s="1103"/>
      <c r="IH153" s="1103"/>
      <c r="II153" s="1103"/>
      <c r="IJ153" s="1103"/>
      <c r="IK153" s="1103"/>
      <c r="IL153" s="1103"/>
      <c r="IM153" s="1050"/>
      <c r="IN153" s="1050"/>
      <c r="IO153" s="1050"/>
      <c r="IP153" s="1050"/>
      <c r="IQ153" s="1103"/>
      <c r="IR153" s="1103"/>
      <c r="IS153" s="1103"/>
      <c r="IT153" s="1103"/>
      <c r="IU153" s="1103"/>
      <c r="IV153" s="1103"/>
      <c r="JS153" s="1092"/>
      <c r="JU153" s="1050"/>
      <c r="JV153" s="1103"/>
      <c r="JW153" s="1103"/>
      <c r="JX153" s="1103"/>
      <c r="JY153" s="1103"/>
      <c r="JZ153" s="1103"/>
      <c r="KA153" s="1103"/>
      <c r="KB153" s="1103"/>
      <c r="KC153" s="1050"/>
      <c r="KD153" s="1050"/>
      <c r="KE153" s="1050"/>
      <c r="KF153" s="1050"/>
      <c r="KG153" s="1103"/>
      <c r="KH153" s="1103"/>
      <c r="KI153" s="1103"/>
      <c r="KJ153" s="1103"/>
      <c r="KK153" s="1103"/>
      <c r="KL153" s="1103"/>
      <c r="KM153" s="1103"/>
      <c r="KN153" s="1103"/>
    </row>
    <row r="154" spans="2:300">
      <c r="B154" s="1048" t="str">
        <f t="shared" si="4"/>
        <v>R1013</v>
      </c>
      <c r="C154" s="1046">
        <v>10</v>
      </c>
      <c r="D154" s="1092">
        <v>13</v>
      </c>
      <c r="E154" s="584">
        <v>0.45</v>
      </c>
      <c r="F154" s="584">
        <v>0.45</v>
      </c>
      <c r="G154" s="584">
        <v>1080</v>
      </c>
      <c r="H154" s="584">
        <v>29.25</v>
      </c>
      <c r="I154" s="584">
        <v>0</v>
      </c>
      <c r="J154" s="584">
        <v>0</v>
      </c>
      <c r="K154" s="584">
        <v>0</v>
      </c>
      <c r="L154" s="584">
        <v>0</v>
      </c>
      <c r="M154" s="584">
        <v>0</v>
      </c>
      <c r="N154" s="584">
        <v>0</v>
      </c>
      <c r="O154" s="584">
        <v>0</v>
      </c>
      <c r="P154" s="584">
        <v>0</v>
      </c>
      <c r="Q154" s="584">
        <v>0</v>
      </c>
      <c r="R154" s="584">
        <v>0</v>
      </c>
      <c r="S154" s="584">
        <v>0</v>
      </c>
      <c r="T154" s="584">
        <v>536.44743749999998</v>
      </c>
      <c r="U154" s="584">
        <v>81.25</v>
      </c>
      <c r="V154" s="584">
        <v>986.25993749999998</v>
      </c>
      <c r="W154" s="584">
        <v>170.625</v>
      </c>
      <c r="X154" s="584">
        <v>1690.8019374999999</v>
      </c>
      <c r="Y154" s="584">
        <v>357.5</v>
      </c>
      <c r="Z154" s="584">
        <v>0.39</v>
      </c>
      <c r="AA154" s="584">
        <v>0.39</v>
      </c>
      <c r="AB154" s="584">
        <v>936</v>
      </c>
      <c r="AC154" s="584">
        <v>28</v>
      </c>
      <c r="AD154" s="584">
        <v>0</v>
      </c>
      <c r="AE154" s="584">
        <v>0</v>
      </c>
      <c r="AF154" s="584">
        <v>0</v>
      </c>
      <c r="AG154" s="584">
        <v>0</v>
      </c>
      <c r="AH154" s="584">
        <v>0</v>
      </c>
      <c r="AI154" s="584">
        <v>0</v>
      </c>
      <c r="AJ154" s="584">
        <v>0</v>
      </c>
      <c r="AK154" s="584">
        <v>0</v>
      </c>
      <c r="AL154" s="584">
        <v>0</v>
      </c>
      <c r="AM154" s="584">
        <v>0</v>
      </c>
      <c r="AN154" s="584">
        <v>0</v>
      </c>
      <c r="AO154" s="584">
        <v>484.18743749999999</v>
      </c>
      <c r="AP154" s="584">
        <v>81.25</v>
      </c>
      <c r="AQ154" s="584">
        <v>878.47874999999999</v>
      </c>
      <c r="AR154" s="584">
        <v>170.625</v>
      </c>
      <c r="AS154" s="584">
        <v>1474.741</v>
      </c>
      <c r="AT154" s="584">
        <v>357.5</v>
      </c>
      <c r="AU154" s="584">
        <v>0</v>
      </c>
      <c r="AV154" s="584">
        <v>0</v>
      </c>
      <c r="AW154" s="584">
        <v>0</v>
      </c>
      <c r="AX154" s="584">
        <v>0</v>
      </c>
      <c r="AY154" s="584">
        <v>0</v>
      </c>
      <c r="AZ154" s="584">
        <v>0</v>
      </c>
      <c r="BA154" s="584">
        <v>0</v>
      </c>
      <c r="BB154" s="584">
        <v>0</v>
      </c>
      <c r="BC154" s="584">
        <v>0</v>
      </c>
      <c r="BD154" s="584">
        <v>0</v>
      </c>
      <c r="BE154" s="584">
        <v>0</v>
      </c>
      <c r="BF154" s="584">
        <v>0</v>
      </c>
      <c r="BG154" s="584">
        <v>0</v>
      </c>
      <c r="BH154" s="584">
        <v>0</v>
      </c>
      <c r="BI154" s="584">
        <v>0</v>
      </c>
      <c r="BJ154" s="584">
        <v>0</v>
      </c>
      <c r="BK154" s="584">
        <v>0</v>
      </c>
      <c r="BL154" s="584">
        <v>0</v>
      </c>
      <c r="BM154" s="584">
        <v>0</v>
      </c>
      <c r="BN154" s="584">
        <v>0</v>
      </c>
      <c r="BO154" s="584">
        <v>0</v>
      </c>
      <c r="BP154" s="584">
        <v>0.95</v>
      </c>
      <c r="BQ154" s="584">
        <v>0.24</v>
      </c>
      <c r="BR154" s="584">
        <v>737.81429425837302</v>
      </c>
      <c r="BS154" s="584">
        <v>41.971049641148298</v>
      </c>
      <c r="BT154" s="584">
        <v>0</v>
      </c>
      <c r="BU154" s="584">
        <v>0</v>
      </c>
      <c r="BV154" s="584">
        <v>0</v>
      </c>
      <c r="BW154" s="584">
        <v>0</v>
      </c>
      <c r="BX154" s="584">
        <v>0</v>
      </c>
      <c r="BY154" s="584">
        <v>0</v>
      </c>
      <c r="BZ154" s="584">
        <v>0</v>
      </c>
      <c r="CA154" s="584">
        <v>0.6</v>
      </c>
      <c r="CB154" s="584">
        <v>0.95</v>
      </c>
      <c r="CC154" s="584">
        <v>0.45</v>
      </c>
      <c r="CD154" s="584">
        <v>0.45</v>
      </c>
      <c r="CE154" s="584">
        <v>441.13319999999999</v>
      </c>
      <c r="CF154" s="584">
        <v>81.25</v>
      </c>
      <c r="CG154" s="584">
        <v>737.69726249999997</v>
      </c>
      <c r="CH154" s="584">
        <v>170.625</v>
      </c>
      <c r="CI154" s="584">
        <v>1077.5088249999999</v>
      </c>
      <c r="CJ154" s="584">
        <v>357.5</v>
      </c>
      <c r="CK154" s="584">
        <v>0</v>
      </c>
      <c r="CL154" s="584">
        <v>0</v>
      </c>
      <c r="CM154" s="584">
        <v>0</v>
      </c>
      <c r="CN154" s="584">
        <v>0</v>
      </c>
      <c r="CO154" s="584">
        <v>0</v>
      </c>
      <c r="CP154" s="584">
        <v>0</v>
      </c>
      <c r="CQ154" s="584">
        <v>0</v>
      </c>
      <c r="CR154" s="584">
        <v>0</v>
      </c>
      <c r="CS154" s="584">
        <v>0</v>
      </c>
      <c r="CT154" s="584">
        <v>0</v>
      </c>
      <c r="CU154" s="584">
        <v>0</v>
      </c>
      <c r="CV154" s="584">
        <v>0</v>
      </c>
      <c r="CW154" s="584">
        <v>0</v>
      </c>
      <c r="CX154" s="584">
        <v>0</v>
      </c>
      <c r="CY154" s="584">
        <v>0</v>
      </c>
      <c r="CZ154" s="584">
        <v>0</v>
      </c>
      <c r="DA154" s="584">
        <v>0</v>
      </c>
      <c r="DB154" s="584">
        <v>0</v>
      </c>
      <c r="DC154" s="584">
        <v>0</v>
      </c>
      <c r="DD154" s="584">
        <v>0</v>
      </c>
      <c r="DE154" s="584">
        <v>0</v>
      </c>
      <c r="DF154" s="584">
        <v>0.65</v>
      </c>
      <c r="DG154" s="584">
        <v>0.25</v>
      </c>
      <c r="DH154" s="584">
        <v>428.20424641148298</v>
      </c>
      <c r="DI154" s="584">
        <v>19.277950956937801</v>
      </c>
      <c r="DJ154" s="584">
        <v>340</v>
      </c>
      <c r="DK154" s="584">
        <v>0</v>
      </c>
      <c r="DL154" s="584">
        <v>0</v>
      </c>
      <c r="DM154" s="584">
        <v>0</v>
      </c>
      <c r="DN154" s="584">
        <v>0</v>
      </c>
      <c r="DO154" s="584">
        <v>0</v>
      </c>
      <c r="DP154" s="584">
        <v>0</v>
      </c>
      <c r="DQ154" s="584">
        <v>0</v>
      </c>
      <c r="DR154" s="584">
        <v>0.65</v>
      </c>
      <c r="DS154" s="584">
        <v>0</v>
      </c>
      <c r="DT154" s="584">
        <v>2.4</v>
      </c>
      <c r="DU154" s="584">
        <v>398.14175</v>
      </c>
      <c r="DV154" s="584">
        <v>81.25</v>
      </c>
      <c r="DW154" s="584">
        <v>742.60900000000004</v>
      </c>
      <c r="DX154" s="584">
        <v>170.625</v>
      </c>
      <c r="DY154" s="584">
        <v>1167.749</v>
      </c>
      <c r="DZ154" s="584">
        <v>357.5</v>
      </c>
      <c r="EA154" s="1062">
        <v>1.2009000000000001</v>
      </c>
      <c r="EB154" s="1046">
        <v>0.35</v>
      </c>
      <c r="EC154" s="1093">
        <v>132.51783893985731</v>
      </c>
      <c r="ED154" s="1046">
        <v>0</v>
      </c>
      <c r="EE154" s="1046">
        <v>458.71559633027522</v>
      </c>
      <c r="EF154" s="1046">
        <v>31.253076923076925</v>
      </c>
      <c r="EG154" s="1046">
        <v>0</v>
      </c>
      <c r="EH154" s="1046">
        <v>0</v>
      </c>
      <c r="EI154" s="1046" t="s">
        <v>377</v>
      </c>
      <c r="EJ154" s="1046" t="s">
        <v>425</v>
      </c>
      <c r="EK154" s="1046">
        <v>0</v>
      </c>
      <c r="EL154" s="1046">
        <v>0</v>
      </c>
      <c r="EM154" s="1046">
        <v>0</v>
      </c>
      <c r="EN154" s="1046">
        <v>0</v>
      </c>
      <c r="EO154" s="1046">
        <v>0</v>
      </c>
      <c r="EP154" s="1094">
        <v>214.71426225000002</v>
      </c>
      <c r="EQ154" s="1094">
        <v>81.25</v>
      </c>
      <c r="ER154" s="1094">
        <v>429.42852450000004</v>
      </c>
      <c r="ES154" s="1095">
        <v>162.5</v>
      </c>
      <c r="ET154" s="1094">
        <v>858.85704900000007</v>
      </c>
      <c r="EU154" s="1094">
        <v>325</v>
      </c>
      <c r="EV154" s="1096">
        <v>0.90400000000000003</v>
      </c>
      <c r="EW154" s="1097">
        <v>0.15</v>
      </c>
      <c r="EX154" s="1096">
        <v>289.50050968399592</v>
      </c>
      <c r="EY154" s="1096">
        <v>1.5443934760448521</v>
      </c>
      <c r="EZ154" s="1096">
        <v>0</v>
      </c>
      <c r="FA154" s="1096">
        <v>35.96</v>
      </c>
      <c r="FB154" s="1098">
        <v>0</v>
      </c>
      <c r="FC154" s="1098">
        <v>0</v>
      </c>
      <c r="FD154" s="1098" t="s">
        <v>387</v>
      </c>
      <c r="FE154" s="1098" t="s">
        <v>432</v>
      </c>
      <c r="FF154" s="1098">
        <v>3</v>
      </c>
      <c r="FG154" s="1098">
        <v>0</v>
      </c>
      <c r="FH154" s="1098">
        <v>0</v>
      </c>
      <c r="FI154" s="1098">
        <v>0</v>
      </c>
      <c r="FJ154" s="1098">
        <v>0</v>
      </c>
      <c r="FK154" s="1096">
        <v>124.08233824999999</v>
      </c>
      <c r="FL154" s="1096">
        <v>81.25</v>
      </c>
      <c r="FM154" s="1096">
        <v>248.16467649999998</v>
      </c>
      <c r="FN154" s="1096">
        <v>162.5</v>
      </c>
      <c r="FO154" s="1096">
        <v>496.32935299999997</v>
      </c>
      <c r="FP154" s="1099">
        <v>325</v>
      </c>
      <c r="FQ154" s="1064">
        <v>1.2056</v>
      </c>
      <c r="FR154" s="1065">
        <v>0.15</v>
      </c>
      <c r="FS154" s="1066">
        <v>289.50050968399586</v>
      </c>
      <c r="FT154" s="1066">
        <v>3.1754272996334754</v>
      </c>
      <c r="FU154" s="1065"/>
      <c r="FV154" s="1066">
        <v>59.334775735177601</v>
      </c>
      <c r="FW154" s="1065"/>
      <c r="FX154" s="1065"/>
      <c r="FY154" s="1065" t="s">
        <v>387</v>
      </c>
      <c r="FZ154" s="1065" t="s">
        <v>436</v>
      </c>
      <c r="GA154" s="1065">
        <v>3</v>
      </c>
      <c r="GB154" s="1065"/>
      <c r="GC154" s="1065"/>
      <c r="GD154" s="1065"/>
      <c r="GE154" s="1065"/>
      <c r="GF154" s="1066">
        <v>128.47981548257366</v>
      </c>
      <c r="GG154" s="1066">
        <v>81.25</v>
      </c>
      <c r="GH154" s="1066">
        <v>256.95963096514731</v>
      </c>
      <c r="GI154" s="1066">
        <v>162.5</v>
      </c>
      <c r="GJ154" s="1066">
        <v>513.91926193029462</v>
      </c>
      <c r="GK154" s="1066">
        <v>325</v>
      </c>
      <c r="GL154" s="584">
        <v>0.88400000000000001</v>
      </c>
      <c r="GM154" s="584">
        <v>0.13</v>
      </c>
      <c r="GN154" s="584"/>
      <c r="GO154" s="584"/>
      <c r="GP154" s="584"/>
      <c r="GQ154" s="584">
        <v>55.37</v>
      </c>
      <c r="GR154" s="584"/>
      <c r="GS154" s="584">
        <v>66.2589194699286</v>
      </c>
      <c r="GT154" s="584" t="s">
        <v>387</v>
      </c>
      <c r="GU154" s="584" t="s">
        <v>387</v>
      </c>
      <c r="GV154" s="584">
        <v>2</v>
      </c>
      <c r="GW154" s="584"/>
      <c r="GX154" s="584"/>
      <c r="GY154" s="584"/>
      <c r="GZ154" s="584"/>
      <c r="HA154" s="584">
        <v>55.028340249999999</v>
      </c>
      <c r="HB154" s="584">
        <v>81.25</v>
      </c>
      <c r="HC154" s="584">
        <v>110.0566805</v>
      </c>
      <c r="HD154" s="584">
        <v>162.5</v>
      </c>
      <c r="HE154" s="584">
        <v>220.113361</v>
      </c>
      <c r="HF154" s="584">
        <v>325</v>
      </c>
      <c r="HG154" s="1100">
        <v>1.4300000000000002</v>
      </c>
      <c r="HH154" s="1100">
        <v>0.11</v>
      </c>
      <c r="HI154" s="1101">
        <v>0</v>
      </c>
      <c r="HJ154" s="1101">
        <v>0</v>
      </c>
      <c r="HK154" s="1101">
        <v>0</v>
      </c>
      <c r="HL154" s="1101">
        <v>0</v>
      </c>
      <c r="HM154" s="1101">
        <v>64.107692307692318</v>
      </c>
      <c r="HN154" s="1101">
        <v>54.999999999999993</v>
      </c>
      <c r="HO154" s="1101">
        <v>0</v>
      </c>
      <c r="HP154" s="1101">
        <v>0</v>
      </c>
      <c r="HQ154" s="1101">
        <v>3</v>
      </c>
      <c r="HR154" s="1101">
        <v>1.32</v>
      </c>
      <c r="HS154" s="1101">
        <v>1</v>
      </c>
      <c r="HT154" s="1101">
        <v>0.3</v>
      </c>
      <c r="HU154" s="1101">
        <v>0.28000000000000003</v>
      </c>
      <c r="HV154" s="1101">
        <v>54.224510000000002</v>
      </c>
      <c r="HW154" s="1101">
        <v>81.25</v>
      </c>
      <c r="HX154" s="1101">
        <v>108.44902</v>
      </c>
      <c r="HY154" s="1101">
        <v>162.5</v>
      </c>
      <c r="HZ154" s="1101">
        <v>216.89804000000001</v>
      </c>
      <c r="IA154" s="1101">
        <v>325</v>
      </c>
      <c r="IB154" s="1062"/>
      <c r="IC154" s="1092"/>
      <c r="ID154" s="1050"/>
      <c r="IE154" s="1050"/>
      <c r="IF154" s="1103"/>
      <c r="IG154" s="1103"/>
      <c r="IH154" s="1103"/>
      <c r="II154" s="1103"/>
      <c r="IJ154" s="1103"/>
      <c r="IK154" s="1103"/>
      <c r="IL154" s="1103"/>
      <c r="IM154" s="1050"/>
      <c r="IN154" s="1050"/>
      <c r="IO154" s="1050"/>
      <c r="IP154" s="1050"/>
      <c r="IQ154" s="1103"/>
      <c r="IR154" s="1103"/>
      <c r="IS154" s="1103"/>
      <c r="IT154" s="1103"/>
      <c r="IU154" s="1103"/>
      <c r="IV154" s="1103"/>
      <c r="JS154" s="1092"/>
      <c r="JU154" s="1050"/>
      <c r="JV154" s="1103"/>
      <c r="JW154" s="1103"/>
      <c r="JX154" s="1103"/>
      <c r="JY154" s="1103"/>
      <c r="JZ154" s="1103"/>
      <c r="KA154" s="1103"/>
      <c r="KB154" s="1103"/>
      <c r="KC154" s="1050"/>
      <c r="KD154" s="1050"/>
      <c r="KE154" s="1050"/>
      <c r="KF154" s="1050"/>
      <c r="KG154" s="1103"/>
      <c r="KH154" s="1103"/>
      <c r="KI154" s="1103"/>
      <c r="KJ154" s="1103"/>
      <c r="KK154" s="1103"/>
      <c r="KL154" s="1103"/>
      <c r="KM154" s="1103"/>
      <c r="KN154" s="1103"/>
    </row>
    <row r="155" spans="2:300">
      <c r="B155" s="1048" t="str">
        <f t="shared" si="4"/>
        <v>R1014</v>
      </c>
      <c r="C155" s="1046">
        <v>10</v>
      </c>
      <c r="D155" s="1092">
        <v>14</v>
      </c>
      <c r="E155" s="584">
        <v>0.45</v>
      </c>
      <c r="F155" s="584">
        <v>0.45</v>
      </c>
      <c r="G155" s="584">
        <v>1080</v>
      </c>
      <c r="H155" s="584">
        <v>27.9</v>
      </c>
      <c r="I155" s="584">
        <v>0</v>
      </c>
      <c r="J155" s="584">
        <v>0</v>
      </c>
      <c r="K155" s="584">
        <v>0</v>
      </c>
      <c r="L155" s="584">
        <v>0</v>
      </c>
      <c r="M155" s="584">
        <v>0</v>
      </c>
      <c r="N155" s="584">
        <v>0</v>
      </c>
      <c r="O155" s="584">
        <v>0</v>
      </c>
      <c r="P155" s="584">
        <v>0</v>
      </c>
      <c r="Q155" s="584">
        <v>0</v>
      </c>
      <c r="R155" s="584">
        <v>0</v>
      </c>
      <c r="S155" s="584">
        <v>0</v>
      </c>
      <c r="T155" s="584">
        <v>572.2974375</v>
      </c>
      <c r="U155" s="584">
        <v>87.5</v>
      </c>
      <c r="V155" s="584">
        <v>1061.5449375000001</v>
      </c>
      <c r="W155" s="584">
        <v>183.75</v>
      </c>
      <c r="X155" s="584">
        <v>1820.0519374999999</v>
      </c>
      <c r="Y155" s="584">
        <v>385</v>
      </c>
      <c r="Z155" s="584">
        <v>0.47499999999999998</v>
      </c>
      <c r="AA155" s="584">
        <v>0.47499999999999998</v>
      </c>
      <c r="AB155" s="584">
        <v>1140</v>
      </c>
      <c r="AC155" s="584">
        <v>28</v>
      </c>
      <c r="AD155" s="584">
        <v>0</v>
      </c>
      <c r="AE155" s="584">
        <v>0</v>
      </c>
      <c r="AF155" s="584">
        <v>0</v>
      </c>
      <c r="AG155" s="584">
        <v>0</v>
      </c>
      <c r="AH155" s="584">
        <v>0</v>
      </c>
      <c r="AI155" s="584">
        <v>0</v>
      </c>
      <c r="AJ155" s="584">
        <v>0</v>
      </c>
      <c r="AK155" s="584">
        <v>0</v>
      </c>
      <c r="AL155" s="584">
        <v>0</v>
      </c>
      <c r="AM155" s="584">
        <v>0</v>
      </c>
      <c r="AN155" s="584">
        <v>0</v>
      </c>
      <c r="AO155" s="584">
        <v>595.69743749999998</v>
      </c>
      <c r="AP155" s="584">
        <v>87.5</v>
      </c>
      <c r="AQ155" s="584">
        <v>1110.7560000000001</v>
      </c>
      <c r="AR155" s="584">
        <v>183.75</v>
      </c>
      <c r="AS155" s="584">
        <v>1916.3019374999999</v>
      </c>
      <c r="AT155" s="584">
        <v>385</v>
      </c>
      <c r="AU155" s="584">
        <v>0</v>
      </c>
      <c r="AV155" s="584">
        <v>0</v>
      </c>
      <c r="AW155" s="584">
        <v>0</v>
      </c>
      <c r="AX155" s="584">
        <v>0</v>
      </c>
      <c r="AY155" s="584">
        <v>0</v>
      </c>
      <c r="AZ155" s="584">
        <v>0</v>
      </c>
      <c r="BA155" s="584">
        <v>0</v>
      </c>
      <c r="BB155" s="584">
        <v>0</v>
      </c>
      <c r="BC155" s="584">
        <v>0</v>
      </c>
      <c r="BD155" s="584">
        <v>0</v>
      </c>
      <c r="BE155" s="584">
        <v>0</v>
      </c>
      <c r="BF155" s="584">
        <v>0</v>
      </c>
      <c r="BG155" s="584">
        <v>0</v>
      </c>
      <c r="BH155" s="584">
        <v>0</v>
      </c>
      <c r="BI155" s="584">
        <v>0</v>
      </c>
      <c r="BJ155" s="584">
        <v>0</v>
      </c>
      <c r="BK155" s="584">
        <v>0</v>
      </c>
      <c r="BL155" s="584">
        <v>0</v>
      </c>
      <c r="BM155" s="584">
        <v>0</v>
      </c>
      <c r="BN155" s="584">
        <v>0</v>
      </c>
      <c r="BO155" s="584">
        <v>0</v>
      </c>
      <c r="BP155" s="584">
        <v>1.075</v>
      </c>
      <c r="BQ155" s="584">
        <v>0.245</v>
      </c>
      <c r="BR155" s="584">
        <v>793.30019922164604</v>
      </c>
      <c r="BS155" s="584">
        <v>48.2274962935508</v>
      </c>
      <c r="BT155" s="584">
        <v>0</v>
      </c>
      <c r="BU155" s="584">
        <v>0</v>
      </c>
      <c r="BV155" s="584">
        <v>0</v>
      </c>
      <c r="BW155" s="584">
        <v>0</v>
      </c>
      <c r="BX155" s="584">
        <v>0</v>
      </c>
      <c r="BY155" s="584">
        <v>0</v>
      </c>
      <c r="BZ155" s="584">
        <v>0</v>
      </c>
      <c r="CA155" s="584">
        <v>0.6</v>
      </c>
      <c r="CB155" s="584">
        <v>1.075</v>
      </c>
      <c r="CC155" s="584">
        <v>0.45</v>
      </c>
      <c r="CD155" s="584">
        <v>0.45</v>
      </c>
      <c r="CE155" s="584">
        <v>509.23410000000001</v>
      </c>
      <c r="CF155" s="584">
        <v>87.5</v>
      </c>
      <c r="CG155" s="584">
        <v>859.30785000000003</v>
      </c>
      <c r="CH155" s="584">
        <v>183.75</v>
      </c>
      <c r="CI155" s="584">
        <v>1193.6847250000001</v>
      </c>
      <c r="CJ155" s="584">
        <v>385</v>
      </c>
      <c r="CK155" s="584">
        <v>0</v>
      </c>
      <c r="CL155" s="584">
        <v>0</v>
      </c>
      <c r="CM155" s="584">
        <v>0</v>
      </c>
      <c r="CN155" s="584">
        <v>0</v>
      </c>
      <c r="CO155" s="584">
        <v>0</v>
      </c>
      <c r="CP155" s="584">
        <v>0</v>
      </c>
      <c r="CQ155" s="584">
        <v>0</v>
      </c>
      <c r="CR155" s="584">
        <v>0</v>
      </c>
      <c r="CS155" s="584">
        <v>0</v>
      </c>
      <c r="CT155" s="584">
        <v>0</v>
      </c>
      <c r="CU155" s="584">
        <v>0</v>
      </c>
      <c r="CV155" s="584">
        <v>0</v>
      </c>
      <c r="CW155" s="584">
        <v>0</v>
      </c>
      <c r="CX155" s="584">
        <v>0</v>
      </c>
      <c r="CY155" s="584">
        <v>0</v>
      </c>
      <c r="CZ155" s="584">
        <v>0</v>
      </c>
      <c r="DA155" s="584">
        <v>0</v>
      </c>
      <c r="DB155" s="584">
        <v>0</v>
      </c>
      <c r="DC155" s="584">
        <v>0</v>
      </c>
      <c r="DD155" s="584">
        <v>0</v>
      </c>
      <c r="DE155" s="584">
        <v>0</v>
      </c>
      <c r="DF155" s="584">
        <v>0.72499999999999998</v>
      </c>
      <c r="DG155" s="584">
        <v>0.25</v>
      </c>
      <c r="DH155" s="584">
        <v>469.75491104521899</v>
      </c>
      <c r="DI155" s="584">
        <v>20.3980100074129</v>
      </c>
      <c r="DJ155" s="584">
        <v>340</v>
      </c>
      <c r="DK155" s="584">
        <v>0</v>
      </c>
      <c r="DL155" s="584">
        <v>0</v>
      </c>
      <c r="DM155" s="584">
        <v>0</v>
      </c>
      <c r="DN155" s="584">
        <v>0</v>
      </c>
      <c r="DO155" s="584">
        <v>0</v>
      </c>
      <c r="DP155" s="584">
        <v>0</v>
      </c>
      <c r="DQ155" s="584">
        <v>0</v>
      </c>
      <c r="DR155" s="584">
        <v>0.72499999999999998</v>
      </c>
      <c r="DS155" s="584">
        <v>0</v>
      </c>
      <c r="DT155" s="584">
        <v>2.4</v>
      </c>
      <c r="DU155" s="584">
        <v>438.40724999999998</v>
      </c>
      <c r="DV155" s="584">
        <v>87.5</v>
      </c>
      <c r="DW155" s="584">
        <v>819.09950000000003</v>
      </c>
      <c r="DX155" s="584">
        <v>183.75</v>
      </c>
      <c r="DY155" s="584">
        <v>1319.77675</v>
      </c>
      <c r="DZ155" s="584">
        <v>385</v>
      </c>
      <c r="EA155" s="1062">
        <v>1.3149999999999999</v>
      </c>
      <c r="EB155" s="1046">
        <v>0.4</v>
      </c>
      <c r="EC155" s="1093">
        <v>132.51783893985737</v>
      </c>
      <c r="ED155" s="1046">
        <v>0</v>
      </c>
      <c r="EE155" s="1046">
        <v>519.87767584097855</v>
      </c>
      <c r="EF155" s="1046">
        <v>35.15</v>
      </c>
      <c r="EG155" s="1046">
        <v>0</v>
      </c>
      <c r="EH155" s="1046">
        <v>0</v>
      </c>
      <c r="EI155" s="1046" t="s">
        <v>372</v>
      </c>
      <c r="EJ155" s="1046" t="s">
        <v>421</v>
      </c>
      <c r="EK155" s="1046">
        <v>0</v>
      </c>
      <c r="EL155" s="1046">
        <v>0</v>
      </c>
      <c r="EM155" s="1046">
        <v>0</v>
      </c>
      <c r="EN155" s="1046">
        <v>0</v>
      </c>
      <c r="EO155" s="1046">
        <v>0</v>
      </c>
      <c r="EP155" s="1094">
        <v>253.56875250000002</v>
      </c>
      <c r="EQ155" s="1094">
        <v>87.5</v>
      </c>
      <c r="ER155" s="1094">
        <v>507.13750500000003</v>
      </c>
      <c r="ES155" s="1095">
        <v>175</v>
      </c>
      <c r="ET155" s="1094">
        <v>1014.2750100000001</v>
      </c>
      <c r="EU155" s="1094">
        <v>350</v>
      </c>
      <c r="EV155" s="1096">
        <v>0.91220000000000001</v>
      </c>
      <c r="EW155" s="1097">
        <v>0.15</v>
      </c>
      <c r="EX155" s="1096">
        <v>289.50050968399592</v>
      </c>
      <c r="EY155" s="1096">
        <v>1.5443934760448521</v>
      </c>
      <c r="EZ155" s="1096">
        <v>0</v>
      </c>
      <c r="FA155" s="1096">
        <v>42.717142857142854</v>
      </c>
      <c r="FB155" s="1098">
        <v>0</v>
      </c>
      <c r="FC155" s="1098">
        <v>0</v>
      </c>
      <c r="FD155" s="1098" t="s">
        <v>385</v>
      </c>
      <c r="FE155" s="1098" t="s">
        <v>410</v>
      </c>
      <c r="FF155" s="1098">
        <v>3</v>
      </c>
      <c r="FG155" s="1098">
        <v>0</v>
      </c>
      <c r="FH155" s="1098">
        <v>0</v>
      </c>
      <c r="FI155" s="1098">
        <v>0</v>
      </c>
      <c r="FJ155" s="1098">
        <v>0</v>
      </c>
      <c r="FK155" s="1096">
        <v>135.94719850000001</v>
      </c>
      <c r="FL155" s="1096">
        <v>87.5</v>
      </c>
      <c r="FM155" s="1096">
        <v>271.89439700000003</v>
      </c>
      <c r="FN155" s="1096">
        <v>175</v>
      </c>
      <c r="FO155" s="1096">
        <v>543.78879400000005</v>
      </c>
      <c r="FP155" s="1099">
        <v>350</v>
      </c>
      <c r="FQ155" s="1064">
        <v>1.2170799999999999</v>
      </c>
      <c r="FR155" s="1065">
        <v>0.15</v>
      </c>
      <c r="FS155" s="1066">
        <v>289.50050968399586</v>
      </c>
      <c r="FT155" s="1066">
        <v>3.1754272996334754</v>
      </c>
      <c r="FU155" s="1065"/>
      <c r="FV155" s="1066">
        <v>63.588982845959237</v>
      </c>
      <c r="FW155" s="1065"/>
      <c r="FX155" s="1065"/>
      <c r="FY155" s="1065" t="s">
        <v>385</v>
      </c>
      <c r="FZ155" s="1065" t="s">
        <v>416</v>
      </c>
      <c r="GA155" s="1065">
        <v>3</v>
      </c>
      <c r="GB155" s="1065"/>
      <c r="GC155" s="1065"/>
      <c r="GD155" s="1065"/>
      <c r="GE155" s="1065"/>
      <c r="GF155" s="1066">
        <v>139.82356022348927</v>
      </c>
      <c r="GG155" s="1066">
        <v>87.5</v>
      </c>
      <c r="GH155" s="1066">
        <v>279.64712044697853</v>
      </c>
      <c r="GI155" s="1066">
        <v>175</v>
      </c>
      <c r="GJ155" s="1066">
        <v>559.29424089395707</v>
      </c>
      <c r="GK155" s="1066">
        <v>350</v>
      </c>
      <c r="GL155" s="584">
        <v>0.96489999999999998</v>
      </c>
      <c r="GM155" s="584">
        <v>0.13</v>
      </c>
      <c r="GN155" s="584"/>
      <c r="GO155" s="584"/>
      <c r="GP155" s="584"/>
      <c r="GQ155" s="584">
        <v>63.262857142857101</v>
      </c>
      <c r="GR155" s="584"/>
      <c r="GS155" s="584">
        <v>66.2589194699286</v>
      </c>
      <c r="GT155" s="584" t="s">
        <v>387</v>
      </c>
      <c r="GU155" s="584" t="s">
        <v>381</v>
      </c>
      <c r="GV155" s="584">
        <v>2</v>
      </c>
      <c r="GW155" s="584"/>
      <c r="GX155" s="584"/>
      <c r="GY155" s="584"/>
      <c r="GZ155" s="584"/>
      <c r="HA155" s="584">
        <v>61.971302000000001</v>
      </c>
      <c r="HB155" s="584">
        <v>87.5</v>
      </c>
      <c r="HC155" s="584">
        <v>123.942604</v>
      </c>
      <c r="HD155" s="584">
        <v>175</v>
      </c>
      <c r="HE155" s="584">
        <v>247.88520800000001</v>
      </c>
      <c r="HF155" s="584">
        <v>350</v>
      </c>
      <c r="HG155" s="1100">
        <v>1.4300000000000002</v>
      </c>
      <c r="HH155" s="1100">
        <v>0.11</v>
      </c>
      <c r="HI155" s="1101">
        <v>0</v>
      </c>
      <c r="HJ155" s="1101">
        <v>0</v>
      </c>
      <c r="HK155" s="1101">
        <v>0</v>
      </c>
      <c r="HL155" s="1101">
        <v>0</v>
      </c>
      <c r="HM155" s="1101">
        <v>71.192571428571412</v>
      </c>
      <c r="HN155" s="1101">
        <v>54.999999999999993</v>
      </c>
      <c r="HO155" s="1101">
        <v>0</v>
      </c>
      <c r="HP155" s="1101">
        <v>0</v>
      </c>
      <c r="HQ155" s="1101">
        <v>3</v>
      </c>
      <c r="HR155" s="1101">
        <v>1.32</v>
      </c>
      <c r="HS155" s="1101">
        <v>1.1599999999999999</v>
      </c>
      <c r="HT155" s="1101">
        <v>0.3</v>
      </c>
      <c r="HU155" s="1101">
        <v>0.28000000000000003</v>
      </c>
      <c r="HV155" s="1101">
        <v>60.828219399999988</v>
      </c>
      <c r="HW155" s="1101">
        <v>87.5</v>
      </c>
      <c r="HX155" s="1101">
        <v>121.65643879999998</v>
      </c>
      <c r="HY155" s="1101">
        <v>175</v>
      </c>
      <c r="HZ155" s="1101">
        <v>243.31287759999995</v>
      </c>
      <c r="IA155" s="1101">
        <v>350</v>
      </c>
      <c r="IB155" s="1062"/>
      <c r="IC155" s="1092"/>
      <c r="ID155" s="1050"/>
      <c r="IE155" s="1050"/>
      <c r="IF155" s="1103"/>
      <c r="IG155" s="1103"/>
      <c r="IH155" s="1103"/>
      <c r="II155" s="1103"/>
      <c r="IJ155" s="1103"/>
      <c r="IK155" s="1103"/>
      <c r="IL155" s="1103"/>
      <c r="IM155" s="1050"/>
      <c r="IN155" s="1050"/>
      <c r="IO155" s="1050"/>
      <c r="IP155" s="1050"/>
      <c r="IQ155" s="1103"/>
      <c r="IR155" s="1103"/>
      <c r="IS155" s="1103"/>
      <c r="IT155" s="1103"/>
      <c r="IU155" s="1103"/>
      <c r="IV155" s="1103"/>
      <c r="JS155" s="1092"/>
      <c r="JU155" s="1050"/>
      <c r="JV155" s="1103"/>
      <c r="JW155" s="1103"/>
      <c r="JX155" s="1103"/>
      <c r="JY155" s="1103"/>
      <c r="JZ155" s="1103"/>
      <c r="KA155" s="1103"/>
      <c r="KB155" s="1103"/>
      <c r="KC155" s="1050"/>
      <c r="KD155" s="1050"/>
      <c r="KE155" s="1050"/>
      <c r="KF155" s="1050"/>
      <c r="KG155" s="1103"/>
      <c r="KH155" s="1103"/>
      <c r="KI155" s="1103"/>
      <c r="KJ155" s="1103"/>
      <c r="KK155" s="1103"/>
      <c r="KL155" s="1103"/>
      <c r="KM155" s="1103"/>
      <c r="KN155" s="1103"/>
    </row>
    <row r="156" spans="2:300">
      <c r="B156" s="1048" t="str">
        <f t="shared" si="4"/>
        <v>R1015</v>
      </c>
      <c r="C156" s="1046">
        <v>10</v>
      </c>
      <c r="D156" s="1092">
        <v>15</v>
      </c>
      <c r="E156" s="584">
        <v>0</v>
      </c>
      <c r="F156" s="584">
        <v>0</v>
      </c>
      <c r="G156" s="584">
        <v>0</v>
      </c>
      <c r="H156" s="584">
        <v>0</v>
      </c>
      <c r="I156" s="584">
        <v>0</v>
      </c>
      <c r="J156" s="584">
        <v>0</v>
      </c>
      <c r="K156" s="584">
        <v>0</v>
      </c>
      <c r="L156" s="584">
        <v>0</v>
      </c>
      <c r="M156" s="584">
        <v>0</v>
      </c>
      <c r="N156" s="584">
        <v>0</v>
      </c>
      <c r="O156" s="584">
        <v>0</v>
      </c>
      <c r="P156" s="584">
        <v>0</v>
      </c>
      <c r="Q156" s="584">
        <v>0</v>
      </c>
      <c r="R156" s="584">
        <v>0</v>
      </c>
      <c r="S156" s="584">
        <v>0</v>
      </c>
      <c r="T156" s="584">
        <v>0</v>
      </c>
      <c r="U156" s="584">
        <v>0</v>
      </c>
      <c r="V156" s="584">
        <v>0</v>
      </c>
      <c r="W156" s="584">
        <v>0</v>
      </c>
      <c r="X156" s="584">
        <v>0</v>
      </c>
      <c r="Y156" s="584">
        <v>0</v>
      </c>
      <c r="Z156" s="584">
        <v>0</v>
      </c>
      <c r="AA156" s="584">
        <v>0</v>
      </c>
      <c r="AB156" s="584">
        <v>0</v>
      </c>
      <c r="AC156" s="584">
        <v>0</v>
      </c>
      <c r="AD156" s="584">
        <v>0</v>
      </c>
      <c r="AE156" s="584">
        <v>0</v>
      </c>
      <c r="AF156" s="584">
        <v>0</v>
      </c>
      <c r="AG156" s="584">
        <v>0</v>
      </c>
      <c r="AH156" s="584">
        <v>0</v>
      </c>
      <c r="AI156" s="584">
        <v>0</v>
      </c>
      <c r="AJ156" s="584">
        <v>0</v>
      </c>
      <c r="AK156" s="584">
        <v>0</v>
      </c>
      <c r="AL156" s="584">
        <v>0</v>
      </c>
      <c r="AM156" s="584">
        <v>0</v>
      </c>
      <c r="AN156" s="584">
        <v>0</v>
      </c>
      <c r="AO156" s="584">
        <v>0</v>
      </c>
      <c r="AP156" s="584">
        <v>0</v>
      </c>
      <c r="AQ156" s="584">
        <v>0</v>
      </c>
      <c r="AR156" s="584">
        <v>0</v>
      </c>
      <c r="AS156" s="584">
        <v>0</v>
      </c>
      <c r="AT156" s="584">
        <v>0</v>
      </c>
      <c r="AU156" s="584">
        <v>0</v>
      </c>
      <c r="AV156" s="584">
        <v>0</v>
      </c>
      <c r="AW156" s="584">
        <v>0</v>
      </c>
      <c r="AX156" s="584">
        <v>0</v>
      </c>
      <c r="AY156" s="584">
        <v>0</v>
      </c>
      <c r="AZ156" s="584">
        <v>0</v>
      </c>
      <c r="BA156" s="584">
        <v>0</v>
      </c>
      <c r="BB156" s="584">
        <v>0</v>
      </c>
      <c r="BC156" s="584">
        <v>0</v>
      </c>
      <c r="BD156" s="584">
        <v>0</v>
      </c>
      <c r="BE156" s="584">
        <v>0</v>
      </c>
      <c r="BF156" s="584">
        <v>0</v>
      </c>
      <c r="BG156" s="584">
        <v>0</v>
      </c>
      <c r="BH156" s="584">
        <v>0</v>
      </c>
      <c r="BI156" s="584">
        <v>0</v>
      </c>
      <c r="BJ156" s="584">
        <v>0</v>
      </c>
      <c r="BK156" s="584">
        <v>0</v>
      </c>
      <c r="BL156" s="584">
        <v>0</v>
      </c>
      <c r="BM156" s="584">
        <v>0</v>
      </c>
      <c r="BN156" s="584">
        <v>0</v>
      </c>
      <c r="BO156" s="584">
        <v>0</v>
      </c>
      <c r="BP156" s="584">
        <v>0</v>
      </c>
      <c r="BQ156" s="584">
        <v>0</v>
      </c>
      <c r="BR156" s="584">
        <v>0</v>
      </c>
      <c r="BS156" s="584">
        <v>0</v>
      </c>
      <c r="BT156" s="584">
        <v>0</v>
      </c>
      <c r="BU156" s="584">
        <v>0</v>
      </c>
      <c r="BV156" s="584">
        <v>0</v>
      </c>
      <c r="BW156" s="584">
        <v>0</v>
      </c>
      <c r="BX156" s="584">
        <v>0</v>
      </c>
      <c r="BY156" s="584">
        <v>0</v>
      </c>
      <c r="BZ156" s="584">
        <v>0</v>
      </c>
      <c r="CA156" s="584">
        <v>0</v>
      </c>
      <c r="CB156" s="584">
        <v>0</v>
      </c>
      <c r="CC156" s="584">
        <v>0</v>
      </c>
      <c r="CD156" s="584">
        <v>0</v>
      </c>
      <c r="CE156" s="584">
        <v>0</v>
      </c>
      <c r="CF156" s="584">
        <v>0</v>
      </c>
      <c r="CG156" s="584">
        <v>0</v>
      </c>
      <c r="CH156" s="584">
        <v>0</v>
      </c>
      <c r="CI156" s="584">
        <v>0</v>
      </c>
      <c r="CJ156" s="584">
        <v>0</v>
      </c>
      <c r="CK156" s="584">
        <v>0</v>
      </c>
      <c r="CL156" s="584">
        <v>0</v>
      </c>
      <c r="CM156" s="584">
        <v>0</v>
      </c>
      <c r="CN156" s="584">
        <v>0</v>
      </c>
      <c r="CO156" s="584">
        <v>0</v>
      </c>
      <c r="CP156" s="584">
        <v>0</v>
      </c>
      <c r="CQ156" s="584">
        <v>0</v>
      </c>
      <c r="CR156" s="584">
        <v>0</v>
      </c>
      <c r="CS156" s="584">
        <v>0</v>
      </c>
      <c r="CT156" s="584">
        <v>0</v>
      </c>
      <c r="CU156" s="584">
        <v>0</v>
      </c>
      <c r="CV156" s="584">
        <v>0</v>
      </c>
      <c r="CW156" s="584">
        <v>0</v>
      </c>
      <c r="CX156" s="584">
        <v>0</v>
      </c>
      <c r="CY156" s="584">
        <v>0</v>
      </c>
      <c r="CZ156" s="584">
        <v>0</v>
      </c>
      <c r="DA156" s="584">
        <v>0</v>
      </c>
      <c r="DB156" s="584">
        <v>0</v>
      </c>
      <c r="DC156" s="584">
        <v>0</v>
      </c>
      <c r="DD156" s="584">
        <v>0</v>
      </c>
      <c r="DE156" s="584">
        <v>0</v>
      </c>
      <c r="DF156" s="584">
        <v>0</v>
      </c>
      <c r="DG156" s="584">
        <v>0</v>
      </c>
      <c r="DH156" s="584">
        <v>0</v>
      </c>
      <c r="DI156" s="584">
        <v>0</v>
      </c>
      <c r="DJ156" s="584">
        <v>0</v>
      </c>
      <c r="DK156" s="584">
        <v>0</v>
      </c>
      <c r="DL156" s="584">
        <v>0</v>
      </c>
      <c r="DM156" s="584">
        <v>0</v>
      </c>
      <c r="DN156" s="584">
        <v>0</v>
      </c>
      <c r="DO156" s="584">
        <v>0</v>
      </c>
      <c r="DP156" s="584">
        <v>0</v>
      </c>
      <c r="DQ156" s="584">
        <v>0</v>
      </c>
      <c r="DR156" s="584">
        <v>0</v>
      </c>
      <c r="DS156" s="584">
        <v>0</v>
      </c>
      <c r="DT156" s="584">
        <v>0</v>
      </c>
      <c r="DU156" s="584">
        <v>0</v>
      </c>
      <c r="DV156" s="584">
        <v>0</v>
      </c>
      <c r="DW156" s="584">
        <v>0</v>
      </c>
      <c r="DX156" s="584">
        <v>0</v>
      </c>
      <c r="DY156" s="584">
        <v>0</v>
      </c>
      <c r="DZ156" s="584">
        <v>0</v>
      </c>
      <c r="EA156" s="1062">
        <v>1.373</v>
      </c>
      <c r="EB156" s="1046">
        <v>0.45</v>
      </c>
      <c r="EC156" s="1093">
        <v>132.51783893985726</v>
      </c>
      <c r="ED156" s="1046">
        <v>0</v>
      </c>
      <c r="EE156" s="1046">
        <v>581.03975535168195</v>
      </c>
      <c r="EF156" s="1046">
        <v>45.396666666666668</v>
      </c>
      <c r="EG156" s="1046">
        <v>0</v>
      </c>
      <c r="EH156" s="1046">
        <v>0</v>
      </c>
      <c r="EI156" s="1046" t="s">
        <v>369</v>
      </c>
      <c r="EJ156" s="1046" t="s">
        <v>418</v>
      </c>
      <c r="EK156" s="1046">
        <v>0</v>
      </c>
      <c r="EL156" s="1046">
        <v>0</v>
      </c>
      <c r="EM156" s="1046">
        <v>0</v>
      </c>
      <c r="EN156" s="1046">
        <v>0</v>
      </c>
      <c r="EO156" s="1046">
        <v>0</v>
      </c>
      <c r="EP156" s="1094">
        <v>297.95029875</v>
      </c>
      <c r="EQ156" s="1094">
        <v>93.75</v>
      </c>
      <c r="ER156" s="1094">
        <v>595.9005975</v>
      </c>
      <c r="ES156" s="1095">
        <v>187.5</v>
      </c>
      <c r="ET156" s="1094">
        <v>1191.801195</v>
      </c>
      <c r="EU156" s="1094">
        <v>375</v>
      </c>
      <c r="EV156" s="1096">
        <v>0.91220000000000001</v>
      </c>
      <c r="EW156" s="1097">
        <v>0.15</v>
      </c>
      <c r="EX156" s="1096">
        <v>289.50050968399592</v>
      </c>
      <c r="EY156" s="1096">
        <v>1.5443934760448521</v>
      </c>
      <c r="EZ156" s="1096">
        <v>0</v>
      </c>
      <c r="FA156" s="1096">
        <v>41.893333333333331</v>
      </c>
      <c r="FB156" s="1098">
        <v>0</v>
      </c>
      <c r="FC156" s="1098">
        <v>0</v>
      </c>
      <c r="FD156" s="1098" t="s">
        <v>385</v>
      </c>
      <c r="FE156" s="1098" t="s">
        <v>410</v>
      </c>
      <c r="FF156" s="1098">
        <v>3</v>
      </c>
      <c r="FG156" s="1098">
        <v>0</v>
      </c>
      <c r="FH156" s="1098">
        <v>0</v>
      </c>
      <c r="FI156" s="1098">
        <v>0</v>
      </c>
      <c r="FJ156" s="1098">
        <v>0</v>
      </c>
      <c r="FK156" s="1096">
        <v>145.35465375000001</v>
      </c>
      <c r="FL156" s="1096">
        <v>93.75</v>
      </c>
      <c r="FM156" s="1096">
        <v>290.70930750000002</v>
      </c>
      <c r="FN156" s="1096">
        <v>187.5</v>
      </c>
      <c r="FO156" s="1096">
        <v>581.41861500000005</v>
      </c>
      <c r="FP156" s="1099">
        <v>375</v>
      </c>
      <c r="FQ156" s="1064">
        <v>1.3188599999999999</v>
      </c>
      <c r="FR156" s="1065">
        <v>0.15</v>
      </c>
      <c r="FS156" s="1066">
        <v>289.50050968399586</v>
      </c>
      <c r="FT156" s="1066">
        <v>3.1754272996334754</v>
      </c>
      <c r="FU156" s="1065"/>
      <c r="FV156" s="1066">
        <v>70.912570091774086</v>
      </c>
      <c r="FW156" s="1065"/>
      <c r="FX156" s="1065"/>
      <c r="FY156" s="1065" t="s">
        <v>381</v>
      </c>
      <c r="FZ156" s="1065" t="s">
        <v>412</v>
      </c>
      <c r="GA156" s="1065">
        <v>3</v>
      </c>
      <c r="GB156" s="1065"/>
      <c r="GC156" s="1065"/>
      <c r="GD156" s="1065"/>
      <c r="GE156" s="1065"/>
      <c r="GF156" s="1066">
        <v>152.50512204036403</v>
      </c>
      <c r="GG156" s="1066">
        <v>93.75</v>
      </c>
      <c r="GH156" s="1066">
        <v>305.01024408072806</v>
      </c>
      <c r="GI156" s="1066">
        <v>187.5</v>
      </c>
      <c r="GJ156" s="1066">
        <v>610.02048816145611</v>
      </c>
      <c r="GK156" s="1066">
        <v>375</v>
      </c>
      <c r="GL156" s="584">
        <v>1.0329999999999999</v>
      </c>
      <c r="GM156" s="584">
        <v>0.13</v>
      </c>
      <c r="GN156" s="584"/>
      <c r="GO156" s="584"/>
      <c r="GP156" s="584"/>
      <c r="GQ156" s="584">
        <v>70.063333333333304</v>
      </c>
      <c r="GR156" s="584"/>
      <c r="GS156" s="584">
        <v>66.2589194699286</v>
      </c>
      <c r="GT156" s="584" t="s">
        <v>387</v>
      </c>
      <c r="GU156" s="584" t="s">
        <v>375</v>
      </c>
      <c r="GV156" s="584">
        <v>2</v>
      </c>
      <c r="GW156" s="584"/>
      <c r="GX156" s="584"/>
      <c r="GY156" s="584"/>
      <c r="GZ156" s="584"/>
      <c r="HA156" s="584">
        <v>68.899548749999994</v>
      </c>
      <c r="HB156" s="584">
        <v>93.75</v>
      </c>
      <c r="HC156" s="584">
        <v>137.79909749999999</v>
      </c>
      <c r="HD156" s="584">
        <v>187.5</v>
      </c>
      <c r="HE156" s="584">
        <v>275.59819499999998</v>
      </c>
      <c r="HF156" s="584">
        <v>375</v>
      </c>
      <c r="HG156" s="1100">
        <v>1.55</v>
      </c>
      <c r="HH156" s="1100">
        <v>0.11</v>
      </c>
      <c r="HI156" s="1101">
        <v>0</v>
      </c>
      <c r="HJ156" s="1101">
        <v>0</v>
      </c>
      <c r="HK156" s="1101">
        <v>0</v>
      </c>
      <c r="HL156" s="1101">
        <v>0</v>
      </c>
      <c r="HM156" s="1101">
        <v>77.759999999999991</v>
      </c>
      <c r="HN156" s="1101">
        <v>54.999999999999993</v>
      </c>
      <c r="HO156" s="1101">
        <v>0</v>
      </c>
      <c r="HP156" s="1101">
        <v>0</v>
      </c>
      <c r="HQ156" s="1101">
        <v>3</v>
      </c>
      <c r="HR156" s="1101">
        <v>1.44</v>
      </c>
      <c r="HS156" s="1101">
        <v>1.2</v>
      </c>
      <c r="HT156" s="1101">
        <v>0.3</v>
      </c>
      <c r="HU156" s="1101">
        <v>0.3</v>
      </c>
      <c r="HV156" s="1101">
        <v>67.589084999999997</v>
      </c>
      <c r="HW156" s="1101">
        <v>93.75</v>
      </c>
      <c r="HX156" s="1101">
        <v>135.17816999999999</v>
      </c>
      <c r="HY156" s="1101">
        <v>187.5</v>
      </c>
      <c r="HZ156" s="1101">
        <v>270.35633999999999</v>
      </c>
      <c r="IA156" s="1101">
        <v>375</v>
      </c>
      <c r="IB156" s="1062"/>
      <c r="IC156" s="1092"/>
      <c r="ID156" s="1050"/>
      <c r="IE156" s="1050"/>
      <c r="IF156" s="1103"/>
      <c r="IG156" s="1103"/>
      <c r="IH156" s="1103"/>
      <c r="II156" s="1103"/>
      <c r="IJ156" s="1103"/>
      <c r="IK156" s="1103"/>
      <c r="IL156" s="1103"/>
      <c r="IM156" s="1050"/>
      <c r="IN156" s="1050"/>
      <c r="IO156" s="1050"/>
      <c r="IP156" s="1050"/>
      <c r="IQ156" s="1103"/>
      <c r="IR156" s="1103"/>
      <c r="IS156" s="1103"/>
      <c r="IT156" s="1103"/>
      <c r="IU156" s="1103"/>
      <c r="IV156" s="1103"/>
      <c r="JS156" s="1092"/>
      <c r="JU156" s="1050"/>
      <c r="JV156" s="1103"/>
      <c r="JW156" s="1103"/>
      <c r="JX156" s="1103"/>
      <c r="JY156" s="1103"/>
      <c r="JZ156" s="1103"/>
      <c r="KA156" s="1103"/>
      <c r="KB156" s="1103"/>
      <c r="KC156" s="1050"/>
      <c r="KD156" s="1050"/>
      <c r="KE156" s="1050"/>
      <c r="KF156" s="1050"/>
      <c r="KG156" s="1103"/>
      <c r="KH156" s="1103"/>
      <c r="KI156" s="1103"/>
      <c r="KJ156" s="1103"/>
      <c r="KK156" s="1103"/>
      <c r="KL156" s="1103"/>
      <c r="KM156" s="1103"/>
      <c r="KN156" s="1103"/>
    </row>
    <row r="157" spans="2:300">
      <c r="B157" s="1048" t="str">
        <f t="shared" si="4"/>
        <v>R1016</v>
      </c>
      <c r="C157" s="1046">
        <v>10</v>
      </c>
      <c r="D157" s="1092">
        <v>16</v>
      </c>
      <c r="E157" s="584">
        <v>0</v>
      </c>
      <c r="F157" s="584">
        <v>0</v>
      </c>
      <c r="G157" s="584">
        <v>0</v>
      </c>
      <c r="H157" s="584">
        <v>0</v>
      </c>
      <c r="I157" s="584">
        <v>0</v>
      </c>
      <c r="J157" s="584">
        <v>0</v>
      </c>
      <c r="K157" s="584">
        <v>0</v>
      </c>
      <c r="L157" s="584">
        <v>0</v>
      </c>
      <c r="M157" s="584">
        <v>0</v>
      </c>
      <c r="N157" s="584">
        <v>0</v>
      </c>
      <c r="O157" s="584">
        <v>0</v>
      </c>
      <c r="P157" s="584">
        <v>0</v>
      </c>
      <c r="Q157" s="584">
        <v>0</v>
      </c>
      <c r="R157" s="584">
        <v>0</v>
      </c>
      <c r="S157" s="584">
        <v>0</v>
      </c>
      <c r="T157" s="584">
        <v>0</v>
      </c>
      <c r="U157" s="584">
        <v>0</v>
      </c>
      <c r="V157" s="584">
        <v>0</v>
      </c>
      <c r="W157" s="584">
        <v>0</v>
      </c>
      <c r="X157" s="584">
        <v>0</v>
      </c>
      <c r="Y157" s="584">
        <v>0</v>
      </c>
      <c r="Z157" s="584">
        <v>0</v>
      </c>
      <c r="AA157" s="584">
        <v>0</v>
      </c>
      <c r="AB157" s="584">
        <v>0</v>
      </c>
      <c r="AC157" s="584">
        <v>0</v>
      </c>
      <c r="AD157" s="584">
        <v>0</v>
      </c>
      <c r="AE157" s="584">
        <v>0</v>
      </c>
      <c r="AF157" s="584">
        <v>0</v>
      </c>
      <c r="AG157" s="584">
        <v>0</v>
      </c>
      <c r="AH157" s="584">
        <v>0</v>
      </c>
      <c r="AI157" s="584">
        <v>0</v>
      </c>
      <c r="AJ157" s="584">
        <v>0</v>
      </c>
      <c r="AK157" s="584">
        <v>0</v>
      </c>
      <c r="AL157" s="584">
        <v>0</v>
      </c>
      <c r="AM157" s="584">
        <v>0</v>
      </c>
      <c r="AN157" s="584">
        <v>0</v>
      </c>
      <c r="AO157" s="584">
        <v>164.2974375</v>
      </c>
      <c r="AP157" s="584">
        <v>100</v>
      </c>
      <c r="AQ157" s="584">
        <v>226.81743750000001</v>
      </c>
      <c r="AR157" s="584">
        <v>210</v>
      </c>
      <c r="AS157" s="584">
        <v>96.991</v>
      </c>
      <c r="AT157" s="584">
        <v>440</v>
      </c>
      <c r="AU157" s="584">
        <v>0</v>
      </c>
      <c r="AV157" s="584">
        <v>0</v>
      </c>
      <c r="AW157" s="584">
        <v>0</v>
      </c>
      <c r="AX157" s="584">
        <v>0</v>
      </c>
      <c r="AY157" s="584">
        <v>0</v>
      </c>
      <c r="AZ157" s="584">
        <v>0</v>
      </c>
      <c r="BA157" s="584">
        <v>0</v>
      </c>
      <c r="BB157" s="584">
        <v>0</v>
      </c>
      <c r="BC157" s="584">
        <v>0</v>
      </c>
      <c r="BD157" s="584">
        <v>0</v>
      </c>
      <c r="BE157" s="584">
        <v>0</v>
      </c>
      <c r="BF157" s="584">
        <v>0</v>
      </c>
      <c r="BG157" s="584">
        <v>0</v>
      </c>
      <c r="BH157" s="584">
        <v>0</v>
      </c>
      <c r="BI157" s="584">
        <v>0</v>
      </c>
      <c r="BJ157" s="584">
        <v>0</v>
      </c>
      <c r="BK157" s="584">
        <v>0</v>
      </c>
      <c r="BL157" s="584">
        <v>0</v>
      </c>
      <c r="BM157" s="584">
        <v>0</v>
      </c>
      <c r="BN157" s="584">
        <v>0</v>
      </c>
      <c r="BO157" s="584">
        <v>0</v>
      </c>
      <c r="BP157" s="584">
        <v>0</v>
      </c>
      <c r="BQ157" s="584">
        <v>0</v>
      </c>
      <c r="BR157" s="584">
        <v>0</v>
      </c>
      <c r="BS157" s="584">
        <v>0</v>
      </c>
      <c r="BT157" s="584">
        <v>0</v>
      </c>
      <c r="BU157" s="584">
        <v>0</v>
      </c>
      <c r="BV157" s="584">
        <v>0</v>
      </c>
      <c r="BW157" s="584">
        <v>0</v>
      </c>
      <c r="BX157" s="584">
        <v>0</v>
      </c>
      <c r="BY157" s="584">
        <v>0</v>
      </c>
      <c r="BZ157" s="584">
        <v>0</v>
      </c>
      <c r="CA157" s="584">
        <v>0</v>
      </c>
      <c r="CB157" s="584">
        <v>0</v>
      </c>
      <c r="CC157" s="584">
        <v>0</v>
      </c>
      <c r="CD157" s="584">
        <v>0</v>
      </c>
      <c r="CE157" s="584">
        <v>0</v>
      </c>
      <c r="CF157" s="584">
        <v>0</v>
      </c>
      <c r="CG157" s="584">
        <v>0</v>
      </c>
      <c r="CH157" s="584">
        <v>0</v>
      </c>
      <c r="CI157" s="584">
        <v>0</v>
      </c>
      <c r="CJ157" s="584">
        <v>0</v>
      </c>
      <c r="CK157" s="584">
        <v>0</v>
      </c>
      <c r="CL157" s="584">
        <v>0</v>
      </c>
      <c r="CM157" s="584">
        <v>0</v>
      </c>
      <c r="CN157" s="584">
        <v>0</v>
      </c>
      <c r="CO157" s="584">
        <v>0</v>
      </c>
      <c r="CP157" s="584">
        <v>0</v>
      </c>
      <c r="CQ157" s="584">
        <v>0</v>
      </c>
      <c r="CR157" s="584">
        <v>0</v>
      </c>
      <c r="CS157" s="584">
        <v>0</v>
      </c>
      <c r="CT157" s="584">
        <v>0</v>
      </c>
      <c r="CU157" s="584">
        <v>0</v>
      </c>
      <c r="CV157" s="584">
        <v>0</v>
      </c>
      <c r="CW157" s="584">
        <v>0</v>
      </c>
      <c r="CX157" s="584">
        <v>0</v>
      </c>
      <c r="CY157" s="584">
        <v>0</v>
      </c>
      <c r="CZ157" s="584">
        <v>0</v>
      </c>
      <c r="DA157" s="584">
        <v>0</v>
      </c>
      <c r="DB157" s="584">
        <v>0</v>
      </c>
      <c r="DC157" s="584">
        <v>0</v>
      </c>
      <c r="DD157" s="584">
        <v>0</v>
      </c>
      <c r="DE157" s="584">
        <v>0</v>
      </c>
      <c r="DF157" s="584">
        <v>0</v>
      </c>
      <c r="DG157" s="584">
        <v>0</v>
      </c>
      <c r="DH157" s="584">
        <v>0</v>
      </c>
      <c r="DI157" s="584">
        <v>0</v>
      </c>
      <c r="DJ157" s="584">
        <v>0</v>
      </c>
      <c r="DK157" s="584">
        <v>0</v>
      </c>
      <c r="DL157" s="584">
        <v>0</v>
      </c>
      <c r="DM157" s="584">
        <v>0</v>
      </c>
      <c r="DN157" s="584">
        <v>0</v>
      </c>
      <c r="DO157" s="584">
        <v>0</v>
      </c>
      <c r="DP157" s="584">
        <v>0</v>
      </c>
      <c r="DQ157" s="584">
        <v>0</v>
      </c>
      <c r="DR157" s="584">
        <v>0</v>
      </c>
      <c r="DS157" s="584">
        <v>0</v>
      </c>
      <c r="DT157" s="584">
        <v>0</v>
      </c>
      <c r="DU157" s="584">
        <v>0</v>
      </c>
      <c r="DV157" s="584">
        <v>0</v>
      </c>
      <c r="DW157" s="584">
        <v>0</v>
      </c>
      <c r="DX157" s="584">
        <v>0</v>
      </c>
      <c r="DY157" s="584">
        <v>0</v>
      </c>
      <c r="DZ157" s="584">
        <v>0</v>
      </c>
      <c r="EA157" s="1062">
        <v>0</v>
      </c>
      <c r="EB157" s="1046">
        <v>0</v>
      </c>
      <c r="EC157" s="1093">
        <v>0</v>
      </c>
      <c r="ED157" s="1046">
        <v>0</v>
      </c>
      <c r="EE157" s="1046">
        <v>0</v>
      </c>
      <c r="EF157" s="1046">
        <v>0</v>
      </c>
      <c r="EG157" s="1046">
        <v>0</v>
      </c>
      <c r="EH157" s="1046">
        <v>0</v>
      </c>
      <c r="EI157" s="1046">
        <v>0</v>
      </c>
      <c r="EJ157" s="1046">
        <v>0</v>
      </c>
      <c r="EK157" s="1046">
        <v>0</v>
      </c>
      <c r="EL157" s="1046">
        <v>0</v>
      </c>
      <c r="EM157" s="1046">
        <v>0</v>
      </c>
      <c r="EN157" s="1046">
        <v>0</v>
      </c>
      <c r="EO157" s="1046">
        <v>0</v>
      </c>
      <c r="EP157" s="1094">
        <v>0</v>
      </c>
      <c r="EQ157" s="1094">
        <v>0</v>
      </c>
      <c r="ER157" s="1094">
        <v>0</v>
      </c>
      <c r="ES157" s="1095">
        <v>0</v>
      </c>
      <c r="ET157" s="1094">
        <v>0</v>
      </c>
      <c r="EU157" s="1094">
        <v>0</v>
      </c>
      <c r="EV157" s="1096">
        <v>0.91220000000000001</v>
      </c>
      <c r="EW157" s="1097">
        <v>0.15</v>
      </c>
      <c r="EX157" s="1096">
        <v>289.50050968399592</v>
      </c>
      <c r="EY157" s="1096">
        <v>1.5443934760448521</v>
      </c>
      <c r="EZ157" s="1096">
        <v>0</v>
      </c>
      <c r="FA157" s="1096">
        <v>48.372500000000002</v>
      </c>
      <c r="FB157" s="1098">
        <v>0</v>
      </c>
      <c r="FC157" s="1098">
        <v>0</v>
      </c>
      <c r="FD157" s="1098" t="s">
        <v>385</v>
      </c>
      <c r="FE157" s="1098" t="s">
        <v>396</v>
      </c>
      <c r="FF157" s="1098">
        <v>3</v>
      </c>
      <c r="FG157" s="1098">
        <v>0</v>
      </c>
      <c r="FH157" s="1098">
        <v>0</v>
      </c>
      <c r="FI157" s="1098">
        <v>0</v>
      </c>
      <c r="FJ157" s="1098">
        <v>0</v>
      </c>
      <c r="FK157" s="1096">
        <v>157.587389</v>
      </c>
      <c r="FL157" s="1096">
        <v>100</v>
      </c>
      <c r="FM157" s="1096">
        <v>315.174778</v>
      </c>
      <c r="FN157" s="1096">
        <v>200</v>
      </c>
      <c r="FO157" s="1096">
        <v>630.34955600000001</v>
      </c>
      <c r="FP157" s="1099">
        <v>400</v>
      </c>
      <c r="FQ157" s="1064">
        <v>1.32698</v>
      </c>
      <c r="FR157" s="1065">
        <v>0.15</v>
      </c>
      <c r="FS157" s="1066">
        <v>289.50050968399586</v>
      </c>
      <c r="FT157" s="1066">
        <v>3.1754272996334754</v>
      </c>
      <c r="FU157" s="1065"/>
      <c r="FV157" s="1066">
        <v>82.208676046984451</v>
      </c>
      <c r="FW157" s="1065"/>
      <c r="FX157" s="1065"/>
      <c r="FY157" s="1065" t="s">
        <v>379</v>
      </c>
      <c r="FZ157" s="1065" t="s">
        <v>406</v>
      </c>
      <c r="GA157" s="1065">
        <v>3</v>
      </c>
      <c r="GB157" s="1065"/>
      <c r="GC157" s="1065"/>
      <c r="GD157" s="1065"/>
      <c r="GE157" s="1065"/>
      <c r="GF157" s="1066">
        <v>167.10472215321289</v>
      </c>
      <c r="GG157" s="1066">
        <v>100</v>
      </c>
      <c r="GH157" s="1066">
        <v>334.20944430642578</v>
      </c>
      <c r="GI157" s="1066">
        <v>200</v>
      </c>
      <c r="GJ157" s="1066">
        <v>668.41888861285156</v>
      </c>
      <c r="GK157" s="1066">
        <v>400</v>
      </c>
      <c r="GL157" s="584">
        <v>1.0329999999999999</v>
      </c>
      <c r="GM157" s="584">
        <v>0.13</v>
      </c>
      <c r="GN157" s="584"/>
      <c r="GO157" s="584"/>
      <c r="GP157" s="584"/>
      <c r="GQ157" s="584">
        <v>71.263750000000002</v>
      </c>
      <c r="GR157" s="584"/>
      <c r="GS157" s="584">
        <v>66.2589194699286</v>
      </c>
      <c r="GT157" s="584" t="s">
        <v>381</v>
      </c>
      <c r="GU157" s="584" t="s">
        <v>375</v>
      </c>
      <c r="GV157" s="584">
        <v>2</v>
      </c>
      <c r="GW157" s="584"/>
      <c r="GX157" s="584"/>
      <c r="GY157" s="584"/>
      <c r="GZ157" s="584"/>
      <c r="HA157" s="584">
        <v>73.963895500000007</v>
      </c>
      <c r="HB157" s="584">
        <v>100</v>
      </c>
      <c r="HC157" s="584">
        <v>147.92779100000001</v>
      </c>
      <c r="HD157" s="584">
        <v>200</v>
      </c>
      <c r="HE157" s="584">
        <v>295.85558200000003</v>
      </c>
      <c r="HF157" s="584">
        <v>400</v>
      </c>
      <c r="HG157" s="1100">
        <v>1.6300000000000001</v>
      </c>
      <c r="HH157" s="1100">
        <v>0.11</v>
      </c>
      <c r="HI157" s="1101">
        <v>0</v>
      </c>
      <c r="HJ157" s="1101">
        <v>0</v>
      </c>
      <c r="HK157" s="1101">
        <v>0</v>
      </c>
      <c r="HL157" s="1101">
        <v>0</v>
      </c>
      <c r="HM157" s="1101">
        <v>79.352999999999994</v>
      </c>
      <c r="HN157" s="1101">
        <v>54.999999999999993</v>
      </c>
      <c r="HO157" s="1101">
        <v>0</v>
      </c>
      <c r="HP157" s="1101">
        <v>0</v>
      </c>
      <c r="HQ157" s="1101">
        <v>3</v>
      </c>
      <c r="HR157" s="1101">
        <v>1.52</v>
      </c>
      <c r="HS157" s="1101">
        <v>1.32</v>
      </c>
      <c r="HT157" s="1101">
        <v>0.3</v>
      </c>
      <c r="HU157" s="1101">
        <v>0.28000000000000003</v>
      </c>
      <c r="HV157" s="1101">
        <v>72.72011719999999</v>
      </c>
      <c r="HW157" s="1101">
        <v>100</v>
      </c>
      <c r="HX157" s="1101">
        <v>145.44023439999998</v>
      </c>
      <c r="HY157" s="1101">
        <v>200</v>
      </c>
      <c r="HZ157" s="1101">
        <v>290.88046879999996</v>
      </c>
      <c r="IA157" s="1101">
        <v>400</v>
      </c>
      <c r="IB157" s="1062"/>
      <c r="IC157" s="1092"/>
      <c r="ID157" s="1050"/>
      <c r="IE157" s="1050"/>
      <c r="IF157" s="1103"/>
      <c r="IG157" s="1103"/>
      <c r="IH157" s="1103"/>
      <c r="II157" s="1103"/>
      <c r="IJ157" s="1103"/>
      <c r="IK157" s="1103"/>
      <c r="IL157" s="1103"/>
      <c r="IM157" s="1050"/>
      <c r="IN157" s="1050"/>
      <c r="IO157" s="1050"/>
      <c r="IP157" s="1050"/>
      <c r="IQ157" s="1103"/>
      <c r="IR157" s="1103"/>
      <c r="IS157" s="1103"/>
      <c r="IT157" s="1103"/>
      <c r="IU157" s="1103"/>
      <c r="IV157" s="1103"/>
      <c r="JS157" s="1092"/>
      <c r="JU157" s="1050"/>
      <c r="JV157" s="1103"/>
      <c r="JW157" s="1103"/>
      <c r="JX157" s="1103"/>
      <c r="JY157" s="1103"/>
      <c r="JZ157" s="1103"/>
      <c r="KA157" s="1103"/>
      <c r="KB157" s="1103"/>
      <c r="KC157" s="1050"/>
      <c r="KD157" s="1050"/>
      <c r="KE157" s="1050"/>
      <c r="KF157" s="1050"/>
      <c r="KG157" s="1103"/>
      <c r="KH157" s="1103"/>
      <c r="KI157" s="1103"/>
      <c r="KJ157" s="1103"/>
      <c r="KK157" s="1103"/>
      <c r="KL157" s="1103"/>
      <c r="KM157" s="1103"/>
      <c r="KN157" s="1103"/>
    </row>
    <row r="158" spans="2:300">
      <c r="B158" s="1048" t="str">
        <f t="shared" si="4"/>
        <v>R1111</v>
      </c>
      <c r="C158" s="1046">
        <v>11</v>
      </c>
      <c r="D158" s="1092">
        <v>11</v>
      </c>
      <c r="E158" s="584">
        <v>0.39</v>
      </c>
      <c r="F158" s="584">
        <v>0.39</v>
      </c>
      <c r="G158" s="584">
        <v>936</v>
      </c>
      <c r="H158" s="584">
        <v>31.98</v>
      </c>
      <c r="I158" s="584">
        <v>0</v>
      </c>
      <c r="J158" s="584">
        <v>0</v>
      </c>
      <c r="K158" s="584">
        <v>0</v>
      </c>
      <c r="L158" s="584">
        <v>0</v>
      </c>
      <c r="M158" s="584">
        <v>0</v>
      </c>
      <c r="N158" s="584">
        <v>0</v>
      </c>
      <c r="O158" s="584">
        <v>0</v>
      </c>
      <c r="P158" s="584">
        <v>0</v>
      </c>
      <c r="Q158" s="584">
        <v>0</v>
      </c>
      <c r="R158" s="584">
        <v>0</v>
      </c>
      <c r="S158" s="584">
        <v>0</v>
      </c>
      <c r="T158" s="584">
        <v>454.7999375</v>
      </c>
      <c r="U158" s="584">
        <v>75.625</v>
      </c>
      <c r="V158" s="584">
        <v>803.48249999999996</v>
      </c>
      <c r="W158" s="584">
        <v>158.8125</v>
      </c>
      <c r="X158" s="584">
        <v>1373.2660000000001</v>
      </c>
      <c r="Y158" s="584">
        <v>332.75</v>
      </c>
      <c r="Z158" s="584">
        <v>0.31</v>
      </c>
      <c r="AA158" s="584">
        <v>0.31</v>
      </c>
      <c r="AB158" s="584">
        <v>744</v>
      </c>
      <c r="AC158" s="584">
        <v>26</v>
      </c>
      <c r="AD158" s="584">
        <v>0</v>
      </c>
      <c r="AE158" s="584">
        <v>0</v>
      </c>
      <c r="AF158" s="584">
        <v>0</v>
      </c>
      <c r="AG158" s="584">
        <v>0</v>
      </c>
      <c r="AH158" s="584">
        <v>0</v>
      </c>
      <c r="AI158" s="584">
        <v>0</v>
      </c>
      <c r="AJ158" s="584">
        <v>0</v>
      </c>
      <c r="AK158" s="584">
        <v>0</v>
      </c>
      <c r="AL158" s="584">
        <v>0</v>
      </c>
      <c r="AM158" s="584">
        <v>0</v>
      </c>
      <c r="AN158" s="584">
        <v>0</v>
      </c>
      <c r="AO158" s="584">
        <v>389.81993749999998</v>
      </c>
      <c r="AP158" s="584">
        <v>75.625</v>
      </c>
      <c r="AQ158" s="584">
        <v>670.62618750000001</v>
      </c>
      <c r="AR158" s="584">
        <v>158.8125</v>
      </c>
      <c r="AS158" s="584">
        <v>1107.066</v>
      </c>
      <c r="AT158" s="584">
        <v>332.75</v>
      </c>
      <c r="AU158" s="584">
        <v>0.8</v>
      </c>
      <c r="AV158" s="584">
        <v>0.495</v>
      </c>
      <c r="AW158" s="584">
        <v>763.57994813943503</v>
      </c>
      <c r="AX158" s="584">
        <v>38.632036462788697</v>
      </c>
      <c r="AY158" s="584">
        <v>0</v>
      </c>
      <c r="AZ158" s="584">
        <v>0</v>
      </c>
      <c r="BA158" s="584">
        <v>0</v>
      </c>
      <c r="BB158" s="584">
        <v>0</v>
      </c>
      <c r="BC158" s="584">
        <v>0</v>
      </c>
      <c r="BD158" s="584">
        <v>0</v>
      </c>
      <c r="BE158" s="584">
        <v>0</v>
      </c>
      <c r="BF158" s="584">
        <v>0</v>
      </c>
      <c r="BG158" s="584">
        <v>0.8</v>
      </c>
      <c r="BH158" s="584">
        <v>0</v>
      </c>
      <c r="BI158" s="584">
        <v>0.6</v>
      </c>
      <c r="BJ158" s="584">
        <v>405.44074839656599</v>
      </c>
      <c r="BK158" s="584">
        <v>75.625</v>
      </c>
      <c r="BL158" s="584">
        <v>672.96611122462105</v>
      </c>
      <c r="BM158" s="584">
        <v>158.8125</v>
      </c>
      <c r="BN158" s="584">
        <v>1103.6378217323199</v>
      </c>
      <c r="BO158" s="584">
        <v>332.75</v>
      </c>
      <c r="BP158" s="584">
        <v>0.72499999999999998</v>
      </c>
      <c r="BQ158" s="584">
        <v>0.28499999999999998</v>
      </c>
      <c r="BR158" s="584">
        <v>781.11425363558601</v>
      </c>
      <c r="BS158" s="584">
        <v>28.281927996685202</v>
      </c>
      <c r="BT158" s="584">
        <v>0</v>
      </c>
      <c r="BU158" s="584">
        <v>0</v>
      </c>
      <c r="BV158" s="584">
        <v>0</v>
      </c>
      <c r="BW158" s="584">
        <v>0</v>
      </c>
      <c r="BX158" s="584">
        <v>0</v>
      </c>
      <c r="BY158" s="584">
        <v>0</v>
      </c>
      <c r="BZ158" s="584">
        <v>0</v>
      </c>
      <c r="CA158" s="584">
        <v>0.72499999999999998</v>
      </c>
      <c r="CB158" s="584">
        <v>0.72499999999999998</v>
      </c>
      <c r="CC158" s="584">
        <v>0.45</v>
      </c>
      <c r="CD158" s="584">
        <v>0.45</v>
      </c>
      <c r="CE158" s="584">
        <v>410.74054999999998</v>
      </c>
      <c r="CF158" s="584">
        <v>75.625</v>
      </c>
      <c r="CG158" s="584">
        <v>688.11367499999994</v>
      </c>
      <c r="CH158" s="584">
        <v>158.8125</v>
      </c>
      <c r="CI158" s="584">
        <v>1129.4818</v>
      </c>
      <c r="CJ158" s="584">
        <v>332.75</v>
      </c>
      <c r="CK158" s="584">
        <v>0.95</v>
      </c>
      <c r="CL158" s="584">
        <v>0.37</v>
      </c>
      <c r="CM158" s="584">
        <v>952.63384837467902</v>
      </c>
      <c r="CN158" s="584">
        <v>29.626491525876801</v>
      </c>
      <c r="CO158" s="584">
        <v>0</v>
      </c>
      <c r="CP158" s="584">
        <v>0</v>
      </c>
      <c r="CQ158" s="584">
        <v>0</v>
      </c>
      <c r="CR158" s="584">
        <v>0</v>
      </c>
      <c r="CS158" s="584">
        <v>0</v>
      </c>
      <c r="CT158" s="584">
        <v>0</v>
      </c>
      <c r="CU158" s="584">
        <v>0</v>
      </c>
      <c r="CV158" s="584">
        <v>0</v>
      </c>
      <c r="CW158" s="584">
        <v>0.95</v>
      </c>
      <c r="CX158" s="584">
        <v>0</v>
      </c>
      <c r="CY158" s="584">
        <v>0.45</v>
      </c>
      <c r="CZ158" s="584">
        <v>485.01035000000002</v>
      </c>
      <c r="DA158" s="584">
        <v>75.625</v>
      </c>
      <c r="DB158" s="584">
        <v>815.83410000000003</v>
      </c>
      <c r="DC158" s="584">
        <v>158.8125</v>
      </c>
      <c r="DD158" s="584">
        <v>1377.0816</v>
      </c>
      <c r="DE158" s="584">
        <v>332.75</v>
      </c>
      <c r="DF158" s="584">
        <v>0.52500000000000002</v>
      </c>
      <c r="DG158" s="584">
        <v>0.25</v>
      </c>
      <c r="DH158" s="584">
        <v>335.20376657399498</v>
      </c>
      <c r="DI158" s="584">
        <v>15.7162201534431</v>
      </c>
      <c r="DJ158" s="584">
        <v>340</v>
      </c>
      <c r="DK158" s="584">
        <v>0</v>
      </c>
      <c r="DL158" s="584">
        <v>0</v>
      </c>
      <c r="DM158" s="584">
        <v>0</v>
      </c>
      <c r="DN158" s="584">
        <v>0</v>
      </c>
      <c r="DO158" s="584">
        <v>0</v>
      </c>
      <c r="DP158" s="584">
        <v>0</v>
      </c>
      <c r="DQ158" s="584">
        <v>0</v>
      </c>
      <c r="DR158" s="584">
        <v>0.52500000000000002</v>
      </c>
      <c r="DS158" s="584">
        <v>0</v>
      </c>
      <c r="DT158" s="584">
        <v>2.4</v>
      </c>
      <c r="DU158" s="584">
        <v>346.11481250000003</v>
      </c>
      <c r="DV158" s="584">
        <v>75.625</v>
      </c>
      <c r="DW158" s="584">
        <v>663.46562500000005</v>
      </c>
      <c r="DX158" s="584">
        <v>158.8125</v>
      </c>
      <c r="DY158" s="584">
        <v>971.86775</v>
      </c>
      <c r="DZ158" s="584">
        <v>332.75</v>
      </c>
      <c r="EA158" s="1062">
        <v>1.2150000000000001</v>
      </c>
      <c r="EB158" s="1046">
        <v>0.3</v>
      </c>
      <c r="EC158" s="1093">
        <v>132.51783893985731</v>
      </c>
      <c r="ED158" s="1046">
        <v>0</v>
      </c>
      <c r="EE158" s="1046">
        <v>397.55351681957183</v>
      </c>
      <c r="EF158" s="1046">
        <v>29.09090909090909</v>
      </c>
      <c r="EG158" s="1046">
        <v>0</v>
      </c>
      <c r="EH158" s="1046">
        <v>0</v>
      </c>
      <c r="EI158" s="1046" t="s">
        <v>372</v>
      </c>
      <c r="EJ158" s="1046" t="s">
        <v>448</v>
      </c>
      <c r="EK158" s="1046">
        <v>0</v>
      </c>
      <c r="EL158" s="1046">
        <v>0</v>
      </c>
      <c r="EM158" s="1046">
        <v>0</v>
      </c>
      <c r="EN158" s="1046">
        <v>0</v>
      </c>
      <c r="EO158" s="1046">
        <v>0</v>
      </c>
      <c r="EP158" s="1094">
        <v>181.05779999999999</v>
      </c>
      <c r="EQ158" s="1094">
        <v>75.625</v>
      </c>
      <c r="ER158" s="1094">
        <v>362.11559999999997</v>
      </c>
      <c r="ES158" s="1095">
        <v>151.25</v>
      </c>
      <c r="ET158" s="1094">
        <v>724.23119999999994</v>
      </c>
      <c r="EU158" s="1094">
        <v>302.5</v>
      </c>
      <c r="EV158" s="1096">
        <v>0.90400000000000003</v>
      </c>
      <c r="EW158" s="1097">
        <v>0.15</v>
      </c>
      <c r="EX158" s="1096">
        <v>289.50050968399592</v>
      </c>
      <c r="EY158" s="1096">
        <v>1.5443934760448521</v>
      </c>
      <c r="EZ158" s="1096">
        <v>0</v>
      </c>
      <c r="FA158" s="1096">
        <v>33.590909090909093</v>
      </c>
      <c r="FB158" s="1098">
        <v>0</v>
      </c>
      <c r="FC158" s="1098">
        <v>0</v>
      </c>
      <c r="FD158" s="1098" t="s">
        <v>387</v>
      </c>
      <c r="FE158" s="1098" t="s">
        <v>456</v>
      </c>
      <c r="FF158" s="1098">
        <v>3</v>
      </c>
      <c r="FG158" s="1098">
        <v>0</v>
      </c>
      <c r="FH158" s="1098">
        <v>0</v>
      </c>
      <c r="FI158" s="1098">
        <v>0</v>
      </c>
      <c r="FJ158" s="1098">
        <v>0</v>
      </c>
      <c r="FK158" s="1096">
        <v>114.788988875</v>
      </c>
      <c r="FL158" s="1096">
        <v>75.625</v>
      </c>
      <c r="FM158" s="1096">
        <v>229.57797775</v>
      </c>
      <c r="FN158" s="1096">
        <v>151.25</v>
      </c>
      <c r="FO158" s="1096">
        <v>459.1559555</v>
      </c>
      <c r="FP158" s="1099">
        <v>302.5</v>
      </c>
      <c r="FQ158" s="1064">
        <v>1.2170799999999999</v>
      </c>
      <c r="FR158" s="1065">
        <v>0.15</v>
      </c>
      <c r="FS158" s="1066">
        <v>289.50050968399586</v>
      </c>
      <c r="FT158" s="1066">
        <v>3.2017662436826937</v>
      </c>
      <c r="FU158" s="1065"/>
      <c r="FV158" s="1066">
        <v>53.270967638845178</v>
      </c>
      <c r="FW158" s="1065"/>
      <c r="FX158" s="1065"/>
      <c r="FY158" s="1065" t="s">
        <v>385</v>
      </c>
      <c r="FZ158" s="1065" t="s">
        <v>461</v>
      </c>
      <c r="GA158" s="1065">
        <v>3</v>
      </c>
      <c r="GB158" s="1065"/>
      <c r="GC158" s="1065"/>
      <c r="GD158" s="1065"/>
      <c r="GE158" s="1065"/>
      <c r="GF158" s="1066">
        <v>117.79342496147481</v>
      </c>
      <c r="GG158" s="1066">
        <v>75.625</v>
      </c>
      <c r="GH158" s="1066">
        <v>235.58684992294963</v>
      </c>
      <c r="GI158" s="1066">
        <v>151.25</v>
      </c>
      <c r="GJ158" s="1066">
        <v>471.17369984589925</v>
      </c>
      <c r="GK158" s="1066">
        <v>302.5</v>
      </c>
      <c r="GL158" s="584">
        <v>0.88400000000000001</v>
      </c>
      <c r="GM158" s="584">
        <v>0.13</v>
      </c>
      <c r="GN158" s="584"/>
      <c r="GO158" s="584"/>
      <c r="GP158" s="584"/>
      <c r="GQ158" s="584">
        <v>47.5</v>
      </c>
      <c r="GR158" s="584"/>
      <c r="GS158" s="584">
        <v>66.2589194699286</v>
      </c>
      <c r="GT158" s="584" t="s">
        <v>387</v>
      </c>
      <c r="GU158" s="584" t="s">
        <v>396</v>
      </c>
      <c r="GV158" s="584">
        <v>2</v>
      </c>
      <c r="GW158" s="584"/>
      <c r="GX158" s="584"/>
      <c r="GY158" s="584"/>
      <c r="GZ158" s="584"/>
      <c r="HA158" s="584">
        <v>48.883243749999998</v>
      </c>
      <c r="HB158" s="584">
        <v>75.625</v>
      </c>
      <c r="HC158" s="584">
        <v>97.766487499999997</v>
      </c>
      <c r="HD158" s="584">
        <v>151.25</v>
      </c>
      <c r="HE158" s="584">
        <v>195.53297499999999</v>
      </c>
      <c r="HF158" s="584">
        <v>302.5</v>
      </c>
      <c r="HG158" s="1100">
        <v>1.51</v>
      </c>
      <c r="HH158" s="1100">
        <v>0.11</v>
      </c>
      <c r="HI158" s="1101">
        <v>0</v>
      </c>
      <c r="HJ158" s="1101">
        <v>0</v>
      </c>
      <c r="HK158" s="1101">
        <v>0</v>
      </c>
      <c r="HL158" s="1101">
        <v>0</v>
      </c>
      <c r="HM158" s="1101">
        <v>55.309090909090912</v>
      </c>
      <c r="HN158" s="1101">
        <v>54.999999999999993</v>
      </c>
      <c r="HO158" s="1101">
        <v>0</v>
      </c>
      <c r="HP158" s="1101">
        <v>0</v>
      </c>
      <c r="HQ158" s="1101">
        <v>3</v>
      </c>
      <c r="HR158" s="1101">
        <v>1.4</v>
      </c>
      <c r="HS158" s="1101">
        <v>0.8</v>
      </c>
      <c r="HT158" s="1101">
        <v>0.28000000000000003</v>
      </c>
      <c r="HU158" s="1101">
        <v>0.3</v>
      </c>
      <c r="HV158" s="1101">
        <v>47.859498500000001</v>
      </c>
      <c r="HW158" s="1101">
        <v>75.625</v>
      </c>
      <c r="HX158" s="1101">
        <v>95.718997000000002</v>
      </c>
      <c r="HY158" s="1101">
        <v>151.25</v>
      </c>
      <c r="HZ158" s="1101">
        <v>191.437994</v>
      </c>
      <c r="IA158" s="1101">
        <v>302.5</v>
      </c>
      <c r="IB158" s="1062"/>
      <c r="IC158" s="1092"/>
      <c r="ID158" s="1050"/>
      <c r="IE158" s="1050"/>
      <c r="IF158" s="1103"/>
      <c r="IG158" s="1103"/>
      <c r="IH158" s="1103"/>
      <c r="II158" s="1103"/>
      <c r="IJ158" s="1103"/>
      <c r="IK158" s="1103"/>
      <c r="IL158" s="1103"/>
      <c r="IM158" s="1050"/>
      <c r="IN158" s="1050"/>
      <c r="IO158" s="1050"/>
      <c r="IP158" s="1050"/>
      <c r="IQ158" s="1103"/>
      <c r="IR158" s="1103"/>
      <c r="IS158" s="1103"/>
      <c r="IT158" s="1103"/>
      <c r="IU158" s="1103"/>
      <c r="IV158" s="1103"/>
      <c r="JS158" s="1092"/>
      <c r="JU158" s="1050"/>
      <c r="JV158" s="1103"/>
      <c r="JW158" s="1103"/>
      <c r="JX158" s="1103"/>
      <c r="JY158" s="1103"/>
      <c r="JZ158" s="1103"/>
      <c r="KA158" s="1103"/>
      <c r="KB158" s="1103"/>
      <c r="KC158" s="1050"/>
      <c r="KD158" s="1050"/>
      <c r="KE158" s="1050"/>
      <c r="KF158" s="1050"/>
      <c r="KG158" s="1103"/>
      <c r="KH158" s="1103"/>
      <c r="KI158" s="1103"/>
      <c r="KJ158" s="1103"/>
      <c r="KK158" s="1103"/>
      <c r="KL158" s="1103"/>
      <c r="KM158" s="1103"/>
      <c r="KN158" s="1103"/>
    </row>
    <row r="159" spans="2:300">
      <c r="B159" s="1048" t="str">
        <f t="shared" si="4"/>
        <v>R1112</v>
      </c>
      <c r="C159" s="1046">
        <v>11</v>
      </c>
      <c r="D159" s="1092">
        <v>12</v>
      </c>
      <c r="E159" s="584">
        <v>0.45</v>
      </c>
      <c r="F159" s="584">
        <v>0.45</v>
      </c>
      <c r="G159" s="584">
        <v>1080</v>
      </c>
      <c r="H159" s="584">
        <v>33.299999999999997</v>
      </c>
      <c r="I159" s="584">
        <v>0</v>
      </c>
      <c r="J159" s="584">
        <v>0</v>
      </c>
      <c r="K159" s="584">
        <v>0</v>
      </c>
      <c r="L159" s="584">
        <v>0</v>
      </c>
      <c r="M159" s="584">
        <v>0</v>
      </c>
      <c r="N159" s="584">
        <v>0</v>
      </c>
      <c r="O159" s="584">
        <v>0</v>
      </c>
      <c r="P159" s="584">
        <v>0</v>
      </c>
      <c r="Q159" s="584">
        <v>0</v>
      </c>
      <c r="R159" s="584">
        <v>0</v>
      </c>
      <c r="S159" s="584">
        <v>0</v>
      </c>
      <c r="T159" s="584">
        <v>542.32243749999998</v>
      </c>
      <c r="U159" s="584">
        <v>82.5</v>
      </c>
      <c r="V159" s="584">
        <v>984.99993749999999</v>
      </c>
      <c r="W159" s="584">
        <v>173.25</v>
      </c>
      <c r="X159" s="584">
        <v>1716.6519375</v>
      </c>
      <c r="Y159" s="584">
        <v>363</v>
      </c>
      <c r="Z159" s="584">
        <v>0.34</v>
      </c>
      <c r="AA159" s="584">
        <v>0.34</v>
      </c>
      <c r="AB159" s="584">
        <v>816</v>
      </c>
      <c r="AC159" s="584">
        <v>27</v>
      </c>
      <c r="AD159" s="584">
        <v>0</v>
      </c>
      <c r="AE159" s="584">
        <v>0</v>
      </c>
      <c r="AF159" s="584">
        <v>0</v>
      </c>
      <c r="AG159" s="584">
        <v>0</v>
      </c>
      <c r="AH159" s="584">
        <v>0</v>
      </c>
      <c r="AI159" s="584">
        <v>0</v>
      </c>
      <c r="AJ159" s="584">
        <v>0</v>
      </c>
      <c r="AK159" s="584">
        <v>0</v>
      </c>
      <c r="AL159" s="584">
        <v>0</v>
      </c>
      <c r="AM159" s="584">
        <v>0</v>
      </c>
      <c r="AN159" s="584">
        <v>0</v>
      </c>
      <c r="AO159" s="584">
        <v>445.13743749999998</v>
      </c>
      <c r="AP159" s="584">
        <v>82.5</v>
      </c>
      <c r="AQ159" s="584">
        <v>786.18375000000003</v>
      </c>
      <c r="AR159" s="584">
        <v>173.25</v>
      </c>
      <c r="AS159" s="584">
        <v>1315.7909999999999</v>
      </c>
      <c r="AT159" s="584">
        <v>363</v>
      </c>
      <c r="AU159" s="584">
        <v>1.0249999999999999</v>
      </c>
      <c r="AV159" s="584">
        <v>0.495</v>
      </c>
      <c r="AW159" s="584">
        <v>753.59249042897795</v>
      </c>
      <c r="AX159" s="584">
        <v>37.326539216648698</v>
      </c>
      <c r="AY159" s="584">
        <v>0</v>
      </c>
      <c r="AZ159" s="584">
        <v>0</v>
      </c>
      <c r="BA159" s="584">
        <v>0</v>
      </c>
      <c r="BB159" s="584">
        <v>0</v>
      </c>
      <c r="BC159" s="584">
        <v>0</v>
      </c>
      <c r="BD159" s="584">
        <v>0</v>
      </c>
      <c r="BE159" s="584">
        <v>0</v>
      </c>
      <c r="BF159" s="584">
        <v>0</v>
      </c>
      <c r="BG159" s="584">
        <v>1.0249999999999999</v>
      </c>
      <c r="BH159" s="584">
        <v>0</v>
      </c>
      <c r="BI159" s="584">
        <v>0.45</v>
      </c>
      <c r="BJ159" s="584">
        <v>441.16574195788797</v>
      </c>
      <c r="BK159" s="584">
        <v>82.5</v>
      </c>
      <c r="BL159" s="584">
        <v>731.98020301119095</v>
      </c>
      <c r="BM159" s="584">
        <v>173.25</v>
      </c>
      <c r="BN159" s="584">
        <v>1183.4505847845301</v>
      </c>
      <c r="BO159" s="584">
        <v>363</v>
      </c>
      <c r="BP159" s="584">
        <v>0.85</v>
      </c>
      <c r="BQ159" s="584">
        <v>0.28499999999999998</v>
      </c>
      <c r="BR159" s="584">
        <v>815.45040247374095</v>
      </c>
      <c r="BS159" s="584">
        <v>35.674114619122399</v>
      </c>
      <c r="BT159" s="584">
        <v>0</v>
      </c>
      <c r="BU159" s="584">
        <v>0</v>
      </c>
      <c r="BV159" s="584">
        <v>0</v>
      </c>
      <c r="BW159" s="584">
        <v>0</v>
      </c>
      <c r="BX159" s="584">
        <v>0</v>
      </c>
      <c r="BY159" s="584">
        <v>0</v>
      </c>
      <c r="BZ159" s="584">
        <v>0</v>
      </c>
      <c r="CA159" s="584">
        <v>0.72499999999999998</v>
      </c>
      <c r="CB159" s="584">
        <v>0.85</v>
      </c>
      <c r="CC159" s="584">
        <v>0.45</v>
      </c>
      <c r="CD159" s="584">
        <v>0.45</v>
      </c>
      <c r="CE159" s="584">
        <v>465.73367500000001</v>
      </c>
      <c r="CF159" s="584">
        <v>82.5</v>
      </c>
      <c r="CG159" s="584">
        <v>789.24414375000003</v>
      </c>
      <c r="CH159" s="584">
        <v>173.25</v>
      </c>
      <c r="CI159" s="584">
        <v>1242.6327375000001</v>
      </c>
      <c r="CJ159" s="584">
        <v>363</v>
      </c>
      <c r="CK159" s="584">
        <v>1.1000000000000001</v>
      </c>
      <c r="CL159" s="584">
        <v>0.37</v>
      </c>
      <c r="CM159" s="584">
        <v>969.77856581918104</v>
      </c>
      <c r="CN159" s="584">
        <v>29.6220095464808</v>
      </c>
      <c r="CO159" s="584">
        <v>0</v>
      </c>
      <c r="CP159" s="584">
        <v>0</v>
      </c>
      <c r="CQ159" s="584">
        <v>0</v>
      </c>
      <c r="CR159" s="584">
        <v>0</v>
      </c>
      <c r="CS159" s="584">
        <v>0</v>
      </c>
      <c r="CT159" s="584">
        <v>0</v>
      </c>
      <c r="CU159" s="584">
        <v>0</v>
      </c>
      <c r="CV159" s="584">
        <v>0</v>
      </c>
      <c r="CW159" s="584">
        <v>1.1000000000000001</v>
      </c>
      <c r="CX159" s="584">
        <v>0</v>
      </c>
      <c r="CY159" s="584">
        <v>0.6</v>
      </c>
      <c r="CZ159" s="584">
        <v>535.90210000000002</v>
      </c>
      <c r="DA159" s="584">
        <v>82.5</v>
      </c>
      <c r="DB159" s="584">
        <v>905.82209999999998</v>
      </c>
      <c r="DC159" s="584">
        <v>173.25</v>
      </c>
      <c r="DD159" s="584">
        <v>1521.4671000000001</v>
      </c>
      <c r="DE159" s="584">
        <v>363</v>
      </c>
      <c r="DF159" s="584">
        <v>0.6</v>
      </c>
      <c r="DG159" s="584">
        <v>0.25</v>
      </c>
      <c r="DH159" s="584">
        <v>367.49061303622301</v>
      </c>
      <c r="DI159" s="584">
        <v>16.8576897884559</v>
      </c>
      <c r="DJ159" s="584">
        <v>340</v>
      </c>
      <c r="DK159" s="584">
        <v>0</v>
      </c>
      <c r="DL159" s="584">
        <v>0</v>
      </c>
      <c r="DM159" s="584">
        <v>0</v>
      </c>
      <c r="DN159" s="584">
        <v>0</v>
      </c>
      <c r="DO159" s="584">
        <v>0</v>
      </c>
      <c r="DP159" s="584">
        <v>0</v>
      </c>
      <c r="DQ159" s="584">
        <v>0</v>
      </c>
      <c r="DR159" s="584">
        <v>0.6</v>
      </c>
      <c r="DS159" s="584">
        <v>0</v>
      </c>
      <c r="DT159" s="584">
        <v>2.4</v>
      </c>
      <c r="DU159" s="584">
        <v>378.0641875</v>
      </c>
      <c r="DV159" s="584">
        <v>82.5</v>
      </c>
      <c r="DW159" s="584">
        <v>734.78437499999995</v>
      </c>
      <c r="DX159" s="584">
        <v>173.25</v>
      </c>
      <c r="DY159" s="584">
        <v>1113.2805000000001</v>
      </c>
      <c r="DZ159" s="584">
        <v>363</v>
      </c>
      <c r="EA159" s="1062">
        <v>1.2729999999999999</v>
      </c>
      <c r="EB159" s="1046">
        <v>0.35</v>
      </c>
      <c r="EC159" s="1093">
        <v>132.51783893985731</v>
      </c>
      <c r="ED159" s="1046">
        <v>0</v>
      </c>
      <c r="EE159" s="1046">
        <v>458.71559633027522</v>
      </c>
      <c r="EF159" s="1046">
        <v>34.701515151515153</v>
      </c>
      <c r="EG159" s="1046">
        <v>0</v>
      </c>
      <c r="EH159" s="1046">
        <v>0</v>
      </c>
      <c r="EI159" s="1046" t="s">
        <v>369</v>
      </c>
      <c r="EJ159" s="1046" t="s">
        <v>442</v>
      </c>
      <c r="EK159" s="1046">
        <v>0</v>
      </c>
      <c r="EL159" s="1046">
        <v>0</v>
      </c>
      <c r="EM159" s="1046">
        <v>0</v>
      </c>
      <c r="EN159" s="1046">
        <v>0</v>
      </c>
      <c r="EO159" s="1046">
        <v>0</v>
      </c>
      <c r="EP159" s="1094">
        <v>219.13392150000004</v>
      </c>
      <c r="EQ159" s="1094">
        <v>82.5</v>
      </c>
      <c r="ER159" s="1094">
        <v>438.26784300000008</v>
      </c>
      <c r="ES159" s="1095">
        <v>165</v>
      </c>
      <c r="ET159" s="1094">
        <v>876.53568600000017</v>
      </c>
      <c r="EU159" s="1094">
        <v>330</v>
      </c>
      <c r="EV159" s="1096">
        <v>0.91220000000000001</v>
      </c>
      <c r="EW159" s="1097">
        <v>0.15</v>
      </c>
      <c r="EX159" s="1096">
        <v>289.50050968399592</v>
      </c>
      <c r="EY159" s="1096">
        <v>1.5443934760448521</v>
      </c>
      <c r="EZ159" s="1096">
        <v>0</v>
      </c>
      <c r="FA159" s="1096">
        <v>34.653030303030306</v>
      </c>
      <c r="FB159" s="1098">
        <v>0</v>
      </c>
      <c r="FC159" s="1098">
        <v>0</v>
      </c>
      <c r="FD159" s="1098" t="s">
        <v>385</v>
      </c>
      <c r="FE159" s="1098" t="s">
        <v>456</v>
      </c>
      <c r="FF159" s="1098">
        <v>3</v>
      </c>
      <c r="FG159" s="1098">
        <v>0</v>
      </c>
      <c r="FH159" s="1098">
        <v>0</v>
      </c>
      <c r="FI159" s="1098">
        <v>0</v>
      </c>
      <c r="FJ159" s="1098">
        <v>0</v>
      </c>
      <c r="FK159" s="1096">
        <v>125.56819200000001</v>
      </c>
      <c r="FL159" s="1096">
        <v>82.5</v>
      </c>
      <c r="FM159" s="1096">
        <v>251.13638400000002</v>
      </c>
      <c r="FN159" s="1096">
        <v>165</v>
      </c>
      <c r="FO159" s="1096">
        <v>502.27276800000004</v>
      </c>
      <c r="FP159" s="1099">
        <v>330</v>
      </c>
      <c r="FQ159" s="1064">
        <v>1.2170799999999999</v>
      </c>
      <c r="FR159" s="1065">
        <v>0.15</v>
      </c>
      <c r="FS159" s="1066">
        <v>289.50050968399586</v>
      </c>
      <c r="FT159" s="1066">
        <v>3.2017662436826937</v>
      </c>
      <c r="FU159" s="1065"/>
      <c r="FV159" s="1066">
        <v>56.717866154516962</v>
      </c>
      <c r="FW159" s="1065"/>
      <c r="FX159" s="1065"/>
      <c r="FY159" s="1065" t="s">
        <v>385</v>
      </c>
      <c r="FZ159" s="1065" t="s">
        <v>438</v>
      </c>
      <c r="GA159" s="1065">
        <v>3</v>
      </c>
      <c r="GB159" s="1065"/>
      <c r="GC159" s="1065"/>
      <c r="GD159" s="1065"/>
      <c r="GE159" s="1065"/>
      <c r="GF159" s="1066">
        <v>129.61778259626914</v>
      </c>
      <c r="GG159" s="1066">
        <v>82.5</v>
      </c>
      <c r="GH159" s="1066">
        <v>259.23556519253827</v>
      </c>
      <c r="GI159" s="1066">
        <v>165</v>
      </c>
      <c r="GJ159" s="1066">
        <v>518.47113038507655</v>
      </c>
      <c r="GK159" s="1066">
        <v>330</v>
      </c>
      <c r="GL159" s="584">
        <v>0.89219999999999999</v>
      </c>
      <c r="GM159" s="584">
        <v>0.13</v>
      </c>
      <c r="GN159" s="584"/>
      <c r="GO159" s="584"/>
      <c r="GP159" s="584"/>
      <c r="GQ159" s="584">
        <v>50.934848484848501</v>
      </c>
      <c r="GR159" s="584"/>
      <c r="GS159" s="584">
        <v>66.2589194699286</v>
      </c>
      <c r="GT159" s="584" t="s">
        <v>385</v>
      </c>
      <c r="GU159" s="584" t="s">
        <v>389</v>
      </c>
      <c r="GV159" s="584">
        <v>2</v>
      </c>
      <c r="GW159" s="584"/>
      <c r="GX159" s="584"/>
      <c r="GY159" s="584"/>
      <c r="GZ159" s="584"/>
      <c r="HA159" s="584">
        <v>54.439138499999999</v>
      </c>
      <c r="HB159" s="584">
        <v>82.5</v>
      </c>
      <c r="HC159" s="584">
        <v>108.878277</v>
      </c>
      <c r="HD159" s="584">
        <v>165</v>
      </c>
      <c r="HE159" s="584">
        <v>217.75655399999999</v>
      </c>
      <c r="HF159" s="584">
        <v>330</v>
      </c>
      <c r="HG159" s="1100">
        <v>1.55</v>
      </c>
      <c r="HH159" s="1100">
        <v>0.11</v>
      </c>
      <c r="HI159" s="1101">
        <v>0</v>
      </c>
      <c r="HJ159" s="1101">
        <v>0</v>
      </c>
      <c r="HK159" s="1101">
        <v>0</v>
      </c>
      <c r="HL159" s="1101">
        <v>0</v>
      </c>
      <c r="HM159" s="1101">
        <v>58.352727272727265</v>
      </c>
      <c r="HN159" s="1101">
        <v>54.999999999999993</v>
      </c>
      <c r="HO159" s="1101">
        <v>0</v>
      </c>
      <c r="HP159" s="1101">
        <v>0</v>
      </c>
      <c r="HQ159" s="1101">
        <v>3</v>
      </c>
      <c r="HR159" s="1101">
        <v>1.44</v>
      </c>
      <c r="HS159" s="1101">
        <v>0.92</v>
      </c>
      <c r="HT159" s="1101">
        <v>0.3</v>
      </c>
      <c r="HU159" s="1101">
        <v>0.28000000000000003</v>
      </c>
      <c r="HV159" s="1101">
        <v>53.195678399999998</v>
      </c>
      <c r="HW159" s="1101">
        <v>82.5</v>
      </c>
      <c r="HX159" s="1101">
        <v>106.3913568</v>
      </c>
      <c r="HY159" s="1101">
        <v>165</v>
      </c>
      <c r="HZ159" s="1101">
        <v>212.78271359999999</v>
      </c>
      <c r="IA159" s="1101">
        <v>330</v>
      </c>
      <c r="IB159" s="1062"/>
      <c r="IC159" s="1092"/>
      <c r="ID159" s="1050"/>
      <c r="IE159" s="1050"/>
      <c r="IF159" s="1103"/>
      <c r="IG159" s="1103"/>
      <c r="IH159" s="1103"/>
      <c r="II159" s="1103"/>
      <c r="IJ159" s="1103"/>
      <c r="IK159" s="1103"/>
      <c r="IL159" s="1103"/>
      <c r="IM159" s="1050"/>
      <c r="IN159" s="1050"/>
      <c r="IO159" s="1050"/>
      <c r="IP159" s="1050"/>
      <c r="IQ159" s="1103"/>
      <c r="IR159" s="1103"/>
      <c r="IS159" s="1103"/>
      <c r="IT159" s="1103"/>
      <c r="IU159" s="1103"/>
      <c r="IV159" s="1103"/>
      <c r="JS159" s="1092"/>
      <c r="JU159" s="1050"/>
      <c r="JV159" s="1103"/>
      <c r="JW159" s="1103"/>
      <c r="JX159" s="1103"/>
      <c r="JY159" s="1103"/>
      <c r="JZ159" s="1103"/>
      <c r="KA159" s="1103"/>
      <c r="KB159" s="1103"/>
      <c r="KC159" s="1050"/>
      <c r="KD159" s="1050"/>
      <c r="KE159" s="1050"/>
      <c r="KF159" s="1050"/>
      <c r="KG159" s="1103"/>
      <c r="KH159" s="1103"/>
      <c r="KI159" s="1103"/>
      <c r="KJ159" s="1103"/>
      <c r="KK159" s="1103"/>
      <c r="KL159" s="1103"/>
      <c r="KM159" s="1103"/>
      <c r="KN159" s="1103"/>
    </row>
    <row r="160" spans="2:300">
      <c r="B160" s="1048" t="str">
        <f t="shared" si="4"/>
        <v>R1113</v>
      </c>
      <c r="C160" s="1046">
        <v>11</v>
      </c>
      <c r="D160" s="1092">
        <v>13</v>
      </c>
      <c r="E160" s="584">
        <v>0.45</v>
      </c>
      <c r="F160" s="584">
        <v>0.45</v>
      </c>
      <c r="G160" s="584">
        <v>1080</v>
      </c>
      <c r="H160" s="584">
        <v>31.5</v>
      </c>
      <c r="I160" s="584">
        <v>0</v>
      </c>
      <c r="J160" s="584">
        <v>0</v>
      </c>
      <c r="K160" s="584">
        <v>0</v>
      </c>
      <c r="L160" s="584">
        <v>0</v>
      </c>
      <c r="M160" s="584">
        <v>0</v>
      </c>
      <c r="N160" s="584">
        <v>0</v>
      </c>
      <c r="O160" s="584">
        <v>0</v>
      </c>
      <c r="P160" s="584">
        <v>0</v>
      </c>
      <c r="Q160" s="584">
        <v>0</v>
      </c>
      <c r="R160" s="584">
        <v>0</v>
      </c>
      <c r="S160" s="584">
        <v>0</v>
      </c>
      <c r="T160" s="584">
        <v>581.1099375</v>
      </c>
      <c r="U160" s="584">
        <v>89.375</v>
      </c>
      <c r="V160" s="584">
        <v>1066.4536874999999</v>
      </c>
      <c r="W160" s="584">
        <v>187.6875</v>
      </c>
      <c r="X160" s="584">
        <v>1858.8269375</v>
      </c>
      <c r="Y160" s="584">
        <v>393.25</v>
      </c>
      <c r="Z160" s="584">
        <v>0.39</v>
      </c>
      <c r="AA160" s="584">
        <v>0.39</v>
      </c>
      <c r="AB160" s="584">
        <v>936</v>
      </c>
      <c r="AC160" s="584">
        <v>29</v>
      </c>
      <c r="AD160" s="584">
        <v>0</v>
      </c>
      <c r="AE160" s="584">
        <v>0</v>
      </c>
      <c r="AF160" s="584">
        <v>0</v>
      </c>
      <c r="AG160" s="584">
        <v>0</v>
      </c>
      <c r="AH160" s="584">
        <v>0</v>
      </c>
      <c r="AI160" s="584">
        <v>0</v>
      </c>
      <c r="AJ160" s="584">
        <v>0</v>
      </c>
      <c r="AK160" s="584">
        <v>0</v>
      </c>
      <c r="AL160" s="584">
        <v>0</v>
      </c>
      <c r="AM160" s="584">
        <v>0</v>
      </c>
      <c r="AN160" s="584">
        <v>0</v>
      </c>
      <c r="AO160" s="584">
        <v>523.82493750000003</v>
      </c>
      <c r="AP160" s="584">
        <v>89.375</v>
      </c>
      <c r="AQ160" s="584">
        <v>949.74618750000002</v>
      </c>
      <c r="AR160" s="584">
        <v>187.6875</v>
      </c>
      <c r="AS160" s="584">
        <v>1622.8769374999999</v>
      </c>
      <c r="AT160" s="584">
        <v>393.25</v>
      </c>
      <c r="AU160" s="584">
        <v>0</v>
      </c>
      <c r="AV160" s="584">
        <v>0</v>
      </c>
      <c r="AW160" s="584">
        <v>0</v>
      </c>
      <c r="AX160" s="584">
        <v>0</v>
      </c>
      <c r="AY160" s="584">
        <v>0</v>
      </c>
      <c r="AZ160" s="584">
        <v>0</v>
      </c>
      <c r="BA160" s="584">
        <v>0</v>
      </c>
      <c r="BB160" s="584">
        <v>0</v>
      </c>
      <c r="BC160" s="584">
        <v>0</v>
      </c>
      <c r="BD160" s="584">
        <v>0</v>
      </c>
      <c r="BE160" s="584">
        <v>0</v>
      </c>
      <c r="BF160" s="584">
        <v>0</v>
      </c>
      <c r="BG160" s="584">
        <v>0</v>
      </c>
      <c r="BH160" s="584">
        <v>0</v>
      </c>
      <c r="BI160" s="584">
        <v>0</v>
      </c>
      <c r="BJ160" s="584">
        <v>0</v>
      </c>
      <c r="BK160" s="584">
        <v>0</v>
      </c>
      <c r="BL160" s="584">
        <v>0</v>
      </c>
      <c r="BM160" s="584">
        <v>0</v>
      </c>
      <c r="BN160" s="584">
        <v>0</v>
      </c>
      <c r="BO160" s="584">
        <v>0</v>
      </c>
      <c r="BP160" s="584">
        <v>0</v>
      </c>
      <c r="BQ160" s="584">
        <v>0</v>
      </c>
      <c r="BR160" s="584">
        <v>0</v>
      </c>
      <c r="BS160" s="584">
        <v>0</v>
      </c>
      <c r="BT160" s="584">
        <v>0</v>
      </c>
      <c r="BU160" s="584">
        <v>0</v>
      </c>
      <c r="BV160" s="584">
        <v>0</v>
      </c>
      <c r="BW160" s="584">
        <v>0</v>
      </c>
      <c r="BX160" s="584">
        <v>0</v>
      </c>
      <c r="BY160" s="584">
        <v>0</v>
      </c>
      <c r="BZ160" s="584">
        <v>0</v>
      </c>
      <c r="CA160" s="584">
        <v>0</v>
      </c>
      <c r="CB160" s="584">
        <v>0</v>
      </c>
      <c r="CC160" s="584">
        <v>0</v>
      </c>
      <c r="CD160" s="584">
        <v>0</v>
      </c>
      <c r="CE160" s="584">
        <v>0</v>
      </c>
      <c r="CF160" s="584">
        <v>0</v>
      </c>
      <c r="CG160" s="584">
        <v>0</v>
      </c>
      <c r="CH160" s="584">
        <v>0</v>
      </c>
      <c r="CI160" s="584">
        <v>0</v>
      </c>
      <c r="CJ160" s="584">
        <v>0</v>
      </c>
      <c r="CK160" s="584">
        <v>0</v>
      </c>
      <c r="CL160" s="584">
        <v>0</v>
      </c>
      <c r="CM160" s="584">
        <v>0</v>
      </c>
      <c r="CN160" s="584">
        <v>0</v>
      </c>
      <c r="CO160" s="584">
        <v>0</v>
      </c>
      <c r="CP160" s="584">
        <v>0</v>
      </c>
      <c r="CQ160" s="584">
        <v>0</v>
      </c>
      <c r="CR160" s="584">
        <v>0</v>
      </c>
      <c r="CS160" s="584">
        <v>0</v>
      </c>
      <c r="CT160" s="584">
        <v>0</v>
      </c>
      <c r="CU160" s="584">
        <v>0</v>
      </c>
      <c r="CV160" s="584">
        <v>0</v>
      </c>
      <c r="CW160" s="584">
        <v>0</v>
      </c>
      <c r="CX160" s="584">
        <v>0</v>
      </c>
      <c r="CY160" s="584">
        <v>0</v>
      </c>
      <c r="CZ160" s="584">
        <v>0</v>
      </c>
      <c r="DA160" s="584">
        <v>0</v>
      </c>
      <c r="DB160" s="584">
        <v>0</v>
      </c>
      <c r="DC160" s="584">
        <v>0</v>
      </c>
      <c r="DD160" s="584">
        <v>0</v>
      </c>
      <c r="DE160" s="584">
        <v>0</v>
      </c>
      <c r="DF160" s="584">
        <v>0.67500000000000004</v>
      </c>
      <c r="DG160" s="584">
        <v>0.25</v>
      </c>
      <c r="DH160" s="584">
        <v>413.185900925422</v>
      </c>
      <c r="DI160" s="584">
        <v>18.536096522863399</v>
      </c>
      <c r="DJ160" s="584">
        <v>340</v>
      </c>
      <c r="DK160" s="584">
        <v>0</v>
      </c>
      <c r="DL160" s="584">
        <v>0</v>
      </c>
      <c r="DM160" s="584">
        <v>0</v>
      </c>
      <c r="DN160" s="584">
        <v>0</v>
      </c>
      <c r="DO160" s="584">
        <v>0</v>
      </c>
      <c r="DP160" s="584">
        <v>0</v>
      </c>
      <c r="DQ160" s="584">
        <v>0</v>
      </c>
      <c r="DR160" s="584">
        <v>0.67500000000000004</v>
      </c>
      <c r="DS160" s="584">
        <v>0</v>
      </c>
      <c r="DT160" s="584">
        <v>2.4</v>
      </c>
      <c r="DU160" s="584">
        <v>424.5451875</v>
      </c>
      <c r="DV160" s="584">
        <v>89.375</v>
      </c>
      <c r="DW160" s="584">
        <v>810.78537500000004</v>
      </c>
      <c r="DX160" s="584">
        <v>187.6875</v>
      </c>
      <c r="DY160" s="584">
        <v>1263.69325</v>
      </c>
      <c r="DZ160" s="584">
        <v>393.25</v>
      </c>
      <c r="EA160" s="1062">
        <v>1.2766</v>
      </c>
      <c r="EB160" s="1046">
        <v>0.35</v>
      </c>
      <c r="EC160" s="1093">
        <v>132.51783893985731</v>
      </c>
      <c r="ED160" s="1046">
        <v>0</v>
      </c>
      <c r="EE160" s="1046">
        <v>458.71559633027522</v>
      </c>
      <c r="EF160" s="1046">
        <v>34.811188811188813</v>
      </c>
      <c r="EG160" s="1046">
        <v>0</v>
      </c>
      <c r="EH160" s="1046">
        <v>0</v>
      </c>
      <c r="EI160" s="1046" t="s">
        <v>367</v>
      </c>
      <c r="EJ160" s="1046" t="s">
        <v>425</v>
      </c>
      <c r="EK160" s="1046">
        <v>0</v>
      </c>
      <c r="EL160" s="1046">
        <v>0</v>
      </c>
      <c r="EM160" s="1046">
        <v>0</v>
      </c>
      <c r="EN160" s="1046">
        <v>0</v>
      </c>
      <c r="EO160" s="1046">
        <v>0</v>
      </c>
      <c r="EP160" s="1094">
        <v>237.43354500000004</v>
      </c>
      <c r="EQ160" s="1094">
        <v>89.375</v>
      </c>
      <c r="ER160" s="1094">
        <v>474.86709000000008</v>
      </c>
      <c r="ES160" s="1095">
        <v>178.75</v>
      </c>
      <c r="ET160" s="1094">
        <v>949.73418000000015</v>
      </c>
      <c r="EU160" s="1094">
        <v>357.5</v>
      </c>
      <c r="EV160" s="1096">
        <v>0.91220000000000001</v>
      </c>
      <c r="EW160" s="1097">
        <v>0.15</v>
      </c>
      <c r="EX160" s="1096">
        <v>289.50050968399592</v>
      </c>
      <c r="EY160" s="1096">
        <v>1.5443934760448521</v>
      </c>
      <c r="EZ160" s="1096">
        <v>0</v>
      </c>
      <c r="FA160" s="1096">
        <v>35.725874125874128</v>
      </c>
      <c r="FB160" s="1098">
        <v>0</v>
      </c>
      <c r="FC160" s="1098">
        <v>0</v>
      </c>
      <c r="FD160" s="1098" t="s">
        <v>385</v>
      </c>
      <c r="FE160" s="1098" t="s">
        <v>432</v>
      </c>
      <c r="FF160" s="1098">
        <v>3</v>
      </c>
      <c r="FG160" s="1098">
        <v>0</v>
      </c>
      <c r="FH160" s="1098">
        <v>0</v>
      </c>
      <c r="FI160" s="1098">
        <v>0</v>
      </c>
      <c r="FJ160" s="1098">
        <v>0</v>
      </c>
      <c r="FK160" s="1096">
        <v>136.408462375</v>
      </c>
      <c r="FL160" s="1096">
        <v>89.375</v>
      </c>
      <c r="FM160" s="1096">
        <v>272.81692475</v>
      </c>
      <c r="FN160" s="1096">
        <v>178.75</v>
      </c>
      <c r="FO160" s="1096">
        <v>545.6338495</v>
      </c>
      <c r="FP160" s="1099">
        <v>357.5</v>
      </c>
      <c r="FQ160" s="1064">
        <v>1.3188599999999999</v>
      </c>
      <c r="FR160" s="1065">
        <v>0.15</v>
      </c>
      <c r="FS160" s="1066">
        <v>289.50050968399586</v>
      </c>
      <c r="FT160" s="1066">
        <v>3.2017662436826937</v>
      </c>
      <c r="FU160" s="1065"/>
      <c r="FV160" s="1066">
        <v>59.31103605097065</v>
      </c>
      <c r="FW160" s="1065"/>
      <c r="FX160" s="1065"/>
      <c r="FY160" s="1065" t="s">
        <v>381</v>
      </c>
      <c r="FZ160" s="1065" t="s">
        <v>436</v>
      </c>
      <c r="GA160" s="1065">
        <v>3</v>
      </c>
      <c r="GB160" s="1065"/>
      <c r="GC160" s="1065"/>
      <c r="GD160" s="1065"/>
      <c r="GE160" s="1065"/>
      <c r="GF160" s="1066">
        <v>141.32870861075213</v>
      </c>
      <c r="GG160" s="1066">
        <v>89.375</v>
      </c>
      <c r="GH160" s="1066">
        <v>282.65741722150426</v>
      </c>
      <c r="GI160" s="1066">
        <v>178.75</v>
      </c>
      <c r="GJ160" s="1066">
        <v>565.31483444300852</v>
      </c>
      <c r="GK160" s="1066">
        <v>357.5</v>
      </c>
      <c r="GL160" s="584">
        <v>1.0329999999999999</v>
      </c>
      <c r="GM160" s="584">
        <v>0.13</v>
      </c>
      <c r="GN160" s="584"/>
      <c r="GO160" s="584"/>
      <c r="GP160" s="584"/>
      <c r="GQ160" s="584">
        <v>51.972027972028002</v>
      </c>
      <c r="GR160" s="584"/>
      <c r="GS160" s="584">
        <v>66.2589194699286</v>
      </c>
      <c r="GT160" s="584" t="s">
        <v>375</v>
      </c>
      <c r="GU160" s="584" t="s">
        <v>389</v>
      </c>
      <c r="GV160" s="584">
        <v>2</v>
      </c>
      <c r="GW160" s="584"/>
      <c r="GX160" s="584"/>
      <c r="GY160" s="584"/>
      <c r="GZ160" s="584"/>
      <c r="HA160" s="584">
        <v>59.339480000000002</v>
      </c>
      <c r="HB160" s="584">
        <v>89.375</v>
      </c>
      <c r="HC160" s="584">
        <v>118.67896</v>
      </c>
      <c r="HD160" s="584">
        <v>178.75</v>
      </c>
      <c r="HE160" s="584">
        <v>237.35792000000001</v>
      </c>
      <c r="HF160" s="584">
        <v>357.5</v>
      </c>
      <c r="HG160" s="1100">
        <v>1.6300000000000001</v>
      </c>
      <c r="HH160" s="1100">
        <v>0.11</v>
      </c>
      <c r="HI160" s="1101">
        <v>0</v>
      </c>
      <c r="HJ160" s="1101">
        <v>0</v>
      </c>
      <c r="HK160" s="1101">
        <v>0</v>
      </c>
      <c r="HL160" s="1101">
        <v>0</v>
      </c>
      <c r="HM160" s="1101">
        <v>64.875524475524486</v>
      </c>
      <c r="HN160" s="1101">
        <v>54.999999999999993</v>
      </c>
      <c r="HO160" s="1101">
        <v>0</v>
      </c>
      <c r="HP160" s="1101">
        <v>0</v>
      </c>
      <c r="HQ160" s="1101">
        <v>3</v>
      </c>
      <c r="HR160" s="1101">
        <v>1.52</v>
      </c>
      <c r="HS160" s="1101">
        <v>1</v>
      </c>
      <c r="HT160" s="1101">
        <v>0.3</v>
      </c>
      <c r="HU160" s="1101">
        <v>0.3</v>
      </c>
      <c r="HV160" s="1101">
        <v>59.916245500000009</v>
      </c>
      <c r="HW160" s="1101">
        <v>89.375</v>
      </c>
      <c r="HX160" s="1101">
        <v>119.83249100000002</v>
      </c>
      <c r="HY160" s="1101">
        <v>178.75</v>
      </c>
      <c r="HZ160" s="1101">
        <v>239.66498200000004</v>
      </c>
      <c r="IA160" s="1101">
        <v>357.5</v>
      </c>
      <c r="IB160" s="1062"/>
      <c r="IC160" s="1092"/>
      <c r="ID160" s="1050"/>
      <c r="IE160" s="1050"/>
      <c r="IF160" s="1103"/>
      <c r="IG160" s="1103"/>
      <c r="IH160" s="1103"/>
      <c r="II160" s="1103"/>
      <c r="IJ160" s="1103"/>
      <c r="IK160" s="1103"/>
      <c r="IL160" s="1103"/>
      <c r="IM160" s="1050"/>
      <c r="IN160" s="1050"/>
      <c r="IO160" s="1050"/>
      <c r="IP160" s="1050"/>
      <c r="IQ160" s="1103"/>
      <c r="IR160" s="1103"/>
      <c r="IS160" s="1103"/>
      <c r="IT160" s="1103"/>
      <c r="IU160" s="1103"/>
      <c r="IV160" s="1103"/>
      <c r="JS160" s="1092"/>
      <c r="JU160" s="1050"/>
      <c r="JV160" s="1103"/>
      <c r="JW160" s="1103"/>
      <c r="JX160" s="1103"/>
      <c r="JY160" s="1103"/>
      <c r="JZ160" s="1103"/>
      <c r="KA160" s="1103"/>
      <c r="KB160" s="1103"/>
      <c r="KC160" s="1050"/>
      <c r="KD160" s="1050"/>
      <c r="KE160" s="1050"/>
      <c r="KF160" s="1050"/>
      <c r="KG160" s="1103"/>
      <c r="KH160" s="1103"/>
      <c r="KI160" s="1103"/>
      <c r="KJ160" s="1103"/>
      <c r="KK160" s="1103"/>
      <c r="KL160" s="1103"/>
      <c r="KM160" s="1103"/>
      <c r="KN160" s="1103"/>
    </row>
    <row r="161" spans="2:300">
      <c r="B161" s="1048" t="str">
        <f t="shared" si="4"/>
        <v>R1114</v>
      </c>
      <c r="C161" s="1046">
        <v>11</v>
      </c>
      <c r="D161" s="1092">
        <v>14</v>
      </c>
      <c r="E161" s="584">
        <v>0.45</v>
      </c>
      <c r="F161" s="584">
        <v>0.45</v>
      </c>
      <c r="G161" s="584">
        <v>1080</v>
      </c>
      <c r="H161" s="584">
        <v>29.7</v>
      </c>
      <c r="I161" s="584">
        <v>0</v>
      </c>
      <c r="J161" s="584">
        <v>0</v>
      </c>
      <c r="K161" s="584">
        <v>0</v>
      </c>
      <c r="L161" s="584">
        <v>0</v>
      </c>
      <c r="M161" s="584">
        <v>0</v>
      </c>
      <c r="N161" s="584">
        <v>0</v>
      </c>
      <c r="O161" s="584">
        <v>0</v>
      </c>
      <c r="P161" s="584">
        <v>0</v>
      </c>
      <c r="Q161" s="584">
        <v>0</v>
      </c>
      <c r="R161" s="584">
        <v>0</v>
      </c>
      <c r="S161" s="584">
        <v>0</v>
      </c>
      <c r="T161" s="584">
        <v>619.89743750000002</v>
      </c>
      <c r="U161" s="584">
        <v>96.25</v>
      </c>
      <c r="V161" s="584">
        <v>1149.3434999999999</v>
      </c>
      <c r="W161" s="584">
        <v>202.125</v>
      </c>
      <c r="X161" s="584">
        <v>2002.6877500000001</v>
      </c>
      <c r="Y161" s="584">
        <v>423.5</v>
      </c>
      <c r="Z161" s="584">
        <v>0.47499999999999998</v>
      </c>
      <c r="AA161" s="584">
        <v>0.47499999999999998</v>
      </c>
      <c r="AB161" s="584">
        <v>1140</v>
      </c>
      <c r="AC161" s="584">
        <v>30</v>
      </c>
      <c r="AD161" s="584">
        <v>0</v>
      </c>
      <c r="AE161" s="584">
        <v>0</v>
      </c>
      <c r="AF161" s="584">
        <v>0</v>
      </c>
      <c r="AG161" s="584">
        <v>0</v>
      </c>
      <c r="AH161" s="584">
        <v>0</v>
      </c>
      <c r="AI161" s="584">
        <v>0</v>
      </c>
      <c r="AJ161" s="584">
        <v>0</v>
      </c>
      <c r="AK161" s="584">
        <v>0</v>
      </c>
      <c r="AL161" s="584">
        <v>0</v>
      </c>
      <c r="AM161" s="584">
        <v>0</v>
      </c>
      <c r="AN161" s="584">
        <v>0</v>
      </c>
      <c r="AO161" s="584">
        <v>645.5474375</v>
      </c>
      <c r="AP161" s="584">
        <v>96.25</v>
      </c>
      <c r="AQ161" s="584">
        <v>1201.71225</v>
      </c>
      <c r="AR161" s="584">
        <v>202.125</v>
      </c>
      <c r="AS161" s="584">
        <v>2108.5627500000001</v>
      </c>
      <c r="AT161" s="584">
        <v>423.5</v>
      </c>
      <c r="AU161" s="584">
        <v>0</v>
      </c>
      <c r="AV161" s="584">
        <v>0</v>
      </c>
      <c r="AW161" s="584">
        <v>0</v>
      </c>
      <c r="AX161" s="584">
        <v>0</v>
      </c>
      <c r="AY161" s="584">
        <v>0</v>
      </c>
      <c r="AZ161" s="584">
        <v>0</v>
      </c>
      <c r="BA161" s="584">
        <v>0</v>
      </c>
      <c r="BB161" s="584">
        <v>0</v>
      </c>
      <c r="BC161" s="584">
        <v>0</v>
      </c>
      <c r="BD161" s="584">
        <v>0</v>
      </c>
      <c r="BE161" s="584">
        <v>0</v>
      </c>
      <c r="BF161" s="584">
        <v>0</v>
      </c>
      <c r="BG161" s="584">
        <v>0</v>
      </c>
      <c r="BH161" s="584">
        <v>0</v>
      </c>
      <c r="BI161" s="584">
        <v>0</v>
      </c>
      <c r="BJ161" s="584">
        <v>0</v>
      </c>
      <c r="BK161" s="584">
        <v>0</v>
      </c>
      <c r="BL161" s="584">
        <v>0</v>
      </c>
      <c r="BM161" s="584">
        <v>0</v>
      </c>
      <c r="BN161" s="584">
        <v>0</v>
      </c>
      <c r="BO161" s="584">
        <v>0</v>
      </c>
      <c r="BP161" s="584">
        <v>1.125</v>
      </c>
      <c r="BQ161" s="584">
        <v>0.28499999999999998</v>
      </c>
      <c r="BR161" s="584">
        <v>875.04183182929899</v>
      </c>
      <c r="BS161" s="584">
        <v>45.214490227291897</v>
      </c>
      <c r="BT161" s="584">
        <v>0</v>
      </c>
      <c r="BU161" s="584">
        <v>0</v>
      </c>
      <c r="BV161" s="584">
        <v>0</v>
      </c>
      <c r="BW161" s="584">
        <v>0</v>
      </c>
      <c r="BX161" s="584">
        <v>0</v>
      </c>
      <c r="BY161" s="584">
        <v>0</v>
      </c>
      <c r="BZ161" s="584">
        <v>0</v>
      </c>
      <c r="CA161" s="584">
        <v>0.72499999999999998</v>
      </c>
      <c r="CB161" s="584">
        <v>1.125</v>
      </c>
      <c r="CC161" s="584">
        <v>0.45</v>
      </c>
      <c r="CD161" s="584">
        <v>0.45</v>
      </c>
      <c r="CE161" s="584">
        <v>577.18730000000005</v>
      </c>
      <c r="CF161" s="584">
        <v>96.25</v>
      </c>
      <c r="CG161" s="584">
        <v>996.75855000000001</v>
      </c>
      <c r="CH161" s="584">
        <v>202.125</v>
      </c>
      <c r="CI161" s="584">
        <v>1481.1223</v>
      </c>
      <c r="CJ161" s="584">
        <v>423.5</v>
      </c>
      <c r="CK161" s="584">
        <v>0</v>
      </c>
      <c r="CL161" s="584">
        <v>0</v>
      </c>
      <c r="CM161" s="584">
        <v>0</v>
      </c>
      <c r="CN161" s="584">
        <v>0</v>
      </c>
      <c r="CO161" s="584">
        <v>0</v>
      </c>
      <c r="CP161" s="584">
        <v>0</v>
      </c>
      <c r="CQ161" s="584">
        <v>0</v>
      </c>
      <c r="CR161" s="584">
        <v>0</v>
      </c>
      <c r="CS161" s="584">
        <v>0</v>
      </c>
      <c r="CT161" s="584">
        <v>0</v>
      </c>
      <c r="CU161" s="584">
        <v>0</v>
      </c>
      <c r="CV161" s="584">
        <v>0</v>
      </c>
      <c r="CW161" s="584">
        <v>0</v>
      </c>
      <c r="CX161" s="584">
        <v>0</v>
      </c>
      <c r="CY161" s="584">
        <v>0</v>
      </c>
      <c r="CZ161" s="584">
        <v>0</v>
      </c>
      <c r="DA161" s="584">
        <v>0</v>
      </c>
      <c r="DB161" s="584">
        <v>0</v>
      </c>
      <c r="DC161" s="584">
        <v>0</v>
      </c>
      <c r="DD161" s="584">
        <v>0</v>
      </c>
      <c r="DE161" s="584">
        <v>0</v>
      </c>
      <c r="DF161" s="584">
        <v>0.75</v>
      </c>
      <c r="DG161" s="584">
        <v>0.25</v>
      </c>
      <c r="DH161" s="584">
        <v>450.719827949734</v>
      </c>
      <c r="DI161" s="584">
        <v>19.4501919435776</v>
      </c>
      <c r="DJ161" s="584">
        <v>340</v>
      </c>
      <c r="DK161" s="584">
        <v>0</v>
      </c>
      <c r="DL161" s="584">
        <v>0</v>
      </c>
      <c r="DM161" s="584">
        <v>0</v>
      </c>
      <c r="DN161" s="584">
        <v>0</v>
      </c>
      <c r="DO161" s="584">
        <v>0</v>
      </c>
      <c r="DP161" s="584">
        <v>0</v>
      </c>
      <c r="DQ161" s="584">
        <v>0</v>
      </c>
      <c r="DR161" s="584">
        <v>0.75</v>
      </c>
      <c r="DS161" s="584">
        <v>0</v>
      </c>
      <c r="DT161" s="584">
        <v>2.4</v>
      </c>
      <c r="DU161" s="584">
        <v>466.14818750000001</v>
      </c>
      <c r="DV161" s="584">
        <v>96.25</v>
      </c>
      <c r="DW161" s="584">
        <v>891.04337499999997</v>
      </c>
      <c r="DX161" s="584">
        <v>202.125</v>
      </c>
      <c r="DY161" s="584">
        <v>1423.106</v>
      </c>
      <c r="DZ161" s="584">
        <v>423.5</v>
      </c>
      <c r="EA161" s="1062">
        <v>1.343</v>
      </c>
      <c r="EB161" s="1046">
        <v>0.4</v>
      </c>
      <c r="EC161" s="1093">
        <v>132.51783893985737</v>
      </c>
      <c r="ED161" s="1046">
        <v>0</v>
      </c>
      <c r="EE161" s="1046">
        <v>519.87767584097855</v>
      </c>
      <c r="EF161" s="1046">
        <v>41.142857142857146</v>
      </c>
      <c r="EG161" s="1046">
        <v>0</v>
      </c>
      <c r="EH161" s="1046">
        <v>0</v>
      </c>
      <c r="EI161" s="1046" t="s">
        <v>364</v>
      </c>
      <c r="EJ161" s="1046" t="s">
        <v>421</v>
      </c>
      <c r="EK161" s="1046">
        <v>0</v>
      </c>
      <c r="EL161" s="1046">
        <v>0</v>
      </c>
      <c r="EM161" s="1046">
        <v>0</v>
      </c>
      <c r="EN161" s="1046">
        <v>0</v>
      </c>
      <c r="EO161" s="1046">
        <v>0</v>
      </c>
      <c r="EP161" s="1094">
        <v>281.18904000000009</v>
      </c>
      <c r="EQ161" s="1094">
        <v>96.25</v>
      </c>
      <c r="ER161" s="1094">
        <v>562.37808000000018</v>
      </c>
      <c r="ES161" s="1095">
        <v>192.5</v>
      </c>
      <c r="ET161" s="1094">
        <v>1124.7561600000004</v>
      </c>
      <c r="EU161" s="1094">
        <v>385</v>
      </c>
      <c r="EV161" s="1096">
        <v>0.91979999999999995</v>
      </c>
      <c r="EW161" s="1097">
        <v>0.15</v>
      </c>
      <c r="EX161" s="1096">
        <v>289.50050968399592</v>
      </c>
      <c r="EY161" s="1096">
        <v>1.5443934760448521</v>
      </c>
      <c r="EZ161" s="1096">
        <v>0</v>
      </c>
      <c r="FA161" s="1096">
        <v>41.657142857142858</v>
      </c>
      <c r="FB161" s="1098">
        <v>0</v>
      </c>
      <c r="FC161" s="1098">
        <v>0</v>
      </c>
      <c r="FD161" s="1098" t="s">
        <v>383</v>
      </c>
      <c r="FE161" s="1098" t="s">
        <v>410</v>
      </c>
      <c r="FF161" s="1098">
        <v>3</v>
      </c>
      <c r="FG161" s="1098">
        <v>0</v>
      </c>
      <c r="FH161" s="1098">
        <v>0</v>
      </c>
      <c r="FI161" s="1098">
        <v>0</v>
      </c>
      <c r="FJ161" s="1098">
        <v>0</v>
      </c>
      <c r="FK161" s="1096">
        <v>149.14157225</v>
      </c>
      <c r="FL161" s="1096">
        <v>96.25</v>
      </c>
      <c r="FM161" s="1096">
        <v>298.28314449999999</v>
      </c>
      <c r="FN161" s="1096">
        <v>192.5</v>
      </c>
      <c r="FO161" s="1096">
        <v>596.56628899999998</v>
      </c>
      <c r="FP161" s="1099">
        <v>385</v>
      </c>
      <c r="FQ161" s="1064">
        <v>1.32698</v>
      </c>
      <c r="FR161" s="1065">
        <v>0.15</v>
      </c>
      <c r="FS161" s="1066">
        <v>289.50050968399586</v>
      </c>
      <c r="FT161" s="1066">
        <v>3.2017662436826937</v>
      </c>
      <c r="FU161" s="1065"/>
      <c r="FV161" s="1066">
        <v>62.331472465567082</v>
      </c>
      <c r="FW161" s="1065"/>
      <c r="FX161" s="1065"/>
      <c r="FY161" s="1065" t="s">
        <v>379</v>
      </c>
      <c r="FZ161" s="1065" t="s">
        <v>416</v>
      </c>
      <c r="GA161" s="1065">
        <v>3</v>
      </c>
      <c r="GB161" s="1065"/>
      <c r="GC161" s="1065"/>
      <c r="GD161" s="1065"/>
      <c r="GE161" s="1065"/>
      <c r="GF161" s="1066">
        <v>153.34092126190299</v>
      </c>
      <c r="GG161" s="1066">
        <v>96.25</v>
      </c>
      <c r="GH161" s="1066">
        <v>306.68184252380598</v>
      </c>
      <c r="GI161" s="1066">
        <v>192.5</v>
      </c>
      <c r="GJ161" s="1066">
        <v>613.36368504761197</v>
      </c>
      <c r="GK161" s="1066">
        <v>385</v>
      </c>
      <c r="GL161" s="584">
        <v>0.97070000000000001</v>
      </c>
      <c r="GM161" s="584">
        <v>0.13</v>
      </c>
      <c r="GN161" s="584"/>
      <c r="GO161" s="584"/>
      <c r="GP161" s="584"/>
      <c r="GQ161" s="584">
        <v>65.418831168831204</v>
      </c>
      <c r="GR161" s="584"/>
      <c r="GS161" s="584">
        <v>66.2589194699286</v>
      </c>
      <c r="GT161" s="584" t="s">
        <v>381</v>
      </c>
      <c r="GU161" s="584" t="s">
        <v>379</v>
      </c>
      <c r="GV161" s="584">
        <v>2</v>
      </c>
      <c r="GW161" s="584"/>
      <c r="GX161" s="584"/>
      <c r="GY161" s="584"/>
      <c r="GZ161" s="584"/>
      <c r="HA161" s="584">
        <v>68.982711249999994</v>
      </c>
      <c r="HB161" s="584">
        <v>96.25</v>
      </c>
      <c r="HC161" s="584">
        <v>137.96542249999999</v>
      </c>
      <c r="HD161" s="584">
        <v>192.5</v>
      </c>
      <c r="HE161" s="584">
        <v>275.93084499999998</v>
      </c>
      <c r="HF161" s="584">
        <v>385</v>
      </c>
      <c r="HG161" s="1100">
        <v>1.55</v>
      </c>
      <c r="HH161" s="1100">
        <v>0.11</v>
      </c>
      <c r="HI161" s="1101">
        <v>0</v>
      </c>
      <c r="HJ161" s="1101">
        <v>0</v>
      </c>
      <c r="HK161" s="1101">
        <v>0</v>
      </c>
      <c r="HL161" s="1101">
        <v>0</v>
      </c>
      <c r="HM161" s="1101">
        <v>70.700259740259739</v>
      </c>
      <c r="HN161" s="1101">
        <v>54.999999999999993</v>
      </c>
      <c r="HO161" s="1101">
        <v>0</v>
      </c>
      <c r="HP161" s="1101">
        <v>0</v>
      </c>
      <c r="HQ161" s="1101">
        <v>3</v>
      </c>
      <c r="HR161" s="1101">
        <v>1.44</v>
      </c>
      <c r="HS161" s="1101">
        <v>1.24</v>
      </c>
      <c r="HT161" s="1101">
        <v>0.3</v>
      </c>
      <c r="HU161" s="1101">
        <v>0.28000000000000003</v>
      </c>
      <c r="HV161" s="1101">
        <v>66.7251026</v>
      </c>
      <c r="HW161" s="1101">
        <v>96.25</v>
      </c>
      <c r="HX161" s="1101">
        <v>133.4502052</v>
      </c>
      <c r="HY161" s="1101">
        <v>192.5</v>
      </c>
      <c r="HZ161" s="1101">
        <v>266.9004104</v>
      </c>
      <c r="IA161" s="1101">
        <v>385</v>
      </c>
      <c r="IB161" s="1062"/>
      <c r="IC161" s="1092"/>
      <c r="ID161" s="1050"/>
      <c r="IE161" s="1050"/>
      <c r="IF161" s="1103"/>
      <c r="IG161" s="1103"/>
      <c r="IH161" s="1103"/>
      <c r="II161" s="1103"/>
      <c r="IJ161" s="1103"/>
      <c r="IK161" s="1103"/>
      <c r="IL161" s="1103"/>
      <c r="IM161" s="1050"/>
      <c r="IN161" s="1050"/>
      <c r="IO161" s="1050"/>
      <c r="IP161" s="1050"/>
      <c r="IQ161" s="1103"/>
      <c r="IR161" s="1103"/>
      <c r="IS161" s="1103"/>
      <c r="IT161" s="1103"/>
      <c r="IU161" s="1103"/>
      <c r="IV161" s="1103"/>
      <c r="JS161" s="1092"/>
      <c r="JU161" s="1050"/>
      <c r="JV161" s="1103"/>
      <c r="JW161" s="1103"/>
      <c r="JX161" s="1103"/>
      <c r="JY161" s="1103"/>
      <c r="JZ161" s="1103"/>
      <c r="KA161" s="1103"/>
      <c r="KB161" s="1103"/>
      <c r="KC161" s="1050"/>
      <c r="KD161" s="1050"/>
      <c r="KE161" s="1050"/>
      <c r="KF161" s="1050"/>
      <c r="KG161" s="1103"/>
      <c r="KH161" s="1103"/>
      <c r="KI161" s="1103"/>
      <c r="KJ161" s="1103"/>
      <c r="KK161" s="1103"/>
      <c r="KL161" s="1103"/>
      <c r="KM161" s="1103"/>
      <c r="KN161" s="1103"/>
    </row>
    <row r="162" spans="2:300">
      <c r="B162" s="1048" t="str">
        <f t="shared" si="4"/>
        <v>R1115</v>
      </c>
      <c r="C162" s="1046">
        <v>11</v>
      </c>
      <c r="D162" s="1092">
        <v>15</v>
      </c>
      <c r="E162" s="584">
        <v>0</v>
      </c>
      <c r="F162" s="584">
        <v>0</v>
      </c>
      <c r="G162" s="584">
        <v>0</v>
      </c>
      <c r="H162" s="584">
        <v>0</v>
      </c>
      <c r="I162" s="584">
        <v>0</v>
      </c>
      <c r="J162" s="584">
        <v>0</v>
      </c>
      <c r="K162" s="584">
        <v>0</v>
      </c>
      <c r="L162" s="584">
        <v>0</v>
      </c>
      <c r="M162" s="584">
        <v>0</v>
      </c>
      <c r="N162" s="584">
        <v>0</v>
      </c>
      <c r="O162" s="584">
        <v>0</v>
      </c>
      <c r="P162" s="584">
        <v>0</v>
      </c>
      <c r="Q162" s="584">
        <v>0</v>
      </c>
      <c r="R162" s="584">
        <v>0</v>
      </c>
      <c r="S162" s="584">
        <v>0</v>
      </c>
      <c r="T162" s="584">
        <v>0</v>
      </c>
      <c r="U162" s="584">
        <v>0</v>
      </c>
      <c r="V162" s="584">
        <v>0</v>
      </c>
      <c r="W162" s="584">
        <v>0</v>
      </c>
      <c r="X162" s="584">
        <v>0</v>
      </c>
      <c r="Y162" s="584">
        <v>0</v>
      </c>
      <c r="Z162" s="584">
        <v>0</v>
      </c>
      <c r="AA162" s="584">
        <v>0</v>
      </c>
      <c r="AB162" s="584">
        <v>0</v>
      </c>
      <c r="AC162" s="584">
        <v>0</v>
      </c>
      <c r="AD162" s="584">
        <v>0</v>
      </c>
      <c r="AE162" s="584">
        <v>0</v>
      </c>
      <c r="AF162" s="584">
        <v>0</v>
      </c>
      <c r="AG162" s="584">
        <v>0</v>
      </c>
      <c r="AH162" s="584">
        <v>0</v>
      </c>
      <c r="AI162" s="584">
        <v>0</v>
      </c>
      <c r="AJ162" s="584">
        <v>0</v>
      </c>
      <c r="AK162" s="584">
        <v>0</v>
      </c>
      <c r="AL162" s="584">
        <v>0</v>
      </c>
      <c r="AM162" s="584">
        <v>0</v>
      </c>
      <c r="AN162" s="584">
        <v>0</v>
      </c>
      <c r="AO162" s="584">
        <v>0</v>
      </c>
      <c r="AP162" s="584">
        <v>0</v>
      </c>
      <c r="AQ162" s="584">
        <v>0</v>
      </c>
      <c r="AR162" s="584">
        <v>0</v>
      </c>
      <c r="AS162" s="584">
        <v>0</v>
      </c>
      <c r="AT162" s="584">
        <v>0</v>
      </c>
      <c r="AU162" s="584">
        <v>0</v>
      </c>
      <c r="AV162" s="584">
        <v>0</v>
      </c>
      <c r="AW162" s="584">
        <v>0</v>
      </c>
      <c r="AX162" s="584">
        <v>0</v>
      </c>
      <c r="AY162" s="584">
        <v>0</v>
      </c>
      <c r="AZ162" s="584">
        <v>0</v>
      </c>
      <c r="BA162" s="584">
        <v>0</v>
      </c>
      <c r="BB162" s="584">
        <v>0</v>
      </c>
      <c r="BC162" s="584">
        <v>0</v>
      </c>
      <c r="BD162" s="584">
        <v>0</v>
      </c>
      <c r="BE162" s="584">
        <v>0</v>
      </c>
      <c r="BF162" s="584">
        <v>0</v>
      </c>
      <c r="BG162" s="584">
        <v>0</v>
      </c>
      <c r="BH162" s="584">
        <v>0</v>
      </c>
      <c r="BI162" s="584">
        <v>0</v>
      </c>
      <c r="BJ162" s="584">
        <v>0</v>
      </c>
      <c r="BK162" s="584">
        <v>0</v>
      </c>
      <c r="BL162" s="584">
        <v>0</v>
      </c>
      <c r="BM162" s="584">
        <v>0</v>
      </c>
      <c r="BN162" s="584">
        <v>0</v>
      </c>
      <c r="BO162" s="584">
        <v>0</v>
      </c>
      <c r="BP162" s="584">
        <v>0</v>
      </c>
      <c r="BQ162" s="584">
        <v>0</v>
      </c>
      <c r="BR162" s="584">
        <v>0</v>
      </c>
      <c r="BS162" s="584">
        <v>0</v>
      </c>
      <c r="BT162" s="584">
        <v>0</v>
      </c>
      <c r="BU162" s="584">
        <v>0</v>
      </c>
      <c r="BV162" s="584">
        <v>0</v>
      </c>
      <c r="BW162" s="584">
        <v>0</v>
      </c>
      <c r="BX162" s="584">
        <v>0</v>
      </c>
      <c r="BY162" s="584">
        <v>0</v>
      </c>
      <c r="BZ162" s="584">
        <v>0</v>
      </c>
      <c r="CA162" s="584">
        <v>0</v>
      </c>
      <c r="CB162" s="584">
        <v>0</v>
      </c>
      <c r="CC162" s="584">
        <v>0</v>
      </c>
      <c r="CD162" s="584">
        <v>0</v>
      </c>
      <c r="CE162" s="584">
        <v>0</v>
      </c>
      <c r="CF162" s="584">
        <v>0</v>
      </c>
      <c r="CG162" s="584">
        <v>0</v>
      </c>
      <c r="CH162" s="584">
        <v>0</v>
      </c>
      <c r="CI162" s="584">
        <v>0</v>
      </c>
      <c r="CJ162" s="584">
        <v>0</v>
      </c>
      <c r="CK162" s="584">
        <v>0</v>
      </c>
      <c r="CL162" s="584">
        <v>0</v>
      </c>
      <c r="CM162" s="584">
        <v>0</v>
      </c>
      <c r="CN162" s="584">
        <v>0</v>
      </c>
      <c r="CO162" s="584">
        <v>0</v>
      </c>
      <c r="CP162" s="584">
        <v>0</v>
      </c>
      <c r="CQ162" s="584">
        <v>0</v>
      </c>
      <c r="CR162" s="584">
        <v>0</v>
      </c>
      <c r="CS162" s="584">
        <v>0</v>
      </c>
      <c r="CT162" s="584">
        <v>0</v>
      </c>
      <c r="CU162" s="584">
        <v>0</v>
      </c>
      <c r="CV162" s="584">
        <v>0</v>
      </c>
      <c r="CW162" s="584">
        <v>0</v>
      </c>
      <c r="CX162" s="584">
        <v>0</v>
      </c>
      <c r="CY162" s="584">
        <v>0</v>
      </c>
      <c r="CZ162" s="584">
        <v>0</v>
      </c>
      <c r="DA162" s="584">
        <v>0</v>
      </c>
      <c r="DB162" s="584">
        <v>0</v>
      </c>
      <c r="DC162" s="584">
        <v>0</v>
      </c>
      <c r="DD162" s="584">
        <v>0</v>
      </c>
      <c r="DE162" s="584">
        <v>0</v>
      </c>
      <c r="DF162" s="584">
        <v>0</v>
      </c>
      <c r="DG162" s="584">
        <v>0</v>
      </c>
      <c r="DH162" s="584">
        <v>0</v>
      </c>
      <c r="DI162" s="584">
        <v>0</v>
      </c>
      <c r="DJ162" s="584">
        <v>0</v>
      </c>
      <c r="DK162" s="584">
        <v>0</v>
      </c>
      <c r="DL162" s="584">
        <v>0</v>
      </c>
      <c r="DM162" s="584">
        <v>0</v>
      </c>
      <c r="DN162" s="584">
        <v>0</v>
      </c>
      <c r="DO162" s="584">
        <v>0</v>
      </c>
      <c r="DP162" s="584">
        <v>0</v>
      </c>
      <c r="DQ162" s="584">
        <v>0</v>
      </c>
      <c r="DR162" s="584">
        <v>0</v>
      </c>
      <c r="DS162" s="584">
        <v>0</v>
      </c>
      <c r="DT162" s="584">
        <v>0</v>
      </c>
      <c r="DU162" s="584">
        <v>0</v>
      </c>
      <c r="DV162" s="584">
        <v>0</v>
      </c>
      <c r="DW162" s="584">
        <v>0</v>
      </c>
      <c r="DX162" s="584">
        <v>0</v>
      </c>
      <c r="DY162" s="584">
        <v>0</v>
      </c>
      <c r="DZ162" s="584">
        <v>0</v>
      </c>
      <c r="EA162" s="1062">
        <v>1.401</v>
      </c>
      <c r="EB162" s="1046">
        <v>0.45</v>
      </c>
      <c r="EC162" s="1093">
        <v>132.51783893985726</v>
      </c>
      <c r="ED162" s="1046">
        <v>0</v>
      </c>
      <c r="EE162" s="1046">
        <v>581.03975535168195</v>
      </c>
      <c r="EF162" s="1046">
        <v>50.245454545454542</v>
      </c>
      <c r="EG162" s="1046">
        <v>0</v>
      </c>
      <c r="EH162" s="1046">
        <v>0</v>
      </c>
      <c r="EI162" s="1046" t="s">
        <v>362</v>
      </c>
      <c r="EJ162" s="1046" t="s">
        <v>418</v>
      </c>
      <c r="EK162" s="1046">
        <v>0</v>
      </c>
      <c r="EL162" s="1046">
        <v>0</v>
      </c>
      <c r="EM162" s="1046">
        <v>0</v>
      </c>
      <c r="EN162" s="1046">
        <v>0</v>
      </c>
      <c r="EO162" s="1046">
        <v>0</v>
      </c>
      <c r="EP162" s="1094">
        <v>329.70745125000002</v>
      </c>
      <c r="EQ162" s="1094">
        <v>103.125</v>
      </c>
      <c r="ER162" s="1094">
        <v>659.41490250000004</v>
      </c>
      <c r="ES162" s="1095">
        <v>206.25</v>
      </c>
      <c r="ET162" s="1094">
        <v>1318.8298050000001</v>
      </c>
      <c r="EU162" s="1094">
        <v>412.5</v>
      </c>
      <c r="EV162" s="1096">
        <v>0.99070000000000003</v>
      </c>
      <c r="EW162" s="1097">
        <v>0.15</v>
      </c>
      <c r="EX162" s="1096">
        <v>289.50050968399592</v>
      </c>
      <c r="EY162" s="1096">
        <v>1.5443934760448521</v>
      </c>
      <c r="EZ162" s="1096">
        <v>0</v>
      </c>
      <c r="FA162" s="1096">
        <v>40.520000000000003</v>
      </c>
      <c r="FB162" s="1098">
        <v>0</v>
      </c>
      <c r="FC162" s="1098">
        <v>0</v>
      </c>
      <c r="FD162" s="1098" t="s">
        <v>379</v>
      </c>
      <c r="FE162" s="1098" t="s">
        <v>410</v>
      </c>
      <c r="FF162" s="1098">
        <v>3</v>
      </c>
      <c r="FG162" s="1098">
        <v>0</v>
      </c>
      <c r="FH162" s="1098">
        <v>0</v>
      </c>
      <c r="FI162" s="1098">
        <v>0</v>
      </c>
      <c r="FJ162" s="1098">
        <v>0</v>
      </c>
      <c r="FK162" s="1096">
        <v>159.33438262499999</v>
      </c>
      <c r="FL162" s="1096">
        <v>103.125</v>
      </c>
      <c r="FM162" s="1096">
        <v>318.66876524999998</v>
      </c>
      <c r="FN162" s="1096">
        <v>206.25</v>
      </c>
      <c r="FO162" s="1096">
        <v>637.33753049999996</v>
      </c>
      <c r="FP162" s="1099">
        <v>412.5</v>
      </c>
      <c r="FQ162" s="1064">
        <v>1.4141999999999999</v>
      </c>
      <c r="FR162" s="1065">
        <v>0.15</v>
      </c>
      <c r="FS162" s="1066">
        <v>289.50050968399586</v>
      </c>
      <c r="FT162" s="1066">
        <v>3.2017662436826937</v>
      </c>
      <c r="FU162" s="1065"/>
      <c r="FV162" s="1066">
        <v>69.640250517656554</v>
      </c>
      <c r="FW162" s="1065"/>
      <c r="FX162" s="1065"/>
      <c r="FY162" s="1065" t="s">
        <v>375</v>
      </c>
      <c r="FZ162" s="1065" t="s">
        <v>410</v>
      </c>
      <c r="GA162" s="1065">
        <v>3</v>
      </c>
      <c r="GB162" s="1065"/>
      <c r="GC162" s="1065"/>
      <c r="GD162" s="1065"/>
      <c r="GE162" s="1065"/>
      <c r="GF162" s="1066">
        <v>167.25143260768542</v>
      </c>
      <c r="GG162" s="1066">
        <v>103.125</v>
      </c>
      <c r="GH162" s="1066">
        <v>334.50286521537083</v>
      </c>
      <c r="GI162" s="1066">
        <v>206.25</v>
      </c>
      <c r="GJ162" s="1066">
        <v>669.00573043074166</v>
      </c>
      <c r="GK162" s="1066">
        <v>412.5</v>
      </c>
      <c r="GL162" s="584">
        <v>1.0329999999999999</v>
      </c>
      <c r="GM162" s="584">
        <v>0.13</v>
      </c>
      <c r="GN162" s="584"/>
      <c r="GO162" s="584"/>
      <c r="GP162" s="584"/>
      <c r="GQ162" s="584">
        <v>67.710909090909098</v>
      </c>
      <c r="GR162" s="584"/>
      <c r="GS162" s="584">
        <v>66.2589194699286</v>
      </c>
      <c r="GT162" s="584" t="s">
        <v>379</v>
      </c>
      <c r="GU162" s="584" t="s">
        <v>375</v>
      </c>
      <c r="GV162" s="584">
        <v>2</v>
      </c>
      <c r="GW162" s="584"/>
      <c r="GX162" s="584"/>
      <c r="GY162" s="584"/>
      <c r="GZ162" s="584"/>
      <c r="HA162" s="584">
        <v>74.837565749999996</v>
      </c>
      <c r="HB162" s="584">
        <v>103.125</v>
      </c>
      <c r="HC162" s="584">
        <v>149.67513149999999</v>
      </c>
      <c r="HD162" s="584">
        <v>206.25</v>
      </c>
      <c r="HE162" s="584">
        <v>299.35026299999998</v>
      </c>
      <c r="HF162" s="584">
        <v>412.5</v>
      </c>
      <c r="HG162" s="1100">
        <v>1.6700000000000002</v>
      </c>
      <c r="HH162" s="1100">
        <v>0.11</v>
      </c>
      <c r="HI162" s="1101">
        <v>0</v>
      </c>
      <c r="HJ162" s="1101">
        <v>0</v>
      </c>
      <c r="HK162" s="1101">
        <v>0</v>
      </c>
      <c r="HL162" s="1101">
        <v>0</v>
      </c>
      <c r="HM162" s="1101">
        <v>76.876363636363635</v>
      </c>
      <c r="HN162" s="1101">
        <v>54.999999999999993</v>
      </c>
      <c r="HO162" s="1101">
        <v>0</v>
      </c>
      <c r="HP162" s="1101">
        <v>0</v>
      </c>
      <c r="HQ162" s="1101">
        <v>3</v>
      </c>
      <c r="HR162" s="1101">
        <v>1.56</v>
      </c>
      <c r="HS162" s="1101">
        <v>1.28</v>
      </c>
      <c r="HT162" s="1101">
        <v>0.3</v>
      </c>
      <c r="HU162" s="1101">
        <v>0.3</v>
      </c>
      <c r="HV162" s="1101">
        <v>73.990419000000003</v>
      </c>
      <c r="HW162" s="1101">
        <v>103.125</v>
      </c>
      <c r="HX162" s="1101">
        <v>147.98083800000001</v>
      </c>
      <c r="HY162" s="1101">
        <v>206.25</v>
      </c>
      <c r="HZ162" s="1101">
        <v>295.96167600000001</v>
      </c>
      <c r="IA162" s="1101">
        <v>412.5</v>
      </c>
      <c r="IB162" s="1062"/>
      <c r="IC162" s="1092"/>
      <c r="ID162" s="1050"/>
      <c r="IE162" s="1050"/>
      <c r="IF162" s="1103"/>
      <c r="IG162" s="1103"/>
      <c r="IH162" s="1103"/>
      <c r="II162" s="1103"/>
      <c r="IJ162" s="1103"/>
      <c r="IK162" s="1103"/>
      <c r="IL162" s="1103"/>
      <c r="IM162" s="1050"/>
      <c r="IN162" s="1050"/>
      <c r="IO162" s="1050"/>
      <c r="IP162" s="1050"/>
      <c r="IQ162" s="1103"/>
      <c r="IR162" s="1103"/>
      <c r="IS162" s="1103"/>
      <c r="IT162" s="1103"/>
      <c r="IU162" s="1103"/>
      <c r="IV162" s="1103"/>
      <c r="JS162" s="1092"/>
      <c r="JU162" s="1050"/>
      <c r="JV162" s="1103"/>
      <c r="JW162" s="1103"/>
      <c r="JX162" s="1103"/>
      <c r="JY162" s="1103"/>
      <c r="JZ162" s="1103"/>
      <c r="KA162" s="1103"/>
      <c r="KB162" s="1103"/>
      <c r="KC162" s="1050"/>
      <c r="KD162" s="1050"/>
      <c r="KE162" s="1050"/>
      <c r="KF162" s="1050"/>
      <c r="KG162" s="1103"/>
      <c r="KH162" s="1103"/>
      <c r="KI162" s="1103"/>
      <c r="KJ162" s="1103"/>
      <c r="KK162" s="1103"/>
      <c r="KL162" s="1103"/>
      <c r="KM162" s="1103"/>
      <c r="KN162" s="1103"/>
    </row>
    <row r="163" spans="2:300">
      <c r="B163" s="1048" t="str">
        <f t="shared" si="4"/>
        <v>R1116</v>
      </c>
      <c r="C163" s="1046">
        <v>11</v>
      </c>
      <c r="D163" s="1092">
        <v>16</v>
      </c>
      <c r="E163" s="584">
        <v>0</v>
      </c>
      <c r="F163" s="584">
        <v>0</v>
      </c>
      <c r="G163" s="584">
        <v>0</v>
      </c>
      <c r="H163" s="584">
        <v>0</v>
      </c>
      <c r="I163" s="584">
        <v>0</v>
      </c>
      <c r="J163" s="584">
        <v>0</v>
      </c>
      <c r="K163" s="584">
        <v>0</v>
      </c>
      <c r="L163" s="584">
        <v>0</v>
      </c>
      <c r="M163" s="584">
        <v>0</v>
      </c>
      <c r="N163" s="584">
        <v>0</v>
      </c>
      <c r="O163" s="584">
        <v>0</v>
      </c>
      <c r="P163" s="584">
        <v>0</v>
      </c>
      <c r="Q163" s="584">
        <v>0</v>
      </c>
      <c r="R163" s="584">
        <v>0</v>
      </c>
      <c r="S163" s="584">
        <v>0</v>
      </c>
      <c r="T163" s="584">
        <v>0</v>
      </c>
      <c r="U163" s="584">
        <v>0</v>
      </c>
      <c r="V163" s="584">
        <v>0</v>
      </c>
      <c r="W163" s="584">
        <v>0</v>
      </c>
      <c r="X163" s="584">
        <v>0</v>
      </c>
      <c r="Y163" s="584">
        <v>0</v>
      </c>
      <c r="Z163" s="584">
        <v>0</v>
      </c>
      <c r="AA163" s="584">
        <v>0</v>
      </c>
      <c r="AB163" s="584">
        <v>0</v>
      </c>
      <c r="AC163" s="584">
        <v>0</v>
      </c>
      <c r="AD163" s="584">
        <v>0</v>
      </c>
      <c r="AE163" s="584">
        <v>0</v>
      </c>
      <c r="AF163" s="584">
        <v>0</v>
      </c>
      <c r="AG163" s="584">
        <v>0</v>
      </c>
      <c r="AH163" s="584">
        <v>0</v>
      </c>
      <c r="AI163" s="584">
        <v>0</v>
      </c>
      <c r="AJ163" s="584">
        <v>0</v>
      </c>
      <c r="AK163" s="584">
        <v>0</v>
      </c>
      <c r="AL163" s="584">
        <v>0</v>
      </c>
      <c r="AM163" s="584">
        <v>0</v>
      </c>
      <c r="AN163" s="584">
        <v>0</v>
      </c>
      <c r="AO163" s="584">
        <v>171.6474375</v>
      </c>
      <c r="AP163" s="584">
        <v>110</v>
      </c>
      <c r="AQ163" s="584">
        <v>231.0174375</v>
      </c>
      <c r="AR163" s="584">
        <v>231</v>
      </c>
      <c r="AS163" s="584">
        <v>105.791</v>
      </c>
      <c r="AT163" s="584">
        <v>484</v>
      </c>
      <c r="AU163" s="584">
        <v>0</v>
      </c>
      <c r="AV163" s="584">
        <v>0</v>
      </c>
      <c r="AW163" s="584">
        <v>0</v>
      </c>
      <c r="AX163" s="584">
        <v>0</v>
      </c>
      <c r="AY163" s="584">
        <v>0</v>
      </c>
      <c r="AZ163" s="584">
        <v>0</v>
      </c>
      <c r="BA163" s="584">
        <v>0</v>
      </c>
      <c r="BB163" s="584">
        <v>0</v>
      </c>
      <c r="BC163" s="584">
        <v>0</v>
      </c>
      <c r="BD163" s="584">
        <v>0</v>
      </c>
      <c r="BE163" s="584">
        <v>0</v>
      </c>
      <c r="BF163" s="584">
        <v>0</v>
      </c>
      <c r="BG163" s="584">
        <v>0</v>
      </c>
      <c r="BH163" s="584">
        <v>0</v>
      </c>
      <c r="BI163" s="584">
        <v>0</v>
      </c>
      <c r="BJ163" s="584">
        <v>0</v>
      </c>
      <c r="BK163" s="584">
        <v>0</v>
      </c>
      <c r="BL163" s="584">
        <v>0</v>
      </c>
      <c r="BM163" s="584">
        <v>0</v>
      </c>
      <c r="BN163" s="584">
        <v>0</v>
      </c>
      <c r="BO163" s="584">
        <v>0</v>
      </c>
      <c r="BP163" s="584">
        <v>0</v>
      </c>
      <c r="BQ163" s="584">
        <v>0</v>
      </c>
      <c r="BR163" s="584">
        <v>0</v>
      </c>
      <c r="BS163" s="584">
        <v>0</v>
      </c>
      <c r="BT163" s="584">
        <v>0</v>
      </c>
      <c r="BU163" s="584">
        <v>0</v>
      </c>
      <c r="BV163" s="584">
        <v>0</v>
      </c>
      <c r="BW163" s="584">
        <v>0</v>
      </c>
      <c r="BX163" s="584">
        <v>0</v>
      </c>
      <c r="BY163" s="584">
        <v>0</v>
      </c>
      <c r="BZ163" s="584">
        <v>0</v>
      </c>
      <c r="CA163" s="584">
        <v>0</v>
      </c>
      <c r="CB163" s="584">
        <v>0</v>
      </c>
      <c r="CC163" s="584">
        <v>0</v>
      </c>
      <c r="CD163" s="584">
        <v>0</v>
      </c>
      <c r="CE163" s="584">
        <v>0</v>
      </c>
      <c r="CF163" s="584">
        <v>0</v>
      </c>
      <c r="CG163" s="584">
        <v>0</v>
      </c>
      <c r="CH163" s="584">
        <v>0</v>
      </c>
      <c r="CI163" s="584">
        <v>0</v>
      </c>
      <c r="CJ163" s="584">
        <v>0</v>
      </c>
      <c r="CK163" s="584">
        <v>0</v>
      </c>
      <c r="CL163" s="584">
        <v>0</v>
      </c>
      <c r="CM163" s="584">
        <v>0</v>
      </c>
      <c r="CN163" s="584">
        <v>0</v>
      </c>
      <c r="CO163" s="584">
        <v>0</v>
      </c>
      <c r="CP163" s="584">
        <v>0</v>
      </c>
      <c r="CQ163" s="584">
        <v>0</v>
      </c>
      <c r="CR163" s="584">
        <v>0</v>
      </c>
      <c r="CS163" s="584">
        <v>0</v>
      </c>
      <c r="CT163" s="584">
        <v>0</v>
      </c>
      <c r="CU163" s="584">
        <v>0</v>
      </c>
      <c r="CV163" s="584">
        <v>0</v>
      </c>
      <c r="CW163" s="584">
        <v>0</v>
      </c>
      <c r="CX163" s="584">
        <v>0</v>
      </c>
      <c r="CY163" s="584">
        <v>0</v>
      </c>
      <c r="CZ163" s="584">
        <v>0</v>
      </c>
      <c r="DA163" s="584">
        <v>0</v>
      </c>
      <c r="DB163" s="584">
        <v>0</v>
      </c>
      <c r="DC163" s="584">
        <v>0</v>
      </c>
      <c r="DD163" s="584">
        <v>0</v>
      </c>
      <c r="DE163" s="584">
        <v>0</v>
      </c>
      <c r="DF163" s="584">
        <v>0</v>
      </c>
      <c r="DG163" s="584">
        <v>0</v>
      </c>
      <c r="DH163" s="584">
        <v>0</v>
      </c>
      <c r="DI163" s="584">
        <v>0</v>
      </c>
      <c r="DJ163" s="584">
        <v>0</v>
      </c>
      <c r="DK163" s="584">
        <v>0</v>
      </c>
      <c r="DL163" s="584">
        <v>0</v>
      </c>
      <c r="DM163" s="584">
        <v>0</v>
      </c>
      <c r="DN163" s="584">
        <v>0</v>
      </c>
      <c r="DO163" s="584">
        <v>0</v>
      </c>
      <c r="DP163" s="584">
        <v>0</v>
      </c>
      <c r="DQ163" s="584">
        <v>0</v>
      </c>
      <c r="DR163" s="584">
        <v>0</v>
      </c>
      <c r="DS163" s="584">
        <v>0</v>
      </c>
      <c r="DT163" s="584">
        <v>0</v>
      </c>
      <c r="DU163" s="584">
        <v>0</v>
      </c>
      <c r="DV163" s="584">
        <v>0</v>
      </c>
      <c r="DW163" s="584">
        <v>0</v>
      </c>
      <c r="DX163" s="584">
        <v>0</v>
      </c>
      <c r="DY163" s="584">
        <v>0</v>
      </c>
      <c r="DZ163" s="584">
        <v>0</v>
      </c>
      <c r="EA163" s="1062">
        <v>0</v>
      </c>
      <c r="EB163" s="1046">
        <v>0</v>
      </c>
      <c r="EC163" s="1093">
        <v>0</v>
      </c>
      <c r="ED163" s="1046">
        <v>0</v>
      </c>
      <c r="EE163" s="1046">
        <v>0</v>
      </c>
      <c r="EF163" s="1046">
        <v>0</v>
      </c>
      <c r="EG163" s="1046">
        <v>0</v>
      </c>
      <c r="EH163" s="1046">
        <v>0</v>
      </c>
      <c r="EI163" s="1046">
        <v>0</v>
      </c>
      <c r="EJ163" s="1046">
        <v>0</v>
      </c>
      <c r="EK163" s="1046">
        <v>0</v>
      </c>
      <c r="EL163" s="1046">
        <v>0</v>
      </c>
      <c r="EM163" s="1046">
        <v>0</v>
      </c>
      <c r="EN163" s="1046">
        <v>0</v>
      </c>
      <c r="EO163" s="1046">
        <v>0</v>
      </c>
      <c r="EP163" s="1094">
        <v>0</v>
      </c>
      <c r="EQ163" s="1094">
        <v>0</v>
      </c>
      <c r="ER163" s="1094">
        <v>0</v>
      </c>
      <c r="ES163" s="1095">
        <v>0</v>
      </c>
      <c r="ET163" s="1094">
        <v>0</v>
      </c>
      <c r="EU163" s="1094">
        <v>0</v>
      </c>
      <c r="EV163" s="1096">
        <v>0.99070000000000003</v>
      </c>
      <c r="EW163" s="1097">
        <v>0.15</v>
      </c>
      <c r="EX163" s="1096">
        <v>289.50050968399592</v>
      </c>
      <c r="EY163" s="1096">
        <v>1.5443934760448521</v>
      </c>
      <c r="EZ163" s="1096">
        <v>0</v>
      </c>
      <c r="FA163" s="1096">
        <v>46.257954545454545</v>
      </c>
      <c r="FB163" s="1098">
        <v>0</v>
      </c>
      <c r="FC163" s="1098">
        <v>0</v>
      </c>
      <c r="FD163" s="1098" t="s">
        <v>379</v>
      </c>
      <c r="FE163" s="1098" t="s">
        <v>396</v>
      </c>
      <c r="FF163" s="1098">
        <v>3</v>
      </c>
      <c r="FG163" s="1098">
        <v>0</v>
      </c>
      <c r="FH163" s="1098">
        <v>0</v>
      </c>
      <c r="FI163" s="1098">
        <v>0</v>
      </c>
      <c r="FJ163" s="1098">
        <v>0</v>
      </c>
      <c r="FK163" s="1096">
        <v>172.43340550000002</v>
      </c>
      <c r="FL163" s="1096">
        <v>110</v>
      </c>
      <c r="FM163" s="1096">
        <v>344.86681100000004</v>
      </c>
      <c r="FN163" s="1096">
        <v>220</v>
      </c>
      <c r="FO163" s="1096">
        <v>689.73362200000008</v>
      </c>
      <c r="FP163" s="1099">
        <v>440</v>
      </c>
      <c r="FQ163" s="1064">
        <v>1.5084199999999999</v>
      </c>
      <c r="FR163" s="1065">
        <v>0.15</v>
      </c>
      <c r="FS163" s="1066">
        <v>289.50050968399586</v>
      </c>
      <c r="FT163" s="1066">
        <v>3.2017662436826937</v>
      </c>
      <c r="FU163" s="1065"/>
      <c r="FV163" s="1066">
        <v>79.788607671871645</v>
      </c>
      <c r="FW163" s="1065"/>
      <c r="FX163" s="1065"/>
      <c r="FY163" s="1065" t="s">
        <v>1103</v>
      </c>
      <c r="FZ163" s="1065" t="s">
        <v>396</v>
      </c>
      <c r="GA163" s="1065">
        <v>3</v>
      </c>
      <c r="GB163" s="1065"/>
      <c r="GC163" s="1065"/>
      <c r="GD163" s="1065"/>
      <c r="GE163" s="1065"/>
      <c r="GF163" s="1066">
        <v>182.78196499690989</v>
      </c>
      <c r="GG163" s="1066">
        <v>110</v>
      </c>
      <c r="GH163" s="1066">
        <v>365.56392999381978</v>
      </c>
      <c r="GI163" s="1066">
        <v>220</v>
      </c>
      <c r="GJ163" s="1066">
        <v>731.12785998763957</v>
      </c>
      <c r="GK163" s="1066">
        <v>440</v>
      </c>
      <c r="GL163" s="584">
        <v>1.1003000000000001</v>
      </c>
      <c r="GM163" s="584">
        <v>0.13</v>
      </c>
      <c r="GN163" s="584"/>
      <c r="GO163" s="584"/>
      <c r="GP163" s="584"/>
      <c r="GQ163" s="584">
        <v>73.101704545454496</v>
      </c>
      <c r="GR163" s="584"/>
      <c r="GS163" s="584">
        <v>66.2589194699286</v>
      </c>
      <c r="GT163" s="584" t="s">
        <v>375</v>
      </c>
      <c r="GU163" s="584" t="s">
        <v>351</v>
      </c>
      <c r="GV163" s="584">
        <v>2</v>
      </c>
      <c r="GW163" s="584"/>
      <c r="GX163" s="584"/>
      <c r="GY163" s="584"/>
      <c r="GZ163" s="584"/>
      <c r="HA163" s="584">
        <v>82.153619750000004</v>
      </c>
      <c r="HB163" s="584">
        <v>110</v>
      </c>
      <c r="HC163" s="584">
        <v>164.30723950000001</v>
      </c>
      <c r="HD163" s="584">
        <v>220</v>
      </c>
      <c r="HE163" s="584">
        <v>328.61447900000002</v>
      </c>
      <c r="HF163" s="584">
        <v>440</v>
      </c>
      <c r="HG163" s="1100">
        <v>1.79</v>
      </c>
      <c r="HH163" s="1100">
        <v>0.11</v>
      </c>
      <c r="HI163" s="1101">
        <v>0</v>
      </c>
      <c r="HJ163" s="1101">
        <v>0</v>
      </c>
      <c r="HK163" s="1101">
        <v>0</v>
      </c>
      <c r="HL163" s="1101">
        <v>0</v>
      </c>
      <c r="HM163" s="1101">
        <v>76.487727272727284</v>
      </c>
      <c r="HN163" s="1101">
        <v>54.999999999999993</v>
      </c>
      <c r="HO163" s="1101">
        <v>0</v>
      </c>
      <c r="HP163" s="1101">
        <v>0</v>
      </c>
      <c r="HQ163" s="1101">
        <v>3</v>
      </c>
      <c r="HR163" s="1101">
        <v>1.68</v>
      </c>
      <c r="HS163" s="1101">
        <v>1.36</v>
      </c>
      <c r="HT163" s="1101">
        <v>0.3</v>
      </c>
      <c r="HU163" s="1101">
        <v>0.28000000000000003</v>
      </c>
      <c r="HV163" s="1101">
        <v>78.755362600000012</v>
      </c>
      <c r="HW163" s="1101">
        <v>110</v>
      </c>
      <c r="HX163" s="1101">
        <v>157.51072520000002</v>
      </c>
      <c r="HY163" s="1101">
        <v>220</v>
      </c>
      <c r="HZ163" s="1101">
        <v>315.02145040000005</v>
      </c>
      <c r="IA163" s="1101">
        <v>440</v>
      </c>
      <c r="IB163" s="1062"/>
      <c r="IC163" s="1092"/>
      <c r="ID163" s="1050"/>
      <c r="IE163" s="1050"/>
      <c r="IF163" s="1103"/>
      <c r="IG163" s="1103"/>
      <c r="IH163" s="1103"/>
      <c r="II163" s="1103"/>
      <c r="IJ163" s="1103"/>
      <c r="IK163" s="1103"/>
      <c r="IL163" s="1103"/>
      <c r="IM163" s="1050"/>
      <c r="IN163" s="1050"/>
      <c r="IO163" s="1050"/>
      <c r="IP163" s="1050"/>
      <c r="IQ163" s="1103"/>
      <c r="IR163" s="1103"/>
      <c r="IS163" s="1103"/>
      <c r="IT163" s="1103"/>
      <c r="IU163" s="1103"/>
      <c r="IV163" s="1103"/>
      <c r="JS163" s="1092"/>
      <c r="JU163" s="1050"/>
      <c r="JV163" s="1103"/>
      <c r="JW163" s="1103"/>
      <c r="JX163" s="1103"/>
      <c r="JY163" s="1103"/>
      <c r="JZ163" s="1103"/>
      <c r="KA163" s="1103"/>
      <c r="KB163" s="1103"/>
      <c r="KC163" s="1050"/>
      <c r="KD163" s="1050"/>
      <c r="KE163" s="1050"/>
      <c r="KF163" s="1050"/>
      <c r="KG163" s="1103"/>
      <c r="KH163" s="1103"/>
      <c r="KI163" s="1103"/>
      <c r="KJ163" s="1103"/>
      <c r="KK163" s="1103"/>
      <c r="KL163" s="1103"/>
      <c r="KM163" s="1103"/>
      <c r="KN163" s="1103"/>
    </row>
    <row r="164" spans="2:300">
      <c r="B164" s="1048" t="str">
        <f t="shared" si="4"/>
        <v>R1212</v>
      </c>
      <c r="C164" s="1046">
        <v>12</v>
      </c>
      <c r="D164" s="1092">
        <v>12</v>
      </c>
      <c r="E164" s="584">
        <v>0.45</v>
      </c>
      <c r="F164" s="584">
        <v>0.45</v>
      </c>
      <c r="G164" s="584">
        <v>1080</v>
      </c>
      <c r="H164" s="584">
        <v>36</v>
      </c>
      <c r="I164" s="584">
        <v>0</v>
      </c>
      <c r="J164" s="584">
        <v>0</v>
      </c>
      <c r="K164" s="584">
        <v>0</v>
      </c>
      <c r="L164" s="584">
        <v>0</v>
      </c>
      <c r="M164" s="584">
        <v>0</v>
      </c>
      <c r="N164" s="584">
        <v>0</v>
      </c>
      <c r="O164" s="584">
        <v>0</v>
      </c>
      <c r="P164" s="584">
        <v>0</v>
      </c>
      <c r="Q164" s="584">
        <v>0</v>
      </c>
      <c r="R164" s="584">
        <v>0</v>
      </c>
      <c r="S164" s="584">
        <v>0</v>
      </c>
      <c r="T164" s="584">
        <v>584.0474375</v>
      </c>
      <c r="U164" s="584">
        <v>90</v>
      </c>
      <c r="V164" s="584">
        <v>1059.0249375000001</v>
      </c>
      <c r="W164" s="584">
        <v>189</v>
      </c>
      <c r="X164" s="584">
        <v>1871.7519374999999</v>
      </c>
      <c r="Y164" s="584">
        <v>396</v>
      </c>
      <c r="Z164" s="584">
        <v>0.34</v>
      </c>
      <c r="AA164" s="584">
        <v>0.34</v>
      </c>
      <c r="AB164" s="584">
        <v>816</v>
      </c>
      <c r="AC164" s="584">
        <v>28</v>
      </c>
      <c r="AD164" s="584">
        <v>0</v>
      </c>
      <c r="AE164" s="584">
        <v>0</v>
      </c>
      <c r="AF164" s="584">
        <v>0</v>
      </c>
      <c r="AG164" s="584">
        <v>0</v>
      </c>
      <c r="AH164" s="584">
        <v>0</v>
      </c>
      <c r="AI164" s="584">
        <v>0</v>
      </c>
      <c r="AJ164" s="584">
        <v>0</v>
      </c>
      <c r="AK164" s="584">
        <v>0</v>
      </c>
      <c r="AL164" s="584">
        <v>0</v>
      </c>
      <c r="AM164" s="584">
        <v>0</v>
      </c>
      <c r="AN164" s="584">
        <v>0</v>
      </c>
      <c r="AO164" s="584">
        <v>478.33743750000002</v>
      </c>
      <c r="AP164" s="584">
        <v>90</v>
      </c>
      <c r="AQ164" s="584">
        <v>842.88374999999996</v>
      </c>
      <c r="AR164" s="584">
        <v>189</v>
      </c>
      <c r="AS164" s="584">
        <v>1434.5909999999999</v>
      </c>
      <c r="AT164" s="584">
        <v>396</v>
      </c>
      <c r="AU164" s="584">
        <v>0.95</v>
      </c>
      <c r="AV164" s="584">
        <v>0.56999999999999995</v>
      </c>
      <c r="AW164" s="584">
        <v>843.27718248964095</v>
      </c>
      <c r="AX164" s="584">
        <v>40.3364159610881</v>
      </c>
      <c r="AY164" s="584">
        <v>0</v>
      </c>
      <c r="AZ164" s="584">
        <v>0</v>
      </c>
      <c r="BA164" s="584">
        <v>0</v>
      </c>
      <c r="BB164" s="584">
        <v>0</v>
      </c>
      <c r="BC164" s="584">
        <v>0</v>
      </c>
      <c r="BD164" s="584">
        <v>0</v>
      </c>
      <c r="BE164" s="584">
        <v>0</v>
      </c>
      <c r="BF164" s="584">
        <v>0</v>
      </c>
      <c r="BG164" s="584">
        <v>0.95</v>
      </c>
      <c r="BH164" s="584">
        <v>0</v>
      </c>
      <c r="BI164" s="584">
        <v>0.6</v>
      </c>
      <c r="BJ164" s="584">
        <v>502.14807957124901</v>
      </c>
      <c r="BK164" s="584">
        <v>90</v>
      </c>
      <c r="BL164" s="584">
        <v>847.96018751576298</v>
      </c>
      <c r="BM164" s="584">
        <v>189</v>
      </c>
      <c r="BN164" s="584">
        <v>1432.01754703657</v>
      </c>
      <c r="BO164" s="584">
        <v>396</v>
      </c>
      <c r="BP164" s="584">
        <v>0.85</v>
      </c>
      <c r="BQ164" s="584">
        <v>0.28499999999999998</v>
      </c>
      <c r="BR164" s="584">
        <v>815.37511259232599</v>
      </c>
      <c r="BS164" s="584">
        <v>36.844011439380303</v>
      </c>
      <c r="BT164" s="584">
        <v>0</v>
      </c>
      <c r="BU164" s="584">
        <v>0</v>
      </c>
      <c r="BV164" s="584">
        <v>0</v>
      </c>
      <c r="BW164" s="584">
        <v>0</v>
      </c>
      <c r="BX164" s="584">
        <v>0</v>
      </c>
      <c r="BY164" s="584">
        <v>0</v>
      </c>
      <c r="BZ164" s="584">
        <v>0</v>
      </c>
      <c r="CA164" s="584">
        <v>0.85</v>
      </c>
      <c r="CB164" s="584">
        <v>0.85</v>
      </c>
      <c r="CC164" s="584">
        <v>0.45</v>
      </c>
      <c r="CD164" s="584">
        <v>0.45</v>
      </c>
      <c r="CE164" s="584">
        <v>497.56805000000003</v>
      </c>
      <c r="CF164" s="584">
        <v>90</v>
      </c>
      <c r="CG164" s="584">
        <v>843.07539374999999</v>
      </c>
      <c r="CH164" s="584">
        <v>189</v>
      </c>
      <c r="CI164" s="584">
        <v>1365.1077375</v>
      </c>
      <c r="CJ164" s="584">
        <v>396</v>
      </c>
      <c r="CK164" s="584">
        <v>0</v>
      </c>
      <c r="CL164" s="584">
        <v>0</v>
      </c>
      <c r="CM164" s="584">
        <v>0</v>
      </c>
      <c r="CN164" s="584">
        <v>0</v>
      </c>
      <c r="CO164" s="584">
        <v>0</v>
      </c>
      <c r="CP164" s="584">
        <v>0</v>
      </c>
      <c r="CQ164" s="584">
        <v>0</v>
      </c>
      <c r="CR164" s="584">
        <v>0</v>
      </c>
      <c r="CS164" s="584">
        <v>0</v>
      </c>
      <c r="CT164" s="584">
        <v>0</v>
      </c>
      <c r="CU164" s="584">
        <v>0</v>
      </c>
      <c r="CV164" s="584">
        <v>0</v>
      </c>
      <c r="CW164" s="584">
        <v>0</v>
      </c>
      <c r="CX164" s="584">
        <v>0</v>
      </c>
      <c r="CY164" s="584">
        <v>0</v>
      </c>
      <c r="CZ164" s="584">
        <v>0</v>
      </c>
      <c r="DA164" s="584">
        <v>0</v>
      </c>
      <c r="DB164" s="584">
        <v>0</v>
      </c>
      <c r="DC164" s="584">
        <v>0</v>
      </c>
      <c r="DD164" s="584">
        <v>0</v>
      </c>
      <c r="DE164" s="584">
        <v>0</v>
      </c>
      <c r="DF164" s="584">
        <v>0.625</v>
      </c>
      <c r="DG164" s="584">
        <v>0.3</v>
      </c>
      <c r="DH164" s="584">
        <v>359.52457890470203</v>
      </c>
      <c r="DI164" s="584">
        <v>16.810123761484402</v>
      </c>
      <c r="DJ164" s="584">
        <v>390</v>
      </c>
      <c r="DK164" s="584">
        <v>0</v>
      </c>
      <c r="DL164" s="584">
        <v>0</v>
      </c>
      <c r="DM164" s="584">
        <v>0</v>
      </c>
      <c r="DN164" s="584">
        <v>0</v>
      </c>
      <c r="DO164" s="584">
        <v>0</v>
      </c>
      <c r="DP164" s="584">
        <v>0</v>
      </c>
      <c r="DQ164" s="584">
        <v>0</v>
      </c>
      <c r="DR164" s="584">
        <v>0.625</v>
      </c>
      <c r="DS164" s="584">
        <v>0</v>
      </c>
      <c r="DT164" s="584">
        <v>2.4</v>
      </c>
      <c r="DU164" s="584">
        <v>433.65600000000001</v>
      </c>
      <c r="DV164" s="584">
        <v>90</v>
      </c>
      <c r="DW164" s="584">
        <v>853.57725000000005</v>
      </c>
      <c r="DX164" s="584">
        <v>189</v>
      </c>
      <c r="DY164" s="584">
        <v>1305.6412499999999</v>
      </c>
      <c r="DZ164" s="584">
        <v>396</v>
      </c>
      <c r="EA164" s="1062">
        <v>1.3009999999999999</v>
      </c>
      <c r="EB164" s="1046">
        <v>0.35</v>
      </c>
      <c r="EC164" s="1093">
        <v>132.51783893985731</v>
      </c>
      <c r="ED164" s="1046">
        <v>0</v>
      </c>
      <c r="EE164" s="1046">
        <v>458.71559633027522</v>
      </c>
      <c r="EF164" s="1046">
        <v>42.858333333333334</v>
      </c>
      <c r="EG164" s="1046">
        <v>0</v>
      </c>
      <c r="EH164" s="1046">
        <v>0</v>
      </c>
      <c r="EI164" s="1046" t="s">
        <v>362</v>
      </c>
      <c r="EJ164" s="1046" t="s">
        <v>442</v>
      </c>
      <c r="EK164" s="1046">
        <v>0</v>
      </c>
      <c r="EL164" s="1046">
        <v>0</v>
      </c>
      <c r="EM164" s="1046">
        <v>0</v>
      </c>
      <c r="EN164" s="1046">
        <v>0</v>
      </c>
      <c r="EO164" s="1046">
        <v>0</v>
      </c>
      <c r="EP164" s="1094">
        <v>241.93584900000005</v>
      </c>
      <c r="EQ164" s="1094">
        <v>90</v>
      </c>
      <c r="ER164" s="1094">
        <v>483.87169800000009</v>
      </c>
      <c r="ES164" s="1095">
        <v>180</v>
      </c>
      <c r="ET164" s="1094">
        <v>967.74339600000019</v>
      </c>
      <c r="EU164" s="1094">
        <v>360</v>
      </c>
      <c r="EV164" s="1096">
        <v>0.91979999999999995</v>
      </c>
      <c r="EW164" s="1097">
        <v>0.15</v>
      </c>
      <c r="EX164" s="1096">
        <v>289.50050968399592</v>
      </c>
      <c r="EY164" s="1096">
        <v>1.5443934760448521</v>
      </c>
      <c r="EZ164" s="1096">
        <v>0</v>
      </c>
      <c r="FA164" s="1096">
        <v>39.424999999999997</v>
      </c>
      <c r="FB164" s="1098">
        <v>0</v>
      </c>
      <c r="FC164" s="1098">
        <v>0</v>
      </c>
      <c r="FD164" s="1098" t="s">
        <v>383</v>
      </c>
      <c r="FE164" s="1098" t="s">
        <v>430</v>
      </c>
      <c r="FF164" s="1098">
        <v>3</v>
      </c>
      <c r="FG164" s="1098">
        <v>0</v>
      </c>
      <c r="FH164" s="1098">
        <v>0</v>
      </c>
      <c r="FI164" s="1098">
        <v>0</v>
      </c>
      <c r="FJ164" s="1098">
        <v>0</v>
      </c>
      <c r="FK164" s="1096">
        <v>138.66875100000001</v>
      </c>
      <c r="FL164" s="1096">
        <v>90</v>
      </c>
      <c r="FM164" s="1096">
        <v>277.33750200000003</v>
      </c>
      <c r="FN164" s="1096">
        <v>180</v>
      </c>
      <c r="FO164" s="1096">
        <v>554.67500400000006</v>
      </c>
      <c r="FP164" s="1099">
        <v>360</v>
      </c>
      <c r="FQ164" s="1064">
        <v>1.4141999999999999</v>
      </c>
      <c r="FR164" s="1065">
        <v>0.15</v>
      </c>
      <c r="FS164" s="1066">
        <v>289.50050968399586</v>
      </c>
      <c r="FT164" s="1066">
        <v>3.2237153637237084</v>
      </c>
      <c r="FU164" s="1065"/>
      <c r="FV164" s="1066">
        <v>57.777098380672342</v>
      </c>
      <c r="FW164" s="1065"/>
      <c r="FX164" s="1065"/>
      <c r="FY164" s="1065" t="s">
        <v>375</v>
      </c>
      <c r="FZ164" s="1065" t="s">
        <v>438</v>
      </c>
      <c r="GA164" s="1065">
        <v>3</v>
      </c>
      <c r="GB164" s="1065"/>
      <c r="GC164" s="1065"/>
      <c r="GD164" s="1065"/>
      <c r="GE164" s="1065"/>
      <c r="GF164" s="1066">
        <v>141.7830473819709</v>
      </c>
      <c r="GG164" s="1066">
        <v>90</v>
      </c>
      <c r="GH164" s="1066">
        <v>283.56609476394181</v>
      </c>
      <c r="GI164" s="1066">
        <v>180</v>
      </c>
      <c r="GJ164" s="1066">
        <v>567.13218952788361</v>
      </c>
      <c r="GK164" s="1066">
        <v>360</v>
      </c>
      <c r="GL164" s="584">
        <v>1.0329999999999999</v>
      </c>
      <c r="GM164" s="584">
        <v>0.13</v>
      </c>
      <c r="GN164" s="584"/>
      <c r="GO164" s="584"/>
      <c r="GP164" s="584"/>
      <c r="GQ164" s="584">
        <v>50.216666666666697</v>
      </c>
      <c r="GR164" s="584"/>
      <c r="GS164" s="584">
        <v>66.2589194699286</v>
      </c>
      <c r="GT164" s="584" t="s">
        <v>375</v>
      </c>
      <c r="GU164" s="584" t="s">
        <v>389</v>
      </c>
      <c r="GV164" s="584">
        <v>2</v>
      </c>
      <c r="GW164" s="584"/>
      <c r="GX164" s="584"/>
      <c r="GY164" s="584"/>
      <c r="GZ164" s="584"/>
      <c r="HA164" s="584">
        <v>59.134518</v>
      </c>
      <c r="HB164" s="584">
        <v>90</v>
      </c>
      <c r="HC164" s="584">
        <v>118.269036</v>
      </c>
      <c r="HD164" s="584">
        <v>180</v>
      </c>
      <c r="HE164" s="584">
        <v>236.538072</v>
      </c>
      <c r="HF164" s="584">
        <v>360</v>
      </c>
      <c r="HG164" s="1100">
        <v>1.75</v>
      </c>
      <c r="HH164" s="1100">
        <v>0.11</v>
      </c>
      <c r="HI164" s="1101">
        <v>0</v>
      </c>
      <c r="HJ164" s="1101">
        <v>0</v>
      </c>
      <c r="HK164" s="1101">
        <v>0</v>
      </c>
      <c r="HL164" s="1101">
        <v>0</v>
      </c>
      <c r="HM164" s="1101">
        <v>59.850000000000009</v>
      </c>
      <c r="HN164" s="1101">
        <v>54.999999999999993</v>
      </c>
      <c r="HO164" s="1101">
        <v>0</v>
      </c>
      <c r="HP164" s="1101">
        <v>0</v>
      </c>
      <c r="HQ164" s="1101">
        <v>3</v>
      </c>
      <c r="HR164" s="1101">
        <v>1.64</v>
      </c>
      <c r="HS164" s="1101">
        <v>0.92</v>
      </c>
      <c r="HT164" s="1101">
        <v>0.3</v>
      </c>
      <c r="HU164" s="1101">
        <v>0.3</v>
      </c>
      <c r="HV164" s="1101">
        <v>58.560426</v>
      </c>
      <c r="HW164" s="1101">
        <v>90</v>
      </c>
      <c r="HX164" s="1101">
        <v>117.120852</v>
      </c>
      <c r="HY164" s="1101">
        <v>180</v>
      </c>
      <c r="HZ164" s="1101">
        <v>234.241704</v>
      </c>
      <c r="IA164" s="1101">
        <v>360</v>
      </c>
      <c r="IB164" s="1062"/>
      <c r="IC164" s="1092"/>
      <c r="ID164" s="1050"/>
      <c r="IE164" s="1050"/>
      <c r="IF164" s="1103"/>
      <c r="IG164" s="1103"/>
      <c r="IH164" s="1103"/>
      <c r="II164" s="1103"/>
      <c r="IJ164" s="1103"/>
      <c r="IK164" s="1103"/>
      <c r="IL164" s="1103"/>
      <c r="IM164" s="1050"/>
      <c r="IN164" s="1050"/>
      <c r="IO164" s="1050"/>
      <c r="IP164" s="1050"/>
      <c r="IQ164" s="1103"/>
      <c r="IR164" s="1103"/>
      <c r="IS164" s="1103"/>
      <c r="IT164" s="1103"/>
      <c r="IU164" s="1103"/>
      <c r="IV164" s="1103"/>
      <c r="JS164" s="1092"/>
      <c r="JU164" s="1050"/>
      <c r="JV164" s="1103"/>
      <c r="JW164" s="1103"/>
      <c r="JX164" s="1103"/>
      <c r="JY164" s="1103"/>
      <c r="JZ164" s="1103"/>
      <c r="KA164" s="1103"/>
      <c r="KB164" s="1103"/>
      <c r="KC164" s="1050"/>
      <c r="KD164" s="1050"/>
      <c r="KE164" s="1050"/>
      <c r="KF164" s="1050"/>
      <c r="KG164" s="1103"/>
      <c r="KH164" s="1103"/>
      <c r="KI164" s="1103"/>
      <c r="KJ164" s="1103"/>
      <c r="KK164" s="1103"/>
      <c r="KL164" s="1103"/>
      <c r="KM164" s="1103"/>
      <c r="KN164" s="1103"/>
    </row>
    <row r="165" spans="2:300">
      <c r="B165" s="1048" t="str">
        <f t="shared" si="4"/>
        <v>R1213</v>
      </c>
      <c r="C165" s="1046">
        <v>12</v>
      </c>
      <c r="D165" s="1092">
        <v>13</v>
      </c>
      <c r="E165" s="584">
        <v>0.45</v>
      </c>
      <c r="F165" s="584">
        <v>0.45</v>
      </c>
      <c r="G165" s="584">
        <v>1080</v>
      </c>
      <c r="H165" s="584">
        <v>33.75</v>
      </c>
      <c r="I165" s="584">
        <v>0</v>
      </c>
      <c r="J165" s="584">
        <v>0</v>
      </c>
      <c r="K165" s="584">
        <v>0</v>
      </c>
      <c r="L165" s="584">
        <v>0</v>
      </c>
      <c r="M165" s="584">
        <v>0</v>
      </c>
      <c r="N165" s="584">
        <v>0</v>
      </c>
      <c r="O165" s="584">
        <v>0</v>
      </c>
      <c r="P165" s="584">
        <v>0</v>
      </c>
      <c r="Q165" s="584">
        <v>0</v>
      </c>
      <c r="R165" s="584">
        <v>0</v>
      </c>
      <c r="S165" s="584">
        <v>0</v>
      </c>
      <c r="T165" s="584">
        <v>625.77243750000002</v>
      </c>
      <c r="U165" s="584">
        <v>97.5</v>
      </c>
      <c r="V165" s="584">
        <v>1148.0835</v>
      </c>
      <c r="W165" s="584">
        <v>204.75</v>
      </c>
      <c r="X165" s="584">
        <v>2028.53775</v>
      </c>
      <c r="Y165" s="584">
        <v>429</v>
      </c>
      <c r="Z165" s="584">
        <v>0.39</v>
      </c>
      <c r="AA165" s="584">
        <v>0.39</v>
      </c>
      <c r="AB165" s="584">
        <v>936</v>
      </c>
      <c r="AC165" s="584">
        <v>32</v>
      </c>
      <c r="AD165" s="584">
        <v>0</v>
      </c>
      <c r="AE165" s="584">
        <v>0</v>
      </c>
      <c r="AF165" s="584">
        <v>0</v>
      </c>
      <c r="AG165" s="584">
        <v>0</v>
      </c>
      <c r="AH165" s="584">
        <v>0</v>
      </c>
      <c r="AI165" s="584">
        <v>0</v>
      </c>
      <c r="AJ165" s="584">
        <v>0</v>
      </c>
      <c r="AK165" s="584">
        <v>0</v>
      </c>
      <c r="AL165" s="584">
        <v>0</v>
      </c>
      <c r="AM165" s="584">
        <v>0</v>
      </c>
      <c r="AN165" s="584">
        <v>0</v>
      </c>
      <c r="AO165" s="584">
        <v>563.46243749999996</v>
      </c>
      <c r="AP165" s="584">
        <v>97.5</v>
      </c>
      <c r="AQ165" s="584">
        <v>1019.7024375</v>
      </c>
      <c r="AR165" s="584">
        <v>204.75</v>
      </c>
      <c r="AS165" s="584">
        <v>1769.4519375</v>
      </c>
      <c r="AT165" s="584">
        <v>429</v>
      </c>
      <c r="AU165" s="584">
        <v>0</v>
      </c>
      <c r="AV165" s="584">
        <v>0</v>
      </c>
      <c r="AW165" s="584">
        <v>0</v>
      </c>
      <c r="AX165" s="584">
        <v>0</v>
      </c>
      <c r="AY165" s="584">
        <v>0</v>
      </c>
      <c r="AZ165" s="584">
        <v>0</v>
      </c>
      <c r="BA165" s="584">
        <v>0</v>
      </c>
      <c r="BB165" s="584">
        <v>0</v>
      </c>
      <c r="BC165" s="584">
        <v>0</v>
      </c>
      <c r="BD165" s="584">
        <v>0</v>
      </c>
      <c r="BE165" s="584">
        <v>0</v>
      </c>
      <c r="BF165" s="584">
        <v>0</v>
      </c>
      <c r="BG165" s="584">
        <v>0</v>
      </c>
      <c r="BH165" s="584">
        <v>0</v>
      </c>
      <c r="BI165" s="584">
        <v>0</v>
      </c>
      <c r="BJ165" s="584">
        <v>0</v>
      </c>
      <c r="BK165" s="584">
        <v>0</v>
      </c>
      <c r="BL165" s="584">
        <v>0</v>
      </c>
      <c r="BM165" s="584">
        <v>0</v>
      </c>
      <c r="BN165" s="584">
        <v>0</v>
      </c>
      <c r="BO165" s="584">
        <v>0</v>
      </c>
      <c r="BP165" s="584">
        <v>0</v>
      </c>
      <c r="BQ165" s="584">
        <v>0</v>
      </c>
      <c r="BR165" s="584">
        <v>0</v>
      </c>
      <c r="BS165" s="584">
        <v>0</v>
      </c>
      <c r="BT165" s="584">
        <v>0</v>
      </c>
      <c r="BU165" s="584">
        <v>0</v>
      </c>
      <c r="BV165" s="584">
        <v>0</v>
      </c>
      <c r="BW165" s="584">
        <v>0</v>
      </c>
      <c r="BX165" s="584">
        <v>0</v>
      </c>
      <c r="BY165" s="584">
        <v>0</v>
      </c>
      <c r="BZ165" s="584">
        <v>0</v>
      </c>
      <c r="CA165" s="584">
        <v>0</v>
      </c>
      <c r="CB165" s="584">
        <v>0</v>
      </c>
      <c r="CC165" s="584">
        <v>0</v>
      </c>
      <c r="CD165" s="584">
        <v>0</v>
      </c>
      <c r="CE165" s="584">
        <v>0</v>
      </c>
      <c r="CF165" s="584">
        <v>0</v>
      </c>
      <c r="CG165" s="584">
        <v>0</v>
      </c>
      <c r="CH165" s="584">
        <v>0</v>
      </c>
      <c r="CI165" s="584">
        <v>0</v>
      </c>
      <c r="CJ165" s="584">
        <v>0</v>
      </c>
      <c r="CK165" s="584">
        <v>0</v>
      </c>
      <c r="CL165" s="584">
        <v>0</v>
      </c>
      <c r="CM165" s="584">
        <v>0</v>
      </c>
      <c r="CN165" s="584">
        <v>0</v>
      </c>
      <c r="CO165" s="584">
        <v>0</v>
      </c>
      <c r="CP165" s="584">
        <v>0</v>
      </c>
      <c r="CQ165" s="584">
        <v>0</v>
      </c>
      <c r="CR165" s="584">
        <v>0</v>
      </c>
      <c r="CS165" s="584">
        <v>0</v>
      </c>
      <c r="CT165" s="584">
        <v>0</v>
      </c>
      <c r="CU165" s="584">
        <v>0</v>
      </c>
      <c r="CV165" s="584">
        <v>0</v>
      </c>
      <c r="CW165" s="584">
        <v>0</v>
      </c>
      <c r="CX165" s="584">
        <v>0</v>
      </c>
      <c r="CY165" s="584">
        <v>0</v>
      </c>
      <c r="CZ165" s="584">
        <v>0</v>
      </c>
      <c r="DA165" s="584">
        <v>0</v>
      </c>
      <c r="DB165" s="584">
        <v>0</v>
      </c>
      <c r="DC165" s="584">
        <v>0</v>
      </c>
      <c r="DD165" s="584">
        <v>0</v>
      </c>
      <c r="DE165" s="584">
        <v>0</v>
      </c>
      <c r="DF165" s="584">
        <v>0.7</v>
      </c>
      <c r="DG165" s="584">
        <v>0.3</v>
      </c>
      <c r="DH165" s="584">
        <v>401.50568181818198</v>
      </c>
      <c r="DI165" s="584">
        <v>18.324734765234801</v>
      </c>
      <c r="DJ165" s="584">
        <v>390</v>
      </c>
      <c r="DK165" s="584">
        <v>0</v>
      </c>
      <c r="DL165" s="584">
        <v>0</v>
      </c>
      <c r="DM165" s="584">
        <v>0</v>
      </c>
      <c r="DN165" s="584">
        <v>0</v>
      </c>
      <c r="DO165" s="584">
        <v>0</v>
      </c>
      <c r="DP165" s="584">
        <v>0</v>
      </c>
      <c r="DQ165" s="584">
        <v>0</v>
      </c>
      <c r="DR165" s="584">
        <v>0.7</v>
      </c>
      <c r="DS165" s="584">
        <v>0</v>
      </c>
      <c r="DT165" s="584">
        <v>2.4</v>
      </c>
      <c r="DU165" s="584">
        <v>483.74450000000002</v>
      </c>
      <c r="DV165" s="584">
        <v>97.5</v>
      </c>
      <c r="DW165" s="584">
        <v>937.66575</v>
      </c>
      <c r="DX165" s="584">
        <v>204.75</v>
      </c>
      <c r="DY165" s="584">
        <v>1472.079</v>
      </c>
      <c r="DZ165" s="584">
        <v>429</v>
      </c>
      <c r="EA165" s="1062">
        <v>1.3109999999999999</v>
      </c>
      <c r="EB165" s="1046">
        <v>0.35</v>
      </c>
      <c r="EC165" s="1093">
        <v>132.51783893985731</v>
      </c>
      <c r="ED165" s="1046">
        <v>0</v>
      </c>
      <c r="EE165" s="1046">
        <v>458.71559633027522</v>
      </c>
      <c r="EF165" s="1046">
        <v>44.217307692307692</v>
      </c>
      <c r="EG165" s="1046">
        <v>0</v>
      </c>
      <c r="EH165" s="1046">
        <v>0</v>
      </c>
      <c r="EI165" s="1046" t="s">
        <v>361</v>
      </c>
      <c r="EJ165" s="1046" t="s">
        <v>425</v>
      </c>
      <c r="EK165" s="1046">
        <v>0</v>
      </c>
      <c r="EL165" s="1046">
        <v>0</v>
      </c>
      <c r="EM165" s="1046">
        <v>0</v>
      </c>
      <c r="EN165" s="1046">
        <v>0</v>
      </c>
      <c r="EO165" s="1046">
        <v>0</v>
      </c>
      <c r="EP165" s="1094">
        <v>262.61709975000002</v>
      </c>
      <c r="EQ165" s="1094">
        <v>97.5</v>
      </c>
      <c r="ER165" s="1094">
        <v>525.23419950000005</v>
      </c>
      <c r="ES165" s="1095">
        <v>195</v>
      </c>
      <c r="ET165" s="1094">
        <v>1050.4683990000001</v>
      </c>
      <c r="EU165" s="1094">
        <v>390</v>
      </c>
      <c r="EV165" s="1096">
        <v>0.99070000000000003</v>
      </c>
      <c r="EW165" s="1097">
        <v>0.15</v>
      </c>
      <c r="EX165" s="1096">
        <v>289.50050968399592</v>
      </c>
      <c r="EY165" s="1096">
        <v>1.5443934760448521</v>
      </c>
      <c r="EZ165" s="1096">
        <v>0</v>
      </c>
      <c r="FA165" s="1096">
        <v>37.932692307692307</v>
      </c>
      <c r="FB165" s="1098">
        <v>0</v>
      </c>
      <c r="FC165" s="1098">
        <v>0</v>
      </c>
      <c r="FD165" s="1098" t="s">
        <v>379</v>
      </c>
      <c r="FE165" s="1098" t="s">
        <v>430</v>
      </c>
      <c r="FF165" s="1098">
        <v>3</v>
      </c>
      <c r="FG165" s="1098">
        <v>0</v>
      </c>
      <c r="FH165" s="1098">
        <v>0</v>
      </c>
      <c r="FI165" s="1098">
        <v>0</v>
      </c>
      <c r="FJ165" s="1098">
        <v>0</v>
      </c>
      <c r="FK165" s="1096">
        <v>149.65353825</v>
      </c>
      <c r="FL165" s="1096">
        <v>97.5</v>
      </c>
      <c r="FM165" s="1096">
        <v>299.30707649999999</v>
      </c>
      <c r="FN165" s="1096">
        <v>195</v>
      </c>
      <c r="FO165" s="1096">
        <v>598.61415299999999</v>
      </c>
      <c r="FP165" s="1099">
        <v>390</v>
      </c>
      <c r="FQ165" s="1064">
        <v>1.4141999999999999</v>
      </c>
      <c r="FR165" s="1065">
        <v>0.15</v>
      </c>
      <c r="FS165" s="1066">
        <v>289.50050968399586</v>
      </c>
      <c r="FT165" s="1066">
        <v>3.2237153637237084</v>
      </c>
      <c r="FU165" s="1065"/>
      <c r="FV165" s="1066">
        <v>61.925611420652118</v>
      </c>
      <c r="FW165" s="1065"/>
      <c r="FX165" s="1065"/>
      <c r="FY165" s="1065" t="s">
        <v>375</v>
      </c>
      <c r="FZ165" s="1065" t="s">
        <v>416</v>
      </c>
      <c r="GA165" s="1065">
        <v>3</v>
      </c>
      <c r="GB165" s="1065"/>
      <c r="GC165" s="1065"/>
      <c r="GD165" s="1065"/>
      <c r="GE165" s="1065"/>
      <c r="GF165" s="1066">
        <v>155.18548093443434</v>
      </c>
      <c r="GG165" s="1066">
        <v>97.5</v>
      </c>
      <c r="GH165" s="1066">
        <v>310.37096186886868</v>
      </c>
      <c r="GI165" s="1066">
        <v>195</v>
      </c>
      <c r="GJ165" s="1066">
        <v>620.74192373773735</v>
      </c>
      <c r="GK165" s="1066">
        <v>390</v>
      </c>
      <c r="GL165" s="584">
        <v>1.0329999999999999</v>
      </c>
      <c r="GM165" s="584">
        <v>0.13</v>
      </c>
      <c r="GN165" s="584"/>
      <c r="GO165" s="584"/>
      <c r="GP165" s="584"/>
      <c r="GQ165" s="584">
        <v>58.7038461538462</v>
      </c>
      <c r="GR165" s="584"/>
      <c r="GS165" s="584">
        <v>66.2589194699286</v>
      </c>
      <c r="GT165" s="584" t="s">
        <v>375</v>
      </c>
      <c r="GU165" s="584" t="s">
        <v>385</v>
      </c>
      <c r="GV165" s="584">
        <v>2</v>
      </c>
      <c r="GW165" s="584"/>
      <c r="GX165" s="584"/>
      <c r="GY165" s="584"/>
      <c r="GZ165" s="584"/>
      <c r="HA165" s="584">
        <v>67.309504500000003</v>
      </c>
      <c r="HB165" s="584">
        <v>97.5</v>
      </c>
      <c r="HC165" s="584">
        <v>134.61900900000001</v>
      </c>
      <c r="HD165" s="584">
        <v>195</v>
      </c>
      <c r="HE165" s="584">
        <v>269.23801800000001</v>
      </c>
      <c r="HF165" s="584">
        <v>390</v>
      </c>
      <c r="HG165" s="1100">
        <v>1.79</v>
      </c>
      <c r="HH165" s="1100">
        <v>0.11</v>
      </c>
      <c r="HI165" s="1101">
        <v>0</v>
      </c>
      <c r="HJ165" s="1101">
        <v>0</v>
      </c>
      <c r="HK165" s="1101">
        <v>0</v>
      </c>
      <c r="HL165" s="1101">
        <v>0</v>
      </c>
      <c r="HM165" s="1101">
        <v>61.126153846153848</v>
      </c>
      <c r="HN165" s="1101">
        <v>54.999999999999993</v>
      </c>
      <c r="HO165" s="1101">
        <v>0</v>
      </c>
      <c r="HP165" s="1101">
        <v>0</v>
      </c>
      <c r="HQ165" s="1101">
        <v>3</v>
      </c>
      <c r="HR165" s="1101">
        <v>1.68</v>
      </c>
      <c r="HS165" s="1101">
        <v>1.04</v>
      </c>
      <c r="HT165" s="1101">
        <v>0.3</v>
      </c>
      <c r="HU165" s="1101">
        <v>0.28000000000000003</v>
      </c>
      <c r="HV165" s="1101">
        <v>63.928705199999996</v>
      </c>
      <c r="HW165" s="1101">
        <v>97.5</v>
      </c>
      <c r="HX165" s="1101">
        <v>127.85741039999999</v>
      </c>
      <c r="HY165" s="1101">
        <v>195</v>
      </c>
      <c r="HZ165" s="1101">
        <v>255.71482079999998</v>
      </c>
      <c r="IA165" s="1101">
        <v>390</v>
      </c>
      <c r="IB165" s="1062"/>
      <c r="IC165" s="1092"/>
      <c r="ID165" s="1050"/>
      <c r="IE165" s="1050"/>
      <c r="IF165" s="1103"/>
      <c r="IG165" s="1103"/>
      <c r="IH165" s="1103"/>
      <c r="II165" s="1103"/>
      <c r="IJ165" s="1103"/>
      <c r="IK165" s="1103"/>
      <c r="IL165" s="1103"/>
      <c r="IM165" s="1050"/>
      <c r="IN165" s="1050"/>
      <c r="IO165" s="1050"/>
      <c r="IP165" s="1050"/>
      <c r="IQ165" s="1103"/>
      <c r="IR165" s="1103"/>
      <c r="IS165" s="1103"/>
      <c r="IT165" s="1103"/>
      <c r="IU165" s="1103"/>
      <c r="IV165" s="1103"/>
      <c r="JS165" s="1092"/>
      <c r="JU165" s="1050"/>
      <c r="JV165" s="1103"/>
      <c r="JW165" s="1103"/>
      <c r="JX165" s="1103"/>
      <c r="JY165" s="1103"/>
      <c r="JZ165" s="1103"/>
      <c r="KA165" s="1103"/>
      <c r="KB165" s="1103"/>
      <c r="KC165" s="1050"/>
      <c r="KD165" s="1050"/>
      <c r="KE165" s="1050"/>
      <c r="KF165" s="1050"/>
      <c r="KG165" s="1103"/>
      <c r="KH165" s="1103"/>
      <c r="KI165" s="1103"/>
      <c r="KJ165" s="1103"/>
      <c r="KK165" s="1103"/>
      <c r="KL165" s="1103"/>
      <c r="KM165" s="1103"/>
      <c r="KN165" s="1103"/>
    </row>
    <row r="166" spans="2:300">
      <c r="B166" s="1048" t="str">
        <f t="shared" ref="B166:B168" si="5">"R"&amp;C166&amp;D166</f>
        <v>R1214</v>
      </c>
      <c r="C166" s="1046">
        <v>12</v>
      </c>
      <c r="D166" s="1092">
        <v>14</v>
      </c>
      <c r="E166" s="584">
        <v>0.45</v>
      </c>
      <c r="F166" s="584">
        <v>0.45</v>
      </c>
      <c r="G166" s="584">
        <v>1080</v>
      </c>
      <c r="H166" s="584">
        <v>31.5</v>
      </c>
      <c r="I166" s="584">
        <v>0</v>
      </c>
      <c r="J166" s="584">
        <v>0</v>
      </c>
      <c r="K166" s="584">
        <v>0</v>
      </c>
      <c r="L166" s="584">
        <v>0</v>
      </c>
      <c r="M166" s="584">
        <v>0</v>
      </c>
      <c r="N166" s="584">
        <v>0</v>
      </c>
      <c r="O166" s="584">
        <v>0</v>
      </c>
      <c r="P166" s="584">
        <v>0</v>
      </c>
      <c r="Q166" s="584">
        <v>0</v>
      </c>
      <c r="R166" s="584">
        <v>0</v>
      </c>
      <c r="S166" s="584">
        <v>0</v>
      </c>
      <c r="T166" s="584">
        <v>667.49743750000005</v>
      </c>
      <c r="U166" s="584">
        <v>105</v>
      </c>
      <c r="V166" s="584">
        <v>1235.7059999999999</v>
      </c>
      <c r="W166" s="584">
        <v>220.5</v>
      </c>
      <c r="X166" s="584">
        <v>2183.6377499999999</v>
      </c>
      <c r="Y166" s="584">
        <v>462</v>
      </c>
      <c r="Z166" s="584">
        <v>0.47499999999999998</v>
      </c>
      <c r="AA166" s="584">
        <v>0.47499999999999998</v>
      </c>
      <c r="AB166" s="584">
        <v>1140</v>
      </c>
      <c r="AC166" s="584">
        <v>31</v>
      </c>
      <c r="AD166" s="584">
        <v>0</v>
      </c>
      <c r="AE166" s="584">
        <v>0</v>
      </c>
      <c r="AF166" s="584">
        <v>0</v>
      </c>
      <c r="AG166" s="584">
        <v>0</v>
      </c>
      <c r="AH166" s="584">
        <v>0</v>
      </c>
      <c r="AI166" s="584">
        <v>0</v>
      </c>
      <c r="AJ166" s="584">
        <v>0</v>
      </c>
      <c r="AK166" s="584">
        <v>0</v>
      </c>
      <c r="AL166" s="584">
        <v>0</v>
      </c>
      <c r="AM166" s="584">
        <v>0</v>
      </c>
      <c r="AN166" s="584">
        <v>0</v>
      </c>
      <c r="AO166" s="584">
        <v>695.39743750000002</v>
      </c>
      <c r="AP166" s="584">
        <v>105</v>
      </c>
      <c r="AQ166" s="584">
        <v>1292.6685</v>
      </c>
      <c r="AR166" s="584">
        <v>220.5</v>
      </c>
      <c r="AS166" s="584">
        <v>2300.9484375000002</v>
      </c>
      <c r="AT166" s="584">
        <v>462</v>
      </c>
      <c r="AU166" s="584">
        <v>0</v>
      </c>
      <c r="AV166" s="584">
        <v>0</v>
      </c>
      <c r="AW166" s="584">
        <v>0</v>
      </c>
      <c r="AX166" s="584">
        <v>0</v>
      </c>
      <c r="AY166" s="584">
        <v>0</v>
      </c>
      <c r="AZ166" s="584">
        <v>0</v>
      </c>
      <c r="BA166" s="584">
        <v>0</v>
      </c>
      <c r="BB166" s="584">
        <v>0</v>
      </c>
      <c r="BC166" s="584">
        <v>0</v>
      </c>
      <c r="BD166" s="584">
        <v>0</v>
      </c>
      <c r="BE166" s="584">
        <v>0</v>
      </c>
      <c r="BF166" s="584">
        <v>0</v>
      </c>
      <c r="BG166" s="584">
        <v>0</v>
      </c>
      <c r="BH166" s="584">
        <v>0</v>
      </c>
      <c r="BI166" s="584">
        <v>0</v>
      </c>
      <c r="BJ166" s="584">
        <v>0</v>
      </c>
      <c r="BK166" s="584">
        <v>0</v>
      </c>
      <c r="BL166" s="584">
        <v>0</v>
      </c>
      <c r="BM166" s="584">
        <v>0</v>
      </c>
      <c r="BN166" s="584">
        <v>0</v>
      </c>
      <c r="BO166" s="584">
        <v>0</v>
      </c>
      <c r="BP166" s="584">
        <v>1.075</v>
      </c>
      <c r="BQ166" s="584">
        <v>0.28499999999999998</v>
      </c>
      <c r="BR166" s="584">
        <v>888.21823247175303</v>
      </c>
      <c r="BS166" s="584">
        <v>46.745265438786603</v>
      </c>
      <c r="BT166" s="584">
        <v>0</v>
      </c>
      <c r="BU166" s="584">
        <v>0</v>
      </c>
      <c r="BV166" s="584">
        <v>0</v>
      </c>
      <c r="BW166" s="584">
        <v>0</v>
      </c>
      <c r="BX166" s="584">
        <v>0</v>
      </c>
      <c r="BY166" s="584">
        <v>0</v>
      </c>
      <c r="BZ166" s="584">
        <v>0</v>
      </c>
      <c r="CA166" s="584">
        <v>0.82499999999999996</v>
      </c>
      <c r="CB166" s="584">
        <v>1.075</v>
      </c>
      <c r="CC166" s="584">
        <v>0.6</v>
      </c>
      <c r="CD166" s="584">
        <v>0.6</v>
      </c>
      <c r="CE166" s="584">
        <v>615.04629999999997</v>
      </c>
      <c r="CF166" s="584">
        <v>105</v>
      </c>
      <c r="CG166" s="584">
        <v>1056.9287999999999</v>
      </c>
      <c r="CH166" s="584">
        <v>220.5</v>
      </c>
      <c r="CI166" s="584">
        <v>1673.3889562500001</v>
      </c>
      <c r="CJ166" s="584">
        <v>462</v>
      </c>
      <c r="CK166" s="584">
        <v>0</v>
      </c>
      <c r="CL166" s="584">
        <v>0</v>
      </c>
      <c r="CM166" s="584">
        <v>0</v>
      </c>
      <c r="CN166" s="584">
        <v>0</v>
      </c>
      <c r="CO166" s="584">
        <v>0</v>
      </c>
      <c r="CP166" s="584">
        <v>0</v>
      </c>
      <c r="CQ166" s="584">
        <v>0</v>
      </c>
      <c r="CR166" s="584">
        <v>0</v>
      </c>
      <c r="CS166" s="584">
        <v>0</v>
      </c>
      <c r="CT166" s="584">
        <v>0</v>
      </c>
      <c r="CU166" s="584">
        <v>0</v>
      </c>
      <c r="CV166" s="584">
        <v>0</v>
      </c>
      <c r="CW166" s="584">
        <v>0</v>
      </c>
      <c r="CX166" s="584">
        <v>0</v>
      </c>
      <c r="CY166" s="584">
        <v>0</v>
      </c>
      <c r="CZ166" s="584">
        <v>0</v>
      </c>
      <c r="DA166" s="584">
        <v>0</v>
      </c>
      <c r="DB166" s="584">
        <v>0</v>
      </c>
      <c r="DC166" s="584">
        <v>0</v>
      </c>
      <c r="DD166" s="584">
        <v>0</v>
      </c>
      <c r="DE166" s="584">
        <v>0</v>
      </c>
      <c r="DF166" s="584">
        <v>0.8</v>
      </c>
      <c r="DG166" s="584">
        <v>0.3</v>
      </c>
      <c r="DH166" s="584">
        <v>443.50148970747603</v>
      </c>
      <c r="DI166" s="584">
        <v>19.525261878966099</v>
      </c>
      <c r="DJ166" s="584">
        <v>390</v>
      </c>
      <c r="DK166" s="584">
        <v>0</v>
      </c>
      <c r="DL166" s="584">
        <v>0</v>
      </c>
      <c r="DM166" s="584">
        <v>0</v>
      </c>
      <c r="DN166" s="584">
        <v>0</v>
      </c>
      <c r="DO166" s="584">
        <v>0</v>
      </c>
      <c r="DP166" s="584">
        <v>0</v>
      </c>
      <c r="DQ166" s="584">
        <v>0</v>
      </c>
      <c r="DR166" s="584">
        <v>0.8</v>
      </c>
      <c r="DS166" s="584">
        <v>0</v>
      </c>
      <c r="DT166" s="584">
        <v>2.4</v>
      </c>
      <c r="DU166" s="584">
        <v>529.11249999999995</v>
      </c>
      <c r="DV166" s="584">
        <v>105</v>
      </c>
      <c r="DW166" s="584">
        <v>1036.51125</v>
      </c>
      <c r="DX166" s="584">
        <v>220.5</v>
      </c>
      <c r="DY166" s="584">
        <v>1669.806</v>
      </c>
      <c r="DZ166" s="584">
        <v>462</v>
      </c>
      <c r="EA166" s="1062">
        <v>1.371</v>
      </c>
      <c r="EB166" s="1046">
        <v>0.4</v>
      </c>
      <c r="EC166" s="1093">
        <v>132.51783893985737</v>
      </c>
      <c r="ED166" s="1046">
        <v>0</v>
      </c>
      <c r="EE166" s="1046">
        <v>519.87767584097855</v>
      </c>
      <c r="EF166" s="1046">
        <v>48.982142857142854</v>
      </c>
      <c r="EG166" s="1046">
        <v>0</v>
      </c>
      <c r="EH166" s="1046">
        <v>0</v>
      </c>
      <c r="EI166" s="1046" t="s">
        <v>360</v>
      </c>
      <c r="EJ166" s="1046" t="s">
        <v>421</v>
      </c>
      <c r="EK166" s="1046">
        <v>0</v>
      </c>
      <c r="EL166" s="1046">
        <v>0</v>
      </c>
      <c r="EM166" s="1046">
        <v>0</v>
      </c>
      <c r="EN166" s="1046">
        <v>0</v>
      </c>
      <c r="EO166" s="1046">
        <v>0</v>
      </c>
      <c r="EP166" s="1094">
        <v>309.98162250000007</v>
      </c>
      <c r="EQ166" s="1094">
        <v>105</v>
      </c>
      <c r="ER166" s="1094">
        <v>619.96324500000014</v>
      </c>
      <c r="ES166" s="1095">
        <v>210</v>
      </c>
      <c r="ET166" s="1094">
        <v>1239.9264900000003</v>
      </c>
      <c r="EU166" s="1094">
        <v>420</v>
      </c>
      <c r="EV166" s="1096">
        <v>1.0008999999999999</v>
      </c>
      <c r="EW166" s="1097">
        <v>0.15</v>
      </c>
      <c r="EX166" s="1096">
        <v>289.50050968399592</v>
      </c>
      <c r="EY166" s="1096">
        <v>1.5443934760448521</v>
      </c>
      <c r="EZ166" s="1096">
        <v>0</v>
      </c>
      <c r="FA166" s="1096">
        <v>41.478571428571428</v>
      </c>
      <c r="FB166" s="1098">
        <v>0</v>
      </c>
      <c r="FC166" s="1098">
        <v>0</v>
      </c>
      <c r="FD166" s="1098" t="s">
        <v>377</v>
      </c>
      <c r="FE166" s="1098" t="s">
        <v>410</v>
      </c>
      <c r="FF166" s="1098">
        <v>3</v>
      </c>
      <c r="FG166" s="1098">
        <v>0</v>
      </c>
      <c r="FH166" s="1098">
        <v>0</v>
      </c>
      <c r="FI166" s="1098">
        <v>0</v>
      </c>
      <c r="FJ166" s="1098">
        <v>0</v>
      </c>
      <c r="FK166" s="1096">
        <v>162.62632199999999</v>
      </c>
      <c r="FL166" s="1096">
        <v>105</v>
      </c>
      <c r="FM166" s="1096">
        <v>325.25264399999998</v>
      </c>
      <c r="FN166" s="1096">
        <v>210</v>
      </c>
      <c r="FO166" s="1096">
        <v>650.50528799999995</v>
      </c>
      <c r="FP166" s="1099">
        <v>420</v>
      </c>
      <c r="FQ166" s="1064">
        <v>1.5084199999999999</v>
      </c>
      <c r="FR166" s="1065">
        <v>0.15</v>
      </c>
      <c r="FS166" s="1066">
        <v>289.50050968399586</v>
      </c>
      <c r="FT166" s="1066">
        <v>3.2237153637237084</v>
      </c>
      <c r="FU166" s="1065"/>
      <c r="FV166" s="1066">
        <v>66.271711933973862</v>
      </c>
      <c r="FW166" s="1065"/>
      <c r="FX166" s="1065"/>
      <c r="FY166" s="1065" t="s">
        <v>1103</v>
      </c>
      <c r="FZ166" s="1065" t="s">
        <v>1102</v>
      </c>
      <c r="GA166" s="1065">
        <v>3</v>
      </c>
      <c r="GB166" s="1065"/>
      <c r="GC166" s="1065"/>
      <c r="GD166" s="1065"/>
      <c r="GE166" s="1065"/>
      <c r="GF166" s="1066">
        <v>168.91350595519737</v>
      </c>
      <c r="GG166" s="1066">
        <v>105</v>
      </c>
      <c r="GH166" s="1066">
        <v>337.82701191039473</v>
      </c>
      <c r="GI166" s="1066">
        <v>210</v>
      </c>
      <c r="GJ166" s="1066">
        <v>675.65402382078946</v>
      </c>
      <c r="GK166" s="1066">
        <v>420</v>
      </c>
      <c r="GL166" s="584">
        <v>1.1003000000000001</v>
      </c>
      <c r="GM166" s="584">
        <v>0.13</v>
      </c>
      <c r="GN166" s="584"/>
      <c r="GO166" s="584"/>
      <c r="GP166" s="584"/>
      <c r="GQ166" s="584">
        <v>59.832142857142898</v>
      </c>
      <c r="GR166" s="584"/>
      <c r="GS166" s="584">
        <v>66.2589194699286</v>
      </c>
      <c r="GT166" s="584" t="s">
        <v>351</v>
      </c>
      <c r="GU166" s="584" t="s">
        <v>381</v>
      </c>
      <c r="GV166" s="584">
        <v>2</v>
      </c>
      <c r="GW166" s="584"/>
      <c r="GX166" s="584"/>
      <c r="GY166" s="584"/>
      <c r="GZ166" s="584"/>
      <c r="HA166" s="584">
        <v>72.952039499999998</v>
      </c>
      <c r="HB166" s="584">
        <v>105</v>
      </c>
      <c r="HC166" s="584">
        <v>145.904079</v>
      </c>
      <c r="HD166" s="584">
        <v>210</v>
      </c>
      <c r="HE166" s="584">
        <v>291.80815799999999</v>
      </c>
      <c r="HF166" s="584">
        <v>420</v>
      </c>
      <c r="HG166" s="1100">
        <v>1.87</v>
      </c>
      <c r="HH166" s="1100">
        <v>0.11</v>
      </c>
      <c r="HI166" s="1101">
        <v>0</v>
      </c>
      <c r="HJ166" s="1101">
        <v>0</v>
      </c>
      <c r="HK166" s="1101">
        <v>0</v>
      </c>
      <c r="HL166" s="1101">
        <v>0</v>
      </c>
      <c r="HM166" s="1101">
        <v>65.69142857142856</v>
      </c>
      <c r="HN166" s="1101">
        <v>54.999999999999993</v>
      </c>
      <c r="HO166" s="1101">
        <v>0</v>
      </c>
      <c r="HP166" s="1101">
        <v>0</v>
      </c>
      <c r="HQ166" s="1101">
        <v>3</v>
      </c>
      <c r="HR166" s="1101">
        <v>1.76</v>
      </c>
      <c r="HS166" s="1101">
        <v>1.1599999999999999</v>
      </c>
      <c r="HT166" s="1101">
        <v>0.3</v>
      </c>
      <c r="HU166" s="1101">
        <v>0.28000000000000003</v>
      </c>
      <c r="HV166" s="1101">
        <v>70.727282400000007</v>
      </c>
      <c r="HW166" s="1101">
        <v>105</v>
      </c>
      <c r="HX166" s="1101">
        <v>141.45456480000001</v>
      </c>
      <c r="HY166" s="1101">
        <v>210</v>
      </c>
      <c r="HZ166" s="1101">
        <v>282.90912960000003</v>
      </c>
      <c r="IA166" s="1101">
        <v>420</v>
      </c>
      <c r="IB166" s="1062"/>
      <c r="IC166" s="1092"/>
      <c r="ID166" s="1050"/>
      <c r="IE166" s="1050"/>
      <c r="IF166" s="1103"/>
      <c r="IG166" s="1103"/>
      <c r="IH166" s="1103"/>
      <c r="II166" s="1103"/>
      <c r="IJ166" s="1103"/>
      <c r="IK166" s="1103"/>
      <c r="IL166" s="1103"/>
      <c r="IM166" s="1050"/>
      <c r="IN166" s="1050"/>
      <c r="IO166" s="1050"/>
      <c r="IP166" s="1050"/>
      <c r="IQ166" s="1103"/>
      <c r="IR166" s="1103"/>
      <c r="IS166" s="1103"/>
      <c r="IT166" s="1103"/>
      <c r="IU166" s="1103"/>
      <c r="IV166" s="1103"/>
      <c r="JS166" s="1092"/>
      <c r="JU166" s="1050"/>
      <c r="JV166" s="1103"/>
      <c r="JW166" s="1103"/>
      <c r="JX166" s="1103"/>
      <c r="JY166" s="1103"/>
      <c r="JZ166" s="1103"/>
      <c r="KA166" s="1103"/>
      <c r="KB166" s="1103"/>
      <c r="KC166" s="1050"/>
      <c r="KD166" s="1050"/>
      <c r="KE166" s="1050"/>
      <c r="KF166" s="1050"/>
      <c r="KG166" s="1103"/>
      <c r="KH166" s="1103"/>
      <c r="KI166" s="1103"/>
      <c r="KJ166" s="1103"/>
      <c r="KK166" s="1103"/>
      <c r="KL166" s="1103"/>
      <c r="KM166" s="1103"/>
      <c r="KN166" s="1103"/>
    </row>
    <row r="167" spans="2:300">
      <c r="B167" s="1048" t="str">
        <f t="shared" si="5"/>
        <v>R1215</v>
      </c>
      <c r="C167" s="1046">
        <v>12</v>
      </c>
      <c r="D167" s="1092">
        <v>15</v>
      </c>
      <c r="E167" s="584">
        <v>0</v>
      </c>
      <c r="F167" s="584">
        <v>0</v>
      </c>
      <c r="G167" s="584">
        <v>0</v>
      </c>
      <c r="H167" s="584">
        <v>0</v>
      </c>
      <c r="I167" s="584">
        <v>0</v>
      </c>
      <c r="J167" s="584">
        <v>0</v>
      </c>
      <c r="K167" s="584">
        <v>0</v>
      </c>
      <c r="L167" s="584">
        <v>0</v>
      </c>
      <c r="M167" s="584">
        <v>0</v>
      </c>
      <c r="N167" s="584">
        <v>0</v>
      </c>
      <c r="O167" s="584">
        <v>0</v>
      </c>
      <c r="P167" s="584">
        <v>0</v>
      </c>
      <c r="Q167" s="584">
        <v>0</v>
      </c>
      <c r="R167" s="584">
        <v>0</v>
      </c>
      <c r="S167" s="584">
        <v>0</v>
      </c>
      <c r="T167" s="584">
        <v>0</v>
      </c>
      <c r="U167" s="584">
        <v>0</v>
      </c>
      <c r="V167" s="584">
        <v>0</v>
      </c>
      <c r="W167" s="584">
        <v>0</v>
      </c>
      <c r="X167" s="584">
        <v>0</v>
      </c>
      <c r="Y167" s="584">
        <v>0</v>
      </c>
      <c r="Z167" s="584">
        <v>0</v>
      </c>
      <c r="AA167" s="584">
        <v>0</v>
      </c>
      <c r="AB167" s="584">
        <v>0</v>
      </c>
      <c r="AC167" s="584">
        <v>0</v>
      </c>
      <c r="AD167" s="584">
        <v>0</v>
      </c>
      <c r="AE167" s="584">
        <v>0</v>
      </c>
      <c r="AF167" s="584">
        <v>0</v>
      </c>
      <c r="AG167" s="584">
        <v>0</v>
      </c>
      <c r="AH167" s="584">
        <v>0</v>
      </c>
      <c r="AI167" s="584">
        <v>0</v>
      </c>
      <c r="AJ167" s="584">
        <v>0</v>
      </c>
      <c r="AK167" s="584">
        <v>0</v>
      </c>
      <c r="AL167" s="584">
        <v>0</v>
      </c>
      <c r="AM167" s="584">
        <v>0</v>
      </c>
      <c r="AN167" s="584">
        <v>0</v>
      </c>
      <c r="AO167" s="584">
        <v>0</v>
      </c>
      <c r="AP167" s="584">
        <v>0</v>
      </c>
      <c r="AQ167" s="584">
        <v>0</v>
      </c>
      <c r="AR167" s="584">
        <v>0</v>
      </c>
      <c r="AS167" s="584">
        <v>0</v>
      </c>
      <c r="AT167" s="584">
        <v>0</v>
      </c>
      <c r="AU167" s="584">
        <v>0</v>
      </c>
      <c r="AV167" s="584">
        <v>0</v>
      </c>
      <c r="AW167" s="584">
        <v>0</v>
      </c>
      <c r="AX167" s="584">
        <v>0</v>
      </c>
      <c r="AY167" s="584">
        <v>0</v>
      </c>
      <c r="AZ167" s="584">
        <v>0</v>
      </c>
      <c r="BA167" s="584">
        <v>0</v>
      </c>
      <c r="BB167" s="584">
        <v>0</v>
      </c>
      <c r="BC167" s="584">
        <v>0</v>
      </c>
      <c r="BD167" s="584">
        <v>0</v>
      </c>
      <c r="BE167" s="584">
        <v>0</v>
      </c>
      <c r="BF167" s="584">
        <v>0</v>
      </c>
      <c r="BG167" s="584">
        <v>0</v>
      </c>
      <c r="BH167" s="584">
        <v>0</v>
      </c>
      <c r="BI167" s="584">
        <v>0</v>
      </c>
      <c r="BJ167" s="584">
        <v>0</v>
      </c>
      <c r="BK167" s="584">
        <v>0</v>
      </c>
      <c r="BL167" s="584">
        <v>0</v>
      </c>
      <c r="BM167" s="584">
        <v>0</v>
      </c>
      <c r="BN167" s="584">
        <v>0</v>
      </c>
      <c r="BO167" s="584">
        <v>0</v>
      </c>
      <c r="BP167" s="584">
        <v>0</v>
      </c>
      <c r="BQ167" s="584">
        <v>0</v>
      </c>
      <c r="BR167" s="584">
        <v>0</v>
      </c>
      <c r="BS167" s="584">
        <v>0</v>
      </c>
      <c r="BT167" s="584">
        <v>0</v>
      </c>
      <c r="BU167" s="584">
        <v>0</v>
      </c>
      <c r="BV167" s="584">
        <v>0</v>
      </c>
      <c r="BW167" s="584">
        <v>0</v>
      </c>
      <c r="BX167" s="584">
        <v>0</v>
      </c>
      <c r="BY167" s="584">
        <v>0</v>
      </c>
      <c r="BZ167" s="584">
        <v>0</v>
      </c>
      <c r="CA167" s="584">
        <v>0</v>
      </c>
      <c r="CB167" s="584">
        <v>0</v>
      </c>
      <c r="CC167" s="584">
        <v>0</v>
      </c>
      <c r="CD167" s="584">
        <v>0</v>
      </c>
      <c r="CE167" s="584">
        <v>0</v>
      </c>
      <c r="CF167" s="584">
        <v>0</v>
      </c>
      <c r="CG167" s="584">
        <v>0</v>
      </c>
      <c r="CH167" s="584">
        <v>0</v>
      </c>
      <c r="CI167" s="584">
        <v>0</v>
      </c>
      <c r="CJ167" s="584">
        <v>0</v>
      </c>
      <c r="CK167" s="584">
        <v>0</v>
      </c>
      <c r="CL167" s="584">
        <v>0</v>
      </c>
      <c r="CM167" s="584">
        <v>0</v>
      </c>
      <c r="CN167" s="584">
        <v>0</v>
      </c>
      <c r="CO167" s="584">
        <v>0</v>
      </c>
      <c r="CP167" s="584">
        <v>0</v>
      </c>
      <c r="CQ167" s="584">
        <v>0</v>
      </c>
      <c r="CR167" s="584">
        <v>0</v>
      </c>
      <c r="CS167" s="584">
        <v>0</v>
      </c>
      <c r="CT167" s="584">
        <v>0</v>
      </c>
      <c r="CU167" s="584">
        <v>0</v>
      </c>
      <c r="CV167" s="584">
        <v>0</v>
      </c>
      <c r="CW167" s="584">
        <v>0</v>
      </c>
      <c r="CX167" s="584">
        <v>0</v>
      </c>
      <c r="CY167" s="584">
        <v>0</v>
      </c>
      <c r="CZ167" s="584">
        <v>0</v>
      </c>
      <c r="DA167" s="584">
        <v>0</v>
      </c>
      <c r="DB167" s="584">
        <v>0</v>
      </c>
      <c r="DC167" s="584">
        <v>0</v>
      </c>
      <c r="DD167" s="584">
        <v>0</v>
      </c>
      <c r="DE167" s="584">
        <v>0</v>
      </c>
      <c r="DF167" s="584">
        <v>0</v>
      </c>
      <c r="DG167" s="584">
        <v>0</v>
      </c>
      <c r="DH167" s="584">
        <v>0</v>
      </c>
      <c r="DI167" s="584">
        <v>0</v>
      </c>
      <c r="DJ167" s="584">
        <v>0</v>
      </c>
      <c r="DK167" s="584">
        <v>0</v>
      </c>
      <c r="DL167" s="584">
        <v>0</v>
      </c>
      <c r="DM167" s="584">
        <v>0</v>
      </c>
      <c r="DN167" s="584">
        <v>0</v>
      </c>
      <c r="DO167" s="584">
        <v>0</v>
      </c>
      <c r="DP167" s="584">
        <v>0</v>
      </c>
      <c r="DQ167" s="584">
        <v>0</v>
      </c>
      <c r="DR167" s="584">
        <v>0</v>
      </c>
      <c r="DS167" s="584">
        <v>0</v>
      </c>
      <c r="DT167" s="584">
        <v>0</v>
      </c>
      <c r="DU167" s="584">
        <v>0</v>
      </c>
      <c r="DV167" s="584">
        <v>0</v>
      </c>
      <c r="DW167" s="584">
        <v>0</v>
      </c>
      <c r="DX167" s="584">
        <v>0</v>
      </c>
      <c r="DY167" s="584">
        <v>0</v>
      </c>
      <c r="DZ167" s="584">
        <v>0</v>
      </c>
      <c r="EA167" s="1062">
        <v>1.431</v>
      </c>
      <c r="EB167" s="1046">
        <v>0.45</v>
      </c>
      <c r="EC167" s="1093">
        <v>132.51783893985726</v>
      </c>
      <c r="ED167" s="1046">
        <v>0</v>
      </c>
      <c r="EE167" s="1046">
        <v>581.03975535168195</v>
      </c>
      <c r="EF167" s="1046">
        <v>57.508333333333333</v>
      </c>
      <c r="EG167" s="1046">
        <v>0</v>
      </c>
      <c r="EH167" s="1046">
        <v>0</v>
      </c>
      <c r="EI167" s="1046" t="s">
        <v>359</v>
      </c>
      <c r="EJ167" s="1046" t="s">
        <v>418</v>
      </c>
      <c r="EK167" s="1046">
        <v>0</v>
      </c>
      <c r="EL167" s="1046">
        <v>0</v>
      </c>
      <c r="EM167" s="1046">
        <v>0</v>
      </c>
      <c r="EN167" s="1046">
        <v>0</v>
      </c>
      <c r="EO167" s="1046">
        <v>0</v>
      </c>
      <c r="EP167" s="1094">
        <v>362.88705375000001</v>
      </c>
      <c r="EQ167" s="1094">
        <v>112.5</v>
      </c>
      <c r="ER167" s="1094">
        <v>725.77410750000001</v>
      </c>
      <c r="ES167" s="1095">
        <v>225</v>
      </c>
      <c r="ET167" s="1094">
        <v>1451.548215</v>
      </c>
      <c r="EU167" s="1094">
        <v>450</v>
      </c>
      <c r="EV167" s="1096">
        <v>1.0008999999999999</v>
      </c>
      <c r="EW167" s="1097">
        <v>0.15</v>
      </c>
      <c r="EX167" s="1096">
        <v>289.50050968399592</v>
      </c>
      <c r="EY167" s="1096">
        <v>1.5443934760448521</v>
      </c>
      <c r="EZ167" s="1096">
        <v>0</v>
      </c>
      <c r="FA167" s="1096">
        <v>40.4</v>
      </c>
      <c r="FB167" s="1098">
        <v>0</v>
      </c>
      <c r="FC167" s="1098">
        <v>0</v>
      </c>
      <c r="FD167" s="1098" t="s">
        <v>377</v>
      </c>
      <c r="FE167" s="1098" t="s">
        <v>410</v>
      </c>
      <c r="FF167" s="1098">
        <v>3</v>
      </c>
      <c r="FG167" s="1098">
        <v>0</v>
      </c>
      <c r="FH167" s="1098">
        <v>0</v>
      </c>
      <c r="FI167" s="1098">
        <v>0</v>
      </c>
      <c r="FJ167" s="1098">
        <v>0</v>
      </c>
      <c r="FK167" s="1096">
        <v>173.76635249999998</v>
      </c>
      <c r="FL167" s="1096">
        <v>112.5</v>
      </c>
      <c r="FM167" s="1096">
        <v>347.53270499999996</v>
      </c>
      <c r="FN167" s="1096">
        <v>225</v>
      </c>
      <c r="FO167" s="1096">
        <v>695.06540999999993</v>
      </c>
      <c r="FP167" s="1099">
        <v>450</v>
      </c>
      <c r="FQ167" s="1064">
        <v>1.5084199999999999</v>
      </c>
      <c r="FR167" s="1065">
        <v>0.15</v>
      </c>
      <c r="FS167" s="1066">
        <v>289.50050968399586</v>
      </c>
      <c r="FT167" s="1066">
        <v>3.2237153637237084</v>
      </c>
      <c r="FU167" s="1065"/>
      <c r="FV167" s="1066">
        <v>72.554995650136703</v>
      </c>
      <c r="FW167" s="1065"/>
      <c r="FX167" s="1065"/>
      <c r="FY167" s="1065" t="s">
        <v>1103</v>
      </c>
      <c r="FZ167" s="1065" t="s">
        <v>408</v>
      </c>
      <c r="GA167" s="1065">
        <v>3</v>
      </c>
      <c r="GB167" s="1065"/>
      <c r="GC167" s="1065"/>
      <c r="GD167" s="1065"/>
      <c r="GE167" s="1065"/>
      <c r="GF167" s="1066">
        <v>183.75251197706871</v>
      </c>
      <c r="GG167" s="1066">
        <v>112.5</v>
      </c>
      <c r="GH167" s="1066">
        <v>367.50502395413741</v>
      </c>
      <c r="GI167" s="1066">
        <v>225</v>
      </c>
      <c r="GJ167" s="1066">
        <v>735.01004790827483</v>
      </c>
      <c r="GK167" s="1066">
        <v>450</v>
      </c>
      <c r="GL167" s="584">
        <v>1.1003000000000001</v>
      </c>
      <c r="GM167" s="584">
        <v>0.13</v>
      </c>
      <c r="GN167" s="584"/>
      <c r="GO167" s="584"/>
      <c r="GP167" s="584"/>
      <c r="GQ167" s="584">
        <v>70.3</v>
      </c>
      <c r="GR167" s="584"/>
      <c r="GS167" s="584">
        <v>66.2589194699286</v>
      </c>
      <c r="GT167" s="584" t="s">
        <v>351</v>
      </c>
      <c r="GU167" s="584" t="s">
        <v>351</v>
      </c>
      <c r="GV167" s="584">
        <v>2</v>
      </c>
      <c r="GW167" s="584"/>
      <c r="GX167" s="584"/>
      <c r="GY167" s="584"/>
      <c r="GZ167" s="584"/>
      <c r="HA167" s="584">
        <v>82.783935</v>
      </c>
      <c r="HB167" s="584">
        <v>112.5</v>
      </c>
      <c r="HC167" s="584">
        <v>165.56787</v>
      </c>
      <c r="HD167" s="584">
        <v>225</v>
      </c>
      <c r="HE167" s="584">
        <v>331.13574</v>
      </c>
      <c r="HF167" s="584">
        <v>450</v>
      </c>
      <c r="HG167" s="1100">
        <v>1.79</v>
      </c>
      <c r="HH167" s="1100">
        <v>0.11</v>
      </c>
      <c r="HI167" s="1101">
        <v>0</v>
      </c>
      <c r="HJ167" s="1101">
        <v>0</v>
      </c>
      <c r="HK167" s="1101">
        <v>0</v>
      </c>
      <c r="HL167" s="1101">
        <v>0</v>
      </c>
      <c r="HM167" s="1101">
        <v>76.320000000000007</v>
      </c>
      <c r="HN167" s="1101">
        <v>54.999999999999993</v>
      </c>
      <c r="HO167" s="1101">
        <v>0</v>
      </c>
      <c r="HP167" s="1101">
        <v>0</v>
      </c>
      <c r="HQ167" s="1101">
        <v>3</v>
      </c>
      <c r="HR167" s="1101">
        <v>1.68</v>
      </c>
      <c r="HS167" s="1101">
        <v>1.36</v>
      </c>
      <c r="HT167" s="1101">
        <v>0.3</v>
      </c>
      <c r="HU167" s="1101">
        <v>0.3</v>
      </c>
      <c r="HV167" s="1101">
        <v>80.471213999999989</v>
      </c>
      <c r="HW167" s="1101">
        <v>112.5</v>
      </c>
      <c r="HX167" s="1101">
        <v>160.94242799999998</v>
      </c>
      <c r="HY167" s="1101">
        <v>225</v>
      </c>
      <c r="HZ167" s="1101">
        <v>321.88485599999996</v>
      </c>
      <c r="IA167" s="1101">
        <v>450</v>
      </c>
      <c r="IB167" s="1062"/>
      <c r="IC167" s="1092"/>
      <c r="ID167" s="1050"/>
      <c r="IE167" s="1050"/>
      <c r="IF167" s="1103"/>
      <c r="IG167" s="1103"/>
      <c r="IH167" s="1103"/>
      <c r="II167" s="1103"/>
      <c r="IJ167" s="1103"/>
      <c r="IK167" s="1103"/>
      <c r="IL167" s="1103"/>
      <c r="IM167" s="1050"/>
      <c r="IN167" s="1050"/>
      <c r="IO167" s="1050"/>
      <c r="IP167" s="1050"/>
      <c r="IQ167" s="1103"/>
      <c r="IR167" s="1103"/>
      <c r="IS167" s="1103"/>
      <c r="IT167" s="1103"/>
      <c r="IU167" s="1103"/>
      <c r="IV167" s="1103"/>
      <c r="JS167" s="1092"/>
      <c r="JU167" s="1050"/>
      <c r="JV167" s="1103"/>
      <c r="JW167" s="1103"/>
      <c r="JX167" s="1103"/>
      <c r="JY167" s="1103"/>
      <c r="JZ167" s="1103"/>
      <c r="KA167" s="1103"/>
      <c r="KB167" s="1103"/>
      <c r="KC167" s="1050"/>
      <c r="KD167" s="1050"/>
      <c r="KE167" s="1050"/>
      <c r="KF167" s="1050"/>
      <c r="KG167" s="1103"/>
      <c r="KH167" s="1103"/>
      <c r="KI167" s="1103"/>
      <c r="KJ167" s="1103"/>
      <c r="KK167" s="1103"/>
      <c r="KL167" s="1103"/>
      <c r="KM167" s="1103"/>
      <c r="KN167" s="1103"/>
    </row>
    <row r="168" spans="2:300">
      <c r="B168" s="1048" t="str">
        <f t="shared" si="5"/>
        <v>R1216</v>
      </c>
      <c r="C168" s="1046">
        <v>12</v>
      </c>
      <c r="D168" s="1092">
        <v>16</v>
      </c>
      <c r="E168" s="584">
        <v>0</v>
      </c>
      <c r="F168" s="584">
        <v>0</v>
      </c>
      <c r="G168" s="584">
        <v>0</v>
      </c>
      <c r="H168" s="584">
        <v>0</v>
      </c>
      <c r="I168" s="584">
        <v>0</v>
      </c>
      <c r="J168" s="584">
        <v>0</v>
      </c>
      <c r="K168" s="584">
        <v>0</v>
      </c>
      <c r="L168" s="584">
        <v>0</v>
      </c>
      <c r="M168" s="584">
        <v>0</v>
      </c>
      <c r="N168" s="584">
        <v>0</v>
      </c>
      <c r="O168" s="584">
        <v>0</v>
      </c>
      <c r="P168" s="584">
        <v>0</v>
      </c>
      <c r="Q168" s="584">
        <v>0</v>
      </c>
      <c r="R168" s="584">
        <v>0</v>
      </c>
      <c r="S168" s="584">
        <v>0</v>
      </c>
      <c r="T168" s="584">
        <v>0</v>
      </c>
      <c r="U168" s="584">
        <v>0</v>
      </c>
      <c r="V168" s="584">
        <v>0</v>
      </c>
      <c r="W168" s="584">
        <v>0</v>
      </c>
      <c r="X168" s="584">
        <v>0</v>
      </c>
      <c r="Y168" s="584">
        <v>0</v>
      </c>
      <c r="Z168" s="584">
        <v>0</v>
      </c>
      <c r="AA168" s="584">
        <v>0</v>
      </c>
      <c r="AB168" s="584">
        <v>0</v>
      </c>
      <c r="AC168" s="584">
        <v>0</v>
      </c>
      <c r="AD168" s="584">
        <v>0</v>
      </c>
      <c r="AE168" s="584">
        <v>0</v>
      </c>
      <c r="AF168" s="584">
        <v>0</v>
      </c>
      <c r="AG168" s="584">
        <v>0</v>
      </c>
      <c r="AH168" s="584">
        <v>0</v>
      </c>
      <c r="AI168" s="584">
        <v>0</v>
      </c>
      <c r="AJ168" s="584">
        <v>0</v>
      </c>
      <c r="AK168" s="584">
        <v>0</v>
      </c>
      <c r="AL168" s="584">
        <v>0</v>
      </c>
      <c r="AM168" s="584">
        <v>0</v>
      </c>
      <c r="AN168" s="584">
        <v>0</v>
      </c>
      <c r="AO168" s="584">
        <v>178.99743749999999</v>
      </c>
      <c r="AP168" s="584">
        <v>120</v>
      </c>
      <c r="AQ168" s="584">
        <v>235.21743749999999</v>
      </c>
      <c r="AR168" s="584">
        <v>252</v>
      </c>
      <c r="AS168" s="584">
        <v>114.59099999999999</v>
      </c>
      <c r="AT168" s="584">
        <v>528</v>
      </c>
      <c r="AU168" s="584">
        <v>0</v>
      </c>
      <c r="AV168" s="584">
        <v>0</v>
      </c>
      <c r="AW168" s="584">
        <v>0</v>
      </c>
      <c r="AX168" s="584">
        <v>0</v>
      </c>
      <c r="AY168" s="584">
        <v>0</v>
      </c>
      <c r="AZ168" s="584">
        <v>0</v>
      </c>
      <c r="BA168" s="584">
        <v>0</v>
      </c>
      <c r="BB168" s="584">
        <v>0</v>
      </c>
      <c r="BC168" s="584">
        <v>0</v>
      </c>
      <c r="BD168" s="584">
        <v>0</v>
      </c>
      <c r="BE168" s="584">
        <v>0</v>
      </c>
      <c r="BF168" s="584">
        <v>0</v>
      </c>
      <c r="BG168" s="584">
        <v>0</v>
      </c>
      <c r="BH168" s="584">
        <v>0</v>
      </c>
      <c r="BI168" s="584">
        <v>0</v>
      </c>
      <c r="BJ168" s="584">
        <v>0</v>
      </c>
      <c r="BK168" s="584">
        <v>0</v>
      </c>
      <c r="BL168" s="584">
        <v>0</v>
      </c>
      <c r="BM168" s="584">
        <v>0</v>
      </c>
      <c r="BN168" s="584">
        <v>0</v>
      </c>
      <c r="BO168" s="584">
        <v>0</v>
      </c>
      <c r="BP168" s="584">
        <v>0</v>
      </c>
      <c r="BQ168" s="584">
        <v>0</v>
      </c>
      <c r="BR168" s="584">
        <v>0</v>
      </c>
      <c r="BS168" s="584">
        <v>0</v>
      </c>
      <c r="BT168" s="584">
        <v>0</v>
      </c>
      <c r="BU168" s="584">
        <v>0</v>
      </c>
      <c r="BV168" s="584">
        <v>0</v>
      </c>
      <c r="BW168" s="584">
        <v>0</v>
      </c>
      <c r="BX168" s="584">
        <v>0</v>
      </c>
      <c r="BY168" s="584">
        <v>0</v>
      </c>
      <c r="BZ168" s="584">
        <v>0</v>
      </c>
      <c r="CA168" s="584">
        <v>0</v>
      </c>
      <c r="CB168" s="584">
        <v>0</v>
      </c>
      <c r="CC168" s="584">
        <v>0</v>
      </c>
      <c r="CD168" s="584">
        <v>0</v>
      </c>
      <c r="CE168" s="584">
        <v>0</v>
      </c>
      <c r="CF168" s="584">
        <v>0</v>
      </c>
      <c r="CG168" s="584">
        <v>0</v>
      </c>
      <c r="CH168" s="584">
        <v>0</v>
      </c>
      <c r="CI168" s="584">
        <v>0</v>
      </c>
      <c r="CJ168" s="584">
        <v>0</v>
      </c>
      <c r="CK168" s="584">
        <v>0</v>
      </c>
      <c r="CL168" s="584">
        <v>0</v>
      </c>
      <c r="CM168" s="584">
        <v>0</v>
      </c>
      <c r="CN168" s="584">
        <v>0</v>
      </c>
      <c r="CO168" s="584">
        <v>0</v>
      </c>
      <c r="CP168" s="584">
        <v>0</v>
      </c>
      <c r="CQ168" s="584">
        <v>0</v>
      </c>
      <c r="CR168" s="584">
        <v>0</v>
      </c>
      <c r="CS168" s="584">
        <v>0</v>
      </c>
      <c r="CT168" s="584">
        <v>0</v>
      </c>
      <c r="CU168" s="584">
        <v>0</v>
      </c>
      <c r="CV168" s="584">
        <v>0</v>
      </c>
      <c r="CW168" s="584">
        <v>0</v>
      </c>
      <c r="CX168" s="584">
        <v>0</v>
      </c>
      <c r="CY168" s="584">
        <v>0</v>
      </c>
      <c r="CZ168" s="584">
        <v>0</v>
      </c>
      <c r="DA168" s="584">
        <v>0</v>
      </c>
      <c r="DB168" s="584">
        <v>0</v>
      </c>
      <c r="DC168" s="584">
        <v>0</v>
      </c>
      <c r="DD168" s="584">
        <v>0</v>
      </c>
      <c r="DE168" s="584">
        <v>0</v>
      </c>
      <c r="DF168" s="584">
        <v>0</v>
      </c>
      <c r="DG168" s="584">
        <v>0</v>
      </c>
      <c r="DH168" s="584">
        <v>0</v>
      </c>
      <c r="DI168" s="584">
        <v>0</v>
      </c>
      <c r="DJ168" s="584">
        <v>0</v>
      </c>
      <c r="DK168" s="584">
        <v>0</v>
      </c>
      <c r="DL168" s="584">
        <v>0</v>
      </c>
      <c r="DM168" s="584">
        <v>0</v>
      </c>
      <c r="DN168" s="584">
        <v>0</v>
      </c>
      <c r="DO168" s="584">
        <v>0</v>
      </c>
      <c r="DP168" s="584">
        <v>0</v>
      </c>
      <c r="DQ168" s="584">
        <v>0</v>
      </c>
      <c r="DR168" s="584">
        <v>0</v>
      </c>
      <c r="DS168" s="584">
        <v>0</v>
      </c>
      <c r="DT168" s="584">
        <v>0</v>
      </c>
      <c r="DU168" s="584">
        <v>0</v>
      </c>
      <c r="DV168" s="584">
        <v>0</v>
      </c>
      <c r="DW168" s="584">
        <v>0</v>
      </c>
      <c r="DX168" s="584">
        <v>0</v>
      </c>
      <c r="DY168" s="584">
        <v>0</v>
      </c>
      <c r="DZ168" s="584">
        <v>0</v>
      </c>
      <c r="EA168" s="1062">
        <v>0</v>
      </c>
      <c r="EB168" s="1046">
        <v>0</v>
      </c>
      <c r="EC168" s="1093">
        <v>0</v>
      </c>
      <c r="ED168" s="1046">
        <v>0</v>
      </c>
      <c r="EE168" s="1046">
        <v>0</v>
      </c>
      <c r="EF168" s="1046">
        <v>0</v>
      </c>
      <c r="EG168" s="1046">
        <v>0</v>
      </c>
      <c r="EH168" s="1046">
        <v>0</v>
      </c>
      <c r="EI168" s="1046">
        <v>0</v>
      </c>
      <c r="EJ168" s="1046">
        <v>0</v>
      </c>
      <c r="EK168" s="1046">
        <v>0</v>
      </c>
      <c r="EL168" s="1046">
        <v>0</v>
      </c>
      <c r="EM168" s="1046">
        <v>0</v>
      </c>
      <c r="EN168" s="1046">
        <v>0</v>
      </c>
      <c r="EO168" s="1046">
        <v>0</v>
      </c>
      <c r="EP168" s="1094">
        <v>0</v>
      </c>
      <c r="EQ168" s="1094">
        <v>0</v>
      </c>
      <c r="ER168" s="1094">
        <v>0</v>
      </c>
      <c r="ES168" s="1095">
        <v>0</v>
      </c>
      <c r="ET168" s="1094">
        <v>0</v>
      </c>
      <c r="EU168" s="1094">
        <v>0</v>
      </c>
      <c r="EV168" s="1096">
        <v>1.0604</v>
      </c>
      <c r="EW168" s="1097">
        <v>0.15</v>
      </c>
      <c r="EX168" s="1096">
        <v>289.50050968399592</v>
      </c>
      <c r="EY168" s="1096">
        <v>1.5443934760448521</v>
      </c>
      <c r="EZ168" s="1096">
        <v>0</v>
      </c>
      <c r="FA168" s="1096">
        <v>45.3125</v>
      </c>
      <c r="FB168" s="1098">
        <v>0</v>
      </c>
      <c r="FC168" s="1098">
        <v>0</v>
      </c>
      <c r="FD168" s="1098" t="s">
        <v>373</v>
      </c>
      <c r="FE168" s="1098" t="s">
        <v>396</v>
      </c>
      <c r="FF168" s="1098">
        <v>3</v>
      </c>
      <c r="FG168" s="1098">
        <v>0</v>
      </c>
      <c r="FH168" s="1098">
        <v>0</v>
      </c>
      <c r="FI168" s="1098">
        <v>0</v>
      </c>
      <c r="FJ168" s="1098">
        <v>0</v>
      </c>
      <c r="FK168" s="1096">
        <v>187.663974</v>
      </c>
      <c r="FL168" s="1096">
        <v>120</v>
      </c>
      <c r="FM168" s="1096">
        <v>375.32794799999999</v>
      </c>
      <c r="FN168" s="1096">
        <v>240</v>
      </c>
      <c r="FO168" s="1096">
        <v>750.65589599999998</v>
      </c>
      <c r="FP168" s="1099">
        <v>480</v>
      </c>
      <c r="FQ168" s="1064">
        <v>1.5361399999999998</v>
      </c>
      <c r="FR168" s="1065">
        <v>0.15</v>
      </c>
      <c r="FS168" s="1066">
        <v>289.50050968399586</v>
      </c>
      <c r="FT168" s="1066">
        <v>3.2237153637237084</v>
      </c>
      <c r="FU168" s="1065"/>
      <c r="FV168" s="1066">
        <v>79.331104397424724</v>
      </c>
      <c r="FW168" s="1065"/>
      <c r="FX168" s="1065"/>
      <c r="FY168" s="1065" t="s">
        <v>347</v>
      </c>
      <c r="FZ168" s="1065" t="s">
        <v>396</v>
      </c>
      <c r="GA168" s="1065">
        <v>3</v>
      </c>
      <c r="GB168" s="1065"/>
      <c r="GC168" s="1065"/>
      <c r="GD168" s="1065"/>
      <c r="GE168" s="1065"/>
      <c r="GF168" s="1066">
        <v>199.19341352912957</v>
      </c>
      <c r="GG168" s="1066">
        <v>120</v>
      </c>
      <c r="GH168" s="1066">
        <v>398.38682705825914</v>
      </c>
      <c r="GI168" s="1066">
        <v>240</v>
      </c>
      <c r="GJ168" s="1066">
        <v>796.77365411651829</v>
      </c>
      <c r="GK168" s="1066">
        <v>480</v>
      </c>
      <c r="GL168" s="584">
        <v>1.1101000000000001</v>
      </c>
      <c r="GM168" s="584">
        <v>0.13</v>
      </c>
      <c r="GN168" s="584"/>
      <c r="GO168" s="584"/>
      <c r="GP168" s="584"/>
      <c r="GQ168" s="584">
        <v>76.05</v>
      </c>
      <c r="GR168" s="584"/>
      <c r="GS168" s="584">
        <v>66.2589194699286</v>
      </c>
      <c r="GT168" s="584" t="s">
        <v>351</v>
      </c>
      <c r="GU168" s="584" t="s">
        <v>349</v>
      </c>
      <c r="GV168" s="584">
        <v>2</v>
      </c>
      <c r="GW168" s="584"/>
      <c r="GX168" s="584"/>
      <c r="GY168" s="584"/>
      <c r="GZ168" s="584"/>
      <c r="HA168" s="584">
        <v>91.010424</v>
      </c>
      <c r="HB168" s="584">
        <v>120</v>
      </c>
      <c r="HC168" s="584">
        <v>182.020848</v>
      </c>
      <c r="HD168" s="584">
        <v>240</v>
      </c>
      <c r="HE168" s="584">
        <v>364.041696</v>
      </c>
      <c r="HF168" s="584">
        <v>480</v>
      </c>
      <c r="HG168" s="1100">
        <v>1.9100000000000001</v>
      </c>
      <c r="HH168" s="1100">
        <v>0.11</v>
      </c>
      <c r="HI168" s="1101">
        <v>0</v>
      </c>
      <c r="HJ168" s="1101">
        <v>0</v>
      </c>
      <c r="HK168" s="1101">
        <v>0</v>
      </c>
      <c r="HL168" s="1101">
        <v>0</v>
      </c>
      <c r="HM168" s="1101">
        <v>79.987499999999997</v>
      </c>
      <c r="HN168" s="1101">
        <v>54.999999999999993</v>
      </c>
      <c r="HO168" s="1101">
        <v>0</v>
      </c>
      <c r="HP168" s="1101">
        <v>0</v>
      </c>
      <c r="HQ168" s="1101">
        <v>3</v>
      </c>
      <c r="HR168" s="1101">
        <v>1.8</v>
      </c>
      <c r="HS168" s="1101">
        <v>1.44</v>
      </c>
      <c r="HT168" s="1101">
        <v>0.3</v>
      </c>
      <c r="HU168" s="1101">
        <v>0.3</v>
      </c>
      <c r="HV168" s="1101">
        <v>87.562914000000006</v>
      </c>
      <c r="HW168" s="1101">
        <v>120</v>
      </c>
      <c r="HX168" s="1101">
        <v>175.12582800000001</v>
      </c>
      <c r="HY168" s="1101">
        <v>240</v>
      </c>
      <c r="HZ168" s="1101">
        <v>350.25165600000003</v>
      </c>
      <c r="IA168" s="1101">
        <v>480</v>
      </c>
      <c r="IB168" s="1062"/>
      <c r="IC168" s="1092"/>
      <c r="ID168" s="1050"/>
      <c r="IE168" s="1050"/>
      <c r="IF168" s="1103"/>
      <c r="IG168" s="1103"/>
      <c r="IH168" s="1103"/>
      <c r="II168" s="1103"/>
      <c r="IJ168" s="1103"/>
      <c r="IK168" s="1103"/>
      <c r="IL168" s="1103"/>
      <c r="IM168" s="1050"/>
      <c r="IN168" s="1050"/>
      <c r="IO168" s="1050"/>
      <c r="IP168" s="1050"/>
      <c r="IQ168" s="1103"/>
      <c r="IR168" s="1103"/>
      <c r="IS168" s="1103"/>
      <c r="IT168" s="1103"/>
      <c r="IU168" s="1103"/>
      <c r="IV168" s="1103"/>
      <c r="JS168" s="1092"/>
      <c r="JU168" s="1050"/>
      <c r="JV168" s="1103"/>
      <c r="JW168" s="1103"/>
      <c r="JX168" s="1103"/>
      <c r="JY168" s="1103"/>
      <c r="JZ168" s="1103"/>
      <c r="KA168" s="1103"/>
      <c r="KB168" s="1103"/>
      <c r="KC168" s="1050"/>
      <c r="KD168" s="1050"/>
      <c r="KE168" s="1050"/>
      <c r="KF168" s="1050"/>
      <c r="KG168" s="1103"/>
      <c r="KH168" s="1103"/>
      <c r="KI168" s="1103"/>
      <c r="KJ168" s="1103"/>
      <c r="KK168" s="1103"/>
      <c r="KL168" s="1103"/>
      <c r="KM168" s="1103"/>
      <c r="KN168" s="1103"/>
    </row>
    <row r="169" spans="2:300">
      <c r="B169" s="1048" t="str">
        <f>"E"&amp;C169&amp;D169</f>
        <v>E55</v>
      </c>
      <c r="C169" s="1092">
        <v>5</v>
      </c>
      <c r="D169" s="1092">
        <v>5</v>
      </c>
      <c r="E169" s="584">
        <v>0.2</v>
      </c>
      <c r="F169" s="584">
        <v>0.2</v>
      </c>
      <c r="G169" s="584">
        <v>480</v>
      </c>
      <c r="H169" s="584">
        <v>12.8</v>
      </c>
      <c r="I169" s="584">
        <v>0</v>
      </c>
      <c r="J169" s="584">
        <v>0</v>
      </c>
      <c r="K169" s="584">
        <v>0</v>
      </c>
      <c r="L169" s="584">
        <v>0</v>
      </c>
      <c r="M169" s="584">
        <v>0</v>
      </c>
      <c r="N169" s="584">
        <v>0</v>
      </c>
      <c r="O169" s="584">
        <v>0</v>
      </c>
      <c r="P169" s="584">
        <v>0</v>
      </c>
      <c r="Q169" s="584">
        <v>0</v>
      </c>
      <c r="R169" s="584">
        <v>0</v>
      </c>
      <c r="S169" s="584">
        <v>0</v>
      </c>
      <c r="T169" s="584">
        <v>102.33143750000001</v>
      </c>
      <c r="U169" s="584">
        <v>25</v>
      </c>
      <c r="V169" s="584">
        <v>144.81243749999999</v>
      </c>
      <c r="W169" s="584">
        <v>52.5</v>
      </c>
      <c r="X169" s="584">
        <v>168.49100000000001</v>
      </c>
      <c r="Y169" s="584">
        <v>110</v>
      </c>
      <c r="Z169" s="584">
        <v>0.2</v>
      </c>
      <c r="AA169" s="584">
        <v>0.2</v>
      </c>
      <c r="AB169" s="584">
        <v>480</v>
      </c>
      <c r="AC169" s="584">
        <v>18</v>
      </c>
      <c r="AD169" s="584">
        <v>0</v>
      </c>
      <c r="AE169" s="584">
        <v>0</v>
      </c>
      <c r="AF169" s="584">
        <v>0</v>
      </c>
      <c r="AG169" s="584">
        <v>0</v>
      </c>
      <c r="AH169" s="584">
        <v>0</v>
      </c>
      <c r="AI169" s="584">
        <v>0</v>
      </c>
      <c r="AJ169" s="584">
        <v>0</v>
      </c>
      <c r="AK169" s="584">
        <v>0</v>
      </c>
      <c r="AL169" s="584">
        <v>0</v>
      </c>
      <c r="AM169" s="584">
        <v>0</v>
      </c>
      <c r="AN169" s="584">
        <v>0</v>
      </c>
      <c r="AO169" s="584">
        <v>102.33143750000001</v>
      </c>
      <c r="AP169" s="584">
        <v>25</v>
      </c>
      <c r="AQ169" s="584">
        <v>144.81243749999999</v>
      </c>
      <c r="AR169" s="584">
        <v>52.5</v>
      </c>
      <c r="AS169" s="584">
        <v>168.49100000000001</v>
      </c>
      <c r="AT169" s="584">
        <v>110</v>
      </c>
      <c r="AU169" s="584">
        <v>0.3</v>
      </c>
      <c r="AV169" s="584">
        <v>0.25</v>
      </c>
      <c r="AW169" s="584">
        <v>444.230769230769</v>
      </c>
      <c r="AX169" s="584">
        <v>19.9290709290709</v>
      </c>
      <c r="AY169" s="584">
        <v>0</v>
      </c>
      <c r="AZ169" s="584">
        <v>0</v>
      </c>
      <c r="BA169" s="584">
        <v>0</v>
      </c>
      <c r="BB169" s="584">
        <v>0</v>
      </c>
      <c r="BC169" s="584">
        <v>0</v>
      </c>
      <c r="BD169" s="584">
        <v>0</v>
      </c>
      <c r="BE169" s="584">
        <v>0</v>
      </c>
      <c r="BF169" s="584">
        <v>0</v>
      </c>
      <c r="BG169" s="584">
        <v>0.3</v>
      </c>
      <c r="BH169" s="584">
        <v>0</v>
      </c>
      <c r="BI169" s="584">
        <v>0.45</v>
      </c>
      <c r="BJ169" s="584">
        <v>103.950419642857</v>
      </c>
      <c r="BK169" s="584">
        <v>25</v>
      </c>
      <c r="BL169" s="584">
        <v>142.58934375000001</v>
      </c>
      <c r="BM169" s="584">
        <v>52.5</v>
      </c>
      <c r="BN169" s="584">
        <v>155.83601785714299</v>
      </c>
      <c r="BO169" s="584">
        <v>110</v>
      </c>
      <c r="BP169" s="584">
        <v>0.25</v>
      </c>
      <c r="BQ169" s="584">
        <v>0.13</v>
      </c>
      <c r="BR169" s="584">
        <v>383.20879120879101</v>
      </c>
      <c r="BS169" s="584">
        <v>13.524100899100899</v>
      </c>
      <c r="BT169" s="584">
        <v>0</v>
      </c>
      <c r="BU169" s="584">
        <v>0</v>
      </c>
      <c r="BV169" s="584">
        <v>0</v>
      </c>
      <c r="BW169" s="584">
        <v>0</v>
      </c>
      <c r="BX169" s="584">
        <v>0</v>
      </c>
      <c r="BY169" s="584">
        <v>0</v>
      </c>
      <c r="BZ169" s="584">
        <v>0</v>
      </c>
      <c r="CA169" s="584">
        <v>0.25</v>
      </c>
      <c r="CB169" s="584">
        <v>0.25</v>
      </c>
      <c r="CC169" s="584">
        <v>0.3</v>
      </c>
      <c r="CD169" s="584">
        <v>0.3</v>
      </c>
      <c r="CE169" s="584">
        <v>102.2159</v>
      </c>
      <c r="CF169" s="584">
        <v>25</v>
      </c>
      <c r="CG169" s="584">
        <v>136.87815000000001</v>
      </c>
      <c r="CH169" s="584">
        <v>52.5</v>
      </c>
      <c r="CI169" s="584">
        <v>128.80439999999999</v>
      </c>
      <c r="CJ169" s="584">
        <v>110</v>
      </c>
      <c r="CK169" s="584">
        <v>0.27500000000000002</v>
      </c>
      <c r="CL169" s="584">
        <v>0.15</v>
      </c>
      <c r="CM169" s="584">
        <v>392.72727272727298</v>
      </c>
      <c r="CN169" s="584">
        <v>15.710964035964</v>
      </c>
      <c r="CO169" s="584">
        <v>0</v>
      </c>
      <c r="CP169" s="584">
        <v>0</v>
      </c>
      <c r="CQ169" s="584">
        <v>0</v>
      </c>
      <c r="CR169" s="584">
        <v>0</v>
      </c>
      <c r="CS169" s="584">
        <v>0</v>
      </c>
      <c r="CT169" s="584">
        <v>0</v>
      </c>
      <c r="CU169" s="584">
        <v>0</v>
      </c>
      <c r="CV169" s="584">
        <v>0</v>
      </c>
      <c r="CW169" s="584">
        <v>0.27500000000000002</v>
      </c>
      <c r="CX169" s="584">
        <v>0</v>
      </c>
      <c r="CY169" s="584">
        <v>0.45</v>
      </c>
      <c r="CZ169" s="584">
        <v>100.59875</v>
      </c>
      <c r="DA169" s="584">
        <v>25</v>
      </c>
      <c r="DB169" s="584">
        <v>134.4735</v>
      </c>
      <c r="DC169" s="584">
        <v>52.5</v>
      </c>
      <c r="DD169" s="584">
        <v>140.84350000000001</v>
      </c>
      <c r="DE169" s="584">
        <v>110</v>
      </c>
      <c r="DF169" s="584">
        <v>0.35</v>
      </c>
      <c r="DG169" s="584">
        <v>0.2</v>
      </c>
      <c r="DH169" s="584">
        <v>381.08204295704297</v>
      </c>
      <c r="DI169" s="584">
        <v>18.1795955294705</v>
      </c>
      <c r="DJ169" s="584">
        <v>300</v>
      </c>
      <c r="DK169" s="584">
        <v>0</v>
      </c>
      <c r="DL169" s="584">
        <v>0</v>
      </c>
      <c r="DM169" s="584">
        <v>0</v>
      </c>
      <c r="DN169" s="584">
        <v>0</v>
      </c>
      <c r="DO169" s="584">
        <v>0</v>
      </c>
      <c r="DP169" s="584">
        <v>0</v>
      </c>
      <c r="DQ169" s="584">
        <v>0</v>
      </c>
      <c r="DR169" s="584">
        <v>0.35</v>
      </c>
      <c r="DS169" s="584">
        <v>0</v>
      </c>
      <c r="DT169" s="584">
        <v>2.4</v>
      </c>
      <c r="DU169" s="584">
        <v>107.32925</v>
      </c>
      <c r="DV169" s="584">
        <v>25</v>
      </c>
      <c r="DW169" s="584">
        <v>183.124</v>
      </c>
      <c r="DX169" s="584">
        <v>52.5</v>
      </c>
      <c r="DY169" s="584">
        <v>212.62649999999999</v>
      </c>
      <c r="DZ169" s="584">
        <v>110</v>
      </c>
      <c r="EA169" s="1062">
        <v>0.50719999999999998</v>
      </c>
      <c r="EB169" s="1046">
        <v>0.2</v>
      </c>
      <c r="EC169" s="1093">
        <v>132.51783893985726</v>
      </c>
      <c r="ED169" s="1046">
        <v>0</v>
      </c>
      <c r="EE169" s="1046">
        <v>285.42303771661568</v>
      </c>
      <c r="EF169" s="1046">
        <v>13</v>
      </c>
      <c r="EG169" s="1046">
        <v>0</v>
      </c>
      <c r="EH169" s="1046">
        <v>0</v>
      </c>
      <c r="EI169" s="1046" t="s">
        <v>494</v>
      </c>
      <c r="EJ169" s="1046" t="s">
        <v>518</v>
      </c>
      <c r="EK169" s="1046">
        <v>0</v>
      </c>
      <c r="EL169" s="1046">
        <v>0</v>
      </c>
      <c r="EM169" s="1046">
        <v>0</v>
      </c>
      <c r="EN169" s="1046">
        <v>0</v>
      </c>
      <c r="EO169" s="1046">
        <v>0</v>
      </c>
      <c r="EP169" s="1094">
        <v>31.422062499999999</v>
      </c>
      <c r="EQ169" s="1094">
        <v>25</v>
      </c>
      <c r="ER169" s="1094">
        <v>62.844124999999998</v>
      </c>
      <c r="ES169" s="1095">
        <v>50</v>
      </c>
      <c r="ET169" s="1094">
        <v>125.68825</v>
      </c>
      <c r="EU169" s="1094">
        <v>100</v>
      </c>
      <c r="EV169" s="1096">
        <v>0.45660000000000001</v>
      </c>
      <c r="EW169" s="1097">
        <v>0.15</v>
      </c>
      <c r="EX169" s="1096">
        <v>289.50050968399592</v>
      </c>
      <c r="EY169" s="1096">
        <v>1.5443934760448521</v>
      </c>
      <c r="EZ169" s="1096">
        <v>0</v>
      </c>
      <c r="FA169" s="1096">
        <v>17.28</v>
      </c>
      <c r="FB169" s="1098">
        <v>0</v>
      </c>
      <c r="FC169" s="1098">
        <v>0</v>
      </c>
      <c r="FD169" s="1098" t="s">
        <v>488</v>
      </c>
      <c r="FE169" s="1098" t="s">
        <v>490</v>
      </c>
      <c r="FF169" s="1098">
        <v>1</v>
      </c>
      <c r="FG169" s="1098">
        <v>0</v>
      </c>
      <c r="FH169" s="1098">
        <v>0</v>
      </c>
      <c r="FI169" s="1098">
        <v>0</v>
      </c>
      <c r="FJ169" s="1098">
        <v>0</v>
      </c>
      <c r="FK169" s="1096">
        <v>24.591670625000003</v>
      </c>
      <c r="FL169" s="1096">
        <v>25</v>
      </c>
      <c r="FM169" s="1096">
        <v>49.183341250000005</v>
      </c>
      <c r="FN169" s="1096">
        <v>50</v>
      </c>
      <c r="FO169" s="1096">
        <v>98.36668250000001</v>
      </c>
      <c r="FP169" s="1099">
        <v>100</v>
      </c>
      <c r="FQ169" s="1064">
        <v>0.64195999999999998</v>
      </c>
      <c r="FR169" s="1065">
        <v>0.15</v>
      </c>
      <c r="FS169" s="1066">
        <v>289.50050968399586</v>
      </c>
      <c r="FT169" s="1066">
        <v>3.1754272996334754</v>
      </c>
      <c r="FU169" s="1065"/>
      <c r="FV169" s="1066">
        <v>40.81929053470467</v>
      </c>
      <c r="FW169" s="1065"/>
      <c r="FX169" s="1065"/>
      <c r="FY169" s="1065" t="s">
        <v>481</v>
      </c>
      <c r="FZ169" s="1065" t="s">
        <v>490</v>
      </c>
      <c r="GA169" s="1065">
        <v>1</v>
      </c>
      <c r="GB169" s="1065"/>
      <c r="GC169" s="1065"/>
      <c r="GD169" s="1065"/>
      <c r="GE169" s="1065"/>
      <c r="GF169" s="1066">
        <v>25.44742613721786</v>
      </c>
      <c r="GG169" s="1066">
        <v>25</v>
      </c>
      <c r="GH169" s="1066">
        <v>50.894852274435721</v>
      </c>
      <c r="GI169" s="1066">
        <v>50</v>
      </c>
      <c r="GJ169" s="1066">
        <v>101.78970454887144</v>
      </c>
      <c r="GK169" s="1066">
        <v>100</v>
      </c>
      <c r="GL169" s="584">
        <v>0.41870000000000002</v>
      </c>
      <c r="GM169" s="584">
        <v>0.11</v>
      </c>
      <c r="GN169" s="584"/>
      <c r="GO169" s="584"/>
      <c r="GP169" s="584"/>
      <c r="GQ169" s="584">
        <v>15.56</v>
      </c>
      <c r="GR169" s="584"/>
      <c r="GS169" s="584">
        <v>56.065239551478101</v>
      </c>
      <c r="GT169" s="584" t="s">
        <v>500</v>
      </c>
      <c r="GU169" s="584" t="s">
        <v>502</v>
      </c>
      <c r="GV169" s="584">
        <v>1</v>
      </c>
      <c r="GW169" s="584"/>
      <c r="GX169" s="584"/>
      <c r="GY169" s="584"/>
      <c r="GZ169" s="584"/>
      <c r="HA169" s="584">
        <v>9.3915225000000007</v>
      </c>
      <c r="HB169" s="584">
        <v>25</v>
      </c>
      <c r="HC169" s="584">
        <v>18.783045000000001</v>
      </c>
      <c r="HD169" s="584">
        <v>50</v>
      </c>
      <c r="HE169" s="584">
        <v>37.566090000000003</v>
      </c>
      <c r="HF169" s="584">
        <v>100</v>
      </c>
      <c r="HG169" s="1100">
        <v>0.55000000000000004</v>
      </c>
      <c r="HH169" s="1100">
        <v>0.11</v>
      </c>
      <c r="HI169" s="1101">
        <v>0</v>
      </c>
      <c r="HJ169" s="1101">
        <v>0</v>
      </c>
      <c r="HK169" s="1101">
        <v>0</v>
      </c>
      <c r="HL169" s="1101">
        <v>0</v>
      </c>
      <c r="HM169" s="1101">
        <v>24.119999999999997</v>
      </c>
      <c r="HN169" s="1101">
        <v>54.999999999999993</v>
      </c>
      <c r="HO169" s="1101">
        <v>0</v>
      </c>
      <c r="HP169" s="1101">
        <v>0</v>
      </c>
      <c r="HQ169" s="1101">
        <v>1</v>
      </c>
      <c r="HR169" s="1101">
        <v>0.44</v>
      </c>
      <c r="HS169" s="1101">
        <v>0.32</v>
      </c>
      <c r="HT169" s="1101">
        <v>0.26</v>
      </c>
      <c r="HU169" s="1101">
        <v>0.24</v>
      </c>
      <c r="HV169" s="1101">
        <v>9.8510449999999992</v>
      </c>
      <c r="HW169" s="1101">
        <v>25</v>
      </c>
      <c r="HX169" s="1101">
        <v>19.702089999999998</v>
      </c>
      <c r="HY169" s="1101">
        <v>50</v>
      </c>
      <c r="HZ169" s="1101">
        <v>39.404179999999997</v>
      </c>
      <c r="IA169" s="1101">
        <v>100</v>
      </c>
      <c r="IB169" s="1062"/>
      <c r="ID169" s="1050"/>
      <c r="IE169" s="1050"/>
      <c r="IM169" s="1050"/>
      <c r="IN169" s="1050"/>
      <c r="IO169" s="1050"/>
      <c r="IP169" s="1050"/>
      <c r="JU169" s="1050"/>
      <c r="KC169" s="1050"/>
      <c r="KD169" s="1050"/>
      <c r="KE169" s="1050"/>
      <c r="KF169" s="1050"/>
      <c r="KN169" s="1103"/>
    </row>
    <row r="170" spans="2:300">
      <c r="B170" s="1048" t="str">
        <f t="shared" ref="B170:B233" si="6">"E"&amp;C170&amp;D170</f>
        <v>E56</v>
      </c>
      <c r="C170" s="1092">
        <v>5</v>
      </c>
      <c r="D170" s="1092">
        <v>6</v>
      </c>
      <c r="E170" s="584">
        <v>0.21</v>
      </c>
      <c r="F170" s="584">
        <v>0.21</v>
      </c>
      <c r="G170" s="584">
        <v>504</v>
      </c>
      <c r="H170" s="584">
        <v>13.86</v>
      </c>
      <c r="I170" s="584">
        <v>0</v>
      </c>
      <c r="J170" s="584">
        <v>0</v>
      </c>
      <c r="K170" s="584">
        <v>0</v>
      </c>
      <c r="L170" s="584">
        <v>0</v>
      </c>
      <c r="M170" s="584">
        <v>0</v>
      </c>
      <c r="N170" s="584">
        <v>0</v>
      </c>
      <c r="O170" s="584">
        <v>0</v>
      </c>
      <c r="P170" s="584">
        <v>0</v>
      </c>
      <c r="Q170" s="584">
        <v>0</v>
      </c>
      <c r="R170" s="584">
        <v>0</v>
      </c>
      <c r="S170" s="584">
        <v>0</v>
      </c>
      <c r="T170" s="584">
        <v>117.80143750000001</v>
      </c>
      <c r="U170" s="584">
        <v>30</v>
      </c>
      <c r="V170" s="584">
        <v>177.01593750000001</v>
      </c>
      <c r="W170" s="584">
        <v>63</v>
      </c>
      <c r="X170" s="584">
        <v>208.64099999999999</v>
      </c>
      <c r="Y170" s="584">
        <v>132</v>
      </c>
      <c r="Z170" s="584">
        <v>0.2</v>
      </c>
      <c r="AA170" s="584">
        <v>0.2</v>
      </c>
      <c r="AB170" s="584">
        <v>480</v>
      </c>
      <c r="AC170" s="584">
        <v>16</v>
      </c>
      <c r="AD170" s="584">
        <v>0</v>
      </c>
      <c r="AE170" s="584">
        <v>0</v>
      </c>
      <c r="AF170" s="584">
        <v>0</v>
      </c>
      <c r="AG170" s="584">
        <v>0</v>
      </c>
      <c r="AH170" s="584">
        <v>0</v>
      </c>
      <c r="AI170" s="584">
        <v>0</v>
      </c>
      <c r="AJ170" s="584">
        <v>0</v>
      </c>
      <c r="AK170" s="584">
        <v>0</v>
      </c>
      <c r="AL170" s="584">
        <v>0</v>
      </c>
      <c r="AM170" s="584">
        <v>0</v>
      </c>
      <c r="AN170" s="584">
        <v>0</v>
      </c>
      <c r="AO170" s="584">
        <v>115.64143749999999</v>
      </c>
      <c r="AP170" s="584">
        <v>30</v>
      </c>
      <c r="AQ170" s="584">
        <v>172.76343750000001</v>
      </c>
      <c r="AR170" s="584">
        <v>63</v>
      </c>
      <c r="AS170" s="584">
        <v>200.39099999999999</v>
      </c>
      <c r="AT170" s="584">
        <v>132</v>
      </c>
      <c r="AU170" s="584">
        <v>0.3</v>
      </c>
      <c r="AV170" s="584">
        <v>0.25</v>
      </c>
      <c r="AW170" s="584">
        <v>429.52974444909898</v>
      </c>
      <c r="AX170" s="584">
        <v>21.8073942186845</v>
      </c>
      <c r="AY170" s="584">
        <v>0</v>
      </c>
      <c r="AZ170" s="584">
        <v>0</v>
      </c>
      <c r="BA170" s="584">
        <v>0</v>
      </c>
      <c r="BB170" s="584">
        <v>0</v>
      </c>
      <c r="BC170" s="584">
        <v>0</v>
      </c>
      <c r="BD170" s="584">
        <v>0</v>
      </c>
      <c r="BE170" s="584">
        <v>0</v>
      </c>
      <c r="BF170" s="584">
        <v>0</v>
      </c>
      <c r="BG170" s="584">
        <v>0.3</v>
      </c>
      <c r="BH170" s="584">
        <v>0</v>
      </c>
      <c r="BI170" s="584">
        <v>0.6</v>
      </c>
      <c r="BJ170" s="584">
        <v>115.87812557603699</v>
      </c>
      <c r="BK170" s="584">
        <v>30</v>
      </c>
      <c r="BL170" s="584">
        <v>166.82066129032299</v>
      </c>
      <c r="BM170" s="584">
        <v>63</v>
      </c>
      <c r="BN170" s="584">
        <v>179.29714976958499</v>
      </c>
      <c r="BO170" s="584">
        <v>132</v>
      </c>
      <c r="BP170" s="584">
        <v>0.3</v>
      </c>
      <c r="BQ170" s="584">
        <v>0.13</v>
      </c>
      <c r="BR170" s="584">
        <v>381.82823627984902</v>
      </c>
      <c r="BS170" s="584">
        <v>16.414884792626701</v>
      </c>
      <c r="BT170" s="584">
        <v>0</v>
      </c>
      <c r="BU170" s="584">
        <v>0</v>
      </c>
      <c r="BV170" s="584">
        <v>0</v>
      </c>
      <c r="BW170" s="584">
        <v>0</v>
      </c>
      <c r="BX170" s="584">
        <v>0</v>
      </c>
      <c r="BY170" s="584">
        <v>0</v>
      </c>
      <c r="BZ170" s="584">
        <v>0</v>
      </c>
      <c r="CA170" s="584">
        <v>0.25</v>
      </c>
      <c r="CB170" s="584">
        <v>0.3</v>
      </c>
      <c r="CC170" s="584">
        <v>0.3</v>
      </c>
      <c r="CD170" s="584">
        <v>0.3</v>
      </c>
      <c r="CE170" s="584">
        <v>113.9419</v>
      </c>
      <c r="CF170" s="584">
        <v>30</v>
      </c>
      <c r="CG170" s="584">
        <v>162.78389999999999</v>
      </c>
      <c r="CH170" s="584">
        <v>63</v>
      </c>
      <c r="CI170" s="584">
        <v>153.99539999999999</v>
      </c>
      <c r="CJ170" s="584">
        <v>132</v>
      </c>
      <c r="CK170" s="584">
        <v>0.35</v>
      </c>
      <c r="CL170" s="584">
        <v>0.15</v>
      </c>
      <c r="CM170" s="584">
        <v>392.96056765814802</v>
      </c>
      <c r="CN170" s="584">
        <v>16.367029744449098</v>
      </c>
      <c r="CO170" s="584">
        <v>0</v>
      </c>
      <c r="CP170" s="584">
        <v>0</v>
      </c>
      <c r="CQ170" s="584">
        <v>0</v>
      </c>
      <c r="CR170" s="584">
        <v>0</v>
      </c>
      <c r="CS170" s="584">
        <v>0</v>
      </c>
      <c r="CT170" s="584">
        <v>0</v>
      </c>
      <c r="CU170" s="584">
        <v>0</v>
      </c>
      <c r="CV170" s="584">
        <v>0</v>
      </c>
      <c r="CW170" s="584">
        <v>0.35</v>
      </c>
      <c r="CX170" s="584">
        <v>0</v>
      </c>
      <c r="CY170" s="584">
        <v>0.3</v>
      </c>
      <c r="CZ170" s="584">
        <v>112.929625</v>
      </c>
      <c r="DA170" s="584">
        <v>30</v>
      </c>
      <c r="DB170" s="584">
        <v>160.011</v>
      </c>
      <c r="DC170" s="584">
        <v>63</v>
      </c>
      <c r="DD170" s="584">
        <v>167.655</v>
      </c>
      <c r="DE170" s="584">
        <v>132</v>
      </c>
      <c r="DF170" s="584">
        <v>0.35</v>
      </c>
      <c r="DG170" s="584">
        <v>0.2</v>
      </c>
      <c r="DH170" s="584">
        <v>392.47434017595299</v>
      </c>
      <c r="DI170" s="584">
        <v>20.2057897989108</v>
      </c>
      <c r="DJ170" s="584">
        <v>300</v>
      </c>
      <c r="DK170" s="584">
        <v>0</v>
      </c>
      <c r="DL170" s="584">
        <v>0</v>
      </c>
      <c r="DM170" s="584">
        <v>0</v>
      </c>
      <c r="DN170" s="584">
        <v>0</v>
      </c>
      <c r="DO170" s="584">
        <v>0</v>
      </c>
      <c r="DP170" s="584">
        <v>0</v>
      </c>
      <c r="DQ170" s="584">
        <v>0</v>
      </c>
      <c r="DR170" s="584">
        <v>0.35</v>
      </c>
      <c r="DS170" s="584">
        <v>0</v>
      </c>
      <c r="DT170" s="584">
        <v>2.4</v>
      </c>
      <c r="DU170" s="584">
        <v>123.33925000000001</v>
      </c>
      <c r="DV170" s="584">
        <v>30</v>
      </c>
      <c r="DW170" s="584">
        <v>204.124</v>
      </c>
      <c r="DX170" s="584">
        <v>63</v>
      </c>
      <c r="DY170" s="584">
        <v>253.4265</v>
      </c>
      <c r="DZ170" s="584">
        <v>132</v>
      </c>
      <c r="EA170" s="1062">
        <v>0.51100000000000001</v>
      </c>
      <c r="EB170" s="1046">
        <v>0.2</v>
      </c>
      <c r="EC170" s="1093">
        <v>132.51783893985726</v>
      </c>
      <c r="ED170" s="1046">
        <v>0</v>
      </c>
      <c r="EE170" s="1046">
        <v>285.42303771661568</v>
      </c>
      <c r="EF170" s="1046">
        <v>13.056666666666667</v>
      </c>
      <c r="EG170" s="1046">
        <v>0</v>
      </c>
      <c r="EH170" s="1046">
        <v>0</v>
      </c>
      <c r="EI170" s="1046" t="s">
        <v>492</v>
      </c>
      <c r="EJ170" s="1046" t="s">
        <v>510</v>
      </c>
      <c r="EK170" s="1046">
        <v>0</v>
      </c>
      <c r="EL170" s="1046">
        <v>0</v>
      </c>
      <c r="EM170" s="1046">
        <v>0</v>
      </c>
      <c r="EN170" s="1046">
        <v>0</v>
      </c>
      <c r="EO170" s="1046">
        <v>0</v>
      </c>
      <c r="EP170" s="1094">
        <v>37.710644249999994</v>
      </c>
      <c r="EQ170" s="1094">
        <v>30</v>
      </c>
      <c r="ER170" s="1094">
        <v>75.421288499999989</v>
      </c>
      <c r="ES170" s="1095">
        <v>60</v>
      </c>
      <c r="ET170" s="1094">
        <v>150.84257699999998</v>
      </c>
      <c r="EU170" s="1094">
        <v>120</v>
      </c>
      <c r="EV170" s="1096">
        <v>0.46039999999999998</v>
      </c>
      <c r="EW170" s="1097">
        <v>0.15</v>
      </c>
      <c r="EX170" s="1096">
        <v>289.50050968399592</v>
      </c>
      <c r="EY170" s="1096">
        <v>1.5443934760448521</v>
      </c>
      <c r="EZ170" s="1096">
        <v>0</v>
      </c>
      <c r="FA170" s="1096">
        <v>17.059999999999999</v>
      </c>
      <c r="FB170" s="1098">
        <v>0</v>
      </c>
      <c r="FC170" s="1098">
        <v>0</v>
      </c>
      <c r="FD170" s="1098" t="s">
        <v>486</v>
      </c>
      <c r="FE170" s="1098" t="s">
        <v>490</v>
      </c>
      <c r="FF170" s="1098">
        <v>1</v>
      </c>
      <c r="FG170" s="1098">
        <v>0</v>
      </c>
      <c r="FH170" s="1098">
        <v>0</v>
      </c>
      <c r="FI170" s="1098">
        <v>0</v>
      </c>
      <c r="FJ170" s="1098">
        <v>0</v>
      </c>
      <c r="FK170" s="1096">
        <v>29.493818249999997</v>
      </c>
      <c r="FL170" s="1096">
        <v>30</v>
      </c>
      <c r="FM170" s="1096">
        <v>58.987636499999994</v>
      </c>
      <c r="FN170" s="1096">
        <v>60</v>
      </c>
      <c r="FO170" s="1096">
        <v>117.97527299999999</v>
      </c>
      <c r="FP170" s="1099">
        <v>120</v>
      </c>
      <c r="FQ170" s="1064">
        <v>0.57475999999999994</v>
      </c>
      <c r="FR170" s="1065">
        <v>0.15</v>
      </c>
      <c r="FS170" s="1066">
        <v>289.50050968399586</v>
      </c>
      <c r="FT170" s="1066">
        <v>3.1754272996334754</v>
      </c>
      <c r="FU170" s="1065"/>
      <c r="FV170" s="1066">
        <v>38.0093607202855</v>
      </c>
      <c r="FW170" s="1065"/>
      <c r="FX170" s="1065"/>
      <c r="FY170" s="1065" t="s">
        <v>490</v>
      </c>
      <c r="FZ170" s="1065" t="s">
        <v>490</v>
      </c>
      <c r="GA170" s="1065">
        <v>1</v>
      </c>
      <c r="GB170" s="1065"/>
      <c r="GC170" s="1065"/>
      <c r="GD170" s="1065"/>
      <c r="GE170" s="1065"/>
      <c r="GF170" s="1066">
        <v>30.330170778565531</v>
      </c>
      <c r="GG170" s="1066">
        <v>30</v>
      </c>
      <c r="GH170" s="1066">
        <v>60.660341557131062</v>
      </c>
      <c r="GI170" s="1066">
        <v>60</v>
      </c>
      <c r="GJ170" s="1066">
        <v>121.32068311426212</v>
      </c>
      <c r="GK170" s="1066">
        <v>120</v>
      </c>
      <c r="GL170" s="584">
        <v>0.45900000000000002</v>
      </c>
      <c r="GM170" s="584">
        <v>0.11</v>
      </c>
      <c r="GN170" s="584"/>
      <c r="GO170" s="584"/>
      <c r="GP170" s="584"/>
      <c r="GQ170" s="584">
        <v>16.796666666666699</v>
      </c>
      <c r="GR170" s="584"/>
      <c r="GS170" s="584">
        <v>56.065239551478101</v>
      </c>
      <c r="GT170" s="584" t="s">
        <v>484</v>
      </c>
      <c r="GU170" s="584" t="s">
        <v>500</v>
      </c>
      <c r="GV170" s="584">
        <v>1</v>
      </c>
      <c r="GW170" s="584"/>
      <c r="GX170" s="584"/>
      <c r="GY170" s="584"/>
      <c r="GZ170" s="584"/>
      <c r="HA170" s="584">
        <v>11.360814749999999</v>
      </c>
      <c r="HB170" s="584">
        <v>30</v>
      </c>
      <c r="HC170" s="584">
        <v>22.721629499999999</v>
      </c>
      <c r="HD170" s="584">
        <v>60</v>
      </c>
      <c r="HE170" s="584">
        <v>45.443258999999998</v>
      </c>
      <c r="HF170" s="584">
        <v>120</v>
      </c>
      <c r="HG170" s="1100">
        <v>0.59</v>
      </c>
      <c r="HH170" s="1100">
        <v>0.11</v>
      </c>
      <c r="HI170" s="1101">
        <v>0</v>
      </c>
      <c r="HJ170" s="1101">
        <v>0</v>
      </c>
      <c r="HK170" s="1101">
        <v>0</v>
      </c>
      <c r="HL170" s="1101">
        <v>0</v>
      </c>
      <c r="HM170" s="1101">
        <v>28.08</v>
      </c>
      <c r="HN170" s="1101">
        <v>54.999999999999993</v>
      </c>
      <c r="HO170" s="1101">
        <v>0</v>
      </c>
      <c r="HP170" s="1101">
        <v>0</v>
      </c>
      <c r="HQ170" s="1101">
        <v>1</v>
      </c>
      <c r="HR170" s="1101">
        <v>0.48</v>
      </c>
      <c r="HS170" s="1101">
        <v>0.4</v>
      </c>
      <c r="HT170" s="1101">
        <v>0.26</v>
      </c>
      <c r="HU170" s="1101">
        <v>0.26</v>
      </c>
      <c r="HV170" s="1101">
        <v>12.112610999999999</v>
      </c>
      <c r="HW170" s="1101">
        <v>30</v>
      </c>
      <c r="HX170" s="1101">
        <v>24.225221999999999</v>
      </c>
      <c r="HY170" s="1101">
        <v>60</v>
      </c>
      <c r="HZ170" s="1101">
        <v>48.450443999999997</v>
      </c>
      <c r="IA170" s="1101">
        <v>120</v>
      </c>
      <c r="IB170" s="1062"/>
      <c r="ID170" s="1050"/>
      <c r="IE170" s="1050"/>
      <c r="IM170" s="1050"/>
      <c r="IN170" s="1050"/>
      <c r="IO170" s="1050"/>
      <c r="IP170" s="1050"/>
      <c r="JU170" s="1050"/>
      <c r="KC170" s="1050"/>
      <c r="KD170" s="1050"/>
      <c r="KE170" s="1050"/>
      <c r="KF170" s="1050"/>
      <c r="KN170" s="1103"/>
    </row>
    <row r="171" spans="2:300">
      <c r="B171" s="1048" t="str">
        <f t="shared" si="6"/>
        <v>E57</v>
      </c>
      <c r="C171" s="1092">
        <v>5</v>
      </c>
      <c r="D171" s="1092">
        <v>7</v>
      </c>
      <c r="E171" s="584">
        <v>0.23499999999999999</v>
      </c>
      <c r="F171" s="584">
        <v>0.23499999999999999</v>
      </c>
      <c r="G171" s="584">
        <v>564</v>
      </c>
      <c r="H171" s="584">
        <v>15.04</v>
      </c>
      <c r="I171" s="584">
        <v>0</v>
      </c>
      <c r="J171" s="584">
        <v>0</v>
      </c>
      <c r="K171" s="584">
        <v>0</v>
      </c>
      <c r="L171" s="584">
        <v>0</v>
      </c>
      <c r="M171" s="584">
        <v>0</v>
      </c>
      <c r="N171" s="584">
        <v>0</v>
      </c>
      <c r="O171" s="584">
        <v>0</v>
      </c>
      <c r="P171" s="584">
        <v>0</v>
      </c>
      <c r="Q171" s="584">
        <v>0</v>
      </c>
      <c r="R171" s="584">
        <v>0</v>
      </c>
      <c r="S171" s="584">
        <v>0</v>
      </c>
      <c r="T171" s="584">
        <v>137.69268750000001</v>
      </c>
      <c r="U171" s="584">
        <v>35</v>
      </c>
      <c r="V171" s="584">
        <v>218.0788125</v>
      </c>
      <c r="W171" s="584">
        <v>73.5</v>
      </c>
      <c r="X171" s="584">
        <v>265.9785</v>
      </c>
      <c r="Y171" s="584">
        <v>154</v>
      </c>
      <c r="Z171" s="584">
        <v>0.20499999999999999</v>
      </c>
      <c r="AA171" s="584">
        <v>0.20499999999999999</v>
      </c>
      <c r="AB171" s="584">
        <v>492</v>
      </c>
      <c r="AC171" s="584">
        <v>15</v>
      </c>
      <c r="AD171" s="584">
        <v>0</v>
      </c>
      <c r="AE171" s="584">
        <v>0</v>
      </c>
      <c r="AF171" s="584">
        <v>0</v>
      </c>
      <c r="AG171" s="584">
        <v>0</v>
      </c>
      <c r="AH171" s="584">
        <v>0</v>
      </c>
      <c r="AI171" s="584">
        <v>0</v>
      </c>
      <c r="AJ171" s="584">
        <v>0</v>
      </c>
      <c r="AK171" s="584">
        <v>0</v>
      </c>
      <c r="AL171" s="584">
        <v>0</v>
      </c>
      <c r="AM171" s="584">
        <v>0</v>
      </c>
      <c r="AN171" s="584">
        <v>0</v>
      </c>
      <c r="AO171" s="584">
        <v>130.2001875</v>
      </c>
      <c r="AP171" s="584">
        <v>35</v>
      </c>
      <c r="AQ171" s="584">
        <v>203.19506250000001</v>
      </c>
      <c r="AR171" s="584">
        <v>73.5</v>
      </c>
      <c r="AS171" s="584">
        <v>237.1035</v>
      </c>
      <c r="AT171" s="584">
        <v>154</v>
      </c>
      <c r="AU171" s="584">
        <v>0.35</v>
      </c>
      <c r="AV171" s="584">
        <v>0.25</v>
      </c>
      <c r="AW171" s="584">
        <v>439.48051948051898</v>
      </c>
      <c r="AX171" s="584">
        <v>21.4803841991342</v>
      </c>
      <c r="AY171" s="584">
        <v>0</v>
      </c>
      <c r="AZ171" s="584">
        <v>0</v>
      </c>
      <c r="BA171" s="584">
        <v>0</v>
      </c>
      <c r="BB171" s="584">
        <v>0</v>
      </c>
      <c r="BC171" s="584">
        <v>0</v>
      </c>
      <c r="BD171" s="584">
        <v>0</v>
      </c>
      <c r="BE171" s="584">
        <v>0</v>
      </c>
      <c r="BF171" s="584">
        <v>0</v>
      </c>
      <c r="BG171" s="584">
        <v>0.35</v>
      </c>
      <c r="BH171" s="584">
        <v>0</v>
      </c>
      <c r="BI171" s="584">
        <v>0.6</v>
      </c>
      <c r="BJ171" s="584">
        <v>128.93703348214299</v>
      </c>
      <c r="BK171" s="584">
        <v>35</v>
      </c>
      <c r="BL171" s="584">
        <v>194.27824218750001</v>
      </c>
      <c r="BM171" s="584">
        <v>73.5</v>
      </c>
      <c r="BN171" s="584">
        <v>215.26284375</v>
      </c>
      <c r="BO171" s="584">
        <v>154</v>
      </c>
      <c r="BP171" s="584">
        <v>0.35</v>
      </c>
      <c r="BQ171" s="584">
        <v>0.13</v>
      </c>
      <c r="BR171" s="584">
        <v>364.79545454545502</v>
      </c>
      <c r="BS171" s="584">
        <v>17.751896645021599</v>
      </c>
      <c r="BT171" s="584">
        <v>0</v>
      </c>
      <c r="BU171" s="584">
        <v>0</v>
      </c>
      <c r="BV171" s="584">
        <v>0</v>
      </c>
      <c r="BW171" s="584">
        <v>0</v>
      </c>
      <c r="BX171" s="584">
        <v>0</v>
      </c>
      <c r="BY171" s="584">
        <v>0</v>
      </c>
      <c r="BZ171" s="584">
        <v>0</v>
      </c>
      <c r="CA171" s="584">
        <v>0.25</v>
      </c>
      <c r="CB171" s="584">
        <v>0.35</v>
      </c>
      <c r="CC171" s="584">
        <v>0.3</v>
      </c>
      <c r="CD171" s="584">
        <v>0.3</v>
      </c>
      <c r="CE171" s="584">
        <v>121.3929</v>
      </c>
      <c r="CF171" s="584">
        <v>35</v>
      </c>
      <c r="CG171" s="584">
        <v>180.34965</v>
      </c>
      <c r="CH171" s="584">
        <v>73.5</v>
      </c>
      <c r="CI171" s="584">
        <v>179.93639999999999</v>
      </c>
      <c r="CJ171" s="584">
        <v>154</v>
      </c>
      <c r="CK171" s="584">
        <v>0.42499999999999999</v>
      </c>
      <c r="CL171" s="584">
        <v>0.15</v>
      </c>
      <c r="CM171" s="584">
        <v>402.85105519480499</v>
      </c>
      <c r="CN171" s="584">
        <v>16.916139069264101</v>
      </c>
      <c r="CO171" s="584">
        <v>0</v>
      </c>
      <c r="CP171" s="584">
        <v>0</v>
      </c>
      <c r="CQ171" s="584">
        <v>0</v>
      </c>
      <c r="CR171" s="584">
        <v>0</v>
      </c>
      <c r="CS171" s="584">
        <v>0</v>
      </c>
      <c r="CT171" s="584">
        <v>0</v>
      </c>
      <c r="CU171" s="584">
        <v>0</v>
      </c>
      <c r="CV171" s="584">
        <v>0</v>
      </c>
      <c r="CW171" s="584">
        <v>0.42499999999999999</v>
      </c>
      <c r="CX171" s="584">
        <v>0</v>
      </c>
      <c r="CY171" s="584">
        <v>0.6</v>
      </c>
      <c r="CZ171" s="584">
        <v>126.47924999999999</v>
      </c>
      <c r="DA171" s="584">
        <v>35</v>
      </c>
      <c r="DB171" s="584">
        <v>187.04849999999999</v>
      </c>
      <c r="DC171" s="584">
        <v>73.5</v>
      </c>
      <c r="DD171" s="584">
        <v>197.93525</v>
      </c>
      <c r="DE171" s="584">
        <v>154</v>
      </c>
      <c r="DF171" s="584">
        <v>0.35</v>
      </c>
      <c r="DG171" s="584">
        <v>0.2</v>
      </c>
      <c r="DH171" s="584">
        <v>391.15665584415598</v>
      </c>
      <c r="DI171" s="584">
        <v>23.0441523268398</v>
      </c>
      <c r="DJ171" s="584">
        <v>300</v>
      </c>
      <c r="DK171" s="584">
        <v>0</v>
      </c>
      <c r="DL171" s="584">
        <v>0</v>
      </c>
      <c r="DM171" s="584">
        <v>0</v>
      </c>
      <c r="DN171" s="584">
        <v>0</v>
      </c>
      <c r="DO171" s="584">
        <v>0</v>
      </c>
      <c r="DP171" s="584">
        <v>0</v>
      </c>
      <c r="DQ171" s="584">
        <v>0</v>
      </c>
      <c r="DR171" s="584">
        <v>0.35</v>
      </c>
      <c r="DS171" s="584">
        <v>0</v>
      </c>
      <c r="DT171" s="584">
        <v>2.4</v>
      </c>
      <c r="DU171" s="584">
        <v>137.09925000000001</v>
      </c>
      <c r="DV171" s="584">
        <v>35</v>
      </c>
      <c r="DW171" s="584">
        <v>225.124</v>
      </c>
      <c r="DX171" s="584">
        <v>73.5</v>
      </c>
      <c r="DY171" s="584">
        <v>294.22649999999999</v>
      </c>
      <c r="DZ171" s="584">
        <v>154</v>
      </c>
      <c r="EA171" s="1062">
        <v>0.51039999999999996</v>
      </c>
      <c r="EB171" s="1046">
        <v>0.2</v>
      </c>
      <c r="EC171" s="1093">
        <v>132.51783893985726</v>
      </c>
      <c r="ED171" s="1046">
        <v>0</v>
      </c>
      <c r="EE171" s="1046">
        <v>285.42303771661568</v>
      </c>
      <c r="EF171" s="1046">
        <v>15.114285714285714</v>
      </c>
      <c r="EG171" s="1046">
        <v>0</v>
      </c>
      <c r="EH171" s="1046">
        <v>0</v>
      </c>
      <c r="EI171" s="1046" t="s">
        <v>486</v>
      </c>
      <c r="EJ171" s="1046" t="s">
        <v>505</v>
      </c>
      <c r="EK171" s="1046">
        <v>0</v>
      </c>
      <c r="EL171" s="1046">
        <v>0</v>
      </c>
      <c r="EM171" s="1046">
        <v>0</v>
      </c>
      <c r="EN171" s="1046">
        <v>0</v>
      </c>
      <c r="EO171" s="1046">
        <v>0</v>
      </c>
      <c r="EP171" s="1094">
        <v>44.172372499999994</v>
      </c>
      <c r="EQ171" s="1094">
        <v>35</v>
      </c>
      <c r="ER171" s="1094">
        <v>88.344744999999989</v>
      </c>
      <c r="ES171" s="1095">
        <v>70</v>
      </c>
      <c r="ET171" s="1094">
        <v>176.68948999999998</v>
      </c>
      <c r="EU171" s="1094">
        <v>140</v>
      </c>
      <c r="EV171" s="1096">
        <v>0.505</v>
      </c>
      <c r="EW171" s="1097">
        <v>0.15</v>
      </c>
      <c r="EX171" s="1096">
        <v>289.50050968399592</v>
      </c>
      <c r="EY171" s="1096">
        <v>1.5443934760448521</v>
      </c>
      <c r="EZ171" s="1096">
        <v>0</v>
      </c>
      <c r="FA171" s="1096">
        <v>15.345714285714283</v>
      </c>
      <c r="FB171" s="1098">
        <v>0</v>
      </c>
      <c r="FC171" s="1098">
        <v>0</v>
      </c>
      <c r="FD171" s="1098" t="s">
        <v>479</v>
      </c>
      <c r="FE171" s="1098" t="s">
        <v>490</v>
      </c>
      <c r="FF171" s="1098">
        <v>1</v>
      </c>
      <c r="FG171" s="1098">
        <v>0</v>
      </c>
      <c r="FH171" s="1098">
        <v>0</v>
      </c>
      <c r="FI171" s="1098">
        <v>0</v>
      </c>
      <c r="FJ171" s="1098">
        <v>0</v>
      </c>
      <c r="FK171" s="1096">
        <v>34.262304624999999</v>
      </c>
      <c r="FL171" s="1096">
        <v>35</v>
      </c>
      <c r="FM171" s="1096">
        <v>68.524609249999997</v>
      </c>
      <c r="FN171" s="1096">
        <v>70</v>
      </c>
      <c r="FO171" s="1096">
        <v>137.04921849999999</v>
      </c>
      <c r="FP171" s="1099">
        <v>140</v>
      </c>
      <c r="FQ171" s="1064">
        <v>0.57475999999999994</v>
      </c>
      <c r="FR171" s="1065">
        <v>0.15</v>
      </c>
      <c r="FS171" s="1066">
        <v>289.50050968399586</v>
      </c>
      <c r="FT171" s="1066">
        <v>3.1754272996334754</v>
      </c>
      <c r="FU171" s="1065"/>
      <c r="FV171" s="1066">
        <v>36.928209570031449</v>
      </c>
      <c r="FW171" s="1065"/>
      <c r="FX171" s="1065"/>
      <c r="FY171" s="1065" t="s">
        <v>490</v>
      </c>
      <c r="FZ171" s="1065" t="s">
        <v>490</v>
      </c>
      <c r="GA171" s="1065">
        <v>1</v>
      </c>
      <c r="GB171" s="1065"/>
      <c r="GC171" s="1065"/>
      <c r="GD171" s="1065"/>
      <c r="GE171" s="1065"/>
      <c r="GF171" s="1066">
        <v>35.292395929799866</v>
      </c>
      <c r="GG171" s="1066">
        <v>35</v>
      </c>
      <c r="GH171" s="1066">
        <v>70.584791859599733</v>
      </c>
      <c r="GI171" s="1066">
        <v>70</v>
      </c>
      <c r="GJ171" s="1066">
        <v>141.16958371919947</v>
      </c>
      <c r="GK171" s="1066">
        <v>140</v>
      </c>
      <c r="GL171" s="584">
        <v>0.50800000000000001</v>
      </c>
      <c r="GM171" s="584">
        <v>0.11</v>
      </c>
      <c r="GN171" s="584"/>
      <c r="GO171" s="584"/>
      <c r="GP171" s="584"/>
      <c r="GQ171" s="584">
        <v>20.328571428571401</v>
      </c>
      <c r="GR171" s="584"/>
      <c r="GS171" s="584">
        <v>56.065239551478101</v>
      </c>
      <c r="GT171" s="584" t="s">
        <v>484</v>
      </c>
      <c r="GU171" s="584" t="s">
        <v>473</v>
      </c>
      <c r="GV171" s="584">
        <v>1</v>
      </c>
      <c r="GW171" s="584"/>
      <c r="GX171" s="584"/>
      <c r="GY171" s="584"/>
      <c r="GZ171" s="584"/>
      <c r="HA171" s="584">
        <v>13.557453750000001</v>
      </c>
      <c r="HB171" s="584">
        <v>35</v>
      </c>
      <c r="HC171" s="584">
        <v>27.114907500000001</v>
      </c>
      <c r="HD171" s="584">
        <v>70</v>
      </c>
      <c r="HE171" s="584">
        <v>54.229815000000002</v>
      </c>
      <c r="HF171" s="584">
        <v>140</v>
      </c>
      <c r="HG171" s="1100">
        <v>0.59</v>
      </c>
      <c r="HH171" s="1100">
        <v>0.11</v>
      </c>
      <c r="HI171" s="1101">
        <v>0</v>
      </c>
      <c r="HJ171" s="1101">
        <v>0</v>
      </c>
      <c r="HK171" s="1101">
        <v>0</v>
      </c>
      <c r="HL171" s="1101">
        <v>0</v>
      </c>
      <c r="HM171" s="1101">
        <v>33.449142857142853</v>
      </c>
      <c r="HN171" s="1101">
        <v>54.999999999999993</v>
      </c>
      <c r="HO171" s="1101">
        <v>0</v>
      </c>
      <c r="HP171" s="1101">
        <v>0</v>
      </c>
      <c r="HQ171" s="1101">
        <v>1</v>
      </c>
      <c r="HR171" s="1101">
        <v>0.48</v>
      </c>
      <c r="HS171" s="1101">
        <v>0.48</v>
      </c>
      <c r="HT171" s="1101">
        <v>0.3</v>
      </c>
      <c r="HU171" s="1101">
        <v>0.28000000000000003</v>
      </c>
      <c r="HV171" s="1101">
        <v>14.592253299999999</v>
      </c>
      <c r="HW171" s="1101">
        <v>35</v>
      </c>
      <c r="HX171" s="1101">
        <v>29.184506599999999</v>
      </c>
      <c r="HY171" s="1101">
        <v>70</v>
      </c>
      <c r="HZ171" s="1101">
        <v>58.369013199999998</v>
      </c>
      <c r="IA171" s="1101">
        <v>140</v>
      </c>
      <c r="IB171" s="1062"/>
      <c r="ID171" s="1050"/>
      <c r="IE171" s="1050"/>
      <c r="IM171" s="1050"/>
      <c r="IN171" s="1050"/>
      <c r="IO171" s="1050"/>
      <c r="IP171" s="1050"/>
      <c r="JU171" s="1050"/>
      <c r="KC171" s="1050"/>
      <c r="KD171" s="1050"/>
      <c r="KE171" s="1050"/>
      <c r="KF171" s="1050"/>
      <c r="KN171" s="1103"/>
    </row>
    <row r="172" spans="2:300">
      <c r="B172" s="1048" t="str">
        <f t="shared" si="6"/>
        <v>E58</v>
      </c>
      <c r="C172" s="1092">
        <v>5</v>
      </c>
      <c r="D172" s="1092">
        <v>8</v>
      </c>
      <c r="E172" s="584">
        <v>0.26500000000000001</v>
      </c>
      <c r="F172" s="584">
        <v>0.26500000000000001</v>
      </c>
      <c r="G172" s="584">
        <v>636</v>
      </c>
      <c r="H172" s="584">
        <v>16.96</v>
      </c>
      <c r="I172" s="584">
        <v>0</v>
      </c>
      <c r="J172" s="584">
        <v>0</v>
      </c>
      <c r="K172" s="584">
        <v>0</v>
      </c>
      <c r="L172" s="584">
        <v>0</v>
      </c>
      <c r="M172" s="584">
        <v>0</v>
      </c>
      <c r="N172" s="584">
        <v>0</v>
      </c>
      <c r="O172" s="584">
        <v>0</v>
      </c>
      <c r="P172" s="584">
        <v>0</v>
      </c>
      <c r="Q172" s="584">
        <v>0</v>
      </c>
      <c r="R172" s="584">
        <v>0</v>
      </c>
      <c r="S172" s="584">
        <v>0</v>
      </c>
      <c r="T172" s="584">
        <v>160.68893750000001</v>
      </c>
      <c r="U172" s="584">
        <v>40</v>
      </c>
      <c r="V172" s="584">
        <v>265.52043750000001</v>
      </c>
      <c r="W172" s="584">
        <v>84</v>
      </c>
      <c r="X172" s="584">
        <v>335.69099999999997</v>
      </c>
      <c r="Y172" s="584">
        <v>176</v>
      </c>
      <c r="Z172" s="584">
        <v>0.22500000000000001</v>
      </c>
      <c r="AA172" s="584">
        <v>0.22500000000000001</v>
      </c>
      <c r="AB172" s="584">
        <v>540</v>
      </c>
      <c r="AC172" s="584">
        <v>15</v>
      </c>
      <c r="AD172" s="584">
        <v>0</v>
      </c>
      <c r="AE172" s="584">
        <v>0</v>
      </c>
      <c r="AF172" s="584">
        <v>0</v>
      </c>
      <c r="AG172" s="584">
        <v>0</v>
      </c>
      <c r="AH172" s="584">
        <v>0</v>
      </c>
      <c r="AI172" s="584">
        <v>0</v>
      </c>
      <c r="AJ172" s="584">
        <v>0</v>
      </c>
      <c r="AK172" s="584">
        <v>0</v>
      </c>
      <c r="AL172" s="584">
        <v>0</v>
      </c>
      <c r="AM172" s="584">
        <v>0</v>
      </c>
      <c r="AN172" s="584">
        <v>0</v>
      </c>
      <c r="AO172" s="584">
        <v>149.34893750000001</v>
      </c>
      <c r="AP172" s="584">
        <v>40</v>
      </c>
      <c r="AQ172" s="584">
        <v>242.84043750000001</v>
      </c>
      <c r="AR172" s="584">
        <v>84</v>
      </c>
      <c r="AS172" s="584">
        <v>291.69099999999997</v>
      </c>
      <c r="AT172" s="584">
        <v>176</v>
      </c>
      <c r="AU172" s="584">
        <v>0.45</v>
      </c>
      <c r="AV172" s="584">
        <v>0.25</v>
      </c>
      <c r="AW172" s="584">
        <v>459.74025974026</v>
      </c>
      <c r="AX172" s="584">
        <v>20.3394044979411</v>
      </c>
      <c r="AY172" s="584">
        <v>0</v>
      </c>
      <c r="AZ172" s="584">
        <v>0</v>
      </c>
      <c r="BA172" s="584">
        <v>0</v>
      </c>
      <c r="BB172" s="584">
        <v>0</v>
      </c>
      <c r="BC172" s="584">
        <v>0</v>
      </c>
      <c r="BD172" s="584">
        <v>0</v>
      </c>
      <c r="BE172" s="584">
        <v>0</v>
      </c>
      <c r="BF172" s="584">
        <v>0</v>
      </c>
      <c r="BG172" s="584">
        <v>0.45</v>
      </c>
      <c r="BH172" s="584">
        <v>0</v>
      </c>
      <c r="BI172" s="584">
        <v>0.45</v>
      </c>
      <c r="BJ172" s="584">
        <v>145.52653048780499</v>
      </c>
      <c r="BK172" s="584">
        <v>40</v>
      </c>
      <c r="BL172" s="584">
        <v>226.12306097561</v>
      </c>
      <c r="BM172" s="584">
        <v>84</v>
      </c>
      <c r="BN172" s="584">
        <v>252.62398954703801</v>
      </c>
      <c r="BO172" s="584">
        <v>176</v>
      </c>
      <c r="BP172" s="584">
        <v>0.42499999999999999</v>
      </c>
      <c r="BQ172" s="584">
        <v>0.13</v>
      </c>
      <c r="BR172" s="584">
        <v>382.40354767183999</v>
      </c>
      <c r="BS172" s="584">
        <v>21.754018055115601</v>
      </c>
      <c r="BT172" s="584">
        <v>0</v>
      </c>
      <c r="BU172" s="584">
        <v>0</v>
      </c>
      <c r="BV172" s="584">
        <v>0</v>
      </c>
      <c r="BW172" s="584">
        <v>0</v>
      </c>
      <c r="BX172" s="584">
        <v>0</v>
      </c>
      <c r="BY172" s="584">
        <v>0</v>
      </c>
      <c r="BZ172" s="584">
        <v>0</v>
      </c>
      <c r="CA172" s="584">
        <v>0.25</v>
      </c>
      <c r="CB172" s="584">
        <v>0.42499999999999999</v>
      </c>
      <c r="CC172" s="584">
        <v>0.3</v>
      </c>
      <c r="CD172" s="584">
        <v>0.3</v>
      </c>
      <c r="CE172" s="584">
        <v>136.35814999999999</v>
      </c>
      <c r="CF172" s="584">
        <v>40</v>
      </c>
      <c r="CG172" s="584">
        <v>208.960275</v>
      </c>
      <c r="CH172" s="584">
        <v>84</v>
      </c>
      <c r="CI172" s="584">
        <v>208.0104</v>
      </c>
      <c r="CJ172" s="584">
        <v>176</v>
      </c>
      <c r="CK172" s="584">
        <v>0.5</v>
      </c>
      <c r="CL172" s="584">
        <v>0.15</v>
      </c>
      <c r="CM172" s="584">
        <v>419.38232499208101</v>
      </c>
      <c r="CN172" s="584">
        <v>16.726591700981899</v>
      </c>
      <c r="CO172" s="584">
        <v>0</v>
      </c>
      <c r="CP172" s="584">
        <v>0</v>
      </c>
      <c r="CQ172" s="584">
        <v>0</v>
      </c>
      <c r="CR172" s="584">
        <v>0</v>
      </c>
      <c r="CS172" s="584">
        <v>0</v>
      </c>
      <c r="CT172" s="584">
        <v>0</v>
      </c>
      <c r="CU172" s="584">
        <v>0</v>
      </c>
      <c r="CV172" s="584">
        <v>0</v>
      </c>
      <c r="CW172" s="584">
        <v>0.5</v>
      </c>
      <c r="CX172" s="584">
        <v>0</v>
      </c>
      <c r="CY172" s="584">
        <v>0.6</v>
      </c>
      <c r="CZ172" s="584">
        <v>143.357</v>
      </c>
      <c r="DA172" s="584">
        <v>40</v>
      </c>
      <c r="DB172" s="584">
        <v>218.39850000000001</v>
      </c>
      <c r="DC172" s="584">
        <v>84</v>
      </c>
      <c r="DD172" s="584">
        <v>229.34049999999999</v>
      </c>
      <c r="DE172" s="584">
        <v>176</v>
      </c>
      <c r="DF172" s="584">
        <v>0.35</v>
      </c>
      <c r="DG172" s="584">
        <v>0.2</v>
      </c>
      <c r="DH172" s="584">
        <v>374.50229648400398</v>
      </c>
      <c r="DI172" s="584">
        <v>22.3755338137472</v>
      </c>
      <c r="DJ172" s="584">
        <v>300</v>
      </c>
      <c r="DK172" s="584">
        <v>0</v>
      </c>
      <c r="DL172" s="584">
        <v>0</v>
      </c>
      <c r="DM172" s="584">
        <v>0</v>
      </c>
      <c r="DN172" s="584">
        <v>0</v>
      </c>
      <c r="DO172" s="584">
        <v>0</v>
      </c>
      <c r="DP172" s="584">
        <v>0</v>
      </c>
      <c r="DQ172" s="584">
        <v>0</v>
      </c>
      <c r="DR172" s="584">
        <v>0.35</v>
      </c>
      <c r="DS172" s="584">
        <v>0</v>
      </c>
      <c r="DT172" s="584">
        <v>2.4</v>
      </c>
      <c r="DU172" s="584">
        <v>147.10550000000001</v>
      </c>
      <c r="DV172" s="584">
        <v>40</v>
      </c>
      <c r="DW172" s="584">
        <v>245.82024999999999</v>
      </c>
      <c r="DX172" s="584">
        <v>84</v>
      </c>
      <c r="DY172" s="584">
        <v>335.0265</v>
      </c>
      <c r="DZ172" s="584">
        <v>176</v>
      </c>
      <c r="EA172" s="1062">
        <v>0.60799999999999998</v>
      </c>
      <c r="EB172" s="1046">
        <v>0.25</v>
      </c>
      <c r="EC172" s="1093">
        <v>132.51783893985731</v>
      </c>
      <c r="ED172" s="1046">
        <v>0</v>
      </c>
      <c r="EE172" s="1046">
        <v>346.58511722731902</v>
      </c>
      <c r="EF172" s="1046">
        <v>17.925000000000001</v>
      </c>
      <c r="EG172" s="1046">
        <v>0</v>
      </c>
      <c r="EH172" s="1046">
        <v>0</v>
      </c>
      <c r="EI172" s="1046" t="s">
        <v>477</v>
      </c>
      <c r="EJ172" s="1046" t="s">
        <v>486</v>
      </c>
      <c r="EK172" s="1046">
        <v>0</v>
      </c>
      <c r="EL172" s="1046">
        <v>0</v>
      </c>
      <c r="EM172" s="1046">
        <v>0</v>
      </c>
      <c r="EN172" s="1046">
        <v>0</v>
      </c>
      <c r="EO172" s="1046">
        <v>0</v>
      </c>
      <c r="EP172" s="1094">
        <v>56.758442500000001</v>
      </c>
      <c r="EQ172" s="1094">
        <v>40</v>
      </c>
      <c r="ER172" s="1094">
        <v>113.516885</v>
      </c>
      <c r="ES172" s="1095">
        <v>80</v>
      </c>
      <c r="ET172" s="1094">
        <v>227.03377</v>
      </c>
      <c r="EU172" s="1094">
        <v>160</v>
      </c>
      <c r="EV172" s="1096">
        <v>0.51339999999999997</v>
      </c>
      <c r="EW172" s="1097">
        <v>0.15</v>
      </c>
      <c r="EX172" s="1096">
        <v>289.50050968399592</v>
      </c>
      <c r="EY172" s="1096">
        <v>1.5443934760448521</v>
      </c>
      <c r="EZ172" s="1096">
        <v>0</v>
      </c>
      <c r="FA172" s="1096">
        <v>17.387499999999999</v>
      </c>
      <c r="FB172" s="1098">
        <v>0</v>
      </c>
      <c r="FC172" s="1098">
        <v>0</v>
      </c>
      <c r="FD172" s="1098" t="s">
        <v>475</v>
      </c>
      <c r="FE172" s="1098" t="s">
        <v>481</v>
      </c>
      <c r="FF172" s="1098">
        <v>1</v>
      </c>
      <c r="FG172" s="1098">
        <v>0</v>
      </c>
      <c r="FH172" s="1098">
        <v>0</v>
      </c>
      <c r="FI172" s="1098">
        <v>0</v>
      </c>
      <c r="FJ172" s="1098">
        <v>0</v>
      </c>
      <c r="FK172" s="1096">
        <v>39.357218750000001</v>
      </c>
      <c r="FL172" s="1096">
        <v>40</v>
      </c>
      <c r="FM172" s="1096">
        <v>78.714437500000003</v>
      </c>
      <c r="FN172" s="1096">
        <v>80</v>
      </c>
      <c r="FO172" s="1096">
        <v>157.42887500000001</v>
      </c>
      <c r="FP172" s="1099">
        <v>160</v>
      </c>
      <c r="FQ172" s="1064">
        <v>0.57475999999999994</v>
      </c>
      <c r="FR172" s="1065">
        <v>0.15</v>
      </c>
      <c r="FS172" s="1066">
        <v>289.50050968399586</v>
      </c>
      <c r="FT172" s="1066">
        <v>3.1754272996334754</v>
      </c>
      <c r="FU172" s="1065"/>
      <c r="FV172" s="1066">
        <v>35.959561434372851</v>
      </c>
      <c r="FW172" s="1065"/>
      <c r="FX172" s="1065"/>
      <c r="FY172" s="1065" t="s">
        <v>490</v>
      </c>
      <c r="FZ172" s="1065" t="s">
        <v>490</v>
      </c>
      <c r="GA172" s="1065">
        <v>1</v>
      </c>
      <c r="GB172" s="1065"/>
      <c r="GC172" s="1065"/>
      <c r="GD172" s="1065"/>
      <c r="GE172" s="1065"/>
      <c r="GF172" s="1066">
        <v>40.239142394806024</v>
      </c>
      <c r="GG172" s="1066">
        <v>40</v>
      </c>
      <c r="GH172" s="1066">
        <v>80.478284789612047</v>
      </c>
      <c r="GI172" s="1066">
        <v>80</v>
      </c>
      <c r="GJ172" s="1066">
        <v>160.95656957922409</v>
      </c>
      <c r="GK172" s="1066">
        <v>160</v>
      </c>
      <c r="GL172" s="584">
        <v>0.51319999999999999</v>
      </c>
      <c r="GM172" s="584">
        <v>0.11</v>
      </c>
      <c r="GN172" s="584"/>
      <c r="GO172" s="584"/>
      <c r="GP172" s="584"/>
      <c r="GQ172" s="584">
        <v>23.274999999999999</v>
      </c>
      <c r="GR172" s="584"/>
      <c r="GS172" s="584">
        <v>56.065239551478101</v>
      </c>
      <c r="GT172" s="584" t="s">
        <v>473</v>
      </c>
      <c r="GU172" s="584" t="s">
        <v>471</v>
      </c>
      <c r="GV172" s="584">
        <v>1</v>
      </c>
      <c r="GW172" s="584"/>
      <c r="GX172" s="584"/>
      <c r="GY172" s="584"/>
      <c r="GZ172" s="584"/>
      <c r="HA172" s="584">
        <v>15.783277500000001</v>
      </c>
      <c r="HB172" s="584">
        <v>40</v>
      </c>
      <c r="HC172" s="584">
        <v>31.566555000000001</v>
      </c>
      <c r="HD172" s="584">
        <v>80</v>
      </c>
      <c r="HE172" s="584">
        <v>63.133110000000002</v>
      </c>
      <c r="HF172" s="584">
        <v>160</v>
      </c>
      <c r="HG172" s="1100">
        <v>0.67</v>
      </c>
      <c r="HH172" s="1100">
        <v>0.11</v>
      </c>
      <c r="HI172" s="1101">
        <v>0</v>
      </c>
      <c r="HJ172" s="1101">
        <v>0</v>
      </c>
      <c r="HK172" s="1101">
        <v>0</v>
      </c>
      <c r="HL172" s="1101">
        <v>0</v>
      </c>
      <c r="HM172" s="1101">
        <v>39.015000000000001</v>
      </c>
      <c r="HN172" s="1101">
        <v>54.999999999999993</v>
      </c>
      <c r="HO172" s="1101">
        <v>0</v>
      </c>
      <c r="HP172" s="1101">
        <v>0</v>
      </c>
      <c r="HQ172" s="1101">
        <v>1</v>
      </c>
      <c r="HR172" s="1101">
        <v>0.52</v>
      </c>
      <c r="HS172" s="1101">
        <v>0.56000000000000005</v>
      </c>
      <c r="HT172" s="1101">
        <v>0.3</v>
      </c>
      <c r="HU172" s="1101">
        <v>0.3</v>
      </c>
      <c r="HV172" s="1101">
        <v>17.2228715</v>
      </c>
      <c r="HW172" s="1101">
        <v>40</v>
      </c>
      <c r="HX172" s="1101">
        <v>34.445743</v>
      </c>
      <c r="HY172" s="1101">
        <v>80</v>
      </c>
      <c r="HZ172" s="1101">
        <v>68.891486</v>
      </c>
      <c r="IA172" s="1101">
        <v>160</v>
      </c>
      <c r="IB172" s="1062"/>
      <c r="ID172" s="1050"/>
      <c r="IE172" s="1050"/>
      <c r="IM172" s="1050"/>
      <c r="IN172" s="1050"/>
      <c r="IO172" s="1050"/>
      <c r="IP172" s="1050"/>
      <c r="JU172" s="1050"/>
      <c r="KC172" s="1050"/>
      <c r="KD172" s="1050"/>
      <c r="KE172" s="1050"/>
      <c r="KF172" s="1050"/>
      <c r="KN172" s="1103"/>
    </row>
    <row r="173" spans="2:300">
      <c r="B173" s="1048" t="str">
        <f t="shared" si="6"/>
        <v>E59</v>
      </c>
      <c r="C173" s="1092">
        <v>5</v>
      </c>
      <c r="D173" s="1092">
        <v>9</v>
      </c>
      <c r="E173" s="584">
        <v>0.31</v>
      </c>
      <c r="F173" s="584">
        <v>0.31</v>
      </c>
      <c r="G173" s="584">
        <v>744</v>
      </c>
      <c r="H173" s="584">
        <v>18.29</v>
      </c>
      <c r="I173" s="584">
        <v>0</v>
      </c>
      <c r="J173" s="584">
        <v>0</v>
      </c>
      <c r="K173" s="584">
        <v>0</v>
      </c>
      <c r="L173" s="584">
        <v>0</v>
      </c>
      <c r="M173" s="584">
        <v>0</v>
      </c>
      <c r="N173" s="584">
        <v>0</v>
      </c>
      <c r="O173" s="584">
        <v>0</v>
      </c>
      <c r="P173" s="584">
        <v>0</v>
      </c>
      <c r="Q173" s="584">
        <v>0</v>
      </c>
      <c r="R173" s="584">
        <v>0</v>
      </c>
      <c r="S173" s="584">
        <v>0</v>
      </c>
      <c r="T173" s="584">
        <v>190.46893750000001</v>
      </c>
      <c r="U173" s="584">
        <v>45</v>
      </c>
      <c r="V173" s="584">
        <v>326.78268750000001</v>
      </c>
      <c r="W173" s="584">
        <v>94.5</v>
      </c>
      <c r="X173" s="584">
        <v>432.21600000000001</v>
      </c>
      <c r="Y173" s="584">
        <v>198</v>
      </c>
      <c r="Z173" s="584">
        <v>0.255</v>
      </c>
      <c r="AA173" s="584">
        <v>0.255</v>
      </c>
      <c r="AB173" s="584">
        <v>612</v>
      </c>
      <c r="AC173" s="584">
        <v>15</v>
      </c>
      <c r="AD173" s="584">
        <v>0</v>
      </c>
      <c r="AE173" s="584">
        <v>0</v>
      </c>
      <c r="AF173" s="584">
        <v>0</v>
      </c>
      <c r="AG173" s="584">
        <v>0</v>
      </c>
      <c r="AH173" s="584">
        <v>0</v>
      </c>
      <c r="AI173" s="584">
        <v>0</v>
      </c>
      <c r="AJ173" s="584">
        <v>0</v>
      </c>
      <c r="AK173" s="584">
        <v>0</v>
      </c>
      <c r="AL173" s="584">
        <v>0</v>
      </c>
      <c r="AM173" s="584">
        <v>0</v>
      </c>
      <c r="AN173" s="584">
        <v>0</v>
      </c>
      <c r="AO173" s="584">
        <v>173.02018749999999</v>
      </c>
      <c r="AP173" s="584">
        <v>45</v>
      </c>
      <c r="AQ173" s="584">
        <v>291.69956250000001</v>
      </c>
      <c r="AR173" s="584">
        <v>94.5</v>
      </c>
      <c r="AS173" s="584">
        <v>364.15350000000001</v>
      </c>
      <c r="AT173" s="584">
        <v>198</v>
      </c>
      <c r="AU173" s="584">
        <v>0.52500000000000002</v>
      </c>
      <c r="AV173" s="584">
        <v>0.25</v>
      </c>
      <c r="AW173" s="584">
        <v>468.43026538678703</v>
      </c>
      <c r="AX173" s="584">
        <v>20.917031338227002</v>
      </c>
      <c r="AY173" s="584">
        <v>0</v>
      </c>
      <c r="AZ173" s="584">
        <v>0</v>
      </c>
      <c r="BA173" s="584">
        <v>0</v>
      </c>
      <c r="BB173" s="584">
        <v>0</v>
      </c>
      <c r="BC173" s="584">
        <v>0</v>
      </c>
      <c r="BD173" s="584">
        <v>0</v>
      </c>
      <c r="BE173" s="584">
        <v>0</v>
      </c>
      <c r="BF173" s="584">
        <v>0</v>
      </c>
      <c r="BG173" s="584">
        <v>0.52500000000000002</v>
      </c>
      <c r="BH173" s="584">
        <v>0</v>
      </c>
      <c r="BI173" s="584">
        <v>0.45</v>
      </c>
      <c r="BJ173" s="584">
        <v>160.57508462732901</v>
      </c>
      <c r="BK173" s="584">
        <v>45</v>
      </c>
      <c r="BL173" s="584">
        <v>254.813747282609</v>
      </c>
      <c r="BM173" s="584">
        <v>94.5</v>
      </c>
      <c r="BN173" s="584">
        <v>283.97011024844699</v>
      </c>
      <c r="BO173" s="584">
        <v>198</v>
      </c>
      <c r="BP173" s="584">
        <v>0.52500000000000002</v>
      </c>
      <c r="BQ173" s="584">
        <v>0.13</v>
      </c>
      <c r="BR173" s="584">
        <v>433.380575945793</v>
      </c>
      <c r="BS173" s="584">
        <v>28.252049689441002</v>
      </c>
      <c r="BT173" s="584">
        <v>0</v>
      </c>
      <c r="BU173" s="584">
        <v>0</v>
      </c>
      <c r="BV173" s="584">
        <v>0</v>
      </c>
      <c r="BW173" s="584">
        <v>0</v>
      </c>
      <c r="BX173" s="584">
        <v>0</v>
      </c>
      <c r="BY173" s="584">
        <v>0</v>
      </c>
      <c r="BZ173" s="584">
        <v>0</v>
      </c>
      <c r="CA173" s="584">
        <v>0.25</v>
      </c>
      <c r="CB173" s="584">
        <v>0.52500000000000002</v>
      </c>
      <c r="CC173" s="584">
        <v>0.3</v>
      </c>
      <c r="CD173" s="584">
        <v>0.3</v>
      </c>
      <c r="CE173" s="584">
        <v>162.06264999999999</v>
      </c>
      <c r="CF173" s="584">
        <v>45</v>
      </c>
      <c r="CG173" s="584">
        <v>259.08765</v>
      </c>
      <c r="CH173" s="584">
        <v>94.5</v>
      </c>
      <c r="CI173" s="584">
        <v>238.7799</v>
      </c>
      <c r="CJ173" s="584">
        <v>198</v>
      </c>
      <c r="CK173" s="584">
        <v>0.6</v>
      </c>
      <c r="CL173" s="584">
        <v>0.15</v>
      </c>
      <c r="CM173" s="584">
        <v>430.51101072840203</v>
      </c>
      <c r="CN173" s="584">
        <v>17.144244071146201</v>
      </c>
      <c r="CO173" s="584">
        <v>0</v>
      </c>
      <c r="CP173" s="584">
        <v>0</v>
      </c>
      <c r="CQ173" s="584">
        <v>0</v>
      </c>
      <c r="CR173" s="584">
        <v>0</v>
      </c>
      <c r="CS173" s="584">
        <v>0</v>
      </c>
      <c r="CT173" s="584">
        <v>0</v>
      </c>
      <c r="CU173" s="584">
        <v>0</v>
      </c>
      <c r="CV173" s="584">
        <v>0</v>
      </c>
      <c r="CW173" s="584">
        <v>0.6</v>
      </c>
      <c r="CX173" s="584">
        <v>0</v>
      </c>
      <c r="CY173" s="584">
        <v>0.6</v>
      </c>
      <c r="CZ173" s="584">
        <v>157.31462500000001</v>
      </c>
      <c r="DA173" s="584">
        <v>45</v>
      </c>
      <c r="DB173" s="584">
        <v>246.54712499999999</v>
      </c>
      <c r="DC173" s="584">
        <v>94.5</v>
      </c>
      <c r="DD173" s="584">
        <v>263.4975</v>
      </c>
      <c r="DE173" s="584">
        <v>198</v>
      </c>
      <c r="DF173" s="584">
        <v>0.35</v>
      </c>
      <c r="DG173" s="584">
        <v>0.2</v>
      </c>
      <c r="DH173" s="584">
        <v>385.04834839073999</v>
      </c>
      <c r="DI173" s="584">
        <v>21.510934570863899</v>
      </c>
      <c r="DJ173" s="584">
        <v>300</v>
      </c>
      <c r="DK173" s="584">
        <v>0</v>
      </c>
      <c r="DL173" s="584">
        <v>0</v>
      </c>
      <c r="DM173" s="584">
        <v>0</v>
      </c>
      <c r="DN173" s="584">
        <v>0</v>
      </c>
      <c r="DO173" s="584">
        <v>0</v>
      </c>
      <c r="DP173" s="584">
        <v>0</v>
      </c>
      <c r="DQ173" s="584">
        <v>0</v>
      </c>
      <c r="DR173" s="584">
        <v>0.35</v>
      </c>
      <c r="DS173" s="584">
        <v>0</v>
      </c>
      <c r="DT173" s="584">
        <v>2.4</v>
      </c>
      <c r="DU173" s="584">
        <v>164.34925000000001</v>
      </c>
      <c r="DV173" s="584">
        <v>45</v>
      </c>
      <c r="DW173" s="584">
        <v>266.51650000000001</v>
      </c>
      <c r="DX173" s="584">
        <v>94.5</v>
      </c>
      <c r="DY173" s="584">
        <v>375.82650000000001</v>
      </c>
      <c r="DZ173" s="584">
        <v>198</v>
      </c>
      <c r="EA173" s="1062">
        <v>0.66339999999999999</v>
      </c>
      <c r="EB173" s="1046">
        <v>0.3</v>
      </c>
      <c r="EC173" s="1093">
        <v>132.51783893985731</v>
      </c>
      <c r="ED173" s="1046">
        <v>0</v>
      </c>
      <c r="EE173" s="1046">
        <v>397.55351681957183</v>
      </c>
      <c r="EF173" s="1046">
        <v>20.875555555555554</v>
      </c>
      <c r="EG173" s="1046">
        <v>0</v>
      </c>
      <c r="EH173" s="1046">
        <v>0</v>
      </c>
      <c r="EI173" s="1046" t="s">
        <v>475</v>
      </c>
      <c r="EJ173" s="1046" t="s">
        <v>475</v>
      </c>
      <c r="EK173" s="1046">
        <v>0</v>
      </c>
      <c r="EL173" s="1046">
        <v>0</v>
      </c>
      <c r="EM173" s="1046">
        <v>0</v>
      </c>
      <c r="EN173" s="1046">
        <v>0</v>
      </c>
      <c r="EO173" s="1046">
        <v>0</v>
      </c>
      <c r="EP173" s="1094">
        <v>69.803878499999996</v>
      </c>
      <c r="EQ173" s="1094">
        <v>45</v>
      </c>
      <c r="ER173" s="1094">
        <v>139.60775699999999</v>
      </c>
      <c r="ES173" s="1095">
        <v>90</v>
      </c>
      <c r="ET173" s="1094">
        <v>279.21551399999998</v>
      </c>
      <c r="EU173" s="1094">
        <v>180</v>
      </c>
      <c r="EV173" s="1096">
        <v>0.60460000000000003</v>
      </c>
      <c r="EW173" s="1097">
        <v>0.15</v>
      </c>
      <c r="EX173" s="1096">
        <v>289.50050968399592</v>
      </c>
      <c r="EY173" s="1096">
        <v>1.5443934760448521</v>
      </c>
      <c r="EZ173" s="1096">
        <v>0</v>
      </c>
      <c r="FA173" s="1096">
        <v>15.644444444444444</v>
      </c>
      <c r="FB173" s="1098">
        <v>0</v>
      </c>
      <c r="FC173" s="1098">
        <v>0</v>
      </c>
      <c r="FD173" s="1098" t="s">
        <v>459</v>
      </c>
      <c r="FE173" s="1098" t="s">
        <v>481</v>
      </c>
      <c r="FF173" s="1098">
        <v>1</v>
      </c>
      <c r="FG173" s="1098">
        <v>0</v>
      </c>
      <c r="FH173" s="1098">
        <v>0</v>
      </c>
      <c r="FI173" s="1098">
        <v>0</v>
      </c>
      <c r="FJ173" s="1098">
        <v>0</v>
      </c>
      <c r="FK173" s="1096">
        <v>44.084503124999998</v>
      </c>
      <c r="FL173" s="1096">
        <v>45</v>
      </c>
      <c r="FM173" s="1096">
        <v>88.169006249999995</v>
      </c>
      <c r="FN173" s="1096">
        <v>90</v>
      </c>
      <c r="FO173" s="1096">
        <v>176.33801249999999</v>
      </c>
      <c r="FP173" s="1099">
        <v>180</v>
      </c>
      <c r="FQ173" s="1064">
        <v>0.64033371008606477</v>
      </c>
      <c r="FR173" s="1065">
        <v>0.15</v>
      </c>
      <c r="FS173" s="1066">
        <v>289.50050968399586</v>
      </c>
      <c r="FT173" s="1066">
        <v>3.1754272996334754</v>
      </c>
      <c r="FU173" s="1065"/>
      <c r="FV173" s="1066">
        <v>37.167279383963312</v>
      </c>
      <c r="FW173" s="1065"/>
      <c r="FX173" s="1065"/>
      <c r="FY173" s="1065" t="s">
        <v>490</v>
      </c>
      <c r="FZ173" s="1065" t="s">
        <v>481</v>
      </c>
      <c r="GA173" s="1065">
        <v>1</v>
      </c>
      <c r="GB173" s="1065"/>
      <c r="GC173" s="1065"/>
      <c r="GD173" s="1065"/>
      <c r="GE173" s="1065"/>
      <c r="GF173" s="1066">
        <v>45.402321966368447</v>
      </c>
      <c r="GG173" s="1066">
        <v>45</v>
      </c>
      <c r="GH173" s="1066">
        <v>90.804643932736894</v>
      </c>
      <c r="GI173" s="1066">
        <v>90</v>
      </c>
      <c r="GJ173" s="1066">
        <v>181.60928786547379</v>
      </c>
      <c r="GK173" s="1066">
        <v>180</v>
      </c>
      <c r="GL173" s="584">
        <v>0.56459999999999999</v>
      </c>
      <c r="GM173" s="584">
        <v>0.11</v>
      </c>
      <c r="GN173" s="584"/>
      <c r="GO173" s="584"/>
      <c r="GP173" s="584"/>
      <c r="GQ173" s="584">
        <v>28.253333333333298</v>
      </c>
      <c r="GR173" s="584"/>
      <c r="GS173" s="584">
        <v>56.065239551478101</v>
      </c>
      <c r="GT173" s="584" t="s">
        <v>473</v>
      </c>
      <c r="GU173" s="584" t="s">
        <v>459</v>
      </c>
      <c r="GV173" s="584">
        <v>1</v>
      </c>
      <c r="GW173" s="584"/>
      <c r="GX173" s="584"/>
      <c r="GY173" s="584"/>
      <c r="GZ173" s="584"/>
      <c r="HA173" s="584">
        <v>18.305608500000002</v>
      </c>
      <c r="HB173" s="584">
        <v>45</v>
      </c>
      <c r="HC173" s="584">
        <v>36.611217000000003</v>
      </c>
      <c r="HD173" s="584">
        <v>90</v>
      </c>
      <c r="HE173" s="584">
        <v>73.222434000000007</v>
      </c>
      <c r="HF173" s="584">
        <v>180</v>
      </c>
      <c r="HG173" s="1100">
        <v>0.79</v>
      </c>
      <c r="HH173" s="1100">
        <v>0.11</v>
      </c>
      <c r="HI173" s="1101">
        <v>0</v>
      </c>
      <c r="HJ173" s="1101">
        <v>0</v>
      </c>
      <c r="HK173" s="1101">
        <v>0</v>
      </c>
      <c r="HL173" s="1101">
        <v>0</v>
      </c>
      <c r="HM173" s="1101">
        <v>42.672000000000011</v>
      </c>
      <c r="HN173" s="1101">
        <v>54.999999999999993</v>
      </c>
      <c r="HO173" s="1101">
        <v>0</v>
      </c>
      <c r="HP173" s="1101">
        <v>0</v>
      </c>
      <c r="HQ173" s="1101">
        <v>1</v>
      </c>
      <c r="HR173" s="1101">
        <v>0.56000000000000005</v>
      </c>
      <c r="HS173" s="1101">
        <v>0.68</v>
      </c>
      <c r="HT173" s="1101">
        <v>0.3</v>
      </c>
      <c r="HU173" s="1101">
        <v>0.28000000000000003</v>
      </c>
      <c r="HV173" s="1101">
        <v>19.779326100000002</v>
      </c>
      <c r="HW173" s="1101">
        <v>45</v>
      </c>
      <c r="HX173" s="1101">
        <v>39.558652200000004</v>
      </c>
      <c r="HY173" s="1101">
        <v>90</v>
      </c>
      <c r="HZ173" s="1101">
        <v>79.117304400000009</v>
      </c>
      <c r="IA173" s="1101">
        <v>180</v>
      </c>
      <c r="IB173" s="1062"/>
      <c r="ID173" s="1050"/>
      <c r="IE173" s="1050"/>
      <c r="IM173" s="1050"/>
      <c r="IN173" s="1050"/>
      <c r="IO173" s="1050"/>
      <c r="IP173" s="1050"/>
      <c r="JU173" s="1050"/>
      <c r="KC173" s="1050"/>
      <c r="KD173" s="1050"/>
      <c r="KE173" s="1050"/>
      <c r="KF173" s="1050"/>
      <c r="KN173" s="1103"/>
    </row>
    <row r="174" spans="2:300">
      <c r="B174" s="1048" t="str">
        <f t="shared" si="6"/>
        <v>E510</v>
      </c>
      <c r="C174" s="1092">
        <v>5</v>
      </c>
      <c r="D174" s="1092">
        <v>10</v>
      </c>
      <c r="E174" s="584">
        <v>0.375</v>
      </c>
      <c r="F174" s="584">
        <v>0.375</v>
      </c>
      <c r="G174" s="584">
        <v>900</v>
      </c>
      <c r="H174" s="584">
        <v>19.5</v>
      </c>
      <c r="I174" s="584">
        <v>0</v>
      </c>
      <c r="J174" s="584">
        <v>0</v>
      </c>
      <c r="K174" s="584">
        <v>0</v>
      </c>
      <c r="L174" s="584">
        <v>0</v>
      </c>
      <c r="M174" s="584">
        <v>0</v>
      </c>
      <c r="N174" s="584">
        <v>0</v>
      </c>
      <c r="O174" s="584">
        <v>0</v>
      </c>
      <c r="P174" s="584">
        <v>0</v>
      </c>
      <c r="Q174" s="584">
        <v>0</v>
      </c>
      <c r="R174" s="584">
        <v>0</v>
      </c>
      <c r="S174" s="584">
        <v>0</v>
      </c>
      <c r="T174" s="584">
        <v>230.30643749999999</v>
      </c>
      <c r="U174" s="584">
        <v>50</v>
      </c>
      <c r="V174" s="584">
        <v>408.59868749999998</v>
      </c>
      <c r="W174" s="584">
        <v>105</v>
      </c>
      <c r="X174" s="584">
        <v>568.61599999999999</v>
      </c>
      <c r="Y174" s="584">
        <v>220</v>
      </c>
      <c r="Z174" s="584">
        <v>0.28499999999999998</v>
      </c>
      <c r="AA174" s="584">
        <v>0.28499999999999998</v>
      </c>
      <c r="AB174" s="584">
        <v>684</v>
      </c>
      <c r="AC174" s="584">
        <v>16</v>
      </c>
      <c r="AD174" s="584">
        <v>0</v>
      </c>
      <c r="AE174" s="584">
        <v>0</v>
      </c>
      <c r="AF174" s="584">
        <v>0</v>
      </c>
      <c r="AG174" s="584">
        <v>0</v>
      </c>
      <c r="AH174" s="584">
        <v>0</v>
      </c>
      <c r="AI174" s="584">
        <v>0</v>
      </c>
      <c r="AJ174" s="584">
        <v>0</v>
      </c>
      <c r="AK174" s="584">
        <v>0</v>
      </c>
      <c r="AL174" s="584">
        <v>0</v>
      </c>
      <c r="AM174" s="584">
        <v>0</v>
      </c>
      <c r="AN174" s="584">
        <v>0</v>
      </c>
      <c r="AO174" s="584">
        <v>198.71643750000001</v>
      </c>
      <c r="AP174" s="584">
        <v>50</v>
      </c>
      <c r="AQ174" s="584">
        <v>344.81118750000002</v>
      </c>
      <c r="AR174" s="584">
        <v>105</v>
      </c>
      <c r="AS174" s="584">
        <v>444.86599999999999</v>
      </c>
      <c r="AT174" s="584">
        <v>220</v>
      </c>
      <c r="AU174" s="584">
        <v>0.6</v>
      </c>
      <c r="AV174" s="584">
        <v>0.25</v>
      </c>
      <c r="AW174" s="584">
        <v>487.46347402597399</v>
      </c>
      <c r="AX174" s="584">
        <v>21.242050229182599</v>
      </c>
      <c r="AY174" s="584">
        <v>0</v>
      </c>
      <c r="AZ174" s="584">
        <v>0</v>
      </c>
      <c r="BA174" s="584">
        <v>0</v>
      </c>
      <c r="BB174" s="584">
        <v>0</v>
      </c>
      <c r="BC174" s="584">
        <v>0</v>
      </c>
      <c r="BD174" s="584">
        <v>0</v>
      </c>
      <c r="BE174" s="584">
        <v>0</v>
      </c>
      <c r="BF174" s="584">
        <v>0</v>
      </c>
      <c r="BG174" s="584">
        <v>0.6</v>
      </c>
      <c r="BH174" s="584">
        <v>0</v>
      </c>
      <c r="BI174" s="584">
        <v>0.45</v>
      </c>
      <c r="BJ174" s="584">
        <v>177.295369222689</v>
      </c>
      <c r="BK174" s="584">
        <v>50</v>
      </c>
      <c r="BL174" s="584">
        <v>287.56364338235301</v>
      </c>
      <c r="BM174" s="584">
        <v>105</v>
      </c>
      <c r="BN174" s="584">
        <v>325.42437605041999</v>
      </c>
      <c r="BO174" s="584">
        <v>220</v>
      </c>
      <c r="BP174" s="584">
        <v>0</v>
      </c>
      <c r="BQ174" s="584">
        <v>0</v>
      </c>
      <c r="BR174" s="584">
        <v>0</v>
      </c>
      <c r="BS174" s="584">
        <v>0</v>
      </c>
      <c r="BT174" s="584">
        <v>0</v>
      </c>
      <c r="BU174" s="584">
        <v>0</v>
      </c>
      <c r="BV174" s="584">
        <v>0</v>
      </c>
      <c r="BW174" s="584">
        <v>0</v>
      </c>
      <c r="BX174" s="584">
        <v>0</v>
      </c>
      <c r="BY174" s="584">
        <v>0</v>
      </c>
      <c r="BZ174" s="584">
        <v>0</v>
      </c>
      <c r="CA174" s="584">
        <v>0</v>
      </c>
      <c r="CB174" s="584">
        <v>0</v>
      </c>
      <c r="CC174" s="584">
        <v>0</v>
      </c>
      <c r="CD174" s="584">
        <v>0</v>
      </c>
      <c r="CE174" s="584">
        <v>0</v>
      </c>
      <c r="CF174" s="584">
        <v>0</v>
      </c>
      <c r="CG174" s="584">
        <v>0</v>
      </c>
      <c r="CH174" s="584">
        <v>0</v>
      </c>
      <c r="CI174" s="584">
        <v>0</v>
      </c>
      <c r="CJ174" s="584">
        <v>0</v>
      </c>
      <c r="CK174" s="584">
        <v>0.72499999999999998</v>
      </c>
      <c r="CL174" s="584">
        <v>0.15</v>
      </c>
      <c r="CM174" s="584">
        <v>448.84835752482797</v>
      </c>
      <c r="CN174" s="584">
        <v>17.395970206264298</v>
      </c>
      <c r="CO174" s="584">
        <v>0</v>
      </c>
      <c r="CP174" s="584">
        <v>0</v>
      </c>
      <c r="CQ174" s="584">
        <v>0</v>
      </c>
      <c r="CR174" s="584">
        <v>0</v>
      </c>
      <c r="CS174" s="584">
        <v>0</v>
      </c>
      <c r="CT174" s="584">
        <v>0</v>
      </c>
      <c r="CU174" s="584">
        <v>0</v>
      </c>
      <c r="CV174" s="584">
        <v>0</v>
      </c>
      <c r="CW174" s="584">
        <v>0.72499999999999998</v>
      </c>
      <c r="CX174" s="584">
        <v>0</v>
      </c>
      <c r="CY174" s="584">
        <v>0.6</v>
      </c>
      <c r="CZ174" s="584">
        <v>173.9068125</v>
      </c>
      <c r="DA174" s="584">
        <v>50</v>
      </c>
      <c r="DB174" s="584">
        <v>278.38499999999999</v>
      </c>
      <c r="DC174" s="584">
        <v>105</v>
      </c>
      <c r="DD174" s="584">
        <v>300.96875</v>
      </c>
      <c r="DE174" s="584">
        <v>220</v>
      </c>
      <c r="DF174" s="584">
        <v>0.35</v>
      </c>
      <c r="DG174" s="584">
        <v>0.2</v>
      </c>
      <c r="DH174" s="584">
        <v>398.10446906035099</v>
      </c>
      <c r="DI174" s="584">
        <v>20.485459702062599</v>
      </c>
      <c r="DJ174" s="584">
        <v>300</v>
      </c>
      <c r="DK174" s="584">
        <v>0</v>
      </c>
      <c r="DL174" s="584">
        <v>0</v>
      </c>
      <c r="DM174" s="584">
        <v>0</v>
      </c>
      <c r="DN174" s="584">
        <v>0</v>
      </c>
      <c r="DO174" s="584">
        <v>0</v>
      </c>
      <c r="DP174" s="584">
        <v>0</v>
      </c>
      <c r="DQ174" s="584">
        <v>0</v>
      </c>
      <c r="DR174" s="584">
        <v>0.35</v>
      </c>
      <c r="DS174" s="584">
        <v>0</v>
      </c>
      <c r="DT174" s="584">
        <v>2.4</v>
      </c>
      <c r="DU174" s="584">
        <v>183.40725</v>
      </c>
      <c r="DV174" s="584">
        <v>50</v>
      </c>
      <c r="DW174" s="584">
        <v>287.15199999999999</v>
      </c>
      <c r="DX174" s="584">
        <v>105</v>
      </c>
      <c r="DY174" s="584">
        <v>416.62650000000002</v>
      </c>
      <c r="DZ174" s="584">
        <v>220</v>
      </c>
      <c r="EA174" s="1062">
        <v>0.71720000000000006</v>
      </c>
      <c r="EB174" s="1046">
        <v>0.3</v>
      </c>
      <c r="EC174" s="1093">
        <v>132.51783893985731</v>
      </c>
      <c r="ED174" s="1046">
        <v>0</v>
      </c>
      <c r="EE174" s="1046">
        <v>397.55351681957183</v>
      </c>
      <c r="EF174" s="1046">
        <v>23.77</v>
      </c>
      <c r="EG174" s="1046">
        <v>0</v>
      </c>
      <c r="EH174" s="1046">
        <v>0</v>
      </c>
      <c r="EI174" s="1046" t="s">
        <v>466</v>
      </c>
      <c r="EJ174" s="1046" t="s">
        <v>463</v>
      </c>
      <c r="EK174" s="1046">
        <v>0</v>
      </c>
      <c r="EL174" s="1046">
        <v>0</v>
      </c>
      <c r="EM174" s="1046">
        <v>0</v>
      </c>
      <c r="EN174" s="1046">
        <v>0</v>
      </c>
      <c r="EO174" s="1046">
        <v>0</v>
      </c>
      <c r="EP174" s="1094">
        <v>77.914796249999995</v>
      </c>
      <c r="EQ174" s="1094">
        <v>50</v>
      </c>
      <c r="ER174" s="1094">
        <v>155.82959249999999</v>
      </c>
      <c r="ES174" s="1095">
        <v>100</v>
      </c>
      <c r="ET174" s="1094">
        <v>311.65918499999998</v>
      </c>
      <c r="EU174" s="1094">
        <v>200</v>
      </c>
      <c r="EV174" s="1096">
        <v>0.60460000000000003</v>
      </c>
      <c r="EW174" s="1097">
        <v>0.15</v>
      </c>
      <c r="EX174" s="1096">
        <v>289.50050968399592</v>
      </c>
      <c r="EY174" s="1096">
        <v>1.5443934760448521</v>
      </c>
      <c r="EZ174" s="1096">
        <v>0</v>
      </c>
      <c r="FA174" s="1096">
        <v>16.8</v>
      </c>
      <c r="FB174" s="1098">
        <v>0</v>
      </c>
      <c r="FC174" s="1098">
        <v>0</v>
      </c>
      <c r="FD174" s="1098" t="s">
        <v>459</v>
      </c>
      <c r="FE174" s="1098" t="s">
        <v>468</v>
      </c>
      <c r="FF174" s="1098">
        <v>1</v>
      </c>
      <c r="FG174" s="1098">
        <v>0</v>
      </c>
      <c r="FH174" s="1098">
        <v>0</v>
      </c>
      <c r="FI174" s="1098">
        <v>0</v>
      </c>
      <c r="FJ174" s="1098">
        <v>0</v>
      </c>
      <c r="FK174" s="1096">
        <v>49.124481250000009</v>
      </c>
      <c r="FL174" s="1096">
        <v>50</v>
      </c>
      <c r="FM174" s="1096">
        <v>98.248962500000019</v>
      </c>
      <c r="FN174" s="1096">
        <v>100</v>
      </c>
      <c r="FO174" s="1096">
        <v>196.49792500000004</v>
      </c>
      <c r="FP174" s="1099">
        <v>200</v>
      </c>
      <c r="FQ174" s="1064">
        <v>0.78455946703562329</v>
      </c>
      <c r="FR174" s="1065">
        <v>0.15</v>
      </c>
      <c r="FS174" s="1066">
        <v>289.50050968399586</v>
      </c>
      <c r="FT174" s="1066">
        <v>3.1754272996334754</v>
      </c>
      <c r="FU174" s="1065"/>
      <c r="FV174" s="1066">
        <v>40.581456772287723</v>
      </c>
      <c r="FW174" s="1065"/>
      <c r="FX174" s="1065"/>
      <c r="FY174" s="1065" t="s">
        <v>481</v>
      </c>
      <c r="FZ174" s="1065" t="s">
        <v>461</v>
      </c>
      <c r="GA174" s="1065">
        <v>1</v>
      </c>
      <c r="GB174" s="1065"/>
      <c r="GC174" s="1065"/>
      <c r="GD174" s="1065"/>
      <c r="GE174" s="1065"/>
      <c r="GF174" s="1066">
        <v>50.865687909319334</v>
      </c>
      <c r="GG174" s="1066">
        <v>50</v>
      </c>
      <c r="GH174" s="1066">
        <v>101.73137581863867</v>
      </c>
      <c r="GI174" s="1066">
        <v>100</v>
      </c>
      <c r="GJ174" s="1066">
        <v>203.46275163727734</v>
      </c>
      <c r="GK174" s="1066">
        <v>200</v>
      </c>
      <c r="GL174" s="584">
        <v>0.6391</v>
      </c>
      <c r="GM174" s="584">
        <v>0.11</v>
      </c>
      <c r="GN174" s="584"/>
      <c r="GO174" s="584"/>
      <c r="GP174" s="584"/>
      <c r="GQ174" s="584">
        <v>34.479999999999997</v>
      </c>
      <c r="GR174" s="584"/>
      <c r="GS174" s="584">
        <v>56.065239551478101</v>
      </c>
      <c r="GT174" s="584" t="s">
        <v>471</v>
      </c>
      <c r="GU174" s="584" t="s">
        <v>436</v>
      </c>
      <c r="GV174" s="584">
        <v>1</v>
      </c>
      <c r="GW174" s="584"/>
      <c r="GX174" s="584"/>
      <c r="GY174" s="584"/>
      <c r="GZ174" s="584"/>
      <c r="HA174" s="584">
        <v>21.103110000000001</v>
      </c>
      <c r="HB174" s="584">
        <v>50</v>
      </c>
      <c r="HC174" s="584">
        <v>42.206220000000002</v>
      </c>
      <c r="HD174" s="584">
        <v>100</v>
      </c>
      <c r="HE174" s="584">
        <v>84.412440000000004</v>
      </c>
      <c r="HF174" s="584">
        <v>200</v>
      </c>
      <c r="HG174" s="1100">
        <v>0.87</v>
      </c>
      <c r="HH174" s="1100">
        <v>0.11</v>
      </c>
      <c r="HI174" s="1101">
        <v>0</v>
      </c>
      <c r="HJ174" s="1101">
        <v>0</v>
      </c>
      <c r="HK174" s="1101">
        <v>0</v>
      </c>
      <c r="HL174" s="1101">
        <v>0</v>
      </c>
      <c r="HM174" s="1101">
        <v>49.14</v>
      </c>
      <c r="HN174" s="1101">
        <v>54.999999999999993</v>
      </c>
      <c r="HO174" s="1101">
        <v>0</v>
      </c>
      <c r="HP174" s="1101">
        <v>0</v>
      </c>
      <c r="HQ174" s="1101">
        <v>1</v>
      </c>
      <c r="HR174" s="1101">
        <v>0.6</v>
      </c>
      <c r="HS174" s="1101">
        <v>0.76</v>
      </c>
      <c r="HT174" s="1101">
        <v>0.3</v>
      </c>
      <c r="HU174" s="1101">
        <v>0.3</v>
      </c>
      <c r="HV174" s="1101">
        <v>22.770167499999999</v>
      </c>
      <c r="HW174" s="1101">
        <v>50</v>
      </c>
      <c r="HX174" s="1101">
        <v>45.540334999999999</v>
      </c>
      <c r="HY174" s="1101">
        <v>100</v>
      </c>
      <c r="HZ174" s="1101">
        <v>91.080669999999998</v>
      </c>
      <c r="IA174" s="1101">
        <v>200</v>
      </c>
      <c r="IB174" s="1062"/>
      <c r="ID174" s="1050"/>
      <c r="IE174" s="1050"/>
      <c r="IM174" s="1050"/>
      <c r="IN174" s="1050"/>
      <c r="IO174" s="1050"/>
      <c r="IP174" s="1050"/>
      <c r="JU174" s="1050"/>
      <c r="KC174" s="1050"/>
      <c r="KD174" s="1050"/>
      <c r="KE174" s="1050"/>
      <c r="KF174" s="1050"/>
      <c r="KN174" s="1103"/>
    </row>
    <row r="175" spans="2:300">
      <c r="B175" s="1048" t="str">
        <f t="shared" si="6"/>
        <v>E511</v>
      </c>
      <c r="C175" s="1092">
        <v>5</v>
      </c>
      <c r="D175" s="1092">
        <v>11</v>
      </c>
      <c r="E175" s="584">
        <v>0.42</v>
      </c>
      <c r="F175" s="584">
        <v>0.42</v>
      </c>
      <c r="G175" s="584">
        <v>1008</v>
      </c>
      <c r="H175" s="584">
        <v>21.42</v>
      </c>
      <c r="I175" s="584">
        <v>0</v>
      </c>
      <c r="J175" s="584">
        <v>0</v>
      </c>
      <c r="K175" s="584">
        <v>0</v>
      </c>
      <c r="L175" s="584">
        <v>0</v>
      </c>
      <c r="M175" s="584">
        <v>0</v>
      </c>
      <c r="N175" s="584">
        <v>0</v>
      </c>
      <c r="O175" s="584">
        <v>0</v>
      </c>
      <c r="P175" s="584">
        <v>0</v>
      </c>
      <c r="Q175" s="584">
        <v>0</v>
      </c>
      <c r="R175" s="584">
        <v>0</v>
      </c>
      <c r="S175" s="584">
        <v>0</v>
      </c>
      <c r="T175" s="584">
        <v>266.83643749999999</v>
      </c>
      <c r="U175" s="584">
        <v>55</v>
      </c>
      <c r="V175" s="584">
        <v>484.03593749999999</v>
      </c>
      <c r="W175" s="584">
        <v>115.5</v>
      </c>
      <c r="X175" s="584">
        <v>692.64099999999996</v>
      </c>
      <c r="Y175" s="584">
        <v>242</v>
      </c>
      <c r="Z175" s="584">
        <v>0.32</v>
      </c>
      <c r="AA175" s="584">
        <v>0.32</v>
      </c>
      <c r="AB175" s="584">
        <v>768</v>
      </c>
      <c r="AC175" s="584">
        <v>18</v>
      </c>
      <c r="AD175" s="584">
        <v>0</v>
      </c>
      <c r="AE175" s="584">
        <v>0</v>
      </c>
      <c r="AF175" s="584">
        <v>0</v>
      </c>
      <c r="AG175" s="584">
        <v>0</v>
      </c>
      <c r="AH175" s="584">
        <v>0</v>
      </c>
      <c r="AI175" s="584">
        <v>0</v>
      </c>
      <c r="AJ175" s="584">
        <v>0</v>
      </c>
      <c r="AK175" s="584">
        <v>0</v>
      </c>
      <c r="AL175" s="584">
        <v>0</v>
      </c>
      <c r="AM175" s="584">
        <v>0</v>
      </c>
      <c r="AN175" s="584">
        <v>0</v>
      </c>
      <c r="AO175" s="584">
        <v>228.36143749999999</v>
      </c>
      <c r="AP175" s="584">
        <v>55</v>
      </c>
      <c r="AQ175" s="584">
        <v>406.07343750000001</v>
      </c>
      <c r="AR175" s="584">
        <v>115.5</v>
      </c>
      <c r="AS175" s="584">
        <v>541.39099999999996</v>
      </c>
      <c r="AT175" s="584">
        <v>242</v>
      </c>
      <c r="AU175" s="584">
        <v>0.7</v>
      </c>
      <c r="AV175" s="584">
        <v>0.25</v>
      </c>
      <c r="AW175" s="584">
        <v>511.41994724026</v>
      </c>
      <c r="AX175" s="584">
        <v>21.361980374536198</v>
      </c>
      <c r="AY175" s="584">
        <v>0</v>
      </c>
      <c r="AZ175" s="584">
        <v>0</v>
      </c>
      <c r="BA175" s="584">
        <v>0</v>
      </c>
      <c r="BB175" s="584">
        <v>0</v>
      </c>
      <c r="BC175" s="584">
        <v>0</v>
      </c>
      <c r="BD175" s="584">
        <v>0</v>
      </c>
      <c r="BE175" s="584">
        <v>0</v>
      </c>
      <c r="BF175" s="584">
        <v>0</v>
      </c>
      <c r="BG175" s="584">
        <v>0.7</v>
      </c>
      <c r="BH175" s="584">
        <v>0</v>
      </c>
      <c r="BI175" s="584">
        <v>0.45</v>
      </c>
      <c r="BJ175" s="584">
        <v>195.49952455357101</v>
      </c>
      <c r="BK175" s="584">
        <v>55</v>
      </c>
      <c r="BL175" s="584">
        <v>322.64814843750003</v>
      </c>
      <c r="BM175" s="584">
        <v>115.5</v>
      </c>
      <c r="BN175" s="584">
        <v>371.60832589285701</v>
      </c>
      <c r="BO175" s="584">
        <v>242</v>
      </c>
      <c r="BP175" s="584">
        <v>0</v>
      </c>
      <c r="BQ175" s="584">
        <v>0</v>
      </c>
      <c r="BR175" s="584">
        <v>0</v>
      </c>
      <c r="BS175" s="584">
        <v>0</v>
      </c>
      <c r="BT175" s="584">
        <v>0</v>
      </c>
      <c r="BU175" s="584">
        <v>0</v>
      </c>
      <c r="BV175" s="584">
        <v>0</v>
      </c>
      <c r="BW175" s="584">
        <v>0</v>
      </c>
      <c r="BX175" s="584">
        <v>0</v>
      </c>
      <c r="BY175" s="584">
        <v>0</v>
      </c>
      <c r="BZ175" s="584">
        <v>0</v>
      </c>
      <c r="CA175" s="584">
        <v>0</v>
      </c>
      <c r="CB175" s="584">
        <v>0</v>
      </c>
      <c r="CC175" s="584">
        <v>0</v>
      </c>
      <c r="CD175" s="584">
        <v>0</v>
      </c>
      <c r="CE175" s="584">
        <v>0</v>
      </c>
      <c r="CF175" s="584">
        <v>0</v>
      </c>
      <c r="CG175" s="584">
        <v>0</v>
      </c>
      <c r="CH175" s="584">
        <v>0</v>
      </c>
      <c r="CI175" s="584">
        <v>0</v>
      </c>
      <c r="CJ175" s="584">
        <v>0</v>
      </c>
      <c r="CK175" s="584">
        <v>0.82499999999999996</v>
      </c>
      <c r="CL175" s="584">
        <v>0.15</v>
      </c>
      <c r="CM175" s="584">
        <v>464.913033395176</v>
      </c>
      <c r="CN175" s="584">
        <v>17.288708835807</v>
      </c>
      <c r="CO175" s="584">
        <v>0</v>
      </c>
      <c r="CP175" s="584">
        <v>0</v>
      </c>
      <c r="CQ175" s="584">
        <v>0</v>
      </c>
      <c r="CR175" s="584">
        <v>0</v>
      </c>
      <c r="CS175" s="584">
        <v>0</v>
      </c>
      <c r="CT175" s="584">
        <v>0</v>
      </c>
      <c r="CU175" s="584">
        <v>0</v>
      </c>
      <c r="CV175" s="584">
        <v>0</v>
      </c>
      <c r="CW175" s="584">
        <v>0.82499999999999996</v>
      </c>
      <c r="CX175" s="584">
        <v>0</v>
      </c>
      <c r="CY175" s="584">
        <v>0.6</v>
      </c>
      <c r="CZ175" s="584">
        <v>191.12225000000001</v>
      </c>
      <c r="DA175" s="584">
        <v>55</v>
      </c>
      <c r="DB175" s="584">
        <v>311.40862499999997</v>
      </c>
      <c r="DC175" s="584">
        <v>115.5</v>
      </c>
      <c r="DD175" s="584">
        <v>338.31324999999998</v>
      </c>
      <c r="DE175" s="584">
        <v>242</v>
      </c>
      <c r="DF175" s="584">
        <v>0.375</v>
      </c>
      <c r="DG175" s="584">
        <v>0.2</v>
      </c>
      <c r="DH175" s="584">
        <v>432.32577690167</v>
      </c>
      <c r="DI175" s="584">
        <v>21.027091894712399</v>
      </c>
      <c r="DJ175" s="584">
        <v>300</v>
      </c>
      <c r="DK175" s="584">
        <v>0</v>
      </c>
      <c r="DL175" s="584">
        <v>0</v>
      </c>
      <c r="DM175" s="584">
        <v>0</v>
      </c>
      <c r="DN175" s="584">
        <v>0</v>
      </c>
      <c r="DO175" s="584">
        <v>0</v>
      </c>
      <c r="DP175" s="584">
        <v>0</v>
      </c>
      <c r="DQ175" s="584">
        <v>0</v>
      </c>
      <c r="DR175" s="584">
        <v>0.375</v>
      </c>
      <c r="DS175" s="584">
        <v>0</v>
      </c>
      <c r="DT175" s="584">
        <v>2.4</v>
      </c>
      <c r="DU175" s="584">
        <v>204.56075000000001</v>
      </c>
      <c r="DV175" s="584">
        <v>55</v>
      </c>
      <c r="DW175" s="584">
        <v>315.97674999999998</v>
      </c>
      <c r="DX175" s="584">
        <v>115.5</v>
      </c>
      <c r="DY175" s="584">
        <v>473.86574999999999</v>
      </c>
      <c r="DZ175" s="584">
        <v>242</v>
      </c>
      <c r="EA175" s="1062">
        <v>0.81720000000000004</v>
      </c>
      <c r="EB175" s="1046">
        <v>0.35</v>
      </c>
      <c r="EC175" s="1093">
        <v>132.51783893985731</v>
      </c>
      <c r="ED175" s="1046">
        <v>0</v>
      </c>
      <c r="EE175" s="1046">
        <v>458.71559633027522</v>
      </c>
      <c r="EF175" s="1046">
        <v>26.405454545454546</v>
      </c>
      <c r="EG175" s="1046">
        <v>0</v>
      </c>
      <c r="EH175" s="1046">
        <v>0</v>
      </c>
      <c r="EI175" s="1046" t="s">
        <v>465</v>
      </c>
      <c r="EJ175" s="1046" t="s">
        <v>445</v>
      </c>
      <c r="EK175" s="1046">
        <v>0</v>
      </c>
      <c r="EL175" s="1046">
        <v>0</v>
      </c>
      <c r="EM175" s="1046">
        <v>0</v>
      </c>
      <c r="EN175" s="1046">
        <v>0</v>
      </c>
      <c r="EO175" s="1046">
        <v>0</v>
      </c>
      <c r="EP175" s="1094">
        <v>94.311765750000006</v>
      </c>
      <c r="EQ175" s="1094">
        <v>55</v>
      </c>
      <c r="ER175" s="1094">
        <v>188.62353150000001</v>
      </c>
      <c r="ES175" s="1095">
        <v>110</v>
      </c>
      <c r="ET175" s="1094">
        <v>377.24706300000003</v>
      </c>
      <c r="EU175" s="1094">
        <v>220</v>
      </c>
      <c r="EV175" s="1096">
        <v>0.60799999999999998</v>
      </c>
      <c r="EW175" s="1097">
        <v>0.15</v>
      </c>
      <c r="EX175" s="1096">
        <v>289.50050968399592</v>
      </c>
      <c r="EY175" s="1096">
        <v>1.5443934760448521</v>
      </c>
      <c r="EZ175" s="1096">
        <v>0</v>
      </c>
      <c r="FA175" s="1096">
        <v>16.569090909090907</v>
      </c>
      <c r="FB175" s="1098">
        <v>0</v>
      </c>
      <c r="FC175" s="1098">
        <v>0</v>
      </c>
      <c r="FD175" s="1098" t="s">
        <v>458</v>
      </c>
      <c r="FE175" s="1098" t="s">
        <v>461</v>
      </c>
      <c r="FF175" s="1098">
        <v>1</v>
      </c>
      <c r="FG175" s="1098">
        <v>0</v>
      </c>
      <c r="FH175" s="1098">
        <v>0</v>
      </c>
      <c r="FI175" s="1098">
        <v>0</v>
      </c>
      <c r="FJ175" s="1098">
        <v>0</v>
      </c>
      <c r="FK175" s="1096">
        <v>54.005782624999995</v>
      </c>
      <c r="FL175" s="1096">
        <v>55</v>
      </c>
      <c r="FM175" s="1096">
        <v>108.01156524999999</v>
      </c>
      <c r="FN175" s="1096">
        <v>110</v>
      </c>
      <c r="FO175" s="1096">
        <v>216.02313049999998</v>
      </c>
      <c r="FP175" s="1099">
        <v>220</v>
      </c>
      <c r="FQ175" s="1064">
        <v>0.78935946703562321</v>
      </c>
      <c r="FR175" s="1065">
        <v>0.15</v>
      </c>
      <c r="FS175" s="1066">
        <v>289.50050968399586</v>
      </c>
      <c r="FT175" s="1066">
        <v>3.1754272996334754</v>
      </c>
      <c r="FU175" s="1065"/>
      <c r="FV175" s="1066">
        <v>43.161252060777748</v>
      </c>
      <c r="FW175" s="1065"/>
      <c r="FX175" s="1065"/>
      <c r="FY175" s="1065" t="s">
        <v>481</v>
      </c>
      <c r="FZ175" s="1065" t="s">
        <v>459</v>
      </c>
      <c r="GA175" s="1065">
        <v>1</v>
      </c>
      <c r="GB175" s="1065"/>
      <c r="GC175" s="1065"/>
      <c r="GD175" s="1065"/>
      <c r="GE175" s="1065"/>
      <c r="GF175" s="1066">
        <v>56.300238837227475</v>
      </c>
      <c r="GG175" s="1066">
        <v>55</v>
      </c>
      <c r="GH175" s="1066">
        <v>112.60047767445495</v>
      </c>
      <c r="GI175" s="1066">
        <v>110</v>
      </c>
      <c r="GJ175" s="1066">
        <v>225.2009553489099</v>
      </c>
      <c r="GK175" s="1066">
        <v>220</v>
      </c>
      <c r="GL175" s="584">
        <v>0.71299999999999997</v>
      </c>
      <c r="GM175" s="584">
        <v>0.11</v>
      </c>
      <c r="GN175" s="584"/>
      <c r="GO175" s="584"/>
      <c r="GP175" s="584"/>
      <c r="GQ175" s="584">
        <v>41.061818181818197</v>
      </c>
      <c r="GR175" s="584"/>
      <c r="GS175" s="584">
        <v>56.065239551478101</v>
      </c>
      <c r="GT175" s="584" t="s">
        <v>471</v>
      </c>
      <c r="GU175" s="584" t="s">
        <v>414</v>
      </c>
      <c r="GV175" s="584">
        <v>1</v>
      </c>
      <c r="GW175" s="584"/>
      <c r="GX175" s="584"/>
      <c r="GY175" s="584"/>
      <c r="GZ175" s="584"/>
      <c r="HA175" s="584">
        <v>24.101226</v>
      </c>
      <c r="HB175" s="584">
        <v>55</v>
      </c>
      <c r="HC175" s="584">
        <v>48.202452000000001</v>
      </c>
      <c r="HD175" s="584">
        <v>110</v>
      </c>
      <c r="HE175" s="584">
        <v>96.404904000000002</v>
      </c>
      <c r="HF175" s="584">
        <v>220</v>
      </c>
      <c r="HG175" s="1100">
        <v>0.99</v>
      </c>
      <c r="HH175" s="1100">
        <v>0.11</v>
      </c>
      <c r="HI175" s="1101">
        <v>0</v>
      </c>
      <c r="HJ175" s="1101">
        <v>0</v>
      </c>
      <c r="HK175" s="1101">
        <v>0</v>
      </c>
      <c r="HL175" s="1101">
        <v>0</v>
      </c>
      <c r="HM175" s="1101">
        <v>51.682909090909085</v>
      </c>
      <c r="HN175" s="1101">
        <v>54.999999999999993</v>
      </c>
      <c r="HO175" s="1101">
        <v>0</v>
      </c>
      <c r="HP175" s="1101">
        <v>0</v>
      </c>
      <c r="HQ175" s="1101">
        <v>1</v>
      </c>
      <c r="HR175" s="1101">
        <v>0.64</v>
      </c>
      <c r="HS175" s="1101">
        <v>0.88</v>
      </c>
      <c r="HT175" s="1101">
        <v>0.28000000000000003</v>
      </c>
      <c r="HU175" s="1101">
        <v>0.28000000000000003</v>
      </c>
      <c r="HV175" s="1101">
        <v>25.3901909</v>
      </c>
      <c r="HW175" s="1101">
        <v>55</v>
      </c>
      <c r="HX175" s="1101">
        <v>50.780381800000001</v>
      </c>
      <c r="HY175" s="1101">
        <v>110</v>
      </c>
      <c r="HZ175" s="1101">
        <v>101.5607636</v>
      </c>
      <c r="IA175" s="1101">
        <v>220</v>
      </c>
      <c r="IB175" s="1062"/>
      <c r="ID175" s="1050"/>
      <c r="IE175" s="1050"/>
      <c r="IM175" s="1050"/>
      <c r="IN175" s="1050"/>
      <c r="IO175" s="1050"/>
      <c r="IP175" s="1050"/>
      <c r="JU175" s="1050"/>
      <c r="KC175" s="1050"/>
      <c r="KD175" s="1050"/>
      <c r="KE175" s="1050"/>
      <c r="KF175" s="1050"/>
      <c r="KN175" s="1103"/>
    </row>
    <row r="176" spans="2:300">
      <c r="B176" s="1048" t="str">
        <f t="shared" si="6"/>
        <v>E512</v>
      </c>
      <c r="C176" s="1092">
        <v>5</v>
      </c>
      <c r="D176" s="1092">
        <v>12</v>
      </c>
      <c r="E176" s="584">
        <v>0.49</v>
      </c>
      <c r="F176" s="584">
        <v>0.49</v>
      </c>
      <c r="G176" s="584">
        <v>1176</v>
      </c>
      <c r="H176" s="584">
        <v>24.01</v>
      </c>
      <c r="I176" s="584">
        <v>0</v>
      </c>
      <c r="J176" s="584">
        <v>0</v>
      </c>
      <c r="K176" s="584">
        <v>0</v>
      </c>
      <c r="L176" s="584">
        <v>0</v>
      </c>
      <c r="M176" s="584">
        <v>0</v>
      </c>
      <c r="N176" s="584">
        <v>0</v>
      </c>
      <c r="O176" s="584">
        <v>0</v>
      </c>
      <c r="P176" s="584">
        <v>0</v>
      </c>
      <c r="Q176" s="584">
        <v>0</v>
      </c>
      <c r="R176" s="584">
        <v>0</v>
      </c>
      <c r="S176" s="584">
        <v>0</v>
      </c>
      <c r="T176" s="584">
        <v>316.86643750000002</v>
      </c>
      <c r="U176" s="584">
        <v>60</v>
      </c>
      <c r="V176" s="584">
        <v>587.11443750000001</v>
      </c>
      <c r="W176" s="584">
        <v>126</v>
      </c>
      <c r="X176" s="584">
        <v>870.29100000000005</v>
      </c>
      <c r="Y176" s="584">
        <v>264</v>
      </c>
      <c r="Z176" s="584">
        <v>0.35499999999999998</v>
      </c>
      <c r="AA176" s="584">
        <v>0.35499999999999998</v>
      </c>
      <c r="AB176" s="584">
        <v>852</v>
      </c>
      <c r="AC176" s="584">
        <v>19</v>
      </c>
      <c r="AD176" s="584">
        <v>0</v>
      </c>
      <c r="AE176" s="584">
        <v>0</v>
      </c>
      <c r="AF176" s="584">
        <v>0</v>
      </c>
      <c r="AG176" s="584">
        <v>0</v>
      </c>
      <c r="AH176" s="584">
        <v>0</v>
      </c>
      <c r="AI176" s="584">
        <v>0</v>
      </c>
      <c r="AJ176" s="584">
        <v>0</v>
      </c>
      <c r="AK176" s="584">
        <v>0</v>
      </c>
      <c r="AL176" s="584">
        <v>0</v>
      </c>
      <c r="AM176" s="584">
        <v>0</v>
      </c>
      <c r="AN176" s="584">
        <v>0</v>
      </c>
      <c r="AO176" s="584">
        <v>260.36893750000002</v>
      </c>
      <c r="AP176" s="584">
        <v>60</v>
      </c>
      <c r="AQ176" s="584">
        <v>472.29693750000001</v>
      </c>
      <c r="AR176" s="584">
        <v>126</v>
      </c>
      <c r="AS176" s="584">
        <v>647.54100000000005</v>
      </c>
      <c r="AT176" s="584">
        <v>264</v>
      </c>
      <c r="AU176" s="584">
        <v>0.8</v>
      </c>
      <c r="AV176" s="584">
        <v>0.25</v>
      </c>
      <c r="AW176" s="584">
        <v>521.993093996168</v>
      </c>
      <c r="AX176" s="584">
        <v>21.644849771130499</v>
      </c>
      <c r="AY176" s="584">
        <v>0</v>
      </c>
      <c r="AZ176" s="584">
        <v>0</v>
      </c>
      <c r="BA176" s="584">
        <v>0</v>
      </c>
      <c r="BB176" s="584">
        <v>0</v>
      </c>
      <c r="BC176" s="584">
        <v>0</v>
      </c>
      <c r="BD176" s="584">
        <v>0</v>
      </c>
      <c r="BE176" s="584">
        <v>0</v>
      </c>
      <c r="BF176" s="584">
        <v>0</v>
      </c>
      <c r="BG176" s="584">
        <v>0.8</v>
      </c>
      <c r="BH176" s="584">
        <v>0</v>
      </c>
      <c r="BI176" s="584">
        <v>0.45</v>
      </c>
      <c r="BJ176" s="584">
        <v>212.11439944379401</v>
      </c>
      <c r="BK176" s="584">
        <v>60</v>
      </c>
      <c r="BL176" s="584">
        <v>354.49170491803301</v>
      </c>
      <c r="BM176" s="584">
        <v>126</v>
      </c>
      <c r="BN176" s="584">
        <v>411.57218149882902</v>
      </c>
      <c r="BO176" s="584">
        <v>264</v>
      </c>
      <c r="BP176" s="584">
        <v>0</v>
      </c>
      <c r="BQ176" s="584">
        <v>0</v>
      </c>
      <c r="BR176" s="584">
        <v>0</v>
      </c>
      <c r="BS176" s="584">
        <v>0</v>
      </c>
      <c r="BT176" s="584">
        <v>0</v>
      </c>
      <c r="BU176" s="584">
        <v>0</v>
      </c>
      <c r="BV176" s="584">
        <v>0</v>
      </c>
      <c r="BW176" s="584">
        <v>0</v>
      </c>
      <c r="BX176" s="584">
        <v>0</v>
      </c>
      <c r="BY176" s="584">
        <v>0</v>
      </c>
      <c r="BZ176" s="584">
        <v>0</v>
      </c>
      <c r="CA176" s="584">
        <v>0</v>
      </c>
      <c r="CB176" s="584">
        <v>0</v>
      </c>
      <c r="CC176" s="584">
        <v>0</v>
      </c>
      <c r="CD176" s="584">
        <v>0</v>
      </c>
      <c r="CE176" s="584">
        <v>0</v>
      </c>
      <c r="CF176" s="584">
        <v>0</v>
      </c>
      <c r="CG176" s="584">
        <v>0</v>
      </c>
      <c r="CH176" s="584">
        <v>0</v>
      </c>
      <c r="CI176" s="584">
        <v>0</v>
      </c>
      <c r="CJ176" s="584">
        <v>0</v>
      </c>
      <c r="CK176" s="584">
        <v>0.97499999999999998</v>
      </c>
      <c r="CL176" s="584">
        <v>0.15</v>
      </c>
      <c r="CM176" s="584">
        <v>483.98113157334501</v>
      </c>
      <c r="CN176" s="584">
        <v>17.503055141579701</v>
      </c>
      <c r="CO176" s="584">
        <v>0</v>
      </c>
      <c r="CP176" s="584">
        <v>0</v>
      </c>
      <c r="CQ176" s="584">
        <v>0</v>
      </c>
      <c r="CR176" s="584">
        <v>0</v>
      </c>
      <c r="CS176" s="584">
        <v>0</v>
      </c>
      <c r="CT176" s="584">
        <v>0</v>
      </c>
      <c r="CU176" s="584">
        <v>0</v>
      </c>
      <c r="CV176" s="584">
        <v>0</v>
      </c>
      <c r="CW176" s="584">
        <v>0.97499999999999998</v>
      </c>
      <c r="CX176" s="584">
        <v>0</v>
      </c>
      <c r="CY176" s="584">
        <v>0.6</v>
      </c>
      <c r="CZ176" s="584">
        <v>207.58337499999999</v>
      </c>
      <c r="DA176" s="584">
        <v>60</v>
      </c>
      <c r="DB176" s="584">
        <v>343.74824999999998</v>
      </c>
      <c r="DC176" s="584">
        <v>126</v>
      </c>
      <c r="DD176" s="584">
        <v>381.53625</v>
      </c>
      <c r="DE176" s="584">
        <v>264</v>
      </c>
      <c r="DF176" s="584">
        <v>0</v>
      </c>
      <c r="DG176" s="584">
        <v>0</v>
      </c>
      <c r="DH176" s="584">
        <v>0</v>
      </c>
      <c r="DI176" s="584">
        <v>0</v>
      </c>
      <c r="DJ176" s="584">
        <v>0</v>
      </c>
      <c r="DK176" s="584">
        <v>0</v>
      </c>
      <c r="DL176" s="584">
        <v>0</v>
      </c>
      <c r="DM176" s="584">
        <v>0</v>
      </c>
      <c r="DN176" s="584">
        <v>0</v>
      </c>
      <c r="DO176" s="584">
        <v>0</v>
      </c>
      <c r="DP176" s="584">
        <v>0</v>
      </c>
      <c r="DQ176" s="584">
        <v>0</v>
      </c>
      <c r="DR176" s="584">
        <v>0</v>
      </c>
      <c r="DS176" s="584">
        <v>0</v>
      </c>
      <c r="DT176" s="584">
        <v>0</v>
      </c>
      <c r="DU176" s="584">
        <v>0</v>
      </c>
      <c r="DV176" s="584">
        <v>0</v>
      </c>
      <c r="DW176" s="584">
        <v>0</v>
      </c>
      <c r="DX176" s="584">
        <v>0</v>
      </c>
      <c r="DY176" s="584">
        <v>0</v>
      </c>
      <c r="DZ176" s="584">
        <v>0</v>
      </c>
      <c r="EA176" s="1062">
        <v>0.84199999999999997</v>
      </c>
      <c r="EB176" s="1046">
        <v>0.35</v>
      </c>
      <c r="EC176" s="1093">
        <v>132.51783893985731</v>
      </c>
      <c r="ED176" s="1046">
        <v>0</v>
      </c>
      <c r="EE176" s="1046">
        <v>458.71559633027522</v>
      </c>
      <c r="EF176" s="1046">
        <v>39.388333333333335</v>
      </c>
      <c r="EG176" s="1046">
        <v>0</v>
      </c>
      <c r="EH176" s="1046">
        <v>0</v>
      </c>
      <c r="EI176" s="1046" t="s">
        <v>463</v>
      </c>
      <c r="EJ176" s="1046" t="s">
        <v>440</v>
      </c>
      <c r="EK176" s="1046">
        <v>0</v>
      </c>
      <c r="EL176" s="1046">
        <v>0</v>
      </c>
      <c r="EM176" s="1046">
        <v>0</v>
      </c>
      <c r="EN176" s="1046">
        <v>0</v>
      </c>
      <c r="EO176" s="1046">
        <v>0</v>
      </c>
      <c r="EP176" s="1094">
        <v>104.79599325000001</v>
      </c>
      <c r="EQ176" s="1094">
        <v>60</v>
      </c>
      <c r="ER176" s="1094">
        <v>209.59198650000002</v>
      </c>
      <c r="ES176" s="1095">
        <v>120</v>
      </c>
      <c r="ET176" s="1094">
        <v>419.18397300000004</v>
      </c>
      <c r="EU176" s="1094">
        <v>240</v>
      </c>
      <c r="EV176" s="1096">
        <v>0.60699999999999998</v>
      </c>
      <c r="EW176" s="1097">
        <v>0.15</v>
      </c>
      <c r="EX176" s="1096">
        <v>289.50050968399592</v>
      </c>
      <c r="EY176" s="1096">
        <v>1.5443934760448521</v>
      </c>
      <c r="EZ176" s="1096">
        <v>0</v>
      </c>
      <c r="FA176" s="1096">
        <v>16.651666666666664</v>
      </c>
      <c r="FB176" s="1098">
        <v>0</v>
      </c>
      <c r="FC176" s="1098">
        <v>0</v>
      </c>
      <c r="FD176" s="1098" t="s">
        <v>450</v>
      </c>
      <c r="FE176" s="1098" t="s">
        <v>461</v>
      </c>
      <c r="FF176" s="1098">
        <v>1</v>
      </c>
      <c r="FG176" s="1098">
        <v>0</v>
      </c>
      <c r="FH176" s="1098">
        <v>0</v>
      </c>
      <c r="FI176" s="1098">
        <v>0</v>
      </c>
      <c r="FJ176" s="1098">
        <v>0</v>
      </c>
      <c r="FK176" s="1096">
        <v>58.927550249999996</v>
      </c>
      <c r="FL176" s="1096">
        <v>60</v>
      </c>
      <c r="FM176" s="1096">
        <v>117.85510049999999</v>
      </c>
      <c r="FN176" s="1096">
        <v>120</v>
      </c>
      <c r="FO176" s="1096">
        <v>235.71020099999998</v>
      </c>
      <c r="FP176" s="1099">
        <v>240</v>
      </c>
      <c r="FQ176" s="1064">
        <v>0.89382878474779204</v>
      </c>
      <c r="FR176" s="1065">
        <v>0.15</v>
      </c>
      <c r="FS176" s="1066">
        <v>289.50050968399586</v>
      </c>
      <c r="FT176" s="1066">
        <v>3.1754272996334754</v>
      </c>
      <c r="FU176" s="1065"/>
      <c r="FV176" s="1066">
        <v>47.241817135391763</v>
      </c>
      <c r="FW176" s="1065"/>
      <c r="FX176" s="1065"/>
      <c r="FY176" s="1065" t="s">
        <v>438</v>
      </c>
      <c r="FZ176" s="1065" t="s">
        <v>438</v>
      </c>
      <c r="GA176" s="1065">
        <v>1</v>
      </c>
      <c r="GB176" s="1065"/>
      <c r="GC176" s="1065"/>
      <c r="GD176" s="1065"/>
      <c r="GE176" s="1065"/>
      <c r="GF176" s="1066">
        <v>62.018897518613961</v>
      </c>
      <c r="GG176" s="1066">
        <v>60</v>
      </c>
      <c r="GH176" s="1066">
        <v>124.03779503722792</v>
      </c>
      <c r="GI176" s="1066">
        <v>120</v>
      </c>
      <c r="GJ176" s="1066">
        <v>248.07559007445585</v>
      </c>
      <c r="GK176" s="1066">
        <v>240</v>
      </c>
      <c r="GL176" s="584">
        <v>0.71760000000000002</v>
      </c>
      <c r="GM176" s="584">
        <v>0.11</v>
      </c>
      <c r="GN176" s="584"/>
      <c r="GO176" s="584"/>
      <c r="GP176" s="584"/>
      <c r="GQ176" s="584">
        <v>49.558333333333302</v>
      </c>
      <c r="GR176" s="584"/>
      <c r="GS176" s="584">
        <v>56.065239551478101</v>
      </c>
      <c r="GT176" s="584" t="s">
        <v>461</v>
      </c>
      <c r="GU176" s="584" t="s">
        <v>408</v>
      </c>
      <c r="GV176" s="584">
        <v>1</v>
      </c>
      <c r="GW176" s="584"/>
      <c r="GX176" s="584"/>
      <c r="GY176" s="584"/>
      <c r="GZ176" s="584"/>
      <c r="HA176" s="584">
        <v>27.54250875</v>
      </c>
      <c r="HB176" s="584">
        <v>60</v>
      </c>
      <c r="HC176" s="584">
        <v>55.085017499999999</v>
      </c>
      <c r="HD176" s="584">
        <v>120</v>
      </c>
      <c r="HE176" s="584">
        <v>110.170035</v>
      </c>
      <c r="HF176" s="584">
        <v>240</v>
      </c>
      <c r="HG176" s="1100">
        <v>1.1100000000000001</v>
      </c>
      <c r="HH176" s="1100">
        <v>0.11</v>
      </c>
      <c r="HI176" s="1101">
        <v>0</v>
      </c>
      <c r="HJ176" s="1101">
        <v>0</v>
      </c>
      <c r="HK176" s="1101">
        <v>0</v>
      </c>
      <c r="HL176" s="1101">
        <v>0</v>
      </c>
      <c r="HM176" s="1101">
        <v>57.540000000000006</v>
      </c>
      <c r="HN176" s="1101">
        <v>54.999999999999993</v>
      </c>
      <c r="HO176" s="1101">
        <v>0</v>
      </c>
      <c r="HP176" s="1101">
        <v>0</v>
      </c>
      <c r="HQ176" s="1101">
        <v>1</v>
      </c>
      <c r="HR176" s="1101">
        <v>0.68</v>
      </c>
      <c r="HS176" s="1101">
        <v>1</v>
      </c>
      <c r="HT176" s="1101">
        <v>0.28000000000000003</v>
      </c>
      <c r="HU176" s="1101">
        <v>0.28000000000000003</v>
      </c>
      <c r="HV176" s="1101">
        <v>28.560261000000001</v>
      </c>
      <c r="HW176" s="1101">
        <v>60</v>
      </c>
      <c r="HX176" s="1101">
        <v>57.120522000000001</v>
      </c>
      <c r="HY176" s="1101">
        <v>120</v>
      </c>
      <c r="HZ176" s="1101">
        <v>114.241044</v>
      </c>
      <c r="IA176" s="1101">
        <v>240</v>
      </c>
      <c r="IB176" s="1062"/>
      <c r="ID176" s="1050"/>
      <c r="IE176" s="1050"/>
      <c r="IM176" s="1050"/>
      <c r="IN176" s="1050"/>
      <c r="IO176" s="1050"/>
      <c r="IP176" s="1050"/>
      <c r="JU176" s="1050"/>
      <c r="KC176" s="1050"/>
      <c r="KD176" s="1050"/>
      <c r="KE176" s="1050"/>
      <c r="KF176" s="1050"/>
      <c r="KN176" s="1103"/>
    </row>
    <row r="177" spans="2:300">
      <c r="B177" s="1048" t="str">
        <f t="shared" si="6"/>
        <v>E513</v>
      </c>
      <c r="C177" s="1092">
        <v>5</v>
      </c>
      <c r="D177" s="1092">
        <v>13</v>
      </c>
      <c r="E177" s="584">
        <v>0.49</v>
      </c>
      <c r="F177" s="584">
        <v>0.49</v>
      </c>
      <c r="G177" s="584">
        <v>1176</v>
      </c>
      <c r="H177" s="584">
        <v>23.52</v>
      </c>
      <c r="I177" s="584">
        <v>0</v>
      </c>
      <c r="J177" s="584">
        <v>0</v>
      </c>
      <c r="K177" s="584">
        <v>0</v>
      </c>
      <c r="L177" s="584">
        <v>0</v>
      </c>
      <c r="M177" s="584">
        <v>0</v>
      </c>
      <c r="N177" s="584">
        <v>0</v>
      </c>
      <c r="O177" s="584">
        <v>0</v>
      </c>
      <c r="P177" s="584">
        <v>0</v>
      </c>
      <c r="Q177" s="584">
        <v>0</v>
      </c>
      <c r="R177" s="584">
        <v>0</v>
      </c>
      <c r="S177" s="584">
        <v>0</v>
      </c>
      <c r="T177" s="584">
        <v>339.96393749999999</v>
      </c>
      <c r="U177" s="584">
        <v>65</v>
      </c>
      <c r="V177" s="584">
        <v>635.61918749999995</v>
      </c>
      <c r="W177" s="584">
        <v>136.5</v>
      </c>
      <c r="X177" s="584">
        <v>942.06600000000003</v>
      </c>
      <c r="Y177" s="584">
        <v>286</v>
      </c>
      <c r="Z177" s="584">
        <v>0.39500000000000002</v>
      </c>
      <c r="AA177" s="584">
        <v>0.39500000000000002</v>
      </c>
      <c r="AB177" s="584">
        <v>948</v>
      </c>
      <c r="AC177" s="584">
        <v>23</v>
      </c>
      <c r="AD177" s="584">
        <v>0</v>
      </c>
      <c r="AE177" s="584">
        <v>0</v>
      </c>
      <c r="AF177" s="584">
        <v>0</v>
      </c>
      <c r="AG177" s="584">
        <v>0</v>
      </c>
      <c r="AH177" s="584">
        <v>0</v>
      </c>
      <c r="AI177" s="584">
        <v>0</v>
      </c>
      <c r="AJ177" s="584">
        <v>0</v>
      </c>
      <c r="AK177" s="584">
        <v>0</v>
      </c>
      <c r="AL177" s="584">
        <v>0</v>
      </c>
      <c r="AM177" s="584">
        <v>0</v>
      </c>
      <c r="AN177" s="584">
        <v>0</v>
      </c>
      <c r="AO177" s="584">
        <v>297.00018749999998</v>
      </c>
      <c r="AP177" s="584">
        <v>65</v>
      </c>
      <c r="AQ177" s="584">
        <v>548.08856249999997</v>
      </c>
      <c r="AR177" s="584">
        <v>136.5</v>
      </c>
      <c r="AS177" s="584">
        <v>772.25350000000003</v>
      </c>
      <c r="AT177" s="584">
        <v>286</v>
      </c>
      <c r="AU177" s="584">
        <v>0.8</v>
      </c>
      <c r="AV177" s="584">
        <v>0.25</v>
      </c>
      <c r="AW177" s="584">
        <v>564.94391971664697</v>
      </c>
      <c r="AX177" s="584">
        <v>22.527708087367198</v>
      </c>
      <c r="AY177" s="584">
        <v>0</v>
      </c>
      <c r="AZ177" s="584">
        <v>0</v>
      </c>
      <c r="BA177" s="584">
        <v>0</v>
      </c>
      <c r="BB177" s="584">
        <v>0</v>
      </c>
      <c r="BC177" s="584">
        <v>0</v>
      </c>
      <c r="BD177" s="584">
        <v>0</v>
      </c>
      <c r="BE177" s="584">
        <v>0</v>
      </c>
      <c r="BF177" s="584">
        <v>0</v>
      </c>
      <c r="BG177" s="584">
        <v>0.8</v>
      </c>
      <c r="BH177" s="584">
        <v>0</v>
      </c>
      <c r="BI177" s="584">
        <v>0.45</v>
      </c>
      <c r="BJ177" s="584">
        <v>239.70179342532501</v>
      </c>
      <c r="BK177" s="584">
        <v>65</v>
      </c>
      <c r="BL177" s="584">
        <v>403.64814630681798</v>
      </c>
      <c r="BM177" s="584">
        <v>136.5</v>
      </c>
      <c r="BN177" s="584">
        <v>447.87570535714298</v>
      </c>
      <c r="BO177" s="584">
        <v>286</v>
      </c>
      <c r="BP177" s="584">
        <v>0</v>
      </c>
      <c r="BQ177" s="584">
        <v>0</v>
      </c>
      <c r="BR177" s="584">
        <v>0</v>
      </c>
      <c r="BS177" s="584">
        <v>0</v>
      </c>
      <c r="BT177" s="584">
        <v>0</v>
      </c>
      <c r="BU177" s="584">
        <v>0</v>
      </c>
      <c r="BV177" s="584">
        <v>0</v>
      </c>
      <c r="BW177" s="584">
        <v>0</v>
      </c>
      <c r="BX177" s="584">
        <v>0</v>
      </c>
      <c r="BY177" s="584">
        <v>0</v>
      </c>
      <c r="BZ177" s="584">
        <v>0</v>
      </c>
      <c r="CA177" s="584">
        <v>0</v>
      </c>
      <c r="CB177" s="584">
        <v>0</v>
      </c>
      <c r="CC177" s="584">
        <v>0</v>
      </c>
      <c r="CD177" s="584">
        <v>0</v>
      </c>
      <c r="CE177" s="584">
        <v>0</v>
      </c>
      <c r="CF177" s="584">
        <v>0</v>
      </c>
      <c r="CG177" s="584">
        <v>0</v>
      </c>
      <c r="CH177" s="584">
        <v>0</v>
      </c>
      <c r="CI177" s="584">
        <v>0</v>
      </c>
      <c r="CJ177" s="584">
        <v>0</v>
      </c>
      <c r="CK177" s="584">
        <v>0.97499999999999998</v>
      </c>
      <c r="CL177" s="584">
        <v>0.15</v>
      </c>
      <c r="CM177" s="584">
        <v>503.67768595041298</v>
      </c>
      <c r="CN177" s="584">
        <v>17.598996458087399</v>
      </c>
      <c r="CO177" s="584">
        <v>0</v>
      </c>
      <c r="CP177" s="584">
        <v>0</v>
      </c>
      <c r="CQ177" s="584">
        <v>0</v>
      </c>
      <c r="CR177" s="584">
        <v>0</v>
      </c>
      <c r="CS177" s="584">
        <v>0</v>
      </c>
      <c r="CT177" s="584">
        <v>0</v>
      </c>
      <c r="CU177" s="584">
        <v>0</v>
      </c>
      <c r="CV177" s="584">
        <v>0</v>
      </c>
      <c r="CW177" s="584">
        <v>0.97499999999999998</v>
      </c>
      <c r="CX177" s="584">
        <v>0</v>
      </c>
      <c r="CY177" s="584">
        <v>0.6</v>
      </c>
      <c r="CZ177" s="584">
        <v>235.37774999999999</v>
      </c>
      <c r="DA177" s="584">
        <v>65</v>
      </c>
      <c r="DB177" s="584">
        <v>392.53050000000002</v>
      </c>
      <c r="DC177" s="584">
        <v>136.5</v>
      </c>
      <c r="DD177" s="584">
        <v>412.74874999999997</v>
      </c>
      <c r="DE177" s="584">
        <v>286</v>
      </c>
      <c r="DF177" s="584">
        <v>0</v>
      </c>
      <c r="DG177" s="584">
        <v>0</v>
      </c>
      <c r="DH177" s="584">
        <v>0</v>
      </c>
      <c r="DI177" s="584">
        <v>0</v>
      </c>
      <c r="DJ177" s="584">
        <v>0</v>
      </c>
      <c r="DK177" s="584">
        <v>0</v>
      </c>
      <c r="DL177" s="584">
        <v>0</v>
      </c>
      <c r="DM177" s="584">
        <v>0</v>
      </c>
      <c r="DN177" s="584">
        <v>0</v>
      </c>
      <c r="DO177" s="584">
        <v>0</v>
      </c>
      <c r="DP177" s="584">
        <v>0</v>
      </c>
      <c r="DQ177" s="584">
        <v>0</v>
      </c>
      <c r="DR177" s="584">
        <v>0</v>
      </c>
      <c r="DS177" s="584">
        <v>0</v>
      </c>
      <c r="DT177" s="584">
        <v>0</v>
      </c>
      <c r="DU177" s="584">
        <v>0</v>
      </c>
      <c r="DV177" s="584">
        <v>0</v>
      </c>
      <c r="DW177" s="584">
        <v>0</v>
      </c>
      <c r="DX177" s="584">
        <v>0</v>
      </c>
      <c r="DY177" s="584">
        <v>0</v>
      </c>
      <c r="DZ177" s="584">
        <v>0</v>
      </c>
      <c r="EA177" s="1062">
        <v>0.9425</v>
      </c>
      <c r="EB177" s="1046">
        <v>0.4</v>
      </c>
      <c r="EC177" s="1093">
        <v>132.51783893985737</v>
      </c>
      <c r="ED177" s="1046">
        <v>0</v>
      </c>
      <c r="EE177" s="1046">
        <v>519.87767584097855</v>
      </c>
      <c r="EF177" s="1046">
        <v>36.435384615384621</v>
      </c>
      <c r="EG177" s="1046">
        <v>0</v>
      </c>
      <c r="EH177" s="1046">
        <v>0</v>
      </c>
      <c r="EI177" s="1046" t="s">
        <v>454</v>
      </c>
      <c r="EJ177" s="1046" t="s">
        <v>423</v>
      </c>
      <c r="EK177" s="1046">
        <v>0</v>
      </c>
      <c r="EL177" s="1046">
        <v>0</v>
      </c>
      <c r="EM177" s="1046">
        <v>0</v>
      </c>
      <c r="EN177" s="1046">
        <v>0</v>
      </c>
      <c r="EO177" s="1046">
        <v>0</v>
      </c>
      <c r="EP177" s="1094">
        <v>122.80825575</v>
      </c>
      <c r="EQ177" s="1094">
        <v>65</v>
      </c>
      <c r="ER177" s="1094">
        <v>245.6165115</v>
      </c>
      <c r="ES177" s="1095">
        <v>130</v>
      </c>
      <c r="ET177" s="1094">
        <v>491.233023</v>
      </c>
      <c r="EU177" s="1094">
        <v>260</v>
      </c>
      <c r="EV177" s="1096">
        <v>0.6782999999999999</v>
      </c>
      <c r="EW177" s="1097">
        <v>0.15</v>
      </c>
      <c r="EX177" s="1096">
        <v>289.50050968399592</v>
      </c>
      <c r="EY177" s="1096">
        <v>1.5443934760448521</v>
      </c>
      <c r="EZ177" s="1096">
        <v>0</v>
      </c>
      <c r="FA177" s="1096">
        <v>22.155384615384616</v>
      </c>
      <c r="FB177" s="1098">
        <v>0</v>
      </c>
      <c r="FC177" s="1098">
        <v>0</v>
      </c>
      <c r="FD177" s="1098" t="s">
        <v>450</v>
      </c>
      <c r="FE177" s="1098" t="s">
        <v>432</v>
      </c>
      <c r="FF177" s="1098">
        <v>1</v>
      </c>
      <c r="FG177" s="1098">
        <v>0</v>
      </c>
      <c r="FH177" s="1098">
        <v>0</v>
      </c>
      <c r="FI177" s="1098">
        <v>0</v>
      </c>
      <c r="FJ177" s="1098">
        <v>0</v>
      </c>
      <c r="FK177" s="1096">
        <v>64.715540874999988</v>
      </c>
      <c r="FL177" s="1096">
        <v>65</v>
      </c>
      <c r="FM177" s="1096">
        <v>129.43108174999998</v>
      </c>
      <c r="FN177" s="1096">
        <v>130</v>
      </c>
      <c r="FO177" s="1096">
        <v>258.86216349999995</v>
      </c>
      <c r="FP177" s="1099">
        <v>260</v>
      </c>
      <c r="FQ177" s="1064">
        <v>1.0020981024599609</v>
      </c>
      <c r="FR177" s="1065">
        <v>0.15</v>
      </c>
      <c r="FS177" s="1066">
        <v>289.50050968399586</v>
      </c>
      <c r="FT177" s="1066">
        <v>3.1754272996334754</v>
      </c>
      <c r="FU177" s="1065"/>
      <c r="FV177" s="1066">
        <v>53.722657860126546</v>
      </c>
      <c r="FW177" s="1065"/>
      <c r="FX177" s="1065"/>
      <c r="FY177" s="1065" t="s">
        <v>438</v>
      </c>
      <c r="FZ177" s="1065" t="s">
        <v>416</v>
      </c>
      <c r="GA177" s="1065">
        <v>1</v>
      </c>
      <c r="GB177" s="1065"/>
      <c r="GC177" s="1065"/>
      <c r="GD177" s="1065"/>
      <c r="GE177" s="1065"/>
      <c r="GF177" s="1066">
        <v>68.220266000530245</v>
      </c>
      <c r="GG177" s="1066">
        <v>65</v>
      </c>
      <c r="GH177" s="1066">
        <v>136.44053200106049</v>
      </c>
      <c r="GI177" s="1066">
        <v>130</v>
      </c>
      <c r="GJ177" s="1066">
        <v>272.88106400212098</v>
      </c>
      <c r="GK177" s="1066">
        <v>260</v>
      </c>
      <c r="GL177" s="584">
        <v>0.86</v>
      </c>
      <c r="GM177" s="584">
        <v>0.11</v>
      </c>
      <c r="GN177" s="584"/>
      <c r="GO177" s="584"/>
      <c r="GP177" s="584"/>
      <c r="GQ177" s="584">
        <v>57.583076923076902</v>
      </c>
      <c r="GR177" s="584"/>
      <c r="GS177" s="584">
        <v>56.065239551478101</v>
      </c>
      <c r="GT177" s="584" t="s">
        <v>461</v>
      </c>
      <c r="GU177" s="584" t="s">
        <v>389</v>
      </c>
      <c r="GV177" s="584">
        <v>1</v>
      </c>
      <c r="GW177" s="584"/>
      <c r="GX177" s="584"/>
      <c r="GY177" s="584"/>
      <c r="GZ177" s="584"/>
      <c r="HA177" s="584">
        <v>31.11696225</v>
      </c>
      <c r="HB177" s="584">
        <v>65</v>
      </c>
      <c r="HC177" s="584">
        <v>62.233924500000001</v>
      </c>
      <c r="HD177" s="584">
        <v>130</v>
      </c>
      <c r="HE177" s="584">
        <v>124.467849</v>
      </c>
      <c r="HF177" s="584">
        <v>260</v>
      </c>
      <c r="HG177" s="1100">
        <v>1.2300000000000002</v>
      </c>
      <c r="HH177" s="1100">
        <v>0.11</v>
      </c>
      <c r="HI177" s="1101">
        <v>0</v>
      </c>
      <c r="HJ177" s="1101">
        <v>0</v>
      </c>
      <c r="HK177" s="1101">
        <v>0</v>
      </c>
      <c r="HL177" s="1101">
        <v>0</v>
      </c>
      <c r="HM177" s="1101">
        <v>63.509538461538462</v>
      </c>
      <c r="HN177" s="1101">
        <v>54.999999999999993</v>
      </c>
      <c r="HO177" s="1101">
        <v>0</v>
      </c>
      <c r="HP177" s="1101">
        <v>0</v>
      </c>
      <c r="HQ177" s="1101">
        <v>1</v>
      </c>
      <c r="HR177" s="1101">
        <v>0.68</v>
      </c>
      <c r="HS177" s="1101">
        <v>1.1200000000000001</v>
      </c>
      <c r="HT177" s="1101">
        <v>0.3</v>
      </c>
      <c r="HU177" s="1101">
        <v>0.28000000000000003</v>
      </c>
      <c r="HV177" s="1101">
        <v>31.891901800000003</v>
      </c>
      <c r="HW177" s="1101">
        <v>65</v>
      </c>
      <c r="HX177" s="1101">
        <v>63.783803600000006</v>
      </c>
      <c r="HY177" s="1101">
        <v>130</v>
      </c>
      <c r="HZ177" s="1101">
        <v>127.56760720000001</v>
      </c>
      <c r="IA177" s="1101">
        <v>260</v>
      </c>
      <c r="IB177" s="1062"/>
      <c r="ID177" s="1050"/>
      <c r="IE177" s="1050"/>
      <c r="IM177" s="1050"/>
      <c r="IN177" s="1050"/>
      <c r="IO177" s="1050"/>
      <c r="IP177" s="1050"/>
      <c r="JU177" s="1050"/>
      <c r="KC177" s="1050"/>
      <c r="KD177" s="1050"/>
      <c r="KE177" s="1050"/>
      <c r="KF177" s="1050"/>
      <c r="KN177" s="1103"/>
    </row>
    <row r="178" spans="2:300">
      <c r="B178" s="1048" t="str">
        <f t="shared" si="6"/>
        <v>E514</v>
      </c>
      <c r="C178" s="1092">
        <v>5</v>
      </c>
      <c r="D178" s="1092">
        <v>14</v>
      </c>
      <c r="E178" s="584">
        <v>0</v>
      </c>
      <c r="F178" s="584">
        <v>0</v>
      </c>
      <c r="G178" s="584">
        <v>0</v>
      </c>
      <c r="H178" s="584">
        <v>0</v>
      </c>
      <c r="I178" s="584">
        <v>0</v>
      </c>
      <c r="J178" s="584">
        <v>0</v>
      </c>
      <c r="K178" s="584">
        <v>0</v>
      </c>
      <c r="L178" s="584">
        <v>0</v>
      </c>
      <c r="M178" s="584">
        <v>0</v>
      </c>
      <c r="N178" s="584">
        <v>0</v>
      </c>
      <c r="O178" s="584">
        <v>0</v>
      </c>
      <c r="P178" s="584">
        <v>0</v>
      </c>
      <c r="Q178" s="584">
        <v>0</v>
      </c>
      <c r="R178" s="584">
        <v>0</v>
      </c>
      <c r="S178" s="584">
        <v>0</v>
      </c>
      <c r="T178" s="584">
        <v>0</v>
      </c>
      <c r="U178" s="584">
        <v>0</v>
      </c>
      <c r="V178" s="584">
        <v>0</v>
      </c>
      <c r="W178" s="584">
        <v>0</v>
      </c>
      <c r="X178" s="584">
        <v>0</v>
      </c>
      <c r="Y178" s="584">
        <v>0</v>
      </c>
      <c r="Z178" s="584">
        <v>0</v>
      </c>
      <c r="AA178" s="584">
        <v>0</v>
      </c>
      <c r="AB178" s="584">
        <v>0</v>
      </c>
      <c r="AC178" s="584">
        <v>0</v>
      </c>
      <c r="AD178" s="584">
        <v>0</v>
      </c>
      <c r="AE178" s="584">
        <v>0</v>
      </c>
      <c r="AF178" s="584">
        <v>0</v>
      </c>
      <c r="AG178" s="584">
        <v>0</v>
      </c>
      <c r="AH178" s="584">
        <v>0</v>
      </c>
      <c r="AI178" s="584">
        <v>0</v>
      </c>
      <c r="AJ178" s="584">
        <v>0</v>
      </c>
      <c r="AK178" s="584">
        <v>0</v>
      </c>
      <c r="AL178" s="584">
        <v>0</v>
      </c>
      <c r="AM178" s="584">
        <v>0</v>
      </c>
      <c r="AN178" s="584">
        <v>0</v>
      </c>
      <c r="AO178" s="584">
        <v>0</v>
      </c>
      <c r="AP178" s="584">
        <v>0</v>
      </c>
      <c r="AQ178" s="584">
        <v>0</v>
      </c>
      <c r="AR178" s="584">
        <v>0</v>
      </c>
      <c r="AS178" s="584">
        <v>0</v>
      </c>
      <c r="AT178" s="584">
        <v>0</v>
      </c>
      <c r="AU178" s="584">
        <v>0</v>
      </c>
      <c r="AV178" s="584">
        <v>0</v>
      </c>
      <c r="AW178" s="584">
        <v>0</v>
      </c>
      <c r="AX178" s="584">
        <v>0</v>
      </c>
      <c r="AY178" s="584">
        <v>0</v>
      </c>
      <c r="AZ178" s="584">
        <v>0</v>
      </c>
      <c r="BA178" s="584">
        <v>0</v>
      </c>
      <c r="BB178" s="584">
        <v>0</v>
      </c>
      <c r="BC178" s="584">
        <v>0</v>
      </c>
      <c r="BD178" s="584">
        <v>0</v>
      </c>
      <c r="BE178" s="584">
        <v>0</v>
      </c>
      <c r="BF178" s="584">
        <v>0</v>
      </c>
      <c r="BG178" s="584">
        <v>0</v>
      </c>
      <c r="BH178" s="584">
        <v>0</v>
      </c>
      <c r="BI178" s="584">
        <v>0</v>
      </c>
      <c r="BJ178" s="584">
        <v>0</v>
      </c>
      <c r="BK178" s="584">
        <v>0</v>
      </c>
      <c r="BL178" s="584">
        <v>0</v>
      </c>
      <c r="BM178" s="584">
        <v>0</v>
      </c>
      <c r="BN178" s="584">
        <v>0</v>
      </c>
      <c r="BO178" s="584">
        <v>0</v>
      </c>
      <c r="BP178" s="584">
        <v>0</v>
      </c>
      <c r="BQ178" s="584">
        <v>0</v>
      </c>
      <c r="BR178" s="584">
        <v>0</v>
      </c>
      <c r="BS178" s="584">
        <v>0</v>
      </c>
      <c r="BT178" s="584">
        <v>0</v>
      </c>
      <c r="BU178" s="584">
        <v>0</v>
      </c>
      <c r="BV178" s="584">
        <v>0</v>
      </c>
      <c r="BW178" s="584">
        <v>0</v>
      </c>
      <c r="BX178" s="584">
        <v>0</v>
      </c>
      <c r="BY178" s="584">
        <v>0</v>
      </c>
      <c r="BZ178" s="584">
        <v>0</v>
      </c>
      <c r="CA178" s="584">
        <v>0</v>
      </c>
      <c r="CB178" s="584">
        <v>0</v>
      </c>
      <c r="CC178" s="584">
        <v>0</v>
      </c>
      <c r="CD178" s="584">
        <v>0</v>
      </c>
      <c r="CE178" s="584">
        <v>0</v>
      </c>
      <c r="CF178" s="584">
        <v>0</v>
      </c>
      <c r="CG178" s="584">
        <v>0</v>
      </c>
      <c r="CH178" s="584">
        <v>0</v>
      </c>
      <c r="CI178" s="584">
        <v>0</v>
      </c>
      <c r="CJ178" s="584">
        <v>0</v>
      </c>
      <c r="CK178" s="584">
        <v>0</v>
      </c>
      <c r="CL178" s="584">
        <v>0</v>
      </c>
      <c r="CM178" s="584">
        <v>0</v>
      </c>
      <c r="CN178" s="584">
        <v>0</v>
      </c>
      <c r="CO178" s="584">
        <v>0</v>
      </c>
      <c r="CP178" s="584">
        <v>0</v>
      </c>
      <c r="CQ178" s="584">
        <v>0</v>
      </c>
      <c r="CR178" s="584">
        <v>0</v>
      </c>
      <c r="CS178" s="584">
        <v>0</v>
      </c>
      <c r="CT178" s="584">
        <v>0</v>
      </c>
      <c r="CU178" s="584">
        <v>0</v>
      </c>
      <c r="CV178" s="584">
        <v>0</v>
      </c>
      <c r="CW178" s="584">
        <v>0</v>
      </c>
      <c r="CX178" s="584">
        <v>0</v>
      </c>
      <c r="CY178" s="584">
        <v>0</v>
      </c>
      <c r="CZ178" s="584">
        <v>0</v>
      </c>
      <c r="DA178" s="584">
        <v>0</v>
      </c>
      <c r="DB178" s="584">
        <v>0</v>
      </c>
      <c r="DC178" s="584">
        <v>0</v>
      </c>
      <c r="DD178" s="584">
        <v>0</v>
      </c>
      <c r="DE178" s="584">
        <v>0</v>
      </c>
      <c r="DF178" s="584">
        <v>0</v>
      </c>
      <c r="DG178" s="584">
        <v>0</v>
      </c>
      <c r="DH178" s="584">
        <v>0</v>
      </c>
      <c r="DI178" s="584">
        <v>0</v>
      </c>
      <c r="DJ178" s="584">
        <v>0</v>
      </c>
      <c r="DK178" s="584">
        <v>0</v>
      </c>
      <c r="DL178" s="584">
        <v>0</v>
      </c>
      <c r="DM178" s="584">
        <v>0</v>
      </c>
      <c r="DN178" s="584">
        <v>0</v>
      </c>
      <c r="DO178" s="584">
        <v>0</v>
      </c>
      <c r="DP178" s="584">
        <v>0</v>
      </c>
      <c r="DQ178" s="584">
        <v>0</v>
      </c>
      <c r="DR178" s="584">
        <v>0</v>
      </c>
      <c r="DS178" s="584">
        <v>0</v>
      </c>
      <c r="DT178" s="584">
        <v>0</v>
      </c>
      <c r="DU178" s="584">
        <v>0</v>
      </c>
      <c r="DV178" s="584">
        <v>0</v>
      </c>
      <c r="DW178" s="584">
        <v>0</v>
      </c>
      <c r="DX178" s="584">
        <v>0</v>
      </c>
      <c r="DY178" s="584">
        <v>0</v>
      </c>
      <c r="DZ178" s="584">
        <v>0</v>
      </c>
      <c r="EA178" s="1062">
        <v>1.0103</v>
      </c>
      <c r="EB178" s="1046">
        <v>0.45</v>
      </c>
      <c r="EC178" s="1093">
        <v>132.51783893985726</v>
      </c>
      <c r="ED178" s="1046">
        <v>0</v>
      </c>
      <c r="EE178" s="1046">
        <v>581.03975535168195</v>
      </c>
      <c r="EF178" s="1046">
        <v>50.781428571428577</v>
      </c>
      <c r="EG178" s="1046">
        <v>0</v>
      </c>
      <c r="EH178" s="1046">
        <v>0</v>
      </c>
      <c r="EI178" s="1046" t="s">
        <v>445</v>
      </c>
      <c r="EJ178" s="1046" t="s">
        <v>420</v>
      </c>
      <c r="EK178" s="1046">
        <v>0</v>
      </c>
      <c r="EL178" s="1046">
        <v>0</v>
      </c>
      <c r="EM178" s="1046">
        <v>0</v>
      </c>
      <c r="EN178" s="1046">
        <v>0</v>
      </c>
      <c r="EO178" s="1046">
        <v>0</v>
      </c>
      <c r="EP178" s="1094">
        <v>145.21790175000001</v>
      </c>
      <c r="EQ178" s="1094">
        <v>70</v>
      </c>
      <c r="ER178" s="1094">
        <v>290.43580350000002</v>
      </c>
      <c r="ES178" s="1095">
        <v>140</v>
      </c>
      <c r="ET178" s="1094">
        <v>580.87160700000004</v>
      </c>
      <c r="EU178" s="1094">
        <v>280</v>
      </c>
      <c r="EV178" s="1096">
        <v>0.75260000000000005</v>
      </c>
      <c r="EW178" s="1097">
        <v>0.15</v>
      </c>
      <c r="EX178" s="1096">
        <v>289.50050968399592</v>
      </c>
      <c r="EY178" s="1096">
        <v>1.5443934760448521</v>
      </c>
      <c r="EZ178" s="1096">
        <v>0</v>
      </c>
      <c r="FA178" s="1096">
        <v>26.097142857142856</v>
      </c>
      <c r="FB178" s="1098">
        <v>0</v>
      </c>
      <c r="FC178" s="1098">
        <v>0</v>
      </c>
      <c r="FD178" s="1098" t="s">
        <v>448</v>
      </c>
      <c r="FE178" s="1098" t="s">
        <v>410</v>
      </c>
      <c r="FF178" s="1098">
        <v>1</v>
      </c>
      <c r="FG178" s="1098">
        <v>0</v>
      </c>
      <c r="FH178" s="1098">
        <v>0</v>
      </c>
      <c r="FI178" s="1098">
        <v>0</v>
      </c>
      <c r="FJ178" s="1098">
        <v>0</v>
      </c>
      <c r="FK178" s="1096">
        <v>70.370360750000003</v>
      </c>
      <c r="FL178" s="1096">
        <v>70</v>
      </c>
      <c r="FM178" s="1096">
        <v>140.74072150000001</v>
      </c>
      <c r="FN178" s="1096">
        <v>140</v>
      </c>
      <c r="FO178" s="1096">
        <v>281.48144300000001</v>
      </c>
      <c r="FP178" s="1099">
        <v>280</v>
      </c>
      <c r="FQ178" s="1064">
        <v>1.0108981024599608</v>
      </c>
      <c r="FR178" s="1065">
        <v>0.15</v>
      </c>
      <c r="FS178" s="1066">
        <v>289.50050968399586</v>
      </c>
      <c r="FT178" s="1066">
        <v>3.1754272996334754</v>
      </c>
      <c r="FU178" s="1065"/>
      <c r="FV178" s="1066">
        <v>61.369012821703691</v>
      </c>
      <c r="FW178" s="1065"/>
      <c r="FX178" s="1065"/>
      <c r="FY178" s="1065" t="s">
        <v>438</v>
      </c>
      <c r="FZ178" s="1065" t="s">
        <v>412</v>
      </c>
      <c r="GA178" s="1065">
        <v>1</v>
      </c>
      <c r="GB178" s="1065"/>
      <c r="GC178" s="1065"/>
      <c r="GD178" s="1065"/>
      <c r="GE178" s="1065"/>
      <c r="GF178" s="1066">
        <v>74.780666757830545</v>
      </c>
      <c r="GG178" s="1066">
        <v>70</v>
      </c>
      <c r="GH178" s="1066">
        <v>149.56133351566109</v>
      </c>
      <c r="GI178" s="1066">
        <v>140</v>
      </c>
      <c r="GJ178" s="1066">
        <v>299.12266703132218</v>
      </c>
      <c r="GK178" s="1066">
        <v>280</v>
      </c>
      <c r="GL178" s="584">
        <v>0.80289999999999995</v>
      </c>
      <c r="GM178" s="584">
        <v>0.11</v>
      </c>
      <c r="GN178" s="584"/>
      <c r="GO178" s="584"/>
      <c r="GP178" s="584"/>
      <c r="GQ178" s="584">
        <v>72.351428571428599</v>
      </c>
      <c r="GR178" s="584"/>
      <c r="GS178" s="584">
        <v>56.065239551478101</v>
      </c>
      <c r="GT178" s="584" t="s">
        <v>459</v>
      </c>
      <c r="GU178" s="584" t="s">
        <v>1105</v>
      </c>
      <c r="GV178" s="584">
        <v>1</v>
      </c>
      <c r="GW178" s="584"/>
      <c r="GX178" s="584"/>
      <c r="GY178" s="584"/>
      <c r="GZ178" s="584"/>
      <c r="HA178" s="584">
        <v>36.045931500000002</v>
      </c>
      <c r="HB178" s="584">
        <v>70</v>
      </c>
      <c r="HC178" s="584">
        <v>72.091863000000004</v>
      </c>
      <c r="HD178" s="584">
        <v>140</v>
      </c>
      <c r="HE178" s="584">
        <v>144.18372600000001</v>
      </c>
      <c r="HF178" s="584">
        <v>280</v>
      </c>
      <c r="HG178" s="1100">
        <v>1.35</v>
      </c>
      <c r="HH178" s="1100">
        <v>0.11</v>
      </c>
      <c r="HI178" s="1101">
        <v>0</v>
      </c>
      <c r="HJ178" s="1101">
        <v>0</v>
      </c>
      <c r="HK178" s="1101">
        <v>0</v>
      </c>
      <c r="HL178" s="1101">
        <v>0</v>
      </c>
      <c r="HM178" s="1101">
        <v>69.438857142857145</v>
      </c>
      <c r="HN178" s="1101">
        <v>54.999999999999993</v>
      </c>
      <c r="HO178" s="1101">
        <v>0</v>
      </c>
      <c r="HP178" s="1101">
        <v>0</v>
      </c>
      <c r="HQ178" s="1101">
        <v>1</v>
      </c>
      <c r="HR178" s="1101">
        <v>0.72</v>
      </c>
      <c r="HS178" s="1101">
        <v>1.24</v>
      </c>
      <c r="HT178" s="1101">
        <v>0.3</v>
      </c>
      <c r="HU178" s="1101">
        <v>0.28000000000000003</v>
      </c>
      <c r="HV178" s="1101">
        <v>35.3630408</v>
      </c>
      <c r="HW178" s="1101">
        <v>70</v>
      </c>
      <c r="HX178" s="1101">
        <v>70.726081600000001</v>
      </c>
      <c r="HY178" s="1101">
        <v>140</v>
      </c>
      <c r="HZ178" s="1101">
        <v>141.4521632</v>
      </c>
      <c r="IA178" s="1101">
        <v>280</v>
      </c>
      <c r="IB178" s="1062"/>
      <c r="ID178" s="1050"/>
      <c r="IE178" s="1050"/>
      <c r="IM178" s="1050"/>
      <c r="IN178" s="1050"/>
      <c r="IO178" s="1050"/>
      <c r="IP178" s="1050"/>
      <c r="JU178" s="1050"/>
      <c r="KC178" s="1050"/>
      <c r="KD178" s="1050"/>
      <c r="KE178" s="1050"/>
      <c r="KF178" s="1050"/>
      <c r="KN178" s="1103"/>
    </row>
    <row r="179" spans="2:300">
      <c r="B179" s="1048" t="str">
        <f t="shared" si="6"/>
        <v>E515</v>
      </c>
      <c r="C179" s="1092">
        <v>5</v>
      </c>
      <c r="D179" s="1092">
        <v>15</v>
      </c>
      <c r="E179" s="584">
        <v>0</v>
      </c>
      <c r="F179" s="584">
        <v>0</v>
      </c>
      <c r="G179" s="584">
        <v>0</v>
      </c>
      <c r="H179" s="584">
        <v>0</v>
      </c>
      <c r="I179" s="584">
        <v>0</v>
      </c>
      <c r="J179" s="584">
        <v>0</v>
      </c>
      <c r="K179" s="584">
        <v>0</v>
      </c>
      <c r="L179" s="584">
        <v>0</v>
      </c>
      <c r="M179" s="584">
        <v>0</v>
      </c>
      <c r="N179" s="584">
        <v>0</v>
      </c>
      <c r="O179" s="584">
        <v>0</v>
      </c>
      <c r="P179" s="584">
        <v>0</v>
      </c>
      <c r="Q179" s="584">
        <v>0</v>
      </c>
      <c r="R179" s="584">
        <v>0</v>
      </c>
      <c r="S179" s="584">
        <v>0</v>
      </c>
      <c r="T179" s="584">
        <v>0</v>
      </c>
      <c r="U179" s="584">
        <v>0</v>
      </c>
      <c r="V179" s="584">
        <v>0</v>
      </c>
      <c r="W179" s="584">
        <v>0</v>
      </c>
      <c r="X179" s="584">
        <v>0</v>
      </c>
      <c r="Y179" s="584">
        <v>0</v>
      </c>
      <c r="Z179" s="584">
        <v>0</v>
      </c>
      <c r="AA179" s="584">
        <v>0</v>
      </c>
      <c r="AB179" s="584">
        <v>0</v>
      </c>
      <c r="AC179" s="584">
        <v>0</v>
      </c>
      <c r="AD179" s="584">
        <v>0</v>
      </c>
      <c r="AE179" s="584">
        <v>0</v>
      </c>
      <c r="AF179" s="584">
        <v>0</v>
      </c>
      <c r="AG179" s="584">
        <v>0</v>
      </c>
      <c r="AH179" s="584">
        <v>0</v>
      </c>
      <c r="AI179" s="584">
        <v>0</v>
      </c>
      <c r="AJ179" s="584">
        <v>0</v>
      </c>
      <c r="AK179" s="584">
        <v>0</v>
      </c>
      <c r="AL179" s="584">
        <v>0</v>
      </c>
      <c r="AM179" s="584">
        <v>0</v>
      </c>
      <c r="AN179" s="584">
        <v>0</v>
      </c>
      <c r="AO179" s="584">
        <v>0</v>
      </c>
      <c r="AP179" s="584">
        <v>0</v>
      </c>
      <c r="AQ179" s="584">
        <v>0</v>
      </c>
      <c r="AR179" s="584">
        <v>0</v>
      </c>
      <c r="AS179" s="584">
        <v>0</v>
      </c>
      <c r="AT179" s="584">
        <v>0</v>
      </c>
      <c r="AU179" s="584">
        <v>0</v>
      </c>
      <c r="AV179" s="584">
        <v>0</v>
      </c>
      <c r="AW179" s="584">
        <v>0</v>
      </c>
      <c r="AX179" s="584">
        <v>0</v>
      </c>
      <c r="AY179" s="584">
        <v>0</v>
      </c>
      <c r="AZ179" s="584">
        <v>0</v>
      </c>
      <c r="BA179" s="584">
        <v>0</v>
      </c>
      <c r="BB179" s="584">
        <v>0</v>
      </c>
      <c r="BC179" s="584">
        <v>0</v>
      </c>
      <c r="BD179" s="584">
        <v>0</v>
      </c>
      <c r="BE179" s="584">
        <v>0</v>
      </c>
      <c r="BF179" s="584">
        <v>0</v>
      </c>
      <c r="BG179" s="584">
        <v>0</v>
      </c>
      <c r="BH179" s="584">
        <v>0</v>
      </c>
      <c r="BI179" s="584">
        <v>0</v>
      </c>
      <c r="BJ179" s="584">
        <v>0</v>
      </c>
      <c r="BK179" s="584">
        <v>0</v>
      </c>
      <c r="BL179" s="584">
        <v>0</v>
      </c>
      <c r="BM179" s="584">
        <v>0</v>
      </c>
      <c r="BN179" s="584">
        <v>0</v>
      </c>
      <c r="BO179" s="584">
        <v>0</v>
      </c>
      <c r="BP179" s="584">
        <v>0</v>
      </c>
      <c r="BQ179" s="584">
        <v>0</v>
      </c>
      <c r="BR179" s="584">
        <v>0</v>
      </c>
      <c r="BS179" s="584">
        <v>0</v>
      </c>
      <c r="BT179" s="584">
        <v>0</v>
      </c>
      <c r="BU179" s="584">
        <v>0</v>
      </c>
      <c r="BV179" s="584">
        <v>0</v>
      </c>
      <c r="BW179" s="584">
        <v>0</v>
      </c>
      <c r="BX179" s="584">
        <v>0</v>
      </c>
      <c r="BY179" s="584">
        <v>0</v>
      </c>
      <c r="BZ179" s="584">
        <v>0</v>
      </c>
      <c r="CA179" s="584">
        <v>0</v>
      </c>
      <c r="CB179" s="584">
        <v>0</v>
      </c>
      <c r="CC179" s="584">
        <v>0</v>
      </c>
      <c r="CD179" s="584">
        <v>0</v>
      </c>
      <c r="CE179" s="584">
        <v>0</v>
      </c>
      <c r="CF179" s="584">
        <v>0</v>
      </c>
      <c r="CG179" s="584">
        <v>0</v>
      </c>
      <c r="CH179" s="584">
        <v>0</v>
      </c>
      <c r="CI179" s="584">
        <v>0</v>
      </c>
      <c r="CJ179" s="584">
        <v>0</v>
      </c>
      <c r="CK179" s="584">
        <v>0</v>
      </c>
      <c r="CL179" s="584">
        <v>0</v>
      </c>
      <c r="CM179" s="584">
        <v>0</v>
      </c>
      <c r="CN179" s="584">
        <v>0</v>
      </c>
      <c r="CO179" s="584">
        <v>0</v>
      </c>
      <c r="CP179" s="584">
        <v>0</v>
      </c>
      <c r="CQ179" s="584">
        <v>0</v>
      </c>
      <c r="CR179" s="584">
        <v>0</v>
      </c>
      <c r="CS179" s="584">
        <v>0</v>
      </c>
      <c r="CT179" s="584">
        <v>0</v>
      </c>
      <c r="CU179" s="584">
        <v>0</v>
      </c>
      <c r="CV179" s="584">
        <v>0</v>
      </c>
      <c r="CW179" s="584">
        <v>0</v>
      </c>
      <c r="CX179" s="584">
        <v>0</v>
      </c>
      <c r="CY179" s="584">
        <v>0</v>
      </c>
      <c r="CZ179" s="584">
        <v>0</v>
      </c>
      <c r="DA179" s="584">
        <v>0</v>
      </c>
      <c r="DB179" s="584">
        <v>0</v>
      </c>
      <c r="DC179" s="584">
        <v>0</v>
      </c>
      <c r="DD179" s="584">
        <v>0</v>
      </c>
      <c r="DE179" s="584">
        <v>0</v>
      </c>
      <c r="DF179" s="584">
        <v>0</v>
      </c>
      <c r="DG179" s="584">
        <v>0</v>
      </c>
      <c r="DH179" s="584">
        <v>0</v>
      </c>
      <c r="DI179" s="584">
        <v>0</v>
      </c>
      <c r="DJ179" s="584">
        <v>0</v>
      </c>
      <c r="DK179" s="584">
        <v>0</v>
      </c>
      <c r="DL179" s="584">
        <v>0</v>
      </c>
      <c r="DM179" s="584">
        <v>0</v>
      </c>
      <c r="DN179" s="584">
        <v>0</v>
      </c>
      <c r="DO179" s="584">
        <v>0</v>
      </c>
      <c r="DP179" s="584">
        <v>0</v>
      </c>
      <c r="DQ179" s="584">
        <v>0</v>
      </c>
      <c r="DR179" s="584">
        <v>0</v>
      </c>
      <c r="DS179" s="584">
        <v>0</v>
      </c>
      <c r="DT179" s="584">
        <v>0</v>
      </c>
      <c r="DU179" s="584">
        <v>0</v>
      </c>
      <c r="DV179" s="584">
        <v>0</v>
      </c>
      <c r="DW179" s="584">
        <v>0</v>
      </c>
      <c r="DX179" s="584">
        <v>0</v>
      </c>
      <c r="DY179" s="584">
        <v>0</v>
      </c>
      <c r="DZ179" s="584">
        <v>0</v>
      </c>
      <c r="EA179" s="1062">
        <v>0</v>
      </c>
      <c r="EB179" s="1046">
        <v>0</v>
      </c>
      <c r="EC179" s="1093">
        <v>0</v>
      </c>
      <c r="ED179" s="1046">
        <v>0</v>
      </c>
      <c r="EE179" s="1046">
        <v>0</v>
      </c>
      <c r="EF179" s="1046">
        <v>0</v>
      </c>
      <c r="EG179" s="1046">
        <v>0</v>
      </c>
      <c r="EH179" s="1046">
        <v>0</v>
      </c>
      <c r="EI179" s="1046">
        <v>0</v>
      </c>
      <c r="EJ179" s="1046">
        <v>0</v>
      </c>
      <c r="EK179" s="1046">
        <v>0</v>
      </c>
      <c r="EL179" s="1046">
        <v>0</v>
      </c>
      <c r="EM179" s="1046">
        <v>0</v>
      </c>
      <c r="EN179" s="1046">
        <v>0</v>
      </c>
      <c r="EO179" s="1046">
        <v>0</v>
      </c>
      <c r="EP179" s="1094">
        <v>0</v>
      </c>
      <c r="EQ179" s="1094">
        <v>0</v>
      </c>
      <c r="ER179" s="1094">
        <v>0</v>
      </c>
      <c r="ES179" s="1095">
        <v>0</v>
      </c>
      <c r="ET179" s="1094">
        <v>0</v>
      </c>
      <c r="EU179" s="1094">
        <v>0</v>
      </c>
      <c r="EV179" s="1096">
        <v>0.75260000000000005</v>
      </c>
      <c r="EW179" s="1097">
        <v>0.15</v>
      </c>
      <c r="EX179" s="1096">
        <v>289.50050968399592</v>
      </c>
      <c r="EY179" s="1096">
        <v>1.5443934760448521</v>
      </c>
      <c r="EZ179" s="1096">
        <v>0</v>
      </c>
      <c r="FA179" s="1096">
        <v>26.193333333333332</v>
      </c>
      <c r="FB179" s="1098">
        <v>0</v>
      </c>
      <c r="FC179" s="1098">
        <v>0</v>
      </c>
      <c r="FD179" s="1098" t="s">
        <v>446</v>
      </c>
      <c r="FE179" s="1098" t="s">
        <v>410</v>
      </c>
      <c r="FF179" s="1098">
        <v>1</v>
      </c>
      <c r="FG179" s="1098">
        <v>0</v>
      </c>
      <c r="FH179" s="1098">
        <v>0</v>
      </c>
      <c r="FI179" s="1098">
        <v>0</v>
      </c>
      <c r="FJ179" s="1098">
        <v>0</v>
      </c>
      <c r="FK179" s="1096">
        <v>75.414508125000012</v>
      </c>
      <c r="FL179" s="1096">
        <v>75</v>
      </c>
      <c r="FM179" s="1096">
        <v>150.82901625000002</v>
      </c>
      <c r="FN179" s="1096">
        <v>150</v>
      </c>
      <c r="FO179" s="1096">
        <v>301.65803250000005</v>
      </c>
      <c r="FP179" s="1099">
        <v>300</v>
      </c>
      <c r="FQ179" s="1064">
        <v>1.0156981024599609</v>
      </c>
      <c r="FR179" s="1065">
        <v>0.15</v>
      </c>
      <c r="FS179" s="1066">
        <v>289.50050968399586</v>
      </c>
      <c r="FT179" s="1066">
        <v>3.1754272996334754</v>
      </c>
      <c r="FU179" s="1065"/>
      <c r="FV179" s="1066">
        <v>72.599131445835681</v>
      </c>
      <c r="FW179" s="1065"/>
      <c r="FX179" s="1065"/>
      <c r="FY179" s="1065" t="s">
        <v>436</v>
      </c>
      <c r="FZ179" s="1065" t="s">
        <v>406</v>
      </c>
      <c r="GA179" s="1065">
        <v>1</v>
      </c>
      <c r="GB179" s="1065"/>
      <c r="GC179" s="1065"/>
      <c r="GD179" s="1065"/>
      <c r="GE179" s="1065"/>
      <c r="GF179" s="1066">
        <v>82.187782899244709</v>
      </c>
      <c r="GG179" s="1066">
        <v>75</v>
      </c>
      <c r="GH179" s="1066">
        <v>164.37556579848942</v>
      </c>
      <c r="GI179" s="1066">
        <v>150</v>
      </c>
      <c r="GJ179" s="1066">
        <v>328.75113159697884</v>
      </c>
      <c r="GK179" s="1066">
        <v>300</v>
      </c>
      <c r="GL179" s="584">
        <v>0.94489999999999996</v>
      </c>
      <c r="GM179" s="584">
        <v>0.11</v>
      </c>
      <c r="GN179" s="584"/>
      <c r="GO179" s="584"/>
      <c r="GP179" s="584"/>
      <c r="GQ179" s="584">
        <v>74.346666666666707</v>
      </c>
      <c r="GR179" s="584"/>
      <c r="GS179" s="584">
        <v>56.065239551478101</v>
      </c>
      <c r="GT179" s="584" t="s">
        <v>459</v>
      </c>
      <c r="GU179" s="584" t="s">
        <v>381</v>
      </c>
      <c r="GV179" s="584">
        <v>1</v>
      </c>
      <c r="GW179" s="584"/>
      <c r="GX179" s="584"/>
      <c r="GY179" s="584"/>
      <c r="GZ179" s="584"/>
      <c r="HA179" s="584">
        <v>38.987639999999999</v>
      </c>
      <c r="HB179" s="584">
        <v>75</v>
      </c>
      <c r="HC179" s="584">
        <v>77.975279999999998</v>
      </c>
      <c r="HD179" s="584">
        <v>150</v>
      </c>
      <c r="HE179" s="584">
        <v>155.95056</v>
      </c>
      <c r="HF179" s="584">
        <v>300</v>
      </c>
      <c r="HG179" s="1100">
        <v>1.4700000000000002</v>
      </c>
      <c r="HH179" s="1100">
        <v>0.11</v>
      </c>
      <c r="HI179" s="1101">
        <v>0</v>
      </c>
      <c r="HJ179" s="1101">
        <v>0</v>
      </c>
      <c r="HK179" s="1101">
        <v>0</v>
      </c>
      <c r="HL179" s="1101">
        <v>0</v>
      </c>
      <c r="HM179" s="1101">
        <v>74.927999999999997</v>
      </c>
      <c r="HN179" s="1101">
        <v>54.999999999999993</v>
      </c>
      <c r="HO179" s="1101">
        <v>0</v>
      </c>
      <c r="HP179" s="1101">
        <v>0</v>
      </c>
      <c r="HQ179" s="1101">
        <v>1</v>
      </c>
      <c r="HR179" s="1101">
        <v>0.76</v>
      </c>
      <c r="HS179" s="1101">
        <v>1.36</v>
      </c>
      <c r="HT179" s="1101">
        <v>0.28000000000000003</v>
      </c>
      <c r="HU179" s="1101">
        <v>0.28000000000000003</v>
      </c>
      <c r="HV179" s="1101">
        <v>38.8986315</v>
      </c>
      <c r="HW179" s="1101">
        <v>75</v>
      </c>
      <c r="HX179" s="1101">
        <v>77.797263000000001</v>
      </c>
      <c r="HY179" s="1101">
        <v>150</v>
      </c>
      <c r="HZ179" s="1101">
        <v>155.594526</v>
      </c>
      <c r="IA179" s="1101">
        <v>300</v>
      </c>
      <c r="IB179" s="1062"/>
      <c r="ID179" s="1050"/>
      <c r="IE179" s="1050"/>
      <c r="IM179" s="1050"/>
      <c r="IN179" s="1050"/>
      <c r="IO179" s="1050"/>
      <c r="IP179" s="1050"/>
      <c r="JU179" s="1050"/>
      <c r="KC179" s="1050"/>
      <c r="KD179" s="1050"/>
      <c r="KE179" s="1050"/>
      <c r="KF179" s="1050"/>
      <c r="KN179" s="1103"/>
    </row>
    <row r="180" spans="2:300">
      <c r="B180" s="1048" t="str">
        <f t="shared" si="6"/>
        <v>E516</v>
      </c>
      <c r="C180" s="1092">
        <v>5</v>
      </c>
      <c r="D180" s="1092">
        <v>16</v>
      </c>
      <c r="E180" s="584">
        <v>0</v>
      </c>
      <c r="F180" s="584">
        <v>0</v>
      </c>
      <c r="G180" s="584">
        <v>0</v>
      </c>
      <c r="H180" s="584">
        <v>0</v>
      </c>
      <c r="I180" s="584">
        <v>0</v>
      </c>
      <c r="J180" s="584">
        <v>0</v>
      </c>
      <c r="K180" s="584">
        <v>0</v>
      </c>
      <c r="L180" s="584">
        <v>0</v>
      </c>
      <c r="M180" s="584">
        <v>0</v>
      </c>
      <c r="N180" s="584">
        <v>0</v>
      </c>
      <c r="O180" s="584">
        <v>0</v>
      </c>
      <c r="P180" s="584">
        <v>0</v>
      </c>
      <c r="Q180" s="584">
        <v>0</v>
      </c>
      <c r="R180" s="584">
        <v>0</v>
      </c>
      <c r="S180" s="584">
        <v>0</v>
      </c>
      <c r="T180" s="584">
        <v>0</v>
      </c>
      <c r="U180" s="584">
        <v>0</v>
      </c>
      <c r="V180" s="584">
        <v>0</v>
      </c>
      <c r="W180" s="584">
        <v>0</v>
      </c>
      <c r="X180" s="584">
        <v>0</v>
      </c>
      <c r="Y180" s="584">
        <v>0</v>
      </c>
      <c r="Z180" s="584">
        <v>0</v>
      </c>
      <c r="AA180" s="584">
        <v>0</v>
      </c>
      <c r="AB180" s="584">
        <v>0</v>
      </c>
      <c r="AC180" s="584">
        <v>0</v>
      </c>
      <c r="AD180" s="584">
        <v>0</v>
      </c>
      <c r="AE180" s="584">
        <v>0</v>
      </c>
      <c r="AF180" s="584">
        <v>0</v>
      </c>
      <c r="AG180" s="584">
        <v>0</v>
      </c>
      <c r="AH180" s="584">
        <v>0</v>
      </c>
      <c r="AI180" s="584">
        <v>0</v>
      </c>
      <c r="AJ180" s="584">
        <v>0</v>
      </c>
      <c r="AK180" s="584">
        <v>0</v>
      </c>
      <c r="AL180" s="584">
        <v>0</v>
      </c>
      <c r="AM180" s="584">
        <v>0</v>
      </c>
      <c r="AN180" s="584">
        <v>0</v>
      </c>
      <c r="AO180" s="584">
        <v>138.0414375</v>
      </c>
      <c r="AP180" s="584">
        <v>80</v>
      </c>
      <c r="AQ180" s="584">
        <v>225.47343749999999</v>
      </c>
      <c r="AR180" s="584">
        <v>168</v>
      </c>
      <c r="AS180" s="584">
        <v>79.391000000000005</v>
      </c>
      <c r="AT180" s="584">
        <v>352</v>
      </c>
      <c r="AU180" s="584">
        <v>0</v>
      </c>
      <c r="AV180" s="584">
        <v>0</v>
      </c>
      <c r="AW180" s="584">
        <v>0</v>
      </c>
      <c r="AX180" s="584">
        <v>0</v>
      </c>
      <c r="AY180" s="584">
        <v>0</v>
      </c>
      <c r="AZ180" s="584">
        <v>0</v>
      </c>
      <c r="BA180" s="584">
        <v>0</v>
      </c>
      <c r="BB180" s="584">
        <v>0</v>
      </c>
      <c r="BC180" s="584">
        <v>0</v>
      </c>
      <c r="BD180" s="584">
        <v>0</v>
      </c>
      <c r="BE180" s="584">
        <v>0</v>
      </c>
      <c r="BF180" s="584">
        <v>0</v>
      </c>
      <c r="BG180" s="584">
        <v>0</v>
      </c>
      <c r="BH180" s="584">
        <v>0</v>
      </c>
      <c r="BI180" s="584">
        <v>0</v>
      </c>
      <c r="BJ180" s="584">
        <v>0</v>
      </c>
      <c r="BK180" s="584">
        <v>0</v>
      </c>
      <c r="BL180" s="584">
        <v>0</v>
      </c>
      <c r="BM180" s="584">
        <v>0</v>
      </c>
      <c r="BN180" s="584">
        <v>0</v>
      </c>
      <c r="BO180" s="584">
        <v>0</v>
      </c>
      <c r="BP180" s="584">
        <v>0</v>
      </c>
      <c r="BQ180" s="584">
        <v>0</v>
      </c>
      <c r="BR180" s="584">
        <v>0</v>
      </c>
      <c r="BS180" s="584">
        <v>0</v>
      </c>
      <c r="BT180" s="584">
        <v>0</v>
      </c>
      <c r="BU180" s="584">
        <v>0</v>
      </c>
      <c r="BV180" s="584">
        <v>0</v>
      </c>
      <c r="BW180" s="584">
        <v>0</v>
      </c>
      <c r="BX180" s="584">
        <v>0</v>
      </c>
      <c r="BY180" s="584">
        <v>0</v>
      </c>
      <c r="BZ180" s="584">
        <v>0</v>
      </c>
      <c r="CA180" s="584">
        <v>0</v>
      </c>
      <c r="CB180" s="584">
        <v>0</v>
      </c>
      <c r="CC180" s="584">
        <v>0</v>
      </c>
      <c r="CD180" s="584">
        <v>0</v>
      </c>
      <c r="CE180" s="584">
        <v>0</v>
      </c>
      <c r="CF180" s="584">
        <v>0</v>
      </c>
      <c r="CG180" s="584">
        <v>0</v>
      </c>
      <c r="CH180" s="584">
        <v>0</v>
      </c>
      <c r="CI180" s="584">
        <v>0</v>
      </c>
      <c r="CJ180" s="584">
        <v>0</v>
      </c>
      <c r="CK180" s="584">
        <v>0</v>
      </c>
      <c r="CL180" s="584">
        <v>0</v>
      </c>
      <c r="CM180" s="584">
        <v>0</v>
      </c>
      <c r="CN180" s="584">
        <v>0</v>
      </c>
      <c r="CO180" s="584">
        <v>0</v>
      </c>
      <c r="CP180" s="584">
        <v>0</v>
      </c>
      <c r="CQ180" s="584">
        <v>0</v>
      </c>
      <c r="CR180" s="584">
        <v>0</v>
      </c>
      <c r="CS180" s="584">
        <v>0</v>
      </c>
      <c r="CT180" s="584">
        <v>0</v>
      </c>
      <c r="CU180" s="584">
        <v>0</v>
      </c>
      <c r="CV180" s="584">
        <v>0</v>
      </c>
      <c r="CW180" s="584">
        <v>0</v>
      </c>
      <c r="CX180" s="584">
        <v>0</v>
      </c>
      <c r="CY180" s="584">
        <v>0</v>
      </c>
      <c r="CZ180" s="584">
        <v>0</v>
      </c>
      <c r="DA180" s="584">
        <v>0</v>
      </c>
      <c r="DB180" s="584">
        <v>0</v>
      </c>
      <c r="DC180" s="584">
        <v>0</v>
      </c>
      <c r="DD180" s="584">
        <v>0</v>
      </c>
      <c r="DE180" s="584">
        <v>0</v>
      </c>
      <c r="DF180" s="584">
        <v>0</v>
      </c>
      <c r="DG180" s="584">
        <v>0</v>
      </c>
      <c r="DH180" s="584">
        <v>0</v>
      </c>
      <c r="DI180" s="584">
        <v>0</v>
      </c>
      <c r="DJ180" s="584">
        <v>0</v>
      </c>
      <c r="DK180" s="584">
        <v>0</v>
      </c>
      <c r="DL180" s="584">
        <v>0</v>
      </c>
      <c r="DM180" s="584">
        <v>0</v>
      </c>
      <c r="DN180" s="584">
        <v>0</v>
      </c>
      <c r="DO180" s="584">
        <v>0</v>
      </c>
      <c r="DP180" s="584">
        <v>0</v>
      </c>
      <c r="DQ180" s="584">
        <v>0</v>
      </c>
      <c r="DR180" s="584">
        <v>0</v>
      </c>
      <c r="DS180" s="584">
        <v>0</v>
      </c>
      <c r="DT180" s="584">
        <v>0</v>
      </c>
      <c r="DU180" s="584">
        <v>0</v>
      </c>
      <c r="DV180" s="584">
        <v>0</v>
      </c>
      <c r="DW180" s="584">
        <v>0</v>
      </c>
      <c r="DX180" s="584">
        <v>0</v>
      </c>
      <c r="DY180" s="584">
        <v>0</v>
      </c>
      <c r="DZ180" s="584">
        <v>0</v>
      </c>
      <c r="EA180" s="1062">
        <v>0</v>
      </c>
      <c r="EB180" s="1046">
        <v>0</v>
      </c>
      <c r="EC180" s="1093">
        <v>0</v>
      </c>
      <c r="ED180" s="1046">
        <v>0</v>
      </c>
      <c r="EE180" s="1046">
        <v>0</v>
      </c>
      <c r="EF180" s="1046">
        <v>0</v>
      </c>
      <c r="EG180" s="1046">
        <v>0</v>
      </c>
      <c r="EH180" s="1046">
        <v>0</v>
      </c>
      <c r="EI180" s="1046">
        <v>0</v>
      </c>
      <c r="EJ180" s="1046">
        <v>0</v>
      </c>
      <c r="EK180" s="1046">
        <v>0</v>
      </c>
      <c r="EL180" s="1046">
        <v>0</v>
      </c>
      <c r="EM180" s="1046">
        <v>0</v>
      </c>
      <c r="EN180" s="1046">
        <v>0</v>
      </c>
      <c r="EO180" s="1046">
        <v>0</v>
      </c>
      <c r="EP180" s="1094">
        <v>0</v>
      </c>
      <c r="EQ180" s="1094">
        <v>0</v>
      </c>
      <c r="ER180" s="1094">
        <v>0</v>
      </c>
      <c r="ES180" s="1095">
        <v>0</v>
      </c>
      <c r="ET180" s="1094">
        <v>0</v>
      </c>
      <c r="EU180" s="1094">
        <v>0</v>
      </c>
      <c r="EV180" s="1096">
        <v>0.82789999999999997</v>
      </c>
      <c r="EW180" s="1097">
        <v>0.15</v>
      </c>
      <c r="EX180" s="1096">
        <v>289.50050968399592</v>
      </c>
      <c r="EY180" s="1096">
        <v>1.5443934760448521</v>
      </c>
      <c r="EZ180" s="1096">
        <v>0</v>
      </c>
      <c r="FA180" s="1096">
        <v>31.183749999999996</v>
      </c>
      <c r="FB180" s="1098">
        <v>0</v>
      </c>
      <c r="FC180" s="1098">
        <v>0</v>
      </c>
      <c r="FD180" s="1098" t="s">
        <v>445</v>
      </c>
      <c r="FE180" s="1098" t="s">
        <v>396</v>
      </c>
      <c r="FF180" s="1098">
        <v>1</v>
      </c>
      <c r="FG180" s="1098">
        <v>0</v>
      </c>
      <c r="FH180" s="1098">
        <v>0</v>
      </c>
      <c r="FI180" s="1098">
        <v>0</v>
      </c>
      <c r="FJ180" s="1098">
        <v>0</v>
      </c>
      <c r="FK180" s="1096">
        <v>81.421261749999999</v>
      </c>
      <c r="FL180" s="1096">
        <v>80</v>
      </c>
      <c r="FM180" s="1096">
        <v>162.8425235</v>
      </c>
      <c r="FN180" s="1096">
        <v>160</v>
      </c>
      <c r="FO180" s="1096">
        <v>325.685047</v>
      </c>
      <c r="FP180" s="1099">
        <v>320</v>
      </c>
      <c r="FQ180" s="1064">
        <v>1.2222367378842984</v>
      </c>
      <c r="FR180" s="1065">
        <v>0.15</v>
      </c>
      <c r="FS180" s="1066">
        <v>289.50050968399586</v>
      </c>
      <c r="FT180" s="1066">
        <v>3.1754272996334754</v>
      </c>
      <c r="FU180" s="1065"/>
      <c r="FV180" s="1066">
        <v>77.500416701436635</v>
      </c>
      <c r="FW180" s="1065"/>
      <c r="FX180" s="1065"/>
      <c r="FY180" s="1065" t="s">
        <v>416</v>
      </c>
      <c r="FZ180" s="1065" t="s">
        <v>389</v>
      </c>
      <c r="GA180" s="1065">
        <v>1</v>
      </c>
      <c r="GB180" s="1065"/>
      <c r="GC180" s="1065"/>
      <c r="GD180" s="1065"/>
      <c r="GE180" s="1065"/>
      <c r="GF180" s="1066">
        <v>88.628600593009963</v>
      </c>
      <c r="GG180" s="1066">
        <v>80</v>
      </c>
      <c r="GH180" s="1066">
        <v>177.25720118601993</v>
      </c>
      <c r="GI180" s="1066">
        <v>160</v>
      </c>
      <c r="GJ180" s="1066">
        <v>354.51440237203985</v>
      </c>
      <c r="GK180" s="1066">
        <v>320</v>
      </c>
      <c r="GL180" s="584">
        <v>1.0129999999999999</v>
      </c>
      <c r="GM180" s="584">
        <v>0.11</v>
      </c>
      <c r="GN180" s="584"/>
      <c r="GO180" s="584"/>
      <c r="GP180" s="584"/>
      <c r="GQ180" s="584">
        <v>84.097499999999997</v>
      </c>
      <c r="GR180" s="584"/>
      <c r="GS180" s="584">
        <v>56.065239551478101</v>
      </c>
      <c r="GT180" s="584" t="s">
        <v>459</v>
      </c>
      <c r="GU180" s="584" t="s">
        <v>375</v>
      </c>
      <c r="GV180" s="584">
        <v>1</v>
      </c>
      <c r="GW180" s="584"/>
      <c r="GX180" s="584"/>
      <c r="GY180" s="584"/>
      <c r="GZ180" s="584"/>
      <c r="HA180" s="584">
        <v>43.4999295</v>
      </c>
      <c r="HB180" s="584">
        <v>80</v>
      </c>
      <c r="HC180" s="584">
        <v>86.999859000000001</v>
      </c>
      <c r="HD180" s="584">
        <v>160</v>
      </c>
      <c r="HE180" s="584">
        <v>173.999718</v>
      </c>
      <c r="HF180" s="584">
        <v>320</v>
      </c>
      <c r="HG180" s="1100">
        <v>1.59</v>
      </c>
      <c r="HH180" s="1100">
        <v>0.11</v>
      </c>
      <c r="HI180" s="1101">
        <v>0</v>
      </c>
      <c r="HJ180" s="1101">
        <v>0</v>
      </c>
      <c r="HK180" s="1101">
        <v>0</v>
      </c>
      <c r="HL180" s="1101">
        <v>0</v>
      </c>
      <c r="HM180" s="1101">
        <v>81.004499999999993</v>
      </c>
      <c r="HN180" s="1101">
        <v>54.999999999999993</v>
      </c>
      <c r="HO180" s="1101">
        <v>0</v>
      </c>
      <c r="HP180" s="1101">
        <v>0</v>
      </c>
      <c r="HQ180" s="1101">
        <v>1</v>
      </c>
      <c r="HR180" s="1101">
        <v>0.76</v>
      </c>
      <c r="HS180" s="1101">
        <v>1.48</v>
      </c>
      <c r="HT180" s="1101">
        <v>0.3</v>
      </c>
      <c r="HU180" s="1101">
        <v>0.28000000000000003</v>
      </c>
      <c r="HV180" s="1101">
        <v>42.6840829</v>
      </c>
      <c r="HW180" s="1101">
        <v>80</v>
      </c>
      <c r="HX180" s="1101">
        <v>85.3681658</v>
      </c>
      <c r="HY180" s="1101">
        <v>160</v>
      </c>
      <c r="HZ180" s="1101">
        <v>170.7363316</v>
      </c>
      <c r="IA180" s="1101">
        <v>320</v>
      </c>
      <c r="IB180" s="1062"/>
      <c r="ID180" s="1050"/>
      <c r="IE180" s="1050"/>
      <c r="IM180" s="1050"/>
      <c r="IN180" s="1050"/>
      <c r="IO180" s="1050"/>
      <c r="IP180" s="1050"/>
      <c r="JU180" s="1050"/>
      <c r="KC180" s="1050"/>
      <c r="KD180" s="1050"/>
      <c r="KE180" s="1050"/>
      <c r="KF180" s="1050"/>
      <c r="KN180" s="1103"/>
    </row>
    <row r="181" spans="2:300">
      <c r="B181" s="1048" t="str">
        <f t="shared" si="6"/>
        <v>E66</v>
      </c>
      <c r="C181" s="1046">
        <v>6</v>
      </c>
      <c r="D181" s="1046">
        <v>6</v>
      </c>
      <c r="E181" s="584">
        <v>0.21</v>
      </c>
      <c r="F181" s="584">
        <v>0.21</v>
      </c>
      <c r="G181" s="584">
        <v>504</v>
      </c>
      <c r="H181" s="584">
        <v>16.170000000000002</v>
      </c>
      <c r="I181" s="584">
        <v>0</v>
      </c>
      <c r="J181" s="584">
        <v>0</v>
      </c>
      <c r="K181" s="584">
        <v>0</v>
      </c>
      <c r="L181" s="584">
        <v>0</v>
      </c>
      <c r="M181" s="584">
        <v>0</v>
      </c>
      <c r="N181" s="584">
        <v>0</v>
      </c>
      <c r="O181" s="584">
        <v>0</v>
      </c>
      <c r="P181" s="584">
        <v>0</v>
      </c>
      <c r="Q181" s="584">
        <v>0</v>
      </c>
      <c r="R181" s="584">
        <v>0</v>
      </c>
      <c r="S181" s="584">
        <v>0</v>
      </c>
      <c r="T181" s="584">
        <v>132.96143749999999</v>
      </c>
      <c r="U181" s="584">
        <v>36</v>
      </c>
      <c r="V181" s="584">
        <v>196.07343750000001</v>
      </c>
      <c r="W181" s="584">
        <v>75.599999999999994</v>
      </c>
      <c r="X181" s="584">
        <v>248.571</v>
      </c>
      <c r="Y181" s="584">
        <v>158.4</v>
      </c>
      <c r="Z181" s="584">
        <v>0.2</v>
      </c>
      <c r="AA181" s="584">
        <v>0.2</v>
      </c>
      <c r="AB181" s="584">
        <v>480</v>
      </c>
      <c r="AC181" s="584">
        <v>18</v>
      </c>
      <c r="AD181" s="584">
        <v>0</v>
      </c>
      <c r="AE181" s="584">
        <v>0</v>
      </c>
      <c r="AF181" s="584">
        <v>0</v>
      </c>
      <c r="AG181" s="584">
        <v>0</v>
      </c>
      <c r="AH181" s="584">
        <v>0</v>
      </c>
      <c r="AI181" s="584">
        <v>0</v>
      </c>
      <c r="AJ181" s="584">
        <v>0</v>
      </c>
      <c r="AK181" s="584">
        <v>0</v>
      </c>
      <c r="AL181" s="584">
        <v>0</v>
      </c>
      <c r="AM181" s="584">
        <v>0</v>
      </c>
      <c r="AN181" s="584">
        <v>0</v>
      </c>
      <c r="AO181" s="584">
        <v>130.40143749999999</v>
      </c>
      <c r="AP181" s="584">
        <v>36</v>
      </c>
      <c r="AQ181" s="584">
        <v>191.03343749999999</v>
      </c>
      <c r="AR181" s="584">
        <v>75.599999999999994</v>
      </c>
      <c r="AS181" s="584">
        <v>238.67099999999999</v>
      </c>
      <c r="AT181" s="584">
        <v>158.4</v>
      </c>
      <c r="AU181" s="584">
        <v>0.3</v>
      </c>
      <c r="AV181" s="584">
        <v>0.25</v>
      </c>
      <c r="AW181" s="584">
        <v>421.56837307152898</v>
      </c>
      <c r="AX181" s="584">
        <v>20.640427769986001</v>
      </c>
      <c r="AY181" s="584">
        <v>0</v>
      </c>
      <c r="AZ181" s="584">
        <v>0</v>
      </c>
      <c r="BA181" s="584">
        <v>0</v>
      </c>
      <c r="BB181" s="584">
        <v>0</v>
      </c>
      <c r="BC181" s="584">
        <v>0</v>
      </c>
      <c r="BD181" s="584">
        <v>0</v>
      </c>
      <c r="BE181" s="584">
        <v>0</v>
      </c>
      <c r="BF181" s="584">
        <v>0</v>
      </c>
      <c r="BG181" s="584">
        <v>0.3</v>
      </c>
      <c r="BH181" s="584">
        <v>0</v>
      </c>
      <c r="BI181" s="584">
        <v>0.6</v>
      </c>
      <c r="BJ181" s="584">
        <v>128.42995161290301</v>
      </c>
      <c r="BK181" s="584">
        <v>36</v>
      </c>
      <c r="BL181" s="584">
        <v>181.27945161290299</v>
      </c>
      <c r="BM181" s="584">
        <v>75.599999999999994</v>
      </c>
      <c r="BN181" s="584">
        <v>211.98226209677401</v>
      </c>
      <c r="BO181" s="584">
        <v>158.4</v>
      </c>
      <c r="BP181" s="584">
        <v>0.3</v>
      </c>
      <c r="BQ181" s="584">
        <v>0.13</v>
      </c>
      <c r="BR181" s="584">
        <v>388.11500701262298</v>
      </c>
      <c r="BS181" s="584">
        <v>16.2538008415147</v>
      </c>
      <c r="BT181" s="584">
        <v>0</v>
      </c>
      <c r="BU181" s="584">
        <v>0</v>
      </c>
      <c r="BV181" s="584">
        <v>0</v>
      </c>
      <c r="BW181" s="584">
        <v>0</v>
      </c>
      <c r="BX181" s="584">
        <v>0</v>
      </c>
      <c r="BY181" s="584">
        <v>0</v>
      </c>
      <c r="BZ181" s="584">
        <v>0</v>
      </c>
      <c r="CA181" s="584">
        <v>0.3</v>
      </c>
      <c r="CB181" s="584">
        <v>0.3</v>
      </c>
      <c r="CC181" s="584">
        <v>0.3</v>
      </c>
      <c r="CD181" s="584">
        <v>0.3</v>
      </c>
      <c r="CE181" s="584">
        <v>129.05189999999999</v>
      </c>
      <c r="CF181" s="584">
        <v>36</v>
      </c>
      <c r="CG181" s="584">
        <v>179.59139999999999</v>
      </c>
      <c r="CH181" s="584">
        <v>75.599999999999994</v>
      </c>
      <c r="CI181" s="584">
        <v>183.87540000000001</v>
      </c>
      <c r="CJ181" s="584">
        <v>158.4</v>
      </c>
      <c r="CK181" s="584">
        <v>0.32500000000000001</v>
      </c>
      <c r="CL181" s="584">
        <v>0.17499999999999999</v>
      </c>
      <c r="CM181" s="584">
        <v>452.34572230013998</v>
      </c>
      <c r="CN181" s="584">
        <v>19.4581872370266</v>
      </c>
      <c r="CO181" s="584">
        <v>0</v>
      </c>
      <c r="CP181" s="584">
        <v>0</v>
      </c>
      <c r="CQ181" s="584">
        <v>0</v>
      </c>
      <c r="CR181" s="584">
        <v>0</v>
      </c>
      <c r="CS181" s="584">
        <v>0</v>
      </c>
      <c r="CT181" s="584">
        <v>0</v>
      </c>
      <c r="CU181" s="584">
        <v>0</v>
      </c>
      <c r="CV181" s="584">
        <v>0</v>
      </c>
      <c r="CW181" s="584">
        <v>0.32500000000000001</v>
      </c>
      <c r="CX181" s="584">
        <v>0</v>
      </c>
      <c r="CY181" s="584">
        <v>0.45</v>
      </c>
      <c r="CZ181" s="584">
        <v>133.19550000000001</v>
      </c>
      <c r="DA181" s="584">
        <v>36</v>
      </c>
      <c r="DB181" s="584">
        <v>187.6275</v>
      </c>
      <c r="DC181" s="584">
        <v>75.599999999999994</v>
      </c>
      <c r="DD181" s="584">
        <v>223.6815</v>
      </c>
      <c r="DE181" s="584">
        <v>158.4</v>
      </c>
      <c r="DF181" s="584">
        <v>0.35</v>
      </c>
      <c r="DG181" s="584">
        <v>0.2</v>
      </c>
      <c r="DH181" s="584">
        <v>328.54707223001401</v>
      </c>
      <c r="DI181" s="584">
        <v>17.126483695652201</v>
      </c>
      <c r="DJ181" s="584">
        <v>300</v>
      </c>
      <c r="DK181" s="584">
        <v>0</v>
      </c>
      <c r="DL181" s="584">
        <v>0</v>
      </c>
      <c r="DM181" s="584">
        <v>0</v>
      </c>
      <c r="DN181" s="584">
        <v>0</v>
      </c>
      <c r="DO181" s="584">
        <v>0</v>
      </c>
      <c r="DP181" s="584">
        <v>0</v>
      </c>
      <c r="DQ181" s="584">
        <v>0</v>
      </c>
      <c r="DR181" s="584">
        <v>0.35</v>
      </c>
      <c r="DS181" s="584">
        <v>0</v>
      </c>
      <c r="DT181" s="584">
        <v>2.4</v>
      </c>
      <c r="DU181" s="584">
        <v>131.49299999999999</v>
      </c>
      <c r="DV181" s="584">
        <v>36</v>
      </c>
      <c r="DW181" s="584">
        <v>234.58349999999999</v>
      </c>
      <c r="DX181" s="584">
        <v>75.599999999999994</v>
      </c>
      <c r="DY181" s="584">
        <v>285.10649999999998</v>
      </c>
      <c r="DZ181" s="584">
        <v>158.4</v>
      </c>
      <c r="EA181" s="1062">
        <v>0.56340000000000001</v>
      </c>
      <c r="EB181" s="1046">
        <v>0.2</v>
      </c>
      <c r="EC181" s="1093">
        <v>132.51783893985726</v>
      </c>
      <c r="ED181" s="1046">
        <v>0</v>
      </c>
      <c r="EE181" s="1046">
        <v>285.42303771661568</v>
      </c>
      <c r="EF181" s="1046">
        <v>16.18333333333333</v>
      </c>
      <c r="EG181" s="1046">
        <v>0</v>
      </c>
      <c r="EH181" s="1046">
        <v>0</v>
      </c>
      <c r="EI181" s="1046" t="s">
        <v>475</v>
      </c>
      <c r="EJ181" s="1046" t="s">
        <v>514</v>
      </c>
      <c r="EK181" s="1046">
        <v>0</v>
      </c>
      <c r="EL181" s="1046">
        <v>0</v>
      </c>
      <c r="EM181" s="1046">
        <v>0</v>
      </c>
      <c r="EN181" s="1046">
        <v>0</v>
      </c>
      <c r="EO181" s="1046">
        <v>0</v>
      </c>
      <c r="EP181" s="1094">
        <v>45.528826500000001</v>
      </c>
      <c r="EQ181" s="1094">
        <v>36</v>
      </c>
      <c r="ER181" s="1094">
        <v>91.057653000000002</v>
      </c>
      <c r="ES181" s="1095">
        <v>72</v>
      </c>
      <c r="ET181" s="1094">
        <v>182.115306</v>
      </c>
      <c r="EU181" s="1094">
        <v>144</v>
      </c>
      <c r="EV181" s="1096">
        <v>0.55640000000000001</v>
      </c>
      <c r="EW181" s="1097">
        <v>0.15</v>
      </c>
      <c r="EX181" s="1096">
        <v>289.50050968399592</v>
      </c>
      <c r="EY181" s="1096">
        <v>1.5443934760448521</v>
      </c>
      <c r="EZ181" s="1096">
        <v>0</v>
      </c>
      <c r="FA181" s="1096">
        <v>16.733333333333334</v>
      </c>
      <c r="FB181" s="1098">
        <v>0</v>
      </c>
      <c r="FC181" s="1098">
        <v>0</v>
      </c>
      <c r="FD181" s="1098" t="s">
        <v>467</v>
      </c>
      <c r="FE181" s="1098" t="s">
        <v>490</v>
      </c>
      <c r="FF181" s="1098">
        <v>1</v>
      </c>
      <c r="FG181" s="1098">
        <v>0</v>
      </c>
      <c r="FH181" s="1098">
        <v>0</v>
      </c>
      <c r="FI181" s="1098">
        <v>0</v>
      </c>
      <c r="FJ181" s="1098">
        <v>0</v>
      </c>
      <c r="FK181" s="1096">
        <v>35.363740500000006</v>
      </c>
      <c r="FL181" s="1096">
        <v>36</v>
      </c>
      <c r="FM181" s="1096">
        <v>70.727481000000012</v>
      </c>
      <c r="FN181" s="1096">
        <v>72</v>
      </c>
      <c r="FO181" s="1096">
        <v>141.45496200000002</v>
      </c>
      <c r="FP181" s="1099">
        <v>144</v>
      </c>
      <c r="FQ181" s="1064">
        <v>0.57475999999999994</v>
      </c>
      <c r="FR181" s="1065">
        <v>0.15</v>
      </c>
      <c r="FS181" s="1066">
        <v>289.50050968399586</v>
      </c>
      <c r="FT181" s="1066">
        <v>3.2237153637237084</v>
      </c>
      <c r="FU181" s="1065"/>
      <c r="FV181" s="1066">
        <v>35.03122609560868</v>
      </c>
      <c r="FW181" s="1065"/>
      <c r="FX181" s="1065"/>
      <c r="FY181" s="1065" t="s">
        <v>490</v>
      </c>
      <c r="FZ181" s="1065" t="s">
        <v>490</v>
      </c>
      <c r="GA181" s="1065">
        <v>1</v>
      </c>
      <c r="GB181" s="1065"/>
      <c r="GC181" s="1065"/>
      <c r="GD181" s="1065"/>
      <c r="GE181" s="1065"/>
      <c r="GF181" s="1066">
        <v>36.137528781444459</v>
      </c>
      <c r="GG181" s="1066">
        <v>36</v>
      </c>
      <c r="GH181" s="1066">
        <v>72.275057562888918</v>
      </c>
      <c r="GI181" s="1066">
        <v>72</v>
      </c>
      <c r="GJ181" s="1066">
        <v>144.55011512577784</v>
      </c>
      <c r="GK181" s="1066">
        <v>144</v>
      </c>
      <c r="GL181" s="584">
        <v>0.50800000000000001</v>
      </c>
      <c r="GM181" s="584">
        <v>0.11</v>
      </c>
      <c r="GN181" s="584"/>
      <c r="GO181" s="584"/>
      <c r="GP181" s="584"/>
      <c r="GQ181" s="584">
        <v>17.533333333333299</v>
      </c>
      <c r="GR181" s="584"/>
      <c r="GS181" s="584">
        <v>56.065239551478101</v>
      </c>
      <c r="GT181" s="584" t="s">
        <v>473</v>
      </c>
      <c r="GU181" s="584" t="s">
        <v>484</v>
      </c>
      <c r="GV181" s="584">
        <v>1</v>
      </c>
      <c r="GW181" s="584"/>
      <c r="GX181" s="584"/>
      <c r="GY181" s="584"/>
      <c r="GZ181" s="584"/>
      <c r="HA181" s="584">
        <v>13.698017999999999</v>
      </c>
      <c r="HB181" s="584">
        <v>36</v>
      </c>
      <c r="HC181" s="584">
        <v>27.396035999999999</v>
      </c>
      <c r="HD181" s="584">
        <v>72</v>
      </c>
      <c r="HE181" s="584">
        <v>54.792071999999997</v>
      </c>
      <c r="HF181" s="584">
        <v>144</v>
      </c>
      <c r="HG181" s="1100">
        <v>0.67</v>
      </c>
      <c r="HH181" s="1100">
        <v>0.11</v>
      </c>
      <c r="HI181" s="1101">
        <v>0</v>
      </c>
      <c r="HJ181" s="1101">
        <v>0</v>
      </c>
      <c r="HK181" s="1101">
        <v>0</v>
      </c>
      <c r="HL181" s="1101">
        <v>0</v>
      </c>
      <c r="HM181" s="1101">
        <v>29.759999999999998</v>
      </c>
      <c r="HN181" s="1101">
        <v>54.999999999999993</v>
      </c>
      <c r="HO181" s="1101">
        <v>0</v>
      </c>
      <c r="HP181" s="1101">
        <v>0</v>
      </c>
      <c r="HQ181" s="1101">
        <v>1</v>
      </c>
      <c r="HR181" s="1101">
        <v>0.56000000000000005</v>
      </c>
      <c r="HS181" s="1101">
        <v>0.4</v>
      </c>
      <c r="HT181" s="1101">
        <v>0.28000000000000003</v>
      </c>
      <c r="HU181" s="1101">
        <v>0.3</v>
      </c>
      <c r="HV181" s="1101">
        <v>14.683460400000001</v>
      </c>
      <c r="HW181" s="1101">
        <v>36</v>
      </c>
      <c r="HX181" s="1101">
        <v>29.366920800000003</v>
      </c>
      <c r="HY181" s="1101">
        <v>72</v>
      </c>
      <c r="HZ181" s="1101">
        <v>58.733841600000005</v>
      </c>
      <c r="IA181" s="1101">
        <v>144</v>
      </c>
      <c r="IB181" s="1062"/>
      <c r="ID181" s="1050"/>
      <c r="IE181" s="1050"/>
      <c r="IM181" s="1050"/>
      <c r="IN181" s="1050"/>
      <c r="IO181" s="1050"/>
      <c r="IP181" s="1050"/>
      <c r="JU181" s="1050"/>
      <c r="KC181" s="1050"/>
      <c r="KD181" s="1050"/>
      <c r="KE181" s="1050"/>
      <c r="KF181" s="1050"/>
      <c r="KN181" s="1103"/>
    </row>
    <row r="182" spans="2:300">
      <c r="B182" s="1048" t="str">
        <f t="shared" si="6"/>
        <v>E67</v>
      </c>
      <c r="C182" s="1046">
        <v>6</v>
      </c>
      <c r="D182" s="1046">
        <v>7</v>
      </c>
      <c r="E182" s="584">
        <v>0.23499999999999999</v>
      </c>
      <c r="F182" s="584">
        <v>0.23499999999999999</v>
      </c>
      <c r="G182" s="584">
        <v>564</v>
      </c>
      <c r="H182" s="584">
        <v>17.155000000000001</v>
      </c>
      <c r="I182" s="584">
        <v>0</v>
      </c>
      <c r="J182" s="584">
        <v>0</v>
      </c>
      <c r="K182" s="584">
        <v>0</v>
      </c>
      <c r="L182" s="584">
        <v>0</v>
      </c>
      <c r="M182" s="584">
        <v>0</v>
      </c>
      <c r="N182" s="584">
        <v>0</v>
      </c>
      <c r="O182" s="584">
        <v>0</v>
      </c>
      <c r="P182" s="584">
        <v>0</v>
      </c>
      <c r="Q182" s="584">
        <v>0</v>
      </c>
      <c r="R182" s="584">
        <v>0</v>
      </c>
      <c r="S182" s="584">
        <v>0</v>
      </c>
      <c r="T182" s="584">
        <v>155.52143749999999</v>
      </c>
      <c r="U182" s="584">
        <v>42</v>
      </c>
      <c r="V182" s="584">
        <v>242.60943750000001</v>
      </c>
      <c r="W182" s="584">
        <v>88.2</v>
      </c>
      <c r="X182" s="584">
        <v>317.37599999999998</v>
      </c>
      <c r="Y182" s="584">
        <v>184.8</v>
      </c>
      <c r="Z182" s="584">
        <v>0.20499999999999999</v>
      </c>
      <c r="AA182" s="584">
        <v>0.20499999999999999</v>
      </c>
      <c r="AB182" s="584">
        <v>492</v>
      </c>
      <c r="AC182" s="584">
        <v>17</v>
      </c>
      <c r="AD182" s="584">
        <v>0</v>
      </c>
      <c r="AE182" s="584">
        <v>0</v>
      </c>
      <c r="AF182" s="584">
        <v>0</v>
      </c>
      <c r="AG182" s="584">
        <v>0</v>
      </c>
      <c r="AH182" s="584">
        <v>0</v>
      </c>
      <c r="AI182" s="584">
        <v>0</v>
      </c>
      <c r="AJ182" s="584">
        <v>0</v>
      </c>
      <c r="AK182" s="584">
        <v>0</v>
      </c>
      <c r="AL182" s="584">
        <v>0</v>
      </c>
      <c r="AM182" s="584">
        <v>0</v>
      </c>
      <c r="AN182" s="584">
        <v>0</v>
      </c>
      <c r="AO182" s="584">
        <v>146.64143749999999</v>
      </c>
      <c r="AP182" s="584">
        <v>42</v>
      </c>
      <c r="AQ182" s="584">
        <v>224.9694375</v>
      </c>
      <c r="AR182" s="584">
        <v>88.2</v>
      </c>
      <c r="AS182" s="584">
        <v>282.726</v>
      </c>
      <c r="AT182" s="584">
        <v>184.8</v>
      </c>
      <c r="AU182" s="584">
        <v>0.35</v>
      </c>
      <c r="AV182" s="584">
        <v>0.25</v>
      </c>
      <c r="AW182" s="584">
        <v>441.0234375</v>
      </c>
      <c r="AX182" s="584">
        <v>22.030117753623198</v>
      </c>
      <c r="AY182" s="584">
        <v>0</v>
      </c>
      <c r="AZ182" s="584">
        <v>0</v>
      </c>
      <c r="BA182" s="584">
        <v>0</v>
      </c>
      <c r="BB182" s="584">
        <v>0</v>
      </c>
      <c r="BC182" s="584">
        <v>0</v>
      </c>
      <c r="BD182" s="584">
        <v>0</v>
      </c>
      <c r="BE182" s="584">
        <v>0</v>
      </c>
      <c r="BF182" s="584">
        <v>0</v>
      </c>
      <c r="BG182" s="584">
        <v>0.35</v>
      </c>
      <c r="BH182" s="584">
        <v>0</v>
      </c>
      <c r="BI182" s="584">
        <v>0.6</v>
      </c>
      <c r="BJ182" s="584">
        <v>145.800359375</v>
      </c>
      <c r="BK182" s="584">
        <v>42</v>
      </c>
      <c r="BL182" s="584">
        <v>214.66957031250001</v>
      </c>
      <c r="BM182" s="584">
        <v>88.2</v>
      </c>
      <c r="BN182" s="584">
        <v>253.900236328125</v>
      </c>
      <c r="BO182" s="584">
        <v>184.8</v>
      </c>
      <c r="BP182" s="584">
        <v>0.375</v>
      </c>
      <c r="BQ182" s="584">
        <v>0.14000000000000001</v>
      </c>
      <c r="BR182" s="584">
        <v>407.76630434782601</v>
      </c>
      <c r="BS182" s="584">
        <v>18.237495471014501</v>
      </c>
      <c r="BT182" s="584">
        <v>0</v>
      </c>
      <c r="BU182" s="584">
        <v>0</v>
      </c>
      <c r="BV182" s="584">
        <v>0</v>
      </c>
      <c r="BW182" s="584">
        <v>0</v>
      </c>
      <c r="BX182" s="584">
        <v>0</v>
      </c>
      <c r="BY182" s="584">
        <v>0</v>
      </c>
      <c r="BZ182" s="584">
        <v>0</v>
      </c>
      <c r="CA182" s="584">
        <v>0.3</v>
      </c>
      <c r="CB182" s="584">
        <v>0.375</v>
      </c>
      <c r="CC182" s="584">
        <v>0.3</v>
      </c>
      <c r="CD182" s="584">
        <v>0.3</v>
      </c>
      <c r="CE182" s="584">
        <v>143.92644999999999</v>
      </c>
      <c r="CF182" s="584">
        <v>42</v>
      </c>
      <c r="CG182" s="584">
        <v>214.07069999999999</v>
      </c>
      <c r="CH182" s="584">
        <v>88.2</v>
      </c>
      <c r="CI182" s="584">
        <v>226.08869999999999</v>
      </c>
      <c r="CJ182" s="584">
        <v>184.8</v>
      </c>
      <c r="CK182" s="584">
        <v>0.375</v>
      </c>
      <c r="CL182" s="584">
        <v>0.17499999999999999</v>
      </c>
      <c r="CM182" s="584">
        <v>458.37126358695701</v>
      </c>
      <c r="CN182" s="584">
        <v>19.788892663043502</v>
      </c>
      <c r="CO182" s="584">
        <v>0</v>
      </c>
      <c r="CP182" s="584">
        <v>0</v>
      </c>
      <c r="CQ182" s="584">
        <v>0</v>
      </c>
      <c r="CR182" s="584">
        <v>0</v>
      </c>
      <c r="CS182" s="584">
        <v>0</v>
      </c>
      <c r="CT182" s="584">
        <v>0</v>
      </c>
      <c r="CU182" s="584">
        <v>0</v>
      </c>
      <c r="CV182" s="584">
        <v>0</v>
      </c>
      <c r="CW182" s="584">
        <v>0.375</v>
      </c>
      <c r="CX182" s="584">
        <v>0</v>
      </c>
      <c r="CY182" s="584">
        <v>0.45</v>
      </c>
      <c r="CZ182" s="584">
        <v>148.5215</v>
      </c>
      <c r="DA182" s="584">
        <v>42</v>
      </c>
      <c r="DB182" s="584">
        <v>218.65199999999999</v>
      </c>
      <c r="DC182" s="584">
        <v>88.2</v>
      </c>
      <c r="DD182" s="584">
        <v>263.33999999999997</v>
      </c>
      <c r="DE182" s="584">
        <v>184.8</v>
      </c>
      <c r="DF182" s="584">
        <v>0.35</v>
      </c>
      <c r="DG182" s="584">
        <v>0.2</v>
      </c>
      <c r="DH182" s="584">
        <v>330.68274456521698</v>
      </c>
      <c r="DI182" s="584">
        <v>19.455480525362301</v>
      </c>
      <c r="DJ182" s="584">
        <v>300</v>
      </c>
      <c r="DK182" s="584">
        <v>0</v>
      </c>
      <c r="DL182" s="584">
        <v>0</v>
      </c>
      <c r="DM182" s="584">
        <v>0</v>
      </c>
      <c r="DN182" s="584">
        <v>0</v>
      </c>
      <c r="DO182" s="584">
        <v>0</v>
      </c>
      <c r="DP182" s="584">
        <v>0</v>
      </c>
      <c r="DQ182" s="584">
        <v>0</v>
      </c>
      <c r="DR182" s="584">
        <v>0.35</v>
      </c>
      <c r="DS182" s="584">
        <v>0</v>
      </c>
      <c r="DT182" s="584">
        <v>2.4</v>
      </c>
      <c r="DU182" s="584">
        <v>146.744</v>
      </c>
      <c r="DV182" s="584">
        <v>42</v>
      </c>
      <c r="DW182" s="584">
        <v>258.22199999999998</v>
      </c>
      <c r="DX182" s="584">
        <v>88.2</v>
      </c>
      <c r="DY182" s="584">
        <v>331.18650000000002</v>
      </c>
      <c r="DZ182" s="584">
        <v>184.8</v>
      </c>
      <c r="EA182" s="1062">
        <v>0.56340000000000001</v>
      </c>
      <c r="EB182" s="1046">
        <v>0.2</v>
      </c>
      <c r="EC182" s="1093">
        <v>132.51783893985726</v>
      </c>
      <c r="ED182" s="1046">
        <v>0</v>
      </c>
      <c r="EE182" s="1046">
        <v>285.42303771661568</v>
      </c>
      <c r="EF182" s="1046">
        <v>15.75238095238095</v>
      </c>
      <c r="EG182" s="1046">
        <v>0</v>
      </c>
      <c r="EH182" s="1046">
        <v>0</v>
      </c>
      <c r="EI182" s="1046" t="s">
        <v>475</v>
      </c>
      <c r="EJ182" s="1046" t="s">
        <v>505</v>
      </c>
      <c r="EK182" s="1046">
        <v>0</v>
      </c>
      <c r="EL182" s="1046">
        <v>0</v>
      </c>
      <c r="EM182" s="1046">
        <v>0</v>
      </c>
      <c r="EN182" s="1046">
        <v>0</v>
      </c>
      <c r="EO182" s="1046">
        <v>0</v>
      </c>
      <c r="EP182" s="1094">
        <v>53.072574000000003</v>
      </c>
      <c r="EQ182" s="1094">
        <v>42</v>
      </c>
      <c r="ER182" s="1094">
        <v>106.14514800000001</v>
      </c>
      <c r="ES182" s="1095">
        <v>84</v>
      </c>
      <c r="ET182" s="1094">
        <v>212.29029600000001</v>
      </c>
      <c r="EU182" s="1094">
        <v>168</v>
      </c>
      <c r="EV182" s="1096">
        <v>0.60460000000000003</v>
      </c>
      <c r="EW182" s="1097">
        <v>0.15</v>
      </c>
      <c r="EX182" s="1096">
        <v>289.50050968399592</v>
      </c>
      <c r="EY182" s="1096">
        <v>1.5443934760448521</v>
      </c>
      <c r="EZ182" s="1096">
        <v>0</v>
      </c>
      <c r="FA182" s="1096">
        <v>15.259523809523806</v>
      </c>
      <c r="FB182" s="1098">
        <v>0</v>
      </c>
      <c r="FC182" s="1098">
        <v>0</v>
      </c>
      <c r="FD182" s="1098" t="s">
        <v>459</v>
      </c>
      <c r="FE182" s="1098" t="s">
        <v>490</v>
      </c>
      <c r="FF182" s="1098">
        <v>1</v>
      </c>
      <c r="FG182" s="1098">
        <v>0</v>
      </c>
      <c r="FH182" s="1098">
        <v>0</v>
      </c>
      <c r="FI182" s="1098">
        <v>0</v>
      </c>
      <c r="FJ182" s="1098">
        <v>0</v>
      </c>
      <c r="FK182" s="1096">
        <v>41.105887500000001</v>
      </c>
      <c r="FL182" s="1096">
        <v>42</v>
      </c>
      <c r="FM182" s="1096">
        <v>82.211775000000003</v>
      </c>
      <c r="FN182" s="1096">
        <v>84</v>
      </c>
      <c r="FO182" s="1096">
        <v>164.42355000000001</v>
      </c>
      <c r="FP182" s="1099">
        <v>168</v>
      </c>
      <c r="FQ182" s="1064">
        <v>0.64195999999999998</v>
      </c>
      <c r="FR182" s="1065">
        <v>0.15</v>
      </c>
      <c r="FS182" s="1066">
        <v>289.50050968399586</v>
      </c>
      <c r="FT182" s="1066">
        <v>3.2237153637237084</v>
      </c>
      <c r="FU182" s="1065"/>
      <c r="FV182" s="1066">
        <v>34.813134433856376</v>
      </c>
      <c r="FW182" s="1065"/>
      <c r="FX182" s="1065"/>
      <c r="FY182" s="1065" t="s">
        <v>481</v>
      </c>
      <c r="FZ182" s="1065" t="s">
        <v>490</v>
      </c>
      <c r="GA182" s="1065">
        <v>1</v>
      </c>
      <c r="GB182" s="1065"/>
      <c r="GC182" s="1065"/>
      <c r="GD182" s="1065"/>
      <c r="GE182" s="1065"/>
      <c r="GF182" s="1066">
        <v>42.137985713399729</v>
      </c>
      <c r="GG182" s="1066">
        <v>42</v>
      </c>
      <c r="GH182" s="1066">
        <v>84.275971426799458</v>
      </c>
      <c r="GI182" s="1066">
        <v>84</v>
      </c>
      <c r="GJ182" s="1066">
        <v>168.55194285359892</v>
      </c>
      <c r="GK182" s="1066">
        <v>168</v>
      </c>
      <c r="GL182" s="584">
        <v>0.55979999999999996</v>
      </c>
      <c r="GM182" s="584">
        <v>0.11</v>
      </c>
      <c r="GN182" s="584"/>
      <c r="GO182" s="584"/>
      <c r="GP182" s="584"/>
      <c r="GQ182" s="584">
        <v>23.004761904761899</v>
      </c>
      <c r="GR182" s="584"/>
      <c r="GS182" s="584">
        <v>56.065239551478101</v>
      </c>
      <c r="GT182" s="584" t="s">
        <v>473</v>
      </c>
      <c r="GU182" s="584" t="s">
        <v>461</v>
      </c>
      <c r="GV182" s="584">
        <v>1</v>
      </c>
      <c r="GW182" s="584"/>
      <c r="GX182" s="584"/>
      <c r="GY182" s="584"/>
      <c r="GZ182" s="584"/>
      <c r="HA182" s="584">
        <v>16.544605499999999</v>
      </c>
      <c r="HB182" s="584">
        <v>42</v>
      </c>
      <c r="HC182" s="584">
        <v>33.089210999999999</v>
      </c>
      <c r="HD182" s="584">
        <v>84</v>
      </c>
      <c r="HE182" s="584">
        <v>66.178421999999998</v>
      </c>
      <c r="HF182" s="584">
        <v>168</v>
      </c>
      <c r="HG182" s="1100">
        <v>0.71</v>
      </c>
      <c r="HH182" s="1100">
        <v>0.11</v>
      </c>
      <c r="HI182" s="1101">
        <v>0</v>
      </c>
      <c r="HJ182" s="1101">
        <v>0</v>
      </c>
      <c r="HK182" s="1101">
        <v>0</v>
      </c>
      <c r="HL182" s="1101">
        <v>0</v>
      </c>
      <c r="HM182" s="1101">
        <v>31.08</v>
      </c>
      <c r="HN182" s="1101">
        <v>54.999999999999993</v>
      </c>
      <c r="HO182" s="1101">
        <v>0</v>
      </c>
      <c r="HP182" s="1101">
        <v>0</v>
      </c>
      <c r="HQ182" s="1101">
        <v>1</v>
      </c>
      <c r="HR182" s="1101">
        <v>0.6</v>
      </c>
      <c r="HS182" s="1101">
        <v>0.52</v>
      </c>
      <c r="HT182" s="1101">
        <v>0.28000000000000003</v>
      </c>
      <c r="HU182" s="1101">
        <v>0.26</v>
      </c>
      <c r="HV182" s="1101">
        <v>17.266670399999999</v>
      </c>
      <c r="HW182" s="1101">
        <v>42</v>
      </c>
      <c r="HX182" s="1101">
        <v>34.533340799999998</v>
      </c>
      <c r="HY182" s="1101">
        <v>84</v>
      </c>
      <c r="HZ182" s="1101">
        <v>69.066681599999995</v>
      </c>
      <c r="IA182" s="1101">
        <v>168</v>
      </c>
      <c r="IB182" s="1062"/>
      <c r="ID182" s="1050"/>
      <c r="IE182" s="1050"/>
      <c r="IM182" s="1050"/>
      <c r="IN182" s="1050"/>
      <c r="IO182" s="1050"/>
      <c r="IP182" s="1050"/>
      <c r="JU182" s="1050"/>
      <c r="KC182" s="1050"/>
      <c r="KD182" s="1050"/>
      <c r="KE182" s="1050"/>
      <c r="KF182" s="1050"/>
      <c r="KN182" s="1103"/>
    </row>
    <row r="183" spans="2:300">
      <c r="B183" s="1048" t="str">
        <f t="shared" si="6"/>
        <v>E68</v>
      </c>
      <c r="C183" s="1046">
        <v>6</v>
      </c>
      <c r="D183" s="1046">
        <v>8</v>
      </c>
      <c r="E183" s="584">
        <v>0.26500000000000001</v>
      </c>
      <c r="F183" s="584">
        <v>0.26500000000000001</v>
      </c>
      <c r="G183" s="584">
        <v>636</v>
      </c>
      <c r="H183" s="584">
        <v>18.815000000000001</v>
      </c>
      <c r="I183" s="584">
        <v>0</v>
      </c>
      <c r="J183" s="584">
        <v>0</v>
      </c>
      <c r="K183" s="584">
        <v>0</v>
      </c>
      <c r="L183" s="584">
        <v>0</v>
      </c>
      <c r="M183" s="584">
        <v>0</v>
      </c>
      <c r="N183" s="584">
        <v>0</v>
      </c>
      <c r="O183" s="584">
        <v>0</v>
      </c>
      <c r="P183" s="584">
        <v>0</v>
      </c>
      <c r="Q183" s="584">
        <v>0</v>
      </c>
      <c r="R183" s="584">
        <v>0</v>
      </c>
      <c r="S183" s="584">
        <v>0</v>
      </c>
      <c r="T183" s="584">
        <v>181.7614375</v>
      </c>
      <c r="U183" s="584">
        <v>48</v>
      </c>
      <c r="V183" s="584">
        <v>296.70543750000002</v>
      </c>
      <c r="W183" s="584">
        <v>100.8</v>
      </c>
      <c r="X183" s="584">
        <v>401.03100000000001</v>
      </c>
      <c r="Y183" s="584">
        <v>211.2</v>
      </c>
      <c r="Z183" s="584">
        <v>0.22500000000000001</v>
      </c>
      <c r="AA183" s="584">
        <v>0.22500000000000001</v>
      </c>
      <c r="AB183" s="584">
        <v>540</v>
      </c>
      <c r="AC183" s="584">
        <v>16</v>
      </c>
      <c r="AD183" s="584">
        <v>0</v>
      </c>
      <c r="AE183" s="584">
        <v>0</v>
      </c>
      <c r="AF183" s="584">
        <v>0</v>
      </c>
      <c r="AG183" s="584">
        <v>0</v>
      </c>
      <c r="AH183" s="584">
        <v>0</v>
      </c>
      <c r="AI183" s="584">
        <v>0</v>
      </c>
      <c r="AJ183" s="584">
        <v>0</v>
      </c>
      <c r="AK183" s="584">
        <v>0</v>
      </c>
      <c r="AL183" s="584">
        <v>0</v>
      </c>
      <c r="AM183" s="584">
        <v>0</v>
      </c>
      <c r="AN183" s="584">
        <v>0</v>
      </c>
      <c r="AO183" s="584">
        <v>168.3214375</v>
      </c>
      <c r="AP183" s="584">
        <v>48</v>
      </c>
      <c r="AQ183" s="584">
        <v>269.82543750000002</v>
      </c>
      <c r="AR183" s="584">
        <v>100.8</v>
      </c>
      <c r="AS183" s="584">
        <v>348.23099999999999</v>
      </c>
      <c r="AT183" s="584">
        <v>211.2</v>
      </c>
      <c r="AU183" s="584">
        <v>0.45</v>
      </c>
      <c r="AV183" s="584">
        <v>0.25</v>
      </c>
      <c r="AW183" s="584">
        <v>457.63620095440098</v>
      </c>
      <c r="AX183" s="584">
        <v>20.420367179215301</v>
      </c>
      <c r="AY183" s="584">
        <v>0</v>
      </c>
      <c r="AZ183" s="584">
        <v>0</v>
      </c>
      <c r="BA183" s="584">
        <v>0</v>
      </c>
      <c r="BB183" s="584">
        <v>0</v>
      </c>
      <c r="BC183" s="584">
        <v>0</v>
      </c>
      <c r="BD183" s="584">
        <v>0</v>
      </c>
      <c r="BE183" s="584">
        <v>0</v>
      </c>
      <c r="BF183" s="584">
        <v>0</v>
      </c>
      <c r="BG183" s="584">
        <v>0.45</v>
      </c>
      <c r="BH183" s="584">
        <v>0</v>
      </c>
      <c r="BI183" s="584">
        <v>0.45</v>
      </c>
      <c r="BJ183" s="584">
        <v>163.51305487804899</v>
      </c>
      <c r="BK183" s="584">
        <v>48</v>
      </c>
      <c r="BL183" s="584">
        <v>248.88610975609799</v>
      </c>
      <c r="BM183" s="584">
        <v>100.8</v>
      </c>
      <c r="BN183" s="584">
        <v>297.21717987804902</v>
      </c>
      <c r="BO183" s="584">
        <v>211.2</v>
      </c>
      <c r="BP183" s="584">
        <v>0.45</v>
      </c>
      <c r="BQ183" s="584">
        <v>0.14499999999999999</v>
      </c>
      <c r="BR183" s="584">
        <v>435.31574761399798</v>
      </c>
      <c r="BS183" s="584">
        <v>20.980607104984099</v>
      </c>
      <c r="BT183" s="584">
        <v>0</v>
      </c>
      <c r="BU183" s="584">
        <v>0</v>
      </c>
      <c r="BV183" s="584">
        <v>0</v>
      </c>
      <c r="BW183" s="584">
        <v>0</v>
      </c>
      <c r="BX183" s="584">
        <v>0</v>
      </c>
      <c r="BY183" s="584">
        <v>0</v>
      </c>
      <c r="BZ183" s="584">
        <v>0</v>
      </c>
      <c r="CA183" s="584">
        <v>0.3</v>
      </c>
      <c r="CB183" s="584">
        <v>0.45</v>
      </c>
      <c r="CC183" s="584">
        <v>0.3</v>
      </c>
      <c r="CD183" s="584">
        <v>0.3</v>
      </c>
      <c r="CE183" s="584">
        <v>163.53385</v>
      </c>
      <c r="CF183" s="584">
        <v>48</v>
      </c>
      <c r="CG183" s="584">
        <v>253.07159999999999</v>
      </c>
      <c r="CH183" s="584">
        <v>100.8</v>
      </c>
      <c r="CI183" s="584">
        <v>266.47859999999997</v>
      </c>
      <c r="CJ183" s="584">
        <v>211.2</v>
      </c>
      <c r="CK183" s="584">
        <v>0.45</v>
      </c>
      <c r="CL183" s="584">
        <v>0.17499999999999999</v>
      </c>
      <c r="CM183" s="584">
        <v>475.23594909862101</v>
      </c>
      <c r="CN183" s="584">
        <v>19.839110551431599</v>
      </c>
      <c r="CO183" s="584">
        <v>0</v>
      </c>
      <c r="CP183" s="584">
        <v>0</v>
      </c>
      <c r="CQ183" s="584">
        <v>0</v>
      </c>
      <c r="CR183" s="584">
        <v>0</v>
      </c>
      <c r="CS183" s="584">
        <v>0</v>
      </c>
      <c r="CT183" s="584">
        <v>0</v>
      </c>
      <c r="CU183" s="584">
        <v>0</v>
      </c>
      <c r="CV183" s="584">
        <v>0</v>
      </c>
      <c r="CW183" s="584">
        <v>0.45</v>
      </c>
      <c r="CX183" s="584">
        <v>0</v>
      </c>
      <c r="CY183" s="584">
        <v>0.45</v>
      </c>
      <c r="CZ183" s="584">
        <v>167.91175000000001</v>
      </c>
      <c r="DA183" s="584">
        <v>48</v>
      </c>
      <c r="DB183" s="584">
        <v>254.49074999999999</v>
      </c>
      <c r="DC183" s="584">
        <v>100.8</v>
      </c>
      <c r="DD183" s="584">
        <v>306.31274999999999</v>
      </c>
      <c r="DE183" s="584">
        <v>211.2</v>
      </c>
      <c r="DF183" s="584">
        <v>0.35</v>
      </c>
      <c r="DG183" s="584">
        <v>0.2</v>
      </c>
      <c r="DH183" s="584">
        <v>335.154758748674</v>
      </c>
      <c r="DI183" s="584">
        <v>19.7152363467656</v>
      </c>
      <c r="DJ183" s="584">
        <v>300</v>
      </c>
      <c r="DK183" s="584">
        <v>0</v>
      </c>
      <c r="DL183" s="584">
        <v>0</v>
      </c>
      <c r="DM183" s="584">
        <v>0</v>
      </c>
      <c r="DN183" s="584">
        <v>0</v>
      </c>
      <c r="DO183" s="584">
        <v>0</v>
      </c>
      <c r="DP183" s="584">
        <v>0</v>
      </c>
      <c r="DQ183" s="584">
        <v>0</v>
      </c>
      <c r="DR183" s="584">
        <v>0.35</v>
      </c>
      <c r="DS183" s="584">
        <v>0</v>
      </c>
      <c r="DT183" s="584">
        <v>2.4</v>
      </c>
      <c r="DU183" s="584">
        <v>163.05924999999999</v>
      </c>
      <c r="DV183" s="584">
        <v>48</v>
      </c>
      <c r="DW183" s="584">
        <v>281.79975000000002</v>
      </c>
      <c r="DX183" s="584">
        <v>100.8</v>
      </c>
      <c r="DY183" s="584">
        <v>377.26650000000001</v>
      </c>
      <c r="DZ183" s="584">
        <v>211.2</v>
      </c>
      <c r="EA183" s="1062">
        <v>0.66279999999999994</v>
      </c>
      <c r="EB183" s="1046">
        <v>0.25</v>
      </c>
      <c r="EC183" s="1093">
        <v>132.51783893985731</v>
      </c>
      <c r="ED183" s="1046">
        <v>0</v>
      </c>
      <c r="EE183" s="1046">
        <v>346.58511722731902</v>
      </c>
      <c r="EF183" s="1046">
        <v>18.275000000000002</v>
      </c>
      <c r="EG183" s="1046">
        <v>0</v>
      </c>
      <c r="EH183" s="1046">
        <v>0</v>
      </c>
      <c r="EI183" s="1046" t="s">
        <v>465</v>
      </c>
      <c r="EJ183" s="1046" t="s">
        <v>486</v>
      </c>
      <c r="EK183" s="1046">
        <v>0</v>
      </c>
      <c r="EL183" s="1046">
        <v>0</v>
      </c>
      <c r="EM183" s="1046">
        <v>0</v>
      </c>
      <c r="EN183" s="1046">
        <v>0</v>
      </c>
      <c r="EO183" s="1046">
        <v>0</v>
      </c>
      <c r="EP183" s="1094">
        <v>68.151333000000008</v>
      </c>
      <c r="EQ183" s="1094">
        <v>48</v>
      </c>
      <c r="ER183" s="1094">
        <v>136.30266600000002</v>
      </c>
      <c r="ES183" s="1095">
        <v>96</v>
      </c>
      <c r="ET183" s="1094">
        <v>272.60533200000003</v>
      </c>
      <c r="EU183" s="1094">
        <v>192</v>
      </c>
      <c r="EV183" s="1096">
        <v>0.61199999999999999</v>
      </c>
      <c r="EW183" s="1097">
        <v>0.15</v>
      </c>
      <c r="EX183" s="1096">
        <v>289.50050968399592</v>
      </c>
      <c r="EY183" s="1096">
        <v>1.5443934760448521</v>
      </c>
      <c r="EZ183" s="1096">
        <v>0</v>
      </c>
      <c r="FA183" s="1096">
        <v>16.775000000000002</v>
      </c>
      <c r="FB183" s="1098">
        <v>0</v>
      </c>
      <c r="FC183" s="1098">
        <v>0</v>
      </c>
      <c r="FD183" s="1098" t="s">
        <v>456</v>
      </c>
      <c r="FE183" s="1098" t="s">
        <v>481</v>
      </c>
      <c r="FF183" s="1098">
        <v>1</v>
      </c>
      <c r="FG183" s="1098">
        <v>0</v>
      </c>
      <c r="FH183" s="1098">
        <v>0</v>
      </c>
      <c r="FI183" s="1098">
        <v>0</v>
      </c>
      <c r="FJ183" s="1098">
        <v>0</v>
      </c>
      <c r="FK183" s="1096">
        <v>47.156559000000001</v>
      </c>
      <c r="FL183" s="1096">
        <v>48</v>
      </c>
      <c r="FM183" s="1096">
        <v>94.313118000000003</v>
      </c>
      <c r="FN183" s="1096">
        <v>96</v>
      </c>
      <c r="FO183" s="1096">
        <v>188.62623600000001</v>
      </c>
      <c r="FP183" s="1099">
        <v>192</v>
      </c>
      <c r="FQ183" s="1064">
        <v>0.64700000000000002</v>
      </c>
      <c r="FR183" s="1065">
        <v>0.15</v>
      </c>
      <c r="FS183" s="1066">
        <v>289.50050968399586</v>
      </c>
      <c r="FT183" s="1066">
        <v>3.2237153637237084</v>
      </c>
      <c r="FU183" s="1065"/>
      <c r="FV183" s="1066">
        <v>34.604457961442407</v>
      </c>
      <c r="FW183" s="1065"/>
      <c r="FX183" s="1065"/>
      <c r="FY183" s="1065" t="s">
        <v>479</v>
      </c>
      <c r="FZ183" s="1065" t="s">
        <v>490</v>
      </c>
      <c r="GA183" s="1065">
        <v>1</v>
      </c>
      <c r="GB183" s="1065"/>
      <c r="GC183" s="1065"/>
      <c r="GD183" s="1065"/>
      <c r="GE183" s="1065"/>
      <c r="GF183" s="1066">
        <v>48.133132563838558</v>
      </c>
      <c r="GG183" s="1066">
        <v>48</v>
      </c>
      <c r="GH183" s="1066">
        <v>96.266265127677116</v>
      </c>
      <c r="GI183" s="1066">
        <v>96</v>
      </c>
      <c r="GJ183" s="1066">
        <v>192.53253025535423</v>
      </c>
      <c r="GK183" s="1066">
        <v>192</v>
      </c>
      <c r="GL183" s="584">
        <v>0.55979999999999996</v>
      </c>
      <c r="GM183" s="584">
        <v>0.11</v>
      </c>
      <c r="GN183" s="584"/>
      <c r="GO183" s="584"/>
      <c r="GP183" s="584"/>
      <c r="GQ183" s="584">
        <v>23.970833333333299</v>
      </c>
      <c r="GR183" s="584"/>
      <c r="GS183" s="584">
        <v>56.065239551478101</v>
      </c>
      <c r="GT183" s="584" t="s">
        <v>461</v>
      </c>
      <c r="GU183" s="584" t="s">
        <v>461</v>
      </c>
      <c r="GV183" s="584">
        <v>1</v>
      </c>
      <c r="GW183" s="584"/>
      <c r="GX183" s="584"/>
      <c r="GY183" s="584"/>
      <c r="GZ183" s="584"/>
      <c r="HA183" s="584">
        <v>19.021846499999999</v>
      </c>
      <c r="HB183" s="584">
        <v>48</v>
      </c>
      <c r="HC183" s="584">
        <v>38.043692999999998</v>
      </c>
      <c r="HD183" s="584">
        <v>96</v>
      </c>
      <c r="HE183" s="584">
        <v>76.087385999999995</v>
      </c>
      <c r="HF183" s="584">
        <v>192</v>
      </c>
      <c r="HG183" s="1100">
        <v>0.75</v>
      </c>
      <c r="HH183" s="1100">
        <v>0.11</v>
      </c>
      <c r="HI183" s="1101">
        <v>0</v>
      </c>
      <c r="HJ183" s="1101">
        <v>0</v>
      </c>
      <c r="HK183" s="1101">
        <v>0</v>
      </c>
      <c r="HL183" s="1101">
        <v>0</v>
      </c>
      <c r="HM183" s="1101">
        <v>37.08</v>
      </c>
      <c r="HN183" s="1101">
        <v>54.999999999999993</v>
      </c>
      <c r="HO183" s="1101">
        <v>0</v>
      </c>
      <c r="HP183" s="1101">
        <v>0</v>
      </c>
      <c r="HQ183" s="1101">
        <v>1</v>
      </c>
      <c r="HR183" s="1101">
        <v>0.64</v>
      </c>
      <c r="HS183" s="1101">
        <v>0.6</v>
      </c>
      <c r="HT183" s="1101">
        <v>0.28000000000000003</v>
      </c>
      <c r="HU183" s="1101">
        <v>0.3</v>
      </c>
      <c r="HV183" s="1101">
        <v>20.4396576</v>
      </c>
      <c r="HW183" s="1101">
        <v>48</v>
      </c>
      <c r="HX183" s="1101">
        <v>40.879315200000001</v>
      </c>
      <c r="HY183" s="1101">
        <v>96</v>
      </c>
      <c r="HZ183" s="1101">
        <v>81.758630400000001</v>
      </c>
      <c r="IA183" s="1101">
        <v>192</v>
      </c>
      <c r="IB183" s="1062"/>
      <c r="ID183" s="1050"/>
      <c r="IE183" s="1050"/>
      <c r="IM183" s="1050"/>
      <c r="IN183" s="1050"/>
      <c r="IO183" s="1050"/>
      <c r="IP183" s="1050"/>
      <c r="JU183" s="1050"/>
      <c r="KC183" s="1050"/>
      <c r="KD183" s="1050"/>
      <c r="KE183" s="1050"/>
      <c r="KF183" s="1050"/>
      <c r="KN183" s="1103"/>
    </row>
    <row r="184" spans="2:300">
      <c r="B184" s="1048" t="str">
        <f t="shared" si="6"/>
        <v>E69</v>
      </c>
      <c r="C184" s="1046">
        <v>6</v>
      </c>
      <c r="D184" s="1046">
        <v>9</v>
      </c>
      <c r="E184" s="584">
        <v>0.31</v>
      </c>
      <c r="F184" s="584">
        <v>0.31</v>
      </c>
      <c r="G184" s="584">
        <v>744</v>
      </c>
      <c r="H184" s="584">
        <v>19.84</v>
      </c>
      <c r="I184" s="584">
        <v>0</v>
      </c>
      <c r="J184" s="584">
        <v>0</v>
      </c>
      <c r="K184" s="584">
        <v>0</v>
      </c>
      <c r="L184" s="584">
        <v>0</v>
      </c>
      <c r="M184" s="584">
        <v>0</v>
      </c>
      <c r="N184" s="584">
        <v>0</v>
      </c>
      <c r="O184" s="584">
        <v>0</v>
      </c>
      <c r="P184" s="584">
        <v>0</v>
      </c>
      <c r="Q184" s="584">
        <v>0</v>
      </c>
      <c r="R184" s="584">
        <v>0</v>
      </c>
      <c r="S184" s="584">
        <v>0</v>
      </c>
      <c r="T184" s="584">
        <v>216.0414375</v>
      </c>
      <c r="U184" s="584">
        <v>54</v>
      </c>
      <c r="V184" s="584">
        <v>367.18143750000002</v>
      </c>
      <c r="W184" s="584">
        <v>113.4</v>
      </c>
      <c r="X184" s="584">
        <v>516.86099999999999</v>
      </c>
      <c r="Y184" s="584">
        <v>237.6</v>
      </c>
      <c r="Z184" s="584">
        <v>0.255</v>
      </c>
      <c r="AA184" s="584">
        <v>0.255</v>
      </c>
      <c r="AB184" s="584">
        <v>612</v>
      </c>
      <c r="AC184" s="584">
        <v>17</v>
      </c>
      <c r="AD184" s="584">
        <v>0</v>
      </c>
      <c r="AE184" s="584">
        <v>0</v>
      </c>
      <c r="AF184" s="584">
        <v>0</v>
      </c>
      <c r="AG184" s="584">
        <v>0</v>
      </c>
      <c r="AH184" s="584">
        <v>0</v>
      </c>
      <c r="AI184" s="584">
        <v>0</v>
      </c>
      <c r="AJ184" s="584">
        <v>0</v>
      </c>
      <c r="AK184" s="584">
        <v>0</v>
      </c>
      <c r="AL184" s="584">
        <v>0</v>
      </c>
      <c r="AM184" s="584">
        <v>0</v>
      </c>
      <c r="AN184" s="584">
        <v>0</v>
      </c>
      <c r="AO184" s="584">
        <v>195.36143749999999</v>
      </c>
      <c r="AP184" s="584">
        <v>54</v>
      </c>
      <c r="AQ184" s="584">
        <v>325.60143749999997</v>
      </c>
      <c r="AR184" s="584">
        <v>113.4</v>
      </c>
      <c r="AS184" s="584">
        <v>435.18599999999998</v>
      </c>
      <c r="AT184" s="584">
        <v>237.6</v>
      </c>
      <c r="AU184" s="584">
        <v>0.55000000000000004</v>
      </c>
      <c r="AV184" s="584">
        <v>0.25</v>
      </c>
      <c r="AW184" s="584">
        <v>463.25720699432901</v>
      </c>
      <c r="AX184" s="584">
        <v>20.799592391304401</v>
      </c>
      <c r="AY184" s="584">
        <v>0</v>
      </c>
      <c r="AZ184" s="584">
        <v>0</v>
      </c>
      <c r="BA184" s="584">
        <v>0</v>
      </c>
      <c r="BB184" s="584">
        <v>0</v>
      </c>
      <c r="BC184" s="584">
        <v>0</v>
      </c>
      <c r="BD184" s="584">
        <v>0</v>
      </c>
      <c r="BE184" s="584">
        <v>0</v>
      </c>
      <c r="BF184" s="584">
        <v>0</v>
      </c>
      <c r="BG184" s="584">
        <v>0.55000000000000004</v>
      </c>
      <c r="BH184" s="584">
        <v>0</v>
      </c>
      <c r="BI184" s="584">
        <v>0.45</v>
      </c>
      <c r="BJ184" s="584">
        <v>179.81662499999999</v>
      </c>
      <c r="BK184" s="584">
        <v>54</v>
      </c>
      <c r="BL184" s="584">
        <v>279.70818750000001</v>
      </c>
      <c r="BM184" s="584">
        <v>113.4</v>
      </c>
      <c r="BN184" s="584">
        <v>335.24254687500002</v>
      </c>
      <c r="BO184" s="584">
        <v>237.6</v>
      </c>
      <c r="BP184" s="584">
        <v>0.55000000000000004</v>
      </c>
      <c r="BQ184" s="584">
        <v>0.14499999999999999</v>
      </c>
      <c r="BR184" s="584">
        <v>431.096880907372</v>
      </c>
      <c r="BS184" s="584">
        <v>24.392707939508501</v>
      </c>
      <c r="BT184" s="584">
        <v>0</v>
      </c>
      <c r="BU184" s="584">
        <v>0</v>
      </c>
      <c r="BV184" s="584">
        <v>0</v>
      </c>
      <c r="BW184" s="584">
        <v>0</v>
      </c>
      <c r="BX184" s="584">
        <v>0</v>
      </c>
      <c r="BY184" s="584">
        <v>0</v>
      </c>
      <c r="BZ184" s="584">
        <v>0</v>
      </c>
      <c r="CA184" s="584">
        <v>0.3</v>
      </c>
      <c r="CB184" s="584">
        <v>0.55000000000000004</v>
      </c>
      <c r="CC184" s="584">
        <v>0.3</v>
      </c>
      <c r="CD184" s="584">
        <v>0.3</v>
      </c>
      <c r="CE184" s="584">
        <v>174.1071</v>
      </c>
      <c r="CF184" s="584">
        <v>54</v>
      </c>
      <c r="CG184" s="584">
        <v>272.32897500000001</v>
      </c>
      <c r="CH184" s="584">
        <v>113.4</v>
      </c>
      <c r="CI184" s="584">
        <v>304.25310000000002</v>
      </c>
      <c r="CJ184" s="584">
        <v>237.6</v>
      </c>
      <c r="CK184" s="584">
        <v>0.55000000000000004</v>
      </c>
      <c r="CL184" s="584">
        <v>0.17499999999999999</v>
      </c>
      <c r="CM184" s="584">
        <v>488.24964555765598</v>
      </c>
      <c r="CN184" s="584">
        <v>20.320556179111499</v>
      </c>
      <c r="CO184" s="584">
        <v>0</v>
      </c>
      <c r="CP184" s="584">
        <v>0</v>
      </c>
      <c r="CQ184" s="584">
        <v>0</v>
      </c>
      <c r="CR184" s="584">
        <v>0</v>
      </c>
      <c r="CS184" s="584">
        <v>0</v>
      </c>
      <c r="CT184" s="584">
        <v>0</v>
      </c>
      <c r="CU184" s="584">
        <v>0</v>
      </c>
      <c r="CV184" s="584">
        <v>0</v>
      </c>
      <c r="CW184" s="584">
        <v>0.55000000000000004</v>
      </c>
      <c r="CX184" s="584">
        <v>0</v>
      </c>
      <c r="CY184" s="584">
        <v>0.6</v>
      </c>
      <c r="CZ184" s="584">
        <v>184.12406250000001</v>
      </c>
      <c r="DA184" s="584">
        <v>54</v>
      </c>
      <c r="DB184" s="584">
        <v>287.12812500000001</v>
      </c>
      <c r="DC184" s="584">
        <v>113.4</v>
      </c>
      <c r="DD184" s="584">
        <v>353.44349999999997</v>
      </c>
      <c r="DE184" s="584">
        <v>237.6</v>
      </c>
      <c r="DF184" s="584">
        <v>0.35</v>
      </c>
      <c r="DG184" s="584">
        <v>0.2</v>
      </c>
      <c r="DH184" s="584">
        <v>343.74793241966</v>
      </c>
      <c r="DI184" s="584">
        <v>18.943098180529301</v>
      </c>
      <c r="DJ184" s="584">
        <v>300</v>
      </c>
      <c r="DK184" s="584">
        <v>0</v>
      </c>
      <c r="DL184" s="584">
        <v>0</v>
      </c>
      <c r="DM184" s="584">
        <v>0</v>
      </c>
      <c r="DN184" s="584">
        <v>0</v>
      </c>
      <c r="DO184" s="584">
        <v>0</v>
      </c>
      <c r="DP184" s="584">
        <v>0</v>
      </c>
      <c r="DQ184" s="584">
        <v>0</v>
      </c>
      <c r="DR184" s="584">
        <v>0.35</v>
      </c>
      <c r="DS184" s="584">
        <v>0</v>
      </c>
      <c r="DT184" s="584">
        <v>2.4</v>
      </c>
      <c r="DU184" s="584">
        <v>181.50299999999999</v>
      </c>
      <c r="DV184" s="584">
        <v>54</v>
      </c>
      <c r="DW184" s="584">
        <v>305.25599999999997</v>
      </c>
      <c r="DX184" s="584">
        <v>113.4</v>
      </c>
      <c r="DY184" s="584">
        <v>423.34649999999999</v>
      </c>
      <c r="DZ184" s="584">
        <v>237.6</v>
      </c>
      <c r="EA184" s="1062">
        <v>0.71720000000000006</v>
      </c>
      <c r="EB184" s="1046">
        <v>0.3</v>
      </c>
      <c r="EC184" s="1093">
        <v>132.51783893985731</v>
      </c>
      <c r="ED184" s="1046">
        <v>0</v>
      </c>
      <c r="EE184" s="1046">
        <v>397.55351681957183</v>
      </c>
      <c r="EF184" s="1046">
        <v>20.661111111111108</v>
      </c>
      <c r="EG184" s="1046">
        <v>0</v>
      </c>
      <c r="EH184" s="1046">
        <v>0</v>
      </c>
      <c r="EI184" s="1046" t="s">
        <v>463</v>
      </c>
      <c r="EJ184" s="1046" t="s">
        <v>475</v>
      </c>
      <c r="EK184" s="1046">
        <v>0</v>
      </c>
      <c r="EL184" s="1046">
        <v>0</v>
      </c>
      <c r="EM184" s="1046">
        <v>0</v>
      </c>
      <c r="EN184" s="1046">
        <v>0</v>
      </c>
      <c r="EO184" s="1046">
        <v>0</v>
      </c>
      <c r="EP184" s="1094">
        <v>83.736254250000002</v>
      </c>
      <c r="EQ184" s="1094">
        <v>54</v>
      </c>
      <c r="ER184" s="1094">
        <v>167.4725085</v>
      </c>
      <c r="ES184" s="1095">
        <v>108</v>
      </c>
      <c r="ET184" s="1094">
        <v>334.94501700000001</v>
      </c>
      <c r="EU184" s="1094">
        <v>216</v>
      </c>
      <c r="EV184" s="1096">
        <v>0.60699999999999998</v>
      </c>
      <c r="EW184" s="1097">
        <v>0.15</v>
      </c>
      <c r="EX184" s="1096">
        <v>289.50050968399592</v>
      </c>
      <c r="EY184" s="1096">
        <v>1.5443934760448521</v>
      </c>
      <c r="EZ184" s="1096">
        <v>0</v>
      </c>
      <c r="FA184" s="1096">
        <v>15.755555555555555</v>
      </c>
      <c r="FB184" s="1098">
        <v>0</v>
      </c>
      <c r="FC184" s="1098">
        <v>0</v>
      </c>
      <c r="FD184" s="1098" t="s">
        <v>450</v>
      </c>
      <c r="FE184" s="1098" t="s">
        <v>481</v>
      </c>
      <c r="FF184" s="1098">
        <v>1</v>
      </c>
      <c r="FG184" s="1098">
        <v>0</v>
      </c>
      <c r="FH184" s="1098">
        <v>0</v>
      </c>
      <c r="FI184" s="1098">
        <v>0</v>
      </c>
      <c r="FJ184" s="1098">
        <v>0</v>
      </c>
      <c r="FK184" s="1096">
        <v>52.91611875000001</v>
      </c>
      <c r="FL184" s="1096">
        <v>54</v>
      </c>
      <c r="FM184" s="1096">
        <v>105.83223750000002</v>
      </c>
      <c r="FN184" s="1096">
        <v>108</v>
      </c>
      <c r="FO184" s="1096">
        <v>211.66447500000004</v>
      </c>
      <c r="FP184" s="1099">
        <v>216</v>
      </c>
      <c r="FQ184" s="1064">
        <v>0.77972000000000008</v>
      </c>
      <c r="FR184" s="1065">
        <v>0.15</v>
      </c>
      <c r="FS184" s="1066">
        <v>289.50050968399586</v>
      </c>
      <c r="FT184" s="1066">
        <v>3.2237153637237084</v>
      </c>
      <c r="FU184" s="1065"/>
      <c r="FV184" s="1066">
        <v>35.603490419521329</v>
      </c>
      <c r="FW184" s="1065"/>
      <c r="FX184" s="1065"/>
      <c r="FY184" s="1065" t="s">
        <v>461</v>
      </c>
      <c r="FZ184" s="1065" t="s">
        <v>481</v>
      </c>
      <c r="GA184" s="1065">
        <v>1</v>
      </c>
      <c r="GB184" s="1065"/>
      <c r="GC184" s="1065"/>
      <c r="GD184" s="1065"/>
      <c r="GE184" s="1065"/>
      <c r="GF184" s="1066">
        <v>54.28208099790406</v>
      </c>
      <c r="GG184" s="1066">
        <v>54</v>
      </c>
      <c r="GH184" s="1066">
        <v>108.56416199580812</v>
      </c>
      <c r="GI184" s="1066">
        <v>108</v>
      </c>
      <c r="GJ184" s="1066">
        <v>217.12832399161624</v>
      </c>
      <c r="GK184" s="1066">
        <v>216</v>
      </c>
      <c r="GL184" s="584">
        <v>0.63470000000000004</v>
      </c>
      <c r="GM184" s="584">
        <v>0.11</v>
      </c>
      <c r="GN184" s="584"/>
      <c r="GO184" s="584"/>
      <c r="GP184" s="584"/>
      <c r="GQ184" s="584">
        <v>27.711111111111101</v>
      </c>
      <c r="GR184" s="584"/>
      <c r="GS184" s="584">
        <v>56.065239551478101</v>
      </c>
      <c r="GT184" s="584" t="s">
        <v>461</v>
      </c>
      <c r="GU184" s="584" t="s">
        <v>438</v>
      </c>
      <c r="GV184" s="584">
        <v>1</v>
      </c>
      <c r="GW184" s="584"/>
      <c r="GX184" s="584"/>
      <c r="GY184" s="584"/>
      <c r="GZ184" s="584"/>
      <c r="HA184" s="584">
        <v>21.894921</v>
      </c>
      <c r="HB184" s="584">
        <v>54</v>
      </c>
      <c r="HC184" s="584">
        <v>43.789842</v>
      </c>
      <c r="HD184" s="584">
        <v>108</v>
      </c>
      <c r="HE184" s="584">
        <v>87.579684</v>
      </c>
      <c r="HF184" s="584">
        <v>216</v>
      </c>
      <c r="HG184" s="1100">
        <v>0.83</v>
      </c>
      <c r="HH184" s="1100">
        <v>0.11</v>
      </c>
      <c r="HI184" s="1101">
        <v>0</v>
      </c>
      <c r="HJ184" s="1101">
        <v>0</v>
      </c>
      <c r="HK184" s="1101">
        <v>0</v>
      </c>
      <c r="HL184" s="1101">
        <v>0</v>
      </c>
      <c r="HM184" s="1101">
        <v>39.760000000000005</v>
      </c>
      <c r="HN184" s="1101">
        <v>54.999999999999993</v>
      </c>
      <c r="HO184" s="1101">
        <v>0</v>
      </c>
      <c r="HP184" s="1101">
        <v>0</v>
      </c>
      <c r="HQ184" s="1101">
        <v>1</v>
      </c>
      <c r="HR184" s="1101">
        <v>0.68</v>
      </c>
      <c r="HS184" s="1101">
        <v>0.72</v>
      </c>
      <c r="HT184" s="1101">
        <v>0.28000000000000003</v>
      </c>
      <c r="HU184" s="1101">
        <v>0.28000000000000003</v>
      </c>
      <c r="HV184" s="1101">
        <v>23.349540600000001</v>
      </c>
      <c r="HW184" s="1101">
        <v>54</v>
      </c>
      <c r="HX184" s="1101">
        <v>46.699081200000002</v>
      </c>
      <c r="HY184" s="1101">
        <v>108</v>
      </c>
      <c r="HZ184" s="1101">
        <v>93.398162400000004</v>
      </c>
      <c r="IA184" s="1101">
        <v>216</v>
      </c>
      <c r="IB184" s="1062"/>
      <c r="ID184" s="1050"/>
      <c r="IE184" s="1050"/>
      <c r="IM184" s="1050"/>
      <c r="IN184" s="1050"/>
      <c r="IO184" s="1050"/>
      <c r="IP184" s="1050"/>
      <c r="JU184" s="1050"/>
      <c r="KC184" s="1050"/>
      <c r="KD184" s="1050"/>
      <c r="KE184" s="1050"/>
      <c r="KF184" s="1050"/>
      <c r="KN184" s="1103"/>
    </row>
    <row r="185" spans="2:300">
      <c r="B185" s="1048" t="str">
        <f t="shared" si="6"/>
        <v>E610</v>
      </c>
      <c r="C185" s="1046">
        <v>6</v>
      </c>
      <c r="D185" s="1092">
        <v>10</v>
      </c>
      <c r="E185" s="584">
        <v>0.375</v>
      </c>
      <c r="F185" s="584">
        <v>0.375</v>
      </c>
      <c r="G185" s="584">
        <v>900</v>
      </c>
      <c r="H185" s="584">
        <v>21</v>
      </c>
      <c r="I185" s="584">
        <v>0</v>
      </c>
      <c r="J185" s="584">
        <v>0</v>
      </c>
      <c r="K185" s="584">
        <v>0</v>
      </c>
      <c r="L185" s="584">
        <v>0</v>
      </c>
      <c r="M185" s="584">
        <v>0</v>
      </c>
      <c r="N185" s="584">
        <v>0</v>
      </c>
      <c r="O185" s="584">
        <v>0</v>
      </c>
      <c r="P185" s="584">
        <v>0</v>
      </c>
      <c r="Q185" s="584">
        <v>0</v>
      </c>
      <c r="R185" s="584">
        <v>0</v>
      </c>
      <c r="S185" s="584">
        <v>0</v>
      </c>
      <c r="T185" s="584">
        <v>262.24143750000002</v>
      </c>
      <c r="U185" s="584">
        <v>60</v>
      </c>
      <c r="V185" s="584">
        <v>462.01743750000003</v>
      </c>
      <c r="W185" s="584">
        <v>126</v>
      </c>
      <c r="X185" s="584">
        <v>680.54100000000005</v>
      </c>
      <c r="Y185" s="584">
        <v>264</v>
      </c>
      <c r="Z185" s="584">
        <v>0.28499999999999998</v>
      </c>
      <c r="AA185" s="584">
        <v>0.28499999999999998</v>
      </c>
      <c r="AB185" s="584">
        <v>684</v>
      </c>
      <c r="AC185" s="584">
        <v>17</v>
      </c>
      <c r="AD185" s="584">
        <v>0</v>
      </c>
      <c r="AE185" s="584">
        <v>0</v>
      </c>
      <c r="AF185" s="584">
        <v>0</v>
      </c>
      <c r="AG185" s="584">
        <v>0</v>
      </c>
      <c r="AH185" s="584">
        <v>0</v>
      </c>
      <c r="AI185" s="584">
        <v>0</v>
      </c>
      <c r="AJ185" s="584">
        <v>0</v>
      </c>
      <c r="AK185" s="584">
        <v>0</v>
      </c>
      <c r="AL185" s="584">
        <v>0</v>
      </c>
      <c r="AM185" s="584">
        <v>0</v>
      </c>
      <c r="AN185" s="584">
        <v>0</v>
      </c>
      <c r="AO185" s="584">
        <v>224.80143749999999</v>
      </c>
      <c r="AP185" s="584">
        <v>60</v>
      </c>
      <c r="AQ185" s="584">
        <v>386.41743750000001</v>
      </c>
      <c r="AR185" s="584">
        <v>126</v>
      </c>
      <c r="AS185" s="584">
        <v>532.04100000000005</v>
      </c>
      <c r="AT185" s="584">
        <v>264</v>
      </c>
      <c r="AU185" s="584">
        <v>0.625</v>
      </c>
      <c r="AV185" s="584">
        <v>0.25</v>
      </c>
      <c r="AW185" s="584">
        <v>482.55858375959099</v>
      </c>
      <c r="AX185" s="584">
        <v>20.778612531969301</v>
      </c>
      <c r="AY185" s="584">
        <v>0</v>
      </c>
      <c r="AZ185" s="584">
        <v>0</v>
      </c>
      <c r="BA185" s="584">
        <v>0</v>
      </c>
      <c r="BB185" s="584">
        <v>0</v>
      </c>
      <c r="BC185" s="584">
        <v>0</v>
      </c>
      <c r="BD185" s="584">
        <v>0</v>
      </c>
      <c r="BE185" s="584">
        <v>0</v>
      </c>
      <c r="BF185" s="584">
        <v>0</v>
      </c>
      <c r="BG185" s="584">
        <v>0.625</v>
      </c>
      <c r="BH185" s="584">
        <v>0</v>
      </c>
      <c r="BI185" s="584">
        <v>0.45</v>
      </c>
      <c r="BJ185" s="584">
        <v>199.32411764705901</v>
      </c>
      <c r="BK185" s="584">
        <v>60</v>
      </c>
      <c r="BL185" s="584">
        <v>316.89241544117601</v>
      </c>
      <c r="BM185" s="584">
        <v>126</v>
      </c>
      <c r="BN185" s="584">
        <v>382.93409283088198</v>
      </c>
      <c r="BO185" s="584">
        <v>264</v>
      </c>
      <c r="BP185" s="584">
        <v>0</v>
      </c>
      <c r="BQ185" s="584">
        <v>0</v>
      </c>
      <c r="BR185" s="584">
        <v>0</v>
      </c>
      <c r="BS185" s="584">
        <v>0</v>
      </c>
      <c r="BT185" s="584">
        <v>0</v>
      </c>
      <c r="BU185" s="584">
        <v>0</v>
      </c>
      <c r="BV185" s="584">
        <v>0</v>
      </c>
      <c r="BW185" s="584">
        <v>0</v>
      </c>
      <c r="BX185" s="584">
        <v>0</v>
      </c>
      <c r="BY185" s="584">
        <v>0</v>
      </c>
      <c r="BZ185" s="584">
        <v>0</v>
      </c>
      <c r="CA185" s="584">
        <v>0</v>
      </c>
      <c r="CB185" s="584">
        <v>0</v>
      </c>
      <c r="CC185" s="584">
        <v>0</v>
      </c>
      <c r="CD185" s="584">
        <v>0</v>
      </c>
      <c r="CE185" s="584">
        <v>0</v>
      </c>
      <c r="CF185" s="584">
        <v>0</v>
      </c>
      <c r="CG185" s="584">
        <v>0</v>
      </c>
      <c r="CH185" s="584">
        <v>0</v>
      </c>
      <c r="CI185" s="584">
        <v>0</v>
      </c>
      <c r="CJ185" s="584">
        <v>0</v>
      </c>
      <c r="CK185" s="584">
        <v>0.8</v>
      </c>
      <c r="CL185" s="584">
        <v>0.17499999999999999</v>
      </c>
      <c r="CM185" s="584">
        <v>504.55242966751899</v>
      </c>
      <c r="CN185" s="584">
        <v>18.997682225063901</v>
      </c>
      <c r="CO185" s="584">
        <v>0</v>
      </c>
      <c r="CP185" s="584">
        <v>0</v>
      </c>
      <c r="CQ185" s="584">
        <v>0</v>
      </c>
      <c r="CR185" s="584">
        <v>0</v>
      </c>
      <c r="CS185" s="584">
        <v>0</v>
      </c>
      <c r="CT185" s="584">
        <v>0</v>
      </c>
      <c r="CU185" s="584">
        <v>0</v>
      </c>
      <c r="CV185" s="584">
        <v>0</v>
      </c>
      <c r="CW185" s="584">
        <v>0.8</v>
      </c>
      <c r="CX185" s="584">
        <v>0</v>
      </c>
      <c r="CY185" s="584">
        <v>0.6</v>
      </c>
      <c r="CZ185" s="584">
        <v>206.95625000000001</v>
      </c>
      <c r="DA185" s="584">
        <v>60</v>
      </c>
      <c r="DB185" s="584">
        <v>328.30725000000001</v>
      </c>
      <c r="DC185" s="584">
        <v>126</v>
      </c>
      <c r="DD185" s="584">
        <v>395.89724999999999</v>
      </c>
      <c r="DE185" s="584">
        <v>264</v>
      </c>
      <c r="DF185" s="584">
        <v>0.375</v>
      </c>
      <c r="DG185" s="584">
        <v>0.2</v>
      </c>
      <c r="DH185" s="584">
        <v>370.13986572890002</v>
      </c>
      <c r="DI185" s="584">
        <v>18.653242007672599</v>
      </c>
      <c r="DJ185" s="584">
        <v>300</v>
      </c>
      <c r="DK185" s="584">
        <v>0</v>
      </c>
      <c r="DL185" s="584">
        <v>0</v>
      </c>
      <c r="DM185" s="584">
        <v>0</v>
      </c>
      <c r="DN185" s="584">
        <v>0</v>
      </c>
      <c r="DO185" s="584">
        <v>0</v>
      </c>
      <c r="DP185" s="584">
        <v>0</v>
      </c>
      <c r="DQ185" s="584">
        <v>0</v>
      </c>
      <c r="DR185" s="584">
        <v>0.375</v>
      </c>
      <c r="DS185" s="584">
        <v>0</v>
      </c>
      <c r="DT185" s="584">
        <v>2.4</v>
      </c>
      <c r="DU185" s="584">
        <v>201.761</v>
      </c>
      <c r="DV185" s="584">
        <v>60</v>
      </c>
      <c r="DW185" s="584">
        <v>336.1515</v>
      </c>
      <c r="DX185" s="584">
        <v>126</v>
      </c>
      <c r="DY185" s="584">
        <v>484.36574999999999</v>
      </c>
      <c r="DZ185" s="584">
        <v>264</v>
      </c>
      <c r="EA185" s="1062">
        <v>0.76579999999999993</v>
      </c>
      <c r="EB185" s="1046">
        <v>0.3</v>
      </c>
      <c r="EC185" s="1093">
        <v>132.51783893985731</v>
      </c>
      <c r="ED185" s="1046">
        <v>0</v>
      </c>
      <c r="EE185" s="1046">
        <v>397.55351681957183</v>
      </c>
      <c r="EF185" s="1046">
        <v>20.576666666666664</v>
      </c>
      <c r="EG185" s="1046">
        <v>0</v>
      </c>
      <c r="EH185" s="1046">
        <v>0</v>
      </c>
      <c r="EI185" s="1046" t="s">
        <v>454</v>
      </c>
      <c r="EJ185" s="1046" t="s">
        <v>465</v>
      </c>
      <c r="EK185" s="1046">
        <v>0</v>
      </c>
      <c r="EL185" s="1046">
        <v>0</v>
      </c>
      <c r="EM185" s="1046">
        <v>0</v>
      </c>
      <c r="EN185" s="1046">
        <v>0</v>
      </c>
      <c r="EO185" s="1046">
        <v>0</v>
      </c>
      <c r="EP185" s="1094">
        <v>93.027856499999999</v>
      </c>
      <c r="EQ185" s="1094">
        <v>60</v>
      </c>
      <c r="ER185" s="1094">
        <v>186.055713</v>
      </c>
      <c r="ES185" s="1095">
        <v>120</v>
      </c>
      <c r="ET185" s="1094">
        <v>372.11142599999999</v>
      </c>
      <c r="EU185" s="1094">
        <v>240</v>
      </c>
      <c r="EV185" s="1096">
        <v>0.61</v>
      </c>
      <c r="EW185" s="1097">
        <v>0.15</v>
      </c>
      <c r="EX185" s="1096">
        <v>289.50050968399592</v>
      </c>
      <c r="EY185" s="1096">
        <v>1.5443934760448521</v>
      </c>
      <c r="EZ185" s="1096">
        <v>0</v>
      </c>
      <c r="FA185" s="1096">
        <v>17.216666666666665</v>
      </c>
      <c r="FB185" s="1098">
        <v>0</v>
      </c>
      <c r="FC185" s="1098">
        <v>0</v>
      </c>
      <c r="FD185" s="1098" t="s">
        <v>448</v>
      </c>
      <c r="FE185" s="1098" t="s">
        <v>468</v>
      </c>
      <c r="FF185" s="1098">
        <v>1</v>
      </c>
      <c r="FG185" s="1098">
        <v>0</v>
      </c>
      <c r="FH185" s="1098">
        <v>0</v>
      </c>
      <c r="FI185" s="1098">
        <v>0</v>
      </c>
      <c r="FJ185" s="1098">
        <v>0</v>
      </c>
      <c r="FK185" s="1096">
        <v>59.01068999999999</v>
      </c>
      <c r="FL185" s="1096">
        <v>60</v>
      </c>
      <c r="FM185" s="1096">
        <v>118.02137999999998</v>
      </c>
      <c r="FN185" s="1096">
        <v>120</v>
      </c>
      <c r="FO185" s="1096">
        <v>236.04275999999996</v>
      </c>
      <c r="FP185" s="1099">
        <v>240</v>
      </c>
      <c r="FQ185" s="1064">
        <v>0.78455946703562329</v>
      </c>
      <c r="FR185" s="1065">
        <v>0.15</v>
      </c>
      <c r="FS185" s="1066">
        <v>289.50050968399586</v>
      </c>
      <c r="FT185" s="1066">
        <v>3.2237153637237084</v>
      </c>
      <c r="FU185" s="1065"/>
      <c r="FV185" s="1066">
        <v>37.65847780843896</v>
      </c>
      <c r="FW185" s="1065"/>
      <c r="FX185" s="1065"/>
      <c r="FY185" s="1065" t="s">
        <v>461</v>
      </c>
      <c r="FZ185" s="1065" t="s">
        <v>461</v>
      </c>
      <c r="GA185" s="1065">
        <v>1</v>
      </c>
      <c r="GB185" s="1065"/>
      <c r="GC185" s="1065"/>
      <c r="GD185" s="1065"/>
      <c r="GE185" s="1065"/>
      <c r="GF185" s="1066">
        <v>60.615814725283727</v>
      </c>
      <c r="GG185" s="1066">
        <v>60</v>
      </c>
      <c r="GH185" s="1066">
        <v>121.23162945056745</v>
      </c>
      <c r="GI185" s="1066">
        <v>120</v>
      </c>
      <c r="GJ185" s="1066">
        <v>242.46325890113491</v>
      </c>
      <c r="GK185" s="1066">
        <v>240</v>
      </c>
      <c r="GL185" s="584">
        <v>0.70860000000000001</v>
      </c>
      <c r="GM185" s="584">
        <v>0.11</v>
      </c>
      <c r="GN185" s="584"/>
      <c r="GO185" s="584"/>
      <c r="GP185" s="584"/>
      <c r="GQ185" s="584">
        <v>33.246666666666698</v>
      </c>
      <c r="GR185" s="584"/>
      <c r="GS185" s="584">
        <v>56.065239551478101</v>
      </c>
      <c r="GT185" s="584" t="s">
        <v>459</v>
      </c>
      <c r="GU185" s="584" t="s">
        <v>416</v>
      </c>
      <c r="GV185" s="584">
        <v>1</v>
      </c>
      <c r="GW185" s="584"/>
      <c r="GX185" s="584"/>
      <c r="GY185" s="584"/>
      <c r="GZ185" s="584"/>
      <c r="HA185" s="584">
        <v>25.142247000000001</v>
      </c>
      <c r="HB185" s="584">
        <v>60</v>
      </c>
      <c r="HC185" s="584">
        <v>50.284494000000002</v>
      </c>
      <c r="HD185" s="584">
        <v>120</v>
      </c>
      <c r="HE185" s="584">
        <v>100.568988</v>
      </c>
      <c r="HF185" s="584">
        <v>240</v>
      </c>
      <c r="HG185" s="1100">
        <v>0.91</v>
      </c>
      <c r="HH185" s="1100">
        <v>0.11</v>
      </c>
      <c r="HI185" s="1101">
        <v>0</v>
      </c>
      <c r="HJ185" s="1101">
        <v>0</v>
      </c>
      <c r="HK185" s="1101">
        <v>0</v>
      </c>
      <c r="HL185" s="1101">
        <v>0</v>
      </c>
      <c r="HM185" s="1101">
        <v>45.072000000000003</v>
      </c>
      <c r="HN185" s="1101">
        <v>54.999999999999993</v>
      </c>
      <c r="HO185" s="1101">
        <v>0</v>
      </c>
      <c r="HP185" s="1101">
        <v>0</v>
      </c>
      <c r="HQ185" s="1101">
        <v>1</v>
      </c>
      <c r="HR185" s="1101">
        <v>0.72</v>
      </c>
      <c r="HS185" s="1101">
        <v>0.8</v>
      </c>
      <c r="HT185" s="1101">
        <v>0.28000000000000003</v>
      </c>
      <c r="HU185" s="1101">
        <v>0.3</v>
      </c>
      <c r="HV185" s="1101">
        <v>26.7255948</v>
      </c>
      <c r="HW185" s="1101">
        <v>60</v>
      </c>
      <c r="HX185" s="1101">
        <v>53.451189599999999</v>
      </c>
      <c r="HY185" s="1101">
        <v>120</v>
      </c>
      <c r="HZ185" s="1101">
        <v>106.9023792</v>
      </c>
      <c r="IA185" s="1101">
        <v>240</v>
      </c>
      <c r="IB185" s="1062"/>
      <c r="ID185" s="1050"/>
      <c r="IE185" s="1050"/>
      <c r="IM185" s="1050"/>
      <c r="IN185" s="1050"/>
      <c r="IO185" s="1050"/>
      <c r="IP185" s="1050"/>
      <c r="JU185" s="1050"/>
      <c r="KC185" s="1050"/>
      <c r="KD185" s="1050"/>
      <c r="KE185" s="1050"/>
      <c r="KF185" s="1050"/>
      <c r="KN185" s="1103"/>
    </row>
    <row r="186" spans="2:300">
      <c r="B186" s="1048" t="str">
        <f t="shared" si="6"/>
        <v>E611</v>
      </c>
      <c r="C186" s="1046">
        <v>6</v>
      </c>
      <c r="D186" s="1092">
        <v>11</v>
      </c>
      <c r="E186" s="584">
        <v>0.42</v>
      </c>
      <c r="F186" s="584">
        <v>0.42</v>
      </c>
      <c r="G186" s="584">
        <v>1008</v>
      </c>
      <c r="H186" s="584">
        <v>22.68</v>
      </c>
      <c r="I186" s="584">
        <v>0</v>
      </c>
      <c r="J186" s="584">
        <v>0</v>
      </c>
      <c r="K186" s="584">
        <v>0</v>
      </c>
      <c r="L186" s="584">
        <v>0</v>
      </c>
      <c r="M186" s="584">
        <v>0</v>
      </c>
      <c r="N186" s="584">
        <v>0</v>
      </c>
      <c r="O186" s="584">
        <v>0</v>
      </c>
      <c r="P186" s="584">
        <v>0</v>
      </c>
      <c r="Q186" s="584">
        <v>0</v>
      </c>
      <c r="R186" s="584">
        <v>0</v>
      </c>
      <c r="S186" s="584">
        <v>0</v>
      </c>
      <c r="T186" s="584">
        <v>304.52143749999999</v>
      </c>
      <c r="U186" s="584">
        <v>66</v>
      </c>
      <c r="V186" s="584">
        <v>549.29343749999998</v>
      </c>
      <c r="W186" s="584">
        <v>138.6</v>
      </c>
      <c r="X186" s="584">
        <v>829.37099999999998</v>
      </c>
      <c r="Y186" s="584">
        <v>290.39999999999998</v>
      </c>
      <c r="Z186" s="584">
        <v>0.32</v>
      </c>
      <c r="AA186" s="584">
        <v>0.32</v>
      </c>
      <c r="AB186" s="584">
        <v>768</v>
      </c>
      <c r="AC186" s="584">
        <v>18</v>
      </c>
      <c r="AD186" s="584">
        <v>0</v>
      </c>
      <c r="AE186" s="584">
        <v>0</v>
      </c>
      <c r="AF186" s="584">
        <v>0</v>
      </c>
      <c r="AG186" s="584">
        <v>0</v>
      </c>
      <c r="AH186" s="584">
        <v>0</v>
      </c>
      <c r="AI186" s="584">
        <v>0</v>
      </c>
      <c r="AJ186" s="584">
        <v>0</v>
      </c>
      <c r="AK186" s="584">
        <v>0</v>
      </c>
      <c r="AL186" s="584">
        <v>0</v>
      </c>
      <c r="AM186" s="584">
        <v>0</v>
      </c>
      <c r="AN186" s="584">
        <v>0</v>
      </c>
      <c r="AO186" s="584">
        <v>258.92143750000002</v>
      </c>
      <c r="AP186" s="584">
        <v>66</v>
      </c>
      <c r="AQ186" s="584">
        <v>456.8934375</v>
      </c>
      <c r="AR186" s="584">
        <v>138.6</v>
      </c>
      <c r="AS186" s="584">
        <v>647.87099999999998</v>
      </c>
      <c r="AT186" s="584">
        <v>290.39999999999998</v>
      </c>
      <c r="AU186" s="584">
        <v>0.72499999999999998</v>
      </c>
      <c r="AV186" s="584">
        <v>0.25</v>
      </c>
      <c r="AW186" s="584">
        <v>506.85078610248502</v>
      </c>
      <c r="AX186" s="584">
        <v>20.908991653726702</v>
      </c>
      <c r="AY186" s="584">
        <v>0</v>
      </c>
      <c r="AZ186" s="584">
        <v>0</v>
      </c>
      <c r="BA186" s="584">
        <v>0</v>
      </c>
      <c r="BB186" s="584">
        <v>0</v>
      </c>
      <c r="BC186" s="584">
        <v>0</v>
      </c>
      <c r="BD186" s="584">
        <v>0</v>
      </c>
      <c r="BE186" s="584">
        <v>0</v>
      </c>
      <c r="BF186" s="584">
        <v>0</v>
      </c>
      <c r="BG186" s="584">
        <v>0.72499999999999998</v>
      </c>
      <c r="BH186" s="584">
        <v>0</v>
      </c>
      <c r="BI186" s="584">
        <v>0.45</v>
      </c>
      <c r="BJ186" s="584">
        <v>220.92442187500001</v>
      </c>
      <c r="BK186" s="584">
        <v>66</v>
      </c>
      <c r="BL186" s="584">
        <v>357.20903906249998</v>
      </c>
      <c r="BM186" s="584">
        <v>138.6</v>
      </c>
      <c r="BN186" s="584">
        <v>435.35722851562502</v>
      </c>
      <c r="BO186" s="584">
        <v>290.39999999999998</v>
      </c>
      <c r="BP186" s="584">
        <v>0</v>
      </c>
      <c r="BQ186" s="584">
        <v>0</v>
      </c>
      <c r="BR186" s="584">
        <v>0</v>
      </c>
      <c r="BS186" s="584">
        <v>0</v>
      </c>
      <c r="BT186" s="584">
        <v>0</v>
      </c>
      <c r="BU186" s="584">
        <v>0</v>
      </c>
      <c r="BV186" s="584">
        <v>0</v>
      </c>
      <c r="BW186" s="584">
        <v>0</v>
      </c>
      <c r="BX186" s="584">
        <v>0</v>
      </c>
      <c r="BY186" s="584">
        <v>0</v>
      </c>
      <c r="BZ186" s="584">
        <v>0</v>
      </c>
      <c r="CA186" s="584">
        <v>0</v>
      </c>
      <c r="CB186" s="584">
        <v>0</v>
      </c>
      <c r="CC186" s="584">
        <v>0</v>
      </c>
      <c r="CD186" s="584">
        <v>0</v>
      </c>
      <c r="CE186" s="584">
        <v>0</v>
      </c>
      <c r="CF186" s="584">
        <v>0</v>
      </c>
      <c r="CG186" s="584">
        <v>0</v>
      </c>
      <c r="CH186" s="584">
        <v>0</v>
      </c>
      <c r="CI186" s="584">
        <v>0</v>
      </c>
      <c r="CJ186" s="584">
        <v>0</v>
      </c>
      <c r="CK186" s="584">
        <v>0.92500000000000004</v>
      </c>
      <c r="CL186" s="584">
        <v>0.17499999999999999</v>
      </c>
      <c r="CM186" s="584">
        <v>519.83501552794996</v>
      </c>
      <c r="CN186" s="584">
        <v>18.836689635093201</v>
      </c>
      <c r="CO186" s="584">
        <v>0</v>
      </c>
      <c r="CP186" s="584">
        <v>0</v>
      </c>
      <c r="CQ186" s="584">
        <v>0</v>
      </c>
      <c r="CR186" s="584">
        <v>0</v>
      </c>
      <c r="CS186" s="584">
        <v>0</v>
      </c>
      <c r="CT186" s="584">
        <v>0</v>
      </c>
      <c r="CU186" s="584">
        <v>0</v>
      </c>
      <c r="CV186" s="584">
        <v>0</v>
      </c>
      <c r="CW186" s="584">
        <v>0.92500000000000004</v>
      </c>
      <c r="CX186" s="584">
        <v>0</v>
      </c>
      <c r="CY186" s="584">
        <v>0.6</v>
      </c>
      <c r="CZ186" s="584">
        <v>226.78749999999999</v>
      </c>
      <c r="DA186" s="584">
        <v>66</v>
      </c>
      <c r="DB186" s="584">
        <v>366.27449999999999</v>
      </c>
      <c r="DC186" s="584">
        <v>138.6</v>
      </c>
      <c r="DD186" s="584">
        <v>444.74849999999998</v>
      </c>
      <c r="DE186" s="584">
        <v>290.39999999999998</v>
      </c>
      <c r="DF186" s="584">
        <v>0.42499999999999999</v>
      </c>
      <c r="DG186" s="584">
        <v>0.2</v>
      </c>
      <c r="DH186" s="584">
        <v>427.62155473602502</v>
      </c>
      <c r="DI186" s="584">
        <v>21.015616556676999</v>
      </c>
      <c r="DJ186" s="584">
        <v>300</v>
      </c>
      <c r="DK186" s="584">
        <v>0</v>
      </c>
      <c r="DL186" s="584">
        <v>0</v>
      </c>
      <c r="DM186" s="584">
        <v>0</v>
      </c>
      <c r="DN186" s="584">
        <v>0</v>
      </c>
      <c r="DO186" s="584">
        <v>0</v>
      </c>
      <c r="DP186" s="584">
        <v>0</v>
      </c>
      <c r="DQ186" s="584">
        <v>0</v>
      </c>
      <c r="DR186" s="584">
        <v>0.42499999999999999</v>
      </c>
      <c r="DS186" s="584">
        <v>0</v>
      </c>
      <c r="DT186" s="584">
        <v>2.4</v>
      </c>
      <c r="DU186" s="584">
        <v>230.52099999999999</v>
      </c>
      <c r="DV186" s="584">
        <v>66</v>
      </c>
      <c r="DW186" s="584">
        <v>377.16149999999999</v>
      </c>
      <c r="DX186" s="584">
        <v>138.6</v>
      </c>
      <c r="DY186" s="584">
        <v>564.82425000000001</v>
      </c>
      <c r="DZ186" s="584">
        <v>290.39999999999998</v>
      </c>
      <c r="EA186" s="1062">
        <v>0.81720000000000004</v>
      </c>
      <c r="EB186" s="1046">
        <v>0.35</v>
      </c>
      <c r="EC186" s="1093">
        <v>132.51783893985731</v>
      </c>
      <c r="ED186" s="1046">
        <v>0</v>
      </c>
      <c r="EE186" s="1046">
        <v>458.71559633027522</v>
      </c>
      <c r="EF186" s="1046">
        <v>25.319696969696967</v>
      </c>
      <c r="EG186" s="1046">
        <v>0</v>
      </c>
      <c r="EH186" s="1046">
        <v>0</v>
      </c>
      <c r="EI186" s="1046" t="s">
        <v>445</v>
      </c>
      <c r="EJ186" s="1046" t="s">
        <v>445</v>
      </c>
      <c r="EK186" s="1046">
        <v>0</v>
      </c>
      <c r="EL186" s="1046">
        <v>0</v>
      </c>
      <c r="EM186" s="1046">
        <v>0</v>
      </c>
      <c r="EN186" s="1046">
        <v>0</v>
      </c>
      <c r="EO186" s="1046">
        <v>0</v>
      </c>
      <c r="EP186" s="1094">
        <v>112.99837275000002</v>
      </c>
      <c r="EQ186" s="1094">
        <v>66</v>
      </c>
      <c r="ER186" s="1094">
        <v>225.99674550000003</v>
      </c>
      <c r="ES186" s="1095">
        <v>132</v>
      </c>
      <c r="ET186" s="1094">
        <v>451.99349100000006</v>
      </c>
      <c r="EU186" s="1094">
        <v>264</v>
      </c>
      <c r="EV186" s="1096">
        <v>0.61339999999999995</v>
      </c>
      <c r="EW186" s="1097">
        <v>0.15</v>
      </c>
      <c r="EX186" s="1096">
        <v>289.50050968399592</v>
      </c>
      <c r="EY186" s="1096">
        <v>1.5443934760448521</v>
      </c>
      <c r="EZ186" s="1096">
        <v>0</v>
      </c>
      <c r="FA186" s="1096">
        <v>16.834848484848482</v>
      </c>
      <c r="FB186" s="1098">
        <v>0</v>
      </c>
      <c r="FC186" s="1098">
        <v>0</v>
      </c>
      <c r="FD186" s="1098" t="s">
        <v>446</v>
      </c>
      <c r="FE186" s="1098" t="s">
        <v>461</v>
      </c>
      <c r="FF186" s="1098">
        <v>1</v>
      </c>
      <c r="FG186" s="1098">
        <v>0</v>
      </c>
      <c r="FH186" s="1098">
        <v>0</v>
      </c>
      <c r="FI186" s="1098">
        <v>0</v>
      </c>
      <c r="FJ186" s="1098">
        <v>0</v>
      </c>
      <c r="FK186" s="1096">
        <v>64.849955999999992</v>
      </c>
      <c r="FL186" s="1096">
        <v>66</v>
      </c>
      <c r="FM186" s="1096">
        <v>129.69991199999998</v>
      </c>
      <c r="FN186" s="1096">
        <v>132</v>
      </c>
      <c r="FO186" s="1096">
        <v>259.39982399999997</v>
      </c>
      <c r="FP186" s="1099">
        <v>264</v>
      </c>
      <c r="FQ186" s="1064">
        <v>0.89382878474779204</v>
      </c>
      <c r="FR186" s="1065">
        <v>0.15</v>
      </c>
      <c r="FS186" s="1066">
        <v>289.50050968399586</v>
      </c>
      <c r="FT186" s="1066">
        <v>3.2237153637237084</v>
      </c>
      <c r="FU186" s="1065"/>
      <c r="FV186" s="1066">
        <v>42.595771499624057</v>
      </c>
      <c r="FW186" s="1065"/>
      <c r="FX186" s="1065"/>
      <c r="FY186" s="1065" t="s">
        <v>467</v>
      </c>
      <c r="FZ186" s="1065" t="s">
        <v>438</v>
      </c>
      <c r="GA186" s="1065">
        <v>1</v>
      </c>
      <c r="GB186" s="1065"/>
      <c r="GC186" s="1065"/>
      <c r="GD186" s="1065"/>
      <c r="GE186" s="1065"/>
      <c r="GF186" s="1066">
        <v>67.476571241135787</v>
      </c>
      <c r="GG186" s="1066">
        <v>66</v>
      </c>
      <c r="GH186" s="1066">
        <v>134.95314248227157</v>
      </c>
      <c r="GI186" s="1066">
        <v>132</v>
      </c>
      <c r="GJ186" s="1066">
        <v>269.90628496454315</v>
      </c>
      <c r="GK186" s="1066">
        <v>264</v>
      </c>
      <c r="GL186" s="584">
        <v>0.71740000000000004</v>
      </c>
      <c r="GM186" s="584">
        <v>0.11</v>
      </c>
      <c r="GN186" s="584"/>
      <c r="GO186" s="584"/>
      <c r="GP186" s="584"/>
      <c r="GQ186" s="584">
        <v>39.406060606060599</v>
      </c>
      <c r="GR186" s="584"/>
      <c r="GS186" s="584">
        <v>56.065239551478101</v>
      </c>
      <c r="GT186" s="584" t="s">
        <v>438</v>
      </c>
      <c r="GU186" s="584" t="s">
        <v>412</v>
      </c>
      <c r="GV186" s="584">
        <v>1</v>
      </c>
      <c r="GW186" s="584"/>
      <c r="GX186" s="584"/>
      <c r="GY186" s="584"/>
      <c r="GZ186" s="584"/>
      <c r="HA186" s="584">
        <v>28.653462000000001</v>
      </c>
      <c r="HB186" s="584">
        <v>66</v>
      </c>
      <c r="HC186" s="584">
        <v>57.306924000000002</v>
      </c>
      <c r="HD186" s="584">
        <v>132</v>
      </c>
      <c r="HE186" s="584">
        <v>114.613848</v>
      </c>
      <c r="HF186" s="584">
        <v>264</v>
      </c>
      <c r="HG186" s="1100">
        <v>1.03</v>
      </c>
      <c r="HH186" s="1100">
        <v>0.11</v>
      </c>
      <c r="HI186" s="1101">
        <v>0</v>
      </c>
      <c r="HJ186" s="1101">
        <v>0</v>
      </c>
      <c r="HK186" s="1101">
        <v>0</v>
      </c>
      <c r="HL186" s="1101">
        <v>0</v>
      </c>
      <c r="HM186" s="1101">
        <v>50.105454545454549</v>
      </c>
      <c r="HN186" s="1101">
        <v>54.999999999999993</v>
      </c>
      <c r="HO186" s="1101">
        <v>0</v>
      </c>
      <c r="HP186" s="1101">
        <v>0</v>
      </c>
      <c r="HQ186" s="1101">
        <v>1</v>
      </c>
      <c r="HR186" s="1101">
        <v>0.76</v>
      </c>
      <c r="HS186" s="1101">
        <v>0.92</v>
      </c>
      <c r="HT186" s="1101">
        <v>0.28000000000000003</v>
      </c>
      <c r="HU186" s="1101">
        <v>0.3</v>
      </c>
      <c r="HV186" s="1101">
        <v>30.2128944</v>
      </c>
      <c r="HW186" s="1101">
        <v>66</v>
      </c>
      <c r="HX186" s="1101">
        <v>60.425788799999999</v>
      </c>
      <c r="HY186" s="1101">
        <v>132</v>
      </c>
      <c r="HZ186" s="1101">
        <v>120.8515776</v>
      </c>
      <c r="IA186" s="1101">
        <v>264</v>
      </c>
      <c r="IB186" s="1062"/>
      <c r="ID186" s="1050"/>
      <c r="IE186" s="1050"/>
      <c r="IM186" s="1050"/>
      <c r="IN186" s="1050"/>
      <c r="IO186" s="1050"/>
      <c r="IP186" s="1050"/>
      <c r="JU186" s="1050"/>
      <c r="KC186" s="1050"/>
      <c r="KD186" s="1050"/>
      <c r="KE186" s="1050"/>
      <c r="KF186" s="1050"/>
      <c r="KN186" s="1103"/>
    </row>
    <row r="187" spans="2:300">
      <c r="B187" s="1048" t="str">
        <f t="shared" si="6"/>
        <v>E612</v>
      </c>
      <c r="C187" s="1046">
        <v>6</v>
      </c>
      <c r="D187" s="1092">
        <v>12</v>
      </c>
      <c r="E187" s="584">
        <v>0.49</v>
      </c>
      <c r="F187" s="584">
        <v>0.49</v>
      </c>
      <c r="G187" s="584">
        <v>1176</v>
      </c>
      <c r="H187" s="584">
        <v>24.99</v>
      </c>
      <c r="I187" s="584">
        <v>0</v>
      </c>
      <c r="J187" s="584">
        <v>0</v>
      </c>
      <c r="K187" s="584">
        <v>0</v>
      </c>
      <c r="L187" s="584">
        <v>0</v>
      </c>
      <c r="M187" s="584">
        <v>0</v>
      </c>
      <c r="N187" s="584">
        <v>0</v>
      </c>
      <c r="O187" s="584">
        <v>0</v>
      </c>
      <c r="P187" s="584">
        <v>0</v>
      </c>
      <c r="Q187" s="584">
        <v>0</v>
      </c>
      <c r="R187" s="584">
        <v>0</v>
      </c>
      <c r="S187" s="584">
        <v>0</v>
      </c>
      <c r="T187" s="584">
        <v>362.80143750000002</v>
      </c>
      <c r="U187" s="584">
        <v>72</v>
      </c>
      <c r="V187" s="584">
        <v>669.32943750000004</v>
      </c>
      <c r="W187" s="584">
        <v>151.19999999999999</v>
      </c>
      <c r="X187" s="584">
        <v>1042.5509999999999</v>
      </c>
      <c r="Y187" s="584">
        <v>316.8</v>
      </c>
      <c r="Z187" s="584">
        <v>0.35499999999999998</v>
      </c>
      <c r="AA187" s="584">
        <v>0.35499999999999998</v>
      </c>
      <c r="AB187" s="584">
        <v>852</v>
      </c>
      <c r="AC187" s="584">
        <v>20</v>
      </c>
      <c r="AD187" s="584">
        <v>0</v>
      </c>
      <c r="AE187" s="584">
        <v>0</v>
      </c>
      <c r="AF187" s="584">
        <v>0</v>
      </c>
      <c r="AG187" s="584">
        <v>0</v>
      </c>
      <c r="AH187" s="584">
        <v>0</v>
      </c>
      <c r="AI187" s="584">
        <v>0</v>
      </c>
      <c r="AJ187" s="584">
        <v>0</v>
      </c>
      <c r="AK187" s="584">
        <v>0</v>
      </c>
      <c r="AL187" s="584">
        <v>0</v>
      </c>
      <c r="AM187" s="584">
        <v>0</v>
      </c>
      <c r="AN187" s="584">
        <v>0</v>
      </c>
      <c r="AO187" s="584">
        <v>295.84143749999998</v>
      </c>
      <c r="AP187" s="584">
        <v>72</v>
      </c>
      <c r="AQ187" s="584">
        <v>533.2494375</v>
      </c>
      <c r="AR187" s="584">
        <v>151.19999999999999</v>
      </c>
      <c r="AS187" s="584">
        <v>775.25099999999998</v>
      </c>
      <c r="AT187" s="584">
        <v>316.8</v>
      </c>
      <c r="AU187" s="584">
        <v>0.82499999999999996</v>
      </c>
      <c r="AV187" s="584">
        <v>0.25</v>
      </c>
      <c r="AW187" s="584">
        <v>541.10829472558805</v>
      </c>
      <c r="AX187" s="584">
        <v>22.070629900213799</v>
      </c>
      <c r="AY187" s="584">
        <v>0</v>
      </c>
      <c r="AZ187" s="584">
        <v>0</v>
      </c>
      <c r="BA187" s="584">
        <v>0</v>
      </c>
      <c r="BB187" s="584">
        <v>0</v>
      </c>
      <c r="BC187" s="584">
        <v>0</v>
      </c>
      <c r="BD187" s="584">
        <v>0</v>
      </c>
      <c r="BE187" s="584">
        <v>0</v>
      </c>
      <c r="BF187" s="584">
        <v>0</v>
      </c>
      <c r="BG187" s="584">
        <v>0.82499999999999996</v>
      </c>
      <c r="BH187" s="584">
        <v>0</v>
      </c>
      <c r="BI187" s="584">
        <v>0.45</v>
      </c>
      <c r="BJ187" s="584">
        <v>253.36477868852501</v>
      </c>
      <c r="BK187" s="584">
        <v>72</v>
      </c>
      <c r="BL187" s="584">
        <v>410.693864754098</v>
      </c>
      <c r="BM187" s="584">
        <v>151.19999999999999</v>
      </c>
      <c r="BN187" s="584">
        <v>479.802725409836</v>
      </c>
      <c r="BO187" s="584">
        <v>316.8</v>
      </c>
      <c r="BP187" s="584">
        <v>0</v>
      </c>
      <c r="BQ187" s="584">
        <v>0</v>
      </c>
      <c r="BR187" s="584">
        <v>0</v>
      </c>
      <c r="BS187" s="584">
        <v>0</v>
      </c>
      <c r="BT187" s="584">
        <v>0</v>
      </c>
      <c r="BU187" s="584">
        <v>0</v>
      </c>
      <c r="BV187" s="584">
        <v>0</v>
      </c>
      <c r="BW187" s="584">
        <v>0</v>
      </c>
      <c r="BX187" s="584">
        <v>0</v>
      </c>
      <c r="BY187" s="584">
        <v>0</v>
      </c>
      <c r="BZ187" s="584">
        <v>0</v>
      </c>
      <c r="CA187" s="584">
        <v>0</v>
      </c>
      <c r="CB187" s="584">
        <v>0</v>
      </c>
      <c r="CC187" s="584">
        <v>0</v>
      </c>
      <c r="CD187" s="584">
        <v>0</v>
      </c>
      <c r="CE187" s="584">
        <v>0</v>
      </c>
      <c r="CF187" s="584">
        <v>0</v>
      </c>
      <c r="CG187" s="584">
        <v>0</v>
      </c>
      <c r="CH187" s="584">
        <v>0</v>
      </c>
      <c r="CI187" s="584">
        <v>0</v>
      </c>
      <c r="CJ187" s="584">
        <v>0</v>
      </c>
      <c r="CK187" s="584">
        <v>0.85</v>
      </c>
      <c r="CL187" s="584">
        <v>0.17499999999999999</v>
      </c>
      <c r="CM187" s="584">
        <v>565.524322879544</v>
      </c>
      <c r="CN187" s="584">
        <v>21.833192266571601</v>
      </c>
      <c r="CO187" s="584">
        <v>0</v>
      </c>
      <c r="CP187" s="584">
        <v>0</v>
      </c>
      <c r="CQ187" s="584">
        <v>0</v>
      </c>
      <c r="CR187" s="584">
        <v>0</v>
      </c>
      <c r="CS187" s="584">
        <v>0</v>
      </c>
      <c r="CT187" s="584">
        <v>0</v>
      </c>
      <c r="CU187" s="584">
        <v>0</v>
      </c>
      <c r="CV187" s="584">
        <v>0</v>
      </c>
      <c r="CW187" s="584">
        <v>0.85</v>
      </c>
      <c r="CX187" s="584">
        <v>0</v>
      </c>
      <c r="CY187" s="584">
        <v>0.6</v>
      </c>
      <c r="CZ187" s="584">
        <v>264.54225000000002</v>
      </c>
      <c r="DA187" s="584">
        <v>72</v>
      </c>
      <c r="DB187" s="584">
        <v>428.35275000000001</v>
      </c>
      <c r="DC187" s="584">
        <v>151.19999999999999</v>
      </c>
      <c r="DD187" s="584">
        <v>508.33575000000002</v>
      </c>
      <c r="DE187" s="584">
        <v>316.8</v>
      </c>
      <c r="DF187" s="584">
        <v>0.5</v>
      </c>
      <c r="DG187" s="584">
        <v>0.2</v>
      </c>
      <c r="DH187" s="584">
        <v>488.54374554525998</v>
      </c>
      <c r="DI187" s="584">
        <v>23.365182020670002</v>
      </c>
      <c r="DJ187" s="584">
        <v>300</v>
      </c>
      <c r="DK187" s="584">
        <v>0</v>
      </c>
      <c r="DL187" s="584">
        <v>0</v>
      </c>
      <c r="DM187" s="584">
        <v>0</v>
      </c>
      <c r="DN187" s="584">
        <v>0</v>
      </c>
      <c r="DO187" s="584">
        <v>0</v>
      </c>
      <c r="DP187" s="584">
        <v>0</v>
      </c>
      <c r="DQ187" s="584">
        <v>0</v>
      </c>
      <c r="DR187" s="584">
        <v>0.5</v>
      </c>
      <c r="DS187" s="584">
        <v>0</v>
      </c>
      <c r="DT187" s="584">
        <v>2.4</v>
      </c>
      <c r="DU187" s="584">
        <v>255.41475</v>
      </c>
      <c r="DV187" s="584">
        <v>72</v>
      </c>
      <c r="DW187" s="584">
        <v>429.86775</v>
      </c>
      <c r="DX187" s="584">
        <v>151.19999999999999</v>
      </c>
      <c r="DY187" s="584">
        <v>669.22199999999998</v>
      </c>
      <c r="DZ187" s="584">
        <v>316.8</v>
      </c>
      <c r="EA187" s="1062">
        <v>0.84199999999999997</v>
      </c>
      <c r="EB187" s="1046">
        <v>0.35</v>
      </c>
      <c r="EC187" s="1093">
        <v>132.51783893985731</v>
      </c>
      <c r="ED187" s="1046">
        <v>0</v>
      </c>
      <c r="EE187" s="1046">
        <v>458.71559633027522</v>
      </c>
      <c r="EF187" s="1046">
        <v>35.716666666666669</v>
      </c>
      <c r="EG187" s="1046">
        <v>0</v>
      </c>
      <c r="EH187" s="1046">
        <v>0</v>
      </c>
      <c r="EI187" s="1046" t="s">
        <v>444</v>
      </c>
      <c r="EJ187" s="1046" t="s">
        <v>440</v>
      </c>
      <c r="EK187" s="1046">
        <v>0</v>
      </c>
      <c r="EL187" s="1046">
        <v>0</v>
      </c>
      <c r="EM187" s="1046">
        <v>0</v>
      </c>
      <c r="EN187" s="1046">
        <v>0</v>
      </c>
      <c r="EO187" s="1046">
        <v>0</v>
      </c>
      <c r="EP187" s="1094">
        <v>125.10684900000003</v>
      </c>
      <c r="EQ187" s="1094">
        <v>72</v>
      </c>
      <c r="ER187" s="1094">
        <v>250.21369800000005</v>
      </c>
      <c r="ES187" s="1095">
        <v>144</v>
      </c>
      <c r="ET187" s="1094">
        <v>500.4273960000001</v>
      </c>
      <c r="EU187" s="1094">
        <v>288</v>
      </c>
      <c r="EV187" s="1096">
        <v>0.68310000000000004</v>
      </c>
      <c r="EW187" s="1097">
        <v>0.15</v>
      </c>
      <c r="EX187" s="1096">
        <v>289.50050968399592</v>
      </c>
      <c r="EY187" s="1096">
        <v>1.5443934760448521</v>
      </c>
      <c r="EZ187" s="1096">
        <v>0</v>
      </c>
      <c r="FA187" s="1096">
        <v>17.641666666666666</v>
      </c>
      <c r="FB187" s="1098">
        <v>0</v>
      </c>
      <c r="FC187" s="1098">
        <v>0</v>
      </c>
      <c r="FD187" s="1098" t="s">
        <v>430</v>
      </c>
      <c r="FE187" s="1098" t="s">
        <v>459</v>
      </c>
      <c r="FF187" s="1098">
        <v>1</v>
      </c>
      <c r="FG187" s="1098">
        <v>0</v>
      </c>
      <c r="FH187" s="1098">
        <v>0</v>
      </c>
      <c r="FI187" s="1098">
        <v>0</v>
      </c>
      <c r="FJ187" s="1098">
        <v>0</v>
      </c>
      <c r="FK187" s="1096">
        <v>70.887874500000009</v>
      </c>
      <c r="FL187" s="1096">
        <v>72</v>
      </c>
      <c r="FM187" s="1096">
        <v>141.77574900000002</v>
      </c>
      <c r="FN187" s="1096">
        <v>144</v>
      </c>
      <c r="FO187" s="1096">
        <v>283.55149800000004</v>
      </c>
      <c r="FP187" s="1099">
        <v>288</v>
      </c>
      <c r="FQ187" s="1064">
        <v>0.898228784747792</v>
      </c>
      <c r="FR187" s="1065">
        <v>0.15</v>
      </c>
      <c r="FS187" s="1066">
        <v>289.50050968399586</v>
      </c>
      <c r="FT187" s="1066">
        <v>3.2237153637237084</v>
      </c>
      <c r="FU187" s="1065"/>
      <c r="FV187" s="1066">
        <v>44.970828341214876</v>
      </c>
      <c r="FW187" s="1065"/>
      <c r="FX187" s="1065"/>
      <c r="FY187" s="1065" t="s">
        <v>467</v>
      </c>
      <c r="FZ187" s="1065" t="s">
        <v>436</v>
      </c>
      <c r="GA187" s="1065">
        <v>1</v>
      </c>
      <c r="GB187" s="1065"/>
      <c r="GC187" s="1065"/>
      <c r="GD187" s="1065"/>
      <c r="GE187" s="1065"/>
      <c r="GF187" s="1066">
        <v>74.030192527418052</v>
      </c>
      <c r="GG187" s="1066">
        <v>72</v>
      </c>
      <c r="GH187" s="1066">
        <v>148.0603850548361</v>
      </c>
      <c r="GI187" s="1066">
        <v>144</v>
      </c>
      <c r="GJ187" s="1066">
        <v>296.12077010967221</v>
      </c>
      <c r="GK187" s="1066">
        <v>288</v>
      </c>
      <c r="GL187" s="584">
        <v>0.78790000000000004</v>
      </c>
      <c r="GM187" s="584">
        <v>0.11</v>
      </c>
      <c r="GN187" s="584"/>
      <c r="GO187" s="584"/>
      <c r="GP187" s="584"/>
      <c r="GQ187" s="584">
        <v>47.2083333333333</v>
      </c>
      <c r="GR187" s="584"/>
      <c r="GS187" s="584">
        <v>56.065239551478101</v>
      </c>
      <c r="GT187" s="584" t="s">
        <v>438</v>
      </c>
      <c r="GU187" s="584" t="s">
        <v>396</v>
      </c>
      <c r="GV187" s="584">
        <v>1</v>
      </c>
      <c r="GW187" s="584"/>
      <c r="GX187" s="584"/>
      <c r="GY187" s="584"/>
      <c r="GZ187" s="584"/>
      <c r="HA187" s="584">
        <v>32.636047499999997</v>
      </c>
      <c r="HB187" s="584">
        <v>72</v>
      </c>
      <c r="HC187" s="584">
        <v>65.272094999999993</v>
      </c>
      <c r="HD187" s="584">
        <v>144</v>
      </c>
      <c r="HE187" s="584">
        <v>130.54418999999999</v>
      </c>
      <c r="HF187" s="584">
        <v>288</v>
      </c>
      <c r="HG187" s="1100">
        <v>1.1500000000000001</v>
      </c>
      <c r="HH187" s="1100">
        <v>0.11</v>
      </c>
      <c r="HI187" s="1101">
        <v>0</v>
      </c>
      <c r="HJ187" s="1101">
        <v>0</v>
      </c>
      <c r="HK187" s="1101">
        <v>0</v>
      </c>
      <c r="HL187" s="1101">
        <v>0</v>
      </c>
      <c r="HM187" s="1101">
        <v>55.2</v>
      </c>
      <c r="HN187" s="1101">
        <v>54.999999999999993</v>
      </c>
      <c r="HO187" s="1101">
        <v>0</v>
      </c>
      <c r="HP187" s="1101">
        <v>0</v>
      </c>
      <c r="HQ187" s="1101">
        <v>1</v>
      </c>
      <c r="HR187" s="1101">
        <v>0.8</v>
      </c>
      <c r="HS187" s="1101">
        <v>1.04</v>
      </c>
      <c r="HT187" s="1101">
        <v>0.28000000000000003</v>
      </c>
      <c r="HU187" s="1101">
        <v>0.3</v>
      </c>
      <c r="HV187" s="1101">
        <v>33.859116</v>
      </c>
      <c r="HW187" s="1101">
        <v>72</v>
      </c>
      <c r="HX187" s="1101">
        <v>67.718232</v>
      </c>
      <c r="HY187" s="1101">
        <v>144</v>
      </c>
      <c r="HZ187" s="1101">
        <v>135.436464</v>
      </c>
      <c r="IA187" s="1101">
        <v>288</v>
      </c>
      <c r="IB187" s="1062"/>
      <c r="ID187" s="1050"/>
      <c r="IE187" s="1050"/>
      <c r="IM187" s="1050"/>
      <c r="IN187" s="1050"/>
      <c r="IO187" s="1050"/>
      <c r="IP187" s="1050"/>
      <c r="JU187" s="1050"/>
      <c r="KC187" s="1050"/>
      <c r="KD187" s="1050"/>
      <c r="KE187" s="1050"/>
      <c r="KF187" s="1050"/>
      <c r="KN187" s="1103"/>
    </row>
    <row r="188" spans="2:300">
      <c r="B188" s="1048" t="str">
        <f t="shared" si="6"/>
        <v>E613</v>
      </c>
      <c r="C188" s="1046">
        <v>6</v>
      </c>
      <c r="D188" s="1092">
        <v>13</v>
      </c>
      <c r="E188" s="584">
        <v>0.49</v>
      </c>
      <c r="F188" s="584">
        <v>0.49</v>
      </c>
      <c r="G188" s="584">
        <v>1176</v>
      </c>
      <c r="H188" s="584">
        <v>24.5</v>
      </c>
      <c r="I188" s="584">
        <v>0</v>
      </c>
      <c r="J188" s="584">
        <v>0</v>
      </c>
      <c r="K188" s="584">
        <v>0</v>
      </c>
      <c r="L188" s="584">
        <v>0</v>
      </c>
      <c r="M188" s="584">
        <v>0</v>
      </c>
      <c r="N188" s="584">
        <v>0</v>
      </c>
      <c r="O188" s="584">
        <v>0</v>
      </c>
      <c r="P188" s="584">
        <v>0</v>
      </c>
      <c r="Q188" s="584">
        <v>0</v>
      </c>
      <c r="R188" s="584">
        <v>0</v>
      </c>
      <c r="S188" s="584">
        <v>0</v>
      </c>
      <c r="T188" s="584">
        <v>389.16143749999998</v>
      </c>
      <c r="U188" s="584">
        <v>78</v>
      </c>
      <c r="V188" s="584">
        <v>725.87175000000002</v>
      </c>
      <c r="W188" s="584">
        <v>163.80000000000001</v>
      </c>
      <c r="X188" s="584">
        <v>1128.681</v>
      </c>
      <c r="Y188" s="584">
        <v>343.2</v>
      </c>
      <c r="Z188" s="584">
        <v>0.39500000000000002</v>
      </c>
      <c r="AA188" s="584">
        <v>0.39500000000000002</v>
      </c>
      <c r="AB188" s="584">
        <v>948</v>
      </c>
      <c r="AC188" s="584">
        <v>23</v>
      </c>
      <c r="AD188" s="584">
        <v>0</v>
      </c>
      <c r="AE188" s="584">
        <v>0</v>
      </c>
      <c r="AF188" s="584">
        <v>0</v>
      </c>
      <c r="AG188" s="584">
        <v>0</v>
      </c>
      <c r="AH188" s="584">
        <v>0</v>
      </c>
      <c r="AI188" s="584">
        <v>0</v>
      </c>
      <c r="AJ188" s="584">
        <v>0</v>
      </c>
      <c r="AK188" s="584">
        <v>0</v>
      </c>
      <c r="AL188" s="584">
        <v>0</v>
      </c>
      <c r="AM188" s="584">
        <v>0</v>
      </c>
      <c r="AN188" s="584">
        <v>0</v>
      </c>
      <c r="AO188" s="584">
        <v>338.24143750000002</v>
      </c>
      <c r="AP188" s="584">
        <v>78</v>
      </c>
      <c r="AQ188" s="584">
        <v>620.94543750000003</v>
      </c>
      <c r="AR188" s="584">
        <v>163.80000000000001</v>
      </c>
      <c r="AS188" s="584">
        <v>924.90599999999995</v>
      </c>
      <c r="AT188" s="584">
        <v>343.2</v>
      </c>
      <c r="AU188" s="584">
        <v>0</v>
      </c>
      <c r="AV188" s="584">
        <v>0</v>
      </c>
      <c r="AW188" s="584">
        <v>0</v>
      </c>
      <c r="AX188" s="584">
        <v>0</v>
      </c>
      <c r="AY188" s="584">
        <v>0</v>
      </c>
      <c r="AZ188" s="584">
        <v>0</v>
      </c>
      <c r="BA188" s="584">
        <v>0</v>
      </c>
      <c r="BB188" s="584">
        <v>0</v>
      </c>
      <c r="BC188" s="584">
        <v>0</v>
      </c>
      <c r="BD188" s="584">
        <v>0</v>
      </c>
      <c r="BE188" s="584">
        <v>0</v>
      </c>
      <c r="BF188" s="584">
        <v>0</v>
      </c>
      <c r="BG188" s="584">
        <v>0</v>
      </c>
      <c r="BH188" s="584">
        <v>0</v>
      </c>
      <c r="BI188" s="584">
        <v>0</v>
      </c>
      <c r="BJ188" s="584">
        <v>0</v>
      </c>
      <c r="BK188" s="584">
        <v>0</v>
      </c>
      <c r="BL188" s="584">
        <v>0</v>
      </c>
      <c r="BM188" s="584">
        <v>0</v>
      </c>
      <c r="BN188" s="584">
        <v>0</v>
      </c>
      <c r="BO188" s="584">
        <v>0</v>
      </c>
      <c r="BP188" s="584">
        <v>0</v>
      </c>
      <c r="BQ188" s="584">
        <v>0</v>
      </c>
      <c r="BR188" s="584">
        <v>0</v>
      </c>
      <c r="BS188" s="584">
        <v>0</v>
      </c>
      <c r="BT188" s="584">
        <v>0</v>
      </c>
      <c r="BU188" s="584">
        <v>0</v>
      </c>
      <c r="BV188" s="584">
        <v>0</v>
      </c>
      <c r="BW188" s="584">
        <v>0</v>
      </c>
      <c r="BX188" s="584">
        <v>0</v>
      </c>
      <c r="BY188" s="584">
        <v>0</v>
      </c>
      <c r="BZ188" s="584">
        <v>0</v>
      </c>
      <c r="CA188" s="584">
        <v>0</v>
      </c>
      <c r="CB188" s="584">
        <v>0</v>
      </c>
      <c r="CC188" s="584">
        <v>0</v>
      </c>
      <c r="CD188" s="584">
        <v>0</v>
      </c>
      <c r="CE188" s="584">
        <v>0</v>
      </c>
      <c r="CF188" s="584">
        <v>0</v>
      </c>
      <c r="CG188" s="584">
        <v>0</v>
      </c>
      <c r="CH188" s="584">
        <v>0</v>
      </c>
      <c r="CI188" s="584">
        <v>0</v>
      </c>
      <c r="CJ188" s="584">
        <v>0</v>
      </c>
      <c r="CK188" s="584">
        <v>0</v>
      </c>
      <c r="CL188" s="584">
        <v>0</v>
      </c>
      <c r="CM188" s="584">
        <v>0</v>
      </c>
      <c r="CN188" s="584">
        <v>0</v>
      </c>
      <c r="CO188" s="584">
        <v>0</v>
      </c>
      <c r="CP188" s="584">
        <v>0</v>
      </c>
      <c r="CQ188" s="584">
        <v>0</v>
      </c>
      <c r="CR188" s="584">
        <v>0</v>
      </c>
      <c r="CS188" s="584">
        <v>0</v>
      </c>
      <c r="CT188" s="584">
        <v>0</v>
      </c>
      <c r="CU188" s="584">
        <v>0</v>
      </c>
      <c r="CV188" s="584">
        <v>0</v>
      </c>
      <c r="CW188" s="584">
        <v>0</v>
      </c>
      <c r="CX188" s="584">
        <v>0</v>
      </c>
      <c r="CY188" s="584">
        <v>0</v>
      </c>
      <c r="CZ188" s="584">
        <v>0</v>
      </c>
      <c r="DA188" s="584">
        <v>0</v>
      </c>
      <c r="DB188" s="584">
        <v>0</v>
      </c>
      <c r="DC188" s="584">
        <v>0</v>
      </c>
      <c r="DD188" s="584">
        <v>0</v>
      </c>
      <c r="DE188" s="584">
        <v>0</v>
      </c>
      <c r="DF188" s="584">
        <v>0.55000000000000004</v>
      </c>
      <c r="DG188" s="584">
        <v>0.2</v>
      </c>
      <c r="DH188" s="584">
        <v>562.70195158102797</v>
      </c>
      <c r="DI188" s="584">
        <v>25.783098073122499</v>
      </c>
      <c r="DJ188" s="584">
        <v>300</v>
      </c>
      <c r="DK188" s="584">
        <v>0</v>
      </c>
      <c r="DL188" s="584">
        <v>0</v>
      </c>
      <c r="DM188" s="584">
        <v>0</v>
      </c>
      <c r="DN188" s="584">
        <v>0</v>
      </c>
      <c r="DO188" s="584">
        <v>0</v>
      </c>
      <c r="DP188" s="584">
        <v>0</v>
      </c>
      <c r="DQ188" s="584">
        <v>0</v>
      </c>
      <c r="DR188" s="584">
        <v>0.55000000000000004</v>
      </c>
      <c r="DS188" s="584">
        <v>0</v>
      </c>
      <c r="DT188" s="584">
        <v>2.4</v>
      </c>
      <c r="DU188" s="584">
        <v>298.65499999999997</v>
      </c>
      <c r="DV188" s="584">
        <v>78</v>
      </c>
      <c r="DW188" s="584">
        <v>477.44549999999998</v>
      </c>
      <c r="DX188" s="584">
        <v>163.80000000000001</v>
      </c>
      <c r="DY188" s="584">
        <v>763.18050000000005</v>
      </c>
      <c r="DZ188" s="584">
        <v>343.2</v>
      </c>
      <c r="EA188" s="1062">
        <v>0.9507000000000001</v>
      </c>
      <c r="EB188" s="1046">
        <v>0.4</v>
      </c>
      <c r="EC188" s="1093">
        <v>132.51783893985737</v>
      </c>
      <c r="ED188" s="1046">
        <v>0</v>
      </c>
      <c r="EE188" s="1046">
        <v>519.87767584097855</v>
      </c>
      <c r="EF188" s="1046">
        <v>40.503846153846155</v>
      </c>
      <c r="EG188" s="1046">
        <v>0</v>
      </c>
      <c r="EH188" s="1046">
        <v>0</v>
      </c>
      <c r="EI188" s="1046" t="s">
        <v>442</v>
      </c>
      <c r="EJ188" s="1046" t="s">
        <v>421</v>
      </c>
      <c r="EK188" s="1046">
        <v>0</v>
      </c>
      <c r="EL188" s="1046">
        <v>0</v>
      </c>
      <c r="EM188" s="1046">
        <v>0</v>
      </c>
      <c r="EN188" s="1046">
        <v>0</v>
      </c>
      <c r="EO188" s="1046">
        <v>0</v>
      </c>
      <c r="EP188" s="1094">
        <v>148.14818325000002</v>
      </c>
      <c r="EQ188" s="1094">
        <v>78</v>
      </c>
      <c r="ER188" s="1094">
        <v>296.29636650000003</v>
      </c>
      <c r="ES188" s="1095">
        <v>156</v>
      </c>
      <c r="ET188" s="1094">
        <v>592.59273300000007</v>
      </c>
      <c r="EU188" s="1094">
        <v>312</v>
      </c>
      <c r="EV188" s="1096">
        <v>0.68670000000000009</v>
      </c>
      <c r="EW188" s="1097">
        <v>0.15</v>
      </c>
      <c r="EX188" s="1096">
        <v>289.50050968399592</v>
      </c>
      <c r="EY188" s="1096">
        <v>1.5443934760448521</v>
      </c>
      <c r="EZ188" s="1096">
        <v>0</v>
      </c>
      <c r="FA188" s="1096">
        <v>21.469230769230769</v>
      </c>
      <c r="FB188" s="1098">
        <v>0</v>
      </c>
      <c r="FC188" s="1098">
        <v>0</v>
      </c>
      <c r="FD188" s="1098" t="s">
        <v>429</v>
      </c>
      <c r="FE188" s="1098" t="s">
        <v>432</v>
      </c>
      <c r="FF188" s="1098">
        <v>1</v>
      </c>
      <c r="FG188" s="1098">
        <v>0</v>
      </c>
      <c r="FH188" s="1098">
        <v>0</v>
      </c>
      <c r="FI188" s="1098">
        <v>0</v>
      </c>
      <c r="FJ188" s="1098">
        <v>0</v>
      </c>
      <c r="FK188" s="1096">
        <v>77.527391249999994</v>
      </c>
      <c r="FL188" s="1096">
        <v>78</v>
      </c>
      <c r="FM188" s="1096">
        <v>155.05478249999999</v>
      </c>
      <c r="FN188" s="1096">
        <v>156</v>
      </c>
      <c r="FO188" s="1096">
        <v>310.10956499999998</v>
      </c>
      <c r="FP188" s="1099">
        <v>312</v>
      </c>
      <c r="FQ188" s="1064">
        <v>1.0064981024599609</v>
      </c>
      <c r="FR188" s="1065">
        <v>0.15</v>
      </c>
      <c r="FS188" s="1066">
        <v>289.50050968399586</v>
      </c>
      <c r="FT188" s="1066">
        <v>3.2237153637237084</v>
      </c>
      <c r="FU188" s="1065"/>
      <c r="FV188" s="1066">
        <v>53.158439257771043</v>
      </c>
      <c r="FW188" s="1065"/>
      <c r="FX188" s="1065"/>
      <c r="FY188" s="1065" t="s">
        <v>416</v>
      </c>
      <c r="FZ188" s="1065" t="s">
        <v>1102</v>
      </c>
      <c r="GA188" s="1065">
        <v>1</v>
      </c>
      <c r="GB188" s="1065"/>
      <c r="GC188" s="1065"/>
      <c r="GD188" s="1065"/>
      <c r="GE188" s="1065"/>
      <c r="GF188" s="1066">
        <v>81.765624268318831</v>
      </c>
      <c r="GG188" s="1066">
        <v>78</v>
      </c>
      <c r="GH188" s="1066">
        <v>163.53124853663766</v>
      </c>
      <c r="GI188" s="1066">
        <v>156</v>
      </c>
      <c r="GJ188" s="1066">
        <v>327.06249707327532</v>
      </c>
      <c r="GK188" s="1066">
        <v>312</v>
      </c>
      <c r="GL188" s="584">
        <v>0.86</v>
      </c>
      <c r="GM188" s="584">
        <v>0.11</v>
      </c>
      <c r="GN188" s="584"/>
      <c r="GO188" s="584"/>
      <c r="GP188" s="584"/>
      <c r="GQ188" s="584">
        <v>49.687179487179499</v>
      </c>
      <c r="GR188" s="584"/>
      <c r="GS188" s="584">
        <v>56.065239551478101</v>
      </c>
      <c r="GT188" s="584" t="s">
        <v>438</v>
      </c>
      <c r="GU188" s="584" t="s">
        <v>389</v>
      </c>
      <c r="GV188" s="584">
        <v>1</v>
      </c>
      <c r="GW188" s="584"/>
      <c r="GX188" s="584"/>
      <c r="GY188" s="584"/>
      <c r="GZ188" s="584"/>
      <c r="HA188" s="584">
        <v>35.829909000000001</v>
      </c>
      <c r="HB188" s="584">
        <v>78</v>
      </c>
      <c r="HC188" s="584">
        <v>71.659818000000001</v>
      </c>
      <c r="HD188" s="584">
        <v>156</v>
      </c>
      <c r="HE188" s="584">
        <v>143.319636</v>
      </c>
      <c r="HF188" s="584">
        <v>312</v>
      </c>
      <c r="HG188" s="1100">
        <v>1.27</v>
      </c>
      <c r="HH188" s="1100">
        <v>0.11</v>
      </c>
      <c r="HI188" s="1101">
        <v>0</v>
      </c>
      <c r="HJ188" s="1101">
        <v>0</v>
      </c>
      <c r="HK188" s="1101">
        <v>0</v>
      </c>
      <c r="HL188" s="1101">
        <v>0</v>
      </c>
      <c r="HM188" s="1101">
        <v>60.341538461538448</v>
      </c>
      <c r="HN188" s="1101">
        <v>54.999999999999993</v>
      </c>
      <c r="HO188" s="1101">
        <v>0</v>
      </c>
      <c r="HP188" s="1101">
        <v>0</v>
      </c>
      <c r="HQ188" s="1101">
        <v>1</v>
      </c>
      <c r="HR188" s="1101">
        <v>0.84</v>
      </c>
      <c r="HS188" s="1101">
        <v>1.1599999999999999</v>
      </c>
      <c r="HT188" s="1101">
        <v>0.28000000000000003</v>
      </c>
      <c r="HU188" s="1101">
        <v>0.3</v>
      </c>
      <c r="HV188" s="1101">
        <v>37.664259599999994</v>
      </c>
      <c r="HW188" s="1101">
        <v>78</v>
      </c>
      <c r="HX188" s="1101">
        <v>75.328519199999988</v>
      </c>
      <c r="HY188" s="1101">
        <v>156</v>
      </c>
      <c r="HZ188" s="1101">
        <v>150.65703839999998</v>
      </c>
      <c r="IA188" s="1101">
        <v>312</v>
      </c>
      <c r="IB188" s="1062"/>
      <c r="ID188" s="1050"/>
      <c r="IE188" s="1050"/>
      <c r="IM188" s="1050"/>
      <c r="IN188" s="1050"/>
      <c r="IO188" s="1050"/>
      <c r="IP188" s="1050"/>
      <c r="JU188" s="1050"/>
      <c r="KC188" s="1050"/>
      <c r="KD188" s="1050"/>
      <c r="KE188" s="1050"/>
      <c r="KF188" s="1050"/>
      <c r="KN188" s="1103"/>
    </row>
    <row r="189" spans="2:300">
      <c r="B189" s="1048" t="str">
        <f t="shared" si="6"/>
        <v>E614</v>
      </c>
      <c r="C189" s="1046">
        <v>6</v>
      </c>
      <c r="D189" s="1092">
        <v>14</v>
      </c>
      <c r="E189" s="584">
        <v>0.49</v>
      </c>
      <c r="F189" s="584">
        <v>0.49</v>
      </c>
      <c r="G189" s="584">
        <v>1176</v>
      </c>
      <c r="H189" s="584">
        <v>24.01</v>
      </c>
      <c r="I189" s="584">
        <v>0</v>
      </c>
      <c r="J189" s="584">
        <v>0</v>
      </c>
      <c r="K189" s="584">
        <v>0</v>
      </c>
      <c r="L189" s="584">
        <v>0</v>
      </c>
      <c r="M189" s="584">
        <v>0</v>
      </c>
      <c r="N189" s="584">
        <v>0</v>
      </c>
      <c r="O189" s="584">
        <v>0</v>
      </c>
      <c r="P189" s="584">
        <v>0</v>
      </c>
      <c r="Q189" s="584">
        <v>0</v>
      </c>
      <c r="R189" s="584">
        <v>0</v>
      </c>
      <c r="S189" s="584">
        <v>0</v>
      </c>
      <c r="T189" s="584">
        <v>415.52143749999999</v>
      </c>
      <c r="U189" s="584">
        <v>84</v>
      </c>
      <c r="V189" s="584">
        <v>781.22775000000001</v>
      </c>
      <c r="W189" s="584">
        <v>176.4</v>
      </c>
      <c r="X189" s="584">
        <v>1214.8109999999999</v>
      </c>
      <c r="Y189" s="584">
        <v>369.6</v>
      </c>
      <c r="Z189" s="584">
        <v>0.48499999999999999</v>
      </c>
      <c r="AA189" s="584">
        <v>0.48499999999999999</v>
      </c>
      <c r="AB189" s="584">
        <v>1164</v>
      </c>
      <c r="AC189" s="584">
        <v>23</v>
      </c>
      <c r="AD189" s="584">
        <v>0</v>
      </c>
      <c r="AE189" s="584">
        <v>0</v>
      </c>
      <c r="AF189" s="584">
        <v>0</v>
      </c>
      <c r="AG189" s="584">
        <v>0</v>
      </c>
      <c r="AH189" s="584">
        <v>0</v>
      </c>
      <c r="AI189" s="584">
        <v>0</v>
      </c>
      <c r="AJ189" s="584">
        <v>0</v>
      </c>
      <c r="AK189" s="584">
        <v>0</v>
      </c>
      <c r="AL189" s="584">
        <v>0</v>
      </c>
      <c r="AM189" s="584">
        <v>0</v>
      </c>
      <c r="AN189" s="584">
        <v>0</v>
      </c>
      <c r="AO189" s="584">
        <v>412.64143749999999</v>
      </c>
      <c r="AP189" s="584">
        <v>84</v>
      </c>
      <c r="AQ189" s="584">
        <v>775.34775000000002</v>
      </c>
      <c r="AR189" s="584">
        <v>176.4</v>
      </c>
      <c r="AS189" s="584">
        <v>1203.261</v>
      </c>
      <c r="AT189" s="584">
        <v>369.6</v>
      </c>
      <c r="AU189" s="584">
        <v>0</v>
      </c>
      <c r="AV189" s="584">
        <v>0</v>
      </c>
      <c r="AW189" s="584">
        <v>0</v>
      </c>
      <c r="AX189" s="584">
        <v>0</v>
      </c>
      <c r="AY189" s="584">
        <v>0</v>
      </c>
      <c r="AZ189" s="584">
        <v>0</v>
      </c>
      <c r="BA189" s="584">
        <v>0</v>
      </c>
      <c r="BB189" s="584">
        <v>0</v>
      </c>
      <c r="BC189" s="584">
        <v>0</v>
      </c>
      <c r="BD189" s="584">
        <v>0</v>
      </c>
      <c r="BE189" s="584">
        <v>0</v>
      </c>
      <c r="BF189" s="584">
        <v>0</v>
      </c>
      <c r="BG189" s="584">
        <v>0</v>
      </c>
      <c r="BH189" s="584">
        <v>0</v>
      </c>
      <c r="BI189" s="584">
        <v>0</v>
      </c>
      <c r="BJ189" s="584">
        <v>0</v>
      </c>
      <c r="BK189" s="584">
        <v>0</v>
      </c>
      <c r="BL189" s="584">
        <v>0</v>
      </c>
      <c r="BM189" s="584">
        <v>0</v>
      </c>
      <c r="BN189" s="584">
        <v>0</v>
      </c>
      <c r="BO189" s="584">
        <v>0</v>
      </c>
      <c r="BP189" s="584">
        <v>0</v>
      </c>
      <c r="BQ189" s="584">
        <v>0</v>
      </c>
      <c r="BR189" s="584">
        <v>0</v>
      </c>
      <c r="BS189" s="584">
        <v>0</v>
      </c>
      <c r="BT189" s="584">
        <v>0</v>
      </c>
      <c r="BU189" s="584">
        <v>0</v>
      </c>
      <c r="BV189" s="584">
        <v>0</v>
      </c>
      <c r="BW189" s="584">
        <v>0</v>
      </c>
      <c r="BX189" s="584">
        <v>0</v>
      </c>
      <c r="BY189" s="584">
        <v>0</v>
      </c>
      <c r="BZ189" s="584">
        <v>0</v>
      </c>
      <c r="CA189" s="584">
        <v>0</v>
      </c>
      <c r="CB189" s="584">
        <v>0</v>
      </c>
      <c r="CC189" s="584">
        <v>0</v>
      </c>
      <c r="CD189" s="584">
        <v>0</v>
      </c>
      <c r="CE189" s="584">
        <v>0</v>
      </c>
      <c r="CF189" s="584">
        <v>0</v>
      </c>
      <c r="CG189" s="584">
        <v>0</v>
      </c>
      <c r="CH189" s="584">
        <v>0</v>
      </c>
      <c r="CI189" s="584">
        <v>0</v>
      </c>
      <c r="CJ189" s="584">
        <v>0</v>
      </c>
      <c r="CK189" s="584">
        <v>0</v>
      </c>
      <c r="CL189" s="584">
        <v>0</v>
      </c>
      <c r="CM189" s="584">
        <v>0</v>
      </c>
      <c r="CN189" s="584">
        <v>0</v>
      </c>
      <c r="CO189" s="584">
        <v>0</v>
      </c>
      <c r="CP189" s="584">
        <v>0</v>
      </c>
      <c r="CQ189" s="584">
        <v>0</v>
      </c>
      <c r="CR189" s="584">
        <v>0</v>
      </c>
      <c r="CS189" s="584">
        <v>0</v>
      </c>
      <c r="CT189" s="584">
        <v>0</v>
      </c>
      <c r="CU189" s="584">
        <v>0</v>
      </c>
      <c r="CV189" s="584">
        <v>0</v>
      </c>
      <c r="CW189" s="584">
        <v>0</v>
      </c>
      <c r="CX189" s="584">
        <v>0</v>
      </c>
      <c r="CY189" s="584">
        <v>0</v>
      </c>
      <c r="CZ189" s="584">
        <v>0</v>
      </c>
      <c r="DA189" s="584">
        <v>0</v>
      </c>
      <c r="DB189" s="584">
        <v>0</v>
      </c>
      <c r="DC189" s="584">
        <v>0</v>
      </c>
      <c r="DD189" s="584">
        <v>0</v>
      </c>
      <c r="DE189" s="584">
        <v>0</v>
      </c>
      <c r="DF189" s="584">
        <v>0.625</v>
      </c>
      <c r="DG189" s="584">
        <v>0.2</v>
      </c>
      <c r="DH189" s="584">
        <v>628.66981781996299</v>
      </c>
      <c r="DI189" s="584">
        <v>27.9946863900796</v>
      </c>
      <c r="DJ189" s="584">
        <v>300</v>
      </c>
      <c r="DK189" s="584">
        <v>0</v>
      </c>
      <c r="DL189" s="584">
        <v>0</v>
      </c>
      <c r="DM189" s="584">
        <v>0</v>
      </c>
      <c r="DN189" s="584">
        <v>0</v>
      </c>
      <c r="DO189" s="584">
        <v>0</v>
      </c>
      <c r="DP189" s="584">
        <v>0</v>
      </c>
      <c r="DQ189" s="584">
        <v>0</v>
      </c>
      <c r="DR189" s="584">
        <v>0.625</v>
      </c>
      <c r="DS189" s="584">
        <v>0</v>
      </c>
      <c r="DT189" s="584">
        <v>2.4</v>
      </c>
      <c r="DU189" s="584">
        <v>330.93624999999997</v>
      </c>
      <c r="DV189" s="584">
        <v>84</v>
      </c>
      <c r="DW189" s="584">
        <v>538.40174999999999</v>
      </c>
      <c r="DX189" s="584">
        <v>176.4</v>
      </c>
      <c r="DY189" s="584">
        <v>884.07825000000003</v>
      </c>
      <c r="DZ189" s="584">
        <v>369.6</v>
      </c>
      <c r="EA189" s="1062">
        <v>1.0103</v>
      </c>
      <c r="EB189" s="1046">
        <v>0.45</v>
      </c>
      <c r="EC189" s="1093">
        <v>132.51783893985726</v>
      </c>
      <c r="ED189" s="1046">
        <v>0</v>
      </c>
      <c r="EE189" s="1046">
        <v>581.03975535168195</v>
      </c>
      <c r="EF189" s="1046">
        <v>45.988095238095241</v>
      </c>
      <c r="EG189" s="1046">
        <v>0</v>
      </c>
      <c r="EH189" s="1046">
        <v>0</v>
      </c>
      <c r="EI189" s="1046" t="s">
        <v>442</v>
      </c>
      <c r="EJ189" s="1046" t="s">
        <v>420</v>
      </c>
      <c r="EK189" s="1046">
        <v>0</v>
      </c>
      <c r="EL189" s="1046">
        <v>0</v>
      </c>
      <c r="EM189" s="1046">
        <v>0</v>
      </c>
      <c r="EN189" s="1046">
        <v>0</v>
      </c>
      <c r="EO189" s="1046">
        <v>0</v>
      </c>
      <c r="EP189" s="1094">
        <v>173.27400750000001</v>
      </c>
      <c r="EQ189" s="1094">
        <v>84</v>
      </c>
      <c r="ER189" s="1094">
        <v>346.54801500000002</v>
      </c>
      <c r="ES189" s="1095">
        <v>168</v>
      </c>
      <c r="ET189" s="1094">
        <v>693.09603000000004</v>
      </c>
      <c r="EU189" s="1094">
        <v>336</v>
      </c>
      <c r="EV189" s="1096">
        <v>0.75260000000000005</v>
      </c>
      <c r="EW189" s="1097">
        <v>0.15</v>
      </c>
      <c r="EX189" s="1096">
        <v>289.50050968399592</v>
      </c>
      <c r="EY189" s="1096">
        <v>1.5443934760448521</v>
      </c>
      <c r="EZ189" s="1096">
        <v>0</v>
      </c>
      <c r="FA189" s="1096">
        <v>24.080952380952379</v>
      </c>
      <c r="FB189" s="1098">
        <v>0</v>
      </c>
      <c r="FC189" s="1098">
        <v>0</v>
      </c>
      <c r="FD189" s="1098" t="s">
        <v>429</v>
      </c>
      <c r="FE189" s="1098" t="s">
        <v>410</v>
      </c>
      <c r="FF189" s="1098">
        <v>1</v>
      </c>
      <c r="FG189" s="1098">
        <v>0</v>
      </c>
      <c r="FH189" s="1098">
        <v>0</v>
      </c>
      <c r="FI189" s="1098">
        <v>0</v>
      </c>
      <c r="FJ189" s="1098">
        <v>0</v>
      </c>
      <c r="FK189" s="1096">
        <v>84.029077500000014</v>
      </c>
      <c r="FL189" s="1096">
        <v>84</v>
      </c>
      <c r="FM189" s="1096">
        <v>168.05815500000003</v>
      </c>
      <c r="FN189" s="1096">
        <v>168</v>
      </c>
      <c r="FO189" s="1096">
        <v>336.11631000000006</v>
      </c>
      <c r="FP189" s="1099">
        <v>336</v>
      </c>
      <c r="FQ189" s="1064">
        <v>1.0110981024599608</v>
      </c>
      <c r="FR189" s="1065">
        <v>0.15</v>
      </c>
      <c r="FS189" s="1066">
        <v>289.50050968399586</v>
      </c>
      <c r="FT189" s="1066">
        <v>3.2237153637237084</v>
      </c>
      <c r="FU189" s="1065"/>
      <c r="FV189" s="1066">
        <v>61.144794687852666</v>
      </c>
      <c r="FW189" s="1065"/>
      <c r="FX189" s="1065"/>
      <c r="FY189" s="1065" t="s">
        <v>414</v>
      </c>
      <c r="FZ189" s="1065" t="s">
        <v>408</v>
      </c>
      <c r="GA189" s="1065">
        <v>1</v>
      </c>
      <c r="GB189" s="1065"/>
      <c r="GC189" s="1065"/>
      <c r="GD189" s="1065"/>
      <c r="GE189" s="1065"/>
      <c r="GF189" s="1066">
        <v>89.700556755725231</v>
      </c>
      <c r="GG189" s="1066">
        <v>84</v>
      </c>
      <c r="GH189" s="1066">
        <v>179.40111351145046</v>
      </c>
      <c r="GI189" s="1066">
        <v>168</v>
      </c>
      <c r="GJ189" s="1066">
        <v>358.80222702290092</v>
      </c>
      <c r="GK189" s="1066">
        <v>336</v>
      </c>
      <c r="GL189" s="584">
        <v>0.87219999999999998</v>
      </c>
      <c r="GM189" s="584">
        <v>0.11</v>
      </c>
      <c r="GN189" s="584"/>
      <c r="GO189" s="584"/>
      <c r="GP189" s="584"/>
      <c r="GQ189" s="584">
        <v>62.966666666666697</v>
      </c>
      <c r="GR189" s="584"/>
      <c r="GS189" s="584">
        <v>56.065239551478101</v>
      </c>
      <c r="GT189" s="584" t="s">
        <v>456</v>
      </c>
      <c r="GU189" s="584" t="s">
        <v>385</v>
      </c>
      <c r="GV189" s="584">
        <v>1</v>
      </c>
      <c r="GW189" s="584"/>
      <c r="GX189" s="584"/>
      <c r="GY189" s="584"/>
      <c r="GZ189" s="584"/>
      <c r="HA189" s="584">
        <v>41.321762999999997</v>
      </c>
      <c r="HB189" s="584">
        <v>84</v>
      </c>
      <c r="HC189" s="584">
        <v>82.643525999999994</v>
      </c>
      <c r="HD189" s="584">
        <v>168</v>
      </c>
      <c r="HE189" s="584">
        <v>165.28705199999999</v>
      </c>
      <c r="HF189" s="584">
        <v>336</v>
      </c>
      <c r="HG189" s="1100">
        <v>1.3900000000000001</v>
      </c>
      <c r="HH189" s="1100">
        <v>0.11</v>
      </c>
      <c r="HI189" s="1101">
        <v>0</v>
      </c>
      <c r="HJ189" s="1101">
        <v>0</v>
      </c>
      <c r="HK189" s="1101">
        <v>0</v>
      </c>
      <c r="HL189" s="1101">
        <v>0</v>
      </c>
      <c r="HM189" s="1101">
        <v>65.700000000000017</v>
      </c>
      <c r="HN189" s="1101">
        <v>54.999999999999993</v>
      </c>
      <c r="HO189" s="1101">
        <v>0</v>
      </c>
      <c r="HP189" s="1101">
        <v>0</v>
      </c>
      <c r="HQ189" s="1101">
        <v>1</v>
      </c>
      <c r="HR189" s="1101">
        <v>0.84</v>
      </c>
      <c r="HS189" s="1101">
        <v>1.28</v>
      </c>
      <c r="HT189" s="1101">
        <v>0.3</v>
      </c>
      <c r="HU189" s="1101">
        <v>0.3</v>
      </c>
      <c r="HV189" s="1101">
        <v>41.665407000000002</v>
      </c>
      <c r="HW189" s="1101">
        <v>84</v>
      </c>
      <c r="HX189" s="1101">
        <v>83.330814000000004</v>
      </c>
      <c r="HY189" s="1101">
        <v>168</v>
      </c>
      <c r="HZ189" s="1101">
        <v>166.66162800000001</v>
      </c>
      <c r="IA189" s="1101">
        <v>336</v>
      </c>
      <c r="IB189" s="1062"/>
      <c r="ID189" s="1050"/>
      <c r="IE189" s="1050"/>
      <c r="IM189" s="1050"/>
      <c r="IN189" s="1050"/>
      <c r="IO189" s="1050"/>
      <c r="IP189" s="1050"/>
      <c r="JU189" s="1050"/>
      <c r="KC189" s="1050"/>
      <c r="KD189" s="1050"/>
      <c r="KE189" s="1050"/>
      <c r="KF189" s="1050"/>
      <c r="KN189" s="1103"/>
    </row>
    <row r="190" spans="2:300">
      <c r="B190" s="1048" t="str">
        <f t="shared" si="6"/>
        <v>E615</v>
      </c>
      <c r="C190" s="1046">
        <v>6</v>
      </c>
      <c r="D190" s="1092">
        <v>15</v>
      </c>
      <c r="E190" s="584">
        <v>0</v>
      </c>
      <c r="F190" s="584">
        <v>0</v>
      </c>
      <c r="G190" s="584">
        <v>0</v>
      </c>
      <c r="H190" s="584">
        <v>0</v>
      </c>
      <c r="I190" s="584">
        <v>0</v>
      </c>
      <c r="J190" s="584">
        <v>0</v>
      </c>
      <c r="K190" s="584">
        <v>0</v>
      </c>
      <c r="L190" s="584">
        <v>0</v>
      </c>
      <c r="M190" s="584">
        <v>0</v>
      </c>
      <c r="N190" s="584">
        <v>0</v>
      </c>
      <c r="O190" s="584">
        <v>0</v>
      </c>
      <c r="P190" s="584">
        <v>0</v>
      </c>
      <c r="Q190" s="584">
        <v>0</v>
      </c>
      <c r="R190" s="584">
        <v>0</v>
      </c>
      <c r="S190" s="584">
        <v>0</v>
      </c>
      <c r="T190" s="584">
        <v>0</v>
      </c>
      <c r="U190" s="584">
        <v>0</v>
      </c>
      <c r="V190" s="584">
        <v>0</v>
      </c>
      <c r="W190" s="584">
        <v>0</v>
      </c>
      <c r="X190" s="584">
        <v>0</v>
      </c>
      <c r="Y190" s="584">
        <v>0</v>
      </c>
      <c r="Z190" s="584">
        <v>0</v>
      </c>
      <c r="AA190" s="584">
        <v>0</v>
      </c>
      <c r="AB190" s="584">
        <v>0</v>
      </c>
      <c r="AC190" s="584">
        <v>0</v>
      </c>
      <c r="AD190" s="584">
        <v>0</v>
      </c>
      <c r="AE190" s="584">
        <v>0</v>
      </c>
      <c r="AF190" s="584">
        <v>0</v>
      </c>
      <c r="AG190" s="584">
        <v>0</v>
      </c>
      <c r="AH190" s="584">
        <v>0</v>
      </c>
      <c r="AI190" s="584">
        <v>0</v>
      </c>
      <c r="AJ190" s="584">
        <v>0</v>
      </c>
      <c r="AK190" s="584">
        <v>0</v>
      </c>
      <c r="AL190" s="584">
        <v>0</v>
      </c>
      <c r="AM190" s="584">
        <v>0</v>
      </c>
      <c r="AN190" s="584">
        <v>0</v>
      </c>
      <c r="AO190" s="584">
        <v>0</v>
      </c>
      <c r="AP190" s="584">
        <v>0</v>
      </c>
      <c r="AQ190" s="584">
        <v>0</v>
      </c>
      <c r="AR190" s="584">
        <v>0</v>
      </c>
      <c r="AS190" s="584">
        <v>0</v>
      </c>
      <c r="AT190" s="584">
        <v>0</v>
      </c>
      <c r="AU190" s="584">
        <v>0</v>
      </c>
      <c r="AV190" s="584">
        <v>0</v>
      </c>
      <c r="AW190" s="584">
        <v>0</v>
      </c>
      <c r="AX190" s="584">
        <v>0</v>
      </c>
      <c r="AY190" s="584">
        <v>0</v>
      </c>
      <c r="AZ190" s="584">
        <v>0</v>
      </c>
      <c r="BA190" s="584">
        <v>0</v>
      </c>
      <c r="BB190" s="584">
        <v>0</v>
      </c>
      <c r="BC190" s="584">
        <v>0</v>
      </c>
      <c r="BD190" s="584">
        <v>0</v>
      </c>
      <c r="BE190" s="584">
        <v>0</v>
      </c>
      <c r="BF190" s="584">
        <v>0</v>
      </c>
      <c r="BG190" s="584">
        <v>0</v>
      </c>
      <c r="BH190" s="584">
        <v>0</v>
      </c>
      <c r="BI190" s="584">
        <v>0</v>
      </c>
      <c r="BJ190" s="584">
        <v>0</v>
      </c>
      <c r="BK190" s="584">
        <v>0</v>
      </c>
      <c r="BL190" s="584">
        <v>0</v>
      </c>
      <c r="BM190" s="584">
        <v>0</v>
      </c>
      <c r="BN190" s="584">
        <v>0</v>
      </c>
      <c r="BO190" s="584">
        <v>0</v>
      </c>
      <c r="BP190" s="584">
        <v>0</v>
      </c>
      <c r="BQ190" s="584">
        <v>0</v>
      </c>
      <c r="BR190" s="584">
        <v>0</v>
      </c>
      <c r="BS190" s="584">
        <v>0</v>
      </c>
      <c r="BT190" s="584">
        <v>0</v>
      </c>
      <c r="BU190" s="584">
        <v>0</v>
      </c>
      <c r="BV190" s="584">
        <v>0</v>
      </c>
      <c r="BW190" s="584">
        <v>0</v>
      </c>
      <c r="BX190" s="584">
        <v>0</v>
      </c>
      <c r="BY190" s="584">
        <v>0</v>
      </c>
      <c r="BZ190" s="584">
        <v>0</v>
      </c>
      <c r="CA190" s="584">
        <v>0</v>
      </c>
      <c r="CB190" s="584">
        <v>0</v>
      </c>
      <c r="CC190" s="584">
        <v>0</v>
      </c>
      <c r="CD190" s="584">
        <v>0</v>
      </c>
      <c r="CE190" s="584">
        <v>0</v>
      </c>
      <c r="CF190" s="584">
        <v>0</v>
      </c>
      <c r="CG190" s="584">
        <v>0</v>
      </c>
      <c r="CH190" s="584">
        <v>0</v>
      </c>
      <c r="CI190" s="584">
        <v>0</v>
      </c>
      <c r="CJ190" s="584">
        <v>0</v>
      </c>
      <c r="CK190" s="584">
        <v>0</v>
      </c>
      <c r="CL190" s="584">
        <v>0</v>
      </c>
      <c r="CM190" s="584">
        <v>0</v>
      </c>
      <c r="CN190" s="584">
        <v>0</v>
      </c>
      <c r="CO190" s="584">
        <v>0</v>
      </c>
      <c r="CP190" s="584">
        <v>0</v>
      </c>
      <c r="CQ190" s="584">
        <v>0</v>
      </c>
      <c r="CR190" s="584">
        <v>0</v>
      </c>
      <c r="CS190" s="584">
        <v>0</v>
      </c>
      <c r="CT190" s="584">
        <v>0</v>
      </c>
      <c r="CU190" s="584">
        <v>0</v>
      </c>
      <c r="CV190" s="584">
        <v>0</v>
      </c>
      <c r="CW190" s="584">
        <v>0</v>
      </c>
      <c r="CX190" s="584">
        <v>0</v>
      </c>
      <c r="CY190" s="584">
        <v>0</v>
      </c>
      <c r="CZ190" s="584">
        <v>0</v>
      </c>
      <c r="DA190" s="584">
        <v>0</v>
      </c>
      <c r="DB190" s="584">
        <v>0</v>
      </c>
      <c r="DC190" s="584">
        <v>0</v>
      </c>
      <c r="DD190" s="584">
        <v>0</v>
      </c>
      <c r="DE190" s="584">
        <v>0</v>
      </c>
      <c r="DF190" s="584">
        <v>0</v>
      </c>
      <c r="DG190" s="584">
        <v>0</v>
      </c>
      <c r="DH190" s="584">
        <v>0</v>
      </c>
      <c r="DI190" s="584">
        <v>0</v>
      </c>
      <c r="DJ190" s="584">
        <v>0</v>
      </c>
      <c r="DK190" s="584">
        <v>0</v>
      </c>
      <c r="DL190" s="584">
        <v>0</v>
      </c>
      <c r="DM190" s="584">
        <v>0</v>
      </c>
      <c r="DN190" s="584">
        <v>0</v>
      </c>
      <c r="DO190" s="584">
        <v>0</v>
      </c>
      <c r="DP190" s="584">
        <v>0</v>
      </c>
      <c r="DQ190" s="584">
        <v>0</v>
      </c>
      <c r="DR190" s="584">
        <v>0</v>
      </c>
      <c r="DS190" s="584">
        <v>0</v>
      </c>
      <c r="DT190" s="584">
        <v>0</v>
      </c>
      <c r="DU190" s="584">
        <v>0</v>
      </c>
      <c r="DV190" s="584">
        <v>0</v>
      </c>
      <c r="DW190" s="584">
        <v>0</v>
      </c>
      <c r="DX190" s="584">
        <v>0</v>
      </c>
      <c r="DY190" s="584">
        <v>0</v>
      </c>
      <c r="DZ190" s="584">
        <v>0</v>
      </c>
      <c r="EA190" s="1062">
        <v>0</v>
      </c>
      <c r="EB190" s="1046">
        <v>0</v>
      </c>
      <c r="EC190" s="1093">
        <v>0</v>
      </c>
      <c r="ED190" s="1046">
        <v>0</v>
      </c>
      <c r="EE190" s="1046">
        <v>0</v>
      </c>
      <c r="EF190" s="1046">
        <v>0</v>
      </c>
      <c r="EG190" s="1046">
        <v>0</v>
      </c>
      <c r="EH190" s="1046">
        <v>0</v>
      </c>
      <c r="EI190" s="1046">
        <v>0</v>
      </c>
      <c r="EJ190" s="1046">
        <v>0</v>
      </c>
      <c r="EK190" s="1046">
        <v>0</v>
      </c>
      <c r="EL190" s="1046">
        <v>0</v>
      </c>
      <c r="EM190" s="1046">
        <v>0</v>
      </c>
      <c r="EN190" s="1046">
        <v>0</v>
      </c>
      <c r="EO190" s="1046">
        <v>0</v>
      </c>
      <c r="EP190" s="1094">
        <v>0</v>
      </c>
      <c r="EQ190" s="1094">
        <v>0</v>
      </c>
      <c r="ER190" s="1094">
        <v>0</v>
      </c>
      <c r="ES190" s="1095">
        <v>0</v>
      </c>
      <c r="ET190" s="1094">
        <v>0</v>
      </c>
      <c r="EU190" s="1094">
        <v>0</v>
      </c>
      <c r="EV190" s="1096">
        <v>0.75260000000000005</v>
      </c>
      <c r="EW190" s="1097">
        <v>0.15</v>
      </c>
      <c r="EX190" s="1096">
        <v>289.50050968399592</v>
      </c>
      <c r="EY190" s="1096">
        <v>1.5443934760448521</v>
      </c>
      <c r="EZ190" s="1096">
        <v>0</v>
      </c>
      <c r="FA190" s="1096">
        <v>24.133333333333333</v>
      </c>
      <c r="FB190" s="1098">
        <v>0</v>
      </c>
      <c r="FC190" s="1098">
        <v>0</v>
      </c>
      <c r="FD190" s="1098" t="s">
        <v>428</v>
      </c>
      <c r="FE190" s="1098" t="s">
        <v>410</v>
      </c>
      <c r="FF190" s="1098">
        <v>1</v>
      </c>
      <c r="FG190" s="1098">
        <v>0</v>
      </c>
      <c r="FH190" s="1098">
        <v>0</v>
      </c>
      <c r="FI190" s="1098">
        <v>0</v>
      </c>
      <c r="FJ190" s="1098">
        <v>0</v>
      </c>
      <c r="FK190" s="1096">
        <v>90.042716249999998</v>
      </c>
      <c r="FL190" s="1096">
        <v>90</v>
      </c>
      <c r="FM190" s="1096">
        <v>180.0854325</v>
      </c>
      <c r="FN190" s="1096">
        <v>180</v>
      </c>
      <c r="FO190" s="1096">
        <v>360.17086499999999</v>
      </c>
      <c r="FP190" s="1099">
        <v>360</v>
      </c>
      <c r="FQ190" s="1064">
        <v>1.1157674201721295</v>
      </c>
      <c r="FR190" s="1065">
        <v>0.15</v>
      </c>
      <c r="FS190" s="1066">
        <v>289.50050968399586</v>
      </c>
      <c r="FT190" s="1066">
        <v>3.2237153637237084</v>
      </c>
      <c r="FU190" s="1065"/>
      <c r="FV190" s="1066">
        <v>65.757510904080021</v>
      </c>
      <c r="FW190" s="1065"/>
      <c r="FX190" s="1065"/>
      <c r="FY190" s="1065" t="s">
        <v>412</v>
      </c>
      <c r="FZ190" s="1065" t="s">
        <v>396</v>
      </c>
      <c r="GA190" s="1065">
        <v>1</v>
      </c>
      <c r="GB190" s="1065"/>
      <c r="GC190" s="1065"/>
      <c r="GD190" s="1065"/>
      <c r="GE190" s="1065"/>
      <c r="GF190" s="1066">
        <v>97.125881167960969</v>
      </c>
      <c r="GG190" s="1066">
        <v>90</v>
      </c>
      <c r="GH190" s="1066">
        <v>194.25176233592194</v>
      </c>
      <c r="GI190" s="1066">
        <v>180</v>
      </c>
      <c r="GJ190" s="1066">
        <v>388.50352467184388</v>
      </c>
      <c r="GK190" s="1066">
        <v>360</v>
      </c>
      <c r="GL190" s="584">
        <v>0.95069999999999999</v>
      </c>
      <c r="GM190" s="584">
        <v>0.11</v>
      </c>
      <c r="GN190" s="584"/>
      <c r="GO190" s="584"/>
      <c r="GP190" s="584"/>
      <c r="GQ190" s="584">
        <v>69.58</v>
      </c>
      <c r="GR190" s="584"/>
      <c r="GS190" s="584">
        <v>56.065239551478101</v>
      </c>
      <c r="GT190" s="584" t="s">
        <v>436</v>
      </c>
      <c r="GU190" s="584" t="s">
        <v>379</v>
      </c>
      <c r="GV190" s="584">
        <v>1</v>
      </c>
      <c r="GW190" s="584"/>
      <c r="GX190" s="584"/>
      <c r="GY190" s="584"/>
      <c r="GZ190" s="584"/>
      <c r="HA190" s="584">
        <v>45.733045500000003</v>
      </c>
      <c r="HB190" s="584">
        <v>90</v>
      </c>
      <c r="HC190" s="584">
        <v>91.466091000000006</v>
      </c>
      <c r="HD190" s="584">
        <v>180</v>
      </c>
      <c r="HE190" s="584">
        <v>182.93218200000001</v>
      </c>
      <c r="HF190" s="584">
        <v>360</v>
      </c>
      <c r="HG190" s="1100">
        <v>1.51</v>
      </c>
      <c r="HH190" s="1100">
        <v>0.11</v>
      </c>
      <c r="HI190" s="1101">
        <v>0</v>
      </c>
      <c r="HJ190" s="1101">
        <v>0</v>
      </c>
      <c r="HK190" s="1101">
        <v>0</v>
      </c>
      <c r="HL190" s="1101">
        <v>0</v>
      </c>
      <c r="HM190" s="1101">
        <v>70.919999999999987</v>
      </c>
      <c r="HN190" s="1101">
        <v>54.999999999999993</v>
      </c>
      <c r="HO190" s="1101">
        <v>0</v>
      </c>
      <c r="HP190" s="1101">
        <v>0</v>
      </c>
      <c r="HQ190" s="1101">
        <v>1</v>
      </c>
      <c r="HR190" s="1101">
        <v>0.88</v>
      </c>
      <c r="HS190" s="1101">
        <v>1.4</v>
      </c>
      <c r="HT190" s="1101">
        <v>0.3</v>
      </c>
      <c r="HU190" s="1101">
        <v>0.3</v>
      </c>
      <c r="HV190" s="1101">
        <v>45.793692</v>
      </c>
      <c r="HW190" s="1101">
        <v>90</v>
      </c>
      <c r="HX190" s="1101">
        <v>91.587384</v>
      </c>
      <c r="HY190" s="1101">
        <v>180</v>
      </c>
      <c r="HZ190" s="1101">
        <v>183.174768</v>
      </c>
      <c r="IA190" s="1101">
        <v>360</v>
      </c>
      <c r="IB190" s="1062"/>
      <c r="ID190" s="1050"/>
      <c r="IE190" s="1050"/>
      <c r="IM190" s="1050"/>
      <c r="IN190" s="1050"/>
      <c r="IO190" s="1050"/>
      <c r="IP190" s="1050"/>
      <c r="JU190" s="1050"/>
      <c r="KC190" s="1050"/>
      <c r="KD190" s="1050"/>
      <c r="KE190" s="1050"/>
      <c r="KF190" s="1050"/>
      <c r="KN190" s="1103"/>
    </row>
    <row r="191" spans="2:300">
      <c r="B191" s="1048" t="str">
        <f t="shared" si="6"/>
        <v>E616</v>
      </c>
      <c r="C191" s="1046">
        <v>6</v>
      </c>
      <c r="D191" s="1092">
        <v>16</v>
      </c>
      <c r="E191" s="584">
        <v>0</v>
      </c>
      <c r="F191" s="584">
        <v>0</v>
      </c>
      <c r="G191" s="584">
        <v>0</v>
      </c>
      <c r="H191" s="584">
        <v>0</v>
      </c>
      <c r="I191" s="584">
        <v>0</v>
      </c>
      <c r="J191" s="584">
        <v>0</v>
      </c>
      <c r="K191" s="584">
        <v>0</v>
      </c>
      <c r="L191" s="584">
        <v>0</v>
      </c>
      <c r="M191" s="584">
        <v>0</v>
      </c>
      <c r="N191" s="584">
        <v>0</v>
      </c>
      <c r="O191" s="584">
        <v>0</v>
      </c>
      <c r="P191" s="584">
        <v>0</v>
      </c>
      <c r="Q191" s="584">
        <v>0</v>
      </c>
      <c r="R191" s="584">
        <v>0</v>
      </c>
      <c r="S191" s="584">
        <v>0</v>
      </c>
      <c r="T191" s="584">
        <v>0</v>
      </c>
      <c r="U191" s="584">
        <v>0</v>
      </c>
      <c r="V191" s="584">
        <v>0</v>
      </c>
      <c r="W191" s="584">
        <v>0</v>
      </c>
      <c r="X191" s="584">
        <v>0</v>
      </c>
      <c r="Y191" s="584">
        <v>0</v>
      </c>
      <c r="Z191" s="584">
        <v>0</v>
      </c>
      <c r="AA191" s="584">
        <v>0</v>
      </c>
      <c r="AB191" s="584">
        <v>0</v>
      </c>
      <c r="AC191" s="584">
        <v>0</v>
      </c>
      <c r="AD191" s="584">
        <v>0</v>
      </c>
      <c r="AE191" s="584">
        <v>0</v>
      </c>
      <c r="AF191" s="584">
        <v>0</v>
      </c>
      <c r="AG191" s="584">
        <v>0</v>
      </c>
      <c r="AH191" s="584">
        <v>0</v>
      </c>
      <c r="AI191" s="584">
        <v>0</v>
      </c>
      <c r="AJ191" s="584">
        <v>0</v>
      </c>
      <c r="AK191" s="584">
        <v>0</v>
      </c>
      <c r="AL191" s="584">
        <v>0</v>
      </c>
      <c r="AM191" s="584">
        <v>0</v>
      </c>
      <c r="AN191" s="584">
        <v>0</v>
      </c>
      <c r="AO191" s="584">
        <v>146.80143749999999</v>
      </c>
      <c r="AP191" s="584">
        <v>96</v>
      </c>
      <c r="AQ191" s="584">
        <v>232.19343749999999</v>
      </c>
      <c r="AR191" s="584">
        <v>201.6</v>
      </c>
      <c r="AS191" s="584">
        <v>93.471000000000004</v>
      </c>
      <c r="AT191" s="584">
        <v>422.4</v>
      </c>
      <c r="AU191" s="584">
        <v>0</v>
      </c>
      <c r="AV191" s="584">
        <v>0</v>
      </c>
      <c r="AW191" s="584">
        <v>0</v>
      </c>
      <c r="AX191" s="584">
        <v>0</v>
      </c>
      <c r="AY191" s="584">
        <v>0</v>
      </c>
      <c r="AZ191" s="584">
        <v>0</v>
      </c>
      <c r="BA191" s="584">
        <v>0</v>
      </c>
      <c r="BB191" s="584">
        <v>0</v>
      </c>
      <c r="BC191" s="584">
        <v>0</v>
      </c>
      <c r="BD191" s="584">
        <v>0</v>
      </c>
      <c r="BE191" s="584">
        <v>0</v>
      </c>
      <c r="BF191" s="584">
        <v>0</v>
      </c>
      <c r="BG191" s="584">
        <v>0</v>
      </c>
      <c r="BH191" s="584">
        <v>0</v>
      </c>
      <c r="BI191" s="584">
        <v>0</v>
      </c>
      <c r="BJ191" s="584">
        <v>0</v>
      </c>
      <c r="BK191" s="584">
        <v>0</v>
      </c>
      <c r="BL191" s="584">
        <v>0</v>
      </c>
      <c r="BM191" s="584">
        <v>0</v>
      </c>
      <c r="BN191" s="584">
        <v>0</v>
      </c>
      <c r="BO191" s="584">
        <v>0</v>
      </c>
      <c r="BP191" s="584">
        <v>0</v>
      </c>
      <c r="BQ191" s="584">
        <v>0</v>
      </c>
      <c r="BR191" s="584">
        <v>0</v>
      </c>
      <c r="BS191" s="584">
        <v>0</v>
      </c>
      <c r="BT191" s="584">
        <v>0</v>
      </c>
      <c r="BU191" s="584">
        <v>0</v>
      </c>
      <c r="BV191" s="584">
        <v>0</v>
      </c>
      <c r="BW191" s="584">
        <v>0</v>
      </c>
      <c r="BX191" s="584">
        <v>0</v>
      </c>
      <c r="BY191" s="584">
        <v>0</v>
      </c>
      <c r="BZ191" s="584">
        <v>0</v>
      </c>
      <c r="CA191" s="584">
        <v>0</v>
      </c>
      <c r="CB191" s="584">
        <v>0</v>
      </c>
      <c r="CC191" s="584">
        <v>0</v>
      </c>
      <c r="CD191" s="584">
        <v>0</v>
      </c>
      <c r="CE191" s="584">
        <v>0</v>
      </c>
      <c r="CF191" s="584">
        <v>0</v>
      </c>
      <c r="CG191" s="584">
        <v>0</v>
      </c>
      <c r="CH191" s="584">
        <v>0</v>
      </c>
      <c r="CI191" s="584">
        <v>0</v>
      </c>
      <c r="CJ191" s="584">
        <v>0</v>
      </c>
      <c r="CK191" s="584">
        <v>0</v>
      </c>
      <c r="CL191" s="584">
        <v>0</v>
      </c>
      <c r="CM191" s="584">
        <v>0</v>
      </c>
      <c r="CN191" s="584">
        <v>0</v>
      </c>
      <c r="CO191" s="584">
        <v>0</v>
      </c>
      <c r="CP191" s="584">
        <v>0</v>
      </c>
      <c r="CQ191" s="584">
        <v>0</v>
      </c>
      <c r="CR191" s="584">
        <v>0</v>
      </c>
      <c r="CS191" s="584">
        <v>0</v>
      </c>
      <c r="CT191" s="584">
        <v>0</v>
      </c>
      <c r="CU191" s="584">
        <v>0</v>
      </c>
      <c r="CV191" s="584">
        <v>0</v>
      </c>
      <c r="CW191" s="584">
        <v>0</v>
      </c>
      <c r="CX191" s="584">
        <v>0</v>
      </c>
      <c r="CY191" s="584">
        <v>0</v>
      </c>
      <c r="CZ191" s="584">
        <v>0</v>
      </c>
      <c r="DA191" s="584">
        <v>0</v>
      </c>
      <c r="DB191" s="584">
        <v>0</v>
      </c>
      <c r="DC191" s="584">
        <v>0</v>
      </c>
      <c r="DD191" s="584">
        <v>0</v>
      </c>
      <c r="DE191" s="584">
        <v>0</v>
      </c>
      <c r="DF191" s="584">
        <v>0</v>
      </c>
      <c r="DG191" s="584">
        <v>0</v>
      </c>
      <c r="DH191" s="584">
        <v>0</v>
      </c>
      <c r="DI191" s="584">
        <v>0</v>
      </c>
      <c r="DJ191" s="584">
        <v>0</v>
      </c>
      <c r="DK191" s="584">
        <v>0</v>
      </c>
      <c r="DL191" s="584">
        <v>0</v>
      </c>
      <c r="DM191" s="584">
        <v>0</v>
      </c>
      <c r="DN191" s="584">
        <v>0</v>
      </c>
      <c r="DO191" s="584">
        <v>0</v>
      </c>
      <c r="DP191" s="584">
        <v>0</v>
      </c>
      <c r="DQ191" s="584">
        <v>0</v>
      </c>
      <c r="DR191" s="584">
        <v>0</v>
      </c>
      <c r="DS191" s="584">
        <v>0</v>
      </c>
      <c r="DT191" s="584">
        <v>0</v>
      </c>
      <c r="DU191" s="584">
        <v>0</v>
      </c>
      <c r="DV191" s="584">
        <v>0</v>
      </c>
      <c r="DW191" s="584">
        <v>0</v>
      </c>
      <c r="DX191" s="584">
        <v>0</v>
      </c>
      <c r="DY191" s="584">
        <v>0</v>
      </c>
      <c r="DZ191" s="584">
        <v>0</v>
      </c>
      <c r="EA191" s="1062">
        <v>0</v>
      </c>
      <c r="EB191" s="1046">
        <v>0</v>
      </c>
      <c r="EC191" s="1093">
        <v>0</v>
      </c>
      <c r="ED191" s="1046">
        <v>0</v>
      </c>
      <c r="EE191" s="1046">
        <v>0</v>
      </c>
      <c r="EF191" s="1046">
        <v>0</v>
      </c>
      <c r="EG191" s="1046">
        <v>0</v>
      </c>
      <c r="EH191" s="1046">
        <v>0</v>
      </c>
      <c r="EI191" s="1046">
        <v>0</v>
      </c>
      <c r="EJ191" s="1046">
        <v>0</v>
      </c>
      <c r="EK191" s="1046">
        <v>0</v>
      </c>
      <c r="EL191" s="1046">
        <v>0</v>
      </c>
      <c r="EM191" s="1046">
        <v>0</v>
      </c>
      <c r="EN191" s="1046">
        <v>0</v>
      </c>
      <c r="EO191" s="1046">
        <v>0</v>
      </c>
      <c r="EP191" s="1094">
        <v>0</v>
      </c>
      <c r="EQ191" s="1094">
        <v>0</v>
      </c>
      <c r="ER191" s="1094">
        <v>0</v>
      </c>
      <c r="ES191" s="1095">
        <v>0</v>
      </c>
      <c r="ET191" s="1094">
        <v>0</v>
      </c>
      <c r="EU191" s="1094">
        <v>0</v>
      </c>
      <c r="EV191" s="1096">
        <v>0.82789999999999997</v>
      </c>
      <c r="EW191" s="1097">
        <v>0.15</v>
      </c>
      <c r="EX191" s="1096">
        <v>289.50050968399592</v>
      </c>
      <c r="EY191" s="1096">
        <v>1.5443934760448521</v>
      </c>
      <c r="EZ191" s="1096">
        <v>0</v>
      </c>
      <c r="FA191" s="1096">
        <v>27.929166666666664</v>
      </c>
      <c r="FB191" s="1098">
        <v>0</v>
      </c>
      <c r="FC191" s="1098">
        <v>0</v>
      </c>
      <c r="FD191" s="1098" t="s">
        <v>408</v>
      </c>
      <c r="FE191" s="1098" t="s">
        <v>396</v>
      </c>
      <c r="FF191" s="1098">
        <v>1</v>
      </c>
      <c r="FG191" s="1098">
        <v>0</v>
      </c>
      <c r="FH191" s="1098">
        <v>0</v>
      </c>
      <c r="FI191" s="1098">
        <v>0</v>
      </c>
      <c r="FJ191" s="1098">
        <v>0</v>
      </c>
      <c r="FK191" s="1096">
        <v>96.939255000000003</v>
      </c>
      <c r="FL191" s="1096">
        <v>96</v>
      </c>
      <c r="FM191" s="1096">
        <v>193.87851000000001</v>
      </c>
      <c r="FN191" s="1096">
        <v>192</v>
      </c>
      <c r="FO191" s="1096">
        <v>387.75702000000001</v>
      </c>
      <c r="FP191" s="1099">
        <v>384</v>
      </c>
      <c r="FQ191" s="1064">
        <v>1.2222367378842984</v>
      </c>
      <c r="FR191" s="1065">
        <v>0.15</v>
      </c>
      <c r="FS191" s="1066">
        <v>289.50050968399586</v>
      </c>
      <c r="FT191" s="1066">
        <v>3.2237153637237084</v>
      </c>
      <c r="FU191" s="1065"/>
      <c r="FV191" s="1066">
        <v>70.464654954129003</v>
      </c>
      <c r="FW191" s="1065"/>
      <c r="FX191" s="1065"/>
      <c r="FY191" s="1065" t="s">
        <v>406</v>
      </c>
      <c r="FZ191" s="1065" t="s">
        <v>389</v>
      </c>
      <c r="GA191" s="1065">
        <v>1</v>
      </c>
      <c r="GB191" s="1065"/>
      <c r="GC191" s="1065"/>
      <c r="GD191" s="1065"/>
      <c r="GE191" s="1065"/>
      <c r="GF191" s="1066">
        <v>104.70918990763523</v>
      </c>
      <c r="GG191" s="1066">
        <v>96</v>
      </c>
      <c r="GH191" s="1066">
        <v>209.41837981527047</v>
      </c>
      <c r="GI191" s="1066">
        <v>192</v>
      </c>
      <c r="GJ191" s="1066">
        <v>418.83675963054094</v>
      </c>
      <c r="GK191" s="1066">
        <v>384</v>
      </c>
      <c r="GL191" s="584">
        <v>1.0803</v>
      </c>
      <c r="GM191" s="584">
        <v>0.11</v>
      </c>
      <c r="GN191" s="584"/>
      <c r="GO191" s="584"/>
      <c r="GP191" s="584"/>
      <c r="GQ191" s="584">
        <v>78.668750000000003</v>
      </c>
      <c r="GR191" s="584"/>
      <c r="GS191" s="584">
        <v>56.065239551478101</v>
      </c>
      <c r="GT191" s="584" t="s">
        <v>436</v>
      </c>
      <c r="GU191" s="584" t="s">
        <v>351</v>
      </c>
      <c r="GV191" s="584">
        <v>1</v>
      </c>
      <c r="GW191" s="584"/>
      <c r="GX191" s="584"/>
      <c r="GY191" s="584"/>
      <c r="GZ191" s="584"/>
      <c r="HA191" s="584">
        <v>50.921770500000001</v>
      </c>
      <c r="HB191" s="584">
        <v>96</v>
      </c>
      <c r="HC191" s="584">
        <v>101.843541</v>
      </c>
      <c r="HD191" s="584">
        <v>192</v>
      </c>
      <c r="HE191" s="584">
        <v>203.687082</v>
      </c>
      <c r="HF191" s="584">
        <v>384</v>
      </c>
      <c r="HG191" s="1100">
        <v>1.6700000000000002</v>
      </c>
      <c r="HH191" s="1100">
        <v>0.11</v>
      </c>
      <c r="HI191" s="1101">
        <v>0</v>
      </c>
      <c r="HJ191" s="1101">
        <v>0</v>
      </c>
      <c r="HK191" s="1101">
        <v>0</v>
      </c>
      <c r="HL191" s="1101">
        <v>0</v>
      </c>
      <c r="HM191" s="1101">
        <v>77.962500000000006</v>
      </c>
      <c r="HN191" s="1101">
        <v>54.999999999999993</v>
      </c>
      <c r="HO191" s="1101">
        <v>0</v>
      </c>
      <c r="HP191" s="1101">
        <v>0</v>
      </c>
      <c r="HQ191" s="1101">
        <v>1</v>
      </c>
      <c r="HR191" s="1101">
        <v>0.92</v>
      </c>
      <c r="HS191" s="1101">
        <v>1.56</v>
      </c>
      <c r="HT191" s="1101">
        <v>0.3</v>
      </c>
      <c r="HU191" s="1101">
        <v>0.3</v>
      </c>
      <c r="HV191" s="1101">
        <v>50.504691000000008</v>
      </c>
      <c r="HW191" s="1101">
        <v>96</v>
      </c>
      <c r="HX191" s="1101">
        <v>101.00938200000002</v>
      </c>
      <c r="HY191" s="1101">
        <v>192</v>
      </c>
      <c r="HZ191" s="1101">
        <v>202.01876400000003</v>
      </c>
      <c r="IA191" s="1101">
        <v>384</v>
      </c>
      <c r="IB191" s="1062"/>
      <c r="ID191" s="1050"/>
      <c r="IE191" s="1050"/>
      <c r="IM191" s="1050"/>
      <c r="IN191" s="1050"/>
      <c r="IO191" s="1050"/>
      <c r="IP191" s="1050"/>
      <c r="JU191" s="1050"/>
      <c r="KC191" s="1050"/>
      <c r="KD191" s="1050"/>
      <c r="KE191" s="1050"/>
      <c r="KF191" s="1050"/>
      <c r="KN191" s="1103"/>
    </row>
    <row r="192" spans="2:300">
      <c r="B192" s="1048" t="str">
        <f t="shared" si="6"/>
        <v>E77</v>
      </c>
      <c r="C192" s="1046">
        <v>7</v>
      </c>
      <c r="D192" s="1046">
        <v>7</v>
      </c>
      <c r="E192" s="584">
        <v>0.23499999999999999</v>
      </c>
      <c r="F192" s="584">
        <v>0.23499999999999999</v>
      </c>
      <c r="G192" s="584">
        <v>564</v>
      </c>
      <c r="H192" s="584">
        <v>19.739999999999998</v>
      </c>
      <c r="I192" s="584">
        <v>0</v>
      </c>
      <c r="J192" s="584">
        <v>0</v>
      </c>
      <c r="K192" s="584">
        <v>0</v>
      </c>
      <c r="L192" s="584">
        <v>0</v>
      </c>
      <c r="M192" s="584">
        <v>0</v>
      </c>
      <c r="N192" s="584">
        <v>0</v>
      </c>
      <c r="O192" s="584">
        <v>0</v>
      </c>
      <c r="P192" s="584">
        <v>0</v>
      </c>
      <c r="Q192" s="584">
        <v>0</v>
      </c>
      <c r="R192" s="584">
        <v>0</v>
      </c>
      <c r="S192" s="584">
        <v>0</v>
      </c>
      <c r="T192" s="584">
        <v>173.3501875</v>
      </c>
      <c r="U192" s="584">
        <v>49</v>
      </c>
      <c r="V192" s="584">
        <v>267.1400625</v>
      </c>
      <c r="W192" s="584">
        <v>102.9</v>
      </c>
      <c r="X192" s="584">
        <v>368.77350000000001</v>
      </c>
      <c r="Y192" s="584">
        <v>215.6</v>
      </c>
      <c r="Z192" s="584">
        <v>0.20499999999999999</v>
      </c>
      <c r="AA192" s="584">
        <v>0.20499999999999999</v>
      </c>
      <c r="AB192" s="584">
        <v>492</v>
      </c>
      <c r="AC192" s="584">
        <v>19</v>
      </c>
      <c r="AD192" s="584">
        <v>0</v>
      </c>
      <c r="AE192" s="584">
        <v>0</v>
      </c>
      <c r="AF192" s="584">
        <v>0</v>
      </c>
      <c r="AG192" s="584">
        <v>0</v>
      </c>
      <c r="AH192" s="584">
        <v>0</v>
      </c>
      <c r="AI192" s="584">
        <v>0</v>
      </c>
      <c r="AJ192" s="584">
        <v>0</v>
      </c>
      <c r="AK192" s="584">
        <v>0</v>
      </c>
      <c r="AL192" s="584">
        <v>0</v>
      </c>
      <c r="AM192" s="584">
        <v>0</v>
      </c>
      <c r="AN192" s="584">
        <v>0</v>
      </c>
      <c r="AO192" s="584">
        <v>163.08268749999999</v>
      </c>
      <c r="AP192" s="584">
        <v>49</v>
      </c>
      <c r="AQ192" s="584">
        <v>246.74381249999999</v>
      </c>
      <c r="AR192" s="584">
        <v>102.9</v>
      </c>
      <c r="AS192" s="584">
        <v>328.3485</v>
      </c>
      <c r="AT192" s="584">
        <v>215.6</v>
      </c>
      <c r="AU192" s="584">
        <v>0.4</v>
      </c>
      <c r="AV192" s="584">
        <v>0.26500000000000001</v>
      </c>
      <c r="AW192" s="584">
        <v>455.88455607476601</v>
      </c>
      <c r="AX192" s="584">
        <v>30.7657301401869</v>
      </c>
      <c r="AY192" s="584">
        <v>0</v>
      </c>
      <c r="AZ192" s="584">
        <v>0</v>
      </c>
      <c r="BA192" s="584">
        <v>0</v>
      </c>
      <c r="BB192" s="584">
        <v>0</v>
      </c>
      <c r="BC192" s="584">
        <v>0</v>
      </c>
      <c r="BD192" s="584">
        <v>0</v>
      </c>
      <c r="BE192" s="584">
        <v>0</v>
      </c>
      <c r="BF192" s="584">
        <v>0</v>
      </c>
      <c r="BG192" s="584">
        <v>0.4</v>
      </c>
      <c r="BH192" s="584">
        <v>0</v>
      </c>
      <c r="BI192" s="584">
        <v>0.45</v>
      </c>
      <c r="BJ192" s="584">
        <v>162.30772071407699</v>
      </c>
      <c r="BK192" s="584">
        <v>49</v>
      </c>
      <c r="BL192" s="584">
        <v>236.98641344553201</v>
      </c>
      <c r="BM192" s="584">
        <v>102.9</v>
      </c>
      <c r="BN192" s="584">
        <v>302.80178520736001</v>
      </c>
      <c r="BO192" s="584">
        <v>215.6</v>
      </c>
      <c r="BP192" s="584">
        <v>0.375</v>
      </c>
      <c r="BQ192" s="584">
        <v>0.15</v>
      </c>
      <c r="BR192" s="584">
        <v>433.87850467289701</v>
      </c>
      <c r="BS192" s="584">
        <v>18.454687499999999</v>
      </c>
      <c r="BT192" s="584">
        <v>0</v>
      </c>
      <c r="BU192" s="584">
        <v>0</v>
      </c>
      <c r="BV192" s="584">
        <v>0</v>
      </c>
      <c r="BW192" s="584">
        <v>0</v>
      </c>
      <c r="BX192" s="584">
        <v>0</v>
      </c>
      <c r="BY192" s="584">
        <v>0</v>
      </c>
      <c r="BZ192" s="584">
        <v>0</v>
      </c>
      <c r="CA192" s="584">
        <v>0.375</v>
      </c>
      <c r="CB192" s="584">
        <v>0.375</v>
      </c>
      <c r="CC192" s="584">
        <v>0.3</v>
      </c>
      <c r="CD192" s="584">
        <v>0.3</v>
      </c>
      <c r="CE192" s="584">
        <v>163.39574999999999</v>
      </c>
      <c r="CF192" s="584">
        <v>49</v>
      </c>
      <c r="CG192" s="584">
        <v>239.79374999999999</v>
      </c>
      <c r="CH192" s="584">
        <v>102.9</v>
      </c>
      <c r="CI192" s="584">
        <v>276.80799999999999</v>
      </c>
      <c r="CJ192" s="584">
        <v>215.6</v>
      </c>
      <c r="CK192" s="584">
        <v>0.4</v>
      </c>
      <c r="CL192" s="584">
        <v>0.20499999999999999</v>
      </c>
      <c r="CM192" s="584">
        <v>527.64018691588797</v>
      </c>
      <c r="CN192" s="584">
        <v>23.0065615264798</v>
      </c>
      <c r="CO192" s="584">
        <v>0</v>
      </c>
      <c r="CP192" s="584">
        <v>0</v>
      </c>
      <c r="CQ192" s="584">
        <v>0</v>
      </c>
      <c r="CR192" s="584">
        <v>0</v>
      </c>
      <c r="CS192" s="584">
        <v>0</v>
      </c>
      <c r="CT192" s="584">
        <v>0</v>
      </c>
      <c r="CU192" s="584">
        <v>0</v>
      </c>
      <c r="CV192" s="584">
        <v>0</v>
      </c>
      <c r="CW192" s="584">
        <v>0.4</v>
      </c>
      <c r="CX192" s="584">
        <v>0</v>
      </c>
      <c r="CY192" s="584">
        <v>0.45</v>
      </c>
      <c r="CZ192" s="584">
        <v>174.1549</v>
      </c>
      <c r="DA192" s="584">
        <v>49</v>
      </c>
      <c r="DB192" s="584">
        <v>257.81602500000002</v>
      </c>
      <c r="DC192" s="584">
        <v>102.9</v>
      </c>
      <c r="DD192" s="584">
        <v>343.23090000000002</v>
      </c>
      <c r="DE192" s="584">
        <v>215.6</v>
      </c>
      <c r="DF192" s="584">
        <v>0.35</v>
      </c>
      <c r="DG192" s="584">
        <v>0.2</v>
      </c>
      <c r="DH192" s="584">
        <v>304.678738317757</v>
      </c>
      <c r="DI192" s="584">
        <v>18.418867698598099</v>
      </c>
      <c r="DJ192" s="584">
        <v>300</v>
      </c>
      <c r="DK192" s="584">
        <v>0</v>
      </c>
      <c r="DL192" s="584">
        <v>0</v>
      </c>
      <c r="DM192" s="584">
        <v>0</v>
      </c>
      <c r="DN192" s="584">
        <v>0</v>
      </c>
      <c r="DO192" s="584">
        <v>0</v>
      </c>
      <c r="DP192" s="584">
        <v>0</v>
      </c>
      <c r="DQ192" s="584">
        <v>0</v>
      </c>
      <c r="DR192" s="584">
        <v>0.35</v>
      </c>
      <c r="DS192" s="584">
        <v>0</v>
      </c>
      <c r="DT192" s="584">
        <v>2.4</v>
      </c>
      <c r="DU192" s="584">
        <v>161.9899375</v>
      </c>
      <c r="DV192" s="584">
        <v>49</v>
      </c>
      <c r="DW192" s="584">
        <v>292.42587500000002</v>
      </c>
      <c r="DX192" s="584">
        <v>102.9</v>
      </c>
      <c r="DY192" s="584">
        <v>368.1465</v>
      </c>
      <c r="DZ192" s="584">
        <v>215.6</v>
      </c>
      <c r="EA192" s="1062">
        <v>0.66579999999999995</v>
      </c>
      <c r="EB192" s="1046">
        <v>0.2</v>
      </c>
      <c r="EC192" s="1093">
        <v>132.51783893985726</v>
      </c>
      <c r="ED192" s="1046">
        <v>0</v>
      </c>
      <c r="EE192" s="1046">
        <v>285.42303771661568</v>
      </c>
      <c r="EF192" s="1046">
        <v>17.014285714285712</v>
      </c>
      <c r="EG192" s="1046">
        <v>0</v>
      </c>
      <c r="EH192" s="1046">
        <v>0</v>
      </c>
      <c r="EI192" s="1046" t="s">
        <v>454</v>
      </c>
      <c r="EJ192" s="1046" t="s">
        <v>505</v>
      </c>
      <c r="EK192" s="1046">
        <v>0</v>
      </c>
      <c r="EL192" s="1046">
        <v>0</v>
      </c>
      <c r="EM192" s="1046">
        <v>0</v>
      </c>
      <c r="EN192" s="1046">
        <v>0</v>
      </c>
      <c r="EO192" s="1046">
        <v>0</v>
      </c>
      <c r="EP192" s="1094">
        <v>62.069649249999998</v>
      </c>
      <c r="EQ192" s="1094">
        <v>49</v>
      </c>
      <c r="ER192" s="1094">
        <v>124.1392985</v>
      </c>
      <c r="ES192" s="1095">
        <v>98</v>
      </c>
      <c r="ET192" s="1094">
        <v>248.27859699999999</v>
      </c>
      <c r="EU192" s="1094">
        <v>196</v>
      </c>
      <c r="EV192" s="1096">
        <v>0.60699999999999998</v>
      </c>
      <c r="EW192" s="1097">
        <v>0.15</v>
      </c>
      <c r="EX192" s="1096">
        <v>289.50050968399592</v>
      </c>
      <c r="EY192" s="1096">
        <v>1.5443934760448521</v>
      </c>
      <c r="EZ192" s="1096">
        <v>0</v>
      </c>
      <c r="FA192" s="1096">
        <v>22.128571428571426</v>
      </c>
      <c r="FB192" s="1098">
        <v>0</v>
      </c>
      <c r="FC192" s="1098">
        <v>0</v>
      </c>
      <c r="FD192" s="1098" t="s">
        <v>450</v>
      </c>
      <c r="FE192" s="1098" t="s">
        <v>490</v>
      </c>
      <c r="FF192" s="1098">
        <v>2</v>
      </c>
      <c r="FG192" s="1098">
        <v>0</v>
      </c>
      <c r="FH192" s="1098">
        <v>0</v>
      </c>
      <c r="FI192" s="1098">
        <v>0</v>
      </c>
      <c r="FJ192" s="1098">
        <v>0</v>
      </c>
      <c r="FK192" s="1096">
        <v>48.782339375000006</v>
      </c>
      <c r="FL192" s="1096">
        <v>49</v>
      </c>
      <c r="FM192" s="1096">
        <v>97.564678750000013</v>
      </c>
      <c r="FN192" s="1096">
        <v>98</v>
      </c>
      <c r="FO192" s="1096">
        <v>195.12935750000003</v>
      </c>
      <c r="FP192" s="1099">
        <v>196</v>
      </c>
      <c r="FQ192" s="1064">
        <v>0.77972000000000008</v>
      </c>
      <c r="FR192" s="1065">
        <v>0.15</v>
      </c>
      <c r="FS192" s="1066">
        <v>289.50050968399586</v>
      </c>
      <c r="FT192" s="1066">
        <v>3.1547324150233758</v>
      </c>
      <c r="FU192" s="1065"/>
      <c r="FV192" s="1066">
        <v>33.821598973618016</v>
      </c>
      <c r="FW192" s="1065"/>
      <c r="FX192" s="1065"/>
      <c r="FY192" s="1065" t="s">
        <v>461</v>
      </c>
      <c r="FZ192" s="1065" t="s">
        <v>490</v>
      </c>
      <c r="GA192" s="1065">
        <v>1</v>
      </c>
      <c r="GB192" s="1065"/>
      <c r="GC192" s="1065"/>
      <c r="GD192" s="1065"/>
      <c r="GE192" s="1065"/>
      <c r="GF192" s="1066">
        <v>49.033538183801504</v>
      </c>
      <c r="GG192" s="1066">
        <v>49</v>
      </c>
      <c r="GH192" s="1066">
        <v>98.067076367603008</v>
      </c>
      <c r="GI192" s="1066">
        <v>98</v>
      </c>
      <c r="GJ192" s="1066">
        <v>196.13415273520602</v>
      </c>
      <c r="GK192" s="1066">
        <v>196</v>
      </c>
      <c r="GL192" s="584">
        <v>0.65469999999999995</v>
      </c>
      <c r="GM192" s="584">
        <v>0.13</v>
      </c>
      <c r="GN192" s="584"/>
      <c r="GO192" s="584"/>
      <c r="GP192" s="584"/>
      <c r="GQ192" s="584">
        <v>22.5285714285714</v>
      </c>
      <c r="GR192" s="584"/>
      <c r="GS192" s="584">
        <v>66.2589194699286</v>
      </c>
      <c r="GT192" s="584" t="s">
        <v>438</v>
      </c>
      <c r="GU192" s="584" t="s">
        <v>471</v>
      </c>
      <c r="GV192" s="584">
        <v>1</v>
      </c>
      <c r="GW192" s="584"/>
      <c r="GX192" s="584"/>
      <c r="GY192" s="584"/>
      <c r="GZ192" s="584"/>
      <c r="HA192" s="584">
        <v>20.469814750000001</v>
      </c>
      <c r="HB192" s="584">
        <v>49</v>
      </c>
      <c r="HC192" s="584">
        <v>40.939629500000002</v>
      </c>
      <c r="HD192" s="584">
        <v>98</v>
      </c>
      <c r="HE192" s="584">
        <v>81.879259000000005</v>
      </c>
      <c r="HF192" s="584">
        <v>196</v>
      </c>
      <c r="HG192" s="1100">
        <v>0.81</v>
      </c>
      <c r="HH192" s="1100">
        <v>0.13</v>
      </c>
      <c r="HI192" s="1101">
        <v>0</v>
      </c>
      <c r="HJ192" s="1101">
        <v>0</v>
      </c>
      <c r="HK192" s="1101">
        <v>0</v>
      </c>
      <c r="HL192" s="1101">
        <v>0</v>
      </c>
      <c r="HM192" s="1101">
        <v>31.834285714285716</v>
      </c>
      <c r="HN192" s="1101">
        <v>65</v>
      </c>
      <c r="HO192" s="1101">
        <v>0</v>
      </c>
      <c r="HP192" s="1101">
        <v>0</v>
      </c>
      <c r="HQ192" s="1101">
        <v>1</v>
      </c>
      <c r="HR192" s="1101">
        <v>0.68</v>
      </c>
      <c r="HS192" s="1101">
        <v>0.56000000000000005</v>
      </c>
      <c r="HT192" s="1101">
        <v>0.3</v>
      </c>
      <c r="HU192" s="1101">
        <v>0.26</v>
      </c>
      <c r="HV192" s="1101">
        <v>21.436818200000001</v>
      </c>
      <c r="HW192" s="1101">
        <v>49</v>
      </c>
      <c r="HX192" s="1101">
        <v>42.873636400000002</v>
      </c>
      <c r="HY192" s="1101">
        <v>98</v>
      </c>
      <c r="HZ192" s="1101">
        <v>85.747272800000005</v>
      </c>
      <c r="IA192" s="1101">
        <v>196</v>
      </c>
      <c r="IB192" s="1062"/>
      <c r="ID192" s="1050"/>
      <c r="IE192" s="1050"/>
      <c r="IM192" s="1050"/>
      <c r="IN192" s="1050"/>
      <c r="IO192" s="1050"/>
      <c r="IP192" s="1050"/>
      <c r="JU192" s="1050"/>
      <c r="KC192" s="1050"/>
      <c r="KD192" s="1050"/>
      <c r="KE192" s="1050"/>
      <c r="KF192" s="1050"/>
      <c r="KN192" s="1103"/>
    </row>
    <row r="193" spans="2:300">
      <c r="B193" s="1048" t="str">
        <f t="shared" si="6"/>
        <v>E78</v>
      </c>
      <c r="C193" s="1046">
        <v>7</v>
      </c>
      <c r="D193" s="1046">
        <v>8</v>
      </c>
      <c r="E193" s="584">
        <v>0.26500000000000001</v>
      </c>
      <c r="F193" s="584">
        <v>0.26500000000000001</v>
      </c>
      <c r="G193" s="584">
        <v>636</v>
      </c>
      <c r="H193" s="584">
        <v>21.2</v>
      </c>
      <c r="I193" s="584">
        <v>0</v>
      </c>
      <c r="J193" s="584">
        <v>0</v>
      </c>
      <c r="K193" s="584">
        <v>0</v>
      </c>
      <c r="L193" s="584">
        <v>0</v>
      </c>
      <c r="M193" s="584">
        <v>0</v>
      </c>
      <c r="N193" s="584">
        <v>0</v>
      </c>
      <c r="O193" s="584">
        <v>0</v>
      </c>
      <c r="P193" s="584">
        <v>0</v>
      </c>
      <c r="Q193" s="584">
        <v>0</v>
      </c>
      <c r="R193" s="584">
        <v>0</v>
      </c>
      <c r="S193" s="584">
        <v>0</v>
      </c>
      <c r="T193" s="584">
        <v>202.83393749999999</v>
      </c>
      <c r="U193" s="584">
        <v>56</v>
      </c>
      <c r="V193" s="584">
        <v>327.89043750000002</v>
      </c>
      <c r="W193" s="584">
        <v>117.6</v>
      </c>
      <c r="X193" s="584">
        <v>466.37099999999998</v>
      </c>
      <c r="Y193" s="584">
        <v>246.4</v>
      </c>
      <c r="Z193" s="584">
        <v>0.22500000000000001</v>
      </c>
      <c r="AA193" s="584">
        <v>0.22500000000000001</v>
      </c>
      <c r="AB193" s="584">
        <v>540</v>
      </c>
      <c r="AC193" s="584">
        <v>18</v>
      </c>
      <c r="AD193" s="584">
        <v>0</v>
      </c>
      <c r="AE193" s="584">
        <v>0</v>
      </c>
      <c r="AF193" s="584">
        <v>0</v>
      </c>
      <c r="AG193" s="584">
        <v>0</v>
      </c>
      <c r="AH193" s="584">
        <v>0</v>
      </c>
      <c r="AI193" s="584">
        <v>0</v>
      </c>
      <c r="AJ193" s="584">
        <v>0</v>
      </c>
      <c r="AK193" s="584">
        <v>0</v>
      </c>
      <c r="AL193" s="584">
        <v>0</v>
      </c>
      <c r="AM193" s="584">
        <v>0</v>
      </c>
      <c r="AN193" s="584">
        <v>0</v>
      </c>
      <c r="AO193" s="584">
        <v>187.2939375</v>
      </c>
      <c r="AP193" s="584">
        <v>56</v>
      </c>
      <c r="AQ193" s="584">
        <v>296.81043749999998</v>
      </c>
      <c r="AR193" s="584">
        <v>117.6</v>
      </c>
      <c r="AS193" s="584">
        <v>404.77100000000002</v>
      </c>
      <c r="AT193" s="584">
        <v>246.4</v>
      </c>
      <c r="AU193" s="584">
        <v>0.47499999999999998</v>
      </c>
      <c r="AV193" s="584">
        <v>0.26500000000000001</v>
      </c>
      <c r="AW193" s="584">
        <v>470.47775245042197</v>
      </c>
      <c r="AX193" s="584">
        <v>29.016011511283299</v>
      </c>
      <c r="AY193" s="584">
        <v>0</v>
      </c>
      <c r="AZ193" s="584">
        <v>0</v>
      </c>
      <c r="BA193" s="584">
        <v>0</v>
      </c>
      <c r="BB193" s="584">
        <v>0</v>
      </c>
      <c r="BC193" s="584">
        <v>0</v>
      </c>
      <c r="BD193" s="584">
        <v>0</v>
      </c>
      <c r="BE193" s="584">
        <v>0</v>
      </c>
      <c r="BF193" s="584">
        <v>0</v>
      </c>
      <c r="BG193" s="584">
        <v>0.47499999999999998</v>
      </c>
      <c r="BH193" s="584">
        <v>0</v>
      </c>
      <c r="BI193" s="584">
        <v>0.45</v>
      </c>
      <c r="BJ193" s="584">
        <v>182.43188345395501</v>
      </c>
      <c r="BK193" s="584">
        <v>56</v>
      </c>
      <c r="BL193" s="584">
        <v>275.26306690791</v>
      </c>
      <c r="BM193" s="584">
        <v>117.6</v>
      </c>
      <c r="BN193" s="584">
        <v>354.64232810576698</v>
      </c>
      <c r="BO193" s="584">
        <v>246.4</v>
      </c>
      <c r="BP193" s="584">
        <v>0.47499999999999998</v>
      </c>
      <c r="BQ193" s="584">
        <v>0.16</v>
      </c>
      <c r="BR193" s="584">
        <v>463.25005698655099</v>
      </c>
      <c r="BS193" s="584">
        <v>20.532341292455001</v>
      </c>
      <c r="BT193" s="584">
        <v>0</v>
      </c>
      <c r="BU193" s="584">
        <v>0</v>
      </c>
      <c r="BV193" s="584">
        <v>0</v>
      </c>
      <c r="BW193" s="584">
        <v>0</v>
      </c>
      <c r="BX193" s="584">
        <v>0</v>
      </c>
      <c r="BY193" s="584">
        <v>0</v>
      </c>
      <c r="BZ193" s="584">
        <v>0</v>
      </c>
      <c r="CA193" s="584">
        <v>0.375</v>
      </c>
      <c r="CB193" s="584">
        <v>0.47499999999999998</v>
      </c>
      <c r="CC193" s="584">
        <v>0.3</v>
      </c>
      <c r="CD193" s="584">
        <v>0.3</v>
      </c>
      <c r="CE193" s="584">
        <v>183.77205000000001</v>
      </c>
      <c r="CF193" s="584">
        <v>56</v>
      </c>
      <c r="CG193" s="584">
        <v>284.9898</v>
      </c>
      <c r="CH193" s="584">
        <v>117.6</v>
      </c>
      <c r="CI193" s="584">
        <v>333.3843</v>
      </c>
      <c r="CJ193" s="584">
        <v>246.4</v>
      </c>
      <c r="CK193" s="584">
        <v>0.5</v>
      </c>
      <c r="CL193" s="584">
        <v>0.20499999999999999</v>
      </c>
      <c r="CM193" s="584">
        <v>541.83952587189401</v>
      </c>
      <c r="CN193" s="584">
        <v>23.169626168224301</v>
      </c>
      <c r="CO193" s="584">
        <v>0</v>
      </c>
      <c r="CP193" s="584">
        <v>0</v>
      </c>
      <c r="CQ193" s="584">
        <v>0</v>
      </c>
      <c r="CR193" s="584">
        <v>0</v>
      </c>
      <c r="CS193" s="584">
        <v>0</v>
      </c>
      <c r="CT193" s="584">
        <v>0</v>
      </c>
      <c r="CU193" s="584">
        <v>0</v>
      </c>
      <c r="CV193" s="584">
        <v>0</v>
      </c>
      <c r="CW193" s="584">
        <v>0.5</v>
      </c>
      <c r="CX193" s="584">
        <v>0</v>
      </c>
      <c r="CY193" s="584">
        <v>0.45</v>
      </c>
      <c r="CZ193" s="584">
        <v>195.11564999999999</v>
      </c>
      <c r="DA193" s="584">
        <v>56</v>
      </c>
      <c r="DB193" s="584">
        <v>297.68714999999997</v>
      </c>
      <c r="DC193" s="584">
        <v>117.6</v>
      </c>
      <c r="DD193" s="584">
        <v>399.80414999999999</v>
      </c>
      <c r="DE193" s="584">
        <v>246.4</v>
      </c>
      <c r="DF193" s="584">
        <v>0.35</v>
      </c>
      <c r="DG193" s="584">
        <v>0.2</v>
      </c>
      <c r="DH193" s="584">
        <v>308.09322999772098</v>
      </c>
      <c r="DI193" s="584">
        <v>18.1290057841349</v>
      </c>
      <c r="DJ193" s="584">
        <v>300</v>
      </c>
      <c r="DK193" s="584">
        <v>0</v>
      </c>
      <c r="DL193" s="584">
        <v>0</v>
      </c>
      <c r="DM193" s="584">
        <v>0</v>
      </c>
      <c r="DN193" s="584">
        <v>0</v>
      </c>
      <c r="DO193" s="584">
        <v>0</v>
      </c>
      <c r="DP193" s="584">
        <v>0</v>
      </c>
      <c r="DQ193" s="584">
        <v>0</v>
      </c>
      <c r="DR193" s="584">
        <v>0.35</v>
      </c>
      <c r="DS193" s="584">
        <v>0</v>
      </c>
      <c r="DT193" s="584">
        <v>2.4</v>
      </c>
      <c r="DU193" s="584">
        <v>179.50518750000001</v>
      </c>
      <c r="DV193" s="584">
        <v>56</v>
      </c>
      <c r="DW193" s="584">
        <v>318.76362499999999</v>
      </c>
      <c r="DX193" s="584">
        <v>117.6</v>
      </c>
      <c r="DY193" s="584">
        <v>419.50650000000002</v>
      </c>
      <c r="DZ193" s="584">
        <v>246.4</v>
      </c>
      <c r="EA193" s="1062">
        <v>0.71720000000000006</v>
      </c>
      <c r="EB193" s="1046">
        <v>0.25</v>
      </c>
      <c r="EC193" s="1093">
        <v>132.51783893985731</v>
      </c>
      <c r="ED193" s="1046">
        <v>0</v>
      </c>
      <c r="EE193" s="1046">
        <v>346.58511722731902</v>
      </c>
      <c r="EF193" s="1046">
        <v>20.001785714285713</v>
      </c>
      <c r="EG193" s="1046">
        <v>0</v>
      </c>
      <c r="EH193" s="1046">
        <v>0</v>
      </c>
      <c r="EI193" s="1046" t="s">
        <v>445</v>
      </c>
      <c r="EJ193" s="1046" t="s">
        <v>486</v>
      </c>
      <c r="EK193" s="1046">
        <v>0</v>
      </c>
      <c r="EL193" s="1046">
        <v>0</v>
      </c>
      <c r="EM193" s="1046">
        <v>0</v>
      </c>
      <c r="EN193" s="1046">
        <v>0</v>
      </c>
      <c r="EO193" s="1046">
        <v>0</v>
      </c>
      <c r="EP193" s="1094">
        <v>79.747045249999999</v>
      </c>
      <c r="EQ193" s="1094">
        <v>56</v>
      </c>
      <c r="ER193" s="1094">
        <v>159.4940905</v>
      </c>
      <c r="ES193" s="1095">
        <v>112</v>
      </c>
      <c r="ET193" s="1094">
        <v>318.988181</v>
      </c>
      <c r="EU193" s="1094">
        <v>224</v>
      </c>
      <c r="EV193" s="1096">
        <v>0.61</v>
      </c>
      <c r="EW193" s="1097">
        <v>0.15</v>
      </c>
      <c r="EX193" s="1096">
        <v>289.50050968399592</v>
      </c>
      <c r="EY193" s="1096">
        <v>1.5443934760448521</v>
      </c>
      <c r="EZ193" s="1096">
        <v>0</v>
      </c>
      <c r="FA193" s="1096">
        <v>23.107142857142858</v>
      </c>
      <c r="FB193" s="1098">
        <v>0</v>
      </c>
      <c r="FC193" s="1098">
        <v>0</v>
      </c>
      <c r="FD193" s="1098" t="s">
        <v>448</v>
      </c>
      <c r="FE193" s="1098" t="s">
        <v>481</v>
      </c>
      <c r="FF193" s="1098">
        <v>2</v>
      </c>
      <c r="FG193" s="1098">
        <v>0</v>
      </c>
      <c r="FH193" s="1098">
        <v>0</v>
      </c>
      <c r="FI193" s="1098">
        <v>0</v>
      </c>
      <c r="FJ193" s="1098">
        <v>0</v>
      </c>
      <c r="FK193" s="1096">
        <v>55.885642000000004</v>
      </c>
      <c r="FL193" s="1096">
        <v>56</v>
      </c>
      <c r="FM193" s="1096">
        <v>111.77128400000001</v>
      </c>
      <c r="FN193" s="1096">
        <v>112</v>
      </c>
      <c r="FO193" s="1096">
        <v>223.54256800000002</v>
      </c>
      <c r="FP193" s="1099">
        <v>224</v>
      </c>
      <c r="FQ193" s="1064">
        <v>0.78643999999999992</v>
      </c>
      <c r="FR193" s="1065">
        <v>0.15</v>
      </c>
      <c r="FS193" s="1066">
        <v>289.50050968399586</v>
      </c>
      <c r="FT193" s="1066">
        <v>3.1547324150233758</v>
      </c>
      <c r="FU193" s="1065"/>
      <c r="FV193" s="1066">
        <v>33.698865926260666</v>
      </c>
      <c r="FW193" s="1065"/>
      <c r="FX193" s="1065"/>
      <c r="FY193" s="1065" t="s">
        <v>459</v>
      </c>
      <c r="FZ193" s="1065" t="s">
        <v>490</v>
      </c>
      <c r="GA193" s="1065">
        <v>1</v>
      </c>
      <c r="GB193" s="1065"/>
      <c r="GC193" s="1065"/>
      <c r="GD193" s="1065"/>
      <c r="GE193" s="1065"/>
      <c r="GF193" s="1066">
        <v>56.021473196191948</v>
      </c>
      <c r="GG193" s="1066">
        <v>56</v>
      </c>
      <c r="GH193" s="1066">
        <v>112.0429463923839</v>
      </c>
      <c r="GI193" s="1066">
        <v>112</v>
      </c>
      <c r="GJ193" s="1066">
        <v>224.08589278476779</v>
      </c>
      <c r="GK193" s="1066">
        <v>224</v>
      </c>
      <c r="GL193" s="584">
        <v>0.65469999999999995</v>
      </c>
      <c r="GM193" s="584">
        <v>0.13</v>
      </c>
      <c r="GN193" s="584"/>
      <c r="GO193" s="584"/>
      <c r="GP193" s="584"/>
      <c r="GQ193" s="584">
        <v>25.298214285714302</v>
      </c>
      <c r="GR193" s="584"/>
      <c r="GS193" s="584">
        <v>66.2589194699286</v>
      </c>
      <c r="GT193" s="584" t="s">
        <v>438</v>
      </c>
      <c r="GU193" s="584" t="s">
        <v>459</v>
      </c>
      <c r="GV193" s="584">
        <v>1</v>
      </c>
      <c r="GW193" s="584"/>
      <c r="GX193" s="584"/>
      <c r="GY193" s="584"/>
      <c r="GZ193" s="584"/>
      <c r="HA193" s="584">
        <v>23.774456749999999</v>
      </c>
      <c r="HB193" s="584">
        <v>56</v>
      </c>
      <c r="HC193" s="584">
        <v>47.548913499999998</v>
      </c>
      <c r="HD193" s="584">
        <v>112</v>
      </c>
      <c r="HE193" s="584">
        <v>95.097826999999995</v>
      </c>
      <c r="HF193" s="584">
        <v>224</v>
      </c>
      <c r="HG193" s="1100">
        <v>0.89</v>
      </c>
      <c r="HH193" s="1100">
        <v>0.13</v>
      </c>
      <c r="HI193" s="1101">
        <v>0</v>
      </c>
      <c r="HJ193" s="1101">
        <v>0</v>
      </c>
      <c r="HK193" s="1101">
        <v>0</v>
      </c>
      <c r="HL193" s="1101">
        <v>0</v>
      </c>
      <c r="HM193" s="1101">
        <v>35.01</v>
      </c>
      <c r="HN193" s="1101">
        <v>65</v>
      </c>
      <c r="HO193" s="1101">
        <v>0</v>
      </c>
      <c r="HP193" s="1101">
        <v>0</v>
      </c>
      <c r="HQ193" s="1101">
        <v>1</v>
      </c>
      <c r="HR193" s="1101">
        <v>0.76</v>
      </c>
      <c r="HS193" s="1101">
        <v>0.64</v>
      </c>
      <c r="HT193" s="1101">
        <v>0.28000000000000003</v>
      </c>
      <c r="HU193" s="1101">
        <v>0.28000000000000003</v>
      </c>
      <c r="HV193" s="1101">
        <v>24.935373400000003</v>
      </c>
      <c r="HW193" s="1101">
        <v>56</v>
      </c>
      <c r="HX193" s="1101">
        <v>49.870746800000006</v>
      </c>
      <c r="HY193" s="1101">
        <v>112</v>
      </c>
      <c r="HZ193" s="1101">
        <v>99.741493600000013</v>
      </c>
      <c r="IA193" s="1101">
        <v>224</v>
      </c>
      <c r="IB193" s="1062"/>
      <c r="ID193" s="1050"/>
      <c r="IE193" s="1050"/>
      <c r="IM193" s="1050"/>
      <c r="IN193" s="1050"/>
      <c r="IO193" s="1050"/>
      <c r="IP193" s="1050"/>
      <c r="JU193" s="1050"/>
      <c r="KC193" s="1050"/>
      <c r="KD193" s="1050"/>
      <c r="KE193" s="1050"/>
      <c r="KF193" s="1050"/>
      <c r="KN193" s="1103"/>
    </row>
    <row r="194" spans="2:300">
      <c r="B194" s="1048" t="str">
        <f t="shared" si="6"/>
        <v>E79</v>
      </c>
      <c r="C194" s="1046">
        <v>7</v>
      </c>
      <c r="D194" s="1046">
        <v>9</v>
      </c>
      <c r="E194" s="584">
        <v>0.31</v>
      </c>
      <c r="F194" s="584">
        <v>0.31</v>
      </c>
      <c r="G194" s="584">
        <v>744</v>
      </c>
      <c r="H194" s="584">
        <v>22.01</v>
      </c>
      <c r="I194" s="584">
        <v>0</v>
      </c>
      <c r="J194" s="584">
        <v>0</v>
      </c>
      <c r="K194" s="584">
        <v>0</v>
      </c>
      <c r="L194" s="584">
        <v>0</v>
      </c>
      <c r="M194" s="584">
        <v>0</v>
      </c>
      <c r="N194" s="584">
        <v>0</v>
      </c>
      <c r="O194" s="584">
        <v>0</v>
      </c>
      <c r="P194" s="584">
        <v>0</v>
      </c>
      <c r="Q194" s="584">
        <v>0</v>
      </c>
      <c r="R194" s="584">
        <v>0</v>
      </c>
      <c r="S194" s="584">
        <v>0</v>
      </c>
      <c r="T194" s="584">
        <v>241.61393749999999</v>
      </c>
      <c r="U194" s="584">
        <v>63</v>
      </c>
      <c r="V194" s="584">
        <v>407.58018750000002</v>
      </c>
      <c r="W194" s="584">
        <v>132.30000000000001</v>
      </c>
      <c r="X194" s="584">
        <v>601.50599999999997</v>
      </c>
      <c r="Y194" s="584">
        <v>277.2</v>
      </c>
      <c r="Z194" s="584">
        <v>0.255</v>
      </c>
      <c r="AA194" s="584">
        <v>0.255</v>
      </c>
      <c r="AB194" s="584">
        <v>612</v>
      </c>
      <c r="AC194" s="584">
        <v>18</v>
      </c>
      <c r="AD194" s="584">
        <v>0</v>
      </c>
      <c r="AE194" s="584">
        <v>0</v>
      </c>
      <c r="AF194" s="584">
        <v>0</v>
      </c>
      <c r="AG194" s="584">
        <v>0</v>
      </c>
      <c r="AH194" s="584">
        <v>0</v>
      </c>
      <c r="AI194" s="584">
        <v>0</v>
      </c>
      <c r="AJ194" s="584">
        <v>0</v>
      </c>
      <c r="AK194" s="584">
        <v>0</v>
      </c>
      <c r="AL194" s="584">
        <v>0</v>
      </c>
      <c r="AM194" s="584">
        <v>0</v>
      </c>
      <c r="AN194" s="584">
        <v>0</v>
      </c>
      <c r="AO194" s="584">
        <v>217.7026875</v>
      </c>
      <c r="AP194" s="584">
        <v>63</v>
      </c>
      <c r="AQ194" s="584">
        <v>359.50331249999999</v>
      </c>
      <c r="AR194" s="584">
        <v>132.30000000000001</v>
      </c>
      <c r="AS194" s="584">
        <v>506.21850000000001</v>
      </c>
      <c r="AT194" s="584">
        <v>277.2</v>
      </c>
      <c r="AU194" s="584">
        <v>0.57499999999999996</v>
      </c>
      <c r="AV194" s="584">
        <v>0.26500000000000001</v>
      </c>
      <c r="AW194" s="584">
        <v>470.44190979276698</v>
      </c>
      <c r="AX194" s="584">
        <v>29.001946363266999</v>
      </c>
      <c r="AY194" s="584">
        <v>0</v>
      </c>
      <c r="AZ194" s="584">
        <v>0</v>
      </c>
      <c r="BA194" s="584">
        <v>0</v>
      </c>
      <c r="BB194" s="584">
        <v>0</v>
      </c>
      <c r="BC194" s="584">
        <v>0</v>
      </c>
      <c r="BD194" s="584">
        <v>0</v>
      </c>
      <c r="BE194" s="584">
        <v>0</v>
      </c>
      <c r="BF194" s="584">
        <v>0</v>
      </c>
      <c r="BG194" s="584">
        <v>0.57499999999999996</v>
      </c>
      <c r="BH194" s="584">
        <v>0</v>
      </c>
      <c r="BI194" s="584">
        <v>0.45</v>
      </c>
      <c r="BJ194" s="584">
        <v>200.042012121597</v>
      </c>
      <c r="BK194" s="584">
        <v>63</v>
      </c>
      <c r="BL194" s="584">
        <v>308.292487138105</v>
      </c>
      <c r="BM194" s="584">
        <v>132.30000000000001</v>
      </c>
      <c r="BN194" s="584">
        <v>397.61135468813501</v>
      </c>
      <c r="BO194" s="584">
        <v>277.2</v>
      </c>
      <c r="BP194" s="584">
        <v>0.57499999999999996</v>
      </c>
      <c r="BQ194" s="584">
        <v>0.16500000000000001</v>
      </c>
      <c r="BR194" s="584">
        <v>474.76919951239302</v>
      </c>
      <c r="BS194" s="584">
        <v>23.037529205607498</v>
      </c>
      <c r="BT194" s="584">
        <v>0</v>
      </c>
      <c r="BU194" s="584">
        <v>0</v>
      </c>
      <c r="BV194" s="584">
        <v>0</v>
      </c>
      <c r="BW194" s="584">
        <v>0</v>
      </c>
      <c r="BX194" s="584">
        <v>0</v>
      </c>
      <c r="BY194" s="584">
        <v>0</v>
      </c>
      <c r="BZ194" s="584">
        <v>0</v>
      </c>
      <c r="CA194" s="584">
        <v>0.375</v>
      </c>
      <c r="CB194" s="584">
        <v>0.57499999999999996</v>
      </c>
      <c r="CC194" s="584">
        <v>0.3</v>
      </c>
      <c r="CD194" s="584">
        <v>0.3</v>
      </c>
      <c r="CE194" s="584">
        <v>200.11245</v>
      </c>
      <c r="CF194" s="584">
        <v>63</v>
      </c>
      <c r="CG194" s="584">
        <v>313.42057499999999</v>
      </c>
      <c r="CH194" s="584">
        <v>132.30000000000001</v>
      </c>
      <c r="CI194" s="584">
        <v>387.07470000000001</v>
      </c>
      <c r="CJ194" s="584">
        <v>277.2</v>
      </c>
      <c r="CK194" s="584">
        <v>0.57499999999999996</v>
      </c>
      <c r="CL194" s="584">
        <v>0.20499999999999999</v>
      </c>
      <c r="CM194" s="584">
        <v>551.45471861032104</v>
      </c>
      <c r="CN194" s="584">
        <v>23.185492431938201</v>
      </c>
      <c r="CO194" s="584">
        <v>0</v>
      </c>
      <c r="CP194" s="584">
        <v>0</v>
      </c>
      <c r="CQ194" s="584">
        <v>0</v>
      </c>
      <c r="CR194" s="584">
        <v>0</v>
      </c>
      <c r="CS194" s="584">
        <v>0</v>
      </c>
      <c r="CT194" s="584">
        <v>0</v>
      </c>
      <c r="CU194" s="584">
        <v>0</v>
      </c>
      <c r="CV194" s="584">
        <v>0</v>
      </c>
      <c r="CW194" s="584">
        <v>0.57499999999999996</v>
      </c>
      <c r="CX194" s="584">
        <v>0</v>
      </c>
      <c r="CY194" s="584">
        <v>0.6</v>
      </c>
      <c r="CZ194" s="584">
        <v>215.64965000000001</v>
      </c>
      <c r="DA194" s="584">
        <v>63</v>
      </c>
      <c r="DB194" s="584">
        <v>337.56277499999999</v>
      </c>
      <c r="DC194" s="584">
        <v>132.30000000000001</v>
      </c>
      <c r="DD194" s="584">
        <v>456.15690000000001</v>
      </c>
      <c r="DE194" s="584">
        <v>277.2</v>
      </c>
      <c r="DF194" s="584">
        <v>0.35</v>
      </c>
      <c r="DG194" s="584">
        <v>0.2</v>
      </c>
      <c r="DH194" s="584">
        <v>315.14475822836198</v>
      </c>
      <c r="DI194" s="584">
        <v>17.345066715765899</v>
      </c>
      <c r="DJ194" s="584">
        <v>300</v>
      </c>
      <c r="DK194" s="584">
        <v>0</v>
      </c>
      <c r="DL194" s="584">
        <v>0</v>
      </c>
      <c r="DM194" s="584">
        <v>0</v>
      </c>
      <c r="DN194" s="584">
        <v>0</v>
      </c>
      <c r="DO194" s="584">
        <v>0</v>
      </c>
      <c r="DP194" s="584">
        <v>0</v>
      </c>
      <c r="DQ194" s="584">
        <v>0</v>
      </c>
      <c r="DR194" s="584">
        <v>0.35</v>
      </c>
      <c r="DS194" s="584">
        <v>0</v>
      </c>
      <c r="DT194" s="584">
        <v>2.4</v>
      </c>
      <c r="DU194" s="584">
        <v>199.14893749999999</v>
      </c>
      <c r="DV194" s="584">
        <v>63</v>
      </c>
      <c r="DW194" s="584">
        <v>344.97987499999999</v>
      </c>
      <c r="DX194" s="584">
        <v>132.30000000000001</v>
      </c>
      <c r="DY194" s="584">
        <v>470.86649999999997</v>
      </c>
      <c r="DZ194" s="584">
        <v>277.2</v>
      </c>
      <c r="EA194" s="1062">
        <v>0.78060000000000007</v>
      </c>
      <c r="EB194" s="1046">
        <v>0.3</v>
      </c>
      <c r="EC194" s="1093">
        <v>132.51783893985731</v>
      </c>
      <c r="ED194" s="1046">
        <v>0</v>
      </c>
      <c r="EE194" s="1046">
        <v>397.55351681957183</v>
      </c>
      <c r="EF194" s="1046">
        <v>24.396825396825395</v>
      </c>
      <c r="EG194" s="1046">
        <v>0</v>
      </c>
      <c r="EH194" s="1046">
        <v>0</v>
      </c>
      <c r="EI194" s="1046" t="s">
        <v>442</v>
      </c>
      <c r="EJ194" s="1046" t="s">
        <v>475</v>
      </c>
      <c r="EK194" s="1046">
        <v>0</v>
      </c>
      <c r="EL194" s="1046">
        <v>0</v>
      </c>
      <c r="EM194" s="1046">
        <v>0</v>
      </c>
      <c r="EN194" s="1046">
        <v>0</v>
      </c>
      <c r="EO194" s="1046">
        <v>0</v>
      </c>
      <c r="EP194" s="1094">
        <v>98.269492500000013</v>
      </c>
      <c r="EQ194" s="1094">
        <v>63</v>
      </c>
      <c r="ER194" s="1094">
        <v>196.53898500000003</v>
      </c>
      <c r="ES194" s="1095">
        <v>126</v>
      </c>
      <c r="ET194" s="1094">
        <v>393.07797000000005</v>
      </c>
      <c r="EU194" s="1094">
        <v>252</v>
      </c>
      <c r="EV194" s="1096">
        <v>0.61339999999999995</v>
      </c>
      <c r="EW194" s="1097">
        <v>0.15</v>
      </c>
      <c r="EX194" s="1096">
        <v>289.50050968399592</v>
      </c>
      <c r="EY194" s="1096">
        <v>1.5443934760448521</v>
      </c>
      <c r="EZ194" s="1096">
        <v>0</v>
      </c>
      <c r="FA194" s="1096">
        <v>22.779365079365078</v>
      </c>
      <c r="FB194" s="1098">
        <v>0</v>
      </c>
      <c r="FC194" s="1098">
        <v>0</v>
      </c>
      <c r="FD194" s="1098" t="s">
        <v>446</v>
      </c>
      <c r="FE194" s="1098" t="s">
        <v>481</v>
      </c>
      <c r="FF194" s="1098">
        <v>2</v>
      </c>
      <c r="FG194" s="1098">
        <v>0</v>
      </c>
      <c r="FH194" s="1098">
        <v>0</v>
      </c>
      <c r="FI194" s="1098">
        <v>0</v>
      </c>
      <c r="FJ194" s="1098">
        <v>0</v>
      </c>
      <c r="FK194" s="1096">
        <v>62.820703125000009</v>
      </c>
      <c r="FL194" s="1096">
        <v>63</v>
      </c>
      <c r="FM194" s="1096">
        <v>125.64140625000002</v>
      </c>
      <c r="FN194" s="1096">
        <v>126</v>
      </c>
      <c r="FO194" s="1096">
        <v>251.28281250000003</v>
      </c>
      <c r="FP194" s="1099">
        <v>252</v>
      </c>
      <c r="FQ194" s="1064">
        <v>0.78643999999999992</v>
      </c>
      <c r="FR194" s="1065">
        <v>0.15</v>
      </c>
      <c r="FS194" s="1066">
        <v>289.50050968399586</v>
      </c>
      <c r="FT194" s="1066">
        <v>3.1547324150233758</v>
      </c>
      <c r="FU194" s="1065"/>
      <c r="FV194" s="1066">
        <v>35.943841454052787</v>
      </c>
      <c r="FW194" s="1065"/>
      <c r="FX194" s="1065"/>
      <c r="FY194" s="1065" t="s">
        <v>459</v>
      </c>
      <c r="FZ194" s="1065" t="s">
        <v>479</v>
      </c>
      <c r="GA194" s="1065">
        <v>1</v>
      </c>
      <c r="GB194" s="1065"/>
      <c r="GC194" s="1065"/>
      <c r="GD194" s="1065"/>
      <c r="GE194" s="1065"/>
      <c r="GF194" s="1066">
        <v>63.371022902076277</v>
      </c>
      <c r="GG194" s="1066">
        <v>63</v>
      </c>
      <c r="GH194" s="1066">
        <v>126.74204580415255</v>
      </c>
      <c r="GI194" s="1066">
        <v>126</v>
      </c>
      <c r="GJ194" s="1066">
        <v>253.48409160830511</v>
      </c>
      <c r="GK194" s="1066">
        <v>252</v>
      </c>
      <c r="GL194" s="584">
        <v>0.72860000000000003</v>
      </c>
      <c r="GM194" s="584">
        <v>0.13</v>
      </c>
      <c r="GN194" s="584"/>
      <c r="GO194" s="584"/>
      <c r="GP194" s="584"/>
      <c r="GQ194" s="584">
        <v>30.671428571428599</v>
      </c>
      <c r="GR194" s="584"/>
      <c r="GS194" s="584">
        <v>66.2589194699286</v>
      </c>
      <c r="GT194" s="584" t="s">
        <v>438</v>
      </c>
      <c r="GU194" s="584" t="s">
        <v>416</v>
      </c>
      <c r="GV194" s="584">
        <v>1</v>
      </c>
      <c r="GW194" s="584"/>
      <c r="GX194" s="584"/>
      <c r="GY194" s="584"/>
      <c r="GZ194" s="584"/>
      <c r="HA194" s="584">
        <v>27.576465750000001</v>
      </c>
      <c r="HB194" s="584">
        <v>63</v>
      </c>
      <c r="HC194" s="584">
        <v>55.152931500000001</v>
      </c>
      <c r="HD194" s="584">
        <v>126</v>
      </c>
      <c r="HE194" s="584">
        <v>110.305863</v>
      </c>
      <c r="HF194" s="584">
        <v>252</v>
      </c>
      <c r="HG194" s="1100">
        <v>0.93</v>
      </c>
      <c r="HH194" s="1100">
        <v>0.13</v>
      </c>
      <c r="HI194" s="1101">
        <v>0</v>
      </c>
      <c r="HJ194" s="1101">
        <v>0</v>
      </c>
      <c r="HK194" s="1101">
        <v>0</v>
      </c>
      <c r="HL194" s="1101">
        <v>0</v>
      </c>
      <c r="HM194" s="1101">
        <v>38.56</v>
      </c>
      <c r="HN194" s="1101">
        <v>65</v>
      </c>
      <c r="HO194" s="1101">
        <v>0</v>
      </c>
      <c r="HP194" s="1101">
        <v>0</v>
      </c>
      <c r="HQ194" s="1101">
        <v>1</v>
      </c>
      <c r="HR194" s="1101">
        <v>0.8</v>
      </c>
      <c r="HS194" s="1101">
        <v>0.76</v>
      </c>
      <c r="HT194" s="1101">
        <v>0.28000000000000003</v>
      </c>
      <c r="HU194" s="1101">
        <v>0.28000000000000003</v>
      </c>
      <c r="HV194" s="1101">
        <v>28.6007967</v>
      </c>
      <c r="HW194" s="1101">
        <v>63</v>
      </c>
      <c r="HX194" s="1101">
        <v>57.2015934</v>
      </c>
      <c r="HY194" s="1101">
        <v>126</v>
      </c>
      <c r="HZ194" s="1101">
        <v>114.4031868</v>
      </c>
      <c r="IA194" s="1101">
        <v>252</v>
      </c>
      <c r="IB194" s="1062"/>
      <c r="ID194" s="1050"/>
      <c r="IE194" s="1050"/>
      <c r="IM194" s="1050"/>
      <c r="IN194" s="1050"/>
      <c r="IO194" s="1050"/>
      <c r="IP194" s="1050"/>
      <c r="JU194" s="1050"/>
      <c r="KC194" s="1050"/>
      <c r="KD194" s="1050"/>
      <c r="KE194" s="1050"/>
      <c r="KF194" s="1050"/>
      <c r="KN194" s="1103"/>
    </row>
    <row r="195" spans="2:300">
      <c r="B195" s="1048" t="str">
        <f t="shared" si="6"/>
        <v>E710</v>
      </c>
      <c r="C195" s="1046">
        <v>7</v>
      </c>
      <c r="D195" s="1092">
        <v>10</v>
      </c>
      <c r="E195" s="584">
        <v>0.375</v>
      </c>
      <c r="F195" s="584">
        <v>0.375</v>
      </c>
      <c r="G195" s="584">
        <v>900</v>
      </c>
      <c r="H195" s="584">
        <v>22.875</v>
      </c>
      <c r="I195" s="584">
        <v>0</v>
      </c>
      <c r="J195" s="584">
        <v>0</v>
      </c>
      <c r="K195" s="584">
        <v>0</v>
      </c>
      <c r="L195" s="584">
        <v>0</v>
      </c>
      <c r="M195" s="584">
        <v>0</v>
      </c>
      <c r="N195" s="584">
        <v>0</v>
      </c>
      <c r="O195" s="584">
        <v>0</v>
      </c>
      <c r="P195" s="584">
        <v>0</v>
      </c>
      <c r="Q195" s="584">
        <v>0</v>
      </c>
      <c r="R195" s="584">
        <v>0</v>
      </c>
      <c r="S195" s="584">
        <v>0</v>
      </c>
      <c r="T195" s="584">
        <v>294.17643750000002</v>
      </c>
      <c r="U195" s="584">
        <v>70</v>
      </c>
      <c r="V195" s="584">
        <v>515.43618749999996</v>
      </c>
      <c r="W195" s="584">
        <v>147</v>
      </c>
      <c r="X195" s="584">
        <v>792.46600000000001</v>
      </c>
      <c r="Y195" s="584">
        <v>308</v>
      </c>
      <c r="Z195" s="584">
        <v>0.28499999999999998</v>
      </c>
      <c r="AA195" s="584">
        <v>0.28499999999999998</v>
      </c>
      <c r="AB195" s="584">
        <v>684</v>
      </c>
      <c r="AC195" s="584">
        <v>18</v>
      </c>
      <c r="AD195" s="584">
        <v>0</v>
      </c>
      <c r="AE195" s="584">
        <v>0</v>
      </c>
      <c r="AF195" s="584">
        <v>0</v>
      </c>
      <c r="AG195" s="584">
        <v>0</v>
      </c>
      <c r="AH195" s="584">
        <v>0</v>
      </c>
      <c r="AI195" s="584">
        <v>0</v>
      </c>
      <c r="AJ195" s="584">
        <v>0</v>
      </c>
      <c r="AK195" s="584">
        <v>0</v>
      </c>
      <c r="AL195" s="584">
        <v>0</v>
      </c>
      <c r="AM195" s="584">
        <v>0</v>
      </c>
      <c r="AN195" s="584">
        <v>0</v>
      </c>
      <c r="AO195" s="584">
        <v>250.8864375</v>
      </c>
      <c r="AP195" s="584">
        <v>70</v>
      </c>
      <c r="AQ195" s="584">
        <v>428.02368749999999</v>
      </c>
      <c r="AR195" s="584">
        <v>147</v>
      </c>
      <c r="AS195" s="584">
        <v>619.21600000000001</v>
      </c>
      <c r="AT195" s="584">
        <v>308</v>
      </c>
      <c r="AU195" s="584">
        <v>0.67500000000000004</v>
      </c>
      <c r="AV195" s="584">
        <v>0.26500000000000001</v>
      </c>
      <c r="AW195" s="584">
        <v>491.99279274326602</v>
      </c>
      <c r="AX195" s="584">
        <v>29.113611874656399</v>
      </c>
      <c r="AY195" s="584">
        <v>0</v>
      </c>
      <c r="AZ195" s="584">
        <v>0</v>
      </c>
      <c r="BA195" s="584">
        <v>0</v>
      </c>
      <c r="BB195" s="584">
        <v>0</v>
      </c>
      <c r="BC195" s="584">
        <v>0</v>
      </c>
      <c r="BD195" s="584">
        <v>0</v>
      </c>
      <c r="BE195" s="584">
        <v>0</v>
      </c>
      <c r="BF195" s="584">
        <v>0</v>
      </c>
      <c r="BG195" s="584">
        <v>0.67500000000000004</v>
      </c>
      <c r="BH195" s="584">
        <v>0</v>
      </c>
      <c r="BI195" s="584">
        <v>0.45</v>
      </c>
      <c r="BJ195" s="584">
        <v>223.086258431831</v>
      </c>
      <c r="BK195" s="584">
        <v>70</v>
      </c>
      <c r="BL195" s="584">
        <v>350.896765102735</v>
      </c>
      <c r="BM195" s="584">
        <v>147</v>
      </c>
      <c r="BN195" s="584">
        <v>455.86163083424998</v>
      </c>
      <c r="BO195" s="584">
        <v>308</v>
      </c>
      <c r="BP195" s="584">
        <v>0</v>
      </c>
      <c r="BQ195" s="584">
        <v>0</v>
      </c>
      <c r="BR195" s="584">
        <v>0</v>
      </c>
      <c r="BS195" s="584">
        <v>0</v>
      </c>
      <c r="BT195" s="584">
        <v>0</v>
      </c>
      <c r="BU195" s="584">
        <v>0</v>
      </c>
      <c r="BV195" s="584">
        <v>0</v>
      </c>
      <c r="BW195" s="584">
        <v>0</v>
      </c>
      <c r="BX195" s="584">
        <v>0</v>
      </c>
      <c r="BY195" s="584">
        <v>0</v>
      </c>
      <c r="BZ195" s="584">
        <v>0</v>
      </c>
      <c r="CA195" s="584">
        <v>0</v>
      </c>
      <c r="CB195" s="584">
        <v>0</v>
      </c>
      <c r="CC195" s="584">
        <v>0</v>
      </c>
      <c r="CD195" s="584">
        <v>0</v>
      </c>
      <c r="CE195" s="584">
        <v>0</v>
      </c>
      <c r="CF195" s="584">
        <v>0</v>
      </c>
      <c r="CG195" s="584">
        <v>0</v>
      </c>
      <c r="CH195" s="584">
        <v>0</v>
      </c>
      <c r="CI195" s="584">
        <v>0</v>
      </c>
      <c r="CJ195" s="584">
        <v>0</v>
      </c>
      <c r="CK195" s="584">
        <v>0.67500000000000004</v>
      </c>
      <c r="CL195" s="584">
        <v>0.20499999999999999</v>
      </c>
      <c r="CM195" s="584">
        <v>569.90104452996104</v>
      </c>
      <c r="CN195" s="584">
        <v>23.4840159428257</v>
      </c>
      <c r="CO195" s="584">
        <v>0</v>
      </c>
      <c r="CP195" s="584">
        <v>0</v>
      </c>
      <c r="CQ195" s="584">
        <v>0</v>
      </c>
      <c r="CR195" s="584">
        <v>0</v>
      </c>
      <c r="CS195" s="584">
        <v>0</v>
      </c>
      <c r="CT195" s="584">
        <v>0</v>
      </c>
      <c r="CU195" s="584">
        <v>0</v>
      </c>
      <c r="CV195" s="584">
        <v>0</v>
      </c>
      <c r="CW195" s="584">
        <v>0.67500000000000004</v>
      </c>
      <c r="CX195" s="584">
        <v>0</v>
      </c>
      <c r="CY195" s="584">
        <v>0.6</v>
      </c>
      <c r="CZ195" s="584">
        <v>240.37915000000001</v>
      </c>
      <c r="DA195" s="584">
        <v>70</v>
      </c>
      <c r="DB195" s="584">
        <v>382.74015000000003</v>
      </c>
      <c r="DC195" s="584">
        <v>147</v>
      </c>
      <c r="DD195" s="584">
        <v>516.94889999999998</v>
      </c>
      <c r="DE195" s="584">
        <v>308</v>
      </c>
      <c r="DF195" s="584">
        <v>0.4</v>
      </c>
      <c r="DG195" s="584">
        <v>0.2</v>
      </c>
      <c r="DH195" s="584">
        <v>351.02391423859302</v>
      </c>
      <c r="DI195" s="584">
        <v>17.704121014293602</v>
      </c>
      <c r="DJ195" s="584">
        <v>300</v>
      </c>
      <c r="DK195" s="584">
        <v>0</v>
      </c>
      <c r="DL195" s="584">
        <v>0</v>
      </c>
      <c r="DM195" s="584">
        <v>0</v>
      </c>
      <c r="DN195" s="584">
        <v>0</v>
      </c>
      <c r="DO195" s="584">
        <v>0</v>
      </c>
      <c r="DP195" s="584">
        <v>0</v>
      </c>
      <c r="DQ195" s="584">
        <v>0</v>
      </c>
      <c r="DR195" s="584">
        <v>0.4</v>
      </c>
      <c r="DS195" s="584">
        <v>0</v>
      </c>
      <c r="DT195" s="584">
        <v>2.4</v>
      </c>
      <c r="DU195" s="584">
        <v>220.60693749999999</v>
      </c>
      <c r="DV195" s="584">
        <v>70</v>
      </c>
      <c r="DW195" s="584">
        <v>386.13537500000001</v>
      </c>
      <c r="DX195" s="584">
        <v>147</v>
      </c>
      <c r="DY195" s="584">
        <v>552.10500000000002</v>
      </c>
      <c r="DZ195" s="584">
        <v>308</v>
      </c>
      <c r="EA195" s="1062">
        <v>0.78060000000000007</v>
      </c>
      <c r="EB195" s="1046">
        <v>0.3</v>
      </c>
      <c r="EC195" s="1093">
        <v>132.51783893985731</v>
      </c>
      <c r="ED195" s="1046">
        <v>0</v>
      </c>
      <c r="EE195" s="1046">
        <v>397.55351681957183</v>
      </c>
      <c r="EF195" s="1046">
        <v>25.515714285714289</v>
      </c>
      <c r="EG195" s="1046">
        <v>0</v>
      </c>
      <c r="EH195" s="1046">
        <v>0</v>
      </c>
      <c r="EI195" s="1046" t="s">
        <v>442</v>
      </c>
      <c r="EJ195" s="1046" t="s">
        <v>463</v>
      </c>
      <c r="EK195" s="1046">
        <v>0</v>
      </c>
      <c r="EL195" s="1046">
        <v>0</v>
      </c>
      <c r="EM195" s="1046">
        <v>0</v>
      </c>
      <c r="EN195" s="1046">
        <v>0</v>
      </c>
      <c r="EO195" s="1046">
        <v>0</v>
      </c>
      <c r="EP195" s="1094">
        <v>109.38041025000001</v>
      </c>
      <c r="EQ195" s="1094">
        <v>70</v>
      </c>
      <c r="ER195" s="1094">
        <v>218.76082050000002</v>
      </c>
      <c r="ES195" s="1095">
        <v>140</v>
      </c>
      <c r="ET195" s="1094">
        <v>437.52164100000005</v>
      </c>
      <c r="EU195" s="1094">
        <v>280</v>
      </c>
      <c r="EV195" s="1096">
        <v>0.68310000000000004</v>
      </c>
      <c r="EW195" s="1097">
        <v>0.15</v>
      </c>
      <c r="EX195" s="1096">
        <v>289.50050968399592</v>
      </c>
      <c r="EY195" s="1096">
        <v>1.5443934760448521</v>
      </c>
      <c r="EZ195" s="1096">
        <v>0</v>
      </c>
      <c r="FA195" s="1096">
        <v>24.667142857142853</v>
      </c>
      <c r="FB195" s="1098">
        <v>0</v>
      </c>
      <c r="FC195" s="1098">
        <v>0</v>
      </c>
      <c r="FD195" s="1098" t="s">
        <v>430</v>
      </c>
      <c r="FE195" s="1098" t="s">
        <v>468</v>
      </c>
      <c r="FF195" s="1098">
        <v>2</v>
      </c>
      <c r="FG195" s="1098">
        <v>0</v>
      </c>
      <c r="FH195" s="1098">
        <v>0</v>
      </c>
      <c r="FI195" s="1098">
        <v>0</v>
      </c>
      <c r="FJ195" s="1098">
        <v>0</v>
      </c>
      <c r="FK195" s="1096">
        <v>70.124865500000013</v>
      </c>
      <c r="FL195" s="1096">
        <v>70</v>
      </c>
      <c r="FM195" s="1096">
        <v>140.24973100000003</v>
      </c>
      <c r="FN195" s="1096">
        <v>140</v>
      </c>
      <c r="FO195" s="1096">
        <v>280.49946200000005</v>
      </c>
      <c r="FP195" s="1099">
        <v>280</v>
      </c>
      <c r="FQ195" s="1064">
        <v>0.7847599999999999</v>
      </c>
      <c r="FR195" s="1065">
        <v>0.15</v>
      </c>
      <c r="FS195" s="1066">
        <v>289.50050968399586</v>
      </c>
      <c r="FT195" s="1066">
        <v>3.1547324150233758</v>
      </c>
      <c r="FU195" s="1065"/>
      <c r="FV195" s="1066">
        <v>36.475631898323599</v>
      </c>
      <c r="FW195" s="1065"/>
      <c r="FX195" s="1065"/>
      <c r="FY195" s="1065" t="s">
        <v>452</v>
      </c>
      <c r="FZ195" s="1065" t="s">
        <v>461</v>
      </c>
      <c r="GA195" s="1065">
        <v>1</v>
      </c>
      <c r="GB195" s="1065"/>
      <c r="GC195" s="1065"/>
      <c r="GD195" s="1065"/>
      <c r="GE195" s="1065"/>
      <c r="GF195" s="1066">
        <v>70.503542793493835</v>
      </c>
      <c r="GG195" s="1066">
        <v>70</v>
      </c>
      <c r="GH195" s="1066">
        <v>141.00708558698767</v>
      </c>
      <c r="GI195" s="1066">
        <v>140</v>
      </c>
      <c r="GJ195" s="1066">
        <v>282.01417117397534</v>
      </c>
      <c r="GK195" s="1066">
        <v>280</v>
      </c>
      <c r="GL195" s="584">
        <v>0.73299999999999998</v>
      </c>
      <c r="GM195" s="584">
        <v>0.13</v>
      </c>
      <c r="GN195" s="584"/>
      <c r="GO195" s="584"/>
      <c r="GP195" s="584"/>
      <c r="GQ195" s="584">
        <v>34.522857142857099</v>
      </c>
      <c r="GR195" s="584"/>
      <c r="GS195" s="584">
        <v>66.2589194699286</v>
      </c>
      <c r="GT195" s="584" t="s">
        <v>416</v>
      </c>
      <c r="GU195" s="584" t="s">
        <v>414</v>
      </c>
      <c r="GV195" s="584">
        <v>1</v>
      </c>
      <c r="GW195" s="584"/>
      <c r="GX195" s="584"/>
      <c r="GY195" s="584"/>
      <c r="GZ195" s="584"/>
      <c r="HA195" s="584">
        <v>31.3017115</v>
      </c>
      <c r="HB195" s="584">
        <v>70</v>
      </c>
      <c r="HC195" s="584">
        <v>62.603422999999999</v>
      </c>
      <c r="HD195" s="584">
        <v>140</v>
      </c>
      <c r="HE195" s="584">
        <v>125.206846</v>
      </c>
      <c r="HF195" s="584">
        <v>280</v>
      </c>
      <c r="HG195" s="1100">
        <v>1.01</v>
      </c>
      <c r="HH195" s="1100">
        <v>0.13</v>
      </c>
      <c r="HI195" s="1101">
        <v>0</v>
      </c>
      <c r="HJ195" s="1101">
        <v>0</v>
      </c>
      <c r="HK195" s="1101">
        <v>0</v>
      </c>
      <c r="HL195" s="1101">
        <v>0</v>
      </c>
      <c r="HM195" s="1101">
        <v>43.02</v>
      </c>
      <c r="HN195" s="1101">
        <v>65</v>
      </c>
      <c r="HO195" s="1101">
        <v>0</v>
      </c>
      <c r="HP195" s="1101">
        <v>0</v>
      </c>
      <c r="HQ195" s="1101">
        <v>1</v>
      </c>
      <c r="HR195" s="1101">
        <v>0.84</v>
      </c>
      <c r="HS195" s="1101">
        <v>0.88</v>
      </c>
      <c r="HT195" s="1101">
        <v>0.3</v>
      </c>
      <c r="HU195" s="1101">
        <v>0.28000000000000003</v>
      </c>
      <c r="HV195" s="1101">
        <v>32.544333500000008</v>
      </c>
      <c r="HW195" s="1101">
        <v>70</v>
      </c>
      <c r="HX195" s="1101">
        <v>65.088667000000015</v>
      </c>
      <c r="HY195" s="1101">
        <v>140</v>
      </c>
      <c r="HZ195" s="1101">
        <v>130.17733400000003</v>
      </c>
      <c r="IA195" s="1101">
        <v>280</v>
      </c>
      <c r="IB195" s="1062"/>
      <c r="ID195" s="1050"/>
      <c r="IE195" s="1050"/>
      <c r="IM195" s="1050"/>
      <c r="IN195" s="1050"/>
      <c r="IO195" s="1050"/>
      <c r="IP195" s="1050"/>
      <c r="JU195" s="1050"/>
      <c r="KC195" s="1050"/>
      <c r="KD195" s="1050"/>
      <c r="KE195" s="1050"/>
      <c r="KF195" s="1050"/>
      <c r="KN195" s="1103"/>
    </row>
    <row r="196" spans="2:300">
      <c r="B196" s="1048" t="str">
        <f t="shared" si="6"/>
        <v>E711</v>
      </c>
      <c r="C196" s="1046">
        <v>7</v>
      </c>
      <c r="D196" s="1092">
        <v>11</v>
      </c>
      <c r="E196" s="584">
        <v>0.42</v>
      </c>
      <c r="F196" s="584">
        <v>0.42</v>
      </c>
      <c r="G196" s="584">
        <v>1008</v>
      </c>
      <c r="H196" s="584">
        <v>24.36</v>
      </c>
      <c r="I196" s="584">
        <v>0</v>
      </c>
      <c r="J196" s="584">
        <v>0</v>
      </c>
      <c r="K196" s="584">
        <v>0</v>
      </c>
      <c r="L196" s="584">
        <v>0</v>
      </c>
      <c r="M196" s="584">
        <v>0</v>
      </c>
      <c r="N196" s="584">
        <v>0</v>
      </c>
      <c r="O196" s="584">
        <v>0</v>
      </c>
      <c r="P196" s="584">
        <v>0</v>
      </c>
      <c r="Q196" s="584">
        <v>0</v>
      </c>
      <c r="R196" s="584">
        <v>0</v>
      </c>
      <c r="S196" s="584">
        <v>0</v>
      </c>
      <c r="T196" s="584">
        <v>342.20643749999999</v>
      </c>
      <c r="U196" s="584">
        <v>77</v>
      </c>
      <c r="V196" s="584">
        <v>614.55093750000003</v>
      </c>
      <c r="W196" s="584">
        <v>161.69999999999999</v>
      </c>
      <c r="X196" s="584">
        <v>966.101</v>
      </c>
      <c r="Y196" s="584">
        <v>338.8</v>
      </c>
      <c r="Z196" s="584">
        <v>0.32</v>
      </c>
      <c r="AA196" s="584">
        <v>0.32</v>
      </c>
      <c r="AB196" s="584">
        <v>768</v>
      </c>
      <c r="AC196" s="584">
        <v>20</v>
      </c>
      <c r="AD196" s="584">
        <v>0</v>
      </c>
      <c r="AE196" s="584">
        <v>0</v>
      </c>
      <c r="AF196" s="584">
        <v>0</v>
      </c>
      <c r="AG196" s="584">
        <v>0</v>
      </c>
      <c r="AH196" s="584">
        <v>0</v>
      </c>
      <c r="AI196" s="584">
        <v>0</v>
      </c>
      <c r="AJ196" s="584">
        <v>0</v>
      </c>
      <c r="AK196" s="584">
        <v>0</v>
      </c>
      <c r="AL196" s="584">
        <v>0</v>
      </c>
      <c r="AM196" s="584">
        <v>0</v>
      </c>
      <c r="AN196" s="584">
        <v>0</v>
      </c>
      <c r="AO196" s="584">
        <v>289.48143750000003</v>
      </c>
      <c r="AP196" s="584">
        <v>77</v>
      </c>
      <c r="AQ196" s="584">
        <v>507.7134375</v>
      </c>
      <c r="AR196" s="584">
        <v>161.69999999999999</v>
      </c>
      <c r="AS196" s="584">
        <v>754.351</v>
      </c>
      <c r="AT196" s="584">
        <v>338.8</v>
      </c>
      <c r="AU196" s="584">
        <v>0.77500000000000002</v>
      </c>
      <c r="AV196" s="584">
        <v>0.26500000000000001</v>
      </c>
      <c r="AW196" s="584">
        <v>514.32147196261701</v>
      </c>
      <c r="AX196" s="584">
        <v>29.235032960614198</v>
      </c>
      <c r="AY196" s="584">
        <v>0</v>
      </c>
      <c r="AZ196" s="584">
        <v>0</v>
      </c>
      <c r="BA196" s="584">
        <v>0</v>
      </c>
      <c r="BB196" s="584">
        <v>0</v>
      </c>
      <c r="BC196" s="584">
        <v>0</v>
      </c>
      <c r="BD196" s="584">
        <v>0</v>
      </c>
      <c r="BE196" s="584">
        <v>0</v>
      </c>
      <c r="BF196" s="584">
        <v>0</v>
      </c>
      <c r="BG196" s="584">
        <v>0.77500000000000002</v>
      </c>
      <c r="BH196" s="584">
        <v>0</v>
      </c>
      <c r="BI196" s="584">
        <v>0.45</v>
      </c>
      <c r="BJ196" s="584">
        <v>246.87709001898401</v>
      </c>
      <c r="BK196" s="584">
        <v>77</v>
      </c>
      <c r="BL196" s="584">
        <v>395.00821398583503</v>
      </c>
      <c r="BM196" s="584">
        <v>161.69999999999999</v>
      </c>
      <c r="BN196" s="584">
        <v>516.37611961156495</v>
      </c>
      <c r="BO196" s="584">
        <v>338.8</v>
      </c>
      <c r="BP196" s="584">
        <v>0</v>
      </c>
      <c r="BQ196" s="584">
        <v>0</v>
      </c>
      <c r="BR196" s="584">
        <v>0</v>
      </c>
      <c r="BS196" s="584">
        <v>0</v>
      </c>
      <c r="BT196" s="584">
        <v>0</v>
      </c>
      <c r="BU196" s="584">
        <v>0</v>
      </c>
      <c r="BV196" s="584">
        <v>0</v>
      </c>
      <c r="BW196" s="584">
        <v>0</v>
      </c>
      <c r="BX196" s="584">
        <v>0</v>
      </c>
      <c r="BY196" s="584">
        <v>0</v>
      </c>
      <c r="BZ196" s="584">
        <v>0</v>
      </c>
      <c r="CA196" s="584">
        <v>0</v>
      </c>
      <c r="CB196" s="584">
        <v>0</v>
      </c>
      <c r="CC196" s="584">
        <v>0</v>
      </c>
      <c r="CD196" s="584">
        <v>0</v>
      </c>
      <c r="CE196" s="584">
        <v>0</v>
      </c>
      <c r="CF196" s="584">
        <v>0</v>
      </c>
      <c r="CG196" s="584">
        <v>0</v>
      </c>
      <c r="CH196" s="584">
        <v>0</v>
      </c>
      <c r="CI196" s="584">
        <v>0</v>
      </c>
      <c r="CJ196" s="584">
        <v>0</v>
      </c>
      <c r="CK196" s="584">
        <v>0.77500000000000002</v>
      </c>
      <c r="CL196" s="584">
        <v>0.20499999999999999</v>
      </c>
      <c r="CM196" s="584">
        <v>586.19659546061405</v>
      </c>
      <c r="CN196" s="584">
        <v>23.5363025700935</v>
      </c>
      <c r="CO196" s="584">
        <v>0</v>
      </c>
      <c r="CP196" s="584">
        <v>0</v>
      </c>
      <c r="CQ196" s="584">
        <v>0</v>
      </c>
      <c r="CR196" s="584">
        <v>0</v>
      </c>
      <c r="CS196" s="584">
        <v>0</v>
      </c>
      <c r="CT196" s="584">
        <v>0</v>
      </c>
      <c r="CU196" s="584">
        <v>0</v>
      </c>
      <c r="CV196" s="584">
        <v>0</v>
      </c>
      <c r="CW196" s="584">
        <v>0.77500000000000002</v>
      </c>
      <c r="CX196" s="584">
        <v>0</v>
      </c>
      <c r="CY196" s="584">
        <v>0.6</v>
      </c>
      <c r="CZ196" s="584">
        <v>264.80865</v>
      </c>
      <c r="DA196" s="584">
        <v>77</v>
      </c>
      <c r="DB196" s="584">
        <v>428.23627499999998</v>
      </c>
      <c r="DC196" s="584">
        <v>161.69999999999999</v>
      </c>
      <c r="DD196" s="584">
        <v>579.99090000000001</v>
      </c>
      <c r="DE196" s="584">
        <v>338.8</v>
      </c>
      <c r="DF196" s="584">
        <v>0.47499999999999998</v>
      </c>
      <c r="DG196" s="584">
        <v>0.2</v>
      </c>
      <c r="DH196" s="584">
        <v>413.67437833778399</v>
      </c>
      <c r="DI196" s="584">
        <v>20.170391083945301</v>
      </c>
      <c r="DJ196" s="584">
        <v>300</v>
      </c>
      <c r="DK196" s="584">
        <v>0</v>
      </c>
      <c r="DL196" s="584">
        <v>0</v>
      </c>
      <c r="DM196" s="584">
        <v>0</v>
      </c>
      <c r="DN196" s="584">
        <v>0</v>
      </c>
      <c r="DO196" s="584">
        <v>0</v>
      </c>
      <c r="DP196" s="584">
        <v>0</v>
      </c>
      <c r="DQ196" s="584">
        <v>0</v>
      </c>
      <c r="DR196" s="584">
        <v>0.47499999999999998</v>
      </c>
      <c r="DS196" s="584">
        <v>0</v>
      </c>
      <c r="DT196" s="584">
        <v>2.4</v>
      </c>
      <c r="DU196" s="584">
        <v>250.56693749999999</v>
      </c>
      <c r="DV196" s="584">
        <v>77</v>
      </c>
      <c r="DW196" s="584">
        <v>438.90537499999999</v>
      </c>
      <c r="DX196" s="584">
        <v>161.69999999999999</v>
      </c>
      <c r="DY196" s="584">
        <v>655.78274999999996</v>
      </c>
      <c r="DZ196" s="584">
        <v>338.8</v>
      </c>
      <c r="EA196" s="1062">
        <v>0.84199999999999997</v>
      </c>
      <c r="EB196" s="1046">
        <v>0.35</v>
      </c>
      <c r="EC196" s="1093">
        <v>132.51783893985731</v>
      </c>
      <c r="ED196" s="1046">
        <v>0</v>
      </c>
      <c r="EE196" s="1046">
        <v>458.71559633027522</v>
      </c>
      <c r="EF196" s="1046">
        <v>28.715584415584413</v>
      </c>
      <c r="EG196" s="1046">
        <v>0</v>
      </c>
      <c r="EH196" s="1046">
        <v>0</v>
      </c>
      <c r="EI196" s="1046" t="s">
        <v>440</v>
      </c>
      <c r="EJ196" s="1046" t="s">
        <v>445</v>
      </c>
      <c r="EK196" s="1046">
        <v>0</v>
      </c>
      <c r="EL196" s="1046">
        <v>0</v>
      </c>
      <c r="EM196" s="1046">
        <v>0</v>
      </c>
      <c r="EN196" s="1046">
        <v>0</v>
      </c>
      <c r="EO196" s="1046">
        <v>0</v>
      </c>
      <c r="EP196" s="1094">
        <v>132.47272275</v>
      </c>
      <c r="EQ196" s="1094">
        <v>77</v>
      </c>
      <c r="ER196" s="1094">
        <v>264.94544550000001</v>
      </c>
      <c r="ES196" s="1095">
        <v>154</v>
      </c>
      <c r="ET196" s="1094">
        <v>529.89089100000001</v>
      </c>
      <c r="EU196" s="1094">
        <v>308</v>
      </c>
      <c r="EV196" s="1096">
        <v>0.68670000000000009</v>
      </c>
      <c r="EW196" s="1097">
        <v>0.15</v>
      </c>
      <c r="EX196" s="1096">
        <v>289.50050968399592</v>
      </c>
      <c r="EY196" s="1096">
        <v>1.5443934760448521</v>
      </c>
      <c r="EZ196" s="1096">
        <v>0</v>
      </c>
      <c r="FA196" s="1096">
        <v>24.124675324675323</v>
      </c>
      <c r="FB196" s="1098">
        <v>0</v>
      </c>
      <c r="FC196" s="1098">
        <v>0</v>
      </c>
      <c r="FD196" s="1098" t="s">
        <v>429</v>
      </c>
      <c r="FE196" s="1098" t="s">
        <v>461</v>
      </c>
      <c r="FF196" s="1098">
        <v>2</v>
      </c>
      <c r="FG196" s="1098">
        <v>0</v>
      </c>
      <c r="FH196" s="1098">
        <v>0</v>
      </c>
      <c r="FI196" s="1098">
        <v>0</v>
      </c>
      <c r="FJ196" s="1098">
        <v>0</v>
      </c>
      <c r="FK196" s="1096">
        <v>77.034911124999994</v>
      </c>
      <c r="FL196" s="1096">
        <v>77</v>
      </c>
      <c r="FM196" s="1096">
        <v>154.06982224999999</v>
      </c>
      <c r="FN196" s="1096">
        <v>154</v>
      </c>
      <c r="FO196" s="1096">
        <v>308.13964449999997</v>
      </c>
      <c r="FP196" s="1099">
        <v>308</v>
      </c>
      <c r="FQ196" s="1064">
        <v>0.98803999999999992</v>
      </c>
      <c r="FR196" s="1065">
        <v>0.15</v>
      </c>
      <c r="FS196" s="1066">
        <v>289.50050968399586</v>
      </c>
      <c r="FT196" s="1066">
        <v>3.1547324150233758</v>
      </c>
      <c r="FU196" s="1065"/>
      <c r="FV196" s="1066">
        <v>42.125123350456867</v>
      </c>
      <c r="FW196" s="1065"/>
      <c r="FX196" s="1065"/>
      <c r="FY196" s="1065" t="s">
        <v>416</v>
      </c>
      <c r="FZ196" s="1065" t="s">
        <v>438</v>
      </c>
      <c r="GA196" s="1065">
        <v>1</v>
      </c>
      <c r="GB196" s="1065"/>
      <c r="GC196" s="1065"/>
      <c r="GD196" s="1065"/>
      <c r="GE196" s="1065"/>
      <c r="GF196" s="1066">
        <v>78.620761162392697</v>
      </c>
      <c r="GG196" s="1066">
        <v>77</v>
      </c>
      <c r="GH196" s="1066">
        <v>157.24152232478539</v>
      </c>
      <c r="GI196" s="1066">
        <v>154</v>
      </c>
      <c r="GJ196" s="1066">
        <v>314.48304464957079</v>
      </c>
      <c r="GK196" s="1066">
        <v>308</v>
      </c>
      <c r="GL196" s="584">
        <v>0.73760000000000003</v>
      </c>
      <c r="GM196" s="584">
        <v>0.13</v>
      </c>
      <c r="GN196" s="584"/>
      <c r="GO196" s="584"/>
      <c r="GP196" s="584"/>
      <c r="GQ196" s="584">
        <v>39.722077922077901</v>
      </c>
      <c r="GR196" s="584"/>
      <c r="GS196" s="584">
        <v>66.2589194699286</v>
      </c>
      <c r="GT196" s="584" t="s">
        <v>416</v>
      </c>
      <c r="GU196" s="584" t="s">
        <v>408</v>
      </c>
      <c r="GV196" s="584">
        <v>1</v>
      </c>
      <c r="GW196" s="584"/>
      <c r="GX196" s="584"/>
      <c r="GY196" s="584"/>
      <c r="GZ196" s="584"/>
      <c r="HA196" s="584">
        <v>35.4137165</v>
      </c>
      <c r="HB196" s="584">
        <v>77</v>
      </c>
      <c r="HC196" s="584">
        <v>70.827432999999999</v>
      </c>
      <c r="HD196" s="584">
        <v>154</v>
      </c>
      <c r="HE196" s="584">
        <v>141.654866</v>
      </c>
      <c r="HF196" s="584">
        <v>308</v>
      </c>
      <c r="HG196" s="1100">
        <v>1.1299999999999999</v>
      </c>
      <c r="HH196" s="1100">
        <v>0.13</v>
      </c>
      <c r="HI196" s="1101">
        <v>0</v>
      </c>
      <c r="HJ196" s="1101">
        <v>0</v>
      </c>
      <c r="HK196" s="1101">
        <v>0</v>
      </c>
      <c r="HL196" s="1101">
        <v>0</v>
      </c>
      <c r="HM196" s="1101">
        <v>46.800000000000011</v>
      </c>
      <c r="HN196" s="1101">
        <v>65</v>
      </c>
      <c r="HO196" s="1101">
        <v>0</v>
      </c>
      <c r="HP196" s="1101">
        <v>0</v>
      </c>
      <c r="HQ196" s="1101">
        <v>1</v>
      </c>
      <c r="HR196" s="1101">
        <v>0.88</v>
      </c>
      <c r="HS196" s="1101">
        <v>1</v>
      </c>
      <c r="HT196" s="1101">
        <v>0.3</v>
      </c>
      <c r="HU196" s="1101">
        <v>0.28000000000000003</v>
      </c>
      <c r="HV196" s="1101">
        <v>36.512591500000013</v>
      </c>
      <c r="HW196" s="1101">
        <v>77</v>
      </c>
      <c r="HX196" s="1101">
        <v>73.025183000000027</v>
      </c>
      <c r="HY196" s="1101">
        <v>154</v>
      </c>
      <c r="HZ196" s="1101">
        <v>146.05036600000005</v>
      </c>
      <c r="IA196" s="1101">
        <v>308</v>
      </c>
      <c r="IB196" s="1062"/>
      <c r="ID196" s="1050"/>
      <c r="IE196" s="1050"/>
      <c r="IM196" s="1050"/>
      <c r="IN196" s="1050"/>
      <c r="IO196" s="1050"/>
      <c r="IP196" s="1050"/>
      <c r="JU196" s="1050"/>
      <c r="KC196" s="1050"/>
      <c r="KD196" s="1050"/>
      <c r="KE196" s="1050"/>
      <c r="KF196" s="1050"/>
      <c r="KN196" s="1103"/>
    </row>
    <row r="197" spans="2:300">
      <c r="B197" s="1048" t="str">
        <f t="shared" si="6"/>
        <v>E712</v>
      </c>
      <c r="C197" s="1046">
        <v>7</v>
      </c>
      <c r="D197" s="1092">
        <v>12</v>
      </c>
      <c r="E197" s="584">
        <v>0.49</v>
      </c>
      <c r="F197" s="584">
        <v>0.49</v>
      </c>
      <c r="G197" s="584">
        <v>1176</v>
      </c>
      <c r="H197" s="584">
        <v>25.97</v>
      </c>
      <c r="I197" s="584">
        <v>0</v>
      </c>
      <c r="J197" s="584">
        <v>0</v>
      </c>
      <c r="K197" s="584">
        <v>0</v>
      </c>
      <c r="L197" s="584">
        <v>0</v>
      </c>
      <c r="M197" s="584">
        <v>0</v>
      </c>
      <c r="N197" s="584">
        <v>0</v>
      </c>
      <c r="O197" s="584">
        <v>0</v>
      </c>
      <c r="P197" s="584">
        <v>0</v>
      </c>
      <c r="Q197" s="584">
        <v>0</v>
      </c>
      <c r="R197" s="584">
        <v>0</v>
      </c>
      <c r="S197" s="584">
        <v>0</v>
      </c>
      <c r="T197" s="584">
        <v>408.73643750000002</v>
      </c>
      <c r="U197" s="584">
        <v>84</v>
      </c>
      <c r="V197" s="584">
        <v>752.73074999999994</v>
      </c>
      <c r="W197" s="584">
        <v>176.4</v>
      </c>
      <c r="X197" s="584">
        <v>1214.8109999999999</v>
      </c>
      <c r="Y197" s="584">
        <v>369.6</v>
      </c>
      <c r="Z197" s="584">
        <v>0.35499999999999998</v>
      </c>
      <c r="AA197" s="584">
        <v>0.35499999999999998</v>
      </c>
      <c r="AB197" s="584">
        <v>852</v>
      </c>
      <c r="AC197" s="584">
        <v>20</v>
      </c>
      <c r="AD197" s="584">
        <v>0</v>
      </c>
      <c r="AE197" s="584">
        <v>0</v>
      </c>
      <c r="AF197" s="584">
        <v>0</v>
      </c>
      <c r="AG197" s="584">
        <v>0</v>
      </c>
      <c r="AH197" s="584">
        <v>0</v>
      </c>
      <c r="AI197" s="584">
        <v>0</v>
      </c>
      <c r="AJ197" s="584">
        <v>0</v>
      </c>
      <c r="AK197" s="584">
        <v>0</v>
      </c>
      <c r="AL197" s="584">
        <v>0</v>
      </c>
      <c r="AM197" s="584">
        <v>0</v>
      </c>
      <c r="AN197" s="584">
        <v>0</v>
      </c>
      <c r="AO197" s="584">
        <v>331.31393750000001</v>
      </c>
      <c r="AP197" s="584">
        <v>84</v>
      </c>
      <c r="AQ197" s="584">
        <v>594.20193749999999</v>
      </c>
      <c r="AR197" s="584">
        <v>176.4</v>
      </c>
      <c r="AS197" s="584">
        <v>902.96100000000001</v>
      </c>
      <c r="AT197" s="584">
        <v>369.6</v>
      </c>
      <c r="AU197" s="584">
        <v>0.875</v>
      </c>
      <c r="AV197" s="584">
        <v>0.26500000000000001</v>
      </c>
      <c r="AW197" s="584">
        <v>544.15975026811702</v>
      </c>
      <c r="AX197" s="584">
        <v>30.551205377662001</v>
      </c>
      <c r="AY197" s="584">
        <v>0</v>
      </c>
      <c r="AZ197" s="584">
        <v>0</v>
      </c>
      <c r="BA197" s="584">
        <v>0</v>
      </c>
      <c r="BB197" s="584">
        <v>0</v>
      </c>
      <c r="BC197" s="584">
        <v>0</v>
      </c>
      <c r="BD197" s="584">
        <v>0</v>
      </c>
      <c r="BE197" s="584">
        <v>0</v>
      </c>
      <c r="BF197" s="584">
        <v>0</v>
      </c>
      <c r="BG197" s="584">
        <v>0.875</v>
      </c>
      <c r="BH197" s="584">
        <v>0</v>
      </c>
      <c r="BI197" s="584">
        <v>0.45</v>
      </c>
      <c r="BJ197" s="584">
        <v>281.87406467366299</v>
      </c>
      <c r="BK197" s="584">
        <v>84</v>
      </c>
      <c r="BL197" s="584">
        <v>451.33119514325102</v>
      </c>
      <c r="BM197" s="584">
        <v>176.4</v>
      </c>
      <c r="BN197" s="584">
        <v>566.03283451815503</v>
      </c>
      <c r="BO197" s="584">
        <v>369.6</v>
      </c>
      <c r="BP197" s="584">
        <v>0.8</v>
      </c>
      <c r="BQ197" s="584">
        <v>0.17499999999999999</v>
      </c>
      <c r="BR197" s="584">
        <v>562.73038915275004</v>
      </c>
      <c r="BS197" s="584">
        <v>47.810868316224898</v>
      </c>
      <c r="BT197" s="584">
        <v>0</v>
      </c>
      <c r="BU197" s="584">
        <v>0</v>
      </c>
      <c r="BV197" s="584">
        <v>0</v>
      </c>
      <c r="BW197" s="584">
        <v>0</v>
      </c>
      <c r="BX197" s="584">
        <v>0</v>
      </c>
      <c r="BY197" s="584">
        <v>0</v>
      </c>
      <c r="BZ197" s="584">
        <v>0</v>
      </c>
      <c r="CA197" s="584">
        <v>0.35</v>
      </c>
      <c r="CB197" s="584">
        <v>0.8</v>
      </c>
      <c r="CC197" s="584">
        <v>0.45</v>
      </c>
      <c r="CD197" s="584">
        <v>0.45</v>
      </c>
      <c r="CE197" s="584">
        <v>273.24874999999997</v>
      </c>
      <c r="CF197" s="584">
        <v>84</v>
      </c>
      <c r="CG197" s="584">
        <v>445.3970625</v>
      </c>
      <c r="CH197" s="584">
        <v>176.4</v>
      </c>
      <c r="CI197" s="584">
        <v>580.63443749999999</v>
      </c>
      <c r="CJ197" s="584">
        <v>369.6</v>
      </c>
      <c r="CK197" s="584">
        <v>0.9</v>
      </c>
      <c r="CL197" s="584">
        <v>0.20499999999999999</v>
      </c>
      <c r="CM197" s="584">
        <v>620.93565190746097</v>
      </c>
      <c r="CN197" s="584">
        <v>24.8016546652367</v>
      </c>
      <c r="CO197" s="584">
        <v>0</v>
      </c>
      <c r="CP197" s="584">
        <v>0</v>
      </c>
      <c r="CQ197" s="584">
        <v>0</v>
      </c>
      <c r="CR197" s="584">
        <v>0</v>
      </c>
      <c r="CS197" s="584">
        <v>0</v>
      </c>
      <c r="CT197" s="584">
        <v>0</v>
      </c>
      <c r="CU197" s="584">
        <v>0</v>
      </c>
      <c r="CV197" s="584">
        <v>0</v>
      </c>
      <c r="CW197" s="584">
        <v>0.9</v>
      </c>
      <c r="CX197" s="584">
        <v>0</v>
      </c>
      <c r="CY197" s="584">
        <v>0.6</v>
      </c>
      <c r="CZ197" s="584">
        <v>305.78052500000001</v>
      </c>
      <c r="DA197" s="584">
        <v>84</v>
      </c>
      <c r="DB197" s="584">
        <v>495.19664999999998</v>
      </c>
      <c r="DC197" s="584">
        <v>176.4</v>
      </c>
      <c r="DD197" s="584">
        <v>648.59715000000006</v>
      </c>
      <c r="DE197" s="584">
        <v>369.6</v>
      </c>
      <c r="DF197" s="584">
        <v>0.52500000000000002</v>
      </c>
      <c r="DG197" s="584">
        <v>0.2</v>
      </c>
      <c r="DH197" s="584">
        <v>452.41276620193003</v>
      </c>
      <c r="DI197" s="584">
        <v>21.572556821663898</v>
      </c>
      <c r="DJ197" s="584">
        <v>300</v>
      </c>
      <c r="DK197" s="584">
        <v>0</v>
      </c>
      <c r="DL197" s="584">
        <v>0</v>
      </c>
      <c r="DM197" s="584">
        <v>0</v>
      </c>
      <c r="DN197" s="584">
        <v>0</v>
      </c>
      <c r="DO197" s="584">
        <v>0</v>
      </c>
      <c r="DP197" s="584">
        <v>0</v>
      </c>
      <c r="DQ197" s="584">
        <v>0</v>
      </c>
      <c r="DR197" s="584">
        <v>0.52500000000000002</v>
      </c>
      <c r="DS197" s="584">
        <v>0</v>
      </c>
      <c r="DT197" s="584">
        <v>2.4</v>
      </c>
      <c r="DU197" s="584">
        <v>276.66068749999999</v>
      </c>
      <c r="DV197" s="584">
        <v>84</v>
      </c>
      <c r="DW197" s="584">
        <v>486.87162499999999</v>
      </c>
      <c r="DX197" s="584">
        <v>176.4</v>
      </c>
      <c r="DY197" s="584">
        <v>750.52125000000001</v>
      </c>
      <c r="DZ197" s="584">
        <v>369.6</v>
      </c>
      <c r="EA197" s="1062">
        <v>0.84199999999999997</v>
      </c>
      <c r="EB197" s="1046">
        <v>0.35</v>
      </c>
      <c r="EC197" s="1093">
        <v>132.51783893985731</v>
      </c>
      <c r="ED197" s="1046">
        <v>0</v>
      </c>
      <c r="EE197" s="1046">
        <v>458.71559633027522</v>
      </c>
      <c r="EF197" s="1046">
        <v>32.492857142857147</v>
      </c>
      <c r="EG197" s="1046">
        <v>0</v>
      </c>
      <c r="EH197" s="1046">
        <v>0</v>
      </c>
      <c r="EI197" s="1046" t="s">
        <v>440</v>
      </c>
      <c r="EJ197" s="1046" t="s">
        <v>442</v>
      </c>
      <c r="EK197" s="1046">
        <v>0</v>
      </c>
      <c r="EL197" s="1046">
        <v>0</v>
      </c>
      <c r="EM197" s="1046">
        <v>0</v>
      </c>
      <c r="EN197" s="1046">
        <v>0</v>
      </c>
      <c r="EO197" s="1046">
        <v>0</v>
      </c>
      <c r="EP197" s="1094">
        <v>145.29385350000001</v>
      </c>
      <c r="EQ197" s="1094">
        <v>84</v>
      </c>
      <c r="ER197" s="1094">
        <v>290.58770700000002</v>
      </c>
      <c r="ES197" s="1095">
        <v>168</v>
      </c>
      <c r="ET197" s="1094">
        <v>581.17541400000005</v>
      </c>
      <c r="EU197" s="1094">
        <v>336</v>
      </c>
      <c r="EV197" s="1096">
        <v>0.6895</v>
      </c>
      <c r="EW197" s="1097">
        <v>0.15</v>
      </c>
      <c r="EX197" s="1096">
        <v>289.50050968399592</v>
      </c>
      <c r="EY197" s="1096">
        <v>1.5443934760448521</v>
      </c>
      <c r="EZ197" s="1096">
        <v>0</v>
      </c>
      <c r="FA197" s="1096">
        <v>24.026190476190475</v>
      </c>
      <c r="FB197" s="1098">
        <v>0</v>
      </c>
      <c r="FC197" s="1098">
        <v>0</v>
      </c>
      <c r="FD197" s="1098" t="s">
        <v>428</v>
      </c>
      <c r="FE197" s="1098" t="s">
        <v>461</v>
      </c>
      <c r="FF197" s="1098">
        <v>2</v>
      </c>
      <c r="FG197" s="1098">
        <v>0</v>
      </c>
      <c r="FH197" s="1098">
        <v>0</v>
      </c>
      <c r="FI197" s="1098">
        <v>0</v>
      </c>
      <c r="FJ197" s="1098">
        <v>0</v>
      </c>
      <c r="FK197" s="1096">
        <v>84.01779599999999</v>
      </c>
      <c r="FL197" s="1096">
        <v>84</v>
      </c>
      <c r="FM197" s="1096">
        <v>168.03559199999998</v>
      </c>
      <c r="FN197" s="1096">
        <v>168</v>
      </c>
      <c r="FO197" s="1096">
        <v>336.07118399999996</v>
      </c>
      <c r="FP197" s="1099">
        <v>336</v>
      </c>
      <c r="FQ197" s="1064">
        <v>1.0020981024599609</v>
      </c>
      <c r="FR197" s="1065">
        <v>0.15</v>
      </c>
      <c r="FS197" s="1066">
        <v>289.50050968399586</v>
      </c>
      <c r="FT197" s="1066">
        <v>3.1547324150233758</v>
      </c>
      <c r="FU197" s="1065"/>
      <c r="FV197" s="1066">
        <v>48.355089725794308</v>
      </c>
      <c r="FW197" s="1065"/>
      <c r="FX197" s="1065"/>
      <c r="FY197" s="1065" t="s">
        <v>412</v>
      </c>
      <c r="FZ197" s="1065" t="s">
        <v>416</v>
      </c>
      <c r="GA197" s="1065">
        <v>1</v>
      </c>
      <c r="GB197" s="1065"/>
      <c r="GC197" s="1065"/>
      <c r="GD197" s="1065"/>
      <c r="GE197" s="1065"/>
      <c r="GF197" s="1066">
        <v>87.051538459229832</v>
      </c>
      <c r="GG197" s="1066">
        <v>84</v>
      </c>
      <c r="GH197" s="1066">
        <v>174.10307691845966</v>
      </c>
      <c r="GI197" s="1066">
        <v>168</v>
      </c>
      <c r="GJ197" s="1066">
        <v>348.20615383691933</v>
      </c>
      <c r="GK197" s="1066">
        <v>336</v>
      </c>
      <c r="GL197" s="584">
        <v>0.88</v>
      </c>
      <c r="GM197" s="584">
        <v>0.13</v>
      </c>
      <c r="GN197" s="584"/>
      <c r="GO197" s="584"/>
      <c r="GP197" s="584"/>
      <c r="GQ197" s="584">
        <v>45.073809523809501</v>
      </c>
      <c r="GR197" s="584"/>
      <c r="GS197" s="584">
        <v>66.2589194699286</v>
      </c>
      <c r="GT197" s="584" t="s">
        <v>416</v>
      </c>
      <c r="GU197" s="584" t="s">
        <v>389</v>
      </c>
      <c r="GV197" s="584">
        <v>1</v>
      </c>
      <c r="GW197" s="584"/>
      <c r="GX197" s="584"/>
      <c r="GY197" s="584"/>
      <c r="GZ197" s="584"/>
      <c r="HA197" s="584">
        <v>39.7356555</v>
      </c>
      <c r="HB197" s="584">
        <v>84</v>
      </c>
      <c r="HC197" s="584">
        <v>79.471311</v>
      </c>
      <c r="HD197" s="584">
        <v>168</v>
      </c>
      <c r="HE197" s="584">
        <v>158.942622</v>
      </c>
      <c r="HF197" s="584">
        <v>336</v>
      </c>
      <c r="HG197" s="1100">
        <v>1.25</v>
      </c>
      <c r="HH197" s="1100">
        <v>0.13</v>
      </c>
      <c r="HI197" s="1101">
        <v>0</v>
      </c>
      <c r="HJ197" s="1101">
        <v>0</v>
      </c>
      <c r="HK197" s="1101">
        <v>0</v>
      </c>
      <c r="HL197" s="1101">
        <v>0</v>
      </c>
      <c r="HM197" s="1101">
        <v>50.67</v>
      </c>
      <c r="HN197" s="1101">
        <v>65</v>
      </c>
      <c r="HO197" s="1101">
        <v>0</v>
      </c>
      <c r="HP197" s="1101">
        <v>0</v>
      </c>
      <c r="HQ197" s="1101">
        <v>1</v>
      </c>
      <c r="HR197" s="1101">
        <v>0.92</v>
      </c>
      <c r="HS197" s="1101">
        <v>1.1200000000000001</v>
      </c>
      <c r="HT197" s="1101">
        <v>0.3</v>
      </c>
      <c r="HU197" s="1101">
        <v>0.28000000000000003</v>
      </c>
      <c r="HV197" s="1101">
        <v>40.629176700000002</v>
      </c>
      <c r="HW197" s="1101">
        <v>84</v>
      </c>
      <c r="HX197" s="1101">
        <v>81.258353400000004</v>
      </c>
      <c r="HY197" s="1101">
        <v>168</v>
      </c>
      <c r="HZ197" s="1101">
        <v>162.51670680000001</v>
      </c>
      <c r="IA197" s="1101">
        <v>336</v>
      </c>
      <c r="IB197" s="1062"/>
      <c r="ID197" s="1050"/>
      <c r="IE197" s="1050"/>
      <c r="IM197" s="1050"/>
      <c r="IN197" s="1050"/>
      <c r="IO197" s="1050"/>
      <c r="IP197" s="1050"/>
      <c r="JU197" s="1050"/>
      <c r="KC197" s="1050"/>
      <c r="KD197" s="1050"/>
      <c r="KE197" s="1050"/>
      <c r="KF197" s="1050"/>
      <c r="KN197" s="1103"/>
    </row>
    <row r="198" spans="2:300">
      <c r="B198" s="1048" t="str">
        <f t="shared" si="6"/>
        <v>E713</v>
      </c>
      <c r="C198" s="1046">
        <v>7</v>
      </c>
      <c r="D198" s="1092">
        <v>13</v>
      </c>
      <c r="E198" s="584">
        <v>0.49</v>
      </c>
      <c r="F198" s="584">
        <v>0.49</v>
      </c>
      <c r="G198" s="584">
        <v>1176</v>
      </c>
      <c r="H198" s="584">
        <v>25.48</v>
      </c>
      <c r="I198" s="584">
        <v>0</v>
      </c>
      <c r="J198" s="584">
        <v>0</v>
      </c>
      <c r="K198" s="584">
        <v>0</v>
      </c>
      <c r="L198" s="584">
        <v>0</v>
      </c>
      <c r="M198" s="584">
        <v>0</v>
      </c>
      <c r="N198" s="584">
        <v>0</v>
      </c>
      <c r="O198" s="584">
        <v>0</v>
      </c>
      <c r="P198" s="584">
        <v>0</v>
      </c>
      <c r="Q198" s="584">
        <v>0</v>
      </c>
      <c r="R198" s="584">
        <v>0</v>
      </c>
      <c r="S198" s="584">
        <v>0</v>
      </c>
      <c r="T198" s="584">
        <v>438.35893750000002</v>
      </c>
      <c r="U198" s="584">
        <v>91</v>
      </c>
      <c r="V198" s="584">
        <v>814.93799999999999</v>
      </c>
      <c r="W198" s="584">
        <v>191.1</v>
      </c>
      <c r="X198" s="584">
        <v>1315.296</v>
      </c>
      <c r="Y198" s="584">
        <v>400.4</v>
      </c>
      <c r="Z198" s="584">
        <v>0.39500000000000002</v>
      </c>
      <c r="AA198" s="584">
        <v>0.39500000000000002</v>
      </c>
      <c r="AB198" s="584">
        <v>948</v>
      </c>
      <c r="AC198" s="584">
        <v>24</v>
      </c>
      <c r="AD198" s="584">
        <v>0</v>
      </c>
      <c r="AE198" s="584">
        <v>0</v>
      </c>
      <c r="AF198" s="584">
        <v>0</v>
      </c>
      <c r="AG198" s="584">
        <v>0</v>
      </c>
      <c r="AH198" s="584">
        <v>0</v>
      </c>
      <c r="AI198" s="584">
        <v>0</v>
      </c>
      <c r="AJ198" s="584">
        <v>0</v>
      </c>
      <c r="AK198" s="584">
        <v>0</v>
      </c>
      <c r="AL198" s="584">
        <v>0</v>
      </c>
      <c r="AM198" s="584">
        <v>0</v>
      </c>
      <c r="AN198" s="584">
        <v>0</v>
      </c>
      <c r="AO198" s="584">
        <v>379.4826875</v>
      </c>
      <c r="AP198" s="584">
        <v>91</v>
      </c>
      <c r="AQ198" s="584">
        <v>694.98862499999996</v>
      </c>
      <c r="AR198" s="584">
        <v>191.1</v>
      </c>
      <c r="AS198" s="584">
        <v>1077.5585000000001</v>
      </c>
      <c r="AT198" s="584">
        <v>400.4</v>
      </c>
      <c r="AU198" s="584">
        <v>0</v>
      </c>
      <c r="AV198" s="584">
        <v>0</v>
      </c>
      <c r="AW198" s="584">
        <v>0</v>
      </c>
      <c r="AX198" s="584">
        <v>0</v>
      </c>
      <c r="AY198" s="584">
        <v>0</v>
      </c>
      <c r="AZ198" s="584">
        <v>0</v>
      </c>
      <c r="BA198" s="584">
        <v>0</v>
      </c>
      <c r="BB198" s="584">
        <v>0</v>
      </c>
      <c r="BC198" s="584">
        <v>0</v>
      </c>
      <c r="BD198" s="584">
        <v>0</v>
      </c>
      <c r="BE198" s="584">
        <v>0</v>
      </c>
      <c r="BF198" s="584">
        <v>0</v>
      </c>
      <c r="BG198" s="584">
        <v>0</v>
      </c>
      <c r="BH198" s="584">
        <v>0</v>
      </c>
      <c r="BI198" s="584">
        <v>0</v>
      </c>
      <c r="BJ198" s="584">
        <v>0</v>
      </c>
      <c r="BK198" s="584">
        <v>0</v>
      </c>
      <c r="BL198" s="584">
        <v>0</v>
      </c>
      <c r="BM198" s="584">
        <v>0</v>
      </c>
      <c r="BN198" s="584">
        <v>0</v>
      </c>
      <c r="BO198" s="584">
        <v>0</v>
      </c>
      <c r="BP198" s="584">
        <v>0.9</v>
      </c>
      <c r="BQ198" s="584">
        <v>0.18</v>
      </c>
      <c r="BR198" s="584">
        <v>595.11066270178401</v>
      </c>
      <c r="BS198" s="584">
        <v>55.477238742565802</v>
      </c>
      <c r="BT198" s="584">
        <v>0</v>
      </c>
      <c r="BU198" s="584">
        <v>0</v>
      </c>
      <c r="BV198" s="584">
        <v>0</v>
      </c>
      <c r="BW198" s="584">
        <v>0</v>
      </c>
      <c r="BX198" s="584">
        <v>0</v>
      </c>
      <c r="BY198" s="584">
        <v>0</v>
      </c>
      <c r="BZ198" s="584">
        <v>0</v>
      </c>
      <c r="CA198" s="584">
        <v>0.35</v>
      </c>
      <c r="CB198" s="584">
        <v>0.9</v>
      </c>
      <c r="CC198" s="584">
        <v>0.45</v>
      </c>
      <c r="CD198" s="584">
        <v>0.45</v>
      </c>
      <c r="CE198" s="584">
        <v>302.42039999999997</v>
      </c>
      <c r="CF198" s="584">
        <v>91</v>
      </c>
      <c r="CG198" s="584">
        <v>496.20690000000002</v>
      </c>
      <c r="CH198" s="584">
        <v>191.1</v>
      </c>
      <c r="CI198" s="584">
        <v>652.81389999999999</v>
      </c>
      <c r="CJ198" s="584">
        <v>400.4</v>
      </c>
      <c r="CK198" s="584">
        <v>0</v>
      </c>
      <c r="CL198" s="584">
        <v>0</v>
      </c>
      <c r="CM198" s="584">
        <v>0</v>
      </c>
      <c r="CN198" s="584">
        <v>0</v>
      </c>
      <c r="CO198" s="584">
        <v>0</v>
      </c>
      <c r="CP198" s="584">
        <v>0</v>
      </c>
      <c r="CQ198" s="584">
        <v>0</v>
      </c>
      <c r="CR198" s="584">
        <v>0</v>
      </c>
      <c r="CS198" s="584">
        <v>0</v>
      </c>
      <c r="CT198" s="584">
        <v>0</v>
      </c>
      <c r="CU198" s="584">
        <v>0</v>
      </c>
      <c r="CV198" s="584">
        <v>0</v>
      </c>
      <c r="CW198" s="584">
        <v>0</v>
      </c>
      <c r="CX198" s="584">
        <v>0</v>
      </c>
      <c r="CY198" s="584">
        <v>0</v>
      </c>
      <c r="CZ198" s="584">
        <v>0</v>
      </c>
      <c r="DA198" s="584">
        <v>0</v>
      </c>
      <c r="DB198" s="584">
        <v>0</v>
      </c>
      <c r="DC198" s="584">
        <v>0</v>
      </c>
      <c r="DD198" s="584">
        <v>0</v>
      </c>
      <c r="DE198" s="584">
        <v>0</v>
      </c>
      <c r="DF198" s="584">
        <v>0.6</v>
      </c>
      <c r="DG198" s="584">
        <v>0.2</v>
      </c>
      <c r="DH198" s="584">
        <v>529.46845794392505</v>
      </c>
      <c r="DI198" s="584">
        <v>24.3000280904843</v>
      </c>
      <c r="DJ198" s="584">
        <v>300</v>
      </c>
      <c r="DK198" s="584">
        <v>0</v>
      </c>
      <c r="DL198" s="584">
        <v>0</v>
      </c>
      <c r="DM198" s="584">
        <v>0</v>
      </c>
      <c r="DN198" s="584">
        <v>0</v>
      </c>
      <c r="DO198" s="584">
        <v>0</v>
      </c>
      <c r="DP198" s="584">
        <v>0</v>
      </c>
      <c r="DQ198" s="584">
        <v>0</v>
      </c>
      <c r="DR198" s="584">
        <v>0.6</v>
      </c>
      <c r="DS198" s="584">
        <v>0</v>
      </c>
      <c r="DT198" s="584">
        <v>2.4</v>
      </c>
      <c r="DU198" s="584">
        <v>321.10093749999999</v>
      </c>
      <c r="DV198" s="584">
        <v>91</v>
      </c>
      <c r="DW198" s="584">
        <v>547.70937500000002</v>
      </c>
      <c r="DX198" s="584">
        <v>191.1</v>
      </c>
      <c r="DY198" s="584">
        <v>870.69899999999996</v>
      </c>
      <c r="DZ198" s="584">
        <v>400.4</v>
      </c>
      <c r="EA198" s="1062">
        <v>0.9425</v>
      </c>
      <c r="EB198" s="1046">
        <v>0.4</v>
      </c>
      <c r="EC198" s="1093">
        <v>132.51783893985737</v>
      </c>
      <c r="ED198" s="1046">
        <v>0</v>
      </c>
      <c r="EE198" s="1046">
        <v>519.87767584097855</v>
      </c>
      <c r="EF198" s="1046">
        <v>33.098901098901102</v>
      </c>
      <c r="EG198" s="1046">
        <v>0</v>
      </c>
      <c r="EH198" s="1046">
        <v>0</v>
      </c>
      <c r="EI198" s="1046" t="s">
        <v>423</v>
      </c>
      <c r="EJ198" s="1046" t="s">
        <v>423</v>
      </c>
      <c r="EK198" s="1046">
        <v>0</v>
      </c>
      <c r="EL198" s="1046">
        <v>0</v>
      </c>
      <c r="EM198" s="1046">
        <v>0</v>
      </c>
      <c r="EN198" s="1046">
        <v>0</v>
      </c>
      <c r="EO198" s="1046">
        <v>0</v>
      </c>
      <c r="EP198" s="1094">
        <v>171.18692999999999</v>
      </c>
      <c r="EQ198" s="1094">
        <v>91</v>
      </c>
      <c r="ER198" s="1094">
        <v>342.37385999999998</v>
      </c>
      <c r="ES198" s="1095">
        <v>182</v>
      </c>
      <c r="ET198" s="1094">
        <v>684.74771999999996</v>
      </c>
      <c r="EU198" s="1094">
        <v>364</v>
      </c>
      <c r="EV198" s="1096">
        <v>0.69450000000000001</v>
      </c>
      <c r="EW198" s="1097">
        <v>0.15</v>
      </c>
      <c r="EX198" s="1096">
        <v>289.50050968399592</v>
      </c>
      <c r="EY198" s="1096">
        <v>1.5443934760448521</v>
      </c>
      <c r="EZ198" s="1096">
        <v>0</v>
      </c>
      <c r="FA198" s="1096">
        <v>32.870329670329674</v>
      </c>
      <c r="FB198" s="1098">
        <v>0</v>
      </c>
      <c r="FC198" s="1098">
        <v>0</v>
      </c>
      <c r="FD198" s="1098" t="s">
        <v>427</v>
      </c>
      <c r="FE198" s="1098" t="s">
        <v>432</v>
      </c>
      <c r="FF198" s="1098">
        <v>2</v>
      </c>
      <c r="FG198" s="1098">
        <v>0</v>
      </c>
      <c r="FH198" s="1098">
        <v>0</v>
      </c>
      <c r="FI198" s="1098">
        <v>0</v>
      </c>
      <c r="FJ198" s="1098">
        <v>0</v>
      </c>
      <c r="FK198" s="1096">
        <v>92.993091875000019</v>
      </c>
      <c r="FL198" s="1096">
        <v>91</v>
      </c>
      <c r="FM198" s="1096">
        <v>185.98618375000004</v>
      </c>
      <c r="FN198" s="1096">
        <v>182</v>
      </c>
      <c r="FO198" s="1096">
        <v>371.97236750000008</v>
      </c>
      <c r="FP198" s="1099">
        <v>364</v>
      </c>
      <c r="FQ198" s="1064">
        <v>1.0108981024599608</v>
      </c>
      <c r="FR198" s="1065">
        <v>0.15</v>
      </c>
      <c r="FS198" s="1066">
        <v>289.50050968399586</v>
      </c>
      <c r="FT198" s="1066">
        <v>3.1547324150233758</v>
      </c>
      <c r="FU198" s="1065"/>
      <c r="FV198" s="1066">
        <v>54.940148424781093</v>
      </c>
      <c r="FW198" s="1065"/>
      <c r="FX198" s="1065"/>
      <c r="FY198" s="1065" t="s">
        <v>406</v>
      </c>
      <c r="FZ198" s="1065" t="s">
        <v>412</v>
      </c>
      <c r="GA198" s="1065">
        <v>1</v>
      </c>
      <c r="GB198" s="1065"/>
      <c r="GC198" s="1065"/>
      <c r="GD198" s="1065"/>
      <c r="GE198" s="1065"/>
      <c r="GF198" s="1066">
        <v>95.775470268625469</v>
      </c>
      <c r="GG198" s="1066">
        <v>91</v>
      </c>
      <c r="GH198" s="1066">
        <v>191.55094053725094</v>
      </c>
      <c r="GI198" s="1066">
        <v>182</v>
      </c>
      <c r="GJ198" s="1066">
        <v>383.10188107450188</v>
      </c>
      <c r="GK198" s="1066">
        <v>364</v>
      </c>
      <c r="GL198" s="584">
        <v>0.89219999999999999</v>
      </c>
      <c r="GM198" s="584">
        <v>0.13</v>
      </c>
      <c r="GN198" s="584"/>
      <c r="GO198" s="584"/>
      <c r="GP198" s="584"/>
      <c r="GQ198" s="584">
        <v>55.720879120879097</v>
      </c>
      <c r="GR198" s="584"/>
      <c r="GS198" s="584">
        <v>66.2589194699286</v>
      </c>
      <c r="GT198" s="584" t="s">
        <v>416</v>
      </c>
      <c r="GU198" s="584" t="s">
        <v>385</v>
      </c>
      <c r="GV198" s="584">
        <v>1</v>
      </c>
      <c r="GW198" s="584"/>
      <c r="GX198" s="584"/>
      <c r="GY198" s="584"/>
      <c r="GZ198" s="584"/>
      <c r="HA198" s="584">
        <v>45.423146500000001</v>
      </c>
      <c r="HB198" s="584">
        <v>91</v>
      </c>
      <c r="HC198" s="584">
        <v>90.846293000000003</v>
      </c>
      <c r="HD198" s="584">
        <v>182</v>
      </c>
      <c r="HE198" s="584">
        <v>181.69258600000001</v>
      </c>
      <c r="HF198" s="584">
        <v>364</v>
      </c>
      <c r="HG198" s="1100">
        <v>1.37</v>
      </c>
      <c r="HH198" s="1100">
        <v>0.13</v>
      </c>
      <c r="HI198" s="1101">
        <v>0</v>
      </c>
      <c r="HJ198" s="1101">
        <v>0</v>
      </c>
      <c r="HK198" s="1101">
        <v>0</v>
      </c>
      <c r="HL198" s="1101">
        <v>0</v>
      </c>
      <c r="HM198" s="1101">
        <v>54.60923076923077</v>
      </c>
      <c r="HN198" s="1101">
        <v>65</v>
      </c>
      <c r="HO198" s="1101">
        <v>0</v>
      </c>
      <c r="HP198" s="1101">
        <v>0</v>
      </c>
      <c r="HQ198" s="1101">
        <v>1</v>
      </c>
      <c r="HR198" s="1101">
        <v>0.96</v>
      </c>
      <c r="HS198" s="1101">
        <v>1.24</v>
      </c>
      <c r="HT198" s="1101">
        <v>0.3</v>
      </c>
      <c r="HU198" s="1101">
        <v>0.28000000000000003</v>
      </c>
      <c r="HV198" s="1101">
        <v>44.894089100000009</v>
      </c>
      <c r="HW198" s="1101">
        <v>91</v>
      </c>
      <c r="HX198" s="1101">
        <v>89.788178200000019</v>
      </c>
      <c r="HY198" s="1101">
        <v>182</v>
      </c>
      <c r="HZ198" s="1101">
        <v>179.57635640000004</v>
      </c>
      <c r="IA198" s="1101">
        <v>364</v>
      </c>
      <c r="IB198" s="1062"/>
      <c r="ID198" s="1050"/>
      <c r="IE198" s="1050"/>
      <c r="IM198" s="1050"/>
      <c r="IN198" s="1050"/>
      <c r="IO198" s="1050"/>
      <c r="IP198" s="1050"/>
      <c r="JU198" s="1050"/>
      <c r="KC198" s="1050"/>
      <c r="KD198" s="1050"/>
      <c r="KE198" s="1050"/>
      <c r="KF198" s="1050"/>
      <c r="KN198" s="1103"/>
    </row>
    <row r="199" spans="2:300">
      <c r="B199" s="1048" t="str">
        <f t="shared" si="6"/>
        <v>E714</v>
      </c>
      <c r="C199" s="1046">
        <v>7</v>
      </c>
      <c r="D199" s="1092">
        <v>14</v>
      </c>
      <c r="E199" s="584">
        <v>0.49</v>
      </c>
      <c r="F199" s="584">
        <v>0.49</v>
      </c>
      <c r="G199" s="584">
        <v>1176</v>
      </c>
      <c r="H199" s="584">
        <v>24.99</v>
      </c>
      <c r="I199" s="584">
        <v>0</v>
      </c>
      <c r="J199" s="584">
        <v>0</v>
      </c>
      <c r="K199" s="584">
        <v>0</v>
      </c>
      <c r="L199" s="584">
        <v>0</v>
      </c>
      <c r="M199" s="584">
        <v>0</v>
      </c>
      <c r="N199" s="584">
        <v>0</v>
      </c>
      <c r="O199" s="584">
        <v>0</v>
      </c>
      <c r="P199" s="584">
        <v>0</v>
      </c>
      <c r="Q199" s="584">
        <v>0</v>
      </c>
      <c r="R199" s="584">
        <v>0</v>
      </c>
      <c r="S199" s="584">
        <v>0</v>
      </c>
      <c r="T199" s="584">
        <v>467.98143750000003</v>
      </c>
      <c r="U199" s="584">
        <v>98</v>
      </c>
      <c r="V199" s="584">
        <v>878.45643749999999</v>
      </c>
      <c r="W199" s="584">
        <v>205.8</v>
      </c>
      <c r="X199" s="584">
        <v>1415.7809999999999</v>
      </c>
      <c r="Y199" s="584">
        <v>431.2</v>
      </c>
      <c r="Z199" s="584">
        <v>0.48499999999999999</v>
      </c>
      <c r="AA199" s="584">
        <v>0.48499999999999999</v>
      </c>
      <c r="AB199" s="584">
        <v>1164</v>
      </c>
      <c r="AC199" s="584">
        <v>24</v>
      </c>
      <c r="AD199" s="584">
        <v>0</v>
      </c>
      <c r="AE199" s="584">
        <v>0</v>
      </c>
      <c r="AF199" s="584">
        <v>0</v>
      </c>
      <c r="AG199" s="584">
        <v>0</v>
      </c>
      <c r="AH199" s="584">
        <v>0</v>
      </c>
      <c r="AI199" s="584">
        <v>0</v>
      </c>
      <c r="AJ199" s="584">
        <v>0</v>
      </c>
      <c r="AK199" s="584">
        <v>0</v>
      </c>
      <c r="AL199" s="584">
        <v>0</v>
      </c>
      <c r="AM199" s="584">
        <v>0</v>
      </c>
      <c r="AN199" s="584">
        <v>0</v>
      </c>
      <c r="AO199" s="584">
        <v>464.65143749999999</v>
      </c>
      <c r="AP199" s="584">
        <v>98</v>
      </c>
      <c r="AQ199" s="584">
        <v>871.65768749999995</v>
      </c>
      <c r="AR199" s="584">
        <v>205.8</v>
      </c>
      <c r="AS199" s="584">
        <v>1402.306</v>
      </c>
      <c r="AT199" s="584">
        <v>431.2</v>
      </c>
      <c r="AU199" s="584">
        <v>0</v>
      </c>
      <c r="AV199" s="584">
        <v>0</v>
      </c>
      <c r="AW199" s="584">
        <v>0</v>
      </c>
      <c r="AX199" s="584">
        <v>0</v>
      </c>
      <c r="AY199" s="584">
        <v>0</v>
      </c>
      <c r="AZ199" s="584">
        <v>0</v>
      </c>
      <c r="BA199" s="584">
        <v>0</v>
      </c>
      <c r="BB199" s="584">
        <v>0</v>
      </c>
      <c r="BC199" s="584">
        <v>0</v>
      </c>
      <c r="BD199" s="584">
        <v>0</v>
      </c>
      <c r="BE199" s="584">
        <v>0</v>
      </c>
      <c r="BF199" s="584">
        <v>0</v>
      </c>
      <c r="BG199" s="584">
        <v>0</v>
      </c>
      <c r="BH199" s="584">
        <v>0</v>
      </c>
      <c r="BI199" s="584">
        <v>0</v>
      </c>
      <c r="BJ199" s="584">
        <v>0</v>
      </c>
      <c r="BK199" s="584">
        <v>0</v>
      </c>
      <c r="BL199" s="584">
        <v>0</v>
      </c>
      <c r="BM199" s="584">
        <v>0</v>
      </c>
      <c r="BN199" s="584">
        <v>0</v>
      </c>
      <c r="BO199" s="584">
        <v>0</v>
      </c>
      <c r="BP199" s="584">
        <v>1.0249999999999999</v>
      </c>
      <c r="BQ199" s="584">
        <v>0.18</v>
      </c>
      <c r="BR199" s="584">
        <v>618.88298012373298</v>
      </c>
      <c r="BS199" s="584">
        <v>63.2162037646439</v>
      </c>
      <c r="BT199" s="584">
        <v>0</v>
      </c>
      <c r="BU199" s="584">
        <v>0</v>
      </c>
      <c r="BV199" s="584">
        <v>0</v>
      </c>
      <c r="BW199" s="584">
        <v>0</v>
      </c>
      <c r="BX199" s="584">
        <v>0</v>
      </c>
      <c r="BY199" s="584">
        <v>0</v>
      </c>
      <c r="BZ199" s="584">
        <v>0</v>
      </c>
      <c r="CA199" s="584">
        <v>0.35</v>
      </c>
      <c r="CB199" s="584">
        <v>1.0249999999999999</v>
      </c>
      <c r="CC199" s="584">
        <v>0.45</v>
      </c>
      <c r="CD199" s="584">
        <v>0.45</v>
      </c>
      <c r="CE199" s="584">
        <v>329.94540000000001</v>
      </c>
      <c r="CF199" s="584">
        <v>98</v>
      </c>
      <c r="CG199" s="584">
        <v>543.61571249999997</v>
      </c>
      <c r="CH199" s="584">
        <v>205.8</v>
      </c>
      <c r="CI199" s="584">
        <v>720.47483750000004</v>
      </c>
      <c r="CJ199" s="584">
        <v>431.2</v>
      </c>
      <c r="CK199" s="584">
        <v>0</v>
      </c>
      <c r="CL199" s="584">
        <v>0</v>
      </c>
      <c r="CM199" s="584">
        <v>0</v>
      </c>
      <c r="CN199" s="584">
        <v>0</v>
      </c>
      <c r="CO199" s="584">
        <v>0</v>
      </c>
      <c r="CP199" s="584">
        <v>0</v>
      </c>
      <c r="CQ199" s="584">
        <v>0</v>
      </c>
      <c r="CR199" s="584">
        <v>0</v>
      </c>
      <c r="CS199" s="584">
        <v>0</v>
      </c>
      <c r="CT199" s="584">
        <v>0</v>
      </c>
      <c r="CU199" s="584">
        <v>0</v>
      </c>
      <c r="CV199" s="584">
        <v>0</v>
      </c>
      <c r="CW199" s="584">
        <v>0</v>
      </c>
      <c r="CX199" s="584">
        <v>0</v>
      </c>
      <c r="CY199" s="584">
        <v>0</v>
      </c>
      <c r="CZ199" s="584">
        <v>0</v>
      </c>
      <c r="DA199" s="584">
        <v>0</v>
      </c>
      <c r="DB199" s="584">
        <v>0</v>
      </c>
      <c r="DC199" s="584">
        <v>0</v>
      </c>
      <c r="DD199" s="584">
        <v>0</v>
      </c>
      <c r="DE199" s="584">
        <v>0</v>
      </c>
      <c r="DF199" s="584">
        <v>0.65</v>
      </c>
      <c r="DG199" s="584">
        <v>0.2</v>
      </c>
      <c r="DH199" s="584">
        <v>572.59592602343002</v>
      </c>
      <c r="DI199" s="584">
        <v>25.566179857180501</v>
      </c>
      <c r="DJ199" s="584">
        <v>300</v>
      </c>
      <c r="DK199" s="584">
        <v>0</v>
      </c>
      <c r="DL199" s="584">
        <v>0</v>
      </c>
      <c r="DM199" s="584">
        <v>0</v>
      </c>
      <c r="DN199" s="584">
        <v>0</v>
      </c>
      <c r="DO199" s="584">
        <v>0</v>
      </c>
      <c r="DP199" s="584">
        <v>0</v>
      </c>
      <c r="DQ199" s="584">
        <v>0</v>
      </c>
      <c r="DR199" s="584">
        <v>0.65</v>
      </c>
      <c r="DS199" s="584">
        <v>0</v>
      </c>
      <c r="DT199" s="584">
        <v>2.4</v>
      </c>
      <c r="DU199" s="584">
        <v>354.58218749999997</v>
      </c>
      <c r="DV199" s="584">
        <v>98</v>
      </c>
      <c r="DW199" s="584">
        <v>602.42562499999997</v>
      </c>
      <c r="DX199" s="584">
        <v>205.8</v>
      </c>
      <c r="DY199" s="584">
        <v>978.9375</v>
      </c>
      <c r="DZ199" s="584">
        <v>431.2</v>
      </c>
      <c r="EA199" s="1062">
        <v>1.0103</v>
      </c>
      <c r="EB199" s="1046">
        <v>0.45</v>
      </c>
      <c r="EC199" s="1093">
        <v>132.51783893985726</v>
      </c>
      <c r="ED199" s="1046">
        <v>0</v>
      </c>
      <c r="EE199" s="1046">
        <v>581.03975535168195</v>
      </c>
      <c r="EF199" s="1046">
        <v>44.221428571428582</v>
      </c>
      <c r="EG199" s="1046">
        <v>0</v>
      </c>
      <c r="EH199" s="1046">
        <v>0</v>
      </c>
      <c r="EI199" s="1046" t="s">
        <v>421</v>
      </c>
      <c r="EJ199" s="1046" t="s">
        <v>420</v>
      </c>
      <c r="EK199" s="1046">
        <v>0</v>
      </c>
      <c r="EL199" s="1046">
        <v>0</v>
      </c>
      <c r="EM199" s="1046">
        <v>0</v>
      </c>
      <c r="EN199" s="1046">
        <v>0</v>
      </c>
      <c r="EO199" s="1046">
        <v>0</v>
      </c>
      <c r="EP199" s="1094">
        <v>201.72839925</v>
      </c>
      <c r="EQ199" s="1094">
        <v>98</v>
      </c>
      <c r="ER199" s="1094">
        <v>403.45679849999999</v>
      </c>
      <c r="ES199" s="1095">
        <v>196</v>
      </c>
      <c r="ET199" s="1094">
        <v>806.91359699999998</v>
      </c>
      <c r="EU199" s="1094">
        <v>392</v>
      </c>
      <c r="EV199" s="1096">
        <v>0.75760000000000005</v>
      </c>
      <c r="EW199" s="1097">
        <v>0.15</v>
      </c>
      <c r="EX199" s="1096">
        <v>289.50050968399592</v>
      </c>
      <c r="EY199" s="1096">
        <v>1.5443934760448521</v>
      </c>
      <c r="EZ199" s="1096">
        <v>0</v>
      </c>
      <c r="FA199" s="1096">
        <v>36.985714285714288</v>
      </c>
      <c r="FB199" s="1098">
        <v>0</v>
      </c>
      <c r="FC199" s="1098">
        <v>0</v>
      </c>
      <c r="FD199" s="1098" t="s">
        <v>408</v>
      </c>
      <c r="FE199" s="1098" t="s">
        <v>410</v>
      </c>
      <c r="FF199" s="1098">
        <v>2</v>
      </c>
      <c r="FG199" s="1098">
        <v>0</v>
      </c>
      <c r="FH199" s="1098">
        <v>0</v>
      </c>
      <c r="FI199" s="1098">
        <v>0</v>
      </c>
      <c r="FJ199" s="1098">
        <v>0</v>
      </c>
      <c r="FK199" s="1096">
        <v>101.13551874999999</v>
      </c>
      <c r="FL199" s="1096">
        <v>98</v>
      </c>
      <c r="FM199" s="1096">
        <v>202.27103749999998</v>
      </c>
      <c r="FN199" s="1096">
        <v>196</v>
      </c>
      <c r="FO199" s="1096">
        <v>404.54207499999995</v>
      </c>
      <c r="FP199" s="1099">
        <v>392</v>
      </c>
      <c r="FQ199" s="1064">
        <v>1.0990599999999999</v>
      </c>
      <c r="FR199" s="1065">
        <v>0.15</v>
      </c>
      <c r="FS199" s="1066">
        <v>289.50050968399586</v>
      </c>
      <c r="FT199" s="1066">
        <v>3.1547324150233758</v>
      </c>
      <c r="FU199" s="1065"/>
      <c r="FV199" s="1066">
        <v>61.861759718881615</v>
      </c>
      <c r="FW199" s="1065"/>
      <c r="FX199" s="1065"/>
      <c r="FY199" s="1065" t="s">
        <v>396</v>
      </c>
      <c r="FZ199" s="1065" t="s">
        <v>406</v>
      </c>
      <c r="GA199" s="1065">
        <v>1</v>
      </c>
      <c r="GB199" s="1065"/>
      <c r="GC199" s="1065"/>
      <c r="GD199" s="1065"/>
      <c r="GE199" s="1065"/>
      <c r="GF199" s="1066">
        <v>104.8063888019234</v>
      </c>
      <c r="GG199" s="1066">
        <v>98</v>
      </c>
      <c r="GH199" s="1066">
        <v>209.61277760384681</v>
      </c>
      <c r="GI199" s="1066">
        <v>196</v>
      </c>
      <c r="GJ199" s="1066">
        <v>419.22555520769362</v>
      </c>
      <c r="GK199" s="1066">
        <v>392</v>
      </c>
      <c r="GL199" s="584">
        <v>0.96489999999999998</v>
      </c>
      <c r="GM199" s="584">
        <v>0.13</v>
      </c>
      <c r="GN199" s="584"/>
      <c r="GO199" s="584"/>
      <c r="GP199" s="584"/>
      <c r="GQ199" s="584">
        <v>56.842857142857099</v>
      </c>
      <c r="GR199" s="584"/>
      <c r="GS199" s="584">
        <v>66.2589194699286</v>
      </c>
      <c r="GT199" s="584" t="s">
        <v>414</v>
      </c>
      <c r="GU199" s="584" t="s">
        <v>381</v>
      </c>
      <c r="GV199" s="584">
        <v>1</v>
      </c>
      <c r="GW199" s="584"/>
      <c r="GX199" s="584"/>
      <c r="GY199" s="584"/>
      <c r="GZ199" s="584"/>
      <c r="HA199" s="584">
        <v>49.186896500000003</v>
      </c>
      <c r="HB199" s="584">
        <v>98</v>
      </c>
      <c r="HC199" s="584">
        <v>98.373793000000006</v>
      </c>
      <c r="HD199" s="584">
        <v>196</v>
      </c>
      <c r="HE199" s="584">
        <v>196.74758600000001</v>
      </c>
      <c r="HF199" s="584">
        <v>392</v>
      </c>
      <c r="HG199" s="1100">
        <v>1.4900000000000002</v>
      </c>
      <c r="HH199" s="1100">
        <v>0.13</v>
      </c>
      <c r="HI199" s="1101">
        <v>0</v>
      </c>
      <c r="HJ199" s="1101">
        <v>0</v>
      </c>
      <c r="HK199" s="1101">
        <v>0</v>
      </c>
      <c r="HL199" s="1101">
        <v>0</v>
      </c>
      <c r="HM199" s="1101">
        <v>62.100000000000009</v>
      </c>
      <c r="HN199" s="1101">
        <v>65</v>
      </c>
      <c r="HO199" s="1101">
        <v>0</v>
      </c>
      <c r="HP199" s="1101">
        <v>0</v>
      </c>
      <c r="HQ199" s="1101">
        <v>1</v>
      </c>
      <c r="HR199" s="1101">
        <v>1</v>
      </c>
      <c r="HS199" s="1101">
        <v>1.36</v>
      </c>
      <c r="HT199" s="1101">
        <v>0.3</v>
      </c>
      <c r="HU199" s="1101">
        <v>0.3</v>
      </c>
      <c r="HV199" s="1101">
        <v>50.147849500000007</v>
      </c>
      <c r="HW199" s="1101">
        <v>98</v>
      </c>
      <c r="HX199" s="1101">
        <v>100.29569900000001</v>
      </c>
      <c r="HY199" s="1101">
        <v>196</v>
      </c>
      <c r="HZ199" s="1101">
        <v>200.59139800000003</v>
      </c>
      <c r="IA199" s="1101">
        <v>392</v>
      </c>
      <c r="IB199" s="1062"/>
      <c r="ID199" s="1050"/>
      <c r="IE199" s="1050"/>
      <c r="IM199" s="1050"/>
      <c r="IN199" s="1050"/>
      <c r="IO199" s="1050"/>
      <c r="IP199" s="1050"/>
      <c r="JU199" s="1050"/>
      <c r="KC199" s="1050"/>
      <c r="KD199" s="1050"/>
      <c r="KE199" s="1050"/>
      <c r="KF199" s="1050"/>
      <c r="KN199" s="1103"/>
    </row>
    <row r="200" spans="2:300">
      <c r="B200" s="1048" t="str">
        <f t="shared" si="6"/>
        <v>E715</v>
      </c>
      <c r="C200" s="1046">
        <v>7</v>
      </c>
      <c r="D200" s="1092">
        <v>15</v>
      </c>
      <c r="E200" s="584">
        <v>0</v>
      </c>
      <c r="F200" s="584">
        <v>0</v>
      </c>
      <c r="G200" s="584">
        <v>0</v>
      </c>
      <c r="H200" s="584">
        <v>0</v>
      </c>
      <c r="I200" s="584">
        <v>0</v>
      </c>
      <c r="J200" s="584">
        <v>0</v>
      </c>
      <c r="K200" s="584">
        <v>0</v>
      </c>
      <c r="L200" s="584">
        <v>0</v>
      </c>
      <c r="M200" s="584">
        <v>0</v>
      </c>
      <c r="N200" s="584">
        <v>0</v>
      </c>
      <c r="O200" s="584">
        <v>0</v>
      </c>
      <c r="P200" s="584">
        <v>0</v>
      </c>
      <c r="Q200" s="584">
        <v>0</v>
      </c>
      <c r="R200" s="584">
        <v>0</v>
      </c>
      <c r="S200" s="584">
        <v>0</v>
      </c>
      <c r="T200" s="584">
        <v>0</v>
      </c>
      <c r="U200" s="584">
        <v>0</v>
      </c>
      <c r="V200" s="584">
        <v>0</v>
      </c>
      <c r="W200" s="584">
        <v>0</v>
      </c>
      <c r="X200" s="584">
        <v>0</v>
      </c>
      <c r="Y200" s="584">
        <v>0</v>
      </c>
      <c r="Z200" s="584">
        <v>0</v>
      </c>
      <c r="AA200" s="584">
        <v>0</v>
      </c>
      <c r="AB200" s="584">
        <v>0</v>
      </c>
      <c r="AC200" s="584">
        <v>0</v>
      </c>
      <c r="AD200" s="584">
        <v>0</v>
      </c>
      <c r="AE200" s="584">
        <v>0</v>
      </c>
      <c r="AF200" s="584">
        <v>0</v>
      </c>
      <c r="AG200" s="584">
        <v>0</v>
      </c>
      <c r="AH200" s="584">
        <v>0</v>
      </c>
      <c r="AI200" s="584">
        <v>0</v>
      </c>
      <c r="AJ200" s="584">
        <v>0</v>
      </c>
      <c r="AK200" s="584">
        <v>0</v>
      </c>
      <c r="AL200" s="584">
        <v>0</v>
      </c>
      <c r="AM200" s="584">
        <v>0</v>
      </c>
      <c r="AN200" s="584">
        <v>0</v>
      </c>
      <c r="AO200" s="584">
        <v>0</v>
      </c>
      <c r="AP200" s="584">
        <v>0</v>
      </c>
      <c r="AQ200" s="584">
        <v>0</v>
      </c>
      <c r="AR200" s="584">
        <v>0</v>
      </c>
      <c r="AS200" s="584">
        <v>0</v>
      </c>
      <c r="AT200" s="584">
        <v>0</v>
      </c>
      <c r="AU200" s="584">
        <v>0</v>
      </c>
      <c r="AV200" s="584">
        <v>0</v>
      </c>
      <c r="AW200" s="584">
        <v>0</v>
      </c>
      <c r="AX200" s="584">
        <v>0</v>
      </c>
      <c r="AY200" s="584">
        <v>0</v>
      </c>
      <c r="AZ200" s="584">
        <v>0</v>
      </c>
      <c r="BA200" s="584">
        <v>0</v>
      </c>
      <c r="BB200" s="584">
        <v>0</v>
      </c>
      <c r="BC200" s="584">
        <v>0</v>
      </c>
      <c r="BD200" s="584">
        <v>0</v>
      </c>
      <c r="BE200" s="584">
        <v>0</v>
      </c>
      <c r="BF200" s="584">
        <v>0</v>
      </c>
      <c r="BG200" s="584">
        <v>0</v>
      </c>
      <c r="BH200" s="584">
        <v>0</v>
      </c>
      <c r="BI200" s="584">
        <v>0</v>
      </c>
      <c r="BJ200" s="584">
        <v>0</v>
      </c>
      <c r="BK200" s="584">
        <v>0</v>
      </c>
      <c r="BL200" s="584">
        <v>0</v>
      </c>
      <c r="BM200" s="584">
        <v>0</v>
      </c>
      <c r="BN200" s="584">
        <v>0</v>
      </c>
      <c r="BO200" s="584">
        <v>0</v>
      </c>
      <c r="BP200" s="584">
        <v>0</v>
      </c>
      <c r="BQ200" s="584">
        <v>0</v>
      </c>
      <c r="BR200" s="584">
        <v>0</v>
      </c>
      <c r="BS200" s="584">
        <v>0</v>
      </c>
      <c r="BT200" s="584">
        <v>0</v>
      </c>
      <c r="BU200" s="584">
        <v>0</v>
      </c>
      <c r="BV200" s="584">
        <v>0</v>
      </c>
      <c r="BW200" s="584">
        <v>0</v>
      </c>
      <c r="BX200" s="584">
        <v>0</v>
      </c>
      <c r="BY200" s="584">
        <v>0</v>
      </c>
      <c r="BZ200" s="584">
        <v>0</v>
      </c>
      <c r="CA200" s="584">
        <v>0</v>
      </c>
      <c r="CB200" s="584">
        <v>0</v>
      </c>
      <c r="CC200" s="584">
        <v>0</v>
      </c>
      <c r="CD200" s="584">
        <v>0</v>
      </c>
      <c r="CE200" s="584">
        <v>0</v>
      </c>
      <c r="CF200" s="584">
        <v>0</v>
      </c>
      <c r="CG200" s="584">
        <v>0</v>
      </c>
      <c r="CH200" s="584">
        <v>0</v>
      </c>
      <c r="CI200" s="584">
        <v>0</v>
      </c>
      <c r="CJ200" s="584">
        <v>0</v>
      </c>
      <c r="CK200" s="584">
        <v>0</v>
      </c>
      <c r="CL200" s="584">
        <v>0</v>
      </c>
      <c r="CM200" s="584">
        <v>0</v>
      </c>
      <c r="CN200" s="584">
        <v>0</v>
      </c>
      <c r="CO200" s="584">
        <v>0</v>
      </c>
      <c r="CP200" s="584">
        <v>0</v>
      </c>
      <c r="CQ200" s="584">
        <v>0</v>
      </c>
      <c r="CR200" s="584">
        <v>0</v>
      </c>
      <c r="CS200" s="584">
        <v>0</v>
      </c>
      <c r="CT200" s="584">
        <v>0</v>
      </c>
      <c r="CU200" s="584">
        <v>0</v>
      </c>
      <c r="CV200" s="584">
        <v>0</v>
      </c>
      <c r="CW200" s="584">
        <v>0</v>
      </c>
      <c r="CX200" s="584">
        <v>0</v>
      </c>
      <c r="CY200" s="584">
        <v>0</v>
      </c>
      <c r="CZ200" s="584">
        <v>0</v>
      </c>
      <c r="DA200" s="584">
        <v>0</v>
      </c>
      <c r="DB200" s="584">
        <v>0</v>
      </c>
      <c r="DC200" s="584">
        <v>0</v>
      </c>
      <c r="DD200" s="584">
        <v>0</v>
      </c>
      <c r="DE200" s="584">
        <v>0</v>
      </c>
      <c r="DF200" s="584">
        <v>0</v>
      </c>
      <c r="DG200" s="584">
        <v>0</v>
      </c>
      <c r="DH200" s="584">
        <v>0</v>
      </c>
      <c r="DI200" s="584">
        <v>0</v>
      </c>
      <c r="DJ200" s="584">
        <v>0</v>
      </c>
      <c r="DK200" s="584">
        <v>0</v>
      </c>
      <c r="DL200" s="584">
        <v>0</v>
      </c>
      <c r="DM200" s="584">
        <v>0</v>
      </c>
      <c r="DN200" s="584">
        <v>0</v>
      </c>
      <c r="DO200" s="584">
        <v>0</v>
      </c>
      <c r="DP200" s="584">
        <v>0</v>
      </c>
      <c r="DQ200" s="584">
        <v>0</v>
      </c>
      <c r="DR200" s="584">
        <v>0</v>
      </c>
      <c r="DS200" s="584">
        <v>0</v>
      </c>
      <c r="DT200" s="584">
        <v>0</v>
      </c>
      <c r="DU200" s="584">
        <v>0</v>
      </c>
      <c r="DV200" s="584">
        <v>0</v>
      </c>
      <c r="DW200" s="584">
        <v>0</v>
      </c>
      <c r="DX200" s="584">
        <v>0</v>
      </c>
      <c r="DY200" s="584">
        <v>0</v>
      </c>
      <c r="DZ200" s="584">
        <v>0</v>
      </c>
      <c r="EA200" s="1062">
        <v>0</v>
      </c>
      <c r="EB200" s="1046">
        <v>0</v>
      </c>
      <c r="EC200" s="1093">
        <v>0</v>
      </c>
      <c r="ED200" s="1046">
        <v>0</v>
      </c>
      <c r="EE200" s="1046">
        <v>0</v>
      </c>
      <c r="EF200" s="1046">
        <v>0</v>
      </c>
      <c r="EG200" s="1046">
        <v>0</v>
      </c>
      <c r="EH200" s="1046">
        <v>0</v>
      </c>
      <c r="EI200" s="1046">
        <v>0</v>
      </c>
      <c r="EJ200" s="1046">
        <v>0</v>
      </c>
      <c r="EK200" s="1046">
        <v>0</v>
      </c>
      <c r="EL200" s="1046">
        <v>0</v>
      </c>
      <c r="EM200" s="1046">
        <v>0</v>
      </c>
      <c r="EN200" s="1046">
        <v>0</v>
      </c>
      <c r="EO200" s="1046">
        <v>0</v>
      </c>
      <c r="EP200" s="1094">
        <v>0</v>
      </c>
      <c r="EQ200" s="1094">
        <v>0</v>
      </c>
      <c r="ER200" s="1094">
        <v>0</v>
      </c>
      <c r="ES200" s="1095">
        <v>0</v>
      </c>
      <c r="ET200" s="1094">
        <v>0</v>
      </c>
      <c r="EU200" s="1094">
        <v>0</v>
      </c>
      <c r="EV200" s="1096">
        <v>0.7622000000000001</v>
      </c>
      <c r="EW200" s="1097">
        <v>0.15</v>
      </c>
      <c r="EX200" s="1096">
        <v>289.50050968399592</v>
      </c>
      <c r="EY200" s="1096">
        <v>1.5443934760448521</v>
      </c>
      <c r="EZ200" s="1096">
        <v>0</v>
      </c>
      <c r="FA200" s="1096">
        <v>37.254285714285714</v>
      </c>
      <c r="FB200" s="1098">
        <v>0</v>
      </c>
      <c r="FC200" s="1098">
        <v>0</v>
      </c>
      <c r="FD200" s="1098" t="s">
        <v>406</v>
      </c>
      <c r="FE200" s="1098" t="s">
        <v>410</v>
      </c>
      <c r="FF200" s="1098">
        <v>2</v>
      </c>
      <c r="FG200" s="1098">
        <v>0</v>
      </c>
      <c r="FH200" s="1098">
        <v>0</v>
      </c>
      <c r="FI200" s="1098">
        <v>0</v>
      </c>
      <c r="FJ200" s="1098">
        <v>0</v>
      </c>
      <c r="FK200" s="1096">
        <v>108.428644875</v>
      </c>
      <c r="FL200" s="1096">
        <v>105</v>
      </c>
      <c r="FM200" s="1096">
        <v>216.85728975000001</v>
      </c>
      <c r="FN200" s="1096">
        <v>210</v>
      </c>
      <c r="FO200" s="1096">
        <v>433.71457950000001</v>
      </c>
      <c r="FP200" s="1099">
        <v>420</v>
      </c>
      <c r="FQ200" s="1064">
        <v>1.2222367378842984</v>
      </c>
      <c r="FR200" s="1065">
        <v>0.15</v>
      </c>
      <c r="FS200" s="1066">
        <v>289.50050968399586</v>
      </c>
      <c r="FT200" s="1066">
        <v>3.1547324150233758</v>
      </c>
      <c r="FU200" s="1065"/>
      <c r="FV200" s="1066">
        <v>64.98120359156016</v>
      </c>
      <c r="FW200" s="1065"/>
      <c r="FX200" s="1065"/>
      <c r="FY200" s="1065" t="s">
        <v>389</v>
      </c>
      <c r="FZ200" s="1065" t="s">
        <v>389</v>
      </c>
      <c r="GA200" s="1065">
        <v>1</v>
      </c>
      <c r="GB200" s="1065"/>
      <c r="GC200" s="1065"/>
      <c r="GD200" s="1065"/>
      <c r="GE200" s="1065"/>
      <c r="GF200" s="1066">
        <v>113.09585522089533</v>
      </c>
      <c r="GG200" s="1066">
        <v>105</v>
      </c>
      <c r="GH200" s="1066">
        <v>226.19171044179066</v>
      </c>
      <c r="GI200" s="1066">
        <v>210</v>
      </c>
      <c r="GJ200" s="1066">
        <v>452.38342088358132</v>
      </c>
      <c r="GK200" s="1066">
        <v>420</v>
      </c>
      <c r="GL200" s="584">
        <v>1.1003000000000001</v>
      </c>
      <c r="GM200" s="584">
        <v>0.13</v>
      </c>
      <c r="GN200" s="584"/>
      <c r="GO200" s="584"/>
      <c r="GP200" s="584"/>
      <c r="GQ200" s="584">
        <v>69.568571428571403</v>
      </c>
      <c r="GR200" s="584"/>
      <c r="GS200" s="584">
        <v>66.2589194699286</v>
      </c>
      <c r="GT200" s="584" t="s">
        <v>430</v>
      </c>
      <c r="GU200" s="584" t="s">
        <v>351</v>
      </c>
      <c r="GV200" s="584">
        <v>1</v>
      </c>
      <c r="GW200" s="584"/>
      <c r="GX200" s="584"/>
      <c r="GY200" s="584"/>
      <c r="GZ200" s="584"/>
      <c r="HA200" s="584">
        <v>55.977276750000001</v>
      </c>
      <c r="HB200" s="584">
        <v>105</v>
      </c>
      <c r="HC200" s="584">
        <v>111.9545535</v>
      </c>
      <c r="HD200" s="584">
        <v>210</v>
      </c>
      <c r="HE200" s="584">
        <v>223.90910700000001</v>
      </c>
      <c r="HF200" s="584">
        <v>420</v>
      </c>
      <c r="HG200" s="1100">
        <v>1.6099999999999999</v>
      </c>
      <c r="HH200" s="1100">
        <v>0.13</v>
      </c>
      <c r="HI200" s="1101">
        <v>0</v>
      </c>
      <c r="HJ200" s="1101">
        <v>0</v>
      </c>
      <c r="HK200" s="1101">
        <v>0</v>
      </c>
      <c r="HL200" s="1101">
        <v>0</v>
      </c>
      <c r="HM200" s="1101">
        <v>66.445714285714274</v>
      </c>
      <c r="HN200" s="1101">
        <v>65</v>
      </c>
      <c r="HO200" s="1101">
        <v>0</v>
      </c>
      <c r="HP200" s="1101">
        <v>0</v>
      </c>
      <c r="HQ200" s="1101">
        <v>1</v>
      </c>
      <c r="HR200" s="1101">
        <v>1.04</v>
      </c>
      <c r="HS200" s="1101">
        <v>1.48</v>
      </c>
      <c r="HT200" s="1101">
        <v>0.3</v>
      </c>
      <c r="HU200" s="1101">
        <v>0.3</v>
      </c>
      <c r="HV200" s="1101">
        <v>54.848914499999999</v>
      </c>
      <c r="HW200" s="1101">
        <v>105</v>
      </c>
      <c r="HX200" s="1101">
        <v>109.697829</v>
      </c>
      <c r="HY200" s="1101">
        <v>210</v>
      </c>
      <c r="HZ200" s="1101">
        <v>219.395658</v>
      </c>
      <c r="IA200" s="1101">
        <v>420</v>
      </c>
      <c r="IB200" s="1062"/>
      <c r="ID200" s="1050"/>
      <c r="IE200" s="1050"/>
      <c r="IM200" s="1050"/>
      <c r="IN200" s="1050"/>
      <c r="IO200" s="1050"/>
      <c r="IP200" s="1050"/>
      <c r="JU200" s="1050"/>
      <c r="KC200" s="1050"/>
      <c r="KD200" s="1050"/>
      <c r="KE200" s="1050"/>
      <c r="KF200" s="1050"/>
      <c r="KN200" s="1103"/>
    </row>
    <row r="201" spans="2:300">
      <c r="B201" s="1048" t="str">
        <f t="shared" si="6"/>
        <v>E716</v>
      </c>
      <c r="C201" s="1046">
        <v>7</v>
      </c>
      <c r="D201" s="1092">
        <v>16</v>
      </c>
      <c r="E201" s="584">
        <v>0</v>
      </c>
      <c r="F201" s="584">
        <v>0</v>
      </c>
      <c r="G201" s="584">
        <v>0</v>
      </c>
      <c r="H201" s="584">
        <v>0</v>
      </c>
      <c r="I201" s="584">
        <v>0</v>
      </c>
      <c r="J201" s="584">
        <v>0</v>
      </c>
      <c r="K201" s="584">
        <v>0</v>
      </c>
      <c r="L201" s="584">
        <v>0</v>
      </c>
      <c r="M201" s="584">
        <v>0</v>
      </c>
      <c r="N201" s="584">
        <v>0</v>
      </c>
      <c r="O201" s="584">
        <v>0</v>
      </c>
      <c r="P201" s="584">
        <v>0</v>
      </c>
      <c r="Q201" s="584">
        <v>0</v>
      </c>
      <c r="R201" s="584">
        <v>0</v>
      </c>
      <c r="S201" s="584">
        <v>0</v>
      </c>
      <c r="T201" s="584">
        <v>0</v>
      </c>
      <c r="U201" s="584">
        <v>0</v>
      </c>
      <c r="V201" s="584">
        <v>0</v>
      </c>
      <c r="W201" s="584">
        <v>0</v>
      </c>
      <c r="X201" s="584">
        <v>0</v>
      </c>
      <c r="Y201" s="584">
        <v>0</v>
      </c>
      <c r="Z201" s="584">
        <v>0</v>
      </c>
      <c r="AA201" s="584">
        <v>0</v>
      </c>
      <c r="AB201" s="584">
        <v>0</v>
      </c>
      <c r="AC201" s="584">
        <v>0</v>
      </c>
      <c r="AD201" s="584">
        <v>0</v>
      </c>
      <c r="AE201" s="584">
        <v>0</v>
      </c>
      <c r="AF201" s="584">
        <v>0</v>
      </c>
      <c r="AG201" s="584">
        <v>0</v>
      </c>
      <c r="AH201" s="584">
        <v>0</v>
      </c>
      <c r="AI201" s="584">
        <v>0</v>
      </c>
      <c r="AJ201" s="584">
        <v>0</v>
      </c>
      <c r="AK201" s="584">
        <v>0</v>
      </c>
      <c r="AL201" s="584">
        <v>0</v>
      </c>
      <c r="AM201" s="584">
        <v>0</v>
      </c>
      <c r="AN201" s="584">
        <v>0</v>
      </c>
      <c r="AO201" s="584">
        <v>155.56143750000001</v>
      </c>
      <c r="AP201" s="584">
        <v>112</v>
      </c>
      <c r="AQ201" s="584">
        <v>238.91343749999999</v>
      </c>
      <c r="AR201" s="584">
        <v>235.2</v>
      </c>
      <c r="AS201" s="584">
        <v>107.551</v>
      </c>
      <c r="AT201" s="584">
        <v>492.8</v>
      </c>
      <c r="AU201" s="584">
        <v>0</v>
      </c>
      <c r="AV201" s="584">
        <v>0</v>
      </c>
      <c r="AW201" s="584">
        <v>0</v>
      </c>
      <c r="AX201" s="584">
        <v>0</v>
      </c>
      <c r="AY201" s="584">
        <v>0</v>
      </c>
      <c r="AZ201" s="584">
        <v>0</v>
      </c>
      <c r="BA201" s="584">
        <v>0</v>
      </c>
      <c r="BB201" s="584">
        <v>0</v>
      </c>
      <c r="BC201" s="584">
        <v>0</v>
      </c>
      <c r="BD201" s="584">
        <v>0</v>
      </c>
      <c r="BE201" s="584">
        <v>0</v>
      </c>
      <c r="BF201" s="584">
        <v>0</v>
      </c>
      <c r="BG201" s="584">
        <v>0</v>
      </c>
      <c r="BH201" s="584">
        <v>0</v>
      </c>
      <c r="BI201" s="584">
        <v>0</v>
      </c>
      <c r="BJ201" s="584">
        <v>0</v>
      </c>
      <c r="BK201" s="584">
        <v>0</v>
      </c>
      <c r="BL201" s="584">
        <v>0</v>
      </c>
      <c r="BM201" s="584">
        <v>0</v>
      </c>
      <c r="BN201" s="584">
        <v>0</v>
      </c>
      <c r="BO201" s="584">
        <v>0</v>
      </c>
      <c r="BP201" s="584">
        <v>0</v>
      </c>
      <c r="BQ201" s="584">
        <v>0</v>
      </c>
      <c r="BR201" s="584">
        <v>0</v>
      </c>
      <c r="BS201" s="584">
        <v>0</v>
      </c>
      <c r="BT201" s="584">
        <v>0</v>
      </c>
      <c r="BU201" s="584">
        <v>0</v>
      </c>
      <c r="BV201" s="584">
        <v>0</v>
      </c>
      <c r="BW201" s="584">
        <v>0</v>
      </c>
      <c r="BX201" s="584">
        <v>0</v>
      </c>
      <c r="BY201" s="584">
        <v>0</v>
      </c>
      <c r="BZ201" s="584">
        <v>0</v>
      </c>
      <c r="CA201" s="584">
        <v>0</v>
      </c>
      <c r="CB201" s="584">
        <v>0</v>
      </c>
      <c r="CC201" s="584">
        <v>0</v>
      </c>
      <c r="CD201" s="584">
        <v>0</v>
      </c>
      <c r="CE201" s="584">
        <v>0</v>
      </c>
      <c r="CF201" s="584">
        <v>0</v>
      </c>
      <c r="CG201" s="584">
        <v>0</v>
      </c>
      <c r="CH201" s="584">
        <v>0</v>
      </c>
      <c r="CI201" s="584">
        <v>0</v>
      </c>
      <c r="CJ201" s="584">
        <v>0</v>
      </c>
      <c r="CK201" s="584">
        <v>0</v>
      </c>
      <c r="CL201" s="584">
        <v>0</v>
      </c>
      <c r="CM201" s="584">
        <v>0</v>
      </c>
      <c r="CN201" s="584">
        <v>0</v>
      </c>
      <c r="CO201" s="584">
        <v>0</v>
      </c>
      <c r="CP201" s="584">
        <v>0</v>
      </c>
      <c r="CQ201" s="584">
        <v>0</v>
      </c>
      <c r="CR201" s="584">
        <v>0</v>
      </c>
      <c r="CS201" s="584">
        <v>0</v>
      </c>
      <c r="CT201" s="584">
        <v>0</v>
      </c>
      <c r="CU201" s="584">
        <v>0</v>
      </c>
      <c r="CV201" s="584">
        <v>0</v>
      </c>
      <c r="CW201" s="584">
        <v>0</v>
      </c>
      <c r="CX201" s="584">
        <v>0</v>
      </c>
      <c r="CY201" s="584">
        <v>0</v>
      </c>
      <c r="CZ201" s="584">
        <v>0</v>
      </c>
      <c r="DA201" s="584">
        <v>0</v>
      </c>
      <c r="DB201" s="584">
        <v>0</v>
      </c>
      <c r="DC201" s="584">
        <v>0</v>
      </c>
      <c r="DD201" s="584">
        <v>0</v>
      </c>
      <c r="DE201" s="584">
        <v>0</v>
      </c>
      <c r="DF201" s="584">
        <v>0</v>
      </c>
      <c r="DG201" s="584">
        <v>0</v>
      </c>
      <c r="DH201" s="584">
        <v>0</v>
      </c>
      <c r="DI201" s="584">
        <v>0</v>
      </c>
      <c r="DJ201" s="584">
        <v>0</v>
      </c>
      <c r="DK201" s="584">
        <v>0</v>
      </c>
      <c r="DL201" s="584">
        <v>0</v>
      </c>
      <c r="DM201" s="584">
        <v>0</v>
      </c>
      <c r="DN201" s="584">
        <v>0</v>
      </c>
      <c r="DO201" s="584">
        <v>0</v>
      </c>
      <c r="DP201" s="584">
        <v>0</v>
      </c>
      <c r="DQ201" s="584">
        <v>0</v>
      </c>
      <c r="DR201" s="584">
        <v>0</v>
      </c>
      <c r="DS201" s="584">
        <v>0</v>
      </c>
      <c r="DT201" s="584">
        <v>0</v>
      </c>
      <c r="DU201" s="584">
        <v>0</v>
      </c>
      <c r="DV201" s="584">
        <v>0</v>
      </c>
      <c r="DW201" s="584">
        <v>0</v>
      </c>
      <c r="DX201" s="584">
        <v>0</v>
      </c>
      <c r="DY201" s="584">
        <v>0</v>
      </c>
      <c r="DZ201" s="584">
        <v>0</v>
      </c>
      <c r="EA201" s="1062">
        <v>0</v>
      </c>
      <c r="EB201" s="1046">
        <v>0</v>
      </c>
      <c r="EC201" s="1093">
        <v>0</v>
      </c>
      <c r="ED201" s="1046">
        <v>0</v>
      </c>
      <c r="EE201" s="1046">
        <v>0</v>
      </c>
      <c r="EF201" s="1046">
        <v>0</v>
      </c>
      <c r="EG201" s="1046">
        <v>0</v>
      </c>
      <c r="EH201" s="1046">
        <v>0</v>
      </c>
      <c r="EI201" s="1046">
        <v>0</v>
      </c>
      <c r="EJ201" s="1046">
        <v>0</v>
      </c>
      <c r="EK201" s="1046">
        <v>0</v>
      </c>
      <c r="EL201" s="1046">
        <v>0</v>
      </c>
      <c r="EM201" s="1046">
        <v>0</v>
      </c>
      <c r="EN201" s="1046">
        <v>0</v>
      </c>
      <c r="EO201" s="1046">
        <v>0</v>
      </c>
      <c r="EP201" s="1094">
        <v>0</v>
      </c>
      <c r="EQ201" s="1094">
        <v>0</v>
      </c>
      <c r="ER201" s="1094">
        <v>0</v>
      </c>
      <c r="ES201" s="1095">
        <v>0</v>
      </c>
      <c r="ET201" s="1094">
        <v>0</v>
      </c>
      <c r="EU201" s="1094">
        <v>0</v>
      </c>
      <c r="EV201" s="1096">
        <v>0.82789999999999997</v>
      </c>
      <c r="EW201" s="1097">
        <v>0.15</v>
      </c>
      <c r="EX201" s="1096">
        <v>289.50050968399592</v>
      </c>
      <c r="EY201" s="1096">
        <v>1.5443934760448521</v>
      </c>
      <c r="EZ201" s="1096">
        <v>0</v>
      </c>
      <c r="FA201" s="1096">
        <v>43.590178571428574</v>
      </c>
      <c r="FB201" s="1098">
        <v>0</v>
      </c>
      <c r="FC201" s="1098">
        <v>0</v>
      </c>
      <c r="FD201" s="1098" t="s">
        <v>406</v>
      </c>
      <c r="FE201" s="1098" t="s">
        <v>396</v>
      </c>
      <c r="FF201" s="1098">
        <v>2</v>
      </c>
      <c r="FG201" s="1098">
        <v>0</v>
      </c>
      <c r="FH201" s="1098">
        <v>0</v>
      </c>
      <c r="FI201" s="1098">
        <v>0</v>
      </c>
      <c r="FJ201" s="1098">
        <v>0</v>
      </c>
      <c r="FK201" s="1096">
        <v>117.39756424999999</v>
      </c>
      <c r="FL201" s="1096">
        <v>112</v>
      </c>
      <c r="FM201" s="1096">
        <v>234.79512849999998</v>
      </c>
      <c r="FN201" s="1096">
        <v>224</v>
      </c>
      <c r="FO201" s="1096">
        <v>469.59025699999995</v>
      </c>
      <c r="FP201" s="1099">
        <v>448</v>
      </c>
      <c r="FQ201" s="1064">
        <v>1.2262367378842984</v>
      </c>
      <c r="FR201" s="1065">
        <v>0.15</v>
      </c>
      <c r="FS201" s="1066">
        <v>289.50050968399586</v>
      </c>
      <c r="FT201" s="1066">
        <v>3.1547324150233758</v>
      </c>
      <c r="FU201" s="1065"/>
      <c r="FV201" s="1066">
        <v>68.228597690507897</v>
      </c>
      <c r="FW201" s="1065"/>
      <c r="FX201" s="1065"/>
      <c r="FY201" s="1065" t="s">
        <v>389</v>
      </c>
      <c r="FZ201" s="1065" t="s">
        <v>387</v>
      </c>
      <c r="GA201" s="1065">
        <v>1</v>
      </c>
      <c r="GB201" s="1065"/>
      <c r="GC201" s="1065"/>
      <c r="GD201" s="1065"/>
      <c r="GE201" s="1065"/>
      <c r="GF201" s="1066">
        <v>121.52757311338732</v>
      </c>
      <c r="GG201" s="1066">
        <v>112</v>
      </c>
      <c r="GH201" s="1066">
        <v>243.05514622677464</v>
      </c>
      <c r="GI201" s="1066">
        <v>224</v>
      </c>
      <c r="GJ201" s="1066">
        <v>486.11029245354928</v>
      </c>
      <c r="GK201" s="1066">
        <v>448</v>
      </c>
      <c r="GL201" s="584">
        <v>1.1101000000000001</v>
      </c>
      <c r="GM201" s="584">
        <v>0.13</v>
      </c>
      <c r="GN201" s="584"/>
      <c r="GO201" s="584"/>
      <c r="GP201" s="584"/>
      <c r="GQ201" s="584">
        <v>76.819642857142895</v>
      </c>
      <c r="GR201" s="584"/>
      <c r="GS201" s="584">
        <v>66.2589194699286</v>
      </c>
      <c r="GT201" s="584" t="s">
        <v>414</v>
      </c>
      <c r="GU201" s="584" t="s">
        <v>349</v>
      </c>
      <c r="GV201" s="584">
        <v>1</v>
      </c>
      <c r="GW201" s="584"/>
      <c r="GX201" s="584"/>
      <c r="GY201" s="584"/>
      <c r="GZ201" s="584"/>
      <c r="HA201" s="584">
        <v>61.700819500000001</v>
      </c>
      <c r="HB201" s="584">
        <v>112</v>
      </c>
      <c r="HC201" s="584">
        <v>123.401639</v>
      </c>
      <c r="HD201" s="584">
        <v>224</v>
      </c>
      <c r="HE201" s="584">
        <v>246.80327800000001</v>
      </c>
      <c r="HF201" s="584">
        <v>448</v>
      </c>
      <c r="HG201" s="1100">
        <v>1.77</v>
      </c>
      <c r="HH201" s="1100">
        <v>0.13</v>
      </c>
      <c r="HI201" s="1101">
        <v>0</v>
      </c>
      <c r="HJ201" s="1101">
        <v>0</v>
      </c>
      <c r="HK201" s="1101">
        <v>0</v>
      </c>
      <c r="HL201" s="1101">
        <v>0</v>
      </c>
      <c r="HM201" s="1101">
        <v>72.369642857142864</v>
      </c>
      <c r="HN201" s="1101">
        <v>65</v>
      </c>
      <c r="HO201" s="1101">
        <v>0</v>
      </c>
      <c r="HP201" s="1101">
        <v>0</v>
      </c>
      <c r="HQ201" s="1101">
        <v>1</v>
      </c>
      <c r="HR201" s="1101">
        <v>1.08</v>
      </c>
      <c r="HS201" s="1101">
        <v>1.64</v>
      </c>
      <c r="HT201" s="1101">
        <v>0.3</v>
      </c>
      <c r="HU201" s="1101">
        <v>0.3</v>
      </c>
      <c r="HV201" s="1101">
        <v>60.132693500000009</v>
      </c>
      <c r="HW201" s="1101">
        <v>112</v>
      </c>
      <c r="HX201" s="1101">
        <v>120.26538700000002</v>
      </c>
      <c r="HY201" s="1101">
        <v>224</v>
      </c>
      <c r="HZ201" s="1101">
        <v>240.53077400000004</v>
      </c>
      <c r="IA201" s="1101">
        <v>448</v>
      </c>
      <c r="IB201" s="1062"/>
      <c r="ID201" s="1050"/>
      <c r="IE201" s="1050"/>
      <c r="IM201" s="1050"/>
      <c r="IN201" s="1050"/>
      <c r="IO201" s="1050"/>
      <c r="IP201" s="1050"/>
      <c r="JU201" s="1050"/>
      <c r="KC201" s="1050"/>
      <c r="KD201" s="1050"/>
      <c r="KE201" s="1050"/>
      <c r="KF201" s="1050"/>
      <c r="KN201" s="1103"/>
    </row>
    <row r="202" spans="2:300">
      <c r="B202" s="1048" t="str">
        <f t="shared" si="6"/>
        <v>E88</v>
      </c>
      <c r="C202" s="1046">
        <v>8</v>
      </c>
      <c r="D202" s="1046">
        <v>8</v>
      </c>
      <c r="E202" s="584">
        <v>0.26500000000000001</v>
      </c>
      <c r="F202" s="584">
        <v>0.26500000000000001</v>
      </c>
      <c r="G202" s="584">
        <v>636</v>
      </c>
      <c r="H202" s="584">
        <v>23.85</v>
      </c>
      <c r="I202" s="584">
        <v>0</v>
      </c>
      <c r="J202" s="584">
        <v>0</v>
      </c>
      <c r="K202" s="584">
        <v>0</v>
      </c>
      <c r="L202" s="584">
        <v>0</v>
      </c>
      <c r="M202" s="584">
        <v>0</v>
      </c>
      <c r="N202" s="584">
        <v>0</v>
      </c>
      <c r="O202" s="584">
        <v>0</v>
      </c>
      <c r="P202" s="584">
        <v>0</v>
      </c>
      <c r="Q202" s="584">
        <v>0</v>
      </c>
      <c r="R202" s="584">
        <v>0</v>
      </c>
      <c r="S202" s="584">
        <v>0</v>
      </c>
      <c r="T202" s="584">
        <v>223.90643750000001</v>
      </c>
      <c r="U202" s="584">
        <v>64</v>
      </c>
      <c r="V202" s="584">
        <v>359.07543750000002</v>
      </c>
      <c r="W202" s="584">
        <v>134.4</v>
      </c>
      <c r="X202" s="584">
        <v>531.71100000000001</v>
      </c>
      <c r="Y202" s="584">
        <v>281.60000000000002</v>
      </c>
      <c r="Z202" s="584">
        <v>0.22500000000000001</v>
      </c>
      <c r="AA202" s="584">
        <v>0.22500000000000001</v>
      </c>
      <c r="AB202" s="584">
        <v>540</v>
      </c>
      <c r="AC202" s="584">
        <v>20</v>
      </c>
      <c r="AD202" s="584">
        <v>0</v>
      </c>
      <c r="AE202" s="584">
        <v>0</v>
      </c>
      <c r="AF202" s="584">
        <v>0</v>
      </c>
      <c r="AG202" s="584">
        <v>0</v>
      </c>
      <c r="AH202" s="584">
        <v>0</v>
      </c>
      <c r="AI202" s="584">
        <v>0</v>
      </c>
      <c r="AJ202" s="584">
        <v>0</v>
      </c>
      <c r="AK202" s="584">
        <v>0</v>
      </c>
      <c r="AL202" s="584">
        <v>0</v>
      </c>
      <c r="AM202" s="584">
        <v>0</v>
      </c>
      <c r="AN202" s="584">
        <v>0</v>
      </c>
      <c r="AO202" s="584">
        <v>206.26643749999999</v>
      </c>
      <c r="AP202" s="584">
        <v>64</v>
      </c>
      <c r="AQ202" s="584">
        <v>323.79543749999999</v>
      </c>
      <c r="AR202" s="584">
        <v>134.4</v>
      </c>
      <c r="AS202" s="584">
        <v>461.31099999999998</v>
      </c>
      <c r="AT202" s="584">
        <v>281.60000000000002</v>
      </c>
      <c r="AU202" s="584">
        <v>0.5</v>
      </c>
      <c r="AV202" s="584">
        <v>0.32500000000000001</v>
      </c>
      <c r="AW202" s="584">
        <v>538.71651339464199</v>
      </c>
      <c r="AX202" s="584">
        <v>32.735335865653703</v>
      </c>
      <c r="AY202" s="584">
        <v>0</v>
      </c>
      <c r="AZ202" s="584">
        <v>0</v>
      </c>
      <c r="BA202" s="584">
        <v>0</v>
      </c>
      <c r="BB202" s="584">
        <v>0</v>
      </c>
      <c r="BC202" s="584">
        <v>0</v>
      </c>
      <c r="BD202" s="584">
        <v>0</v>
      </c>
      <c r="BE202" s="584">
        <v>0</v>
      </c>
      <c r="BF202" s="584">
        <v>0</v>
      </c>
      <c r="BG202" s="584">
        <v>0.5</v>
      </c>
      <c r="BH202" s="584">
        <v>0</v>
      </c>
      <c r="BI202" s="584">
        <v>0.45</v>
      </c>
      <c r="BJ202" s="584">
        <v>210.96876739304301</v>
      </c>
      <c r="BK202" s="584">
        <v>64</v>
      </c>
      <c r="BL202" s="584">
        <v>322.19178478608598</v>
      </c>
      <c r="BM202" s="584">
        <v>134.4</v>
      </c>
      <c r="BN202" s="584">
        <v>451.469016693323</v>
      </c>
      <c r="BO202" s="584">
        <v>281.60000000000002</v>
      </c>
      <c r="BP202" s="584">
        <v>0.47499999999999998</v>
      </c>
      <c r="BQ202" s="584">
        <v>0.17499999999999999</v>
      </c>
      <c r="BR202" s="584">
        <v>485.72770891643302</v>
      </c>
      <c r="BS202" s="584">
        <v>19.0319672131148</v>
      </c>
      <c r="BT202" s="584">
        <v>0</v>
      </c>
      <c r="BU202" s="584">
        <v>0</v>
      </c>
      <c r="BV202" s="584">
        <v>0</v>
      </c>
      <c r="BW202" s="584">
        <v>0</v>
      </c>
      <c r="BX202" s="584">
        <v>0</v>
      </c>
      <c r="BY202" s="584">
        <v>0</v>
      </c>
      <c r="BZ202" s="584">
        <v>0</v>
      </c>
      <c r="CA202" s="584">
        <v>0.47499999999999998</v>
      </c>
      <c r="CB202" s="584">
        <v>0.47499999999999998</v>
      </c>
      <c r="CC202" s="584">
        <v>0.3</v>
      </c>
      <c r="CD202" s="584">
        <v>0.3</v>
      </c>
      <c r="CE202" s="584">
        <v>202.42099999999999</v>
      </c>
      <c r="CF202" s="584">
        <v>64</v>
      </c>
      <c r="CG202" s="584">
        <v>306.5625</v>
      </c>
      <c r="CH202" s="584">
        <v>134.4</v>
      </c>
      <c r="CI202" s="584">
        <v>407.90699999999998</v>
      </c>
      <c r="CJ202" s="584">
        <v>281.60000000000002</v>
      </c>
      <c r="CK202" s="584">
        <v>0.52500000000000002</v>
      </c>
      <c r="CL202" s="584">
        <v>0.245</v>
      </c>
      <c r="CM202" s="584">
        <v>629.03438624550199</v>
      </c>
      <c r="CN202" s="584">
        <v>24.373532586965201</v>
      </c>
      <c r="CO202" s="584">
        <v>0</v>
      </c>
      <c r="CP202" s="584">
        <v>0</v>
      </c>
      <c r="CQ202" s="584">
        <v>0</v>
      </c>
      <c r="CR202" s="584">
        <v>0</v>
      </c>
      <c r="CS202" s="584">
        <v>0</v>
      </c>
      <c r="CT202" s="584">
        <v>0</v>
      </c>
      <c r="CU202" s="584">
        <v>0</v>
      </c>
      <c r="CV202" s="584">
        <v>0</v>
      </c>
      <c r="CW202" s="584">
        <v>0.52500000000000002</v>
      </c>
      <c r="CX202" s="584">
        <v>0</v>
      </c>
      <c r="CY202" s="584">
        <v>0.45</v>
      </c>
      <c r="CZ202" s="584">
        <v>230.6396</v>
      </c>
      <c r="DA202" s="584">
        <v>64</v>
      </c>
      <c r="DB202" s="584">
        <v>356.98860000000002</v>
      </c>
      <c r="DC202" s="584">
        <v>134.4</v>
      </c>
      <c r="DD202" s="584">
        <v>521.03060000000005</v>
      </c>
      <c r="DE202" s="584">
        <v>281.60000000000002</v>
      </c>
      <c r="DF202" s="584">
        <v>0.35</v>
      </c>
      <c r="DG202" s="584">
        <v>0.2</v>
      </c>
      <c r="DH202" s="584">
        <v>290.69547181127501</v>
      </c>
      <c r="DI202" s="584">
        <v>16.996800079968001</v>
      </c>
      <c r="DJ202" s="584">
        <v>300</v>
      </c>
      <c r="DK202" s="584">
        <v>0</v>
      </c>
      <c r="DL202" s="584">
        <v>0</v>
      </c>
      <c r="DM202" s="584">
        <v>0</v>
      </c>
      <c r="DN202" s="584">
        <v>0</v>
      </c>
      <c r="DO202" s="584">
        <v>0</v>
      </c>
      <c r="DP202" s="584">
        <v>0</v>
      </c>
      <c r="DQ202" s="584">
        <v>0</v>
      </c>
      <c r="DR202" s="584">
        <v>0.35</v>
      </c>
      <c r="DS202" s="584">
        <v>0</v>
      </c>
      <c r="DT202" s="584">
        <v>2.4</v>
      </c>
      <c r="DU202" s="584">
        <v>197.21674999999999</v>
      </c>
      <c r="DV202" s="584">
        <v>64</v>
      </c>
      <c r="DW202" s="584">
        <v>358.25875000000002</v>
      </c>
      <c r="DX202" s="584">
        <v>134.4</v>
      </c>
      <c r="DY202" s="584">
        <v>461.74650000000003</v>
      </c>
      <c r="DZ202" s="584">
        <v>281.60000000000002</v>
      </c>
      <c r="EA202" s="1062">
        <v>0.74199999999999999</v>
      </c>
      <c r="EB202" s="1046">
        <v>0.25</v>
      </c>
      <c r="EC202" s="1093">
        <v>132.51783893985731</v>
      </c>
      <c r="ED202" s="1046">
        <v>0</v>
      </c>
      <c r="EE202" s="1046">
        <v>346.58511722731902</v>
      </c>
      <c r="EF202" s="1046">
        <v>26.925000000000001</v>
      </c>
      <c r="EG202" s="1046">
        <v>0</v>
      </c>
      <c r="EH202" s="1046">
        <v>0</v>
      </c>
      <c r="EI202" s="1046" t="s">
        <v>440</v>
      </c>
      <c r="EJ202" s="1046" t="s">
        <v>486</v>
      </c>
      <c r="EK202" s="1046">
        <v>0</v>
      </c>
      <c r="EL202" s="1046">
        <v>0</v>
      </c>
      <c r="EM202" s="1046">
        <v>0</v>
      </c>
      <c r="EN202" s="1046">
        <v>0</v>
      </c>
      <c r="EO202" s="1046">
        <v>0</v>
      </c>
      <c r="EP202" s="1094">
        <v>92.226147999999995</v>
      </c>
      <c r="EQ202" s="1094">
        <v>64</v>
      </c>
      <c r="ER202" s="1094">
        <v>184.45229599999999</v>
      </c>
      <c r="ES202" s="1095">
        <v>128</v>
      </c>
      <c r="ET202" s="1094">
        <v>368.90459199999998</v>
      </c>
      <c r="EU202" s="1094">
        <v>256</v>
      </c>
      <c r="EV202" s="1096">
        <v>0.68310000000000004</v>
      </c>
      <c r="EW202" s="1097">
        <v>0.15</v>
      </c>
      <c r="EX202" s="1096">
        <v>289.50050968399592</v>
      </c>
      <c r="EY202" s="1096">
        <v>1.5443934760448521</v>
      </c>
      <c r="EZ202" s="1096">
        <v>0</v>
      </c>
      <c r="FA202" s="1096">
        <v>22.762499999999999</v>
      </c>
      <c r="FB202" s="1098">
        <v>0</v>
      </c>
      <c r="FC202" s="1098">
        <v>0</v>
      </c>
      <c r="FD202" s="1098" t="s">
        <v>430</v>
      </c>
      <c r="FE202" s="1098" t="s">
        <v>481</v>
      </c>
      <c r="FF202" s="1098">
        <v>2</v>
      </c>
      <c r="FG202" s="1098">
        <v>0</v>
      </c>
      <c r="FH202" s="1098">
        <v>0</v>
      </c>
      <c r="FI202" s="1098">
        <v>0</v>
      </c>
      <c r="FJ202" s="1098">
        <v>0</v>
      </c>
      <c r="FK202" s="1096">
        <v>63.815209999999993</v>
      </c>
      <c r="FL202" s="1096">
        <v>64</v>
      </c>
      <c r="FM202" s="1096">
        <v>127.63041999999999</v>
      </c>
      <c r="FN202" s="1096">
        <v>128</v>
      </c>
      <c r="FO202" s="1096">
        <v>255.26083999999997</v>
      </c>
      <c r="FP202" s="1099">
        <v>256</v>
      </c>
      <c r="FQ202" s="1064">
        <v>0.79679999999999995</v>
      </c>
      <c r="FR202" s="1065">
        <v>0.15</v>
      </c>
      <c r="FS202" s="1066">
        <v>289.50050968399586</v>
      </c>
      <c r="FT202" s="1066">
        <v>3.1935353236673123</v>
      </c>
      <c r="FU202" s="1065"/>
      <c r="FV202" s="1066">
        <v>45.666252518741338</v>
      </c>
      <c r="FW202" s="1065"/>
      <c r="FX202" s="1065"/>
      <c r="FY202" s="1065" t="s">
        <v>456</v>
      </c>
      <c r="FZ202" s="1065" t="s">
        <v>490</v>
      </c>
      <c r="GA202" s="1065">
        <v>3</v>
      </c>
      <c r="GB202" s="1065"/>
      <c r="GC202" s="1065"/>
      <c r="GD202" s="1065"/>
      <c r="GE202" s="1065"/>
      <c r="GF202" s="1066">
        <v>65.909032299744453</v>
      </c>
      <c r="GG202" s="1066">
        <v>64</v>
      </c>
      <c r="GH202" s="1066">
        <v>131.81806459948891</v>
      </c>
      <c r="GI202" s="1066">
        <v>128</v>
      </c>
      <c r="GJ202" s="1066">
        <v>263.63612919897781</v>
      </c>
      <c r="GK202" s="1066">
        <v>256</v>
      </c>
      <c r="GL202" s="584">
        <v>0.72860000000000003</v>
      </c>
      <c r="GM202" s="584">
        <v>0.13</v>
      </c>
      <c r="GN202" s="584"/>
      <c r="GO202" s="584"/>
      <c r="GP202" s="584"/>
      <c r="GQ202" s="584">
        <v>26.65</v>
      </c>
      <c r="GR202" s="584"/>
      <c r="GS202" s="584">
        <v>66.2589194699286</v>
      </c>
      <c r="GT202" s="584" t="s">
        <v>416</v>
      </c>
      <c r="GU202" s="584" t="s">
        <v>438</v>
      </c>
      <c r="GV202" s="584">
        <v>1</v>
      </c>
      <c r="GW202" s="584"/>
      <c r="GX202" s="584"/>
      <c r="GY202" s="584"/>
      <c r="GZ202" s="584"/>
      <c r="HA202" s="584">
        <v>27.382984</v>
      </c>
      <c r="HB202" s="584">
        <v>64</v>
      </c>
      <c r="HC202" s="584">
        <v>54.765968000000001</v>
      </c>
      <c r="HD202" s="584">
        <v>128</v>
      </c>
      <c r="HE202" s="584">
        <v>109.531936</v>
      </c>
      <c r="HF202" s="584">
        <v>256</v>
      </c>
      <c r="HG202" s="1100">
        <v>0.95</v>
      </c>
      <c r="HH202" s="1100">
        <v>0.11</v>
      </c>
      <c r="HI202" s="1101">
        <v>0</v>
      </c>
      <c r="HJ202" s="1101">
        <v>0</v>
      </c>
      <c r="HK202" s="1101">
        <v>0</v>
      </c>
      <c r="HL202" s="1101">
        <v>0</v>
      </c>
      <c r="HM202" s="1101">
        <v>49.275000000000006</v>
      </c>
      <c r="HN202" s="1101">
        <v>54.999999999999993</v>
      </c>
      <c r="HO202" s="1101">
        <v>0</v>
      </c>
      <c r="HP202" s="1101">
        <v>0</v>
      </c>
      <c r="HQ202" s="1101">
        <v>3</v>
      </c>
      <c r="HR202" s="1101">
        <v>0.84</v>
      </c>
      <c r="HS202" s="1101">
        <v>0.52</v>
      </c>
      <c r="HT202" s="1101">
        <v>0.3</v>
      </c>
      <c r="HU202" s="1101">
        <v>0.3</v>
      </c>
      <c r="HV202" s="1101">
        <v>29.167004000000002</v>
      </c>
      <c r="HW202" s="1101">
        <v>64</v>
      </c>
      <c r="HX202" s="1101">
        <v>58.334008000000004</v>
      </c>
      <c r="HY202" s="1101">
        <v>128</v>
      </c>
      <c r="HZ202" s="1101">
        <v>116.66801600000001</v>
      </c>
      <c r="IA202" s="1101">
        <v>256</v>
      </c>
      <c r="IB202" s="1062"/>
      <c r="ID202" s="1050"/>
      <c r="IE202" s="1050"/>
      <c r="IM202" s="1050"/>
      <c r="IN202" s="1050"/>
      <c r="IO202" s="1050"/>
      <c r="IP202" s="1050"/>
      <c r="JU202" s="1050"/>
      <c r="KC202" s="1050"/>
      <c r="KD202" s="1050"/>
      <c r="KE202" s="1050"/>
      <c r="KF202" s="1050"/>
      <c r="KN202" s="1103"/>
    </row>
    <row r="203" spans="2:300">
      <c r="B203" s="1048" t="str">
        <f t="shared" si="6"/>
        <v>E89</v>
      </c>
      <c r="C203" s="1046">
        <v>8</v>
      </c>
      <c r="D203" s="1046">
        <v>9</v>
      </c>
      <c r="E203" s="584">
        <v>0.31</v>
      </c>
      <c r="F203" s="584">
        <v>0.31</v>
      </c>
      <c r="G203" s="584">
        <v>744</v>
      </c>
      <c r="H203" s="584">
        <v>24.18</v>
      </c>
      <c r="I203" s="584">
        <v>0</v>
      </c>
      <c r="J203" s="584">
        <v>0</v>
      </c>
      <c r="K203" s="584">
        <v>0</v>
      </c>
      <c r="L203" s="584">
        <v>0</v>
      </c>
      <c r="M203" s="584">
        <v>0</v>
      </c>
      <c r="N203" s="584">
        <v>0</v>
      </c>
      <c r="O203" s="584">
        <v>0</v>
      </c>
      <c r="P203" s="584">
        <v>0</v>
      </c>
      <c r="Q203" s="584">
        <v>0</v>
      </c>
      <c r="R203" s="584">
        <v>0</v>
      </c>
      <c r="S203" s="584">
        <v>0</v>
      </c>
      <c r="T203" s="584">
        <v>267.18643750000001</v>
      </c>
      <c r="U203" s="584">
        <v>72</v>
      </c>
      <c r="V203" s="584">
        <v>447.97893749999997</v>
      </c>
      <c r="W203" s="584">
        <v>151.19999999999999</v>
      </c>
      <c r="X203" s="584">
        <v>686.15099999999995</v>
      </c>
      <c r="Y203" s="584">
        <v>316.8</v>
      </c>
      <c r="Z203" s="584">
        <v>0.255</v>
      </c>
      <c r="AA203" s="584">
        <v>0.255</v>
      </c>
      <c r="AB203" s="584">
        <v>612</v>
      </c>
      <c r="AC203" s="584">
        <v>19</v>
      </c>
      <c r="AD203" s="584">
        <v>0</v>
      </c>
      <c r="AE203" s="584">
        <v>0</v>
      </c>
      <c r="AF203" s="584">
        <v>0</v>
      </c>
      <c r="AG203" s="584">
        <v>0</v>
      </c>
      <c r="AH203" s="584">
        <v>0</v>
      </c>
      <c r="AI203" s="584">
        <v>0</v>
      </c>
      <c r="AJ203" s="584">
        <v>0</v>
      </c>
      <c r="AK203" s="584">
        <v>0</v>
      </c>
      <c r="AL203" s="584">
        <v>0</v>
      </c>
      <c r="AM203" s="584">
        <v>0</v>
      </c>
      <c r="AN203" s="584">
        <v>0</v>
      </c>
      <c r="AO203" s="584">
        <v>240.0439375</v>
      </c>
      <c r="AP203" s="584">
        <v>72</v>
      </c>
      <c r="AQ203" s="584">
        <v>393.40518750000001</v>
      </c>
      <c r="AR203" s="584">
        <v>151.19999999999999</v>
      </c>
      <c r="AS203" s="584">
        <v>577.25099999999998</v>
      </c>
      <c r="AT203" s="584">
        <v>316.8</v>
      </c>
      <c r="AU203" s="584">
        <v>0.6</v>
      </c>
      <c r="AV203" s="584">
        <v>0.32500000000000001</v>
      </c>
      <c r="AW203" s="584">
        <v>530.60441910192503</v>
      </c>
      <c r="AX203" s="584">
        <v>32.168014967925899</v>
      </c>
      <c r="AY203" s="584">
        <v>0</v>
      </c>
      <c r="AZ203" s="584">
        <v>0</v>
      </c>
      <c r="BA203" s="584">
        <v>0</v>
      </c>
      <c r="BB203" s="584">
        <v>0</v>
      </c>
      <c r="BC203" s="584">
        <v>0</v>
      </c>
      <c r="BD203" s="584">
        <v>0</v>
      </c>
      <c r="BE203" s="584">
        <v>0</v>
      </c>
      <c r="BF203" s="584">
        <v>0</v>
      </c>
      <c r="BG203" s="584">
        <v>0.6</v>
      </c>
      <c r="BH203" s="584">
        <v>0</v>
      </c>
      <c r="BI203" s="584">
        <v>0.45</v>
      </c>
      <c r="BJ203" s="584">
        <v>230.27361119030701</v>
      </c>
      <c r="BK203" s="584">
        <v>72</v>
      </c>
      <c r="BL203" s="584">
        <v>358.324907074127</v>
      </c>
      <c r="BM203" s="584">
        <v>151.19999999999999</v>
      </c>
      <c r="BN203" s="584">
        <v>500.97044155381298</v>
      </c>
      <c r="BO203" s="584">
        <v>316.8</v>
      </c>
      <c r="BP203" s="584">
        <v>0.6</v>
      </c>
      <c r="BQ203" s="584">
        <v>0.185</v>
      </c>
      <c r="BR203" s="584">
        <v>521.08535281539605</v>
      </c>
      <c r="BS203" s="584">
        <v>22.465128296507501</v>
      </c>
      <c r="BT203" s="584">
        <v>0</v>
      </c>
      <c r="BU203" s="584">
        <v>0</v>
      </c>
      <c r="BV203" s="584">
        <v>0</v>
      </c>
      <c r="BW203" s="584">
        <v>0</v>
      </c>
      <c r="BX203" s="584">
        <v>0</v>
      </c>
      <c r="BY203" s="584">
        <v>0</v>
      </c>
      <c r="BZ203" s="584">
        <v>0</v>
      </c>
      <c r="CA203" s="584">
        <v>0.47499999999999998</v>
      </c>
      <c r="CB203" s="584">
        <v>0.6</v>
      </c>
      <c r="CC203" s="584">
        <v>0.3</v>
      </c>
      <c r="CD203" s="584">
        <v>0.3</v>
      </c>
      <c r="CE203" s="584">
        <v>228.50530000000001</v>
      </c>
      <c r="CF203" s="584">
        <v>72</v>
      </c>
      <c r="CG203" s="584">
        <v>359.31217500000002</v>
      </c>
      <c r="CH203" s="584">
        <v>151.19999999999999</v>
      </c>
      <c r="CI203" s="584">
        <v>482.12130000000002</v>
      </c>
      <c r="CJ203" s="584">
        <v>316.8</v>
      </c>
      <c r="CK203" s="584">
        <v>0.6</v>
      </c>
      <c r="CL203" s="584">
        <v>0.245</v>
      </c>
      <c r="CM203" s="584">
        <v>639.50463292943698</v>
      </c>
      <c r="CN203" s="584">
        <v>24.153614575908801</v>
      </c>
      <c r="CO203" s="584">
        <v>0</v>
      </c>
      <c r="CP203" s="584">
        <v>0</v>
      </c>
      <c r="CQ203" s="584">
        <v>0</v>
      </c>
      <c r="CR203" s="584">
        <v>0</v>
      </c>
      <c r="CS203" s="584">
        <v>0</v>
      </c>
      <c r="CT203" s="584">
        <v>0</v>
      </c>
      <c r="CU203" s="584">
        <v>0</v>
      </c>
      <c r="CV203" s="584">
        <v>0</v>
      </c>
      <c r="CW203" s="584">
        <v>0.6</v>
      </c>
      <c r="CX203" s="584">
        <v>0</v>
      </c>
      <c r="CY203" s="584">
        <v>0.45</v>
      </c>
      <c r="CZ203" s="584">
        <v>256.02985000000001</v>
      </c>
      <c r="DA203" s="584">
        <v>72</v>
      </c>
      <c r="DB203" s="584">
        <v>405.45359999999999</v>
      </c>
      <c r="DC203" s="584">
        <v>151.19999999999999</v>
      </c>
      <c r="DD203" s="584">
        <v>592.53210000000001</v>
      </c>
      <c r="DE203" s="584">
        <v>316.8</v>
      </c>
      <c r="DF203" s="584">
        <v>0.375</v>
      </c>
      <c r="DG203" s="584">
        <v>0.2</v>
      </c>
      <c r="DH203" s="584">
        <v>308.06062900926599</v>
      </c>
      <c r="DI203" s="584">
        <v>16.675982537419799</v>
      </c>
      <c r="DJ203" s="584">
        <v>300</v>
      </c>
      <c r="DK203" s="584">
        <v>0</v>
      </c>
      <c r="DL203" s="584">
        <v>0</v>
      </c>
      <c r="DM203" s="584">
        <v>0</v>
      </c>
      <c r="DN203" s="584">
        <v>0</v>
      </c>
      <c r="DO203" s="584">
        <v>0</v>
      </c>
      <c r="DP203" s="584">
        <v>0</v>
      </c>
      <c r="DQ203" s="584">
        <v>0</v>
      </c>
      <c r="DR203" s="584">
        <v>0.375</v>
      </c>
      <c r="DS203" s="584">
        <v>0</v>
      </c>
      <c r="DT203" s="584">
        <v>2.4</v>
      </c>
      <c r="DU203" s="584">
        <v>218.06049999999999</v>
      </c>
      <c r="DV203" s="584">
        <v>72</v>
      </c>
      <c r="DW203" s="584">
        <v>393.98500000000001</v>
      </c>
      <c r="DX203" s="584">
        <v>151.19999999999999</v>
      </c>
      <c r="DY203" s="584">
        <v>531.82574999999997</v>
      </c>
      <c r="DZ203" s="584">
        <v>316.8</v>
      </c>
      <c r="EA203" s="1062">
        <v>0.84250000000000003</v>
      </c>
      <c r="EB203" s="1046">
        <v>0.3</v>
      </c>
      <c r="EC203" s="1093">
        <v>132.51783893985731</v>
      </c>
      <c r="ED203" s="1046">
        <v>0</v>
      </c>
      <c r="EE203" s="1046">
        <v>397.55351681957183</v>
      </c>
      <c r="EF203" s="1046">
        <v>25.12083333333333</v>
      </c>
      <c r="EG203" s="1046">
        <v>0</v>
      </c>
      <c r="EH203" s="1046">
        <v>0</v>
      </c>
      <c r="EI203" s="1046" t="s">
        <v>423</v>
      </c>
      <c r="EJ203" s="1046" t="s">
        <v>475</v>
      </c>
      <c r="EK203" s="1046">
        <v>0</v>
      </c>
      <c r="EL203" s="1046">
        <v>0</v>
      </c>
      <c r="EM203" s="1046">
        <v>0</v>
      </c>
      <c r="EN203" s="1046">
        <v>0</v>
      </c>
      <c r="EO203" s="1046">
        <v>0</v>
      </c>
      <c r="EP203" s="1094">
        <v>112.43583674999999</v>
      </c>
      <c r="EQ203" s="1094">
        <v>72</v>
      </c>
      <c r="ER203" s="1094">
        <v>224.87167349999999</v>
      </c>
      <c r="ES203" s="1095">
        <v>144</v>
      </c>
      <c r="ET203" s="1094">
        <v>449.74334699999997</v>
      </c>
      <c r="EU203" s="1094">
        <v>288</v>
      </c>
      <c r="EV203" s="1096">
        <v>0.68670000000000009</v>
      </c>
      <c r="EW203" s="1097">
        <v>0.15</v>
      </c>
      <c r="EX203" s="1096">
        <v>289.50050968399592</v>
      </c>
      <c r="EY203" s="1096">
        <v>1.5443934760448521</v>
      </c>
      <c r="EZ203" s="1096">
        <v>0</v>
      </c>
      <c r="FA203" s="1096">
        <v>22.472222222222221</v>
      </c>
      <c r="FB203" s="1098">
        <v>0</v>
      </c>
      <c r="FC203" s="1098">
        <v>0</v>
      </c>
      <c r="FD203" s="1098" t="s">
        <v>429</v>
      </c>
      <c r="FE203" s="1098" t="s">
        <v>481</v>
      </c>
      <c r="FF203" s="1098">
        <v>2</v>
      </c>
      <c r="FG203" s="1098">
        <v>0</v>
      </c>
      <c r="FH203" s="1098">
        <v>0</v>
      </c>
      <c r="FI203" s="1098">
        <v>0</v>
      </c>
      <c r="FJ203" s="1098">
        <v>0</v>
      </c>
      <c r="FK203" s="1096">
        <v>71.740853999999999</v>
      </c>
      <c r="FL203" s="1096">
        <v>72</v>
      </c>
      <c r="FM203" s="1096">
        <v>143.481708</v>
      </c>
      <c r="FN203" s="1096">
        <v>144</v>
      </c>
      <c r="FO203" s="1096">
        <v>286.963416</v>
      </c>
      <c r="FP203" s="1099">
        <v>288</v>
      </c>
      <c r="FQ203" s="1064">
        <v>0.99419999999999997</v>
      </c>
      <c r="FR203" s="1065">
        <v>0.15</v>
      </c>
      <c r="FS203" s="1066">
        <v>289.50050968399586</v>
      </c>
      <c r="FT203" s="1066">
        <v>3.1935353236673123</v>
      </c>
      <c r="FU203" s="1065"/>
      <c r="FV203" s="1066">
        <v>47.955690516335864</v>
      </c>
      <c r="FW203" s="1065"/>
      <c r="FX203" s="1065"/>
      <c r="FY203" s="1065" t="s">
        <v>414</v>
      </c>
      <c r="FZ203" s="1065" t="s">
        <v>490</v>
      </c>
      <c r="GA203" s="1065">
        <v>3</v>
      </c>
      <c r="GB203" s="1065"/>
      <c r="GC203" s="1065"/>
      <c r="GD203" s="1065"/>
      <c r="GE203" s="1065"/>
      <c r="GF203" s="1066">
        <v>74.55193029882777</v>
      </c>
      <c r="GG203" s="1066">
        <v>72</v>
      </c>
      <c r="GH203" s="1066">
        <v>149.10386059765554</v>
      </c>
      <c r="GI203" s="1066">
        <v>144</v>
      </c>
      <c r="GJ203" s="1066">
        <v>298.20772119531108</v>
      </c>
      <c r="GK203" s="1066">
        <v>288</v>
      </c>
      <c r="GL203" s="584">
        <v>0.72860000000000003</v>
      </c>
      <c r="GM203" s="584">
        <v>0.13</v>
      </c>
      <c r="GN203" s="584"/>
      <c r="GO203" s="584"/>
      <c r="GP203" s="584"/>
      <c r="GQ203" s="584">
        <v>29.538888888888899</v>
      </c>
      <c r="GR203" s="584"/>
      <c r="GS203" s="584">
        <v>66.2589194699286</v>
      </c>
      <c r="GT203" s="584" t="s">
        <v>416</v>
      </c>
      <c r="GU203" s="584" t="s">
        <v>416</v>
      </c>
      <c r="GV203" s="584">
        <v>1</v>
      </c>
      <c r="GW203" s="584"/>
      <c r="GX203" s="584"/>
      <c r="GY203" s="584"/>
      <c r="GZ203" s="584"/>
      <c r="HA203" s="584">
        <v>31.315977</v>
      </c>
      <c r="HB203" s="584">
        <v>72</v>
      </c>
      <c r="HC203" s="584">
        <v>62.631954</v>
      </c>
      <c r="HD203" s="584">
        <v>144</v>
      </c>
      <c r="HE203" s="584">
        <v>125.263908</v>
      </c>
      <c r="HF203" s="584">
        <v>288</v>
      </c>
      <c r="HG203" s="1100">
        <v>1.07</v>
      </c>
      <c r="HH203" s="1100">
        <v>0.11</v>
      </c>
      <c r="HI203" s="1101">
        <v>0</v>
      </c>
      <c r="HJ203" s="1101">
        <v>0</v>
      </c>
      <c r="HK203" s="1101">
        <v>0</v>
      </c>
      <c r="HL203" s="1101">
        <v>0</v>
      </c>
      <c r="HM203" s="1101">
        <v>51.839999999999996</v>
      </c>
      <c r="HN203" s="1101">
        <v>54.999999999999993</v>
      </c>
      <c r="HO203" s="1101">
        <v>0</v>
      </c>
      <c r="HP203" s="1101">
        <v>0</v>
      </c>
      <c r="HQ203" s="1101">
        <v>3</v>
      </c>
      <c r="HR203" s="1101">
        <v>0.96</v>
      </c>
      <c r="HS203" s="1101">
        <v>0.64</v>
      </c>
      <c r="HT203" s="1101">
        <v>0.3</v>
      </c>
      <c r="HU203" s="1101">
        <v>0.26</v>
      </c>
      <c r="HV203" s="1101">
        <v>33.265807200000005</v>
      </c>
      <c r="HW203" s="1101">
        <v>72</v>
      </c>
      <c r="HX203" s="1101">
        <v>66.531614400000009</v>
      </c>
      <c r="HY203" s="1101">
        <v>144</v>
      </c>
      <c r="HZ203" s="1101">
        <v>133.06322880000002</v>
      </c>
      <c r="IA203" s="1101">
        <v>288</v>
      </c>
      <c r="IB203" s="1062"/>
      <c r="ID203" s="1050"/>
      <c r="IE203" s="1050"/>
      <c r="IM203" s="1050"/>
      <c r="IN203" s="1050"/>
      <c r="IO203" s="1050"/>
      <c r="IP203" s="1050"/>
      <c r="JU203" s="1050"/>
      <c r="KC203" s="1050"/>
      <c r="KD203" s="1050"/>
      <c r="KE203" s="1050"/>
      <c r="KF203" s="1050"/>
      <c r="KN203" s="1103"/>
    </row>
    <row r="204" spans="2:300">
      <c r="B204" s="1048" t="str">
        <f t="shared" si="6"/>
        <v>E810</v>
      </c>
      <c r="C204" s="1046">
        <v>8</v>
      </c>
      <c r="D204" s="1092">
        <v>10</v>
      </c>
      <c r="E204" s="584">
        <v>0.375</v>
      </c>
      <c r="F204" s="584">
        <v>0.375</v>
      </c>
      <c r="G204" s="584">
        <v>900</v>
      </c>
      <c r="H204" s="584">
        <v>24.75</v>
      </c>
      <c r="I204" s="584">
        <v>0</v>
      </c>
      <c r="J204" s="584">
        <v>0</v>
      </c>
      <c r="K204" s="584">
        <v>0</v>
      </c>
      <c r="L204" s="584">
        <v>0</v>
      </c>
      <c r="M204" s="584">
        <v>0</v>
      </c>
      <c r="N204" s="584">
        <v>0</v>
      </c>
      <c r="O204" s="584">
        <v>0</v>
      </c>
      <c r="P204" s="584">
        <v>0</v>
      </c>
      <c r="Q204" s="584">
        <v>0</v>
      </c>
      <c r="R204" s="584">
        <v>0</v>
      </c>
      <c r="S204" s="584">
        <v>0</v>
      </c>
      <c r="T204" s="584">
        <v>326.11143750000002</v>
      </c>
      <c r="U204" s="584">
        <v>80</v>
      </c>
      <c r="V204" s="584">
        <v>568.85493750000001</v>
      </c>
      <c r="W204" s="584">
        <v>168</v>
      </c>
      <c r="X204" s="584">
        <v>904.39099999999996</v>
      </c>
      <c r="Y204" s="584">
        <v>352</v>
      </c>
      <c r="Z204" s="584">
        <v>0.28499999999999998</v>
      </c>
      <c r="AA204" s="584">
        <v>0.28499999999999998</v>
      </c>
      <c r="AB204" s="584">
        <v>684</v>
      </c>
      <c r="AC204" s="584">
        <v>20</v>
      </c>
      <c r="AD204" s="584">
        <v>0</v>
      </c>
      <c r="AE204" s="584">
        <v>0</v>
      </c>
      <c r="AF204" s="584">
        <v>0</v>
      </c>
      <c r="AG204" s="584">
        <v>0</v>
      </c>
      <c r="AH204" s="584">
        <v>0</v>
      </c>
      <c r="AI204" s="584">
        <v>0</v>
      </c>
      <c r="AJ204" s="584">
        <v>0</v>
      </c>
      <c r="AK204" s="584">
        <v>0</v>
      </c>
      <c r="AL204" s="584">
        <v>0</v>
      </c>
      <c r="AM204" s="584">
        <v>0</v>
      </c>
      <c r="AN204" s="584">
        <v>0</v>
      </c>
      <c r="AO204" s="584">
        <v>276.97143749999998</v>
      </c>
      <c r="AP204" s="584">
        <v>80</v>
      </c>
      <c r="AQ204" s="584">
        <v>469.62993749999998</v>
      </c>
      <c r="AR204" s="584">
        <v>168</v>
      </c>
      <c r="AS204" s="584">
        <v>706.39099999999996</v>
      </c>
      <c r="AT204" s="584">
        <v>352</v>
      </c>
      <c r="AU204" s="584">
        <v>0.7</v>
      </c>
      <c r="AV204" s="584">
        <v>0.32500000000000001</v>
      </c>
      <c r="AW204" s="584">
        <v>546.121504339441</v>
      </c>
      <c r="AX204" s="584">
        <v>31.4465043394407</v>
      </c>
      <c r="AY204" s="584">
        <v>0</v>
      </c>
      <c r="AZ204" s="584">
        <v>0</v>
      </c>
      <c r="BA204" s="584">
        <v>0</v>
      </c>
      <c r="BB204" s="584">
        <v>0</v>
      </c>
      <c r="BC204" s="584">
        <v>0</v>
      </c>
      <c r="BD204" s="584">
        <v>0</v>
      </c>
      <c r="BE204" s="584">
        <v>0</v>
      </c>
      <c r="BF204" s="584">
        <v>0</v>
      </c>
      <c r="BG204" s="584">
        <v>0.7</v>
      </c>
      <c r="BH204" s="584">
        <v>0</v>
      </c>
      <c r="BI204" s="584">
        <v>0.45</v>
      </c>
      <c r="BJ204" s="584">
        <v>256.86189127290299</v>
      </c>
      <c r="BK204" s="584">
        <v>80</v>
      </c>
      <c r="BL204" s="584">
        <v>407.55426603182298</v>
      </c>
      <c r="BM204" s="584">
        <v>168</v>
      </c>
      <c r="BN204" s="584">
        <v>572.86855183220803</v>
      </c>
      <c r="BO204" s="584">
        <v>352</v>
      </c>
      <c r="BP204" s="584">
        <v>0.6</v>
      </c>
      <c r="BQ204" s="584">
        <v>0.19500000000000001</v>
      </c>
      <c r="BR204" s="584">
        <v>565.55062680809999</v>
      </c>
      <c r="BS204" s="584">
        <v>28.543625843780099</v>
      </c>
      <c r="BT204" s="584">
        <v>0</v>
      </c>
      <c r="BU204" s="584">
        <v>0</v>
      </c>
      <c r="BV204" s="584">
        <v>0</v>
      </c>
      <c r="BW204" s="584">
        <v>0</v>
      </c>
      <c r="BX204" s="584">
        <v>0</v>
      </c>
      <c r="BY204" s="584">
        <v>0</v>
      </c>
      <c r="BZ204" s="584">
        <v>0</v>
      </c>
      <c r="CA204" s="584">
        <v>0.42499999999999999</v>
      </c>
      <c r="CB204" s="584">
        <v>0.6</v>
      </c>
      <c r="CC204" s="584">
        <v>0.45</v>
      </c>
      <c r="CD204" s="584">
        <v>0.45</v>
      </c>
      <c r="CE204" s="584">
        <v>258.11835000000002</v>
      </c>
      <c r="CF204" s="584">
        <v>80</v>
      </c>
      <c r="CG204" s="584">
        <v>412.1584125</v>
      </c>
      <c r="CH204" s="584">
        <v>168</v>
      </c>
      <c r="CI204" s="584">
        <v>571.61903749999999</v>
      </c>
      <c r="CJ204" s="584">
        <v>352</v>
      </c>
      <c r="CK204" s="584">
        <v>0.72499999999999998</v>
      </c>
      <c r="CL204" s="584">
        <v>0.245</v>
      </c>
      <c r="CM204" s="584">
        <v>655.94985535197702</v>
      </c>
      <c r="CN204" s="584">
        <v>24.3714657666345</v>
      </c>
      <c r="CO204" s="584">
        <v>0</v>
      </c>
      <c r="CP204" s="584">
        <v>0</v>
      </c>
      <c r="CQ204" s="584">
        <v>0</v>
      </c>
      <c r="CR204" s="584">
        <v>0</v>
      </c>
      <c r="CS204" s="584">
        <v>0</v>
      </c>
      <c r="CT204" s="584">
        <v>0</v>
      </c>
      <c r="CU204" s="584">
        <v>0</v>
      </c>
      <c r="CV204" s="584">
        <v>0</v>
      </c>
      <c r="CW204" s="584">
        <v>0.72499999999999998</v>
      </c>
      <c r="CX204" s="584">
        <v>0</v>
      </c>
      <c r="CY204" s="584">
        <v>0.6</v>
      </c>
      <c r="CZ204" s="584">
        <v>283.54860000000002</v>
      </c>
      <c r="DA204" s="584">
        <v>80</v>
      </c>
      <c r="DB204" s="584">
        <v>456.7971</v>
      </c>
      <c r="DC204" s="584">
        <v>168</v>
      </c>
      <c r="DD204" s="584">
        <v>671.22460000000001</v>
      </c>
      <c r="DE204" s="584">
        <v>352</v>
      </c>
      <c r="DF204" s="584">
        <v>0.42499999999999999</v>
      </c>
      <c r="DG204" s="584">
        <v>0.2</v>
      </c>
      <c r="DH204" s="584">
        <v>339.02784474445502</v>
      </c>
      <c r="DI204" s="584">
        <v>17.024386692381899</v>
      </c>
      <c r="DJ204" s="584">
        <v>300</v>
      </c>
      <c r="DK204" s="584">
        <v>0</v>
      </c>
      <c r="DL204" s="584">
        <v>0</v>
      </c>
      <c r="DM204" s="584">
        <v>0</v>
      </c>
      <c r="DN204" s="584">
        <v>0</v>
      </c>
      <c r="DO204" s="584">
        <v>0</v>
      </c>
      <c r="DP204" s="584">
        <v>0</v>
      </c>
      <c r="DQ204" s="584">
        <v>0</v>
      </c>
      <c r="DR204" s="584">
        <v>0.42499999999999999</v>
      </c>
      <c r="DS204" s="584">
        <v>0</v>
      </c>
      <c r="DT204" s="584">
        <v>2.4</v>
      </c>
      <c r="DU204" s="584">
        <v>240.71850000000001</v>
      </c>
      <c r="DV204" s="584">
        <v>80</v>
      </c>
      <c r="DW204" s="584">
        <v>438.65050000000002</v>
      </c>
      <c r="DX204" s="584">
        <v>168</v>
      </c>
      <c r="DY204" s="584">
        <v>619.84424999999999</v>
      </c>
      <c r="DZ204" s="584">
        <v>352</v>
      </c>
      <c r="EA204" s="1062">
        <v>0.85070000000000001</v>
      </c>
      <c r="EB204" s="1046">
        <v>0.3</v>
      </c>
      <c r="EC204" s="1093">
        <v>132.51783893985731</v>
      </c>
      <c r="ED204" s="1046">
        <v>0</v>
      </c>
      <c r="EE204" s="1046">
        <v>397.55351681957183</v>
      </c>
      <c r="EF204" s="1046">
        <v>28.8125</v>
      </c>
      <c r="EG204" s="1046">
        <v>0</v>
      </c>
      <c r="EH204" s="1046">
        <v>0</v>
      </c>
      <c r="EI204" s="1046" t="s">
        <v>421</v>
      </c>
      <c r="EJ204" s="1046" t="s">
        <v>463</v>
      </c>
      <c r="EK204" s="1046">
        <v>0</v>
      </c>
      <c r="EL204" s="1046">
        <v>0</v>
      </c>
      <c r="EM204" s="1046">
        <v>0</v>
      </c>
      <c r="EN204" s="1046">
        <v>0</v>
      </c>
      <c r="EO204" s="1046">
        <v>0</v>
      </c>
      <c r="EP204" s="1094">
        <v>125.6530125</v>
      </c>
      <c r="EQ204" s="1094">
        <v>80</v>
      </c>
      <c r="ER204" s="1094">
        <v>251.30602500000001</v>
      </c>
      <c r="ES204" s="1095">
        <v>160</v>
      </c>
      <c r="ET204" s="1094">
        <v>502.61205000000001</v>
      </c>
      <c r="EU204" s="1094">
        <v>320</v>
      </c>
      <c r="EV204" s="1096">
        <v>0.75760000000000005</v>
      </c>
      <c r="EW204" s="1097">
        <v>0.15</v>
      </c>
      <c r="EX204" s="1096">
        <v>289.50050968399592</v>
      </c>
      <c r="EY204" s="1096">
        <v>1.5443934760448521</v>
      </c>
      <c r="EZ204" s="1096">
        <v>0</v>
      </c>
      <c r="FA204" s="1096">
        <v>24.824999999999999</v>
      </c>
      <c r="FB204" s="1098">
        <v>0</v>
      </c>
      <c r="FC204" s="1098">
        <v>0</v>
      </c>
      <c r="FD204" s="1098" t="s">
        <v>408</v>
      </c>
      <c r="FE204" s="1098" t="s">
        <v>468</v>
      </c>
      <c r="FF204" s="1098">
        <v>2</v>
      </c>
      <c r="FG204" s="1098">
        <v>0</v>
      </c>
      <c r="FH204" s="1098">
        <v>0</v>
      </c>
      <c r="FI204" s="1098">
        <v>0</v>
      </c>
      <c r="FJ204" s="1098">
        <v>0</v>
      </c>
      <c r="FK204" s="1096">
        <v>80.173675000000003</v>
      </c>
      <c r="FL204" s="1096">
        <v>80</v>
      </c>
      <c r="FM204" s="1096">
        <v>160.34735000000001</v>
      </c>
      <c r="FN204" s="1096">
        <v>160</v>
      </c>
      <c r="FO204" s="1096">
        <v>320.69470000000001</v>
      </c>
      <c r="FP204" s="1099">
        <v>320</v>
      </c>
      <c r="FQ204" s="1064">
        <v>1.00064</v>
      </c>
      <c r="FR204" s="1065">
        <v>0.15</v>
      </c>
      <c r="FS204" s="1066">
        <v>289.50050968399586</v>
      </c>
      <c r="FT204" s="1066">
        <v>3.1935353236673123</v>
      </c>
      <c r="FU204" s="1065"/>
      <c r="FV204" s="1066">
        <v>54.46225704781591</v>
      </c>
      <c r="FW204" s="1065"/>
      <c r="FX204" s="1065"/>
      <c r="FY204" s="1065" t="s">
        <v>408</v>
      </c>
      <c r="FZ204" s="1065" t="s">
        <v>479</v>
      </c>
      <c r="GA204" s="1065">
        <v>3</v>
      </c>
      <c r="GB204" s="1065"/>
      <c r="GC204" s="1065"/>
      <c r="GD204" s="1065"/>
      <c r="GE204" s="1065"/>
      <c r="GF204" s="1066">
        <v>84.112066463285004</v>
      </c>
      <c r="GG204" s="1066">
        <v>80</v>
      </c>
      <c r="GH204" s="1066">
        <v>168.22413292657001</v>
      </c>
      <c r="GI204" s="1066">
        <v>160</v>
      </c>
      <c r="GJ204" s="1066">
        <v>336.44826585314001</v>
      </c>
      <c r="GK204" s="1066">
        <v>320</v>
      </c>
      <c r="GL204" s="584">
        <v>0.73740000000000006</v>
      </c>
      <c r="GM204" s="584">
        <v>0.13</v>
      </c>
      <c r="GN204" s="584"/>
      <c r="GO204" s="584"/>
      <c r="GP204" s="584"/>
      <c r="GQ204" s="584">
        <v>35.104999999999997</v>
      </c>
      <c r="GR204" s="584"/>
      <c r="GS204" s="584">
        <v>66.2589194699286</v>
      </c>
      <c r="GT204" s="584" t="s">
        <v>412</v>
      </c>
      <c r="GU204" s="584" t="s">
        <v>412</v>
      </c>
      <c r="GV204" s="584">
        <v>1</v>
      </c>
      <c r="GW204" s="584"/>
      <c r="GX204" s="584"/>
      <c r="GY204" s="584"/>
      <c r="GZ204" s="584"/>
      <c r="HA204" s="584">
        <v>35.887600999999997</v>
      </c>
      <c r="HB204" s="584">
        <v>80</v>
      </c>
      <c r="HC204" s="584">
        <v>71.775201999999993</v>
      </c>
      <c r="HD204" s="584">
        <v>160</v>
      </c>
      <c r="HE204" s="584">
        <v>143.55040399999999</v>
      </c>
      <c r="HF204" s="584">
        <v>320</v>
      </c>
      <c r="HG204" s="1100">
        <v>1.1900000000000002</v>
      </c>
      <c r="HH204" s="1100">
        <v>0.11</v>
      </c>
      <c r="HI204" s="1101">
        <v>0</v>
      </c>
      <c r="HJ204" s="1101">
        <v>0</v>
      </c>
      <c r="HK204" s="1101">
        <v>0</v>
      </c>
      <c r="HL204" s="1101">
        <v>0</v>
      </c>
      <c r="HM204" s="1101">
        <v>59.94</v>
      </c>
      <c r="HN204" s="1101">
        <v>54.999999999999993</v>
      </c>
      <c r="HO204" s="1101">
        <v>0</v>
      </c>
      <c r="HP204" s="1101">
        <v>0</v>
      </c>
      <c r="HQ204" s="1101">
        <v>3</v>
      </c>
      <c r="HR204" s="1101">
        <v>1.08</v>
      </c>
      <c r="HS204" s="1101">
        <v>0.72</v>
      </c>
      <c r="HT204" s="1101">
        <v>0.3</v>
      </c>
      <c r="HU204" s="1101">
        <v>0.28000000000000003</v>
      </c>
      <c r="HV204" s="1101">
        <v>38.551228000000002</v>
      </c>
      <c r="HW204" s="1101">
        <v>80</v>
      </c>
      <c r="HX204" s="1101">
        <v>77.102456000000004</v>
      </c>
      <c r="HY204" s="1101">
        <v>160</v>
      </c>
      <c r="HZ204" s="1101">
        <v>154.20491200000001</v>
      </c>
      <c r="IA204" s="1101">
        <v>320</v>
      </c>
      <c r="IB204" s="1062"/>
      <c r="ID204" s="1050"/>
      <c r="IE204" s="1050"/>
      <c r="IM204" s="1050"/>
      <c r="IN204" s="1050"/>
      <c r="IO204" s="1050"/>
      <c r="IP204" s="1050"/>
      <c r="JU204" s="1050"/>
      <c r="KC204" s="1050"/>
      <c r="KD204" s="1050"/>
      <c r="KE204" s="1050"/>
      <c r="KF204" s="1050"/>
      <c r="KN204" s="1103"/>
    </row>
    <row r="205" spans="2:300">
      <c r="B205" s="1048" t="str">
        <f t="shared" si="6"/>
        <v>E811</v>
      </c>
      <c r="C205" s="1046">
        <v>8</v>
      </c>
      <c r="D205" s="1092">
        <v>11</v>
      </c>
      <c r="E205" s="584">
        <v>0.42</v>
      </c>
      <c r="F205" s="584">
        <v>0.42</v>
      </c>
      <c r="G205" s="584">
        <v>1008</v>
      </c>
      <c r="H205" s="584">
        <v>26.04</v>
      </c>
      <c r="I205" s="584">
        <v>0</v>
      </c>
      <c r="J205" s="584">
        <v>0</v>
      </c>
      <c r="K205" s="584">
        <v>0</v>
      </c>
      <c r="L205" s="584">
        <v>0</v>
      </c>
      <c r="M205" s="584">
        <v>0</v>
      </c>
      <c r="N205" s="584">
        <v>0</v>
      </c>
      <c r="O205" s="584">
        <v>0</v>
      </c>
      <c r="P205" s="584">
        <v>0</v>
      </c>
      <c r="Q205" s="584">
        <v>0</v>
      </c>
      <c r="R205" s="584">
        <v>0</v>
      </c>
      <c r="S205" s="584">
        <v>0</v>
      </c>
      <c r="T205" s="584">
        <v>379.89143749999999</v>
      </c>
      <c r="U205" s="584">
        <v>88</v>
      </c>
      <c r="V205" s="584">
        <v>680.99474999999995</v>
      </c>
      <c r="W205" s="584">
        <v>184.8</v>
      </c>
      <c r="X205" s="584">
        <v>1102.8309999999999</v>
      </c>
      <c r="Y205" s="584">
        <v>387.2</v>
      </c>
      <c r="Z205" s="584">
        <v>0.32</v>
      </c>
      <c r="AA205" s="584">
        <v>0.32</v>
      </c>
      <c r="AB205" s="584">
        <v>768</v>
      </c>
      <c r="AC205" s="584">
        <v>21</v>
      </c>
      <c r="AD205" s="584">
        <v>0</v>
      </c>
      <c r="AE205" s="584">
        <v>0</v>
      </c>
      <c r="AF205" s="584">
        <v>0</v>
      </c>
      <c r="AG205" s="584">
        <v>0</v>
      </c>
      <c r="AH205" s="584">
        <v>0</v>
      </c>
      <c r="AI205" s="584">
        <v>0</v>
      </c>
      <c r="AJ205" s="584">
        <v>0</v>
      </c>
      <c r="AK205" s="584">
        <v>0</v>
      </c>
      <c r="AL205" s="584">
        <v>0</v>
      </c>
      <c r="AM205" s="584">
        <v>0</v>
      </c>
      <c r="AN205" s="584">
        <v>0</v>
      </c>
      <c r="AO205" s="584">
        <v>320.04143749999997</v>
      </c>
      <c r="AP205" s="584">
        <v>88</v>
      </c>
      <c r="AQ205" s="584">
        <v>558.53343749999999</v>
      </c>
      <c r="AR205" s="584">
        <v>184.8</v>
      </c>
      <c r="AS205" s="584">
        <v>860.83100000000002</v>
      </c>
      <c r="AT205" s="584">
        <v>387.2</v>
      </c>
      <c r="AU205" s="584">
        <v>0.8</v>
      </c>
      <c r="AV205" s="584">
        <v>0.32500000000000001</v>
      </c>
      <c r="AW205" s="584">
        <v>568.378805620609</v>
      </c>
      <c r="AX205" s="584">
        <v>31.510331894028099</v>
      </c>
      <c r="AY205" s="584">
        <v>0</v>
      </c>
      <c r="AZ205" s="584">
        <v>0</v>
      </c>
      <c r="BA205" s="584">
        <v>0</v>
      </c>
      <c r="BB205" s="584">
        <v>0</v>
      </c>
      <c r="BC205" s="584">
        <v>0</v>
      </c>
      <c r="BD205" s="584">
        <v>0</v>
      </c>
      <c r="BE205" s="584">
        <v>0</v>
      </c>
      <c r="BF205" s="584">
        <v>0</v>
      </c>
      <c r="BG205" s="584">
        <v>0.8</v>
      </c>
      <c r="BH205" s="584">
        <v>0</v>
      </c>
      <c r="BI205" s="584">
        <v>0.45</v>
      </c>
      <c r="BJ205" s="584">
        <v>284.19492776639299</v>
      </c>
      <c r="BK205" s="584">
        <v>88</v>
      </c>
      <c r="BL205" s="584">
        <v>458.29463652663901</v>
      </c>
      <c r="BM205" s="584">
        <v>184.8</v>
      </c>
      <c r="BN205" s="584">
        <v>647.03863524590201</v>
      </c>
      <c r="BO205" s="584">
        <v>387.2</v>
      </c>
      <c r="BP205" s="584">
        <v>0.72499999999999998</v>
      </c>
      <c r="BQ205" s="584">
        <v>0.2</v>
      </c>
      <c r="BR205" s="584">
        <v>598.68321867681505</v>
      </c>
      <c r="BS205" s="584">
        <v>35.760536812060899</v>
      </c>
      <c r="BT205" s="584">
        <v>0</v>
      </c>
      <c r="BU205" s="584">
        <v>0</v>
      </c>
      <c r="BV205" s="584">
        <v>0</v>
      </c>
      <c r="BW205" s="584">
        <v>0</v>
      </c>
      <c r="BX205" s="584">
        <v>0</v>
      </c>
      <c r="BY205" s="584">
        <v>0</v>
      </c>
      <c r="BZ205" s="584">
        <v>0</v>
      </c>
      <c r="CA205" s="584">
        <v>0.42499999999999999</v>
      </c>
      <c r="CB205" s="584">
        <v>0.72499999999999998</v>
      </c>
      <c r="CC205" s="584">
        <v>0.45</v>
      </c>
      <c r="CD205" s="584">
        <v>0.45</v>
      </c>
      <c r="CE205" s="584">
        <v>288.28550000000001</v>
      </c>
      <c r="CF205" s="584">
        <v>88</v>
      </c>
      <c r="CG205" s="584">
        <v>467.93156249999998</v>
      </c>
      <c r="CH205" s="584">
        <v>184.8</v>
      </c>
      <c r="CI205" s="584">
        <v>651.71618750000005</v>
      </c>
      <c r="CJ205" s="584">
        <v>387.2</v>
      </c>
      <c r="CK205" s="584">
        <v>0.82499999999999996</v>
      </c>
      <c r="CL205" s="584">
        <v>0.245</v>
      </c>
      <c r="CM205" s="584">
        <v>670.27517564402797</v>
      </c>
      <c r="CN205" s="584">
        <v>24.348726214871199</v>
      </c>
      <c r="CO205" s="584">
        <v>0</v>
      </c>
      <c r="CP205" s="584">
        <v>0</v>
      </c>
      <c r="CQ205" s="584">
        <v>0</v>
      </c>
      <c r="CR205" s="584">
        <v>0</v>
      </c>
      <c r="CS205" s="584">
        <v>0</v>
      </c>
      <c r="CT205" s="584">
        <v>0</v>
      </c>
      <c r="CU205" s="584">
        <v>0</v>
      </c>
      <c r="CV205" s="584">
        <v>0</v>
      </c>
      <c r="CW205" s="584">
        <v>0.82499999999999996</v>
      </c>
      <c r="CX205" s="584">
        <v>0</v>
      </c>
      <c r="CY205" s="584">
        <v>0.6</v>
      </c>
      <c r="CZ205" s="584">
        <v>311.87810000000002</v>
      </c>
      <c r="DA205" s="584">
        <v>88</v>
      </c>
      <c r="DB205" s="584">
        <v>509.70134999999999</v>
      </c>
      <c r="DC205" s="584">
        <v>184.8</v>
      </c>
      <c r="DD205" s="584">
        <v>749.69659999999999</v>
      </c>
      <c r="DE205" s="584">
        <v>387.2</v>
      </c>
      <c r="DF205" s="584">
        <v>0.5</v>
      </c>
      <c r="DG205" s="584">
        <v>0.2</v>
      </c>
      <c r="DH205" s="584">
        <v>393.54197160421501</v>
      </c>
      <c r="DI205" s="584">
        <v>19.110433108899301</v>
      </c>
      <c r="DJ205" s="584">
        <v>300</v>
      </c>
      <c r="DK205" s="584">
        <v>0</v>
      </c>
      <c r="DL205" s="584">
        <v>0</v>
      </c>
      <c r="DM205" s="584">
        <v>0</v>
      </c>
      <c r="DN205" s="584">
        <v>0</v>
      </c>
      <c r="DO205" s="584">
        <v>0</v>
      </c>
      <c r="DP205" s="584">
        <v>0</v>
      </c>
      <c r="DQ205" s="584">
        <v>0</v>
      </c>
      <c r="DR205" s="584">
        <v>0.5</v>
      </c>
      <c r="DS205" s="584">
        <v>0</v>
      </c>
      <c r="DT205" s="584">
        <v>2.4</v>
      </c>
      <c r="DU205" s="584">
        <v>271.87849999999997</v>
      </c>
      <c r="DV205" s="584">
        <v>88</v>
      </c>
      <c r="DW205" s="584">
        <v>494.93049999999999</v>
      </c>
      <c r="DX205" s="584">
        <v>184.8</v>
      </c>
      <c r="DY205" s="584">
        <v>730.30200000000002</v>
      </c>
      <c r="DZ205" s="584">
        <v>387.2</v>
      </c>
      <c r="EA205" s="1062">
        <v>0.9103</v>
      </c>
      <c r="EB205" s="1046">
        <v>0.35</v>
      </c>
      <c r="EC205" s="1093">
        <v>132.51783893985731</v>
      </c>
      <c r="ED205" s="1046">
        <v>0</v>
      </c>
      <c r="EE205" s="1046">
        <v>458.71559633027522</v>
      </c>
      <c r="EF205" s="1046">
        <v>32.178409090909092</v>
      </c>
      <c r="EG205" s="1046">
        <v>0</v>
      </c>
      <c r="EH205" s="1046">
        <v>0</v>
      </c>
      <c r="EI205" s="1046" t="s">
        <v>420</v>
      </c>
      <c r="EJ205" s="1046" t="s">
        <v>445</v>
      </c>
      <c r="EK205" s="1046">
        <v>0</v>
      </c>
      <c r="EL205" s="1046">
        <v>0</v>
      </c>
      <c r="EM205" s="1046">
        <v>0</v>
      </c>
      <c r="EN205" s="1046">
        <v>0</v>
      </c>
      <c r="EO205" s="1046">
        <v>0</v>
      </c>
      <c r="EP205" s="1094">
        <v>152.14474425</v>
      </c>
      <c r="EQ205" s="1094">
        <v>88</v>
      </c>
      <c r="ER205" s="1094">
        <v>304.2894885</v>
      </c>
      <c r="ES205" s="1095">
        <v>176</v>
      </c>
      <c r="ET205" s="1094">
        <v>608.57897700000001</v>
      </c>
      <c r="EU205" s="1094">
        <v>352</v>
      </c>
      <c r="EV205" s="1096">
        <v>0.75760000000000005</v>
      </c>
      <c r="EW205" s="1097">
        <v>0.15</v>
      </c>
      <c r="EX205" s="1096">
        <v>289.50050968399592</v>
      </c>
      <c r="EY205" s="1096">
        <v>1.5443934760448521</v>
      </c>
      <c r="EZ205" s="1096">
        <v>0</v>
      </c>
      <c r="FA205" s="1096">
        <v>23.347727272727273</v>
      </c>
      <c r="FB205" s="1098">
        <v>0</v>
      </c>
      <c r="FC205" s="1098">
        <v>0</v>
      </c>
      <c r="FD205" s="1098" t="s">
        <v>408</v>
      </c>
      <c r="FE205" s="1098" t="s">
        <v>461</v>
      </c>
      <c r="FF205" s="1098">
        <v>2</v>
      </c>
      <c r="FG205" s="1098">
        <v>0</v>
      </c>
      <c r="FH205" s="1098">
        <v>0</v>
      </c>
      <c r="FI205" s="1098">
        <v>0</v>
      </c>
      <c r="FJ205" s="1098">
        <v>0</v>
      </c>
      <c r="FK205" s="1096">
        <v>87.872217500000005</v>
      </c>
      <c r="FL205" s="1096">
        <v>88</v>
      </c>
      <c r="FM205" s="1096">
        <v>175.74443500000001</v>
      </c>
      <c r="FN205" s="1096">
        <v>176</v>
      </c>
      <c r="FO205" s="1096">
        <v>351.48887000000002</v>
      </c>
      <c r="FP205" s="1099">
        <v>352</v>
      </c>
      <c r="FQ205" s="1064">
        <v>1.0990599999999999</v>
      </c>
      <c r="FR205" s="1065">
        <v>0.15</v>
      </c>
      <c r="FS205" s="1066">
        <v>289.50050968399586</v>
      </c>
      <c r="FT205" s="1066">
        <v>3.1935353236673123</v>
      </c>
      <c r="FU205" s="1065"/>
      <c r="FV205" s="1066">
        <v>55.218274173106664</v>
      </c>
      <c r="FW205" s="1065"/>
      <c r="FX205" s="1065"/>
      <c r="FY205" s="1065" t="s">
        <v>396</v>
      </c>
      <c r="FZ205" s="1065" t="s">
        <v>461</v>
      </c>
      <c r="GA205" s="1065">
        <v>3</v>
      </c>
      <c r="GB205" s="1065"/>
      <c r="GC205" s="1065"/>
      <c r="GD205" s="1065"/>
      <c r="GE205" s="1065"/>
      <c r="GF205" s="1066">
        <v>92.686436725593751</v>
      </c>
      <c r="GG205" s="1066">
        <v>88</v>
      </c>
      <c r="GH205" s="1066">
        <v>185.3728734511875</v>
      </c>
      <c r="GI205" s="1066">
        <v>176</v>
      </c>
      <c r="GJ205" s="1066">
        <v>370.745746902375</v>
      </c>
      <c r="GK205" s="1066">
        <v>352</v>
      </c>
      <c r="GL205" s="584">
        <v>0.80789999999999995</v>
      </c>
      <c r="GM205" s="584">
        <v>0.13</v>
      </c>
      <c r="GN205" s="584"/>
      <c r="GO205" s="584"/>
      <c r="GP205" s="584"/>
      <c r="GQ205" s="584">
        <v>40.4181818181818</v>
      </c>
      <c r="GR205" s="584"/>
      <c r="GS205" s="584">
        <v>66.2589194699286</v>
      </c>
      <c r="GT205" s="584" t="s">
        <v>412</v>
      </c>
      <c r="GU205" s="584" t="s">
        <v>396</v>
      </c>
      <c r="GV205" s="584">
        <v>1</v>
      </c>
      <c r="GW205" s="584"/>
      <c r="GX205" s="584"/>
      <c r="GY205" s="584"/>
      <c r="GZ205" s="584"/>
      <c r="HA205" s="584">
        <v>40.623052000000001</v>
      </c>
      <c r="HB205" s="584">
        <v>88</v>
      </c>
      <c r="HC205" s="584">
        <v>81.246104000000003</v>
      </c>
      <c r="HD205" s="584">
        <v>176</v>
      </c>
      <c r="HE205" s="584">
        <v>162.49220800000001</v>
      </c>
      <c r="HF205" s="584">
        <v>352</v>
      </c>
      <c r="HG205" s="1100">
        <v>1.27</v>
      </c>
      <c r="HH205" s="1100">
        <v>0.11</v>
      </c>
      <c r="HI205" s="1101">
        <v>0</v>
      </c>
      <c r="HJ205" s="1101">
        <v>0</v>
      </c>
      <c r="HK205" s="1101">
        <v>0</v>
      </c>
      <c r="HL205" s="1101">
        <v>0</v>
      </c>
      <c r="HM205" s="1101">
        <v>63.376363636363628</v>
      </c>
      <c r="HN205" s="1101">
        <v>54.999999999999993</v>
      </c>
      <c r="HO205" s="1101">
        <v>0</v>
      </c>
      <c r="HP205" s="1101">
        <v>0</v>
      </c>
      <c r="HQ205" s="1101">
        <v>3</v>
      </c>
      <c r="HR205" s="1101">
        <v>1.1599999999999999</v>
      </c>
      <c r="HS205" s="1101">
        <v>0.84</v>
      </c>
      <c r="HT205" s="1101">
        <v>0.3</v>
      </c>
      <c r="HU205" s="1101">
        <v>0.26</v>
      </c>
      <c r="HV205" s="1101">
        <v>43.147986799999998</v>
      </c>
      <c r="HW205" s="1101">
        <v>88</v>
      </c>
      <c r="HX205" s="1101">
        <v>86.295973599999996</v>
      </c>
      <c r="HY205" s="1101">
        <v>176</v>
      </c>
      <c r="HZ205" s="1101">
        <v>172.59194719999999</v>
      </c>
      <c r="IA205" s="1101">
        <v>352</v>
      </c>
      <c r="IB205" s="1062"/>
      <c r="ID205" s="1050"/>
      <c r="IE205" s="1050"/>
      <c r="IM205" s="1050"/>
      <c r="IN205" s="1050"/>
      <c r="IO205" s="1050"/>
      <c r="IP205" s="1050"/>
      <c r="JU205" s="1050"/>
      <c r="KC205" s="1050"/>
      <c r="KD205" s="1050"/>
      <c r="KE205" s="1050"/>
      <c r="KF205" s="1050"/>
      <c r="KN205" s="1103"/>
    </row>
    <row r="206" spans="2:300">
      <c r="B206" s="1048" t="str">
        <f t="shared" si="6"/>
        <v>E812</v>
      </c>
      <c r="C206" s="1046">
        <v>8</v>
      </c>
      <c r="D206" s="1092">
        <v>12</v>
      </c>
      <c r="E206" s="584">
        <v>0.49</v>
      </c>
      <c r="F206" s="584">
        <v>0.49</v>
      </c>
      <c r="G206" s="584">
        <v>1176</v>
      </c>
      <c r="H206" s="584">
        <v>27.93</v>
      </c>
      <c r="I206" s="584">
        <v>0</v>
      </c>
      <c r="J206" s="584">
        <v>0</v>
      </c>
      <c r="K206" s="584">
        <v>0</v>
      </c>
      <c r="L206" s="584">
        <v>0</v>
      </c>
      <c r="M206" s="584">
        <v>0</v>
      </c>
      <c r="N206" s="584">
        <v>0</v>
      </c>
      <c r="O206" s="584">
        <v>0</v>
      </c>
      <c r="P206" s="584">
        <v>0</v>
      </c>
      <c r="Q206" s="584">
        <v>0</v>
      </c>
      <c r="R206" s="584">
        <v>0</v>
      </c>
      <c r="S206" s="584">
        <v>0</v>
      </c>
      <c r="T206" s="584">
        <v>454.67143750000002</v>
      </c>
      <c r="U206" s="584">
        <v>96</v>
      </c>
      <c r="V206" s="584">
        <v>834.94574999999998</v>
      </c>
      <c r="W206" s="584">
        <v>201.6</v>
      </c>
      <c r="X206" s="584">
        <v>1387.0709999999999</v>
      </c>
      <c r="Y206" s="584">
        <v>422.4</v>
      </c>
      <c r="Z206" s="584">
        <v>0.35499999999999998</v>
      </c>
      <c r="AA206" s="584">
        <v>0.35499999999999998</v>
      </c>
      <c r="AB206" s="584">
        <v>852</v>
      </c>
      <c r="AC206" s="584">
        <v>22</v>
      </c>
      <c r="AD206" s="584">
        <v>0</v>
      </c>
      <c r="AE206" s="584">
        <v>0</v>
      </c>
      <c r="AF206" s="584">
        <v>0</v>
      </c>
      <c r="AG206" s="584">
        <v>0</v>
      </c>
      <c r="AH206" s="584">
        <v>0</v>
      </c>
      <c r="AI206" s="584">
        <v>0</v>
      </c>
      <c r="AJ206" s="584">
        <v>0</v>
      </c>
      <c r="AK206" s="584">
        <v>0</v>
      </c>
      <c r="AL206" s="584">
        <v>0</v>
      </c>
      <c r="AM206" s="584">
        <v>0</v>
      </c>
      <c r="AN206" s="584">
        <v>0</v>
      </c>
      <c r="AO206" s="584">
        <v>366.78643749999998</v>
      </c>
      <c r="AP206" s="584">
        <v>96</v>
      </c>
      <c r="AQ206" s="584">
        <v>656.34074999999996</v>
      </c>
      <c r="AR206" s="584">
        <v>201.6</v>
      </c>
      <c r="AS206" s="584">
        <v>1030.671</v>
      </c>
      <c r="AT206" s="584">
        <v>422.4</v>
      </c>
      <c r="AU206" s="584">
        <v>0.92500000000000004</v>
      </c>
      <c r="AV206" s="584">
        <v>0.32500000000000001</v>
      </c>
      <c r="AW206" s="584">
        <v>589.76464660037595</v>
      </c>
      <c r="AX206" s="584">
        <v>32.643093254501501</v>
      </c>
      <c r="AY206" s="584">
        <v>0</v>
      </c>
      <c r="AZ206" s="584">
        <v>0</v>
      </c>
      <c r="BA206" s="584">
        <v>0</v>
      </c>
      <c r="BB206" s="584">
        <v>0</v>
      </c>
      <c r="BC206" s="584">
        <v>0</v>
      </c>
      <c r="BD206" s="584">
        <v>0</v>
      </c>
      <c r="BE206" s="584">
        <v>0</v>
      </c>
      <c r="BF206" s="584">
        <v>0</v>
      </c>
      <c r="BG206" s="584">
        <v>0.92500000000000004</v>
      </c>
      <c r="BH206" s="584">
        <v>0</v>
      </c>
      <c r="BI206" s="584">
        <v>0.45</v>
      </c>
      <c r="BJ206" s="584">
        <v>320.33701074979899</v>
      </c>
      <c r="BK206" s="584">
        <v>96</v>
      </c>
      <c r="BL206" s="584">
        <v>516.06873152378398</v>
      </c>
      <c r="BM206" s="584">
        <v>201.6</v>
      </c>
      <c r="BN206" s="584">
        <v>706.507974469229</v>
      </c>
      <c r="BO206" s="584">
        <v>422.4</v>
      </c>
      <c r="BP206" s="584">
        <v>0.82499999999999996</v>
      </c>
      <c r="BQ206" s="584">
        <v>0.2</v>
      </c>
      <c r="BR206" s="584">
        <v>618.26071620532105</v>
      </c>
      <c r="BS206" s="584">
        <v>44.755794813222202</v>
      </c>
      <c r="BT206" s="584">
        <v>0</v>
      </c>
      <c r="BU206" s="584">
        <v>0</v>
      </c>
      <c r="BV206" s="584">
        <v>0</v>
      </c>
      <c r="BW206" s="584">
        <v>0</v>
      </c>
      <c r="BX206" s="584">
        <v>0</v>
      </c>
      <c r="BY206" s="584">
        <v>0</v>
      </c>
      <c r="BZ206" s="584">
        <v>0</v>
      </c>
      <c r="CA206" s="584">
        <v>0.42499999999999999</v>
      </c>
      <c r="CB206" s="584">
        <v>0.82499999999999996</v>
      </c>
      <c r="CC206" s="584">
        <v>0.45</v>
      </c>
      <c r="CD206" s="584">
        <v>0.45</v>
      </c>
      <c r="CE206" s="584">
        <v>317.04624999999999</v>
      </c>
      <c r="CF206" s="584">
        <v>96</v>
      </c>
      <c r="CG206" s="584">
        <v>518.57456249999996</v>
      </c>
      <c r="CH206" s="584">
        <v>201.6</v>
      </c>
      <c r="CI206" s="584">
        <v>721.41318750000005</v>
      </c>
      <c r="CJ206" s="584">
        <v>422.4</v>
      </c>
      <c r="CK206" s="584">
        <v>0.95</v>
      </c>
      <c r="CL206" s="584">
        <v>0.245</v>
      </c>
      <c r="CM206" s="584">
        <v>700.19675490459599</v>
      </c>
      <c r="CN206" s="584">
        <v>25.431686374630502</v>
      </c>
      <c r="CO206" s="584">
        <v>0</v>
      </c>
      <c r="CP206" s="584">
        <v>0</v>
      </c>
      <c r="CQ206" s="584">
        <v>0</v>
      </c>
      <c r="CR206" s="584">
        <v>0</v>
      </c>
      <c r="CS206" s="584">
        <v>0</v>
      </c>
      <c r="CT206" s="584">
        <v>0</v>
      </c>
      <c r="CU206" s="584">
        <v>0</v>
      </c>
      <c r="CV206" s="584">
        <v>0</v>
      </c>
      <c r="CW206" s="584">
        <v>0.95</v>
      </c>
      <c r="CX206" s="584">
        <v>0</v>
      </c>
      <c r="CY206" s="584">
        <v>0.6</v>
      </c>
      <c r="CZ206" s="584">
        <v>357.02184999999997</v>
      </c>
      <c r="DA206" s="584">
        <v>96</v>
      </c>
      <c r="DB206" s="584">
        <v>583.39485000000002</v>
      </c>
      <c r="DC206" s="584">
        <v>201.6</v>
      </c>
      <c r="DD206" s="584">
        <v>833.73284999999998</v>
      </c>
      <c r="DE206" s="584">
        <v>422.4</v>
      </c>
      <c r="DF206" s="584">
        <v>0.55000000000000004</v>
      </c>
      <c r="DG206" s="584">
        <v>0.2</v>
      </c>
      <c r="DH206" s="584">
        <v>427.175490459554</v>
      </c>
      <c r="DI206" s="584">
        <v>20.344359580757899</v>
      </c>
      <c r="DJ206" s="584">
        <v>300</v>
      </c>
      <c r="DK206" s="584">
        <v>0</v>
      </c>
      <c r="DL206" s="584">
        <v>0</v>
      </c>
      <c r="DM206" s="584">
        <v>0</v>
      </c>
      <c r="DN206" s="584">
        <v>0</v>
      </c>
      <c r="DO206" s="584">
        <v>0</v>
      </c>
      <c r="DP206" s="584">
        <v>0</v>
      </c>
      <c r="DQ206" s="584">
        <v>0</v>
      </c>
      <c r="DR206" s="584">
        <v>0.55000000000000004</v>
      </c>
      <c r="DS206" s="584">
        <v>0</v>
      </c>
      <c r="DT206" s="584">
        <v>2.4</v>
      </c>
      <c r="DU206" s="584">
        <v>299.17225000000002</v>
      </c>
      <c r="DV206" s="584">
        <v>96</v>
      </c>
      <c r="DW206" s="584">
        <v>546.40674999999999</v>
      </c>
      <c r="DX206" s="584">
        <v>201.6</v>
      </c>
      <c r="DY206" s="584">
        <v>831.82050000000004</v>
      </c>
      <c r="DZ206" s="584">
        <v>422.4</v>
      </c>
      <c r="EA206" s="1062">
        <v>0.9103</v>
      </c>
      <c r="EB206" s="1046">
        <v>0.35</v>
      </c>
      <c r="EC206" s="1093">
        <v>132.51783893985731</v>
      </c>
      <c r="ED206" s="1046">
        <v>0</v>
      </c>
      <c r="EE206" s="1046">
        <v>458.71559633027522</v>
      </c>
      <c r="EF206" s="1046">
        <v>34.895833333333336</v>
      </c>
      <c r="EG206" s="1046">
        <v>0</v>
      </c>
      <c r="EH206" s="1046">
        <v>0</v>
      </c>
      <c r="EI206" s="1046" t="s">
        <v>420</v>
      </c>
      <c r="EJ206" s="1046" t="s">
        <v>442</v>
      </c>
      <c r="EK206" s="1046">
        <v>0</v>
      </c>
      <c r="EL206" s="1046">
        <v>0</v>
      </c>
      <c r="EM206" s="1046">
        <v>0</v>
      </c>
      <c r="EN206" s="1046">
        <v>0</v>
      </c>
      <c r="EO206" s="1046">
        <v>0</v>
      </c>
      <c r="EP206" s="1094">
        <v>166.61587499999999</v>
      </c>
      <c r="EQ206" s="1094">
        <v>96</v>
      </c>
      <c r="ER206" s="1094">
        <v>333.23174999999998</v>
      </c>
      <c r="ES206" s="1095">
        <v>192</v>
      </c>
      <c r="ET206" s="1094">
        <v>666.46349999999995</v>
      </c>
      <c r="EU206" s="1094">
        <v>384</v>
      </c>
      <c r="EV206" s="1096">
        <v>0.7622000000000001</v>
      </c>
      <c r="EW206" s="1097">
        <v>0.15</v>
      </c>
      <c r="EX206" s="1096">
        <v>289.50050968399592</v>
      </c>
      <c r="EY206" s="1096">
        <v>1.5443934760448521</v>
      </c>
      <c r="EZ206" s="1096">
        <v>0</v>
      </c>
      <c r="FA206" s="1096">
        <v>23.5</v>
      </c>
      <c r="FB206" s="1098">
        <v>0</v>
      </c>
      <c r="FC206" s="1098">
        <v>0</v>
      </c>
      <c r="FD206" s="1098" t="s">
        <v>406</v>
      </c>
      <c r="FE206" s="1098" t="s">
        <v>461</v>
      </c>
      <c r="FF206" s="1098">
        <v>2</v>
      </c>
      <c r="FG206" s="1098">
        <v>0</v>
      </c>
      <c r="FH206" s="1098">
        <v>0</v>
      </c>
      <c r="FI206" s="1098">
        <v>0</v>
      </c>
      <c r="FJ206" s="1098">
        <v>0</v>
      </c>
      <c r="FK206" s="1096">
        <v>95.896452000000011</v>
      </c>
      <c r="FL206" s="1096">
        <v>96</v>
      </c>
      <c r="FM206" s="1096">
        <v>191.79290400000002</v>
      </c>
      <c r="FN206" s="1096">
        <v>192</v>
      </c>
      <c r="FO206" s="1096">
        <v>383.58580800000004</v>
      </c>
      <c r="FP206" s="1099">
        <v>384</v>
      </c>
      <c r="FQ206" s="1064">
        <v>1.2</v>
      </c>
      <c r="FR206" s="1065">
        <v>0.15</v>
      </c>
      <c r="FS206" s="1066">
        <v>289.50050968399586</v>
      </c>
      <c r="FT206" s="1066">
        <v>3.1935353236673123</v>
      </c>
      <c r="FU206" s="1065"/>
      <c r="FV206" s="1066">
        <v>62.026445404159112</v>
      </c>
      <c r="FW206" s="1065"/>
      <c r="FX206" s="1065"/>
      <c r="FY206" s="1065" t="s">
        <v>389</v>
      </c>
      <c r="FZ206" s="1065" t="s">
        <v>438</v>
      </c>
      <c r="GA206" s="1065">
        <v>3</v>
      </c>
      <c r="GB206" s="1065"/>
      <c r="GC206" s="1065"/>
      <c r="GD206" s="1065"/>
      <c r="GE206" s="1065"/>
      <c r="GF206" s="1066">
        <v>102.71539226255945</v>
      </c>
      <c r="GG206" s="1066">
        <v>96</v>
      </c>
      <c r="GH206" s="1066">
        <v>205.4307845251189</v>
      </c>
      <c r="GI206" s="1066">
        <v>192</v>
      </c>
      <c r="GJ206" s="1066">
        <v>410.86156905023779</v>
      </c>
      <c r="GK206" s="1066">
        <v>384</v>
      </c>
      <c r="GL206" s="584">
        <v>0.88</v>
      </c>
      <c r="GM206" s="584">
        <v>0.13</v>
      </c>
      <c r="GN206" s="584"/>
      <c r="GO206" s="584"/>
      <c r="GP206" s="584"/>
      <c r="GQ206" s="584">
        <v>42.891666666666701</v>
      </c>
      <c r="GR206" s="584"/>
      <c r="GS206" s="584">
        <v>66.2589194699286</v>
      </c>
      <c r="GT206" s="584" t="s">
        <v>408</v>
      </c>
      <c r="GU206" s="584" t="s">
        <v>389</v>
      </c>
      <c r="GV206" s="584">
        <v>1</v>
      </c>
      <c r="GW206" s="584"/>
      <c r="GX206" s="584"/>
      <c r="GY206" s="584"/>
      <c r="GZ206" s="584"/>
      <c r="HA206" s="584">
        <v>44.898414000000002</v>
      </c>
      <c r="HB206" s="584">
        <v>96</v>
      </c>
      <c r="HC206" s="584">
        <v>89.796828000000005</v>
      </c>
      <c r="HD206" s="584">
        <v>192</v>
      </c>
      <c r="HE206" s="584">
        <v>179.59365600000001</v>
      </c>
      <c r="HF206" s="584">
        <v>384</v>
      </c>
      <c r="HG206" s="1100">
        <v>1.4300000000000002</v>
      </c>
      <c r="HH206" s="1100">
        <v>0.11</v>
      </c>
      <c r="HI206" s="1101">
        <v>0</v>
      </c>
      <c r="HJ206" s="1101">
        <v>0</v>
      </c>
      <c r="HK206" s="1101">
        <v>0</v>
      </c>
      <c r="HL206" s="1101">
        <v>0</v>
      </c>
      <c r="HM206" s="1101">
        <v>76.95</v>
      </c>
      <c r="HN206" s="1101">
        <v>54.999999999999993</v>
      </c>
      <c r="HO206" s="1101">
        <v>0</v>
      </c>
      <c r="HP206" s="1101">
        <v>0</v>
      </c>
      <c r="HQ206" s="1101">
        <v>3</v>
      </c>
      <c r="HR206" s="1101">
        <v>1.32</v>
      </c>
      <c r="HS206" s="1101">
        <v>0.92</v>
      </c>
      <c r="HT206" s="1101">
        <v>0.3</v>
      </c>
      <c r="HU206" s="1101">
        <v>0.3</v>
      </c>
      <c r="HV206" s="1101">
        <v>50.266307999999995</v>
      </c>
      <c r="HW206" s="1101">
        <v>96</v>
      </c>
      <c r="HX206" s="1101">
        <v>100.53261599999999</v>
      </c>
      <c r="HY206" s="1101">
        <v>192</v>
      </c>
      <c r="HZ206" s="1101">
        <v>201.06523199999998</v>
      </c>
      <c r="IA206" s="1101">
        <v>384</v>
      </c>
      <c r="IB206" s="1062"/>
      <c r="ID206" s="1050"/>
      <c r="IE206" s="1050"/>
      <c r="IM206" s="1050"/>
      <c r="IN206" s="1050"/>
      <c r="IO206" s="1050"/>
      <c r="IP206" s="1050"/>
      <c r="JU206" s="1050"/>
      <c r="KC206" s="1050"/>
      <c r="KD206" s="1050"/>
      <c r="KE206" s="1050"/>
      <c r="KF206" s="1050"/>
      <c r="KN206" s="1103"/>
    </row>
    <row r="207" spans="2:300">
      <c r="B207" s="1048" t="str">
        <f t="shared" si="6"/>
        <v>E813</v>
      </c>
      <c r="C207" s="1046">
        <v>8</v>
      </c>
      <c r="D207" s="1092">
        <v>13</v>
      </c>
      <c r="E207" s="584">
        <v>0.49</v>
      </c>
      <c r="F207" s="584">
        <v>0.49</v>
      </c>
      <c r="G207" s="584">
        <v>1176</v>
      </c>
      <c r="H207" s="584">
        <v>26.95</v>
      </c>
      <c r="I207" s="584">
        <v>0</v>
      </c>
      <c r="J207" s="584">
        <v>0</v>
      </c>
      <c r="K207" s="584">
        <v>0</v>
      </c>
      <c r="L207" s="584">
        <v>0</v>
      </c>
      <c r="M207" s="584">
        <v>0</v>
      </c>
      <c r="N207" s="584">
        <v>0</v>
      </c>
      <c r="O207" s="584">
        <v>0</v>
      </c>
      <c r="P207" s="584">
        <v>0</v>
      </c>
      <c r="Q207" s="584">
        <v>0</v>
      </c>
      <c r="R207" s="584">
        <v>0</v>
      </c>
      <c r="S207" s="584">
        <v>0</v>
      </c>
      <c r="T207" s="584">
        <v>487.55643750000002</v>
      </c>
      <c r="U207" s="584">
        <v>104</v>
      </c>
      <c r="V207" s="584">
        <v>905.31543750000003</v>
      </c>
      <c r="W207" s="584">
        <v>218.4</v>
      </c>
      <c r="X207" s="584">
        <v>1501.9110000000001</v>
      </c>
      <c r="Y207" s="584">
        <v>457.6</v>
      </c>
      <c r="Z207" s="584">
        <v>0.39500000000000002</v>
      </c>
      <c r="AA207" s="584">
        <v>0.39500000000000002</v>
      </c>
      <c r="AB207" s="584">
        <v>948</v>
      </c>
      <c r="AC207" s="584">
        <v>25</v>
      </c>
      <c r="AD207" s="584">
        <v>0</v>
      </c>
      <c r="AE207" s="584">
        <v>0</v>
      </c>
      <c r="AF207" s="584">
        <v>0</v>
      </c>
      <c r="AG207" s="584">
        <v>0</v>
      </c>
      <c r="AH207" s="584">
        <v>0</v>
      </c>
      <c r="AI207" s="584">
        <v>0</v>
      </c>
      <c r="AJ207" s="584">
        <v>0</v>
      </c>
      <c r="AK207" s="584">
        <v>0</v>
      </c>
      <c r="AL207" s="584">
        <v>0</v>
      </c>
      <c r="AM207" s="584">
        <v>0</v>
      </c>
      <c r="AN207" s="584">
        <v>0</v>
      </c>
      <c r="AO207" s="584">
        <v>420.72393749999998</v>
      </c>
      <c r="AP207" s="584">
        <v>104</v>
      </c>
      <c r="AQ207" s="584">
        <v>767.84550000000002</v>
      </c>
      <c r="AR207" s="584">
        <v>218.4</v>
      </c>
      <c r="AS207" s="584">
        <v>1230.211</v>
      </c>
      <c r="AT207" s="584">
        <v>457.6</v>
      </c>
      <c r="AU207" s="584">
        <v>0</v>
      </c>
      <c r="AV207" s="584">
        <v>0</v>
      </c>
      <c r="AW207" s="584">
        <v>0</v>
      </c>
      <c r="AX207" s="584">
        <v>0</v>
      </c>
      <c r="AY207" s="584">
        <v>0</v>
      </c>
      <c r="AZ207" s="584">
        <v>0</v>
      </c>
      <c r="BA207" s="584">
        <v>0</v>
      </c>
      <c r="BB207" s="584">
        <v>0</v>
      </c>
      <c r="BC207" s="584">
        <v>0</v>
      </c>
      <c r="BD207" s="584">
        <v>0</v>
      </c>
      <c r="BE207" s="584">
        <v>0</v>
      </c>
      <c r="BF207" s="584">
        <v>0</v>
      </c>
      <c r="BG207" s="584">
        <v>0</v>
      </c>
      <c r="BH207" s="584">
        <v>0</v>
      </c>
      <c r="BI207" s="584">
        <v>0</v>
      </c>
      <c r="BJ207" s="584">
        <v>0</v>
      </c>
      <c r="BK207" s="584">
        <v>0</v>
      </c>
      <c r="BL207" s="584">
        <v>0</v>
      </c>
      <c r="BM207" s="584">
        <v>0</v>
      </c>
      <c r="BN207" s="584">
        <v>0</v>
      </c>
      <c r="BO207" s="584">
        <v>0</v>
      </c>
      <c r="BP207" s="584">
        <v>0.95</v>
      </c>
      <c r="BQ207" s="584">
        <v>0.20499999999999999</v>
      </c>
      <c r="BR207" s="584">
        <v>679.99655365126705</v>
      </c>
      <c r="BS207" s="584">
        <v>50.835113636363602</v>
      </c>
      <c r="BT207" s="584">
        <v>0</v>
      </c>
      <c r="BU207" s="584">
        <v>0</v>
      </c>
      <c r="BV207" s="584">
        <v>0</v>
      </c>
      <c r="BW207" s="584">
        <v>0</v>
      </c>
      <c r="BX207" s="584">
        <v>0</v>
      </c>
      <c r="BY207" s="584">
        <v>0</v>
      </c>
      <c r="BZ207" s="584">
        <v>0</v>
      </c>
      <c r="CA207" s="584">
        <v>0.42499999999999999</v>
      </c>
      <c r="CB207" s="584">
        <v>0.95</v>
      </c>
      <c r="CC207" s="584">
        <v>0.45</v>
      </c>
      <c r="CD207" s="584">
        <v>0.45</v>
      </c>
      <c r="CE207" s="584">
        <v>371.27902499999999</v>
      </c>
      <c r="CF207" s="584">
        <v>104</v>
      </c>
      <c r="CG207" s="584">
        <v>611.60724374999995</v>
      </c>
      <c r="CH207" s="584">
        <v>218.4</v>
      </c>
      <c r="CI207" s="584">
        <v>809.98533750000001</v>
      </c>
      <c r="CJ207" s="584">
        <v>457.6</v>
      </c>
      <c r="CK207" s="584">
        <v>0</v>
      </c>
      <c r="CL207" s="584">
        <v>0</v>
      </c>
      <c r="CM207" s="584">
        <v>0</v>
      </c>
      <c r="CN207" s="584">
        <v>0</v>
      </c>
      <c r="CO207" s="584">
        <v>0</v>
      </c>
      <c r="CP207" s="584">
        <v>0</v>
      </c>
      <c r="CQ207" s="584">
        <v>0</v>
      </c>
      <c r="CR207" s="584">
        <v>0</v>
      </c>
      <c r="CS207" s="584">
        <v>0</v>
      </c>
      <c r="CT207" s="584">
        <v>0</v>
      </c>
      <c r="CU207" s="584">
        <v>0</v>
      </c>
      <c r="CV207" s="584">
        <v>0</v>
      </c>
      <c r="CW207" s="584">
        <v>0</v>
      </c>
      <c r="CX207" s="584">
        <v>0</v>
      </c>
      <c r="CY207" s="584">
        <v>0</v>
      </c>
      <c r="CZ207" s="584">
        <v>0</v>
      </c>
      <c r="DA207" s="584">
        <v>0</v>
      </c>
      <c r="DB207" s="584">
        <v>0</v>
      </c>
      <c r="DC207" s="584">
        <v>0</v>
      </c>
      <c r="DD207" s="584">
        <v>0</v>
      </c>
      <c r="DE207" s="584">
        <v>0</v>
      </c>
      <c r="DF207" s="584">
        <v>0.625</v>
      </c>
      <c r="DG207" s="584">
        <v>0.2</v>
      </c>
      <c r="DH207" s="584">
        <v>494.44811847988097</v>
      </c>
      <c r="DI207" s="584">
        <v>22.642026080476899</v>
      </c>
      <c r="DJ207" s="584">
        <v>300</v>
      </c>
      <c r="DK207" s="584">
        <v>0</v>
      </c>
      <c r="DL207" s="584">
        <v>0</v>
      </c>
      <c r="DM207" s="584">
        <v>0</v>
      </c>
      <c r="DN207" s="584">
        <v>0</v>
      </c>
      <c r="DO207" s="584">
        <v>0</v>
      </c>
      <c r="DP207" s="584">
        <v>0</v>
      </c>
      <c r="DQ207" s="584">
        <v>0</v>
      </c>
      <c r="DR207" s="584">
        <v>0.625</v>
      </c>
      <c r="DS207" s="584">
        <v>0</v>
      </c>
      <c r="DT207" s="584">
        <v>2.4</v>
      </c>
      <c r="DU207" s="584">
        <v>344.8125</v>
      </c>
      <c r="DV207" s="584">
        <v>104</v>
      </c>
      <c r="DW207" s="584">
        <v>610.75450000000001</v>
      </c>
      <c r="DX207" s="584">
        <v>218.4</v>
      </c>
      <c r="DY207" s="584">
        <v>958.77824999999996</v>
      </c>
      <c r="DZ207" s="584">
        <v>457.6</v>
      </c>
      <c r="EA207" s="1062">
        <v>0.97709999999999997</v>
      </c>
      <c r="EB207" s="1046">
        <v>0.4</v>
      </c>
      <c r="EC207" s="1093">
        <v>132.51783893985737</v>
      </c>
      <c r="ED207" s="1046">
        <v>0</v>
      </c>
      <c r="EE207" s="1046">
        <v>519.87767584097855</v>
      </c>
      <c r="EF207" s="1046">
        <v>39.848076923076924</v>
      </c>
      <c r="EG207" s="1046">
        <v>0</v>
      </c>
      <c r="EH207" s="1046">
        <v>0</v>
      </c>
      <c r="EI207" s="1046" t="s">
        <v>418</v>
      </c>
      <c r="EJ207" s="1046" t="s">
        <v>423</v>
      </c>
      <c r="EK207" s="1046">
        <v>0</v>
      </c>
      <c r="EL207" s="1046">
        <v>0</v>
      </c>
      <c r="EM207" s="1046">
        <v>0</v>
      </c>
      <c r="EN207" s="1046">
        <v>0</v>
      </c>
      <c r="EO207" s="1046">
        <v>0</v>
      </c>
      <c r="EP207" s="1094">
        <v>197.36365050000001</v>
      </c>
      <c r="EQ207" s="1094">
        <v>104</v>
      </c>
      <c r="ER207" s="1094">
        <v>394.72730100000001</v>
      </c>
      <c r="ES207" s="1095">
        <v>208</v>
      </c>
      <c r="ET207" s="1094">
        <v>789.45460200000002</v>
      </c>
      <c r="EU207" s="1094">
        <v>416</v>
      </c>
      <c r="EV207" s="1096">
        <v>0.76719999999999999</v>
      </c>
      <c r="EW207" s="1097">
        <v>0.15</v>
      </c>
      <c r="EX207" s="1096">
        <v>289.50050968399592</v>
      </c>
      <c r="EY207" s="1096">
        <v>1.5443934760448521</v>
      </c>
      <c r="EZ207" s="1096">
        <v>0</v>
      </c>
      <c r="FA207" s="1096">
        <v>31.311538461538468</v>
      </c>
      <c r="FB207" s="1098">
        <v>0</v>
      </c>
      <c r="FC207" s="1098">
        <v>0</v>
      </c>
      <c r="FD207" s="1098" t="s">
        <v>404</v>
      </c>
      <c r="FE207" s="1098" t="s">
        <v>432</v>
      </c>
      <c r="FF207" s="1098">
        <v>2</v>
      </c>
      <c r="FG207" s="1098">
        <v>0</v>
      </c>
      <c r="FH207" s="1098">
        <v>0</v>
      </c>
      <c r="FI207" s="1098">
        <v>0</v>
      </c>
      <c r="FJ207" s="1098">
        <v>0</v>
      </c>
      <c r="FK207" s="1096">
        <v>105.88023400000002</v>
      </c>
      <c r="FL207" s="1096">
        <v>104</v>
      </c>
      <c r="FM207" s="1096">
        <v>211.76046800000003</v>
      </c>
      <c r="FN207" s="1096">
        <v>208</v>
      </c>
      <c r="FO207" s="1096">
        <v>423.52093600000006</v>
      </c>
      <c r="FP207" s="1099">
        <v>416</v>
      </c>
      <c r="FQ207" s="1064">
        <v>1.2</v>
      </c>
      <c r="FR207" s="1065">
        <v>0.15</v>
      </c>
      <c r="FS207" s="1066">
        <v>289.50050968399586</v>
      </c>
      <c r="FT207" s="1066">
        <v>3.1935353236673123</v>
      </c>
      <c r="FU207" s="1065"/>
      <c r="FV207" s="1066">
        <v>65.948750178895708</v>
      </c>
      <c r="FW207" s="1065"/>
      <c r="FX207" s="1065"/>
      <c r="FY207" s="1065" t="s">
        <v>389</v>
      </c>
      <c r="FZ207" s="1065" t="s">
        <v>436</v>
      </c>
      <c r="GA207" s="1065">
        <v>3</v>
      </c>
      <c r="GB207" s="1065"/>
      <c r="GC207" s="1065"/>
      <c r="GD207" s="1065"/>
      <c r="GE207" s="1065"/>
      <c r="GF207" s="1066">
        <v>112.27543134028372</v>
      </c>
      <c r="GG207" s="1066">
        <v>104</v>
      </c>
      <c r="GH207" s="1066">
        <v>224.55086268056743</v>
      </c>
      <c r="GI207" s="1066">
        <v>208</v>
      </c>
      <c r="GJ207" s="1066">
        <v>449.10172536113487</v>
      </c>
      <c r="GK207" s="1066">
        <v>416</v>
      </c>
      <c r="GL207" s="584">
        <v>0.96489999999999998</v>
      </c>
      <c r="GM207" s="584">
        <v>0.13</v>
      </c>
      <c r="GN207" s="584"/>
      <c r="GO207" s="584"/>
      <c r="GP207" s="584"/>
      <c r="GQ207" s="584">
        <v>52.667307692307702</v>
      </c>
      <c r="GR207" s="584"/>
      <c r="GS207" s="584">
        <v>66.2589194699286</v>
      </c>
      <c r="GT207" s="584" t="s">
        <v>408</v>
      </c>
      <c r="GU207" s="584" t="s">
        <v>381</v>
      </c>
      <c r="GV207" s="584">
        <v>1</v>
      </c>
      <c r="GW207" s="584"/>
      <c r="GX207" s="584"/>
      <c r="GY207" s="584"/>
      <c r="GZ207" s="584"/>
      <c r="HA207" s="584">
        <v>51.133323500000003</v>
      </c>
      <c r="HB207" s="584">
        <v>104</v>
      </c>
      <c r="HC207" s="584">
        <v>102.26664700000001</v>
      </c>
      <c r="HD207" s="584">
        <v>208</v>
      </c>
      <c r="HE207" s="584">
        <v>204.53329400000001</v>
      </c>
      <c r="HF207" s="584">
        <v>416</v>
      </c>
      <c r="HG207" s="1100">
        <v>1.51</v>
      </c>
      <c r="HH207" s="1100">
        <v>0.11</v>
      </c>
      <c r="HI207" s="1101">
        <v>0</v>
      </c>
      <c r="HJ207" s="1101">
        <v>0</v>
      </c>
      <c r="HK207" s="1101">
        <v>0</v>
      </c>
      <c r="HL207" s="1101">
        <v>0</v>
      </c>
      <c r="HM207" s="1101">
        <v>80.058461538461529</v>
      </c>
      <c r="HN207" s="1101">
        <v>54.999999999999993</v>
      </c>
      <c r="HO207" s="1101">
        <v>0</v>
      </c>
      <c r="HP207" s="1101">
        <v>0</v>
      </c>
      <c r="HQ207" s="1101">
        <v>3</v>
      </c>
      <c r="HR207" s="1101">
        <v>1.4</v>
      </c>
      <c r="HS207" s="1101">
        <v>1.04</v>
      </c>
      <c r="HT207" s="1101">
        <v>0.3</v>
      </c>
      <c r="HU207" s="1101">
        <v>0.28000000000000003</v>
      </c>
      <c r="HV207" s="1101">
        <v>55.248011200000001</v>
      </c>
      <c r="HW207" s="1101">
        <v>104</v>
      </c>
      <c r="HX207" s="1101">
        <v>110.4960224</v>
      </c>
      <c r="HY207" s="1101">
        <v>208</v>
      </c>
      <c r="HZ207" s="1101">
        <v>220.9920448</v>
      </c>
      <c r="IA207" s="1101">
        <v>416</v>
      </c>
      <c r="IB207" s="1062"/>
      <c r="ID207" s="1050"/>
      <c r="IE207" s="1050"/>
      <c r="IM207" s="1050"/>
      <c r="IN207" s="1050"/>
      <c r="IO207" s="1050"/>
      <c r="IP207" s="1050"/>
      <c r="JU207" s="1050"/>
      <c r="KC207" s="1050"/>
      <c r="KD207" s="1050"/>
      <c r="KE207" s="1050"/>
      <c r="KF207" s="1050"/>
      <c r="KN207" s="1103"/>
    </row>
    <row r="208" spans="2:300">
      <c r="B208" s="1048" t="str">
        <f t="shared" si="6"/>
        <v>E814</v>
      </c>
      <c r="C208" s="1046">
        <v>8</v>
      </c>
      <c r="D208" s="1092">
        <v>14</v>
      </c>
      <c r="E208" s="584">
        <v>0.49</v>
      </c>
      <c r="F208" s="584">
        <v>0.49</v>
      </c>
      <c r="G208" s="584">
        <v>1176</v>
      </c>
      <c r="H208" s="584">
        <v>25.97</v>
      </c>
      <c r="I208" s="584">
        <v>0</v>
      </c>
      <c r="J208" s="584">
        <v>0</v>
      </c>
      <c r="K208" s="584">
        <v>0</v>
      </c>
      <c r="L208" s="584">
        <v>0</v>
      </c>
      <c r="M208" s="584">
        <v>0</v>
      </c>
      <c r="N208" s="584">
        <v>0</v>
      </c>
      <c r="O208" s="584">
        <v>0</v>
      </c>
      <c r="P208" s="584">
        <v>0</v>
      </c>
      <c r="Q208" s="584">
        <v>0</v>
      </c>
      <c r="R208" s="584">
        <v>0</v>
      </c>
      <c r="S208" s="584">
        <v>0</v>
      </c>
      <c r="T208" s="584">
        <v>520.44143750000001</v>
      </c>
      <c r="U208" s="584">
        <v>112</v>
      </c>
      <c r="V208" s="584">
        <v>974.37393750000001</v>
      </c>
      <c r="W208" s="584">
        <v>235.2</v>
      </c>
      <c r="X208" s="584">
        <v>1618.3119375000001</v>
      </c>
      <c r="Y208" s="584">
        <v>492.8</v>
      </c>
      <c r="Z208" s="584">
        <v>0.48499999999999999</v>
      </c>
      <c r="AA208" s="584">
        <v>0.48499999999999999</v>
      </c>
      <c r="AB208" s="584">
        <v>1164</v>
      </c>
      <c r="AC208" s="584">
        <v>25</v>
      </c>
      <c r="AD208" s="584">
        <v>0</v>
      </c>
      <c r="AE208" s="584">
        <v>0</v>
      </c>
      <c r="AF208" s="584">
        <v>0</v>
      </c>
      <c r="AG208" s="584">
        <v>0</v>
      </c>
      <c r="AH208" s="584">
        <v>0</v>
      </c>
      <c r="AI208" s="584">
        <v>0</v>
      </c>
      <c r="AJ208" s="584">
        <v>0</v>
      </c>
      <c r="AK208" s="584">
        <v>0</v>
      </c>
      <c r="AL208" s="584">
        <v>0</v>
      </c>
      <c r="AM208" s="584">
        <v>0</v>
      </c>
      <c r="AN208" s="584">
        <v>0</v>
      </c>
      <c r="AO208" s="584">
        <v>516.66143750000003</v>
      </c>
      <c r="AP208" s="584">
        <v>112</v>
      </c>
      <c r="AQ208" s="584">
        <v>966.65643750000004</v>
      </c>
      <c r="AR208" s="584">
        <v>235.2</v>
      </c>
      <c r="AS208" s="584">
        <v>1602.9119375</v>
      </c>
      <c r="AT208" s="584">
        <v>492.8</v>
      </c>
      <c r="AU208" s="584">
        <v>0</v>
      </c>
      <c r="AV208" s="584">
        <v>0</v>
      </c>
      <c r="AW208" s="584">
        <v>0</v>
      </c>
      <c r="AX208" s="584">
        <v>0</v>
      </c>
      <c r="AY208" s="584">
        <v>0</v>
      </c>
      <c r="AZ208" s="584">
        <v>0</v>
      </c>
      <c r="BA208" s="584">
        <v>0</v>
      </c>
      <c r="BB208" s="584">
        <v>0</v>
      </c>
      <c r="BC208" s="584">
        <v>0</v>
      </c>
      <c r="BD208" s="584">
        <v>0</v>
      </c>
      <c r="BE208" s="584">
        <v>0</v>
      </c>
      <c r="BF208" s="584">
        <v>0</v>
      </c>
      <c r="BG208" s="584">
        <v>0</v>
      </c>
      <c r="BH208" s="584">
        <v>0</v>
      </c>
      <c r="BI208" s="584">
        <v>0</v>
      </c>
      <c r="BJ208" s="584">
        <v>0</v>
      </c>
      <c r="BK208" s="584">
        <v>0</v>
      </c>
      <c r="BL208" s="584">
        <v>0</v>
      </c>
      <c r="BM208" s="584">
        <v>0</v>
      </c>
      <c r="BN208" s="584">
        <v>0</v>
      </c>
      <c r="BO208" s="584">
        <v>0</v>
      </c>
      <c r="BP208" s="584">
        <v>1.075</v>
      </c>
      <c r="BQ208" s="584">
        <v>0.21</v>
      </c>
      <c r="BR208" s="584">
        <v>744.22243708150495</v>
      </c>
      <c r="BS208" s="584">
        <v>60.150375779265701</v>
      </c>
      <c r="BT208" s="584">
        <v>0</v>
      </c>
      <c r="BU208" s="584">
        <v>0</v>
      </c>
      <c r="BV208" s="584">
        <v>0</v>
      </c>
      <c r="BW208" s="584">
        <v>0</v>
      </c>
      <c r="BX208" s="584">
        <v>0</v>
      </c>
      <c r="BY208" s="584">
        <v>0</v>
      </c>
      <c r="BZ208" s="584">
        <v>0</v>
      </c>
      <c r="CA208" s="584">
        <v>0.42499999999999999</v>
      </c>
      <c r="CB208" s="584">
        <v>1.075</v>
      </c>
      <c r="CC208" s="584">
        <v>0.45</v>
      </c>
      <c r="CD208" s="584">
        <v>0.45</v>
      </c>
      <c r="CE208" s="584">
        <v>432.69305000000003</v>
      </c>
      <c r="CF208" s="584">
        <v>112</v>
      </c>
      <c r="CG208" s="584">
        <v>718.23367499999995</v>
      </c>
      <c r="CH208" s="584">
        <v>235.2</v>
      </c>
      <c r="CI208" s="584">
        <v>903.45748749999996</v>
      </c>
      <c r="CJ208" s="584">
        <v>492.8</v>
      </c>
      <c r="CK208" s="584">
        <v>0</v>
      </c>
      <c r="CL208" s="584">
        <v>0</v>
      </c>
      <c r="CM208" s="584">
        <v>0</v>
      </c>
      <c r="CN208" s="584">
        <v>0</v>
      </c>
      <c r="CO208" s="584">
        <v>0</v>
      </c>
      <c r="CP208" s="584">
        <v>0</v>
      </c>
      <c r="CQ208" s="584">
        <v>0</v>
      </c>
      <c r="CR208" s="584">
        <v>0</v>
      </c>
      <c r="CS208" s="584">
        <v>0</v>
      </c>
      <c r="CT208" s="584">
        <v>0</v>
      </c>
      <c r="CU208" s="584">
        <v>0</v>
      </c>
      <c r="CV208" s="584">
        <v>0</v>
      </c>
      <c r="CW208" s="584">
        <v>0</v>
      </c>
      <c r="CX208" s="584">
        <v>0</v>
      </c>
      <c r="CY208" s="584">
        <v>0</v>
      </c>
      <c r="CZ208" s="584">
        <v>0</v>
      </c>
      <c r="DA208" s="584">
        <v>0</v>
      </c>
      <c r="DB208" s="584">
        <v>0</v>
      </c>
      <c r="DC208" s="584">
        <v>0</v>
      </c>
      <c r="DD208" s="584">
        <v>0</v>
      </c>
      <c r="DE208" s="584">
        <v>0</v>
      </c>
      <c r="DF208" s="584">
        <v>0.7</v>
      </c>
      <c r="DG208" s="584">
        <v>0.2</v>
      </c>
      <c r="DH208" s="584">
        <v>543.82835950127003</v>
      </c>
      <c r="DI208" s="584">
        <v>24.082107365504498</v>
      </c>
      <c r="DJ208" s="584">
        <v>300</v>
      </c>
      <c r="DK208" s="584">
        <v>0</v>
      </c>
      <c r="DL208" s="584">
        <v>0</v>
      </c>
      <c r="DM208" s="584">
        <v>0</v>
      </c>
      <c r="DN208" s="584">
        <v>0</v>
      </c>
      <c r="DO208" s="584">
        <v>0</v>
      </c>
      <c r="DP208" s="584">
        <v>0</v>
      </c>
      <c r="DQ208" s="584">
        <v>0</v>
      </c>
      <c r="DR208" s="584">
        <v>0.7</v>
      </c>
      <c r="DS208" s="584">
        <v>0</v>
      </c>
      <c r="DT208" s="584">
        <v>2.4</v>
      </c>
      <c r="DU208" s="584">
        <v>379.49374999999998</v>
      </c>
      <c r="DV208" s="584">
        <v>112</v>
      </c>
      <c r="DW208" s="584">
        <v>679.48074999999994</v>
      </c>
      <c r="DX208" s="584">
        <v>235.2</v>
      </c>
      <c r="DY208" s="584">
        <v>1094.7360000000001</v>
      </c>
      <c r="DZ208" s="584">
        <v>492.8</v>
      </c>
      <c r="EA208" s="1062">
        <v>1.0270999999999999</v>
      </c>
      <c r="EB208" s="1046">
        <v>0.45</v>
      </c>
      <c r="EC208" s="1093">
        <v>132.51783893985726</v>
      </c>
      <c r="ED208" s="1046">
        <v>0</v>
      </c>
      <c r="EE208" s="1046">
        <v>581.03975535168195</v>
      </c>
      <c r="EF208" s="1046">
        <v>46.871428571428574</v>
      </c>
      <c r="EG208" s="1046">
        <v>0</v>
      </c>
      <c r="EH208" s="1046">
        <v>0</v>
      </c>
      <c r="EI208" s="1046" t="s">
        <v>418</v>
      </c>
      <c r="EJ208" s="1046" t="s">
        <v>420</v>
      </c>
      <c r="EK208" s="1046">
        <v>0</v>
      </c>
      <c r="EL208" s="1046">
        <v>0</v>
      </c>
      <c r="EM208" s="1046">
        <v>0</v>
      </c>
      <c r="EN208" s="1046">
        <v>0</v>
      </c>
      <c r="EO208" s="1046">
        <v>0</v>
      </c>
      <c r="EP208" s="1094">
        <v>231.274644</v>
      </c>
      <c r="EQ208" s="1094">
        <v>112</v>
      </c>
      <c r="ER208" s="1094">
        <v>462.54928799999999</v>
      </c>
      <c r="ES208" s="1095">
        <v>224</v>
      </c>
      <c r="ET208" s="1094">
        <v>925.09857599999998</v>
      </c>
      <c r="EU208" s="1094">
        <v>448</v>
      </c>
      <c r="EV208" s="1096">
        <v>0.83350000000000002</v>
      </c>
      <c r="EW208" s="1097">
        <v>0.15</v>
      </c>
      <c r="EX208" s="1096">
        <v>289.50050968399592</v>
      </c>
      <c r="EY208" s="1096">
        <v>1.5443934760448521</v>
      </c>
      <c r="EZ208" s="1096">
        <v>0</v>
      </c>
      <c r="FA208" s="1096">
        <v>35.307142857142857</v>
      </c>
      <c r="FB208" s="1098">
        <v>0</v>
      </c>
      <c r="FC208" s="1098">
        <v>0</v>
      </c>
      <c r="FD208" s="1098" t="s">
        <v>394</v>
      </c>
      <c r="FE208" s="1098" t="s">
        <v>410</v>
      </c>
      <c r="FF208" s="1098">
        <v>2</v>
      </c>
      <c r="FG208" s="1098">
        <v>0</v>
      </c>
      <c r="FH208" s="1098">
        <v>0</v>
      </c>
      <c r="FI208" s="1098">
        <v>0</v>
      </c>
      <c r="FJ208" s="1098">
        <v>0</v>
      </c>
      <c r="FK208" s="1096">
        <v>115.12238000000001</v>
      </c>
      <c r="FL208" s="1096">
        <v>112</v>
      </c>
      <c r="FM208" s="1096">
        <v>230.24476000000001</v>
      </c>
      <c r="FN208" s="1096">
        <v>224</v>
      </c>
      <c r="FO208" s="1096">
        <v>460.48952000000003</v>
      </c>
      <c r="FP208" s="1099">
        <v>448</v>
      </c>
      <c r="FQ208" s="1064">
        <v>1.2056</v>
      </c>
      <c r="FR208" s="1065">
        <v>0.15</v>
      </c>
      <c r="FS208" s="1066">
        <v>289.50050968399586</v>
      </c>
      <c r="FT208" s="1066">
        <v>3.1935353236673123</v>
      </c>
      <c r="FU208" s="1065"/>
      <c r="FV208" s="1066">
        <v>75.526771106221005</v>
      </c>
      <c r="FW208" s="1065"/>
      <c r="FX208" s="1065"/>
      <c r="FY208" s="1065" t="s">
        <v>387</v>
      </c>
      <c r="FZ208" s="1065" t="s">
        <v>1102</v>
      </c>
      <c r="GA208" s="1065">
        <v>3</v>
      </c>
      <c r="GB208" s="1065"/>
      <c r="GC208" s="1065"/>
      <c r="GD208" s="1065"/>
      <c r="GE208" s="1065"/>
      <c r="GF208" s="1066">
        <v>123.54289377016171</v>
      </c>
      <c r="GG208" s="1066">
        <v>112</v>
      </c>
      <c r="GH208" s="1066">
        <v>247.08578754032342</v>
      </c>
      <c r="GI208" s="1066">
        <v>224</v>
      </c>
      <c r="GJ208" s="1066">
        <v>494.17157508064685</v>
      </c>
      <c r="GK208" s="1066">
        <v>448</v>
      </c>
      <c r="GL208" s="584">
        <v>1.0329999999999999</v>
      </c>
      <c r="GM208" s="584">
        <v>0.13</v>
      </c>
      <c r="GN208" s="584"/>
      <c r="GO208" s="584"/>
      <c r="GP208" s="584"/>
      <c r="GQ208" s="584">
        <v>58.296428571428599</v>
      </c>
      <c r="GR208" s="584"/>
      <c r="GS208" s="584">
        <v>66.2589194699286</v>
      </c>
      <c r="GT208" s="584" t="s">
        <v>408</v>
      </c>
      <c r="GU208" s="584" t="s">
        <v>375</v>
      </c>
      <c r="GV208" s="584">
        <v>1</v>
      </c>
      <c r="GW208" s="584"/>
      <c r="GX208" s="584"/>
      <c r="GY208" s="584"/>
      <c r="GZ208" s="584"/>
      <c r="HA208" s="584">
        <v>56.612862999999997</v>
      </c>
      <c r="HB208" s="584">
        <v>112</v>
      </c>
      <c r="HC208" s="584">
        <v>113.22572599999999</v>
      </c>
      <c r="HD208" s="584">
        <v>224</v>
      </c>
      <c r="HE208" s="584">
        <v>226.45145199999999</v>
      </c>
      <c r="HF208" s="584">
        <v>448</v>
      </c>
      <c r="HG208" s="1100">
        <v>1.6700000000000002</v>
      </c>
      <c r="HH208" s="1100">
        <v>0.11</v>
      </c>
      <c r="HI208" s="1101">
        <v>0</v>
      </c>
      <c r="HJ208" s="1101">
        <v>0</v>
      </c>
      <c r="HK208" s="1101">
        <v>0</v>
      </c>
      <c r="HL208" s="1101">
        <v>0</v>
      </c>
      <c r="HM208" s="1101">
        <v>88.122857142857129</v>
      </c>
      <c r="HN208" s="1101">
        <v>54.999999999999993</v>
      </c>
      <c r="HO208" s="1101">
        <v>0</v>
      </c>
      <c r="HP208" s="1101">
        <v>0</v>
      </c>
      <c r="HQ208" s="1101">
        <v>3</v>
      </c>
      <c r="HR208" s="1101">
        <v>1.56</v>
      </c>
      <c r="HS208" s="1101">
        <v>1.1599999999999999</v>
      </c>
      <c r="HT208" s="1101">
        <v>0.3</v>
      </c>
      <c r="HU208" s="1101">
        <v>0.28000000000000003</v>
      </c>
      <c r="HV208" s="1101">
        <v>61.712986400000005</v>
      </c>
      <c r="HW208" s="1101">
        <v>112</v>
      </c>
      <c r="HX208" s="1101">
        <v>123.42597280000001</v>
      </c>
      <c r="HY208" s="1101">
        <v>224</v>
      </c>
      <c r="HZ208" s="1101">
        <v>246.85194560000002</v>
      </c>
      <c r="IA208" s="1101">
        <v>448</v>
      </c>
      <c r="IB208" s="1062"/>
      <c r="ID208" s="1050"/>
      <c r="IE208" s="1050"/>
      <c r="IM208" s="1050"/>
      <c r="IN208" s="1050"/>
      <c r="IO208" s="1050"/>
      <c r="IP208" s="1050"/>
      <c r="JU208" s="1050"/>
      <c r="KC208" s="1050"/>
      <c r="KD208" s="1050"/>
      <c r="KE208" s="1050"/>
      <c r="KF208" s="1050"/>
      <c r="KN208" s="1103"/>
    </row>
    <row r="209" spans="2:300">
      <c r="B209" s="1048" t="str">
        <f t="shared" si="6"/>
        <v>E815</v>
      </c>
      <c r="C209" s="1046">
        <v>8</v>
      </c>
      <c r="D209" s="1092">
        <v>15</v>
      </c>
      <c r="E209" s="584">
        <v>0</v>
      </c>
      <c r="F209" s="584">
        <v>0</v>
      </c>
      <c r="G209" s="584">
        <v>0</v>
      </c>
      <c r="H209" s="584">
        <v>0</v>
      </c>
      <c r="I209" s="584">
        <v>0</v>
      </c>
      <c r="J209" s="584">
        <v>0</v>
      </c>
      <c r="K209" s="584">
        <v>0</v>
      </c>
      <c r="L209" s="584">
        <v>0</v>
      </c>
      <c r="M209" s="584">
        <v>0</v>
      </c>
      <c r="N209" s="584">
        <v>0</v>
      </c>
      <c r="O209" s="584">
        <v>0</v>
      </c>
      <c r="P209" s="584">
        <v>0</v>
      </c>
      <c r="Q209" s="584">
        <v>0</v>
      </c>
      <c r="R209" s="584">
        <v>0</v>
      </c>
      <c r="S209" s="584">
        <v>0</v>
      </c>
      <c r="T209" s="584">
        <v>0</v>
      </c>
      <c r="U209" s="584">
        <v>0</v>
      </c>
      <c r="V209" s="584">
        <v>0</v>
      </c>
      <c r="W209" s="584">
        <v>0</v>
      </c>
      <c r="X209" s="584">
        <v>0</v>
      </c>
      <c r="Y209" s="584">
        <v>0</v>
      </c>
      <c r="Z209" s="584">
        <v>0</v>
      </c>
      <c r="AA209" s="584">
        <v>0</v>
      </c>
      <c r="AB209" s="584">
        <v>0</v>
      </c>
      <c r="AC209" s="584">
        <v>0</v>
      </c>
      <c r="AD209" s="584">
        <v>0</v>
      </c>
      <c r="AE209" s="584">
        <v>0</v>
      </c>
      <c r="AF209" s="584">
        <v>0</v>
      </c>
      <c r="AG209" s="584">
        <v>0</v>
      </c>
      <c r="AH209" s="584">
        <v>0</v>
      </c>
      <c r="AI209" s="584">
        <v>0</v>
      </c>
      <c r="AJ209" s="584">
        <v>0</v>
      </c>
      <c r="AK209" s="584">
        <v>0</v>
      </c>
      <c r="AL209" s="584">
        <v>0</v>
      </c>
      <c r="AM209" s="584">
        <v>0</v>
      </c>
      <c r="AN209" s="584">
        <v>0</v>
      </c>
      <c r="AO209" s="584">
        <v>0</v>
      </c>
      <c r="AP209" s="584">
        <v>0</v>
      </c>
      <c r="AQ209" s="584">
        <v>0</v>
      </c>
      <c r="AR209" s="584">
        <v>0</v>
      </c>
      <c r="AS209" s="584">
        <v>0</v>
      </c>
      <c r="AT209" s="584">
        <v>0</v>
      </c>
      <c r="AU209" s="584">
        <v>0</v>
      </c>
      <c r="AV209" s="584">
        <v>0</v>
      </c>
      <c r="AW209" s="584">
        <v>0</v>
      </c>
      <c r="AX209" s="584">
        <v>0</v>
      </c>
      <c r="AY209" s="584">
        <v>0</v>
      </c>
      <c r="AZ209" s="584">
        <v>0</v>
      </c>
      <c r="BA209" s="584">
        <v>0</v>
      </c>
      <c r="BB209" s="584">
        <v>0</v>
      </c>
      <c r="BC209" s="584">
        <v>0</v>
      </c>
      <c r="BD209" s="584">
        <v>0</v>
      </c>
      <c r="BE209" s="584">
        <v>0</v>
      </c>
      <c r="BF209" s="584">
        <v>0</v>
      </c>
      <c r="BG209" s="584">
        <v>0</v>
      </c>
      <c r="BH209" s="584">
        <v>0</v>
      </c>
      <c r="BI209" s="584">
        <v>0</v>
      </c>
      <c r="BJ209" s="584">
        <v>0</v>
      </c>
      <c r="BK209" s="584">
        <v>0</v>
      </c>
      <c r="BL209" s="584">
        <v>0</v>
      </c>
      <c r="BM209" s="584">
        <v>0</v>
      </c>
      <c r="BN209" s="584">
        <v>0</v>
      </c>
      <c r="BO209" s="584">
        <v>0</v>
      </c>
      <c r="BP209" s="584">
        <v>0</v>
      </c>
      <c r="BQ209" s="584">
        <v>0</v>
      </c>
      <c r="BR209" s="584">
        <v>0</v>
      </c>
      <c r="BS209" s="584">
        <v>0</v>
      </c>
      <c r="BT209" s="584">
        <v>0</v>
      </c>
      <c r="BU209" s="584">
        <v>0</v>
      </c>
      <c r="BV209" s="584">
        <v>0</v>
      </c>
      <c r="BW209" s="584">
        <v>0</v>
      </c>
      <c r="BX209" s="584">
        <v>0</v>
      </c>
      <c r="BY209" s="584">
        <v>0</v>
      </c>
      <c r="BZ209" s="584">
        <v>0</v>
      </c>
      <c r="CA209" s="584">
        <v>0</v>
      </c>
      <c r="CB209" s="584">
        <v>0</v>
      </c>
      <c r="CC209" s="584">
        <v>0</v>
      </c>
      <c r="CD209" s="584">
        <v>0</v>
      </c>
      <c r="CE209" s="584">
        <v>0</v>
      </c>
      <c r="CF209" s="584">
        <v>0</v>
      </c>
      <c r="CG209" s="584">
        <v>0</v>
      </c>
      <c r="CH209" s="584">
        <v>0</v>
      </c>
      <c r="CI209" s="584">
        <v>0</v>
      </c>
      <c r="CJ209" s="584">
        <v>0</v>
      </c>
      <c r="CK209" s="584">
        <v>0</v>
      </c>
      <c r="CL209" s="584">
        <v>0</v>
      </c>
      <c r="CM209" s="584">
        <v>0</v>
      </c>
      <c r="CN209" s="584">
        <v>0</v>
      </c>
      <c r="CO209" s="584">
        <v>0</v>
      </c>
      <c r="CP209" s="584">
        <v>0</v>
      </c>
      <c r="CQ209" s="584">
        <v>0</v>
      </c>
      <c r="CR209" s="584">
        <v>0</v>
      </c>
      <c r="CS209" s="584">
        <v>0</v>
      </c>
      <c r="CT209" s="584">
        <v>0</v>
      </c>
      <c r="CU209" s="584">
        <v>0</v>
      </c>
      <c r="CV209" s="584">
        <v>0</v>
      </c>
      <c r="CW209" s="584">
        <v>0</v>
      </c>
      <c r="CX209" s="584">
        <v>0</v>
      </c>
      <c r="CY209" s="584">
        <v>0</v>
      </c>
      <c r="CZ209" s="584">
        <v>0</v>
      </c>
      <c r="DA209" s="584">
        <v>0</v>
      </c>
      <c r="DB209" s="584">
        <v>0</v>
      </c>
      <c r="DC209" s="584">
        <v>0</v>
      </c>
      <c r="DD209" s="584">
        <v>0</v>
      </c>
      <c r="DE209" s="584">
        <v>0</v>
      </c>
      <c r="DF209" s="584">
        <v>0</v>
      </c>
      <c r="DG209" s="584">
        <v>0</v>
      </c>
      <c r="DH209" s="584">
        <v>0</v>
      </c>
      <c r="DI209" s="584">
        <v>0</v>
      </c>
      <c r="DJ209" s="584">
        <v>0</v>
      </c>
      <c r="DK209" s="584">
        <v>0</v>
      </c>
      <c r="DL209" s="584">
        <v>0</v>
      </c>
      <c r="DM209" s="584">
        <v>0</v>
      </c>
      <c r="DN209" s="584">
        <v>0</v>
      </c>
      <c r="DO209" s="584">
        <v>0</v>
      </c>
      <c r="DP209" s="584">
        <v>0</v>
      </c>
      <c r="DQ209" s="584">
        <v>0</v>
      </c>
      <c r="DR209" s="584">
        <v>0</v>
      </c>
      <c r="DS209" s="584">
        <v>0</v>
      </c>
      <c r="DT209" s="584">
        <v>0</v>
      </c>
      <c r="DU209" s="584">
        <v>0</v>
      </c>
      <c r="DV209" s="584">
        <v>0</v>
      </c>
      <c r="DW209" s="584">
        <v>0</v>
      </c>
      <c r="DX209" s="584">
        <v>0</v>
      </c>
      <c r="DY209" s="584">
        <v>0</v>
      </c>
      <c r="DZ209" s="584">
        <v>0</v>
      </c>
      <c r="EA209" s="1062">
        <v>0</v>
      </c>
      <c r="EB209" s="1046">
        <v>0</v>
      </c>
      <c r="EC209" s="1093">
        <v>0</v>
      </c>
      <c r="ED209" s="1046">
        <v>0</v>
      </c>
      <c r="EE209" s="1046">
        <v>0</v>
      </c>
      <c r="EF209" s="1046">
        <v>0</v>
      </c>
      <c r="EG209" s="1046">
        <v>0</v>
      </c>
      <c r="EH209" s="1046">
        <v>0</v>
      </c>
      <c r="EI209" s="1046">
        <v>0</v>
      </c>
      <c r="EJ209" s="1046">
        <v>0</v>
      </c>
      <c r="EK209" s="1046">
        <v>0</v>
      </c>
      <c r="EL209" s="1046">
        <v>0</v>
      </c>
      <c r="EM209" s="1046">
        <v>0</v>
      </c>
      <c r="EN209" s="1046">
        <v>0</v>
      </c>
      <c r="EO209" s="1046">
        <v>0</v>
      </c>
      <c r="EP209" s="1094">
        <v>0</v>
      </c>
      <c r="EQ209" s="1094">
        <v>0</v>
      </c>
      <c r="ER209" s="1094">
        <v>0</v>
      </c>
      <c r="ES209" s="1095">
        <v>0</v>
      </c>
      <c r="ET209" s="1094">
        <v>0</v>
      </c>
      <c r="EU209" s="1094">
        <v>0</v>
      </c>
      <c r="EV209" s="1096">
        <v>0.83350000000000002</v>
      </c>
      <c r="EW209" s="1097">
        <v>0.15</v>
      </c>
      <c r="EX209" s="1096">
        <v>289.50050968399592</v>
      </c>
      <c r="EY209" s="1096">
        <v>1.5443934760448521</v>
      </c>
      <c r="EZ209" s="1096">
        <v>0</v>
      </c>
      <c r="FA209" s="1096">
        <v>34.64</v>
      </c>
      <c r="FB209" s="1098">
        <v>0</v>
      </c>
      <c r="FC209" s="1098">
        <v>0</v>
      </c>
      <c r="FD209" s="1098" t="s">
        <v>394</v>
      </c>
      <c r="FE209" s="1098" t="s">
        <v>410</v>
      </c>
      <c r="FF209" s="1098">
        <v>2</v>
      </c>
      <c r="FG209" s="1098">
        <v>0</v>
      </c>
      <c r="FH209" s="1098">
        <v>0</v>
      </c>
      <c r="FI209" s="1098">
        <v>0</v>
      </c>
      <c r="FJ209" s="1098">
        <v>0</v>
      </c>
      <c r="FK209" s="1096">
        <v>123.149067</v>
      </c>
      <c r="FL209" s="1096">
        <v>120</v>
      </c>
      <c r="FM209" s="1096">
        <v>246.298134</v>
      </c>
      <c r="FN209" s="1096">
        <v>240</v>
      </c>
      <c r="FO209" s="1096">
        <v>492.59626800000001</v>
      </c>
      <c r="FP209" s="1099">
        <v>480</v>
      </c>
      <c r="FQ209" s="1064">
        <v>1.2170799999999999</v>
      </c>
      <c r="FR209" s="1065">
        <v>0.15</v>
      </c>
      <c r="FS209" s="1066">
        <v>289.50050968399586</v>
      </c>
      <c r="FT209" s="1066">
        <v>3.1935353236673123</v>
      </c>
      <c r="FU209" s="1065"/>
      <c r="FV209" s="1066">
        <v>88.223905459610521</v>
      </c>
      <c r="FW209" s="1065"/>
      <c r="FX209" s="1065"/>
      <c r="FY209" s="1065" t="s">
        <v>385</v>
      </c>
      <c r="FZ209" s="1065" t="s">
        <v>408</v>
      </c>
      <c r="GA209" s="1065">
        <v>3</v>
      </c>
      <c r="GB209" s="1065"/>
      <c r="GC209" s="1065"/>
      <c r="GD209" s="1065"/>
      <c r="GE209" s="1065"/>
      <c r="GF209" s="1066">
        <v>136.10415282251864</v>
      </c>
      <c r="GG209" s="1066">
        <v>120</v>
      </c>
      <c r="GH209" s="1066">
        <v>272.20830564503729</v>
      </c>
      <c r="GI209" s="1066">
        <v>240</v>
      </c>
      <c r="GJ209" s="1066">
        <v>544.41661129007457</v>
      </c>
      <c r="GK209" s="1066">
        <v>480</v>
      </c>
      <c r="GL209" s="584">
        <v>1.1003000000000001</v>
      </c>
      <c r="GM209" s="584">
        <v>0.13</v>
      </c>
      <c r="GN209" s="584"/>
      <c r="GO209" s="584"/>
      <c r="GP209" s="584"/>
      <c r="GQ209" s="584">
        <v>63.84</v>
      </c>
      <c r="GR209" s="584"/>
      <c r="GS209" s="584">
        <v>66.2589194699286</v>
      </c>
      <c r="GT209" s="584" t="s">
        <v>406</v>
      </c>
      <c r="GU209" s="584" t="s">
        <v>351</v>
      </c>
      <c r="GV209" s="584">
        <v>1</v>
      </c>
      <c r="GW209" s="584"/>
      <c r="GX209" s="584"/>
      <c r="GY209" s="584"/>
      <c r="GZ209" s="584"/>
      <c r="HA209" s="584">
        <v>62.288111999999998</v>
      </c>
      <c r="HB209" s="584">
        <v>120</v>
      </c>
      <c r="HC209" s="584">
        <v>124.576224</v>
      </c>
      <c r="HD209" s="584">
        <v>240</v>
      </c>
      <c r="HE209" s="584">
        <v>249.15244799999999</v>
      </c>
      <c r="HF209" s="584">
        <v>480</v>
      </c>
      <c r="HG209" s="1100">
        <v>1.79</v>
      </c>
      <c r="HH209" s="1100">
        <v>0.11</v>
      </c>
      <c r="HI209" s="1101">
        <v>0</v>
      </c>
      <c r="HJ209" s="1101">
        <v>0</v>
      </c>
      <c r="HK209" s="1101">
        <v>0</v>
      </c>
      <c r="HL209" s="1101">
        <v>0</v>
      </c>
      <c r="HM209" s="1101">
        <v>98.820000000000007</v>
      </c>
      <c r="HN209" s="1101">
        <v>54.999999999999993</v>
      </c>
      <c r="HO209" s="1101">
        <v>0</v>
      </c>
      <c r="HP209" s="1101">
        <v>0</v>
      </c>
      <c r="HQ209" s="1101">
        <v>3</v>
      </c>
      <c r="HR209" s="1101">
        <v>1.68</v>
      </c>
      <c r="HS209" s="1101">
        <v>1.24</v>
      </c>
      <c r="HT209" s="1101">
        <v>0.3</v>
      </c>
      <c r="HU209" s="1101">
        <v>0.3</v>
      </c>
      <c r="HV209" s="1101">
        <v>69.269226000000003</v>
      </c>
      <c r="HW209" s="1101">
        <v>120</v>
      </c>
      <c r="HX209" s="1101">
        <v>138.53845200000001</v>
      </c>
      <c r="HY209" s="1101">
        <v>240</v>
      </c>
      <c r="HZ209" s="1101">
        <v>277.07690400000001</v>
      </c>
      <c r="IA209" s="1101">
        <v>480</v>
      </c>
      <c r="IB209" s="1062"/>
      <c r="ID209" s="1050"/>
      <c r="IE209" s="1050"/>
      <c r="IM209" s="1050"/>
      <c r="IN209" s="1050"/>
      <c r="IO209" s="1050"/>
      <c r="IP209" s="1050"/>
      <c r="JU209" s="1050"/>
      <c r="KC209" s="1050"/>
      <c r="KD209" s="1050"/>
      <c r="KE209" s="1050"/>
      <c r="KF209" s="1050"/>
      <c r="KN209" s="1103"/>
    </row>
    <row r="210" spans="2:300">
      <c r="B210" s="1048" t="str">
        <f t="shared" si="6"/>
        <v>E816</v>
      </c>
      <c r="C210" s="1046">
        <v>8</v>
      </c>
      <c r="D210" s="1092">
        <v>16</v>
      </c>
      <c r="E210" s="584">
        <v>0</v>
      </c>
      <c r="F210" s="584">
        <v>0</v>
      </c>
      <c r="G210" s="584">
        <v>0</v>
      </c>
      <c r="H210" s="584">
        <v>0</v>
      </c>
      <c r="I210" s="584">
        <v>0</v>
      </c>
      <c r="J210" s="584">
        <v>0</v>
      </c>
      <c r="K210" s="584">
        <v>0</v>
      </c>
      <c r="L210" s="584">
        <v>0</v>
      </c>
      <c r="M210" s="584">
        <v>0</v>
      </c>
      <c r="N210" s="584">
        <v>0</v>
      </c>
      <c r="O210" s="584">
        <v>0</v>
      </c>
      <c r="P210" s="584">
        <v>0</v>
      </c>
      <c r="Q210" s="584">
        <v>0</v>
      </c>
      <c r="R210" s="584">
        <v>0</v>
      </c>
      <c r="S210" s="584">
        <v>0</v>
      </c>
      <c r="T210" s="584">
        <v>0</v>
      </c>
      <c r="U210" s="584">
        <v>0</v>
      </c>
      <c r="V210" s="584">
        <v>0</v>
      </c>
      <c r="W210" s="584">
        <v>0</v>
      </c>
      <c r="X210" s="584">
        <v>0</v>
      </c>
      <c r="Y210" s="584">
        <v>0</v>
      </c>
      <c r="Z210" s="584">
        <v>0</v>
      </c>
      <c r="AA210" s="584">
        <v>0</v>
      </c>
      <c r="AB210" s="584">
        <v>0</v>
      </c>
      <c r="AC210" s="584">
        <v>0</v>
      </c>
      <c r="AD210" s="584">
        <v>0</v>
      </c>
      <c r="AE210" s="584">
        <v>0</v>
      </c>
      <c r="AF210" s="584">
        <v>0</v>
      </c>
      <c r="AG210" s="584">
        <v>0</v>
      </c>
      <c r="AH210" s="584">
        <v>0</v>
      </c>
      <c r="AI210" s="584">
        <v>0</v>
      </c>
      <c r="AJ210" s="584">
        <v>0</v>
      </c>
      <c r="AK210" s="584">
        <v>0</v>
      </c>
      <c r="AL210" s="584">
        <v>0</v>
      </c>
      <c r="AM210" s="584">
        <v>0</v>
      </c>
      <c r="AN210" s="584">
        <v>0</v>
      </c>
      <c r="AO210" s="584">
        <v>164.3214375</v>
      </c>
      <c r="AP210" s="584">
        <v>128</v>
      </c>
      <c r="AQ210" s="584">
        <v>245.63343750000001</v>
      </c>
      <c r="AR210" s="584">
        <v>268.8</v>
      </c>
      <c r="AS210" s="584">
        <v>121.631</v>
      </c>
      <c r="AT210" s="584">
        <v>563.20000000000005</v>
      </c>
      <c r="AU210" s="584">
        <v>0</v>
      </c>
      <c r="AV210" s="584">
        <v>0</v>
      </c>
      <c r="AW210" s="584">
        <v>0</v>
      </c>
      <c r="AX210" s="584">
        <v>0</v>
      </c>
      <c r="AY210" s="584">
        <v>0</v>
      </c>
      <c r="AZ210" s="584">
        <v>0</v>
      </c>
      <c r="BA210" s="584">
        <v>0</v>
      </c>
      <c r="BB210" s="584">
        <v>0</v>
      </c>
      <c r="BC210" s="584">
        <v>0</v>
      </c>
      <c r="BD210" s="584">
        <v>0</v>
      </c>
      <c r="BE210" s="584">
        <v>0</v>
      </c>
      <c r="BF210" s="584">
        <v>0</v>
      </c>
      <c r="BG210" s="584">
        <v>0</v>
      </c>
      <c r="BH210" s="584">
        <v>0</v>
      </c>
      <c r="BI210" s="584">
        <v>0</v>
      </c>
      <c r="BJ210" s="584">
        <v>0</v>
      </c>
      <c r="BK210" s="584">
        <v>0</v>
      </c>
      <c r="BL210" s="584">
        <v>0</v>
      </c>
      <c r="BM210" s="584">
        <v>0</v>
      </c>
      <c r="BN210" s="584">
        <v>0</v>
      </c>
      <c r="BO210" s="584">
        <v>0</v>
      </c>
      <c r="BP210" s="584">
        <v>0</v>
      </c>
      <c r="BQ210" s="584">
        <v>0</v>
      </c>
      <c r="BR210" s="584">
        <v>0</v>
      </c>
      <c r="BS210" s="584">
        <v>0</v>
      </c>
      <c r="BT210" s="584">
        <v>0</v>
      </c>
      <c r="BU210" s="584">
        <v>0</v>
      </c>
      <c r="BV210" s="584">
        <v>0</v>
      </c>
      <c r="BW210" s="584">
        <v>0</v>
      </c>
      <c r="BX210" s="584">
        <v>0</v>
      </c>
      <c r="BY210" s="584">
        <v>0</v>
      </c>
      <c r="BZ210" s="584">
        <v>0</v>
      </c>
      <c r="CA210" s="584">
        <v>0</v>
      </c>
      <c r="CB210" s="584">
        <v>0</v>
      </c>
      <c r="CC210" s="584">
        <v>0</v>
      </c>
      <c r="CD210" s="584">
        <v>0</v>
      </c>
      <c r="CE210" s="584">
        <v>0</v>
      </c>
      <c r="CF210" s="584">
        <v>0</v>
      </c>
      <c r="CG210" s="584">
        <v>0</v>
      </c>
      <c r="CH210" s="584">
        <v>0</v>
      </c>
      <c r="CI210" s="584">
        <v>0</v>
      </c>
      <c r="CJ210" s="584">
        <v>0</v>
      </c>
      <c r="CK210" s="584">
        <v>0</v>
      </c>
      <c r="CL210" s="584">
        <v>0</v>
      </c>
      <c r="CM210" s="584">
        <v>0</v>
      </c>
      <c r="CN210" s="584">
        <v>0</v>
      </c>
      <c r="CO210" s="584">
        <v>0</v>
      </c>
      <c r="CP210" s="584">
        <v>0</v>
      </c>
      <c r="CQ210" s="584">
        <v>0</v>
      </c>
      <c r="CR210" s="584">
        <v>0</v>
      </c>
      <c r="CS210" s="584">
        <v>0</v>
      </c>
      <c r="CT210" s="584">
        <v>0</v>
      </c>
      <c r="CU210" s="584">
        <v>0</v>
      </c>
      <c r="CV210" s="584">
        <v>0</v>
      </c>
      <c r="CW210" s="584">
        <v>0</v>
      </c>
      <c r="CX210" s="584">
        <v>0</v>
      </c>
      <c r="CY210" s="584">
        <v>0</v>
      </c>
      <c r="CZ210" s="584">
        <v>0</v>
      </c>
      <c r="DA210" s="584">
        <v>0</v>
      </c>
      <c r="DB210" s="584">
        <v>0</v>
      </c>
      <c r="DC210" s="584">
        <v>0</v>
      </c>
      <c r="DD210" s="584">
        <v>0</v>
      </c>
      <c r="DE210" s="584">
        <v>0</v>
      </c>
      <c r="DF210" s="584">
        <v>0</v>
      </c>
      <c r="DG210" s="584">
        <v>0</v>
      </c>
      <c r="DH210" s="584">
        <v>0</v>
      </c>
      <c r="DI210" s="584">
        <v>0</v>
      </c>
      <c r="DJ210" s="584">
        <v>0</v>
      </c>
      <c r="DK210" s="584">
        <v>0</v>
      </c>
      <c r="DL210" s="584">
        <v>0</v>
      </c>
      <c r="DM210" s="584">
        <v>0</v>
      </c>
      <c r="DN210" s="584">
        <v>0</v>
      </c>
      <c r="DO210" s="584">
        <v>0</v>
      </c>
      <c r="DP210" s="584">
        <v>0</v>
      </c>
      <c r="DQ210" s="584">
        <v>0</v>
      </c>
      <c r="DR210" s="584">
        <v>0</v>
      </c>
      <c r="DS210" s="584">
        <v>0</v>
      </c>
      <c r="DT210" s="584">
        <v>0</v>
      </c>
      <c r="DU210" s="584">
        <v>0</v>
      </c>
      <c r="DV210" s="584">
        <v>0</v>
      </c>
      <c r="DW210" s="584">
        <v>0</v>
      </c>
      <c r="DX210" s="584">
        <v>0</v>
      </c>
      <c r="DY210" s="584">
        <v>0</v>
      </c>
      <c r="DZ210" s="584">
        <v>0</v>
      </c>
      <c r="EA210" s="1062">
        <v>0</v>
      </c>
      <c r="EB210" s="1046">
        <v>0</v>
      </c>
      <c r="EC210" s="1093">
        <v>0</v>
      </c>
      <c r="ED210" s="1046">
        <v>0</v>
      </c>
      <c r="EE210" s="1046">
        <v>0</v>
      </c>
      <c r="EF210" s="1046">
        <v>0</v>
      </c>
      <c r="EG210" s="1046">
        <v>0</v>
      </c>
      <c r="EH210" s="1046">
        <v>0</v>
      </c>
      <c r="EI210" s="1046">
        <v>0</v>
      </c>
      <c r="EJ210" s="1046">
        <v>0</v>
      </c>
      <c r="EK210" s="1046">
        <v>0</v>
      </c>
      <c r="EL210" s="1046">
        <v>0</v>
      </c>
      <c r="EM210" s="1046">
        <v>0</v>
      </c>
      <c r="EN210" s="1046">
        <v>0</v>
      </c>
      <c r="EO210" s="1046">
        <v>0</v>
      </c>
      <c r="EP210" s="1094">
        <v>0</v>
      </c>
      <c r="EQ210" s="1094">
        <v>0</v>
      </c>
      <c r="ER210" s="1094">
        <v>0</v>
      </c>
      <c r="ES210" s="1095">
        <v>0</v>
      </c>
      <c r="ET210" s="1094">
        <v>0</v>
      </c>
      <c r="EU210" s="1094">
        <v>0</v>
      </c>
      <c r="EV210" s="1096">
        <v>0.83750000000000002</v>
      </c>
      <c r="EW210" s="1097">
        <v>0.15</v>
      </c>
      <c r="EX210" s="1096">
        <v>289.50050968399592</v>
      </c>
      <c r="EY210" s="1096">
        <v>1.5443934760448521</v>
      </c>
      <c r="EZ210" s="1096">
        <v>0</v>
      </c>
      <c r="FA210" s="1096">
        <v>40.825000000000003</v>
      </c>
      <c r="FB210" s="1098">
        <v>0</v>
      </c>
      <c r="FC210" s="1098">
        <v>0</v>
      </c>
      <c r="FD210" s="1098" t="s">
        <v>392</v>
      </c>
      <c r="FE210" s="1098" t="s">
        <v>396</v>
      </c>
      <c r="FF210" s="1098">
        <v>2</v>
      </c>
      <c r="FG210" s="1098">
        <v>0</v>
      </c>
      <c r="FH210" s="1098">
        <v>0</v>
      </c>
      <c r="FI210" s="1098">
        <v>0</v>
      </c>
      <c r="FJ210" s="1098">
        <v>0</v>
      </c>
      <c r="FK210" s="1096">
        <v>133.3006</v>
      </c>
      <c r="FL210" s="1096">
        <v>128</v>
      </c>
      <c r="FM210" s="1096">
        <v>266.60120000000001</v>
      </c>
      <c r="FN210" s="1096">
        <v>256</v>
      </c>
      <c r="FO210" s="1096">
        <v>533.20240000000001</v>
      </c>
      <c r="FP210" s="1099">
        <v>512</v>
      </c>
      <c r="FQ210" s="1064">
        <v>1.3188599999999999</v>
      </c>
      <c r="FR210" s="1065">
        <v>0.15</v>
      </c>
      <c r="FS210" s="1066">
        <v>289.50050968399586</v>
      </c>
      <c r="FT210" s="1066">
        <v>3.1935353236673123</v>
      </c>
      <c r="FU210" s="1065"/>
      <c r="FV210" s="1066">
        <v>94.217025358786898</v>
      </c>
      <c r="FW210" s="1065"/>
      <c r="FX210" s="1065"/>
      <c r="FY210" s="1065" t="s">
        <v>381</v>
      </c>
      <c r="FZ210" s="1065" t="s">
        <v>396</v>
      </c>
      <c r="GA210" s="1065">
        <v>3</v>
      </c>
      <c r="GB210" s="1065"/>
      <c r="GC210" s="1065"/>
      <c r="GD210" s="1065"/>
      <c r="GE210" s="1065"/>
      <c r="GF210" s="1066">
        <v>147.05912320943602</v>
      </c>
      <c r="GG210" s="1066">
        <v>128</v>
      </c>
      <c r="GH210" s="1066">
        <v>294.11824641887205</v>
      </c>
      <c r="GI210" s="1066">
        <v>256</v>
      </c>
      <c r="GJ210" s="1066">
        <v>588.23649283774409</v>
      </c>
      <c r="GK210" s="1066">
        <v>512</v>
      </c>
      <c r="GL210" s="584">
        <v>1.1201000000000001</v>
      </c>
      <c r="GM210" s="584">
        <v>0.13</v>
      </c>
      <c r="GN210" s="584"/>
      <c r="GO210" s="584"/>
      <c r="GP210" s="584"/>
      <c r="GQ210" s="584">
        <v>75.893749999999997</v>
      </c>
      <c r="GR210" s="584"/>
      <c r="GS210" s="584">
        <v>66.2589194699286</v>
      </c>
      <c r="GT210" s="584" t="s">
        <v>406</v>
      </c>
      <c r="GU210" s="584" t="s">
        <v>347</v>
      </c>
      <c r="GV210" s="584">
        <v>1</v>
      </c>
      <c r="GW210" s="584"/>
      <c r="GX210" s="584"/>
      <c r="GY210" s="584"/>
      <c r="GZ210" s="584"/>
      <c r="HA210" s="584">
        <v>70.224565999999996</v>
      </c>
      <c r="HB210" s="584">
        <v>128</v>
      </c>
      <c r="HC210" s="584">
        <v>140.44913199999999</v>
      </c>
      <c r="HD210" s="584">
        <v>256</v>
      </c>
      <c r="HE210" s="584">
        <v>280.89826399999998</v>
      </c>
      <c r="HF210" s="584">
        <v>512</v>
      </c>
      <c r="HG210" s="1100">
        <v>1.9100000000000001</v>
      </c>
      <c r="HH210" s="1100">
        <v>0.11</v>
      </c>
      <c r="HI210" s="1101">
        <v>0</v>
      </c>
      <c r="HJ210" s="1101">
        <v>0</v>
      </c>
      <c r="HK210" s="1101">
        <v>0</v>
      </c>
      <c r="HL210" s="1101">
        <v>0</v>
      </c>
      <c r="HM210" s="1101">
        <v>106.98750000000001</v>
      </c>
      <c r="HN210" s="1101">
        <v>54.999999999999993</v>
      </c>
      <c r="HO210" s="1101">
        <v>0</v>
      </c>
      <c r="HP210" s="1101">
        <v>0</v>
      </c>
      <c r="HQ210" s="1101">
        <v>3</v>
      </c>
      <c r="HR210" s="1101">
        <v>1.8</v>
      </c>
      <c r="HS210" s="1101">
        <v>1.36</v>
      </c>
      <c r="HT210" s="1101">
        <v>0.3</v>
      </c>
      <c r="HU210" s="1101">
        <v>0.3</v>
      </c>
      <c r="HV210" s="1101">
        <v>76.451116000000013</v>
      </c>
      <c r="HW210" s="1101">
        <v>128</v>
      </c>
      <c r="HX210" s="1101">
        <v>152.90223200000003</v>
      </c>
      <c r="HY210" s="1101">
        <v>256</v>
      </c>
      <c r="HZ210" s="1101">
        <v>305.80446400000005</v>
      </c>
      <c r="IA210" s="1101">
        <v>512</v>
      </c>
      <c r="IB210" s="1062"/>
      <c r="ID210" s="1050"/>
      <c r="IE210" s="1050"/>
      <c r="IM210" s="1050"/>
      <c r="IN210" s="1050"/>
      <c r="IO210" s="1050"/>
      <c r="IP210" s="1050"/>
      <c r="JU210" s="1050"/>
      <c r="KC210" s="1050"/>
      <c r="KD210" s="1050"/>
      <c r="KE210" s="1050"/>
      <c r="KF210" s="1050"/>
      <c r="KN210" s="1103"/>
    </row>
    <row r="211" spans="2:300">
      <c r="B211" s="1048" t="str">
        <f t="shared" si="6"/>
        <v>E99</v>
      </c>
      <c r="C211" s="1046">
        <v>9</v>
      </c>
      <c r="D211" s="1046">
        <v>9</v>
      </c>
      <c r="E211" s="584">
        <v>0.31</v>
      </c>
      <c r="F211" s="584">
        <v>0.31</v>
      </c>
      <c r="G211" s="584">
        <v>744</v>
      </c>
      <c r="H211" s="584">
        <v>26.97</v>
      </c>
      <c r="I211" s="584">
        <v>0</v>
      </c>
      <c r="J211" s="584">
        <v>0</v>
      </c>
      <c r="K211" s="584">
        <v>0</v>
      </c>
      <c r="L211" s="584">
        <v>0</v>
      </c>
      <c r="M211" s="584">
        <v>0</v>
      </c>
      <c r="N211" s="584">
        <v>0</v>
      </c>
      <c r="O211" s="584">
        <v>0</v>
      </c>
      <c r="P211" s="584">
        <v>0</v>
      </c>
      <c r="Q211" s="584">
        <v>0</v>
      </c>
      <c r="R211" s="584">
        <v>0</v>
      </c>
      <c r="S211" s="584">
        <v>0</v>
      </c>
      <c r="T211" s="584">
        <v>292.7589375</v>
      </c>
      <c r="U211" s="584">
        <v>81</v>
      </c>
      <c r="V211" s="584">
        <v>488.37768749999998</v>
      </c>
      <c r="W211" s="584">
        <v>170.1</v>
      </c>
      <c r="X211" s="584">
        <v>770.79600000000005</v>
      </c>
      <c r="Y211" s="584">
        <v>356.4</v>
      </c>
      <c r="Z211" s="584">
        <v>0.255</v>
      </c>
      <c r="AA211" s="584">
        <v>0.255</v>
      </c>
      <c r="AB211" s="584">
        <v>612</v>
      </c>
      <c r="AC211" s="584">
        <v>22</v>
      </c>
      <c r="AD211" s="584">
        <v>0</v>
      </c>
      <c r="AE211" s="584">
        <v>0</v>
      </c>
      <c r="AF211" s="584">
        <v>0</v>
      </c>
      <c r="AG211" s="584">
        <v>0</v>
      </c>
      <c r="AH211" s="584">
        <v>0</v>
      </c>
      <c r="AI211" s="584">
        <v>0</v>
      </c>
      <c r="AJ211" s="584">
        <v>0</v>
      </c>
      <c r="AK211" s="584">
        <v>0</v>
      </c>
      <c r="AL211" s="584">
        <v>0</v>
      </c>
      <c r="AM211" s="584">
        <v>0</v>
      </c>
      <c r="AN211" s="584">
        <v>0</v>
      </c>
      <c r="AO211" s="584">
        <v>262.38518749999997</v>
      </c>
      <c r="AP211" s="584">
        <v>81</v>
      </c>
      <c r="AQ211" s="584">
        <v>427.30706249999997</v>
      </c>
      <c r="AR211" s="584">
        <v>170.1</v>
      </c>
      <c r="AS211" s="584">
        <v>648.2835</v>
      </c>
      <c r="AT211" s="584">
        <v>356.4</v>
      </c>
      <c r="AU211" s="584">
        <v>0.57499999999999996</v>
      </c>
      <c r="AV211" s="584">
        <v>0.38500000000000001</v>
      </c>
      <c r="AW211" s="584">
        <v>596.363347350048</v>
      </c>
      <c r="AX211" s="584">
        <v>36.031505871152</v>
      </c>
      <c r="AY211" s="584">
        <v>0</v>
      </c>
      <c r="AZ211" s="584">
        <v>0</v>
      </c>
      <c r="BA211" s="584">
        <v>0</v>
      </c>
      <c r="BB211" s="584">
        <v>0</v>
      </c>
      <c r="BC211" s="584">
        <v>0</v>
      </c>
      <c r="BD211" s="584">
        <v>0</v>
      </c>
      <c r="BE211" s="584">
        <v>0</v>
      </c>
      <c r="BF211" s="584">
        <v>0</v>
      </c>
      <c r="BG211" s="584">
        <v>0.57499999999999996</v>
      </c>
      <c r="BH211" s="584">
        <v>0</v>
      </c>
      <c r="BI211" s="584">
        <v>0.6</v>
      </c>
      <c r="BJ211" s="584">
        <v>264.40401587864</v>
      </c>
      <c r="BK211" s="584">
        <v>81</v>
      </c>
      <c r="BL211" s="584">
        <v>416.08977926662698</v>
      </c>
      <c r="BM211" s="584">
        <v>170.1</v>
      </c>
      <c r="BN211" s="584">
        <v>620.64593013973797</v>
      </c>
      <c r="BO211" s="584">
        <v>356.4</v>
      </c>
      <c r="BP211" s="584">
        <v>0.625</v>
      </c>
      <c r="BQ211" s="584">
        <v>0.2</v>
      </c>
      <c r="BR211" s="584">
        <v>559.53903522691201</v>
      </c>
      <c r="BS211" s="584">
        <v>22.202947476991401</v>
      </c>
      <c r="BT211" s="584">
        <v>0</v>
      </c>
      <c r="BU211" s="584">
        <v>0</v>
      </c>
      <c r="BV211" s="584">
        <v>0</v>
      </c>
      <c r="BW211" s="584">
        <v>0</v>
      </c>
      <c r="BX211" s="584">
        <v>0</v>
      </c>
      <c r="BY211" s="584">
        <v>0</v>
      </c>
      <c r="BZ211" s="584">
        <v>0</v>
      </c>
      <c r="CA211" s="584">
        <v>0.625</v>
      </c>
      <c r="CB211" s="584">
        <v>0.625</v>
      </c>
      <c r="CC211" s="584">
        <v>0.3</v>
      </c>
      <c r="CD211" s="584">
        <v>0.3</v>
      </c>
      <c r="CE211" s="584">
        <v>256.84974999999997</v>
      </c>
      <c r="CF211" s="584">
        <v>81</v>
      </c>
      <c r="CG211" s="584">
        <v>404.94037500000002</v>
      </c>
      <c r="CH211" s="584">
        <v>170.1</v>
      </c>
      <c r="CI211" s="584">
        <v>581.15700000000004</v>
      </c>
      <c r="CJ211" s="584">
        <v>356.4</v>
      </c>
      <c r="CK211" s="584">
        <v>0.65</v>
      </c>
      <c r="CL211" s="584">
        <v>0.28999999999999998</v>
      </c>
      <c r="CM211" s="584">
        <v>742.08822596001301</v>
      </c>
      <c r="CN211" s="584">
        <v>27.578018882894298</v>
      </c>
      <c r="CO211" s="584">
        <v>0</v>
      </c>
      <c r="CP211" s="584">
        <v>0</v>
      </c>
      <c r="CQ211" s="584">
        <v>0</v>
      </c>
      <c r="CR211" s="584">
        <v>0</v>
      </c>
      <c r="CS211" s="584">
        <v>0</v>
      </c>
      <c r="CT211" s="584">
        <v>0</v>
      </c>
      <c r="CU211" s="584">
        <v>0</v>
      </c>
      <c r="CV211" s="584">
        <v>0</v>
      </c>
      <c r="CW211" s="584">
        <v>0.65</v>
      </c>
      <c r="CX211" s="584">
        <v>0</v>
      </c>
      <c r="CY211" s="584">
        <v>0.45</v>
      </c>
      <c r="CZ211" s="584">
        <v>302.3227</v>
      </c>
      <c r="DA211" s="584">
        <v>81</v>
      </c>
      <c r="DB211" s="584">
        <v>486.77895000000001</v>
      </c>
      <c r="DC211" s="584">
        <v>170.1</v>
      </c>
      <c r="DD211" s="584">
        <v>761.82119999999998</v>
      </c>
      <c r="DE211" s="584">
        <v>356.4</v>
      </c>
      <c r="DF211" s="584">
        <v>0.4</v>
      </c>
      <c r="DG211" s="584">
        <v>0.25</v>
      </c>
      <c r="DH211" s="584">
        <v>307.25841002856203</v>
      </c>
      <c r="DI211" s="584">
        <v>16.926806013963802</v>
      </c>
      <c r="DJ211" s="584">
        <v>340</v>
      </c>
      <c r="DK211" s="584">
        <v>0</v>
      </c>
      <c r="DL211" s="584">
        <v>0</v>
      </c>
      <c r="DM211" s="584">
        <v>0</v>
      </c>
      <c r="DN211" s="584">
        <v>0</v>
      </c>
      <c r="DO211" s="584">
        <v>0</v>
      </c>
      <c r="DP211" s="584">
        <v>0</v>
      </c>
      <c r="DQ211" s="584">
        <v>0</v>
      </c>
      <c r="DR211" s="584">
        <v>0.4</v>
      </c>
      <c r="DS211" s="584">
        <v>0</v>
      </c>
      <c r="DT211" s="584">
        <v>2.4</v>
      </c>
      <c r="DU211" s="584">
        <v>257.73137500000001</v>
      </c>
      <c r="DV211" s="584">
        <v>81</v>
      </c>
      <c r="DW211" s="584">
        <v>471.52125000000001</v>
      </c>
      <c r="DX211" s="584">
        <v>170.1</v>
      </c>
      <c r="DY211" s="584">
        <v>650.28150000000005</v>
      </c>
      <c r="DZ211" s="584">
        <v>356.4</v>
      </c>
      <c r="EA211" s="1062">
        <v>0.86029999999999995</v>
      </c>
      <c r="EB211" s="1046">
        <v>0.3</v>
      </c>
      <c r="EC211" s="1093">
        <v>132.51783893985731</v>
      </c>
      <c r="ED211" s="1046">
        <v>0</v>
      </c>
      <c r="EE211" s="1046">
        <v>397.55351681957183</v>
      </c>
      <c r="EF211" s="1046">
        <v>31.766666666666666</v>
      </c>
      <c r="EG211" s="1046">
        <v>0</v>
      </c>
      <c r="EH211" s="1046">
        <v>0</v>
      </c>
      <c r="EI211" s="1046" t="s">
        <v>420</v>
      </c>
      <c r="EJ211" s="1046" t="s">
        <v>475</v>
      </c>
      <c r="EK211" s="1046">
        <v>0</v>
      </c>
      <c r="EL211" s="1046">
        <v>0</v>
      </c>
      <c r="EM211" s="1046">
        <v>0</v>
      </c>
      <c r="EN211" s="1046">
        <v>0</v>
      </c>
      <c r="EO211" s="1046">
        <v>0</v>
      </c>
      <c r="EP211" s="1094">
        <v>127.81052775000001</v>
      </c>
      <c r="EQ211" s="1094">
        <v>81</v>
      </c>
      <c r="ER211" s="1094">
        <v>255.62105550000001</v>
      </c>
      <c r="ES211" s="1095">
        <v>162</v>
      </c>
      <c r="ET211" s="1094">
        <v>511.24211100000002</v>
      </c>
      <c r="EU211" s="1094">
        <v>324</v>
      </c>
      <c r="EV211" s="1096">
        <v>0.7622000000000001</v>
      </c>
      <c r="EW211" s="1097">
        <v>0.15</v>
      </c>
      <c r="EX211" s="1096">
        <v>289.50050968399592</v>
      </c>
      <c r="EY211" s="1096">
        <v>1.5443934760448521</v>
      </c>
      <c r="EZ211" s="1096">
        <v>0</v>
      </c>
      <c r="FA211" s="1096">
        <v>26.566666666666663</v>
      </c>
      <c r="FB211" s="1098">
        <v>0</v>
      </c>
      <c r="FC211" s="1098">
        <v>0</v>
      </c>
      <c r="FD211" s="1098" t="s">
        <v>406</v>
      </c>
      <c r="FE211" s="1098" t="s">
        <v>477</v>
      </c>
      <c r="FF211" s="1098">
        <v>2</v>
      </c>
      <c r="FG211" s="1098">
        <v>0</v>
      </c>
      <c r="FH211" s="1098">
        <v>0</v>
      </c>
      <c r="FI211" s="1098">
        <v>0</v>
      </c>
      <c r="FJ211" s="1098">
        <v>0</v>
      </c>
      <c r="FK211" s="1096">
        <v>81.521832375000002</v>
      </c>
      <c r="FL211" s="1096">
        <v>81</v>
      </c>
      <c r="FM211" s="1096">
        <v>163.04366475</v>
      </c>
      <c r="FN211" s="1096">
        <v>162</v>
      </c>
      <c r="FO211" s="1096">
        <v>326.08732950000001</v>
      </c>
      <c r="FP211" s="1099">
        <v>324</v>
      </c>
      <c r="FQ211" s="1064">
        <v>0.88961999999999986</v>
      </c>
      <c r="FR211" s="1065">
        <v>0.15</v>
      </c>
      <c r="FS211" s="1066">
        <v>289.50050968399586</v>
      </c>
      <c r="FT211" s="1066">
        <v>3.2237153637237084</v>
      </c>
      <c r="FU211" s="1065"/>
      <c r="FV211" s="1066">
        <v>39.354293279175288</v>
      </c>
      <c r="FW211" s="1065"/>
      <c r="FX211" s="1065"/>
      <c r="FY211" s="1065" t="s">
        <v>432</v>
      </c>
      <c r="FZ211" s="1065" t="s">
        <v>481</v>
      </c>
      <c r="GA211" s="1065">
        <v>2</v>
      </c>
      <c r="GB211" s="1065"/>
      <c r="GC211" s="1065"/>
      <c r="GD211" s="1065"/>
      <c r="GE211" s="1065"/>
      <c r="GF211" s="1066">
        <v>82.168227861933488</v>
      </c>
      <c r="GG211" s="1066">
        <v>81</v>
      </c>
      <c r="GH211" s="1066">
        <v>164.33645572386698</v>
      </c>
      <c r="GI211" s="1066">
        <v>162</v>
      </c>
      <c r="GJ211" s="1066">
        <v>328.67291144773395</v>
      </c>
      <c r="GK211" s="1066">
        <v>324</v>
      </c>
      <c r="GL211" s="584">
        <v>0.75760000000000005</v>
      </c>
      <c r="GM211" s="584">
        <v>0.15</v>
      </c>
      <c r="GN211" s="584"/>
      <c r="GO211" s="584"/>
      <c r="GP211" s="584"/>
      <c r="GQ211" s="584">
        <v>33.044444444444501</v>
      </c>
      <c r="GR211" s="584"/>
      <c r="GS211" s="584">
        <v>76.452599388379198</v>
      </c>
      <c r="GT211" s="584" t="s">
        <v>408</v>
      </c>
      <c r="GU211" s="584" t="s">
        <v>414</v>
      </c>
      <c r="GV211" s="584">
        <v>1</v>
      </c>
      <c r="GW211" s="584"/>
      <c r="GX211" s="584"/>
      <c r="GY211" s="584"/>
      <c r="GZ211" s="584"/>
      <c r="HA211" s="584">
        <v>37.9518615</v>
      </c>
      <c r="HB211" s="584">
        <v>81</v>
      </c>
      <c r="HC211" s="584">
        <v>75.903722999999999</v>
      </c>
      <c r="HD211" s="584">
        <v>162</v>
      </c>
      <c r="HE211" s="584">
        <v>151.807446</v>
      </c>
      <c r="HF211" s="584">
        <v>324</v>
      </c>
      <c r="HG211" s="1100">
        <v>1.1100000000000001</v>
      </c>
      <c r="HH211" s="1100">
        <v>0.11</v>
      </c>
      <c r="HI211" s="1101">
        <v>0</v>
      </c>
      <c r="HJ211" s="1101">
        <v>0</v>
      </c>
      <c r="HK211" s="1101">
        <v>0</v>
      </c>
      <c r="HL211" s="1101">
        <v>0</v>
      </c>
      <c r="HM211" s="1101">
        <v>45.24</v>
      </c>
      <c r="HN211" s="1101">
        <v>54.999999999999993</v>
      </c>
      <c r="HO211" s="1101">
        <v>0</v>
      </c>
      <c r="HP211" s="1101">
        <v>0</v>
      </c>
      <c r="HQ211" s="1101">
        <v>2</v>
      </c>
      <c r="HR211" s="1101">
        <v>1</v>
      </c>
      <c r="HS211" s="1101">
        <v>0.72</v>
      </c>
      <c r="HT211" s="1101">
        <v>0.3</v>
      </c>
      <c r="HU211" s="1101">
        <v>0.28000000000000003</v>
      </c>
      <c r="HV211" s="1101">
        <v>36.112926600000002</v>
      </c>
      <c r="HW211" s="1101">
        <v>81</v>
      </c>
      <c r="HX211" s="1101">
        <v>72.225853200000003</v>
      </c>
      <c r="HY211" s="1101">
        <v>162</v>
      </c>
      <c r="HZ211" s="1101">
        <v>144.45170640000001</v>
      </c>
      <c r="IA211" s="1101">
        <v>324</v>
      </c>
      <c r="IB211" s="1062"/>
      <c r="ID211" s="1050"/>
      <c r="IE211" s="1050"/>
      <c r="IM211" s="1050"/>
      <c r="IN211" s="1050"/>
      <c r="IO211" s="1050"/>
      <c r="IP211" s="1050"/>
      <c r="JU211" s="1050"/>
      <c r="KC211" s="1050"/>
      <c r="KD211" s="1050"/>
      <c r="KE211" s="1050"/>
      <c r="KF211" s="1050"/>
      <c r="KN211" s="1103"/>
    </row>
    <row r="212" spans="2:300">
      <c r="B212" s="1048" t="str">
        <f t="shared" si="6"/>
        <v>E910</v>
      </c>
      <c r="C212" s="1046">
        <v>9</v>
      </c>
      <c r="D212" s="1092">
        <v>10</v>
      </c>
      <c r="E212" s="584">
        <v>0.375</v>
      </c>
      <c r="F212" s="584">
        <v>0.375</v>
      </c>
      <c r="G212" s="584">
        <v>900</v>
      </c>
      <c r="H212" s="584">
        <v>27.375</v>
      </c>
      <c r="I212" s="584">
        <v>0</v>
      </c>
      <c r="J212" s="584">
        <v>0</v>
      </c>
      <c r="K212" s="584">
        <v>0</v>
      </c>
      <c r="L212" s="584">
        <v>0</v>
      </c>
      <c r="M212" s="584">
        <v>0</v>
      </c>
      <c r="N212" s="584">
        <v>0</v>
      </c>
      <c r="O212" s="584">
        <v>0</v>
      </c>
      <c r="P212" s="584">
        <v>0</v>
      </c>
      <c r="Q212" s="584">
        <v>0</v>
      </c>
      <c r="R212" s="584">
        <v>0</v>
      </c>
      <c r="S212" s="584">
        <v>0</v>
      </c>
      <c r="T212" s="584">
        <v>358.04643750000002</v>
      </c>
      <c r="U212" s="584">
        <v>90</v>
      </c>
      <c r="V212" s="584">
        <v>622.27368750000005</v>
      </c>
      <c r="W212" s="584">
        <v>189</v>
      </c>
      <c r="X212" s="584">
        <v>1016.316</v>
      </c>
      <c r="Y212" s="584">
        <v>396</v>
      </c>
      <c r="Z212" s="584">
        <v>0.28499999999999998</v>
      </c>
      <c r="AA212" s="584">
        <v>0.28499999999999998</v>
      </c>
      <c r="AB212" s="584">
        <v>684</v>
      </c>
      <c r="AC212" s="584">
        <v>21</v>
      </c>
      <c r="AD212" s="584">
        <v>0</v>
      </c>
      <c r="AE212" s="584">
        <v>0</v>
      </c>
      <c r="AF212" s="584">
        <v>0</v>
      </c>
      <c r="AG212" s="584">
        <v>0</v>
      </c>
      <c r="AH212" s="584">
        <v>0</v>
      </c>
      <c r="AI212" s="584">
        <v>0</v>
      </c>
      <c r="AJ212" s="584">
        <v>0</v>
      </c>
      <c r="AK212" s="584">
        <v>0</v>
      </c>
      <c r="AL212" s="584">
        <v>0</v>
      </c>
      <c r="AM212" s="584">
        <v>0</v>
      </c>
      <c r="AN212" s="584">
        <v>0</v>
      </c>
      <c r="AO212" s="584">
        <v>303.05643750000002</v>
      </c>
      <c r="AP212" s="584">
        <v>90</v>
      </c>
      <c r="AQ212" s="584">
        <v>511.23618750000003</v>
      </c>
      <c r="AR212" s="584">
        <v>189</v>
      </c>
      <c r="AS212" s="584">
        <v>793.56600000000003</v>
      </c>
      <c r="AT212" s="584">
        <v>396</v>
      </c>
      <c r="AU212" s="584">
        <v>0.67500000000000004</v>
      </c>
      <c r="AV212" s="584">
        <v>0.38500000000000001</v>
      </c>
      <c r="AW212" s="584">
        <v>617.32027747960501</v>
      </c>
      <c r="AX212" s="584">
        <v>34.861786174323697</v>
      </c>
      <c r="AY212" s="584">
        <v>0</v>
      </c>
      <c r="AZ212" s="584">
        <v>0</v>
      </c>
      <c r="BA212" s="584">
        <v>0</v>
      </c>
      <c r="BB212" s="584">
        <v>0</v>
      </c>
      <c r="BC212" s="584">
        <v>0</v>
      </c>
      <c r="BD212" s="584">
        <v>0</v>
      </c>
      <c r="BE212" s="584">
        <v>0</v>
      </c>
      <c r="BF212" s="584">
        <v>0</v>
      </c>
      <c r="BG212" s="584">
        <v>0.67500000000000004</v>
      </c>
      <c r="BH212" s="584">
        <v>0</v>
      </c>
      <c r="BI212" s="584">
        <v>0.6</v>
      </c>
      <c r="BJ212" s="584">
        <v>294.49498905444898</v>
      </c>
      <c r="BK212" s="584">
        <v>90</v>
      </c>
      <c r="BL212" s="584">
        <v>472.40709039840698</v>
      </c>
      <c r="BM212" s="584">
        <v>189</v>
      </c>
      <c r="BN212" s="584">
        <v>712.11888864118202</v>
      </c>
      <c r="BO212" s="584">
        <v>396</v>
      </c>
      <c r="BP212" s="584">
        <v>0.75</v>
      </c>
      <c r="BQ212" s="584">
        <v>0.215</v>
      </c>
      <c r="BR212" s="584">
        <v>606.96350364963496</v>
      </c>
      <c r="BS212" s="584">
        <v>26.900125053671101</v>
      </c>
      <c r="BT212" s="584">
        <v>0</v>
      </c>
      <c r="BU212" s="584">
        <v>0</v>
      </c>
      <c r="BV212" s="584">
        <v>0</v>
      </c>
      <c r="BW212" s="584">
        <v>0</v>
      </c>
      <c r="BX212" s="584">
        <v>0</v>
      </c>
      <c r="BY212" s="584">
        <v>0</v>
      </c>
      <c r="BZ212" s="584">
        <v>0</v>
      </c>
      <c r="CA212" s="584">
        <v>0.625</v>
      </c>
      <c r="CB212" s="584">
        <v>0.75</v>
      </c>
      <c r="CC212" s="584">
        <v>0.3</v>
      </c>
      <c r="CD212" s="584">
        <v>0.3</v>
      </c>
      <c r="CE212" s="584">
        <v>292.13245000000001</v>
      </c>
      <c r="CF212" s="584">
        <v>90</v>
      </c>
      <c r="CG212" s="584">
        <v>474.64282500000002</v>
      </c>
      <c r="CH212" s="584">
        <v>189</v>
      </c>
      <c r="CI212" s="584">
        <v>685.61220000000003</v>
      </c>
      <c r="CJ212" s="584">
        <v>396</v>
      </c>
      <c r="CK212" s="584">
        <v>0.77500000000000002</v>
      </c>
      <c r="CL212" s="584">
        <v>0.28999999999999998</v>
      </c>
      <c r="CM212" s="584">
        <v>756.64662945470104</v>
      </c>
      <c r="CN212" s="584">
        <v>27.4731537140404</v>
      </c>
      <c r="CO212" s="584">
        <v>0</v>
      </c>
      <c r="CP212" s="584">
        <v>0</v>
      </c>
      <c r="CQ212" s="584">
        <v>0</v>
      </c>
      <c r="CR212" s="584">
        <v>0</v>
      </c>
      <c r="CS212" s="584">
        <v>0</v>
      </c>
      <c r="CT212" s="584">
        <v>0</v>
      </c>
      <c r="CU212" s="584">
        <v>0</v>
      </c>
      <c r="CV212" s="584">
        <v>0</v>
      </c>
      <c r="CW212" s="584">
        <v>0.77500000000000002</v>
      </c>
      <c r="CX212" s="584">
        <v>0</v>
      </c>
      <c r="CY212" s="584">
        <v>0.45</v>
      </c>
      <c r="CZ212" s="584">
        <v>334.51645000000002</v>
      </c>
      <c r="DA212" s="584">
        <v>90</v>
      </c>
      <c r="DB212" s="584">
        <v>547.15994999999998</v>
      </c>
      <c r="DC212" s="584">
        <v>189</v>
      </c>
      <c r="DD212" s="584">
        <v>859.32494999999994</v>
      </c>
      <c r="DE212" s="584">
        <v>396</v>
      </c>
      <c r="DF212" s="584">
        <v>0.45</v>
      </c>
      <c r="DG212" s="584">
        <v>0.25</v>
      </c>
      <c r="DH212" s="584">
        <v>336.36807642765098</v>
      </c>
      <c r="DI212" s="584">
        <v>17.622880206097001</v>
      </c>
      <c r="DJ212" s="584">
        <v>340</v>
      </c>
      <c r="DK212" s="584">
        <v>0</v>
      </c>
      <c r="DL212" s="584">
        <v>0</v>
      </c>
      <c r="DM212" s="584">
        <v>0</v>
      </c>
      <c r="DN212" s="584">
        <v>0</v>
      </c>
      <c r="DO212" s="584">
        <v>0</v>
      </c>
      <c r="DP212" s="584">
        <v>0</v>
      </c>
      <c r="DQ212" s="584">
        <v>0</v>
      </c>
      <c r="DR212" s="584">
        <v>0.45</v>
      </c>
      <c r="DS212" s="584">
        <v>0</v>
      </c>
      <c r="DT212" s="584">
        <v>2.4</v>
      </c>
      <c r="DU212" s="584">
        <v>285.35950000000003</v>
      </c>
      <c r="DV212" s="584">
        <v>90</v>
      </c>
      <c r="DW212" s="584">
        <v>522.94500000000005</v>
      </c>
      <c r="DX212" s="584">
        <v>189</v>
      </c>
      <c r="DY212" s="584">
        <v>751.45500000000004</v>
      </c>
      <c r="DZ212" s="584">
        <v>396</v>
      </c>
      <c r="EA212" s="1062">
        <v>0.87709999999999999</v>
      </c>
      <c r="EB212" s="1046">
        <v>0.3</v>
      </c>
      <c r="EC212" s="1093">
        <v>132.51783893985731</v>
      </c>
      <c r="ED212" s="1046">
        <v>0</v>
      </c>
      <c r="EE212" s="1046">
        <v>397.55351681957183</v>
      </c>
      <c r="EF212" s="1046">
        <v>35.574444444444445</v>
      </c>
      <c r="EG212" s="1046">
        <v>0</v>
      </c>
      <c r="EH212" s="1046">
        <v>0</v>
      </c>
      <c r="EI212" s="1046" t="s">
        <v>418</v>
      </c>
      <c r="EJ212" s="1046" t="s">
        <v>465</v>
      </c>
      <c r="EK212" s="1046">
        <v>0</v>
      </c>
      <c r="EL212" s="1046">
        <v>0</v>
      </c>
      <c r="EM212" s="1046">
        <v>0</v>
      </c>
      <c r="EN212" s="1046">
        <v>0</v>
      </c>
      <c r="EO212" s="1046">
        <v>0</v>
      </c>
      <c r="EP212" s="1094">
        <v>142.85216924999997</v>
      </c>
      <c r="EQ212" s="1094">
        <v>90</v>
      </c>
      <c r="ER212" s="1094">
        <v>285.70433849999995</v>
      </c>
      <c r="ES212" s="1095">
        <v>180</v>
      </c>
      <c r="ET212" s="1094">
        <v>571.4086769999999</v>
      </c>
      <c r="EU212" s="1094">
        <v>360</v>
      </c>
      <c r="EV212" s="1096">
        <v>0.7622000000000001</v>
      </c>
      <c r="EW212" s="1097">
        <v>0.15</v>
      </c>
      <c r="EX212" s="1096">
        <v>289.50050968399592</v>
      </c>
      <c r="EY212" s="1096">
        <v>1.5443934760448521</v>
      </c>
      <c r="EZ212" s="1096">
        <v>0</v>
      </c>
      <c r="FA212" s="1096">
        <v>24.532222222222217</v>
      </c>
      <c r="FB212" s="1098">
        <v>0</v>
      </c>
      <c r="FC212" s="1098">
        <v>0</v>
      </c>
      <c r="FD212" s="1098" t="s">
        <v>406</v>
      </c>
      <c r="FE212" s="1098" t="s">
        <v>468</v>
      </c>
      <c r="FF212" s="1098">
        <v>2</v>
      </c>
      <c r="FG212" s="1098">
        <v>0</v>
      </c>
      <c r="FH212" s="1098">
        <v>0</v>
      </c>
      <c r="FI212" s="1098">
        <v>0</v>
      </c>
      <c r="FJ212" s="1098">
        <v>0</v>
      </c>
      <c r="FK212" s="1096">
        <v>90.130761000000007</v>
      </c>
      <c r="FL212" s="1096">
        <v>90</v>
      </c>
      <c r="FM212" s="1096">
        <v>180.26152200000001</v>
      </c>
      <c r="FN212" s="1096">
        <v>180</v>
      </c>
      <c r="FO212" s="1096">
        <v>360.52304400000003</v>
      </c>
      <c r="FP212" s="1099">
        <v>360</v>
      </c>
      <c r="FQ212" s="1064">
        <v>0.89885999999999988</v>
      </c>
      <c r="FR212" s="1065">
        <v>0.15</v>
      </c>
      <c r="FS212" s="1066">
        <v>289.50050968399586</v>
      </c>
      <c r="FT212" s="1066">
        <v>3.2237153637237084</v>
      </c>
      <c r="FU212" s="1065"/>
      <c r="FV212" s="1066">
        <v>41.347033879269176</v>
      </c>
      <c r="FW212" s="1065"/>
      <c r="FX212" s="1065"/>
      <c r="FY212" s="1065" t="s">
        <v>434</v>
      </c>
      <c r="FZ212" s="1065" t="s">
        <v>461</v>
      </c>
      <c r="GA212" s="1065">
        <v>2</v>
      </c>
      <c r="GB212" s="1065"/>
      <c r="GC212" s="1065"/>
      <c r="GD212" s="1065"/>
      <c r="GE212" s="1065"/>
      <c r="GF212" s="1066">
        <v>91.737878626659594</v>
      </c>
      <c r="GG212" s="1066">
        <v>90</v>
      </c>
      <c r="GH212" s="1066">
        <v>183.47575725331919</v>
      </c>
      <c r="GI212" s="1066">
        <v>180</v>
      </c>
      <c r="GJ212" s="1066">
        <v>366.95151450663838</v>
      </c>
      <c r="GK212" s="1066">
        <v>360</v>
      </c>
      <c r="GL212" s="584">
        <v>0.9</v>
      </c>
      <c r="GM212" s="584">
        <v>0.15</v>
      </c>
      <c r="GN212" s="584"/>
      <c r="GO212" s="584"/>
      <c r="GP212" s="584"/>
      <c r="GQ212" s="584">
        <v>35.878888888888902</v>
      </c>
      <c r="GR212" s="584"/>
      <c r="GS212" s="584">
        <v>76.452599388379198</v>
      </c>
      <c r="GT212" s="584" t="s">
        <v>389</v>
      </c>
      <c r="GU212" s="584" t="s">
        <v>410</v>
      </c>
      <c r="GV212" s="584">
        <v>1</v>
      </c>
      <c r="GW212" s="584"/>
      <c r="GX212" s="584"/>
      <c r="GY212" s="584"/>
      <c r="GZ212" s="584"/>
      <c r="HA212" s="584">
        <v>42.794367749999999</v>
      </c>
      <c r="HB212" s="584">
        <v>90</v>
      </c>
      <c r="HC212" s="584">
        <v>85.588735499999999</v>
      </c>
      <c r="HD212" s="584">
        <v>180</v>
      </c>
      <c r="HE212" s="584">
        <v>171.177471</v>
      </c>
      <c r="HF212" s="584">
        <v>360</v>
      </c>
      <c r="HG212" s="1100">
        <v>1.1500000000000001</v>
      </c>
      <c r="HH212" s="1100">
        <v>0.11</v>
      </c>
      <c r="HI212" s="1101">
        <v>0</v>
      </c>
      <c r="HJ212" s="1101">
        <v>0</v>
      </c>
      <c r="HK212" s="1101">
        <v>0</v>
      </c>
      <c r="HL212" s="1101">
        <v>0</v>
      </c>
      <c r="HM212" s="1101">
        <v>50.04</v>
      </c>
      <c r="HN212" s="1101">
        <v>54.999999999999993</v>
      </c>
      <c r="HO212" s="1101">
        <v>0</v>
      </c>
      <c r="HP212" s="1101">
        <v>0</v>
      </c>
      <c r="HQ212" s="1101">
        <v>2</v>
      </c>
      <c r="HR212" s="1101">
        <v>1.04</v>
      </c>
      <c r="HS212" s="1101">
        <v>0.8</v>
      </c>
      <c r="HT212" s="1101">
        <v>0.3</v>
      </c>
      <c r="HU212" s="1101">
        <v>0.3</v>
      </c>
      <c r="HV212" s="1101">
        <v>41.184953999999998</v>
      </c>
      <c r="HW212" s="1101">
        <v>90</v>
      </c>
      <c r="HX212" s="1101">
        <v>82.369907999999995</v>
      </c>
      <c r="HY212" s="1101">
        <v>180</v>
      </c>
      <c r="HZ212" s="1101">
        <v>164.73981599999999</v>
      </c>
      <c r="IA212" s="1101">
        <v>360</v>
      </c>
      <c r="IB212" s="1062"/>
      <c r="ID212" s="1050"/>
      <c r="IE212" s="1050"/>
      <c r="IM212" s="1050"/>
      <c r="IN212" s="1050"/>
      <c r="IO212" s="1050"/>
      <c r="IP212" s="1050"/>
      <c r="JU212" s="1050"/>
      <c r="KC212" s="1050"/>
      <c r="KD212" s="1050"/>
      <c r="KE212" s="1050"/>
      <c r="KF212" s="1050"/>
      <c r="KN212" s="1103"/>
    </row>
    <row r="213" spans="2:300">
      <c r="B213" s="1048" t="str">
        <f t="shared" si="6"/>
        <v>E911</v>
      </c>
      <c r="C213" s="1046">
        <v>9</v>
      </c>
      <c r="D213" s="1092">
        <v>11</v>
      </c>
      <c r="E213" s="584">
        <v>0.42</v>
      </c>
      <c r="F213" s="584">
        <v>0.42</v>
      </c>
      <c r="G213" s="584">
        <v>1008</v>
      </c>
      <c r="H213" s="584">
        <v>28.56</v>
      </c>
      <c r="I213" s="584">
        <v>0</v>
      </c>
      <c r="J213" s="584">
        <v>0</v>
      </c>
      <c r="K213" s="584">
        <v>0</v>
      </c>
      <c r="L213" s="584">
        <v>0</v>
      </c>
      <c r="M213" s="584">
        <v>0</v>
      </c>
      <c r="N213" s="584">
        <v>0</v>
      </c>
      <c r="O213" s="584">
        <v>0</v>
      </c>
      <c r="P213" s="584">
        <v>0</v>
      </c>
      <c r="Q213" s="584">
        <v>0</v>
      </c>
      <c r="R213" s="584">
        <v>0</v>
      </c>
      <c r="S213" s="584">
        <v>0</v>
      </c>
      <c r="T213" s="584">
        <v>417.5764375</v>
      </c>
      <c r="U213" s="584">
        <v>99</v>
      </c>
      <c r="V213" s="584">
        <v>746.25225</v>
      </c>
      <c r="W213" s="584">
        <v>207.9</v>
      </c>
      <c r="X213" s="584">
        <v>1239.5609999999999</v>
      </c>
      <c r="Y213" s="584">
        <v>435.6</v>
      </c>
      <c r="Z213" s="584">
        <v>0.32</v>
      </c>
      <c r="AA213" s="584">
        <v>0.32</v>
      </c>
      <c r="AB213" s="584">
        <v>768</v>
      </c>
      <c r="AC213" s="584">
        <v>24</v>
      </c>
      <c r="AD213" s="584">
        <v>0</v>
      </c>
      <c r="AE213" s="584">
        <v>0</v>
      </c>
      <c r="AF213" s="584">
        <v>0</v>
      </c>
      <c r="AG213" s="584">
        <v>0</v>
      </c>
      <c r="AH213" s="584">
        <v>0</v>
      </c>
      <c r="AI213" s="584">
        <v>0</v>
      </c>
      <c r="AJ213" s="584">
        <v>0</v>
      </c>
      <c r="AK213" s="584">
        <v>0</v>
      </c>
      <c r="AL213" s="584">
        <v>0</v>
      </c>
      <c r="AM213" s="584">
        <v>0</v>
      </c>
      <c r="AN213" s="584">
        <v>0</v>
      </c>
      <c r="AO213" s="584">
        <v>350.60143749999997</v>
      </c>
      <c r="AP213" s="584">
        <v>99</v>
      </c>
      <c r="AQ213" s="584">
        <v>609.35343750000004</v>
      </c>
      <c r="AR213" s="584">
        <v>207.9</v>
      </c>
      <c r="AS213" s="584">
        <v>967.31100000000004</v>
      </c>
      <c r="AT213" s="584">
        <v>435.6</v>
      </c>
      <c r="AU213" s="584">
        <v>0.85</v>
      </c>
      <c r="AV213" s="584">
        <v>0.38500000000000001</v>
      </c>
      <c r="AW213" s="584">
        <v>630.47979568561004</v>
      </c>
      <c r="AX213" s="584">
        <v>33.4991592805005</v>
      </c>
      <c r="AY213" s="584">
        <v>0</v>
      </c>
      <c r="AZ213" s="584">
        <v>0</v>
      </c>
      <c r="BA213" s="584">
        <v>0</v>
      </c>
      <c r="BB213" s="584">
        <v>0</v>
      </c>
      <c r="BC213" s="584">
        <v>0</v>
      </c>
      <c r="BD213" s="584">
        <v>0</v>
      </c>
      <c r="BE213" s="584">
        <v>0</v>
      </c>
      <c r="BF213" s="584">
        <v>0</v>
      </c>
      <c r="BG213" s="584">
        <v>0.85</v>
      </c>
      <c r="BH213" s="584">
        <v>0</v>
      </c>
      <c r="BI213" s="584">
        <v>0.45</v>
      </c>
      <c r="BJ213" s="584">
        <v>325.65258414618501</v>
      </c>
      <c r="BK213" s="584">
        <v>99</v>
      </c>
      <c r="BL213" s="584">
        <v>530.56389550674305</v>
      </c>
      <c r="BM213" s="584">
        <v>207.9</v>
      </c>
      <c r="BN213" s="584">
        <v>799.63442928404402</v>
      </c>
      <c r="BO213" s="584">
        <v>435.6</v>
      </c>
      <c r="BP213" s="584">
        <v>0.72499999999999998</v>
      </c>
      <c r="BQ213" s="584">
        <v>0.22</v>
      </c>
      <c r="BR213" s="584">
        <v>641.28450860271096</v>
      </c>
      <c r="BS213" s="584">
        <v>34.311854389337903</v>
      </c>
      <c r="BT213" s="584">
        <v>0</v>
      </c>
      <c r="BU213" s="584">
        <v>0</v>
      </c>
      <c r="BV213" s="584">
        <v>0</v>
      </c>
      <c r="BW213" s="584">
        <v>0</v>
      </c>
      <c r="BX213" s="584">
        <v>0</v>
      </c>
      <c r="BY213" s="584">
        <v>0</v>
      </c>
      <c r="BZ213" s="584">
        <v>0</v>
      </c>
      <c r="CA213" s="584">
        <v>0.52500000000000002</v>
      </c>
      <c r="CB213" s="584">
        <v>0.72499999999999998</v>
      </c>
      <c r="CC213" s="584">
        <v>0.45</v>
      </c>
      <c r="CD213" s="584">
        <v>0.45</v>
      </c>
      <c r="CE213" s="584">
        <v>326.08285000000001</v>
      </c>
      <c r="CF213" s="584">
        <v>99</v>
      </c>
      <c r="CG213" s="584">
        <v>532.10141250000004</v>
      </c>
      <c r="CH213" s="584">
        <v>207.9</v>
      </c>
      <c r="CI213" s="584">
        <v>784.65228750000006</v>
      </c>
      <c r="CJ213" s="584">
        <v>435.6</v>
      </c>
      <c r="CK213" s="584">
        <v>0.875</v>
      </c>
      <c r="CL213" s="584">
        <v>0.28999999999999998</v>
      </c>
      <c r="CM213" s="584">
        <v>770.61131386861302</v>
      </c>
      <c r="CN213" s="584">
        <v>27.424406934306599</v>
      </c>
      <c r="CO213" s="584">
        <v>0</v>
      </c>
      <c r="CP213" s="584">
        <v>0</v>
      </c>
      <c r="CQ213" s="584">
        <v>0</v>
      </c>
      <c r="CR213" s="584">
        <v>0</v>
      </c>
      <c r="CS213" s="584">
        <v>0</v>
      </c>
      <c r="CT213" s="584">
        <v>0</v>
      </c>
      <c r="CU213" s="584">
        <v>0</v>
      </c>
      <c r="CV213" s="584">
        <v>0</v>
      </c>
      <c r="CW213" s="584">
        <v>0.875</v>
      </c>
      <c r="CX213" s="584">
        <v>0</v>
      </c>
      <c r="CY213" s="584">
        <v>0.6</v>
      </c>
      <c r="CZ213" s="584">
        <v>369.39595000000003</v>
      </c>
      <c r="DA213" s="584">
        <v>99</v>
      </c>
      <c r="DB213" s="584">
        <v>611.16420000000005</v>
      </c>
      <c r="DC213" s="584">
        <v>207.9</v>
      </c>
      <c r="DD213" s="584">
        <v>956.60820000000001</v>
      </c>
      <c r="DE213" s="584">
        <v>435.6</v>
      </c>
      <c r="DF213" s="584">
        <v>0.52500000000000002</v>
      </c>
      <c r="DG213" s="584">
        <v>0.25</v>
      </c>
      <c r="DH213" s="584">
        <v>376.30409280500498</v>
      </c>
      <c r="DI213" s="584">
        <v>18.567187043795599</v>
      </c>
      <c r="DJ213" s="584">
        <v>340</v>
      </c>
      <c r="DK213" s="584">
        <v>0</v>
      </c>
      <c r="DL213" s="584">
        <v>0</v>
      </c>
      <c r="DM213" s="584">
        <v>0</v>
      </c>
      <c r="DN213" s="584">
        <v>0</v>
      </c>
      <c r="DO213" s="584">
        <v>0</v>
      </c>
      <c r="DP213" s="584">
        <v>0</v>
      </c>
      <c r="DQ213" s="584">
        <v>0</v>
      </c>
      <c r="DR213" s="584">
        <v>0.52500000000000002</v>
      </c>
      <c r="DS213" s="584">
        <v>0</v>
      </c>
      <c r="DT213" s="584">
        <v>2.4</v>
      </c>
      <c r="DU213" s="584">
        <v>314.39387499999998</v>
      </c>
      <c r="DV213" s="584">
        <v>99</v>
      </c>
      <c r="DW213" s="584">
        <v>585.61874999999998</v>
      </c>
      <c r="DX213" s="584">
        <v>207.9</v>
      </c>
      <c r="DY213" s="584">
        <v>875.06775000000005</v>
      </c>
      <c r="DZ213" s="584">
        <v>435.6</v>
      </c>
      <c r="EA213" s="1062">
        <v>0.98580000000000001</v>
      </c>
      <c r="EB213" s="1046">
        <v>0.35</v>
      </c>
      <c r="EC213" s="1093">
        <v>132.51783893985731</v>
      </c>
      <c r="ED213" s="1046">
        <v>0</v>
      </c>
      <c r="EE213" s="1046">
        <v>458.71559633027522</v>
      </c>
      <c r="EF213" s="1046">
        <v>32.567676767676765</v>
      </c>
      <c r="EG213" s="1046">
        <v>0</v>
      </c>
      <c r="EH213" s="1046">
        <v>0</v>
      </c>
      <c r="EI213" s="1046" t="s">
        <v>398</v>
      </c>
      <c r="EJ213" s="1046" t="s">
        <v>445</v>
      </c>
      <c r="EK213" s="1046">
        <v>0</v>
      </c>
      <c r="EL213" s="1046">
        <v>0</v>
      </c>
      <c r="EM213" s="1046">
        <v>0</v>
      </c>
      <c r="EN213" s="1046">
        <v>0</v>
      </c>
      <c r="EO213" s="1046">
        <v>0</v>
      </c>
      <c r="EP213" s="1094">
        <v>171.2573505</v>
      </c>
      <c r="EQ213" s="1094">
        <v>99</v>
      </c>
      <c r="ER213" s="1094">
        <v>342.514701</v>
      </c>
      <c r="ES213" s="1095">
        <v>198</v>
      </c>
      <c r="ET213" s="1094">
        <v>685.029402</v>
      </c>
      <c r="EU213" s="1094">
        <v>396</v>
      </c>
      <c r="EV213" s="1096">
        <v>0.83350000000000002</v>
      </c>
      <c r="EW213" s="1097">
        <v>0.15</v>
      </c>
      <c r="EX213" s="1096">
        <v>289.50050968399592</v>
      </c>
      <c r="EY213" s="1096">
        <v>1.5443934760448521</v>
      </c>
      <c r="EZ213" s="1096">
        <v>0</v>
      </c>
      <c r="FA213" s="1096">
        <v>24.358585858585858</v>
      </c>
      <c r="FB213" s="1098">
        <v>0</v>
      </c>
      <c r="FC213" s="1098">
        <v>0</v>
      </c>
      <c r="FD213" s="1098" t="s">
        <v>394</v>
      </c>
      <c r="FE213" s="1098" t="s">
        <v>461</v>
      </c>
      <c r="FF213" s="1098">
        <v>2</v>
      </c>
      <c r="FG213" s="1098">
        <v>0</v>
      </c>
      <c r="FH213" s="1098">
        <v>0</v>
      </c>
      <c r="FI213" s="1098">
        <v>0</v>
      </c>
      <c r="FJ213" s="1098">
        <v>0</v>
      </c>
      <c r="FK213" s="1096">
        <v>99.101678625000005</v>
      </c>
      <c r="FL213" s="1096">
        <v>99</v>
      </c>
      <c r="FM213" s="1096">
        <v>198.20335725000001</v>
      </c>
      <c r="FN213" s="1096">
        <v>198</v>
      </c>
      <c r="FO213" s="1096">
        <v>396.40671450000002</v>
      </c>
      <c r="FP213" s="1099">
        <v>396</v>
      </c>
      <c r="FQ213" s="1064">
        <v>1.0990599999999999</v>
      </c>
      <c r="FR213" s="1065">
        <v>0.15</v>
      </c>
      <c r="FS213" s="1066">
        <v>289.50050968399586</v>
      </c>
      <c r="FT213" s="1066">
        <v>3.2237153637237084</v>
      </c>
      <c r="FU213" s="1065"/>
      <c r="FV213" s="1066">
        <v>50.325236366577116</v>
      </c>
      <c r="FW213" s="1065"/>
      <c r="FX213" s="1065"/>
      <c r="FY213" s="1065" t="s">
        <v>396</v>
      </c>
      <c r="FZ213" s="1065" t="s">
        <v>438</v>
      </c>
      <c r="GA213" s="1065">
        <v>2</v>
      </c>
      <c r="GB213" s="1065"/>
      <c r="GC213" s="1065"/>
      <c r="GD213" s="1065"/>
      <c r="GE213" s="1065"/>
      <c r="GF213" s="1066">
        <v>103.0915516077377</v>
      </c>
      <c r="GG213" s="1066">
        <v>99</v>
      </c>
      <c r="GH213" s="1066">
        <v>206.1831032154754</v>
      </c>
      <c r="GI213" s="1066">
        <v>198</v>
      </c>
      <c r="GJ213" s="1066">
        <v>412.3662064309508</v>
      </c>
      <c r="GK213" s="1066">
        <v>396</v>
      </c>
      <c r="GL213" s="584">
        <v>0.9</v>
      </c>
      <c r="GM213" s="584">
        <v>0.15</v>
      </c>
      <c r="GN213" s="584"/>
      <c r="GO213" s="584"/>
      <c r="GP213" s="584"/>
      <c r="GQ213" s="584">
        <v>41.1373737373737</v>
      </c>
      <c r="GR213" s="584"/>
      <c r="GS213" s="584">
        <v>76.452599388379198</v>
      </c>
      <c r="GT213" s="584" t="s">
        <v>396</v>
      </c>
      <c r="GU213" s="584" t="s">
        <v>389</v>
      </c>
      <c r="GV213" s="584">
        <v>1</v>
      </c>
      <c r="GW213" s="584"/>
      <c r="GX213" s="584"/>
      <c r="GY213" s="584"/>
      <c r="GZ213" s="584"/>
      <c r="HA213" s="584">
        <v>48.350551500000002</v>
      </c>
      <c r="HB213" s="584">
        <v>99</v>
      </c>
      <c r="HC213" s="584">
        <v>96.701103000000003</v>
      </c>
      <c r="HD213" s="584">
        <v>198</v>
      </c>
      <c r="HE213" s="584">
        <v>193.40220600000001</v>
      </c>
      <c r="HF213" s="584">
        <v>396</v>
      </c>
      <c r="HG213" s="1100">
        <v>1.27</v>
      </c>
      <c r="HH213" s="1100">
        <v>0.11</v>
      </c>
      <c r="HI213" s="1101">
        <v>0</v>
      </c>
      <c r="HJ213" s="1101">
        <v>0</v>
      </c>
      <c r="HK213" s="1101">
        <v>0</v>
      </c>
      <c r="HL213" s="1101">
        <v>0</v>
      </c>
      <c r="HM213" s="1101">
        <v>55.63636363636364</v>
      </c>
      <c r="HN213" s="1101">
        <v>54.999999999999993</v>
      </c>
      <c r="HO213" s="1101">
        <v>0</v>
      </c>
      <c r="HP213" s="1101">
        <v>0</v>
      </c>
      <c r="HQ213" s="1101">
        <v>2</v>
      </c>
      <c r="HR213" s="1101">
        <v>1.1599999999999999</v>
      </c>
      <c r="HS213" s="1101">
        <v>0.92</v>
      </c>
      <c r="HT213" s="1101">
        <v>0.3</v>
      </c>
      <c r="HU213" s="1101">
        <v>0.3</v>
      </c>
      <c r="HV213" s="1101">
        <v>46.662232500000002</v>
      </c>
      <c r="HW213" s="1101">
        <v>99</v>
      </c>
      <c r="HX213" s="1101">
        <v>93.324465000000004</v>
      </c>
      <c r="HY213" s="1101">
        <v>198</v>
      </c>
      <c r="HZ213" s="1101">
        <v>186.64893000000001</v>
      </c>
      <c r="IA213" s="1101">
        <v>396</v>
      </c>
      <c r="IB213" s="1062"/>
      <c r="ID213" s="1050"/>
      <c r="IE213" s="1050"/>
      <c r="IM213" s="1050"/>
      <c r="IN213" s="1050"/>
      <c r="IO213" s="1050"/>
      <c r="IP213" s="1050"/>
      <c r="JU213" s="1050"/>
      <c r="KC213" s="1050"/>
      <c r="KD213" s="1050"/>
      <c r="KE213" s="1050"/>
      <c r="KF213" s="1050"/>
      <c r="KN213" s="1103"/>
    </row>
    <row r="214" spans="2:300">
      <c r="B214" s="1048" t="str">
        <f t="shared" si="6"/>
        <v>E912</v>
      </c>
      <c r="C214" s="1046">
        <v>9</v>
      </c>
      <c r="D214" s="1092">
        <v>12</v>
      </c>
      <c r="E214" s="584">
        <v>0.49</v>
      </c>
      <c r="F214" s="584">
        <v>0.49</v>
      </c>
      <c r="G214" s="584">
        <v>1176</v>
      </c>
      <c r="H214" s="584">
        <v>29.89</v>
      </c>
      <c r="I214" s="584">
        <v>0</v>
      </c>
      <c r="J214" s="584">
        <v>0</v>
      </c>
      <c r="K214" s="584">
        <v>0</v>
      </c>
      <c r="L214" s="584">
        <v>0</v>
      </c>
      <c r="M214" s="584">
        <v>0</v>
      </c>
      <c r="N214" s="584">
        <v>0</v>
      </c>
      <c r="O214" s="584">
        <v>0</v>
      </c>
      <c r="P214" s="584">
        <v>0</v>
      </c>
      <c r="Q214" s="584">
        <v>0</v>
      </c>
      <c r="R214" s="584">
        <v>0</v>
      </c>
      <c r="S214" s="584">
        <v>0</v>
      </c>
      <c r="T214" s="584">
        <v>500.60643750000003</v>
      </c>
      <c r="U214" s="584">
        <v>108</v>
      </c>
      <c r="V214" s="584">
        <v>918.47193749999997</v>
      </c>
      <c r="W214" s="584">
        <v>226.8</v>
      </c>
      <c r="X214" s="584">
        <v>1560.8919375</v>
      </c>
      <c r="Y214" s="584">
        <v>475.2</v>
      </c>
      <c r="Z214" s="584">
        <v>0.35499999999999998</v>
      </c>
      <c r="AA214" s="584">
        <v>0.35499999999999998</v>
      </c>
      <c r="AB214" s="584">
        <v>852</v>
      </c>
      <c r="AC214" s="584">
        <v>24</v>
      </c>
      <c r="AD214" s="584">
        <v>0</v>
      </c>
      <c r="AE214" s="584">
        <v>0</v>
      </c>
      <c r="AF214" s="584">
        <v>0</v>
      </c>
      <c r="AG214" s="584">
        <v>0</v>
      </c>
      <c r="AH214" s="584">
        <v>0</v>
      </c>
      <c r="AI214" s="584">
        <v>0</v>
      </c>
      <c r="AJ214" s="584">
        <v>0</v>
      </c>
      <c r="AK214" s="584">
        <v>0</v>
      </c>
      <c r="AL214" s="584">
        <v>0</v>
      </c>
      <c r="AM214" s="584">
        <v>0</v>
      </c>
      <c r="AN214" s="584">
        <v>0</v>
      </c>
      <c r="AO214" s="584">
        <v>402.2589375</v>
      </c>
      <c r="AP214" s="584">
        <v>108</v>
      </c>
      <c r="AQ214" s="584">
        <v>717.29324999999994</v>
      </c>
      <c r="AR214" s="584">
        <v>226.8</v>
      </c>
      <c r="AS214" s="584">
        <v>1158.3810000000001</v>
      </c>
      <c r="AT214" s="584">
        <v>475.2</v>
      </c>
      <c r="AU214" s="584">
        <v>0.97499999999999998</v>
      </c>
      <c r="AV214" s="584">
        <v>0.38500000000000001</v>
      </c>
      <c r="AW214" s="584">
        <v>640.39406126600397</v>
      </c>
      <c r="AX214" s="584">
        <v>34.174694866578903</v>
      </c>
      <c r="AY214" s="584">
        <v>0</v>
      </c>
      <c r="AZ214" s="584">
        <v>0</v>
      </c>
      <c r="BA214" s="584">
        <v>0</v>
      </c>
      <c r="BB214" s="584">
        <v>0</v>
      </c>
      <c r="BC214" s="584">
        <v>0</v>
      </c>
      <c r="BD214" s="584">
        <v>0</v>
      </c>
      <c r="BE214" s="584">
        <v>0</v>
      </c>
      <c r="BF214" s="584">
        <v>0</v>
      </c>
      <c r="BG214" s="584">
        <v>0.97499999999999998</v>
      </c>
      <c r="BH214" s="584">
        <v>0</v>
      </c>
      <c r="BI214" s="584">
        <v>0.45</v>
      </c>
      <c r="BJ214" s="584">
        <v>363.04214479926998</v>
      </c>
      <c r="BK214" s="584">
        <v>108</v>
      </c>
      <c r="BL214" s="584">
        <v>590.22769023722606</v>
      </c>
      <c r="BM214" s="584">
        <v>226.8</v>
      </c>
      <c r="BN214" s="584">
        <v>866.66808284671504</v>
      </c>
      <c r="BO214" s="584">
        <v>475.2</v>
      </c>
      <c r="BP214" s="584">
        <v>0.85</v>
      </c>
      <c r="BQ214" s="584">
        <v>0.22500000000000001</v>
      </c>
      <c r="BR214" s="584">
        <v>694.34859997606804</v>
      </c>
      <c r="BS214" s="584">
        <v>43.441352683379201</v>
      </c>
      <c r="BT214" s="584">
        <v>0</v>
      </c>
      <c r="BU214" s="584">
        <v>0</v>
      </c>
      <c r="BV214" s="584">
        <v>0</v>
      </c>
      <c r="BW214" s="584">
        <v>0</v>
      </c>
      <c r="BX214" s="584">
        <v>0</v>
      </c>
      <c r="BY214" s="584">
        <v>0</v>
      </c>
      <c r="BZ214" s="584">
        <v>0</v>
      </c>
      <c r="CA214" s="584">
        <v>0.52500000000000002</v>
      </c>
      <c r="CB214" s="584">
        <v>0.85</v>
      </c>
      <c r="CC214" s="584">
        <v>0.45</v>
      </c>
      <c r="CD214" s="584">
        <v>0.45</v>
      </c>
      <c r="CE214" s="584">
        <v>377.890625</v>
      </c>
      <c r="CF214" s="584">
        <v>108</v>
      </c>
      <c r="CG214" s="584">
        <v>624.88096874999997</v>
      </c>
      <c r="CH214" s="584">
        <v>226.8</v>
      </c>
      <c r="CI214" s="584">
        <v>882.34818749999999</v>
      </c>
      <c r="CJ214" s="584">
        <v>475.2</v>
      </c>
      <c r="CK214" s="584">
        <v>1.0249999999999999</v>
      </c>
      <c r="CL214" s="584">
        <v>0.28999999999999998</v>
      </c>
      <c r="CM214" s="584">
        <v>799.61092497307595</v>
      </c>
      <c r="CN214" s="584">
        <v>28.5471520880699</v>
      </c>
      <c r="CO214" s="584">
        <v>0</v>
      </c>
      <c r="CP214" s="584">
        <v>0</v>
      </c>
      <c r="CQ214" s="584">
        <v>0</v>
      </c>
      <c r="CR214" s="584">
        <v>0</v>
      </c>
      <c r="CS214" s="584">
        <v>0</v>
      </c>
      <c r="CT214" s="584">
        <v>0</v>
      </c>
      <c r="CU214" s="584">
        <v>0</v>
      </c>
      <c r="CV214" s="584">
        <v>0</v>
      </c>
      <c r="CW214" s="584">
        <v>1.0249999999999999</v>
      </c>
      <c r="CX214" s="584">
        <v>0</v>
      </c>
      <c r="CY214" s="584">
        <v>0.6</v>
      </c>
      <c r="CZ214" s="584">
        <v>420.25082500000002</v>
      </c>
      <c r="DA214" s="584">
        <v>108</v>
      </c>
      <c r="DB214" s="584">
        <v>694.24694999999997</v>
      </c>
      <c r="DC214" s="584">
        <v>226.8</v>
      </c>
      <c r="DD214" s="584">
        <v>1062.7699500000001</v>
      </c>
      <c r="DE214" s="584">
        <v>475.2</v>
      </c>
      <c r="DF214" s="584">
        <v>0.6</v>
      </c>
      <c r="DG214" s="584">
        <v>0.25</v>
      </c>
      <c r="DH214" s="584">
        <v>416.47795261457497</v>
      </c>
      <c r="DI214" s="584">
        <v>20.139087471580702</v>
      </c>
      <c r="DJ214" s="584">
        <v>340</v>
      </c>
      <c r="DK214" s="584">
        <v>0</v>
      </c>
      <c r="DL214" s="584">
        <v>0</v>
      </c>
      <c r="DM214" s="584">
        <v>0</v>
      </c>
      <c r="DN214" s="584">
        <v>0</v>
      </c>
      <c r="DO214" s="584">
        <v>0</v>
      </c>
      <c r="DP214" s="584">
        <v>0</v>
      </c>
      <c r="DQ214" s="584">
        <v>0</v>
      </c>
      <c r="DR214" s="584">
        <v>0.6</v>
      </c>
      <c r="DS214" s="584">
        <v>0</v>
      </c>
      <c r="DT214" s="584">
        <v>2.4</v>
      </c>
      <c r="DU214" s="584">
        <v>344.83449999999999</v>
      </c>
      <c r="DV214" s="584">
        <v>108</v>
      </c>
      <c r="DW214" s="584">
        <v>652.79250000000002</v>
      </c>
      <c r="DX214" s="584">
        <v>226.8</v>
      </c>
      <c r="DY214" s="584">
        <v>1007.6805000000001</v>
      </c>
      <c r="DZ214" s="584">
        <v>475.2</v>
      </c>
      <c r="EA214" s="1062">
        <v>1.1197999999999999</v>
      </c>
      <c r="EB214" s="1046">
        <v>0.35</v>
      </c>
      <c r="EC214" s="1093">
        <v>132.51783893985731</v>
      </c>
      <c r="ED214" s="1046">
        <v>0</v>
      </c>
      <c r="EE214" s="1046">
        <v>458.71559633027522</v>
      </c>
      <c r="EF214" s="1046">
        <v>31.211111111111112</v>
      </c>
      <c r="EG214" s="1046">
        <v>0</v>
      </c>
      <c r="EH214" s="1046">
        <v>0</v>
      </c>
      <c r="EI214" s="1046" t="s">
        <v>383</v>
      </c>
      <c r="EJ214" s="1046" t="s">
        <v>442</v>
      </c>
      <c r="EK214" s="1046">
        <v>0</v>
      </c>
      <c r="EL214" s="1046">
        <v>0</v>
      </c>
      <c r="EM214" s="1046">
        <v>0</v>
      </c>
      <c r="EN214" s="1046">
        <v>0</v>
      </c>
      <c r="EO214" s="1046">
        <v>0</v>
      </c>
      <c r="EP214" s="1094">
        <v>186.46688700000001</v>
      </c>
      <c r="EQ214" s="1094">
        <v>108</v>
      </c>
      <c r="ER214" s="1094">
        <v>372.93377400000003</v>
      </c>
      <c r="ES214" s="1095">
        <v>216</v>
      </c>
      <c r="ET214" s="1094">
        <v>745.86754800000006</v>
      </c>
      <c r="EU214" s="1094">
        <v>432</v>
      </c>
      <c r="EV214" s="1096">
        <v>0.83350000000000002</v>
      </c>
      <c r="EW214" s="1097">
        <v>0.15</v>
      </c>
      <c r="EX214" s="1096">
        <v>289.50050968399592</v>
      </c>
      <c r="EY214" s="1096">
        <v>1.5443934760448521</v>
      </c>
      <c r="EZ214" s="1096">
        <v>0</v>
      </c>
      <c r="FA214" s="1096">
        <v>24.963888888888885</v>
      </c>
      <c r="FB214" s="1098">
        <v>0</v>
      </c>
      <c r="FC214" s="1098">
        <v>0</v>
      </c>
      <c r="FD214" s="1098" t="s">
        <v>394</v>
      </c>
      <c r="FE214" s="1098" t="s">
        <v>459</v>
      </c>
      <c r="FF214" s="1098">
        <v>2</v>
      </c>
      <c r="FG214" s="1098">
        <v>0</v>
      </c>
      <c r="FH214" s="1098">
        <v>0</v>
      </c>
      <c r="FI214" s="1098">
        <v>0</v>
      </c>
      <c r="FJ214" s="1098">
        <v>0</v>
      </c>
      <c r="FK214" s="1096">
        <v>108.27124875000001</v>
      </c>
      <c r="FL214" s="1096">
        <v>108</v>
      </c>
      <c r="FM214" s="1096">
        <v>216.54249750000002</v>
      </c>
      <c r="FN214" s="1096">
        <v>216</v>
      </c>
      <c r="FO214" s="1096">
        <v>433.08499500000005</v>
      </c>
      <c r="FP214" s="1099">
        <v>432</v>
      </c>
      <c r="FQ214" s="1064">
        <v>1.2</v>
      </c>
      <c r="FR214" s="1065">
        <v>0.15</v>
      </c>
      <c r="FS214" s="1066">
        <v>289.50050968399586</v>
      </c>
      <c r="FT214" s="1066">
        <v>3.2237153637237084</v>
      </c>
      <c r="FU214" s="1065"/>
      <c r="FV214" s="1066">
        <v>52.868139607199666</v>
      </c>
      <c r="FW214" s="1065"/>
      <c r="FX214" s="1065"/>
      <c r="FY214" s="1065" t="s">
        <v>389</v>
      </c>
      <c r="FZ214" s="1065" t="s">
        <v>436</v>
      </c>
      <c r="GA214" s="1065">
        <v>2</v>
      </c>
      <c r="GB214" s="1065"/>
      <c r="GC214" s="1065"/>
      <c r="GD214" s="1065"/>
      <c r="GE214" s="1065"/>
      <c r="GF214" s="1066">
        <v>113.13704962614848</v>
      </c>
      <c r="GG214" s="1066">
        <v>108</v>
      </c>
      <c r="GH214" s="1066">
        <v>226.27409925229696</v>
      </c>
      <c r="GI214" s="1066">
        <v>216</v>
      </c>
      <c r="GJ214" s="1066">
        <v>452.54819850459393</v>
      </c>
      <c r="GK214" s="1066">
        <v>432</v>
      </c>
      <c r="GL214" s="584">
        <v>0.90400000000000003</v>
      </c>
      <c r="GM214" s="584">
        <v>0.15</v>
      </c>
      <c r="GN214" s="584"/>
      <c r="GO214" s="584"/>
      <c r="GP214" s="584"/>
      <c r="GQ214" s="584">
        <v>43.802777777777798</v>
      </c>
      <c r="GR214" s="584"/>
      <c r="GS214" s="584">
        <v>76.452599388379198</v>
      </c>
      <c r="GT214" s="584" t="s">
        <v>389</v>
      </c>
      <c r="GU214" s="584" t="s">
        <v>387</v>
      </c>
      <c r="GV214" s="584">
        <v>1</v>
      </c>
      <c r="GW214" s="584"/>
      <c r="GX214" s="584"/>
      <c r="GY214" s="584"/>
      <c r="GZ214" s="584"/>
      <c r="HA214" s="584">
        <v>53.452041749999999</v>
      </c>
      <c r="HB214" s="584">
        <v>108</v>
      </c>
      <c r="HC214" s="584">
        <v>106.9040835</v>
      </c>
      <c r="HD214" s="584">
        <v>216</v>
      </c>
      <c r="HE214" s="584">
        <v>213.808167</v>
      </c>
      <c r="HF214" s="584">
        <v>432</v>
      </c>
      <c r="HG214" s="1100">
        <v>1.3900000000000001</v>
      </c>
      <c r="HH214" s="1100">
        <v>0.11</v>
      </c>
      <c r="HI214" s="1101">
        <v>0</v>
      </c>
      <c r="HJ214" s="1101">
        <v>0</v>
      </c>
      <c r="HK214" s="1101">
        <v>0</v>
      </c>
      <c r="HL214" s="1101">
        <v>0</v>
      </c>
      <c r="HM214" s="1101">
        <v>61.2</v>
      </c>
      <c r="HN214" s="1101">
        <v>54.999999999999993</v>
      </c>
      <c r="HO214" s="1101">
        <v>0</v>
      </c>
      <c r="HP214" s="1101">
        <v>0</v>
      </c>
      <c r="HQ214" s="1101">
        <v>2</v>
      </c>
      <c r="HR214" s="1101">
        <v>1.28</v>
      </c>
      <c r="HS214" s="1101">
        <v>1.04</v>
      </c>
      <c r="HT214" s="1101">
        <v>0.3</v>
      </c>
      <c r="HU214" s="1101">
        <v>0.3</v>
      </c>
      <c r="HV214" s="1101">
        <v>52.377894000000005</v>
      </c>
      <c r="HW214" s="1101">
        <v>108</v>
      </c>
      <c r="HX214" s="1101">
        <v>104.75578800000001</v>
      </c>
      <c r="HY214" s="1101">
        <v>216</v>
      </c>
      <c r="HZ214" s="1101">
        <v>209.51157600000002</v>
      </c>
      <c r="IA214" s="1101">
        <v>432</v>
      </c>
      <c r="IB214" s="1062"/>
      <c r="ID214" s="1050"/>
      <c r="IE214" s="1050"/>
      <c r="IM214" s="1050"/>
      <c r="IN214" s="1050"/>
      <c r="IO214" s="1050"/>
      <c r="IP214" s="1050"/>
      <c r="JU214" s="1050"/>
      <c r="KC214" s="1050"/>
      <c r="KD214" s="1050"/>
      <c r="KE214" s="1050"/>
      <c r="KF214" s="1050"/>
      <c r="KN214" s="1103"/>
    </row>
    <row r="215" spans="2:300">
      <c r="B215" s="1048" t="str">
        <f t="shared" si="6"/>
        <v>E913</v>
      </c>
      <c r="C215" s="1046">
        <v>9</v>
      </c>
      <c r="D215" s="1092">
        <v>13</v>
      </c>
      <c r="E215" s="584">
        <v>0.49</v>
      </c>
      <c r="F215" s="584">
        <v>0.49</v>
      </c>
      <c r="G215" s="584">
        <v>1176</v>
      </c>
      <c r="H215" s="584">
        <v>28.42</v>
      </c>
      <c r="I215" s="584">
        <v>0</v>
      </c>
      <c r="J215" s="584">
        <v>0</v>
      </c>
      <c r="K215" s="584">
        <v>0</v>
      </c>
      <c r="L215" s="584">
        <v>0</v>
      </c>
      <c r="M215" s="584">
        <v>0</v>
      </c>
      <c r="N215" s="584">
        <v>0</v>
      </c>
      <c r="O215" s="584">
        <v>0</v>
      </c>
      <c r="P215" s="584">
        <v>0</v>
      </c>
      <c r="Q215" s="584">
        <v>0</v>
      </c>
      <c r="R215" s="584">
        <v>0</v>
      </c>
      <c r="S215" s="584">
        <v>0</v>
      </c>
      <c r="T215" s="584">
        <v>536.75393750000001</v>
      </c>
      <c r="U215" s="584">
        <v>117</v>
      </c>
      <c r="V215" s="584">
        <v>994.3816875</v>
      </c>
      <c r="W215" s="584">
        <v>245.7</v>
      </c>
      <c r="X215" s="584">
        <v>1690.0869375</v>
      </c>
      <c r="Y215" s="584">
        <v>514.79999999999995</v>
      </c>
      <c r="Z215" s="584">
        <v>0.39500000000000002</v>
      </c>
      <c r="AA215" s="584">
        <v>0.39500000000000002</v>
      </c>
      <c r="AB215" s="584">
        <v>948</v>
      </c>
      <c r="AC215" s="584">
        <v>27</v>
      </c>
      <c r="AD215" s="584">
        <v>0</v>
      </c>
      <c r="AE215" s="584">
        <v>0</v>
      </c>
      <c r="AF215" s="584">
        <v>0</v>
      </c>
      <c r="AG215" s="584">
        <v>0</v>
      </c>
      <c r="AH215" s="584">
        <v>0</v>
      </c>
      <c r="AI215" s="584">
        <v>0</v>
      </c>
      <c r="AJ215" s="584">
        <v>0</v>
      </c>
      <c r="AK215" s="584">
        <v>0</v>
      </c>
      <c r="AL215" s="584">
        <v>0</v>
      </c>
      <c r="AM215" s="584">
        <v>0</v>
      </c>
      <c r="AN215" s="584">
        <v>0</v>
      </c>
      <c r="AO215" s="584">
        <v>461.96518750000001</v>
      </c>
      <c r="AP215" s="584">
        <v>117</v>
      </c>
      <c r="AQ215" s="584">
        <v>842.01356250000003</v>
      </c>
      <c r="AR215" s="584">
        <v>245.7</v>
      </c>
      <c r="AS215" s="584">
        <v>1382.8634999999999</v>
      </c>
      <c r="AT215" s="584">
        <v>514.79999999999995</v>
      </c>
      <c r="AU215" s="584">
        <v>0</v>
      </c>
      <c r="AV215" s="584">
        <v>0</v>
      </c>
      <c r="AW215" s="584">
        <v>0</v>
      </c>
      <c r="AX215" s="584">
        <v>0</v>
      </c>
      <c r="AY215" s="584">
        <v>0</v>
      </c>
      <c r="AZ215" s="584">
        <v>0</v>
      </c>
      <c r="BA215" s="584">
        <v>0</v>
      </c>
      <c r="BB215" s="584">
        <v>0</v>
      </c>
      <c r="BC215" s="584">
        <v>0</v>
      </c>
      <c r="BD215" s="584">
        <v>0</v>
      </c>
      <c r="BE215" s="584">
        <v>0</v>
      </c>
      <c r="BF215" s="584">
        <v>0</v>
      </c>
      <c r="BG215" s="584">
        <v>0</v>
      </c>
      <c r="BH215" s="584">
        <v>0</v>
      </c>
      <c r="BI215" s="584">
        <v>0</v>
      </c>
      <c r="BJ215" s="584">
        <v>0</v>
      </c>
      <c r="BK215" s="584">
        <v>0</v>
      </c>
      <c r="BL215" s="584">
        <v>0</v>
      </c>
      <c r="BM215" s="584">
        <v>0</v>
      </c>
      <c r="BN215" s="584">
        <v>0</v>
      </c>
      <c r="BO215" s="584">
        <v>0</v>
      </c>
      <c r="BP215" s="584">
        <v>0.97499999999999998</v>
      </c>
      <c r="BQ215" s="584">
        <v>0.23499999999999999</v>
      </c>
      <c r="BR215" s="584">
        <v>740.22859986728599</v>
      </c>
      <c r="BS215" s="584">
        <v>48.262721259124099</v>
      </c>
      <c r="BT215" s="584">
        <v>0</v>
      </c>
      <c r="BU215" s="584">
        <v>0</v>
      </c>
      <c r="BV215" s="584">
        <v>0</v>
      </c>
      <c r="BW215" s="584">
        <v>0</v>
      </c>
      <c r="BX215" s="584">
        <v>0</v>
      </c>
      <c r="BY215" s="584">
        <v>0</v>
      </c>
      <c r="BZ215" s="584">
        <v>0</v>
      </c>
      <c r="CA215" s="584">
        <v>0.52500000000000002</v>
      </c>
      <c r="CB215" s="584">
        <v>0.97499999999999998</v>
      </c>
      <c r="CC215" s="584">
        <v>0.45</v>
      </c>
      <c r="CD215" s="584">
        <v>0.45</v>
      </c>
      <c r="CE215" s="584">
        <v>423.52805000000001</v>
      </c>
      <c r="CF215" s="584">
        <v>117</v>
      </c>
      <c r="CG215" s="584">
        <v>707.13329999999996</v>
      </c>
      <c r="CH215" s="584">
        <v>245.7</v>
      </c>
      <c r="CI215" s="584">
        <v>1000.10655</v>
      </c>
      <c r="CJ215" s="584">
        <v>514.79999999999995</v>
      </c>
      <c r="CK215" s="584">
        <v>0</v>
      </c>
      <c r="CL215" s="584">
        <v>0</v>
      </c>
      <c r="CM215" s="584">
        <v>0</v>
      </c>
      <c r="CN215" s="584">
        <v>0</v>
      </c>
      <c r="CO215" s="584">
        <v>0</v>
      </c>
      <c r="CP215" s="584">
        <v>0</v>
      </c>
      <c r="CQ215" s="584">
        <v>0</v>
      </c>
      <c r="CR215" s="584">
        <v>0</v>
      </c>
      <c r="CS215" s="584">
        <v>0</v>
      </c>
      <c r="CT215" s="584">
        <v>0</v>
      </c>
      <c r="CU215" s="584">
        <v>0</v>
      </c>
      <c r="CV215" s="584">
        <v>0</v>
      </c>
      <c r="CW215" s="584">
        <v>0</v>
      </c>
      <c r="CX215" s="584">
        <v>0</v>
      </c>
      <c r="CY215" s="584">
        <v>0</v>
      </c>
      <c r="CZ215" s="584">
        <v>0</v>
      </c>
      <c r="DA215" s="584">
        <v>0</v>
      </c>
      <c r="DB215" s="584">
        <v>0</v>
      </c>
      <c r="DC215" s="584">
        <v>0</v>
      </c>
      <c r="DD215" s="584">
        <v>0</v>
      </c>
      <c r="DE215" s="584">
        <v>0</v>
      </c>
      <c r="DF215" s="584">
        <v>0.67500000000000004</v>
      </c>
      <c r="DG215" s="584">
        <v>0.25</v>
      </c>
      <c r="DH215" s="584">
        <v>474.19210351692101</v>
      </c>
      <c r="DI215" s="584">
        <v>22.196817518248199</v>
      </c>
      <c r="DJ215" s="584">
        <v>340</v>
      </c>
      <c r="DK215" s="584">
        <v>0</v>
      </c>
      <c r="DL215" s="584">
        <v>0</v>
      </c>
      <c r="DM215" s="584">
        <v>0</v>
      </c>
      <c r="DN215" s="584">
        <v>0</v>
      </c>
      <c r="DO215" s="584">
        <v>0</v>
      </c>
      <c r="DP215" s="584">
        <v>0</v>
      </c>
      <c r="DQ215" s="584">
        <v>0</v>
      </c>
      <c r="DR215" s="584">
        <v>0.67500000000000004</v>
      </c>
      <c r="DS215" s="584">
        <v>0</v>
      </c>
      <c r="DT215" s="584">
        <v>2.4</v>
      </c>
      <c r="DU215" s="584">
        <v>391.02550000000002</v>
      </c>
      <c r="DV215" s="584">
        <v>117</v>
      </c>
      <c r="DW215" s="584">
        <v>724.64850000000001</v>
      </c>
      <c r="DX215" s="584">
        <v>245.7</v>
      </c>
      <c r="DY215" s="584">
        <v>1149.2932499999999</v>
      </c>
      <c r="DZ215" s="584">
        <v>514.79999999999995</v>
      </c>
      <c r="EA215" s="1062">
        <v>1.2407000000000001</v>
      </c>
      <c r="EB215" s="1046">
        <v>0.4</v>
      </c>
      <c r="EC215" s="1093">
        <v>132.51783893985737</v>
      </c>
      <c r="ED215" s="1046">
        <v>0</v>
      </c>
      <c r="EE215" s="1046">
        <v>519.87767584097855</v>
      </c>
      <c r="EF215" s="1046">
        <v>31.641025641025642</v>
      </c>
      <c r="EG215" s="1046">
        <v>0</v>
      </c>
      <c r="EH215" s="1046">
        <v>0</v>
      </c>
      <c r="EI215" s="1046" t="s">
        <v>379</v>
      </c>
      <c r="EJ215" s="1046" t="s">
        <v>423</v>
      </c>
      <c r="EK215" s="1046">
        <v>0</v>
      </c>
      <c r="EL215" s="1046">
        <v>0</v>
      </c>
      <c r="EM215" s="1046">
        <v>0</v>
      </c>
      <c r="EN215" s="1046">
        <v>0</v>
      </c>
      <c r="EO215" s="1046">
        <v>0</v>
      </c>
      <c r="EP215" s="1094">
        <v>219.67915499999998</v>
      </c>
      <c r="EQ215" s="1094">
        <v>117</v>
      </c>
      <c r="ER215" s="1094">
        <v>439.35830999999996</v>
      </c>
      <c r="ES215" s="1095">
        <v>234</v>
      </c>
      <c r="ET215" s="1094">
        <v>878.71661999999992</v>
      </c>
      <c r="EU215" s="1094">
        <v>468</v>
      </c>
      <c r="EV215" s="1096">
        <v>0.90400000000000003</v>
      </c>
      <c r="EW215" s="1097">
        <v>0.15</v>
      </c>
      <c r="EX215" s="1096">
        <v>289.50050968399592</v>
      </c>
      <c r="EY215" s="1096">
        <v>1.5443934760448521</v>
      </c>
      <c r="EZ215" s="1096">
        <v>0</v>
      </c>
      <c r="FA215" s="1096">
        <v>29.56666666666667</v>
      </c>
      <c r="FB215" s="1098">
        <v>0</v>
      </c>
      <c r="FC215" s="1098">
        <v>0</v>
      </c>
      <c r="FD215" s="1098" t="s">
        <v>387</v>
      </c>
      <c r="FE215" s="1098" t="s">
        <v>432</v>
      </c>
      <c r="FF215" s="1098">
        <v>2</v>
      </c>
      <c r="FG215" s="1098">
        <v>0</v>
      </c>
      <c r="FH215" s="1098">
        <v>0</v>
      </c>
      <c r="FI215" s="1098">
        <v>0</v>
      </c>
      <c r="FJ215" s="1098">
        <v>0</v>
      </c>
      <c r="FK215" s="1096">
        <v>118.61458537500002</v>
      </c>
      <c r="FL215" s="1096">
        <v>117</v>
      </c>
      <c r="FM215" s="1096">
        <v>237.22917075000004</v>
      </c>
      <c r="FN215" s="1096">
        <v>234</v>
      </c>
      <c r="FO215" s="1096">
        <v>474.45834150000007</v>
      </c>
      <c r="FP215" s="1099">
        <v>468</v>
      </c>
      <c r="FQ215" s="1064">
        <v>1.2056</v>
      </c>
      <c r="FR215" s="1065">
        <v>0.15</v>
      </c>
      <c r="FS215" s="1066">
        <v>289.50050968399586</v>
      </c>
      <c r="FT215" s="1066">
        <v>3.2237153637237084</v>
      </c>
      <c r="FU215" s="1065"/>
      <c r="FV215" s="1066">
        <v>59.322723638534917</v>
      </c>
      <c r="FW215" s="1065"/>
      <c r="FX215" s="1065"/>
      <c r="FY215" s="1065" t="s">
        <v>387</v>
      </c>
      <c r="FZ215" s="1065" t="s">
        <v>1102</v>
      </c>
      <c r="GA215" s="1065">
        <v>2</v>
      </c>
      <c r="GB215" s="1065"/>
      <c r="GC215" s="1065"/>
      <c r="GD215" s="1065"/>
      <c r="GE215" s="1065"/>
      <c r="GF215" s="1066">
        <v>124.41723157340559</v>
      </c>
      <c r="GG215" s="1066">
        <v>117</v>
      </c>
      <c r="GH215" s="1066">
        <v>248.83446314681117</v>
      </c>
      <c r="GI215" s="1066">
        <v>234</v>
      </c>
      <c r="GJ215" s="1066">
        <v>497.66892629362235</v>
      </c>
      <c r="GK215" s="1066">
        <v>468</v>
      </c>
      <c r="GL215" s="584">
        <v>0.9849</v>
      </c>
      <c r="GM215" s="584">
        <v>0.15</v>
      </c>
      <c r="GN215" s="584"/>
      <c r="GO215" s="584"/>
      <c r="GP215" s="584"/>
      <c r="GQ215" s="584">
        <v>49.3888888888889</v>
      </c>
      <c r="GR215" s="584"/>
      <c r="GS215" s="584">
        <v>76.452599388379198</v>
      </c>
      <c r="GT215" s="584" t="s">
        <v>389</v>
      </c>
      <c r="GU215" s="584" t="s">
        <v>381</v>
      </c>
      <c r="GV215" s="584">
        <v>1</v>
      </c>
      <c r="GW215" s="584"/>
      <c r="GX215" s="584"/>
      <c r="GY215" s="584"/>
      <c r="GZ215" s="584"/>
      <c r="HA215" s="584">
        <v>59.509271249999998</v>
      </c>
      <c r="HB215" s="584">
        <v>117</v>
      </c>
      <c r="HC215" s="584">
        <v>119.0185425</v>
      </c>
      <c r="HD215" s="584">
        <v>234</v>
      </c>
      <c r="HE215" s="584">
        <v>238.03708499999999</v>
      </c>
      <c r="HF215" s="584">
        <v>468</v>
      </c>
      <c r="HG215" s="1100">
        <v>1.51</v>
      </c>
      <c r="HH215" s="1100">
        <v>0.11</v>
      </c>
      <c r="HI215" s="1101">
        <v>0</v>
      </c>
      <c r="HJ215" s="1101">
        <v>0</v>
      </c>
      <c r="HK215" s="1101">
        <v>0</v>
      </c>
      <c r="HL215" s="1101">
        <v>0</v>
      </c>
      <c r="HM215" s="1101">
        <v>66.738461538461522</v>
      </c>
      <c r="HN215" s="1101">
        <v>54.999999999999993</v>
      </c>
      <c r="HO215" s="1101">
        <v>0</v>
      </c>
      <c r="HP215" s="1101">
        <v>0</v>
      </c>
      <c r="HQ215" s="1101">
        <v>2</v>
      </c>
      <c r="HR215" s="1101">
        <v>1.4</v>
      </c>
      <c r="HS215" s="1101">
        <v>1.1599999999999999</v>
      </c>
      <c r="HT215" s="1101">
        <v>0.3</v>
      </c>
      <c r="HU215" s="1101">
        <v>0.3</v>
      </c>
      <c r="HV215" s="1101">
        <v>58.3319385</v>
      </c>
      <c r="HW215" s="1101">
        <v>117</v>
      </c>
      <c r="HX215" s="1101">
        <v>116.663877</v>
      </c>
      <c r="HY215" s="1101">
        <v>234</v>
      </c>
      <c r="HZ215" s="1101">
        <v>233.327754</v>
      </c>
      <c r="IA215" s="1101">
        <v>468</v>
      </c>
      <c r="IB215" s="1062"/>
      <c r="ID215" s="1050"/>
      <c r="IE215" s="1050"/>
      <c r="IM215" s="1050"/>
      <c r="IN215" s="1050"/>
      <c r="IO215" s="1050"/>
      <c r="IP215" s="1050"/>
      <c r="JU215" s="1050"/>
      <c r="KC215" s="1050"/>
      <c r="KD215" s="1050"/>
      <c r="KE215" s="1050"/>
      <c r="KF215" s="1050"/>
      <c r="KN215" s="1103"/>
    </row>
    <row r="216" spans="2:300">
      <c r="B216" s="1048" t="str">
        <f t="shared" si="6"/>
        <v>E914</v>
      </c>
      <c r="C216" s="1046">
        <v>9</v>
      </c>
      <c r="D216" s="1092">
        <v>14</v>
      </c>
      <c r="E216" s="584">
        <v>0.49</v>
      </c>
      <c r="F216" s="584">
        <v>0.49</v>
      </c>
      <c r="G216" s="584">
        <v>1176</v>
      </c>
      <c r="H216" s="584">
        <v>27.44</v>
      </c>
      <c r="I216" s="584">
        <v>0</v>
      </c>
      <c r="J216" s="584">
        <v>0</v>
      </c>
      <c r="K216" s="584">
        <v>0</v>
      </c>
      <c r="L216" s="584">
        <v>0</v>
      </c>
      <c r="M216" s="584">
        <v>0</v>
      </c>
      <c r="N216" s="584">
        <v>0</v>
      </c>
      <c r="O216" s="584">
        <v>0</v>
      </c>
      <c r="P216" s="584">
        <v>0</v>
      </c>
      <c r="Q216" s="584">
        <v>0</v>
      </c>
      <c r="R216" s="584">
        <v>0</v>
      </c>
      <c r="S216" s="584">
        <v>0</v>
      </c>
      <c r="T216" s="584">
        <v>572.90143750000004</v>
      </c>
      <c r="U216" s="584">
        <v>126</v>
      </c>
      <c r="V216" s="584">
        <v>1071.7275</v>
      </c>
      <c r="W216" s="584">
        <v>264.60000000000002</v>
      </c>
      <c r="X216" s="584">
        <v>1820.96775</v>
      </c>
      <c r="Y216" s="584">
        <v>554.4</v>
      </c>
      <c r="Z216" s="584">
        <v>0.48499999999999999</v>
      </c>
      <c r="AA216" s="584">
        <v>0.48499999999999999</v>
      </c>
      <c r="AB216" s="584">
        <v>1164</v>
      </c>
      <c r="AC216" s="584">
        <v>27</v>
      </c>
      <c r="AD216" s="584">
        <v>0</v>
      </c>
      <c r="AE216" s="584">
        <v>0</v>
      </c>
      <c r="AF216" s="584">
        <v>0</v>
      </c>
      <c r="AG216" s="584">
        <v>0</v>
      </c>
      <c r="AH216" s="584">
        <v>0</v>
      </c>
      <c r="AI216" s="584">
        <v>0</v>
      </c>
      <c r="AJ216" s="584">
        <v>0</v>
      </c>
      <c r="AK216" s="584">
        <v>0</v>
      </c>
      <c r="AL216" s="584">
        <v>0</v>
      </c>
      <c r="AM216" s="584">
        <v>0</v>
      </c>
      <c r="AN216" s="584">
        <v>0</v>
      </c>
      <c r="AO216" s="584">
        <v>568.67143750000002</v>
      </c>
      <c r="AP216" s="584">
        <v>126</v>
      </c>
      <c r="AQ216" s="584">
        <v>1063.0912499999999</v>
      </c>
      <c r="AR216" s="584">
        <v>264.60000000000002</v>
      </c>
      <c r="AS216" s="584">
        <v>1803.64275</v>
      </c>
      <c r="AT216" s="584">
        <v>554.4</v>
      </c>
      <c r="AU216" s="584">
        <v>0</v>
      </c>
      <c r="AV216" s="584">
        <v>0</v>
      </c>
      <c r="AW216" s="584">
        <v>0</v>
      </c>
      <c r="AX216" s="584">
        <v>0</v>
      </c>
      <c r="AY216" s="584">
        <v>0</v>
      </c>
      <c r="AZ216" s="584">
        <v>0</v>
      </c>
      <c r="BA216" s="584">
        <v>0</v>
      </c>
      <c r="BB216" s="584">
        <v>0</v>
      </c>
      <c r="BC216" s="584">
        <v>0</v>
      </c>
      <c r="BD216" s="584">
        <v>0</v>
      </c>
      <c r="BE216" s="584">
        <v>0</v>
      </c>
      <c r="BF216" s="584">
        <v>0</v>
      </c>
      <c r="BG216" s="584">
        <v>0</v>
      </c>
      <c r="BH216" s="584">
        <v>0</v>
      </c>
      <c r="BI216" s="584">
        <v>0</v>
      </c>
      <c r="BJ216" s="584">
        <v>0</v>
      </c>
      <c r="BK216" s="584">
        <v>0</v>
      </c>
      <c r="BL216" s="584">
        <v>0</v>
      </c>
      <c r="BM216" s="584">
        <v>0</v>
      </c>
      <c r="BN216" s="584">
        <v>0</v>
      </c>
      <c r="BO216" s="584">
        <v>0</v>
      </c>
      <c r="BP216" s="584">
        <v>1.1000000000000001</v>
      </c>
      <c r="BQ216" s="584">
        <v>0.23499999999999999</v>
      </c>
      <c r="BR216" s="584">
        <v>784.82661663411102</v>
      </c>
      <c r="BS216" s="584">
        <v>55.479937609232003</v>
      </c>
      <c r="BT216" s="584">
        <v>0</v>
      </c>
      <c r="BU216" s="584">
        <v>0</v>
      </c>
      <c r="BV216" s="584">
        <v>0</v>
      </c>
      <c r="BW216" s="584">
        <v>0</v>
      </c>
      <c r="BX216" s="584">
        <v>0</v>
      </c>
      <c r="BY216" s="584">
        <v>0</v>
      </c>
      <c r="BZ216" s="584">
        <v>0</v>
      </c>
      <c r="CA216" s="584">
        <v>0.52500000000000002</v>
      </c>
      <c r="CB216" s="584">
        <v>1.1000000000000001</v>
      </c>
      <c r="CC216" s="584">
        <v>0.45</v>
      </c>
      <c r="CD216" s="584">
        <v>0.45</v>
      </c>
      <c r="CE216" s="584">
        <v>482.34055000000001</v>
      </c>
      <c r="CF216" s="584">
        <v>126</v>
      </c>
      <c r="CG216" s="584">
        <v>813.60742500000003</v>
      </c>
      <c r="CH216" s="584">
        <v>264.60000000000002</v>
      </c>
      <c r="CI216" s="584">
        <v>1093.2649875</v>
      </c>
      <c r="CJ216" s="584">
        <v>554.4</v>
      </c>
      <c r="CK216" s="584">
        <v>0</v>
      </c>
      <c r="CL216" s="584">
        <v>0</v>
      </c>
      <c r="CM216" s="584">
        <v>0</v>
      </c>
      <c r="CN216" s="584">
        <v>0</v>
      </c>
      <c r="CO216" s="584">
        <v>0</v>
      </c>
      <c r="CP216" s="584">
        <v>0</v>
      </c>
      <c r="CQ216" s="584">
        <v>0</v>
      </c>
      <c r="CR216" s="584">
        <v>0</v>
      </c>
      <c r="CS216" s="584">
        <v>0</v>
      </c>
      <c r="CT216" s="584">
        <v>0</v>
      </c>
      <c r="CU216" s="584">
        <v>0</v>
      </c>
      <c r="CV216" s="584">
        <v>0</v>
      </c>
      <c r="CW216" s="584">
        <v>0</v>
      </c>
      <c r="CX216" s="584">
        <v>0</v>
      </c>
      <c r="CY216" s="584">
        <v>0</v>
      </c>
      <c r="CZ216" s="584">
        <v>0</v>
      </c>
      <c r="DA216" s="584">
        <v>0</v>
      </c>
      <c r="DB216" s="584">
        <v>0</v>
      </c>
      <c r="DC216" s="584">
        <v>0</v>
      </c>
      <c r="DD216" s="584">
        <v>0</v>
      </c>
      <c r="DE216" s="584">
        <v>0</v>
      </c>
      <c r="DF216" s="584">
        <v>0.75</v>
      </c>
      <c r="DG216" s="584">
        <v>0.25</v>
      </c>
      <c r="DH216" s="584">
        <v>520.540248792022</v>
      </c>
      <c r="DI216" s="584">
        <v>23.4043275418937</v>
      </c>
      <c r="DJ216" s="584">
        <v>340</v>
      </c>
      <c r="DK216" s="584">
        <v>0</v>
      </c>
      <c r="DL216" s="584">
        <v>0</v>
      </c>
      <c r="DM216" s="584">
        <v>0</v>
      </c>
      <c r="DN216" s="584">
        <v>0</v>
      </c>
      <c r="DO216" s="584">
        <v>0</v>
      </c>
      <c r="DP216" s="584">
        <v>0</v>
      </c>
      <c r="DQ216" s="584">
        <v>0</v>
      </c>
      <c r="DR216" s="584">
        <v>0.75</v>
      </c>
      <c r="DS216" s="584">
        <v>0</v>
      </c>
      <c r="DT216" s="584">
        <v>2.4</v>
      </c>
      <c r="DU216" s="584">
        <v>431.21350000000001</v>
      </c>
      <c r="DV216" s="584">
        <v>126</v>
      </c>
      <c r="DW216" s="584">
        <v>800.76149999999996</v>
      </c>
      <c r="DX216" s="584">
        <v>264.60000000000002</v>
      </c>
      <c r="DY216" s="584">
        <v>1299.9059999999999</v>
      </c>
      <c r="DZ216" s="584">
        <v>554.4</v>
      </c>
      <c r="EA216" s="1062">
        <v>1.3009000000000002</v>
      </c>
      <c r="EB216" s="1046">
        <v>0.45</v>
      </c>
      <c r="EC216" s="1093">
        <v>132.51783893985726</v>
      </c>
      <c r="ED216" s="1046">
        <v>0</v>
      </c>
      <c r="EE216" s="1046">
        <v>581.03975535168195</v>
      </c>
      <c r="EF216" s="1046">
        <v>40.489682539682548</v>
      </c>
      <c r="EG216" s="1046">
        <v>0</v>
      </c>
      <c r="EH216" s="1046">
        <v>0</v>
      </c>
      <c r="EI216" s="1046" t="s">
        <v>377</v>
      </c>
      <c r="EJ216" s="1046" t="s">
        <v>420</v>
      </c>
      <c r="EK216" s="1046">
        <v>0</v>
      </c>
      <c r="EL216" s="1046">
        <v>0</v>
      </c>
      <c r="EM216" s="1046">
        <v>0</v>
      </c>
      <c r="EN216" s="1046">
        <v>0</v>
      </c>
      <c r="EO216" s="1046">
        <v>0</v>
      </c>
      <c r="EP216" s="1094">
        <v>258.21191924999999</v>
      </c>
      <c r="EQ216" s="1094">
        <v>126</v>
      </c>
      <c r="ER216" s="1094">
        <v>516.42383849999999</v>
      </c>
      <c r="ES216" s="1095">
        <v>252</v>
      </c>
      <c r="ET216" s="1094">
        <v>1032.847677</v>
      </c>
      <c r="EU216" s="1094">
        <v>504</v>
      </c>
      <c r="EV216" s="1096">
        <v>0.90400000000000003</v>
      </c>
      <c r="EW216" s="1097">
        <v>0.15</v>
      </c>
      <c r="EX216" s="1096">
        <v>289.50050968399592</v>
      </c>
      <c r="EY216" s="1096">
        <v>1.5443934760448521</v>
      </c>
      <c r="EZ216" s="1096">
        <v>0</v>
      </c>
      <c r="FA216" s="1096">
        <v>32.981746031746027</v>
      </c>
      <c r="FB216" s="1098">
        <v>0</v>
      </c>
      <c r="FC216" s="1098">
        <v>0</v>
      </c>
      <c r="FD216" s="1098" t="s">
        <v>387</v>
      </c>
      <c r="FE216" s="1098" t="s">
        <v>410</v>
      </c>
      <c r="FF216" s="1098">
        <v>2</v>
      </c>
      <c r="FG216" s="1098">
        <v>0</v>
      </c>
      <c r="FH216" s="1098">
        <v>0</v>
      </c>
      <c r="FI216" s="1098">
        <v>0</v>
      </c>
      <c r="FJ216" s="1098">
        <v>0</v>
      </c>
      <c r="FK216" s="1096">
        <v>128.794095</v>
      </c>
      <c r="FL216" s="1096">
        <v>126</v>
      </c>
      <c r="FM216" s="1096">
        <v>257.58819</v>
      </c>
      <c r="FN216" s="1096">
        <v>252</v>
      </c>
      <c r="FO216" s="1096">
        <v>515.17637999999999</v>
      </c>
      <c r="FP216" s="1099">
        <v>504</v>
      </c>
      <c r="FQ216" s="1064">
        <v>1.2170799999999999</v>
      </c>
      <c r="FR216" s="1065">
        <v>0.15</v>
      </c>
      <c r="FS216" s="1066">
        <v>289.50050968399586</v>
      </c>
      <c r="FT216" s="1066">
        <v>3.2237153637237084</v>
      </c>
      <c r="FU216" s="1065"/>
      <c r="FV216" s="1066">
        <v>68.1872721847501</v>
      </c>
      <c r="FW216" s="1065"/>
      <c r="FX216" s="1065"/>
      <c r="FY216" s="1065" t="s">
        <v>385</v>
      </c>
      <c r="FZ216" s="1065" t="s">
        <v>408</v>
      </c>
      <c r="GA216" s="1065">
        <v>2</v>
      </c>
      <c r="GB216" s="1065"/>
      <c r="GC216" s="1065"/>
      <c r="GD216" s="1065"/>
      <c r="GE216" s="1065"/>
      <c r="GF216" s="1066">
        <v>136.72706631729162</v>
      </c>
      <c r="GG216" s="1066">
        <v>126</v>
      </c>
      <c r="GH216" s="1066">
        <v>273.45413263458323</v>
      </c>
      <c r="GI216" s="1066">
        <v>252</v>
      </c>
      <c r="GJ216" s="1066">
        <v>546.90826526916646</v>
      </c>
      <c r="GK216" s="1066">
        <v>504</v>
      </c>
      <c r="GL216" s="584">
        <v>1.0529999999999999</v>
      </c>
      <c r="GM216" s="584">
        <v>0.15</v>
      </c>
      <c r="GN216" s="584"/>
      <c r="GO216" s="584"/>
      <c r="GP216" s="584"/>
      <c r="GQ216" s="584">
        <v>55.1373015873016</v>
      </c>
      <c r="GR216" s="584"/>
      <c r="GS216" s="584">
        <v>76.452599388379198</v>
      </c>
      <c r="GT216" s="584" t="s">
        <v>387</v>
      </c>
      <c r="GU216" s="584" t="s">
        <v>375</v>
      </c>
      <c r="GV216" s="584">
        <v>1</v>
      </c>
      <c r="GW216" s="584"/>
      <c r="GX216" s="584"/>
      <c r="GY216" s="584"/>
      <c r="GZ216" s="584"/>
      <c r="HA216" s="584">
        <v>65.86325325</v>
      </c>
      <c r="HB216" s="584">
        <v>126</v>
      </c>
      <c r="HC216" s="584">
        <v>131.7265065</v>
      </c>
      <c r="HD216" s="584">
        <v>252</v>
      </c>
      <c r="HE216" s="584">
        <v>263.453013</v>
      </c>
      <c r="HF216" s="584">
        <v>504</v>
      </c>
      <c r="HG216" s="1100">
        <v>1.6300000000000001</v>
      </c>
      <c r="HH216" s="1100">
        <v>0.11</v>
      </c>
      <c r="HI216" s="1101">
        <v>0</v>
      </c>
      <c r="HJ216" s="1101">
        <v>0</v>
      </c>
      <c r="HK216" s="1101">
        <v>0</v>
      </c>
      <c r="HL216" s="1101">
        <v>0</v>
      </c>
      <c r="HM216" s="1101">
        <v>72.257142857142867</v>
      </c>
      <c r="HN216" s="1101">
        <v>54.999999999999993</v>
      </c>
      <c r="HO216" s="1101">
        <v>0</v>
      </c>
      <c r="HP216" s="1101">
        <v>0</v>
      </c>
      <c r="HQ216" s="1101">
        <v>2</v>
      </c>
      <c r="HR216" s="1101">
        <v>1.52</v>
      </c>
      <c r="HS216" s="1101">
        <v>1.28</v>
      </c>
      <c r="HT216" s="1101">
        <v>0.3</v>
      </c>
      <c r="HU216" s="1101">
        <v>0.3</v>
      </c>
      <c r="HV216" s="1101">
        <v>64.524366000000015</v>
      </c>
      <c r="HW216" s="1101">
        <v>126</v>
      </c>
      <c r="HX216" s="1101">
        <v>129.04873200000003</v>
      </c>
      <c r="HY216" s="1101">
        <v>252</v>
      </c>
      <c r="HZ216" s="1101">
        <v>258.09746400000006</v>
      </c>
      <c r="IA216" s="1101">
        <v>504</v>
      </c>
      <c r="IB216" s="1062"/>
      <c r="ID216" s="1050"/>
      <c r="IE216" s="1050"/>
      <c r="IM216" s="1050"/>
      <c r="IN216" s="1050"/>
      <c r="IO216" s="1050"/>
      <c r="IP216" s="1050"/>
      <c r="JU216" s="1050"/>
      <c r="KC216" s="1050"/>
      <c r="KD216" s="1050"/>
      <c r="KE216" s="1050"/>
      <c r="KF216" s="1050"/>
      <c r="KN216" s="1103"/>
    </row>
    <row r="217" spans="2:300">
      <c r="B217" s="1048" t="str">
        <f t="shared" si="6"/>
        <v>E915</v>
      </c>
      <c r="C217" s="1046">
        <v>9</v>
      </c>
      <c r="D217" s="1092">
        <v>15</v>
      </c>
      <c r="E217" s="584">
        <v>0</v>
      </c>
      <c r="F217" s="584">
        <v>0</v>
      </c>
      <c r="G217" s="584">
        <v>0</v>
      </c>
      <c r="H217" s="584">
        <v>0</v>
      </c>
      <c r="I217" s="584">
        <v>0</v>
      </c>
      <c r="J217" s="584">
        <v>0</v>
      </c>
      <c r="K217" s="584">
        <v>0</v>
      </c>
      <c r="L217" s="584">
        <v>0</v>
      </c>
      <c r="M217" s="584">
        <v>0</v>
      </c>
      <c r="N217" s="584">
        <v>0</v>
      </c>
      <c r="O217" s="584">
        <v>0</v>
      </c>
      <c r="P217" s="584">
        <v>0</v>
      </c>
      <c r="Q217" s="584">
        <v>0</v>
      </c>
      <c r="R217" s="584">
        <v>0</v>
      </c>
      <c r="S217" s="584">
        <v>0</v>
      </c>
      <c r="T217" s="584">
        <v>0</v>
      </c>
      <c r="U217" s="584">
        <v>0</v>
      </c>
      <c r="V217" s="584">
        <v>0</v>
      </c>
      <c r="W217" s="584">
        <v>0</v>
      </c>
      <c r="X217" s="584">
        <v>0</v>
      </c>
      <c r="Y217" s="584">
        <v>0</v>
      </c>
      <c r="Z217" s="584">
        <v>0</v>
      </c>
      <c r="AA217" s="584">
        <v>0</v>
      </c>
      <c r="AB217" s="584">
        <v>0</v>
      </c>
      <c r="AC217" s="584">
        <v>0</v>
      </c>
      <c r="AD217" s="584">
        <v>0</v>
      </c>
      <c r="AE217" s="584">
        <v>0</v>
      </c>
      <c r="AF217" s="584">
        <v>0</v>
      </c>
      <c r="AG217" s="584">
        <v>0</v>
      </c>
      <c r="AH217" s="584">
        <v>0</v>
      </c>
      <c r="AI217" s="584">
        <v>0</v>
      </c>
      <c r="AJ217" s="584">
        <v>0</v>
      </c>
      <c r="AK217" s="584">
        <v>0</v>
      </c>
      <c r="AL217" s="584">
        <v>0</v>
      </c>
      <c r="AM217" s="584">
        <v>0</v>
      </c>
      <c r="AN217" s="584">
        <v>0</v>
      </c>
      <c r="AO217" s="584">
        <v>0</v>
      </c>
      <c r="AP217" s="584">
        <v>0</v>
      </c>
      <c r="AQ217" s="584">
        <v>0</v>
      </c>
      <c r="AR217" s="584">
        <v>0</v>
      </c>
      <c r="AS217" s="584">
        <v>0</v>
      </c>
      <c r="AT217" s="584">
        <v>0</v>
      </c>
      <c r="AU217" s="584">
        <v>0</v>
      </c>
      <c r="AV217" s="584">
        <v>0</v>
      </c>
      <c r="AW217" s="584">
        <v>0</v>
      </c>
      <c r="AX217" s="584">
        <v>0</v>
      </c>
      <c r="AY217" s="584">
        <v>0</v>
      </c>
      <c r="AZ217" s="584">
        <v>0</v>
      </c>
      <c r="BA217" s="584">
        <v>0</v>
      </c>
      <c r="BB217" s="584">
        <v>0</v>
      </c>
      <c r="BC217" s="584">
        <v>0</v>
      </c>
      <c r="BD217" s="584">
        <v>0</v>
      </c>
      <c r="BE217" s="584">
        <v>0</v>
      </c>
      <c r="BF217" s="584">
        <v>0</v>
      </c>
      <c r="BG217" s="584">
        <v>0</v>
      </c>
      <c r="BH217" s="584">
        <v>0</v>
      </c>
      <c r="BI217" s="584">
        <v>0</v>
      </c>
      <c r="BJ217" s="584">
        <v>0</v>
      </c>
      <c r="BK217" s="584">
        <v>0</v>
      </c>
      <c r="BL217" s="584">
        <v>0</v>
      </c>
      <c r="BM217" s="584">
        <v>0</v>
      </c>
      <c r="BN217" s="584">
        <v>0</v>
      </c>
      <c r="BO217" s="584">
        <v>0</v>
      </c>
      <c r="BP217" s="584">
        <v>0</v>
      </c>
      <c r="BQ217" s="584">
        <v>0</v>
      </c>
      <c r="BR217" s="584">
        <v>0</v>
      </c>
      <c r="BS217" s="584">
        <v>0</v>
      </c>
      <c r="BT217" s="584">
        <v>0</v>
      </c>
      <c r="BU217" s="584">
        <v>0</v>
      </c>
      <c r="BV217" s="584">
        <v>0</v>
      </c>
      <c r="BW217" s="584">
        <v>0</v>
      </c>
      <c r="BX217" s="584">
        <v>0</v>
      </c>
      <c r="BY217" s="584">
        <v>0</v>
      </c>
      <c r="BZ217" s="584">
        <v>0</v>
      </c>
      <c r="CA217" s="584">
        <v>0</v>
      </c>
      <c r="CB217" s="584">
        <v>0</v>
      </c>
      <c r="CC217" s="584">
        <v>0</v>
      </c>
      <c r="CD217" s="584">
        <v>0</v>
      </c>
      <c r="CE217" s="584">
        <v>0</v>
      </c>
      <c r="CF217" s="584">
        <v>0</v>
      </c>
      <c r="CG217" s="584">
        <v>0</v>
      </c>
      <c r="CH217" s="584">
        <v>0</v>
      </c>
      <c r="CI217" s="584">
        <v>0</v>
      </c>
      <c r="CJ217" s="584">
        <v>0</v>
      </c>
      <c r="CK217" s="584">
        <v>0</v>
      </c>
      <c r="CL217" s="584">
        <v>0</v>
      </c>
      <c r="CM217" s="584">
        <v>0</v>
      </c>
      <c r="CN217" s="584">
        <v>0</v>
      </c>
      <c r="CO217" s="584">
        <v>0</v>
      </c>
      <c r="CP217" s="584">
        <v>0</v>
      </c>
      <c r="CQ217" s="584">
        <v>0</v>
      </c>
      <c r="CR217" s="584">
        <v>0</v>
      </c>
      <c r="CS217" s="584">
        <v>0</v>
      </c>
      <c r="CT217" s="584">
        <v>0</v>
      </c>
      <c r="CU217" s="584">
        <v>0</v>
      </c>
      <c r="CV217" s="584">
        <v>0</v>
      </c>
      <c r="CW217" s="584">
        <v>0</v>
      </c>
      <c r="CX217" s="584">
        <v>0</v>
      </c>
      <c r="CY217" s="584">
        <v>0</v>
      </c>
      <c r="CZ217" s="584">
        <v>0</v>
      </c>
      <c r="DA217" s="584">
        <v>0</v>
      </c>
      <c r="DB217" s="584">
        <v>0</v>
      </c>
      <c r="DC217" s="584">
        <v>0</v>
      </c>
      <c r="DD217" s="584">
        <v>0</v>
      </c>
      <c r="DE217" s="584">
        <v>0</v>
      </c>
      <c r="DF217" s="584">
        <v>0</v>
      </c>
      <c r="DG217" s="584">
        <v>0</v>
      </c>
      <c r="DH217" s="584">
        <v>0</v>
      </c>
      <c r="DI217" s="584">
        <v>0</v>
      </c>
      <c r="DJ217" s="584">
        <v>0</v>
      </c>
      <c r="DK217" s="584">
        <v>0</v>
      </c>
      <c r="DL217" s="584">
        <v>0</v>
      </c>
      <c r="DM217" s="584">
        <v>0</v>
      </c>
      <c r="DN217" s="584">
        <v>0</v>
      </c>
      <c r="DO217" s="584">
        <v>0</v>
      </c>
      <c r="DP217" s="584">
        <v>0</v>
      </c>
      <c r="DQ217" s="584">
        <v>0</v>
      </c>
      <c r="DR217" s="584">
        <v>0</v>
      </c>
      <c r="DS217" s="584">
        <v>0</v>
      </c>
      <c r="DT217" s="584">
        <v>0</v>
      </c>
      <c r="DU217" s="584">
        <v>0</v>
      </c>
      <c r="DV217" s="584">
        <v>0</v>
      </c>
      <c r="DW217" s="584">
        <v>0</v>
      </c>
      <c r="DX217" s="584">
        <v>0</v>
      </c>
      <c r="DY217" s="584">
        <v>0</v>
      </c>
      <c r="DZ217" s="584">
        <v>0</v>
      </c>
      <c r="EA217" s="1062">
        <v>0</v>
      </c>
      <c r="EB217" s="1046">
        <v>0</v>
      </c>
      <c r="EC217" s="1093">
        <v>0</v>
      </c>
      <c r="ED217" s="1046">
        <v>0</v>
      </c>
      <c r="EE217" s="1046">
        <v>0</v>
      </c>
      <c r="EF217" s="1046">
        <v>0</v>
      </c>
      <c r="EG217" s="1046">
        <v>0</v>
      </c>
      <c r="EH217" s="1046">
        <v>0</v>
      </c>
      <c r="EI217" s="1046">
        <v>0</v>
      </c>
      <c r="EJ217" s="1046">
        <v>0</v>
      </c>
      <c r="EK217" s="1046">
        <v>0</v>
      </c>
      <c r="EL217" s="1046">
        <v>0</v>
      </c>
      <c r="EM217" s="1046">
        <v>0</v>
      </c>
      <c r="EN217" s="1046">
        <v>0</v>
      </c>
      <c r="EO217" s="1046">
        <v>0</v>
      </c>
      <c r="EP217" s="1094">
        <v>0</v>
      </c>
      <c r="EQ217" s="1094">
        <v>0</v>
      </c>
      <c r="ER217" s="1094">
        <v>0</v>
      </c>
      <c r="ES217" s="1095">
        <v>0</v>
      </c>
      <c r="ET217" s="1094">
        <v>0</v>
      </c>
      <c r="EU217" s="1094">
        <v>0</v>
      </c>
      <c r="EV217" s="1096">
        <v>0.91220000000000001</v>
      </c>
      <c r="EW217" s="1097">
        <v>0.15</v>
      </c>
      <c r="EX217" s="1096">
        <v>289.50050968399592</v>
      </c>
      <c r="EY217" s="1096">
        <v>1.5443934760448521</v>
      </c>
      <c r="EZ217" s="1096">
        <v>0</v>
      </c>
      <c r="FA217" s="1096">
        <v>34.022222222222226</v>
      </c>
      <c r="FB217" s="1098">
        <v>0</v>
      </c>
      <c r="FC217" s="1098">
        <v>0</v>
      </c>
      <c r="FD217" s="1098" t="s">
        <v>385</v>
      </c>
      <c r="FE217" s="1098" t="s">
        <v>410</v>
      </c>
      <c r="FF217" s="1098">
        <v>2</v>
      </c>
      <c r="FG217" s="1098">
        <v>0</v>
      </c>
      <c r="FH217" s="1098">
        <v>0</v>
      </c>
      <c r="FI217" s="1098">
        <v>0</v>
      </c>
      <c r="FJ217" s="1098">
        <v>0</v>
      </c>
      <c r="FK217" s="1096">
        <v>138.338161875</v>
      </c>
      <c r="FL217" s="1096">
        <v>135</v>
      </c>
      <c r="FM217" s="1096">
        <v>276.67632374999999</v>
      </c>
      <c r="FN217" s="1096">
        <v>270</v>
      </c>
      <c r="FO217" s="1096">
        <v>553.35264749999999</v>
      </c>
      <c r="FP217" s="1099">
        <v>540</v>
      </c>
      <c r="FQ217" s="1064">
        <v>1.3188599999999999</v>
      </c>
      <c r="FR217" s="1065">
        <v>0.15</v>
      </c>
      <c r="FS217" s="1066">
        <v>289.50050968399586</v>
      </c>
      <c r="FT217" s="1066">
        <v>3.2237153637237084</v>
      </c>
      <c r="FU217" s="1065"/>
      <c r="FV217" s="1066">
        <v>72.781866643107435</v>
      </c>
      <c r="FW217" s="1065"/>
      <c r="FX217" s="1065"/>
      <c r="FY217" s="1065" t="s">
        <v>381</v>
      </c>
      <c r="FZ217" s="1065" t="s">
        <v>396</v>
      </c>
      <c r="GA217" s="1065">
        <v>2</v>
      </c>
      <c r="GB217" s="1065"/>
      <c r="GC217" s="1065"/>
      <c r="GD217" s="1065"/>
      <c r="GE217" s="1065"/>
      <c r="GF217" s="1066">
        <v>148.0144981326867</v>
      </c>
      <c r="GG217" s="1066">
        <v>135</v>
      </c>
      <c r="GH217" s="1066">
        <v>296.02899626537339</v>
      </c>
      <c r="GI217" s="1066">
        <v>270</v>
      </c>
      <c r="GJ217" s="1066">
        <v>592.05799253074679</v>
      </c>
      <c r="GK217" s="1066">
        <v>540</v>
      </c>
      <c r="GL217" s="584">
        <v>1.1301000000000001</v>
      </c>
      <c r="GM217" s="584">
        <v>0.15</v>
      </c>
      <c r="GN217" s="584"/>
      <c r="GO217" s="584"/>
      <c r="GP217" s="584"/>
      <c r="GQ217" s="584">
        <v>64.1933333333333</v>
      </c>
      <c r="GR217" s="584"/>
      <c r="GS217" s="584">
        <v>76.452599388379198</v>
      </c>
      <c r="GT217" s="584" t="s">
        <v>389</v>
      </c>
      <c r="GU217" s="584" t="s">
        <v>349</v>
      </c>
      <c r="GV217" s="584">
        <v>1</v>
      </c>
      <c r="GW217" s="584"/>
      <c r="GX217" s="584"/>
      <c r="GY217" s="584"/>
      <c r="GZ217" s="584"/>
      <c r="HA217" s="584">
        <v>73.566110249999994</v>
      </c>
      <c r="HB217" s="584">
        <v>135</v>
      </c>
      <c r="HC217" s="584">
        <v>147.13222049999999</v>
      </c>
      <c r="HD217" s="584">
        <v>270</v>
      </c>
      <c r="HE217" s="584">
        <v>294.26444099999998</v>
      </c>
      <c r="HF217" s="584">
        <v>540</v>
      </c>
      <c r="HG217" s="1100">
        <v>1.75</v>
      </c>
      <c r="HH217" s="1100">
        <v>0.11</v>
      </c>
      <c r="HI217" s="1101">
        <v>0</v>
      </c>
      <c r="HJ217" s="1101">
        <v>0</v>
      </c>
      <c r="HK217" s="1101">
        <v>0</v>
      </c>
      <c r="HL217" s="1101">
        <v>0</v>
      </c>
      <c r="HM217" s="1101">
        <v>77.759999999999991</v>
      </c>
      <c r="HN217" s="1101">
        <v>54.999999999999993</v>
      </c>
      <c r="HO217" s="1101">
        <v>0</v>
      </c>
      <c r="HP217" s="1101">
        <v>0</v>
      </c>
      <c r="HQ217" s="1101">
        <v>2</v>
      </c>
      <c r="HR217" s="1101">
        <v>1.64</v>
      </c>
      <c r="HS217" s="1101">
        <v>1.4</v>
      </c>
      <c r="HT217" s="1101">
        <v>0.3</v>
      </c>
      <c r="HU217" s="1101">
        <v>0.3</v>
      </c>
      <c r="HV217" s="1101">
        <v>70.955176500000007</v>
      </c>
      <c r="HW217" s="1101">
        <v>135</v>
      </c>
      <c r="HX217" s="1101">
        <v>141.91035300000001</v>
      </c>
      <c r="HY217" s="1101">
        <v>270</v>
      </c>
      <c r="HZ217" s="1101">
        <v>283.82070600000003</v>
      </c>
      <c r="IA217" s="1101">
        <v>540</v>
      </c>
      <c r="IB217" s="1062"/>
      <c r="ID217" s="1050"/>
      <c r="IE217" s="1050"/>
      <c r="IM217" s="1050"/>
      <c r="IN217" s="1050"/>
      <c r="IO217" s="1050"/>
      <c r="IP217" s="1050"/>
      <c r="JU217" s="1050"/>
      <c r="KC217" s="1050"/>
      <c r="KD217" s="1050"/>
      <c r="KE217" s="1050"/>
      <c r="KF217" s="1050"/>
      <c r="KN217" s="1103"/>
    </row>
    <row r="218" spans="2:300">
      <c r="B218" s="1048" t="str">
        <f t="shared" si="6"/>
        <v>E916</v>
      </c>
      <c r="C218" s="1046">
        <v>9</v>
      </c>
      <c r="D218" s="1092">
        <v>16</v>
      </c>
      <c r="E218" s="584">
        <v>0</v>
      </c>
      <c r="F218" s="584">
        <v>0</v>
      </c>
      <c r="G218" s="584">
        <v>0</v>
      </c>
      <c r="H218" s="584">
        <v>0</v>
      </c>
      <c r="I218" s="584">
        <v>0</v>
      </c>
      <c r="J218" s="584">
        <v>0</v>
      </c>
      <c r="K218" s="584">
        <v>0</v>
      </c>
      <c r="L218" s="584">
        <v>0</v>
      </c>
      <c r="M218" s="584">
        <v>0</v>
      </c>
      <c r="N218" s="584">
        <v>0</v>
      </c>
      <c r="O218" s="584">
        <v>0</v>
      </c>
      <c r="P218" s="584">
        <v>0</v>
      </c>
      <c r="Q218" s="584">
        <v>0</v>
      </c>
      <c r="R218" s="584">
        <v>0</v>
      </c>
      <c r="S218" s="584">
        <v>0</v>
      </c>
      <c r="T218" s="584">
        <v>0</v>
      </c>
      <c r="U218" s="584">
        <v>0</v>
      </c>
      <c r="V218" s="584">
        <v>0</v>
      </c>
      <c r="W218" s="584">
        <v>0</v>
      </c>
      <c r="X218" s="584">
        <v>0</v>
      </c>
      <c r="Y218" s="584">
        <v>0</v>
      </c>
      <c r="Z218" s="584">
        <v>0</v>
      </c>
      <c r="AA218" s="584">
        <v>0</v>
      </c>
      <c r="AB218" s="584">
        <v>0</v>
      </c>
      <c r="AC218" s="584">
        <v>0</v>
      </c>
      <c r="AD218" s="584">
        <v>0</v>
      </c>
      <c r="AE218" s="584">
        <v>0</v>
      </c>
      <c r="AF218" s="584">
        <v>0</v>
      </c>
      <c r="AG218" s="584">
        <v>0</v>
      </c>
      <c r="AH218" s="584">
        <v>0</v>
      </c>
      <c r="AI218" s="584">
        <v>0</v>
      </c>
      <c r="AJ218" s="584">
        <v>0</v>
      </c>
      <c r="AK218" s="584">
        <v>0</v>
      </c>
      <c r="AL218" s="584">
        <v>0</v>
      </c>
      <c r="AM218" s="584">
        <v>0</v>
      </c>
      <c r="AN218" s="584">
        <v>0</v>
      </c>
      <c r="AO218" s="584">
        <v>173.08143749999999</v>
      </c>
      <c r="AP218" s="584">
        <v>144</v>
      </c>
      <c r="AQ218" s="584">
        <v>252.35343750000001</v>
      </c>
      <c r="AR218" s="584">
        <v>302.39999999999998</v>
      </c>
      <c r="AS218" s="584">
        <v>135.71100000000001</v>
      </c>
      <c r="AT218" s="584">
        <v>633.6</v>
      </c>
      <c r="AU218" s="584">
        <v>0</v>
      </c>
      <c r="AV218" s="584">
        <v>0</v>
      </c>
      <c r="AW218" s="584">
        <v>0</v>
      </c>
      <c r="AX218" s="584">
        <v>0</v>
      </c>
      <c r="AY218" s="584">
        <v>0</v>
      </c>
      <c r="AZ218" s="584">
        <v>0</v>
      </c>
      <c r="BA218" s="584">
        <v>0</v>
      </c>
      <c r="BB218" s="584">
        <v>0</v>
      </c>
      <c r="BC218" s="584">
        <v>0</v>
      </c>
      <c r="BD218" s="584">
        <v>0</v>
      </c>
      <c r="BE218" s="584">
        <v>0</v>
      </c>
      <c r="BF218" s="584">
        <v>0</v>
      </c>
      <c r="BG218" s="584">
        <v>0</v>
      </c>
      <c r="BH218" s="584">
        <v>0</v>
      </c>
      <c r="BI218" s="584">
        <v>0</v>
      </c>
      <c r="BJ218" s="584">
        <v>0</v>
      </c>
      <c r="BK218" s="584">
        <v>0</v>
      </c>
      <c r="BL218" s="584">
        <v>0</v>
      </c>
      <c r="BM218" s="584">
        <v>0</v>
      </c>
      <c r="BN218" s="584">
        <v>0</v>
      </c>
      <c r="BO218" s="584">
        <v>0</v>
      </c>
      <c r="BP218" s="584">
        <v>0</v>
      </c>
      <c r="BQ218" s="584">
        <v>0</v>
      </c>
      <c r="BR218" s="584">
        <v>0</v>
      </c>
      <c r="BS218" s="584">
        <v>0</v>
      </c>
      <c r="BT218" s="584">
        <v>0</v>
      </c>
      <c r="BU218" s="584">
        <v>0</v>
      </c>
      <c r="BV218" s="584">
        <v>0</v>
      </c>
      <c r="BW218" s="584">
        <v>0</v>
      </c>
      <c r="BX218" s="584">
        <v>0</v>
      </c>
      <c r="BY218" s="584">
        <v>0</v>
      </c>
      <c r="BZ218" s="584">
        <v>0</v>
      </c>
      <c r="CA218" s="584">
        <v>0</v>
      </c>
      <c r="CB218" s="584">
        <v>0</v>
      </c>
      <c r="CC218" s="584">
        <v>0</v>
      </c>
      <c r="CD218" s="584">
        <v>0</v>
      </c>
      <c r="CE218" s="584">
        <v>0</v>
      </c>
      <c r="CF218" s="584">
        <v>0</v>
      </c>
      <c r="CG218" s="584">
        <v>0</v>
      </c>
      <c r="CH218" s="584">
        <v>0</v>
      </c>
      <c r="CI218" s="584">
        <v>0</v>
      </c>
      <c r="CJ218" s="584">
        <v>0</v>
      </c>
      <c r="CK218" s="584">
        <v>0</v>
      </c>
      <c r="CL218" s="584">
        <v>0</v>
      </c>
      <c r="CM218" s="584">
        <v>0</v>
      </c>
      <c r="CN218" s="584">
        <v>0</v>
      </c>
      <c r="CO218" s="584">
        <v>0</v>
      </c>
      <c r="CP218" s="584">
        <v>0</v>
      </c>
      <c r="CQ218" s="584">
        <v>0</v>
      </c>
      <c r="CR218" s="584">
        <v>0</v>
      </c>
      <c r="CS218" s="584">
        <v>0</v>
      </c>
      <c r="CT218" s="584">
        <v>0</v>
      </c>
      <c r="CU218" s="584">
        <v>0</v>
      </c>
      <c r="CV218" s="584">
        <v>0</v>
      </c>
      <c r="CW218" s="584">
        <v>0</v>
      </c>
      <c r="CX218" s="584">
        <v>0</v>
      </c>
      <c r="CY218" s="584">
        <v>0</v>
      </c>
      <c r="CZ218" s="584">
        <v>0</v>
      </c>
      <c r="DA218" s="584">
        <v>0</v>
      </c>
      <c r="DB218" s="584">
        <v>0</v>
      </c>
      <c r="DC218" s="584">
        <v>0</v>
      </c>
      <c r="DD218" s="584">
        <v>0</v>
      </c>
      <c r="DE218" s="584">
        <v>0</v>
      </c>
      <c r="DF218" s="584">
        <v>0</v>
      </c>
      <c r="DG218" s="584">
        <v>0</v>
      </c>
      <c r="DH218" s="584">
        <v>0</v>
      </c>
      <c r="DI218" s="584">
        <v>0</v>
      </c>
      <c r="DJ218" s="584">
        <v>0</v>
      </c>
      <c r="DK218" s="584">
        <v>0</v>
      </c>
      <c r="DL218" s="584">
        <v>0</v>
      </c>
      <c r="DM218" s="584">
        <v>0</v>
      </c>
      <c r="DN218" s="584">
        <v>0</v>
      </c>
      <c r="DO218" s="584">
        <v>0</v>
      </c>
      <c r="DP218" s="584">
        <v>0</v>
      </c>
      <c r="DQ218" s="584">
        <v>0</v>
      </c>
      <c r="DR218" s="584">
        <v>0</v>
      </c>
      <c r="DS218" s="584">
        <v>0</v>
      </c>
      <c r="DT218" s="584">
        <v>0</v>
      </c>
      <c r="DU218" s="584">
        <v>0</v>
      </c>
      <c r="DV218" s="584">
        <v>0</v>
      </c>
      <c r="DW218" s="584">
        <v>0</v>
      </c>
      <c r="DX218" s="584">
        <v>0</v>
      </c>
      <c r="DY218" s="584">
        <v>0</v>
      </c>
      <c r="DZ218" s="584">
        <v>0</v>
      </c>
      <c r="EA218" s="1062">
        <v>0</v>
      </c>
      <c r="EB218" s="1046">
        <v>0</v>
      </c>
      <c r="EC218" s="1093">
        <v>0</v>
      </c>
      <c r="ED218" s="1046">
        <v>0</v>
      </c>
      <c r="EE218" s="1046">
        <v>0</v>
      </c>
      <c r="EF218" s="1046">
        <v>0</v>
      </c>
      <c r="EG218" s="1046">
        <v>0</v>
      </c>
      <c r="EH218" s="1046">
        <v>0</v>
      </c>
      <c r="EI218" s="1046">
        <v>0</v>
      </c>
      <c r="EJ218" s="1046">
        <v>0</v>
      </c>
      <c r="EK218" s="1046">
        <v>0</v>
      </c>
      <c r="EL218" s="1046">
        <v>0</v>
      </c>
      <c r="EM218" s="1046">
        <v>0</v>
      </c>
      <c r="EN218" s="1046">
        <v>0</v>
      </c>
      <c r="EO218" s="1046">
        <v>0</v>
      </c>
      <c r="EP218" s="1094">
        <v>0</v>
      </c>
      <c r="EQ218" s="1094">
        <v>0</v>
      </c>
      <c r="ER218" s="1094">
        <v>0</v>
      </c>
      <c r="ES218" s="1095">
        <v>0</v>
      </c>
      <c r="ET218" s="1094">
        <v>0</v>
      </c>
      <c r="EU218" s="1094">
        <v>0</v>
      </c>
      <c r="EV218" s="1096">
        <v>0.91220000000000001</v>
      </c>
      <c r="EW218" s="1097">
        <v>0.15</v>
      </c>
      <c r="EX218" s="1096">
        <v>289.50050968399592</v>
      </c>
      <c r="EY218" s="1096">
        <v>1.5443934760448521</v>
      </c>
      <c r="EZ218" s="1096">
        <v>0</v>
      </c>
      <c r="FA218" s="1096">
        <v>38.634722222222223</v>
      </c>
      <c r="FB218" s="1098">
        <v>0</v>
      </c>
      <c r="FC218" s="1098">
        <v>0</v>
      </c>
      <c r="FD218" s="1098" t="s">
        <v>385</v>
      </c>
      <c r="FE218" s="1098" t="s">
        <v>396</v>
      </c>
      <c r="FF218" s="1098">
        <v>2</v>
      </c>
      <c r="FG218" s="1098">
        <v>0</v>
      </c>
      <c r="FH218" s="1098">
        <v>0</v>
      </c>
      <c r="FI218" s="1098">
        <v>0</v>
      </c>
      <c r="FJ218" s="1098">
        <v>0</v>
      </c>
      <c r="FK218" s="1096">
        <v>149.18965649999998</v>
      </c>
      <c r="FL218" s="1096">
        <v>144</v>
      </c>
      <c r="FM218" s="1096">
        <v>298.37931299999997</v>
      </c>
      <c r="FN218" s="1096">
        <v>288</v>
      </c>
      <c r="FO218" s="1096">
        <v>596.75862599999994</v>
      </c>
      <c r="FP218" s="1099">
        <v>576</v>
      </c>
      <c r="FQ218" s="1064">
        <v>1.32698</v>
      </c>
      <c r="FR218" s="1065">
        <v>0.15</v>
      </c>
      <c r="FS218" s="1066">
        <v>289.50050968399586</v>
      </c>
      <c r="FT218" s="1066">
        <v>3.2237153637237084</v>
      </c>
      <c r="FU218" s="1065"/>
      <c r="FV218" s="1066">
        <v>76.643477341323518</v>
      </c>
      <c r="FW218" s="1065"/>
      <c r="FX218" s="1065"/>
      <c r="FY218" s="1065" t="s">
        <v>379</v>
      </c>
      <c r="FZ218" s="1065" t="s">
        <v>389</v>
      </c>
      <c r="GA218" s="1065">
        <v>2</v>
      </c>
      <c r="GB218" s="1065"/>
      <c r="GC218" s="1065"/>
      <c r="GD218" s="1065"/>
      <c r="GE218" s="1065"/>
      <c r="GF218" s="1066">
        <v>159.24589777571447</v>
      </c>
      <c r="GG218" s="1066">
        <v>144</v>
      </c>
      <c r="GH218" s="1066">
        <v>318.49179555142894</v>
      </c>
      <c r="GI218" s="1066">
        <v>288</v>
      </c>
      <c r="GJ218" s="1066">
        <v>636.98359110285787</v>
      </c>
      <c r="GK218" s="1066">
        <v>576</v>
      </c>
      <c r="GL218" s="584">
        <v>1.1498999999999999</v>
      </c>
      <c r="GM218" s="584">
        <v>0.15</v>
      </c>
      <c r="GN218" s="584"/>
      <c r="GO218" s="584"/>
      <c r="GP218" s="584"/>
      <c r="GQ218" s="584">
        <v>79.025694444444497</v>
      </c>
      <c r="GR218" s="584"/>
      <c r="GS218" s="584">
        <v>76.452599388379198</v>
      </c>
      <c r="GT218" s="584" t="s">
        <v>387</v>
      </c>
      <c r="GU218" s="584" t="s">
        <v>345</v>
      </c>
      <c r="GV218" s="584">
        <v>1</v>
      </c>
      <c r="GW218" s="584"/>
      <c r="GX218" s="584"/>
      <c r="GY218" s="584"/>
      <c r="GZ218" s="584"/>
      <c r="HA218" s="584">
        <v>83.70871425</v>
      </c>
      <c r="HB218" s="584">
        <v>144</v>
      </c>
      <c r="HC218" s="584">
        <v>167.4174285</v>
      </c>
      <c r="HD218" s="584">
        <v>288</v>
      </c>
      <c r="HE218" s="584">
        <v>334.834857</v>
      </c>
      <c r="HF218" s="584">
        <v>576</v>
      </c>
      <c r="HG218" s="1100">
        <v>1.87</v>
      </c>
      <c r="HH218" s="1100">
        <v>0.11</v>
      </c>
      <c r="HI218" s="1101">
        <v>0</v>
      </c>
      <c r="HJ218" s="1101">
        <v>0</v>
      </c>
      <c r="HK218" s="1101">
        <v>0</v>
      </c>
      <c r="HL218" s="1101">
        <v>0</v>
      </c>
      <c r="HM218" s="1101">
        <v>85.050000000000011</v>
      </c>
      <c r="HN218" s="1101">
        <v>54.999999999999993</v>
      </c>
      <c r="HO218" s="1101">
        <v>0</v>
      </c>
      <c r="HP218" s="1101">
        <v>0</v>
      </c>
      <c r="HQ218" s="1101">
        <v>2</v>
      </c>
      <c r="HR218" s="1101">
        <v>1.76</v>
      </c>
      <c r="HS218" s="1101">
        <v>1.56</v>
      </c>
      <c r="HT218" s="1101">
        <v>0.3</v>
      </c>
      <c r="HU218" s="1101">
        <v>0.3</v>
      </c>
      <c r="HV218" s="1101">
        <v>78.260058000000001</v>
      </c>
      <c r="HW218" s="1101">
        <v>144</v>
      </c>
      <c r="HX218" s="1101">
        <v>156.520116</v>
      </c>
      <c r="HY218" s="1101">
        <v>288</v>
      </c>
      <c r="HZ218" s="1101">
        <v>313.040232</v>
      </c>
      <c r="IA218" s="1101">
        <v>576</v>
      </c>
      <c r="IB218" s="1062"/>
      <c r="ID218" s="1050"/>
      <c r="IE218" s="1050"/>
      <c r="IM218" s="1050"/>
      <c r="IN218" s="1050"/>
      <c r="IO218" s="1050"/>
      <c r="IP218" s="1050"/>
      <c r="JU218" s="1050"/>
      <c r="KC218" s="1050"/>
      <c r="KD218" s="1050"/>
      <c r="KE218" s="1050"/>
      <c r="KF218" s="1050"/>
      <c r="KN218" s="1103"/>
    </row>
    <row r="219" spans="2:300">
      <c r="B219" s="1048" t="str">
        <f t="shared" si="6"/>
        <v>E1010</v>
      </c>
      <c r="C219" s="1046">
        <v>10</v>
      </c>
      <c r="D219" s="1092">
        <v>10</v>
      </c>
      <c r="E219" s="584">
        <v>0.375</v>
      </c>
      <c r="F219" s="584">
        <v>0.375</v>
      </c>
      <c r="G219" s="584">
        <v>900</v>
      </c>
      <c r="H219" s="584">
        <v>30</v>
      </c>
      <c r="I219" s="584">
        <v>0</v>
      </c>
      <c r="J219" s="584">
        <v>0</v>
      </c>
      <c r="K219" s="584">
        <v>0</v>
      </c>
      <c r="L219" s="584">
        <v>0</v>
      </c>
      <c r="M219" s="584">
        <v>0</v>
      </c>
      <c r="N219" s="584">
        <v>0</v>
      </c>
      <c r="O219" s="584">
        <v>0</v>
      </c>
      <c r="P219" s="584">
        <v>0</v>
      </c>
      <c r="Q219" s="584">
        <v>0</v>
      </c>
      <c r="R219" s="584">
        <v>0</v>
      </c>
      <c r="S219" s="584">
        <v>0</v>
      </c>
      <c r="T219" s="584">
        <v>389.98143750000003</v>
      </c>
      <c r="U219" s="584">
        <v>100</v>
      </c>
      <c r="V219" s="584">
        <v>676.87874999999997</v>
      </c>
      <c r="W219" s="584">
        <v>210</v>
      </c>
      <c r="X219" s="584">
        <v>1128.241</v>
      </c>
      <c r="Y219" s="584">
        <v>440</v>
      </c>
      <c r="Z219" s="584">
        <v>0.28499999999999998</v>
      </c>
      <c r="AA219" s="584">
        <v>0.28499999999999998</v>
      </c>
      <c r="AB219" s="584">
        <v>684</v>
      </c>
      <c r="AC219" s="584">
        <v>24</v>
      </c>
      <c r="AD219" s="584">
        <v>0</v>
      </c>
      <c r="AE219" s="584">
        <v>0</v>
      </c>
      <c r="AF219" s="584">
        <v>0</v>
      </c>
      <c r="AG219" s="584">
        <v>0</v>
      </c>
      <c r="AH219" s="584">
        <v>0</v>
      </c>
      <c r="AI219" s="584">
        <v>0</v>
      </c>
      <c r="AJ219" s="584">
        <v>0</v>
      </c>
      <c r="AK219" s="584">
        <v>0</v>
      </c>
      <c r="AL219" s="584">
        <v>0</v>
      </c>
      <c r="AM219" s="584">
        <v>0</v>
      </c>
      <c r="AN219" s="584">
        <v>0</v>
      </c>
      <c r="AO219" s="584">
        <v>329.14143749999999</v>
      </c>
      <c r="AP219" s="584">
        <v>100</v>
      </c>
      <c r="AQ219" s="584">
        <v>552.84243749999996</v>
      </c>
      <c r="AR219" s="584">
        <v>210</v>
      </c>
      <c r="AS219" s="584">
        <v>880.74099999999999</v>
      </c>
      <c r="AT219" s="584">
        <v>440</v>
      </c>
      <c r="AU219" s="584">
        <v>0.7</v>
      </c>
      <c r="AV219" s="584">
        <v>0.45</v>
      </c>
      <c r="AW219" s="584">
        <v>688.05906540247702</v>
      </c>
      <c r="AX219" s="584">
        <v>37.580979102167198</v>
      </c>
      <c r="AY219" s="584">
        <v>0</v>
      </c>
      <c r="AZ219" s="584">
        <v>0</v>
      </c>
      <c r="BA219" s="584">
        <v>0</v>
      </c>
      <c r="BB219" s="584">
        <v>0</v>
      </c>
      <c r="BC219" s="584">
        <v>0</v>
      </c>
      <c r="BD219" s="584">
        <v>0</v>
      </c>
      <c r="BE219" s="584">
        <v>0</v>
      </c>
      <c r="BF219" s="584">
        <v>0</v>
      </c>
      <c r="BG219" s="584">
        <v>0.7</v>
      </c>
      <c r="BH219" s="584">
        <v>0</v>
      </c>
      <c r="BI219" s="584">
        <v>0.6</v>
      </c>
      <c r="BJ219" s="584">
        <v>335.56954955172898</v>
      </c>
      <c r="BK219" s="584">
        <v>100</v>
      </c>
      <c r="BL219" s="584">
        <v>547.14379236406796</v>
      </c>
      <c r="BM219" s="584">
        <v>210</v>
      </c>
      <c r="BN219" s="584">
        <v>869.23207435984295</v>
      </c>
      <c r="BO219" s="584">
        <v>440</v>
      </c>
      <c r="BP219" s="584">
        <v>0.625</v>
      </c>
      <c r="BQ219" s="584">
        <v>0.23</v>
      </c>
      <c r="BR219" s="584">
        <v>647.803502321981</v>
      </c>
      <c r="BS219" s="584">
        <v>28.138324787151699</v>
      </c>
      <c r="BT219" s="584">
        <v>0</v>
      </c>
      <c r="BU219" s="584">
        <v>0</v>
      </c>
      <c r="BV219" s="584">
        <v>0</v>
      </c>
      <c r="BW219" s="584">
        <v>0</v>
      </c>
      <c r="BX219" s="584">
        <v>0</v>
      </c>
      <c r="BY219" s="584">
        <v>0</v>
      </c>
      <c r="BZ219" s="584">
        <v>0</v>
      </c>
      <c r="CA219" s="584">
        <v>0.625</v>
      </c>
      <c r="CB219" s="584">
        <v>0.625</v>
      </c>
      <c r="CC219" s="584">
        <v>0.45</v>
      </c>
      <c r="CD219" s="584">
        <v>0.45</v>
      </c>
      <c r="CE219" s="584">
        <v>326.43515000000002</v>
      </c>
      <c r="CF219" s="584">
        <v>100</v>
      </c>
      <c r="CG219" s="584">
        <v>526.38708750000001</v>
      </c>
      <c r="CH219" s="584">
        <v>210</v>
      </c>
      <c r="CI219" s="584">
        <v>815.40646249999998</v>
      </c>
      <c r="CJ219" s="584">
        <v>440</v>
      </c>
      <c r="CK219" s="584">
        <v>0.8</v>
      </c>
      <c r="CL219" s="584">
        <v>0.33500000000000002</v>
      </c>
      <c r="CM219" s="584">
        <v>863.31240325077397</v>
      </c>
      <c r="CN219" s="584">
        <v>29.141180340557298</v>
      </c>
      <c r="CO219" s="584">
        <v>0</v>
      </c>
      <c r="CP219" s="584">
        <v>0</v>
      </c>
      <c r="CQ219" s="584">
        <v>0</v>
      </c>
      <c r="CR219" s="584">
        <v>0</v>
      </c>
      <c r="CS219" s="584">
        <v>0</v>
      </c>
      <c r="CT219" s="584">
        <v>0</v>
      </c>
      <c r="CU219" s="584">
        <v>0</v>
      </c>
      <c r="CV219" s="584">
        <v>0</v>
      </c>
      <c r="CW219" s="584">
        <v>0.8</v>
      </c>
      <c r="CX219" s="584">
        <v>0</v>
      </c>
      <c r="CY219" s="584">
        <v>0.45</v>
      </c>
      <c r="CZ219" s="584">
        <v>398.37004999999999</v>
      </c>
      <c r="DA219" s="584">
        <v>100</v>
      </c>
      <c r="DB219" s="584">
        <v>656.52104999999995</v>
      </c>
      <c r="DC219" s="584">
        <v>210</v>
      </c>
      <c r="DD219" s="584">
        <v>1069.42355</v>
      </c>
      <c r="DE219" s="584">
        <v>440</v>
      </c>
      <c r="DF219" s="584">
        <v>0.47499999999999998</v>
      </c>
      <c r="DG219" s="584">
        <v>0.25</v>
      </c>
      <c r="DH219" s="584">
        <v>321.60748839009301</v>
      </c>
      <c r="DI219" s="584">
        <v>16.312252515479901</v>
      </c>
      <c r="DJ219" s="584">
        <v>340</v>
      </c>
      <c r="DK219" s="584">
        <v>0</v>
      </c>
      <c r="DL219" s="584">
        <v>0</v>
      </c>
      <c r="DM219" s="584">
        <v>0</v>
      </c>
      <c r="DN219" s="584">
        <v>0</v>
      </c>
      <c r="DO219" s="584">
        <v>0</v>
      </c>
      <c r="DP219" s="584">
        <v>0</v>
      </c>
      <c r="DQ219" s="584">
        <v>0</v>
      </c>
      <c r="DR219" s="584">
        <v>0.47499999999999998</v>
      </c>
      <c r="DS219" s="584">
        <v>0</v>
      </c>
      <c r="DT219" s="584">
        <v>2.4</v>
      </c>
      <c r="DU219" s="584">
        <v>303.25512500000002</v>
      </c>
      <c r="DV219" s="584">
        <v>100</v>
      </c>
      <c r="DW219" s="584">
        <v>581.37400000000002</v>
      </c>
      <c r="DX219" s="584">
        <v>210</v>
      </c>
      <c r="DY219" s="584">
        <v>828.54425000000003</v>
      </c>
      <c r="DZ219" s="584">
        <v>440</v>
      </c>
      <c r="EA219" s="1062">
        <v>1.1407</v>
      </c>
      <c r="EB219" s="1046">
        <v>0.3</v>
      </c>
      <c r="EC219" s="1093">
        <v>132.51783893985731</v>
      </c>
      <c r="ED219" s="1046">
        <v>0</v>
      </c>
      <c r="EE219" s="1046">
        <v>397.55351681957183</v>
      </c>
      <c r="EF219" s="1046">
        <v>26.8</v>
      </c>
      <c r="EG219" s="1046">
        <v>0</v>
      </c>
      <c r="EH219" s="1046">
        <v>0</v>
      </c>
      <c r="EI219" s="1046" t="s">
        <v>379</v>
      </c>
      <c r="EJ219" s="1046" t="s">
        <v>465</v>
      </c>
      <c r="EK219" s="1046">
        <v>0</v>
      </c>
      <c r="EL219" s="1046">
        <v>0</v>
      </c>
      <c r="EM219" s="1046">
        <v>0</v>
      </c>
      <c r="EN219" s="1046">
        <v>0</v>
      </c>
      <c r="EO219" s="1046">
        <v>0</v>
      </c>
      <c r="EP219" s="1094">
        <v>156.5727</v>
      </c>
      <c r="EQ219" s="1094">
        <v>100</v>
      </c>
      <c r="ER219" s="1094">
        <v>313.1454</v>
      </c>
      <c r="ES219" s="1095">
        <v>200</v>
      </c>
      <c r="ET219" s="1094">
        <v>626.29079999999999</v>
      </c>
      <c r="EU219" s="1094">
        <v>400</v>
      </c>
      <c r="EV219" s="1096">
        <v>0.90400000000000003</v>
      </c>
      <c r="EW219" s="1097">
        <v>0.15</v>
      </c>
      <c r="EX219" s="1096">
        <v>289.50050968399592</v>
      </c>
      <c r="EY219" s="1096">
        <v>1.5443934760448521</v>
      </c>
      <c r="EZ219" s="1096">
        <v>0</v>
      </c>
      <c r="FA219" s="1096">
        <v>32.72</v>
      </c>
      <c r="FB219" s="1098">
        <v>0</v>
      </c>
      <c r="FC219" s="1098">
        <v>0</v>
      </c>
      <c r="FD219" s="1098" t="s">
        <v>387</v>
      </c>
      <c r="FE219" s="1098" t="s">
        <v>467</v>
      </c>
      <c r="FF219" s="1098">
        <v>3</v>
      </c>
      <c r="FG219" s="1098">
        <v>0</v>
      </c>
      <c r="FH219" s="1098">
        <v>0</v>
      </c>
      <c r="FI219" s="1098">
        <v>0</v>
      </c>
      <c r="FJ219" s="1098">
        <v>0</v>
      </c>
      <c r="FK219" s="1096">
        <v>102.15334250000001</v>
      </c>
      <c r="FL219" s="1096">
        <v>100</v>
      </c>
      <c r="FM219" s="1096">
        <v>204.30668500000002</v>
      </c>
      <c r="FN219" s="1096">
        <v>200</v>
      </c>
      <c r="FO219" s="1096">
        <v>408.61337000000003</v>
      </c>
      <c r="FP219" s="1099">
        <v>400</v>
      </c>
      <c r="FQ219" s="1064">
        <v>1.2056</v>
      </c>
      <c r="FR219" s="1065">
        <v>0.15</v>
      </c>
      <c r="FS219" s="1066">
        <v>289.50050968399586</v>
      </c>
      <c r="FT219" s="1066">
        <v>3.1754272996334754</v>
      </c>
      <c r="FU219" s="1065"/>
      <c r="FV219" s="1066">
        <v>54.246237917093524</v>
      </c>
      <c r="FW219" s="1065"/>
      <c r="FX219" s="1065"/>
      <c r="FY219" s="1065" t="s">
        <v>387</v>
      </c>
      <c r="FZ219" s="1065" t="s">
        <v>461</v>
      </c>
      <c r="GA219" s="1065">
        <v>3</v>
      </c>
      <c r="GB219" s="1065"/>
      <c r="GC219" s="1065"/>
      <c r="GD219" s="1065"/>
      <c r="GE219" s="1065"/>
      <c r="GF219" s="1066">
        <v>105.08266339440229</v>
      </c>
      <c r="GG219" s="1066">
        <v>100</v>
      </c>
      <c r="GH219" s="1066">
        <v>210.16532678880458</v>
      </c>
      <c r="GI219" s="1066">
        <v>200</v>
      </c>
      <c r="GJ219" s="1066">
        <v>420.33065357760916</v>
      </c>
      <c r="GK219" s="1066">
        <v>400</v>
      </c>
      <c r="GL219" s="584">
        <v>0.88</v>
      </c>
      <c r="GM219" s="584">
        <v>0.13</v>
      </c>
      <c r="GN219" s="584"/>
      <c r="GO219" s="584"/>
      <c r="GP219" s="584"/>
      <c r="GQ219" s="584">
        <v>53.56</v>
      </c>
      <c r="GR219" s="584"/>
      <c r="GS219" s="584">
        <v>66.2589194699286</v>
      </c>
      <c r="GT219" s="584" t="s">
        <v>389</v>
      </c>
      <c r="GU219" s="584" t="s">
        <v>389</v>
      </c>
      <c r="GV219" s="584">
        <v>2</v>
      </c>
      <c r="GW219" s="584"/>
      <c r="GX219" s="584"/>
      <c r="GY219" s="584"/>
      <c r="GZ219" s="584"/>
      <c r="HA219" s="584">
        <v>49.385590000000001</v>
      </c>
      <c r="HB219" s="584">
        <v>100</v>
      </c>
      <c r="HC219" s="584">
        <v>98.771180000000001</v>
      </c>
      <c r="HD219" s="584">
        <v>200</v>
      </c>
      <c r="HE219" s="584">
        <v>197.54236</v>
      </c>
      <c r="HF219" s="584">
        <v>400</v>
      </c>
      <c r="HG219" s="1100">
        <v>1.4300000000000002</v>
      </c>
      <c r="HH219" s="1100">
        <v>0.11</v>
      </c>
      <c r="HI219" s="1101">
        <v>0</v>
      </c>
      <c r="HJ219" s="1101">
        <v>0</v>
      </c>
      <c r="HK219" s="1101">
        <v>0</v>
      </c>
      <c r="HL219" s="1101">
        <v>0</v>
      </c>
      <c r="HM219" s="1101">
        <v>58.86</v>
      </c>
      <c r="HN219" s="1101">
        <v>54.999999999999993</v>
      </c>
      <c r="HO219" s="1101">
        <v>0</v>
      </c>
      <c r="HP219" s="1101">
        <v>0</v>
      </c>
      <c r="HQ219" s="1101">
        <v>3</v>
      </c>
      <c r="HR219" s="1101">
        <v>1.32</v>
      </c>
      <c r="HS219" s="1101">
        <v>0.76</v>
      </c>
      <c r="HT219" s="1101">
        <v>0.3</v>
      </c>
      <c r="HU219" s="1101">
        <v>0.3</v>
      </c>
      <c r="HV219" s="1101">
        <v>47.924165000000002</v>
      </c>
      <c r="HW219" s="1101">
        <v>100</v>
      </c>
      <c r="HX219" s="1101">
        <v>95.848330000000004</v>
      </c>
      <c r="HY219" s="1101">
        <v>200</v>
      </c>
      <c r="HZ219" s="1101">
        <v>191.69666000000001</v>
      </c>
      <c r="IA219" s="1101">
        <v>400</v>
      </c>
      <c r="IB219" s="1062"/>
      <c r="ID219" s="1050"/>
      <c r="IE219" s="1050"/>
      <c r="IM219" s="1050"/>
      <c r="IN219" s="1050"/>
      <c r="IO219" s="1050"/>
      <c r="IP219" s="1050"/>
      <c r="JU219" s="1050"/>
      <c r="KC219" s="1050"/>
      <c r="KD219" s="1050"/>
      <c r="KE219" s="1050"/>
      <c r="KF219" s="1050"/>
      <c r="KN219" s="1103"/>
    </row>
    <row r="220" spans="2:300">
      <c r="B220" s="1048" t="str">
        <f t="shared" si="6"/>
        <v>E1011</v>
      </c>
      <c r="C220" s="1046">
        <v>10</v>
      </c>
      <c r="D220" s="1092">
        <v>11</v>
      </c>
      <c r="E220" s="584">
        <v>0.42</v>
      </c>
      <c r="F220" s="584">
        <v>0.42</v>
      </c>
      <c r="G220" s="584">
        <v>1008</v>
      </c>
      <c r="H220" s="584">
        <v>31.08</v>
      </c>
      <c r="I220" s="584">
        <v>0</v>
      </c>
      <c r="J220" s="584">
        <v>0</v>
      </c>
      <c r="K220" s="584">
        <v>0</v>
      </c>
      <c r="L220" s="584">
        <v>0</v>
      </c>
      <c r="M220" s="584">
        <v>0</v>
      </c>
      <c r="N220" s="584">
        <v>0</v>
      </c>
      <c r="O220" s="584">
        <v>0</v>
      </c>
      <c r="P220" s="584">
        <v>0</v>
      </c>
      <c r="Q220" s="584">
        <v>0</v>
      </c>
      <c r="R220" s="584">
        <v>0</v>
      </c>
      <c r="S220" s="584">
        <v>0</v>
      </c>
      <c r="T220" s="584">
        <v>455.2614375</v>
      </c>
      <c r="U220" s="584">
        <v>110</v>
      </c>
      <c r="V220" s="584">
        <v>811.50975000000005</v>
      </c>
      <c r="W220" s="584">
        <v>231</v>
      </c>
      <c r="X220" s="584">
        <v>1376.2909999999999</v>
      </c>
      <c r="Y220" s="584">
        <v>484</v>
      </c>
      <c r="Z220" s="584">
        <v>0.32</v>
      </c>
      <c r="AA220" s="584">
        <v>0.32</v>
      </c>
      <c r="AB220" s="584">
        <v>768</v>
      </c>
      <c r="AC220" s="584">
        <v>25</v>
      </c>
      <c r="AD220" s="584">
        <v>0</v>
      </c>
      <c r="AE220" s="584">
        <v>0</v>
      </c>
      <c r="AF220" s="584">
        <v>0</v>
      </c>
      <c r="AG220" s="584">
        <v>0</v>
      </c>
      <c r="AH220" s="584">
        <v>0</v>
      </c>
      <c r="AI220" s="584">
        <v>0</v>
      </c>
      <c r="AJ220" s="584">
        <v>0</v>
      </c>
      <c r="AK220" s="584">
        <v>0</v>
      </c>
      <c r="AL220" s="584">
        <v>0</v>
      </c>
      <c r="AM220" s="584">
        <v>0</v>
      </c>
      <c r="AN220" s="584">
        <v>0</v>
      </c>
      <c r="AO220" s="584">
        <v>381.16143749999998</v>
      </c>
      <c r="AP220" s="584">
        <v>110</v>
      </c>
      <c r="AQ220" s="584">
        <v>661.35974999999996</v>
      </c>
      <c r="AR220" s="584">
        <v>231</v>
      </c>
      <c r="AS220" s="584">
        <v>1073.7909999999999</v>
      </c>
      <c r="AT220" s="584">
        <v>484</v>
      </c>
      <c r="AU220" s="584">
        <v>0.9</v>
      </c>
      <c r="AV220" s="584">
        <v>0.45</v>
      </c>
      <c r="AW220" s="584">
        <v>706.55277843045099</v>
      </c>
      <c r="AX220" s="584">
        <v>35.979470159774401</v>
      </c>
      <c r="AY220" s="584">
        <v>0</v>
      </c>
      <c r="AZ220" s="584">
        <v>0</v>
      </c>
      <c r="BA220" s="584">
        <v>0</v>
      </c>
      <c r="BB220" s="584">
        <v>0</v>
      </c>
      <c r="BC220" s="584">
        <v>0</v>
      </c>
      <c r="BD220" s="584">
        <v>0</v>
      </c>
      <c r="BE220" s="584">
        <v>0</v>
      </c>
      <c r="BF220" s="584">
        <v>0</v>
      </c>
      <c r="BG220" s="584">
        <v>0.9</v>
      </c>
      <c r="BH220" s="584">
        <v>0</v>
      </c>
      <c r="BI220" s="584">
        <v>0.45</v>
      </c>
      <c r="BJ220" s="584">
        <v>373.22032324218799</v>
      </c>
      <c r="BK220" s="584">
        <v>110</v>
      </c>
      <c r="BL220" s="584">
        <v>616.11891156969602</v>
      </c>
      <c r="BM220" s="584">
        <v>231</v>
      </c>
      <c r="BN220" s="584">
        <v>979.89086579975299</v>
      </c>
      <c r="BO220" s="584">
        <v>484</v>
      </c>
      <c r="BP220" s="584">
        <v>0.75</v>
      </c>
      <c r="BQ220" s="584">
        <v>0.23499999999999999</v>
      </c>
      <c r="BR220" s="584">
        <v>673.99941259398497</v>
      </c>
      <c r="BS220" s="584">
        <v>34.182230086936102</v>
      </c>
      <c r="BT220" s="584">
        <v>0</v>
      </c>
      <c r="BU220" s="584">
        <v>0</v>
      </c>
      <c r="BV220" s="584">
        <v>0</v>
      </c>
      <c r="BW220" s="584">
        <v>0</v>
      </c>
      <c r="BX220" s="584">
        <v>0</v>
      </c>
      <c r="BY220" s="584">
        <v>0</v>
      </c>
      <c r="BZ220" s="584">
        <v>0</v>
      </c>
      <c r="CA220" s="584">
        <v>0.625</v>
      </c>
      <c r="CB220" s="584">
        <v>0.75</v>
      </c>
      <c r="CC220" s="584">
        <v>0.45</v>
      </c>
      <c r="CD220" s="584">
        <v>0.45</v>
      </c>
      <c r="CE220" s="584">
        <v>361.41480000000001</v>
      </c>
      <c r="CF220" s="584">
        <v>110</v>
      </c>
      <c r="CG220" s="584">
        <v>594.22773749999999</v>
      </c>
      <c r="CH220" s="584">
        <v>231</v>
      </c>
      <c r="CI220" s="584">
        <v>920.4136125</v>
      </c>
      <c r="CJ220" s="584">
        <v>484</v>
      </c>
      <c r="CK220" s="584">
        <v>0.95</v>
      </c>
      <c r="CL220" s="584">
        <v>0.33500000000000002</v>
      </c>
      <c r="CM220" s="584">
        <v>880.28404017857201</v>
      </c>
      <c r="CN220" s="584">
        <v>29.2791373942669</v>
      </c>
      <c r="CO220" s="584">
        <v>0</v>
      </c>
      <c r="CP220" s="584">
        <v>0</v>
      </c>
      <c r="CQ220" s="584">
        <v>0</v>
      </c>
      <c r="CR220" s="584">
        <v>0</v>
      </c>
      <c r="CS220" s="584">
        <v>0</v>
      </c>
      <c r="CT220" s="584">
        <v>0</v>
      </c>
      <c r="CU220" s="584">
        <v>0</v>
      </c>
      <c r="CV220" s="584">
        <v>0</v>
      </c>
      <c r="CW220" s="584">
        <v>0.95</v>
      </c>
      <c r="CX220" s="584">
        <v>0</v>
      </c>
      <c r="CY220" s="584">
        <v>0.6</v>
      </c>
      <c r="CZ220" s="584">
        <v>440.78429999999997</v>
      </c>
      <c r="DA220" s="584">
        <v>110</v>
      </c>
      <c r="DB220" s="584">
        <v>733.39755000000002</v>
      </c>
      <c r="DC220" s="584">
        <v>231</v>
      </c>
      <c r="DD220" s="584">
        <v>1193.7778000000001</v>
      </c>
      <c r="DE220" s="584">
        <v>484</v>
      </c>
      <c r="DF220" s="584">
        <v>0.55000000000000004</v>
      </c>
      <c r="DG220" s="584">
        <v>0.25</v>
      </c>
      <c r="DH220" s="584">
        <v>365.14149142387203</v>
      </c>
      <c r="DI220" s="584">
        <v>17.9596306978383</v>
      </c>
      <c r="DJ220" s="584">
        <v>340</v>
      </c>
      <c r="DK220" s="584">
        <v>0</v>
      </c>
      <c r="DL220" s="584">
        <v>0</v>
      </c>
      <c r="DM220" s="584">
        <v>0</v>
      </c>
      <c r="DN220" s="584">
        <v>0</v>
      </c>
      <c r="DO220" s="584">
        <v>0</v>
      </c>
      <c r="DP220" s="584">
        <v>0</v>
      </c>
      <c r="DQ220" s="584">
        <v>0</v>
      </c>
      <c r="DR220" s="584">
        <v>0.55000000000000004</v>
      </c>
      <c r="DS220" s="584">
        <v>0</v>
      </c>
      <c r="DT220" s="584">
        <v>2.4</v>
      </c>
      <c r="DU220" s="584">
        <v>338.80574999999999</v>
      </c>
      <c r="DV220" s="584">
        <v>110</v>
      </c>
      <c r="DW220" s="584">
        <v>648.32899999999995</v>
      </c>
      <c r="DX220" s="584">
        <v>231</v>
      </c>
      <c r="DY220" s="584">
        <v>959.87199999999996</v>
      </c>
      <c r="DZ220" s="584">
        <v>484</v>
      </c>
      <c r="EA220" s="1062">
        <v>1.2009000000000001</v>
      </c>
      <c r="EB220" s="1046">
        <v>0.35</v>
      </c>
      <c r="EC220" s="1093">
        <v>132.51783893985731</v>
      </c>
      <c r="ED220" s="1046">
        <v>0</v>
      </c>
      <c r="EE220" s="1046">
        <v>458.71559633027522</v>
      </c>
      <c r="EF220" s="1046">
        <v>30.420909090909092</v>
      </c>
      <c r="EG220" s="1046">
        <v>0</v>
      </c>
      <c r="EH220" s="1046">
        <v>0</v>
      </c>
      <c r="EI220" s="1046" t="s">
        <v>377</v>
      </c>
      <c r="EJ220" s="1046" t="s">
        <v>445</v>
      </c>
      <c r="EK220" s="1046">
        <v>0</v>
      </c>
      <c r="EL220" s="1046">
        <v>0</v>
      </c>
      <c r="EM220" s="1046">
        <v>0</v>
      </c>
      <c r="EN220" s="1046">
        <v>0</v>
      </c>
      <c r="EO220" s="1046">
        <v>0</v>
      </c>
      <c r="EP220" s="1094">
        <v>189.70680075000001</v>
      </c>
      <c r="EQ220" s="1094">
        <v>110</v>
      </c>
      <c r="ER220" s="1094">
        <v>379.41360150000003</v>
      </c>
      <c r="ES220" s="1095">
        <v>220</v>
      </c>
      <c r="ET220" s="1094">
        <v>758.82720300000005</v>
      </c>
      <c r="EU220" s="1094">
        <v>440</v>
      </c>
      <c r="EV220" s="1096">
        <v>0.91220000000000001</v>
      </c>
      <c r="EW220" s="1097">
        <v>0.15</v>
      </c>
      <c r="EX220" s="1096">
        <v>289.50050968399592</v>
      </c>
      <c r="EY220" s="1096">
        <v>1.5443934760448521</v>
      </c>
      <c r="EZ220" s="1096">
        <v>0</v>
      </c>
      <c r="FA220" s="1096">
        <v>31.417272727272724</v>
      </c>
      <c r="FB220" s="1098">
        <v>0</v>
      </c>
      <c r="FC220" s="1098">
        <v>0</v>
      </c>
      <c r="FD220" s="1098" t="s">
        <v>385</v>
      </c>
      <c r="FE220" s="1098" t="s">
        <v>461</v>
      </c>
      <c r="FF220" s="1098">
        <v>3</v>
      </c>
      <c r="FG220" s="1098">
        <v>0</v>
      </c>
      <c r="FH220" s="1098">
        <v>0</v>
      </c>
      <c r="FI220" s="1098">
        <v>0</v>
      </c>
      <c r="FJ220" s="1098">
        <v>0</v>
      </c>
      <c r="FK220" s="1096">
        <v>112.01723350000002</v>
      </c>
      <c r="FL220" s="1096">
        <v>110</v>
      </c>
      <c r="FM220" s="1096">
        <v>224.03446700000003</v>
      </c>
      <c r="FN220" s="1096">
        <v>220</v>
      </c>
      <c r="FO220" s="1096">
        <v>448.06893400000007</v>
      </c>
      <c r="FP220" s="1099">
        <v>440</v>
      </c>
      <c r="FQ220" s="1064">
        <v>1.2170799999999999</v>
      </c>
      <c r="FR220" s="1065">
        <v>0.15</v>
      </c>
      <c r="FS220" s="1066">
        <v>289.50050968399586</v>
      </c>
      <c r="FT220" s="1066">
        <v>3.1754272996334754</v>
      </c>
      <c r="FU220" s="1065"/>
      <c r="FV220" s="1066">
        <v>58.480865787366596</v>
      </c>
      <c r="FW220" s="1065"/>
      <c r="FX220" s="1065"/>
      <c r="FY220" s="1065" t="s">
        <v>385</v>
      </c>
      <c r="FZ220" s="1065" t="s">
        <v>459</v>
      </c>
      <c r="GA220" s="1065">
        <v>3</v>
      </c>
      <c r="GB220" s="1065"/>
      <c r="GC220" s="1065"/>
      <c r="GD220" s="1065"/>
      <c r="GE220" s="1065"/>
      <c r="GF220" s="1066">
        <v>116.73332646754542</v>
      </c>
      <c r="GG220" s="1066">
        <v>110</v>
      </c>
      <c r="GH220" s="1066">
        <v>233.46665293509085</v>
      </c>
      <c r="GI220" s="1066">
        <v>220</v>
      </c>
      <c r="GJ220" s="1066">
        <v>466.9333058701817</v>
      </c>
      <c r="GK220" s="1066">
        <v>440</v>
      </c>
      <c r="GL220" s="584">
        <v>0.89219999999999999</v>
      </c>
      <c r="GM220" s="584">
        <v>0.13</v>
      </c>
      <c r="GN220" s="584"/>
      <c r="GO220" s="584"/>
      <c r="GP220" s="584"/>
      <c r="GQ220" s="584">
        <v>55.8972727272727</v>
      </c>
      <c r="GR220" s="584"/>
      <c r="GS220" s="584">
        <v>66.2589194699286</v>
      </c>
      <c r="GT220" s="584" t="s">
        <v>385</v>
      </c>
      <c r="GU220" s="584" t="s">
        <v>389</v>
      </c>
      <c r="GV220" s="584">
        <v>2</v>
      </c>
      <c r="GW220" s="584"/>
      <c r="GX220" s="584"/>
      <c r="GY220" s="584"/>
      <c r="GZ220" s="584"/>
      <c r="HA220" s="584">
        <v>54.95468675</v>
      </c>
      <c r="HB220" s="584">
        <v>110</v>
      </c>
      <c r="HC220" s="584">
        <v>109.9093735</v>
      </c>
      <c r="HD220" s="584">
        <v>220</v>
      </c>
      <c r="HE220" s="584">
        <v>219.818747</v>
      </c>
      <c r="HF220" s="584">
        <v>440</v>
      </c>
      <c r="HG220" s="1100">
        <v>1.55</v>
      </c>
      <c r="HH220" s="1100">
        <v>0.11</v>
      </c>
      <c r="HI220" s="1101">
        <v>0</v>
      </c>
      <c r="HJ220" s="1101">
        <v>0</v>
      </c>
      <c r="HK220" s="1101">
        <v>0</v>
      </c>
      <c r="HL220" s="1101">
        <v>0</v>
      </c>
      <c r="HM220" s="1101">
        <v>62.024727272727269</v>
      </c>
      <c r="HN220" s="1101">
        <v>54.999999999999993</v>
      </c>
      <c r="HO220" s="1101">
        <v>0</v>
      </c>
      <c r="HP220" s="1101">
        <v>0</v>
      </c>
      <c r="HQ220" s="1101">
        <v>3</v>
      </c>
      <c r="HR220" s="1101">
        <v>1.44</v>
      </c>
      <c r="HS220" s="1101">
        <v>0.88</v>
      </c>
      <c r="HT220" s="1101">
        <v>0.3</v>
      </c>
      <c r="HU220" s="1101">
        <v>0.28000000000000003</v>
      </c>
      <c r="HV220" s="1101">
        <v>53.570345800000005</v>
      </c>
      <c r="HW220" s="1101">
        <v>110</v>
      </c>
      <c r="HX220" s="1101">
        <v>107.14069160000001</v>
      </c>
      <c r="HY220" s="1101">
        <v>220</v>
      </c>
      <c r="HZ220" s="1101">
        <v>214.28138320000002</v>
      </c>
      <c r="IA220" s="1101">
        <v>440</v>
      </c>
      <c r="IB220" s="1062"/>
      <c r="ID220" s="1050"/>
      <c r="IE220" s="1050"/>
      <c r="IM220" s="1050"/>
      <c r="IN220" s="1050"/>
      <c r="IO220" s="1050"/>
      <c r="IP220" s="1050"/>
      <c r="JU220" s="1050"/>
      <c r="KC220" s="1050"/>
      <c r="KD220" s="1050"/>
      <c r="KE220" s="1050"/>
      <c r="KF220" s="1050"/>
      <c r="KN220" s="1103"/>
    </row>
    <row r="221" spans="2:300">
      <c r="B221" s="1048" t="str">
        <f t="shared" si="6"/>
        <v>E1012</v>
      </c>
      <c r="C221" s="1046">
        <v>10</v>
      </c>
      <c r="D221" s="1092">
        <v>12</v>
      </c>
      <c r="E221" s="584">
        <v>0.49</v>
      </c>
      <c r="F221" s="584">
        <v>0.49</v>
      </c>
      <c r="G221" s="584">
        <v>1176</v>
      </c>
      <c r="H221" s="584">
        <v>32.340000000000003</v>
      </c>
      <c r="I221" s="584">
        <v>0</v>
      </c>
      <c r="J221" s="584">
        <v>0</v>
      </c>
      <c r="K221" s="584">
        <v>0</v>
      </c>
      <c r="L221" s="584">
        <v>0</v>
      </c>
      <c r="M221" s="584">
        <v>0</v>
      </c>
      <c r="N221" s="584">
        <v>0</v>
      </c>
      <c r="O221" s="584">
        <v>0</v>
      </c>
      <c r="P221" s="584">
        <v>0</v>
      </c>
      <c r="Q221" s="584">
        <v>0</v>
      </c>
      <c r="R221" s="584">
        <v>0</v>
      </c>
      <c r="S221" s="584">
        <v>0</v>
      </c>
      <c r="T221" s="584">
        <v>546.54143750000003</v>
      </c>
      <c r="U221" s="584">
        <v>120</v>
      </c>
      <c r="V221" s="584">
        <v>1000.6869375</v>
      </c>
      <c r="W221" s="584">
        <v>252</v>
      </c>
      <c r="X221" s="584">
        <v>1733.1519375</v>
      </c>
      <c r="Y221" s="584">
        <v>528</v>
      </c>
      <c r="Z221" s="584">
        <v>0.35499999999999998</v>
      </c>
      <c r="AA221" s="584">
        <v>0.35499999999999998</v>
      </c>
      <c r="AB221" s="584">
        <v>852</v>
      </c>
      <c r="AC221" s="584">
        <v>25</v>
      </c>
      <c r="AD221" s="584">
        <v>0</v>
      </c>
      <c r="AE221" s="584">
        <v>0</v>
      </c>
      <c r="AF221" s="584">
        <v>0</v>
      </c>
      <c r="AG221" s="584">
        <v>0</v>
      </c>
      <c r="AH221" s="584">
        <v>0</v>
      </c>
      <c r="AI221" s="584">
        <v>0</v>
      </c>
      <c r="AJ221" s="584">
        <v>0</v>
      </c>
      <c r="AK221" s="584">
        <v>0</v>
      </c>
      <c r="AL221" s="584">
        <v>0</v>
      </c>
      <c r="AM221" s="584">
        <v>0</v>
      </c>
      <c r="AN221" s="584">
        <v>0</v>
      </c>
      <c r="AO221" s="584">
        <v>437.73143750000003</v>
      </c>
      <c r="AP221" s="584">
        <v>120</v>
      </c>
      <c r="AQ221" s="584">
        <v>778.24575000000004</v>
      </c>
      <c r="AR221" s="584">
        <v>252</v>
      </c>
      <c r="AS221" s="584">
        <v>1286.0909999999999</v>
      </c>
      <c r="AT221" s="584">
        <v>528</v>
      </c>
      <c r="AU221" s="584">
        <v>1.0249999999999999</v>
      </c>
      <c r="AV221" s="584">
        <v>0.45</v>
      </c>
      <c r="AW221" s="584">
        <v>709.52467105263202</v>
      </c>
      <c r="AX221" s="584">
        <v>36.4410456212252</v>
      </c>
      <c r="AY221" s="584">
        <v>0</v>
      </c>
      <c r="AZ221" s="584">
        <v>0</v>
      </c>
      <c r="BA221" s="584">
        <v>0</v>
      </c>
      <c r="BB221" s="584">
        <v>0</v>
      </c>
      <c r="BC221" s="584">
        <v>0</v>
      </c>
      <c r="BD221" s="584">
        <v>0</v>
      </c>
      <c r="BE221" s="584">
        <v>0</v>
      </c>
      <c r="BF221" s="584">
        <v>0</v>
      </c>
      <c r="BG221" s="584">
        <v>1.0249999999999999</v>
      </c>
      <c r="BH221" s="584">
        <v>0</v>
      </c>
      <c r="BI221" s="584">
        <v>0.45</v>
      </c>
      <c r="BJ221" s="584">
        <v>411.79932085849902</v>
      </c>
      <c r="BK221" s="584">
        <v>120</v>
      </c>
      <c r="BL221" s="584">
        <v>678.05607948662703</v>
      </c>
      <c r="BM221" s="584">
        <v>252</v>
      </c>
      <c r="BN221" s="584">
        <v>1055.7598899913701</v>
      </c>
      <c r="BO221" s="584">
        <v>528</v>
      </c>
      <c r="BP221" s="584">
        <v>0.875</v>
      </c>
      <c r="BQ221" s="584">
        <v>0.245</v>
      </c>
      <c r="BR221" s="584">
        <v>734.17550150992201</v>
      </c>
      <c r="BS221" s="584">
        <v>43.580036130284697</v>
      </c>
      <c r="BT221" s="584">
        <v>0</v>
      </c>
      <c r="BU221" s="584">
        <v>0</v>
      </c>
      <c r="BV221" s="584">
        <v>0</v>
      </c>
      <c r="BW221" s="584">
        <v>0</v>
      </c>
      <c r="BX221" s="584">
        <v>0</v>
      </c>
      <c r="BY221" s="584">
        <v>0</v>
      </c>
      <c r="BZ221" s="584">
        <v>0</v>
      </c>
      <c r="CA221" s="584">
        <v>0.625</v>
      </c>
      <c r="CB221" s="584">
        <v>0.875</v>
      </c>
      <c r="CC221" s="584">
        <v>0.45</v>
      </c>
      <c r="CD221" s="584">
        <v>0.45</v>
      </c>
      <c r="CE221" s="584">
        <v>420.15535</v>
      </c>
      <c r="CF221" s="584">
        <v>120</v>
      </c>
      <c r="CG221" s="584">
        <v>702.64991250000003</v>
      </c>
      <c r="CH221" s="584">
        <v>252</v>
      </c>
      <c r="CI221" s="584">
        <v>1046.1707249999999</v>
      </c>
      <c r="CJ221" s="584">
        <v>528</v>
      </c>
      <c r="CK221" s="584">
        <v>1.1000000000000001</v>
      </c>
      <c r="CL221" s="584">
        <v>0.33500000000000002</v>
      </c>
      <c r="CM221" s="584">
        <v>899.09623058671298</v>
      </c>
      <c r="CN221" s="584">
        <v>29.292437446074199</v>
      </c>
      <c r="CO221" s="584">
        <v>0</v>
      </c>
      <c r="CP221" s="584">
        <v>0</v>
      </c>
      <c r="CQ221" s="584">
        <v>0</v>
      </c>
      <c r="CR221" s="584">
        <v>0</v>
      </c>
      <c r="CS221" s="584">
        <v>0</v>
      </c>
      <c r="CT221" s="584">
        <v>0</v>
      </c>
      <c r="CU221" s="584">
        <v>0</v>
      </c>
      <c r="CV221" s="584">
        <v>0</v>
      </c>
      <c r="CW221" s="584">
        <v>1.1000000000000001</v>
      </c>
      <c r="CX221" s="584">
        <v>0</v>
      </c>
      <c r="CY221" s="584">
        <v>0.6</v>
      </c>
      <c r="CZ221" s="584">
        <v>487.41730000000001</v>
      </c>
      <c r="DA221" s="584">
        <v>120</v>
      </c>
      <c r="DB221" s="584">
        <v>815.89904999999999</v>
      </c>
      <c r="DC221" s="584">
        <v>252</v>
      </c>
      <c r="DD221" s="584">
        <v>1321.5070499999999</v>
      </c>
      <c r="DE221" s="584">
        <v>528</v>
      </c>
      <c r="DF221" s="584">
        <v>0.625</v>
      </c>
      <c r="DG221" s="584">
        <v>0.25</v>
      </c>
      <c r="DH221" s="584">
        <v>400.96911399913699</v>
      </c>
      <c r="DI221" s="584">
        <v>19.213268065142401</v>
      </c>
      <c r="DJ221" s="584">
        <v>340</v>
      </c>
      <c r="DK221" s="584">
        <v>0</v>
      </c>
      <c r="DL221" s="584">
        <v>0</v>
      </c>
      <c r="DM221" s="584">
        <v>0</v>
      </c>
      <c r="DN221" s="584">
        <v>0</v>
      </c>
      <c r="DO221" s="584">
        <v>0</v>
      </c>
      <c r="DP221" s="584">
        <v>0</v>
      </c>
      <c r="DQ221" s="584">
        <v>0</v>
      </c>
      <c r="DR221" s="584">
        <v>0.625</v>
      </c>
      <c r="DS221" s="584">
        <v>0</v>
      </c>
      <c r="DT221" s="584">
        <v>2.4</v>
      </c>
      <c r="DU221" s="584">
        <v>370.65887500000002</v>
      </c>
      <c r="DV221" s="584">
        <v>120</v>
      </c>
      <c r="DW221" s="584">
        <v>719.48024999999996</v>
      </c>
      <c r="DX221" s="584">
        <v>252</v>
      </c>
      <c r="DY221" s="584">
        <v>1100.19975</v>
      </c>
      <c r="DZ221" s="584">
        <v>528</v>
      </c>
      <c r="EA221" s="1062">
        <v>1.2009000000000001</v>
      </c>
      <c r="EB221" s="1046">
        <v>0.35</v>
      </c>
      <c r="EC221" s="1093">
        <v>132.51783893985731</v>
      </c>
      <c r="ED221" s="1046">
        <v>0</v>
      </c>
      <c r="EE221" s="1046">
        <v>458.71559633027522</v>
      </c>
      <c r="EF221" s="1046">
        <v>32.205000000000005</v>
      </c>
      <c r="EG221" s="1046">
        <v>0</v>
      </c>
      <c r="EH221" s="1046">
        <v>0</v>
      </c>
      <c r="EI221" s="1046" t="s">
        <v>377</v>
      </c>
      <c r="EJ221" s="1046" t="s">
        <v>442</v>
      </c>
      <c r="EK221" s="1046">
        <v>0</v>
      </c>
      <c r="EL221" s="1046">
        <v>0</v>
      </c>
      <c r="EM221" s="1046">
        <v>0</v>
      </c>
      <c r="EN221" s="1046">
        <v>0</v>
      </c>
      <c r="EO221" s="1046">
        <v>0</v>
      </c>
      <c r="EP221" s="1094">
        <v>207.47793150000001</v>
      </c>
      <c r="EQ221" s="1094">
        <v>120</v>
      </c>
      <c r="ER221" s="1094">
        <v>414.95586300000002</v>
      </c>
      <c r="ES221" s="1095">
        <v>240</v>
      </c>
      <c r="ET221" s="1094">
        <v>829.91172600000004</v>
      </c>
      <c r="EU221" s="1094">
        <v>480</v>
      </c>
      <c r="EV221" s="1096">
        <v>0.91220000000000001</v>
      </c>
      <c r="EW221" s="1097">
        <v>0.15</v>
      </c>
      <c r="EX221" s="1096">
        <v>289.50050968399592</v>
      </c>
      <c r="EY221" s="1096">
        <v>1.5443934760448521</v>
      </c>
      <c r="EZ221" s="1096">
        <v>0</v>
      </c>
      <c r="FA221" s="1096">
        <v>30.106666666666666</v>
      </c>
      <c r="FB221" s="1098">
        <v>0</v>
      </c>
      <c r="FC221" s="1098">
        <v>0</v>
      </c>
      <c r="FD221" s="1098" t="s">
        <v>385</v>
      </c>
      <c r="FE221" s="1098" t="s">
        <v>461</v>
      </c>
      <c r="FF221" s="1098">
        <v>3</v>
      </c>
      <c r="FG221" s="1098">
        <v>0</v>
      </c>
      <c r="FH221" s="1098">
        <v>0</v>
      </c>
      <c r="FI221" s="1098">
        <v>0</v>
      </c>
      <c r="FJ221" s="1098">
        <v>0</v>
      </c>
      <c r="FK221" s="1096">
        <v>121.81490700000001</v>
      </c>
      <c r="FL221" s="1096">
        <v>120</v>
      </c>
      <c r="FM221" s="1096">
        <v>243.62981400000001</v>
      </c>
      <c r="FN221" s="1096">
        <v>240</v>
      </c>
      <c r="FO221" s="1096">
        <v>487.25962800000002</v>
      </c>
      <c r="FP221" s="1099">
        <v>480</v>
      </c>
      <c r="FQ221" s="1064">
        <v>1.3188599999999999</v>
      </c>
      <c r="FR221" s="1065">
        <v>0.15</v>
      </c>
      <c r="FS221" s="1066">
        <v>289.50050968399586</v>
      </c>
      <c r="FT221" s="1066">
        <v>3.1754272996334754</v>
      </c>
      <c r="FU221" s="1065"/>
      <c r="FV221" s="1066">
        <v>59.568072616443182</v>
      </c>
      <c r="FW221" s="1065"/>
      <c r="FX221" s="1065"/>
      <c r="FY221" s="1065" t="s">
        <v>381</v>
      </c>
      <c r="FZ221" s="1065" t="s">
        <v>438</v>
      </c>
      <c r="GA221" s="1065">
        <v>3</v>
      </c>
      <c r="GB221" s="1065"/>
      <c r="GC221" s="1065"/>
      <c r="GD221" s="1065"/>
      <c r="GE221" s="1065"/>
      <c r="GF221" s="1066">
        <v>127.66541202530136</v>
      </c>
      <c r="GG221" s="1066">
        <v>120</v>
      </c>
      <c r="GH221" s="1066">
        <v>255.33082405060273</v>
      </c>
      <c r="GI221" s="1066">
        <v>240</v>
      </c>
      <c r="GJ221" s="1066">
        <v>510.66164810120546</v>
      </c>
      <c r="GK221" s="1066">
        <v>480</v>
      </c>
      <c r="GL221" s="584">
        <v>0.97070000000000001</v>
      </c>
      <c r="GM221" s="584">
        <v>0.13</v>
      </c>
      <c r="GN221" s="584"/>
      <c r="GO221" s="584"/>
      <c r="GP221" s="584"/>
      <c r="GQ221" s="584">
        <v>60.22</v>
      </c>
      <c r="GR221" s="584"/>
      <c r="GS221" s="584">
        <v>66.2589194699286</v>
      </c>
      <c r="GT221" s="584" t="s">
        <v>379</v>
      </c>
      <c r="GU221" s="584" t="s">
        <v>387</v>
      </c>
      <c r="GV221" s="584">
        <v>2</v>
      </c>
      <c r="GW221" s="584"/>
      <c r="GX221" s="584"/>
      <c r="GY221" s="584"/>
      <c r="GZ221" s="584"/>
      <c r="HA221" s="584">
        <v>61.222746000000001</v>
      </c>
      <c r="HB221" s="584">
        <v>120</v>
      </c>
      <c r="HC221" s="584">
        <v>122.445492</v>
      </c>
      <c r="HD221" s="584">
        <v>240</v>
      </c>
      <c r="HE221" s="584">
        <v>244.890984</v>
      </c>
      <c r="HF221" s="584">
        <v>480</v>
      </c>
      <c r="HG221" s="1100">
        <v>1.7100000000000002</v>
      </c>
      <c r="HH221" s="1100">
        <v>0.11</v>
      </c>
      <c r="HI221" s="1101">
        <v>0</v>
      </c>
      <c r="HJ221" s="1101">
        <v>0</v>
      </c>
      <c r="HK221" s="1101">
        <v>0</v>
      </c>
      <c r="HL221" s="1101">
        <v>0</v>
      </c>
      <c r="HM221" s="1101">
        <v>68.400000000000006</v>
      </c>
      <c r="HN221" s="1101">
        <v>54.999999999999993</v>
      </c>
      <c r="HO221" s="1101">
        <v>0</v>
      </c>
      <c r="HP221" s="1101">
        <v>0</v>
      </c>
      <c r="HQ221" s="1101">
        <v>3</v>
      </c>
      <c r="HR221" s="1101">
        <v>1.6</v>
      </c>
      <c r="HS221" s="1101">
        <v>1</v>
      </c>
      <c r="HT221" s="1101">
        <v>0.3</v>
      </c>
      <c r="HU221" s="1101">
        <v>0.28000000000000003</v>
      </c>
      <c r="HV221" s="1101">
        <v>60.31662</v>
      </c>
      <c r="HW221" s="1101">
        <v>120</v>
      </c>
      <c r="HX221" s="1101">
        <v>120.63324</v>
      </c>
      <c r="HY221" s="1101">
        <v>240</v>
      </c>
      <c r="HZ221" s="1101">
        <v>241.26648</v>
      </c>
      <c r="IA221" s="1101">
        <v>480</v>
      </c>
      <c r="IB221" s="1062"/>
      <c r="ID221" s="1050"/>
      <c r="IE221" s="1050"/>
      <c r="IM221" s="1050"/>
      <c r="IN221" s="1050"/>
      <c r="IO221" s="1050"/>
      <c r="IP221" s="1050"/>
      <c r="JU221" s="1050"/>
      <c r="KC221" s="1050"/>
      <c r="KD221" s="1050"/>
      <c r="KE221" s="1050"/>
      <c r="KF221" s="1050"/>
      <c r="KN221" s="1103"/>
    </row>
    <row r="222" spans="2:300">
      <c r="B222" s="1048" t="str">
        <f t="shared" si="6"/>
        <v>E1013</v>
      </c>
      <c r="C222" s="1046">
        <v>10</v>
      </c>
      <c r="D222" s="1092">
        <v>13</v>
      </c>
      <c r="E222" s="584">
        <v>0.49</v>
      </c>
      <c r="F222" s="584">
        <v>0.49</v>
      </c>
      <c r="G222" s="584">
        <v>1176</v>
      </c>
      <c r="H222" s="584">
        <v>30.38</v>
      </c>
      <c r="I222" s="584">
        <v>0</v>
      </c>
      <c r="J222" s="584">
        <v>0</v>
      </c>
      <c r="K222" s="584">
        <v>0</v>
      </c>
      <c r="L222" s="584">
        <v>0</v>
      </c>
      <c r="M222" s="584">
        <v>0</v>
      </c>
      <c r="N222" s="584">
        <v>0</v>
      </c>
      <c r="O222" s="584">
        <v>0</v>
      </c>
      <c r="P222" s="584">
        <v>0</v>
      </c>
      <c r="Q222" s="584">
        <v>0</v>
      </c>
      <c r="R222" s="584">
        <v>0</v>
      </c>
      <c r="S222" s="584">
        <v>0</v>
      </c>
      <c r="T222" s="584">
        <v>585.9514375</v>
      </c>
      <c r="U222" s="584">
        <v>130</v>
      </c>
      <c r="V222" s="584">
        <v>1084.884</v>
      </c>
      <c r="W222" s="584">
        <v>273</v>
      </c>
      <c r="X222" s="584">
        <v>1878.3877500000001</v>
      </c>
      <c r="Y222" s="584">
        <v>572</v>
      </c>
      <c r="Z222" s="584">
        <v>0.39500000000000002</v>
      </c>
      <c r="AA222" s="584">
        <v>0.39500000000000002</v>
      </c>
      <c r="AB222" s="584">
        <v>948</v>
      </c>
      <c r="AC222" s="584">
        <v>28</v>
      </c>
      <c r="AD222" s="584">
        <v>0</v>
      </c>
      <c r="AE222" s="584">
        <v>0</v>
      </c>
      <c r="AF222" s="584">
        <v>0</v>
      </c>
      <c r="AG222" s="584">
        <v>0</v>
      </c>
      <c r="AH222" s="584">
        <v>0</v>
      </c>
      <c r="AI222" s="584">
        <v>0</v>
      </c>
      <c r="AJ222" s="584">
        <v>0</v>
      </c>
      <c r="AK222" s="584">
        <v>0</v>
      </c>
      <c r="AL222" s="584">
        <v>0</v>
      </c>
      <c r="AM222" s="584">
        <v>0</v>
      </c>
      <c r="AN222" s="584">
        <v>0</v>
      </c>
      <c r="AO222" s="584">
        <v>503.20643749999999</v>
      </c>
      <c r="AP222" s="584">
        <v>130</v>
      </c>
      <c r="AQ222" s="584">
        <v>914.87043749999998</v>
      </c>
      <c r="AR222" s="584">
        <v>273</v>
      </c>
      <c r="AS222" s="584">
        <v>1537.0769375</v>
      </c>
      <c r="AT222" s="584">
        <v>572</v>
      </c>
      <c r="AU222" s="584">
        <v>0</v>
      </c>
      <c r="AV222" s="584">
        <v>0</v>
      </c>
      <c r="AW222" s="584">
        <v>0</v>
      </c>
      <c r="AX222" s="584">
        <v>0</v>
      </c>
      <c r="AY222" s="584">
        <v>0</v>
      </c>
      <c r="AZ222" s="584">
        <v>0</v>
      </c>
      <c r="BA222" s="584">
        <v>0</v>
      </c>
      <c r="BB222" s="584">
        <v>0</v>
      </c>
      <c r="BC222" s="584">
        <v>0</v>
      </c>
      <c r="BD222" s="584">
        <v>0</v>
      </c>
      <c r="BE222" s="584">
        <v>0</v>
      </c>
      <c r="BF222" s="584">
        <v>0</v>
      </c>
      <c r="BG222" s="584">
        <v>0</v>
      </c>
      <c r="BH222" s="584">
        <v>0</v>
      </c>
      <c r="BI222" s="584">
        <v>0</v>
      </c>
      <c r="BJ222" s="584">
        <v>0</v>
      </c>
      <c r="BK222" s="584">
        <v>0</v>
      </c>
      <c r="BL222" s="584">
        <v>0</v>
      </c>
      <c r="BM222" s="584">
        <v>0</v>
      </c>
      <c r="BN222" s="584">
        <v>0</v>
      </c>
      <c r="BO222" s="584">
        <v>0</v>
      </c>
      <c r="BP222" s="584">
        <v>0</v>
      </c>
      <c r="BQ222" s="584">
        <v>0</v>
      </c>
      <c r="BR222" s="584">
        <v>0</v>
      </c>
      <c r="BS222" s="584">
        <v>0</v>
      </c>
      <c r="BT222" s="584">
        <v>0</v>
      </c>
      <c r="BU222" s="584">
        <v>0</v>
      </c>
      <c r="BV222" s="584">
        <v>0</v>
      </c>
      <c r="BW222" s="584">
        <v>0</v>
      </c>
      <c r="BX222" s="584">
        <v>0</v>
      </c>
      <c r="BY222" s="584">
        <v>0</v>
      </c>
      <c r="BZ222" s="584">
        <v>0</v>
      </c>
      <c r="CA222" s="584">
        <v>0</v>
      </c>
      <c r="CB222" s="584">
        <v>0</v>
      </c>
      <c r="CC222" s="584">
        <v>0</v>
      </c>
      <c r="CD222" s="584">
        <v>0</v>
      </c>
      <c r="CE222" s="584">
        <v>0</v>
      </c>
      <c r="CF222" s="584">
        <v>0</v>
      </c>
      <c r="CG222" s="584">
        <v>0</v>
      </c>
      <c r="CH222" s="584">
        <v>0</v>
      </c>
      <c r="CI222" s="584">
        <v>0</v>
      </c>
      <c r="CJ222" s="584">
        <v>0</v>
      </c>
      <c r="CK222" s="584">
        <v>0</v>
      </c>
      <c r="CL222" s="584">
        <v>0</v>
      </c>
      <c r="CM222" s="584">
        <v>0</v>
      </c>
      <c r="CN222" s="584">
        <v>0</v>
      </c>
      <c r="CO222" s="584">
        <v>0</v>
      </c>
      <c r="CP222" s="584">
        <v>0</v>
      </c>
      <c r="CQ222" s="584">
        <v>0</v>
      </c>
      <c r="CR222" s="584">
        <v>0</v>
      </c>
      <c r="CS222" s="584">
        <v>0</v>
      </c>
      <c r="CT222" s="584">
        <v>0</v>
      </c>
      <c r="CU222" s="584">
        <v>0</v>
      </c>
      <c r="CV222" s="584">
        <v>0</v>
      </c>
      <c r="CW222" s="584">
        <v>0</v>
      </c>
      <c r="CX222" s="584">
        <v>0</v>
      </c>
      <c r="CY222" s="584">
        <v>0</v>
      </c>
      <c r="CZ222" s="584">
        <v>0</v>
      </c>
      <c r="DA222" s="584">
        <v>0</v>
      </c>
      <c r="DB222" s="584">
        <v>0</v>
      </c>
      <c r="DC222" s="584">
        <v>0</v>
      </c>
      <c r="DD222" s="584">
        <v>0</v>
      </c>
      <c r="DE222" s="584">
        <v>0</v>
      </c>
      <c r="DF222" s="584">
        <v>0.7</v>
      </c>
      <c r="DG222" s="584">
        <v>0.25</v>
      </c>
      <c r="DH222" s="584">
        <v>452.64877392344499</v>
      </c>
      <c r="DI222" s="584">
        <v>21.186088666267899</v>
      </c>
      <c r="DJ222" s="584">
        <v>340</v>
      </c>
      <c r="DK222" s="584">
        <v>0</v>
      </c>
      <c r="DL222" s="584">
        <v>0</v>
      </c>
      <c r="DM222" s="584">
        <v>0</v>
      </c>
      <c r="DN222" s="584">
        <v>0</v>
      </c>
      <c r="DO222" s="584">
        <v>0</v>
      </c>
      <c r="DP222" s="584">
        <v>0</v>
      </c>
      <c r="DQ222" s="584">
        <v>0</v>
      </c>
      <c r="DR222" s="584">
        <v>0.7</v>
      </c>
      <c r="DS222" s="584">
        <v>0</v>
      </c>
      <c r="DT222" s="584">
        <v>2.4</v>
      </c>
      <c r="DU222" s="584">
        <v>418.26237500000002</v>
      </c>
      <c r="DV222" s="584">
        <v>130</v>
      </c>
      <c r="DW222" s="584">
        <v>795.31375000000003</v>
      </c>
      <c r="DX222" s="584">
        <v>273</v>
      </c>
      <c r="DY222" s="584">
        <v>1249.5274999999999</v>
      </c>
      <c r="DZ222" s="584">
        <v>572</v>
      </c>
      <c r="EA222" s="1062">
        <v>1.3149999999999999</v>
      </c>
      <c r="EB222" s="1046">
        <v>0.4</v>
      </c>
      <c r="EC222" s="1093">
        <v>132.51783893985737</v>
      </c>
      <c r="ED222" s="1046">
        <v>0</v>
      </c>
      <c r="EE222" s="1046">
        <v>519.87767584097855</v>
      </c>
      <c r="EF222" s="1046">
        <v>33.367692307692309</v>
      </c>
      <c r="EG222" s="1046">
        <v>0</v>
      </c>
      <c r="EH222" s="1046">
        <v>0</v>
      </c>
      <c r="EI222" s="1046" t="s">
        <v>372</v>
      </c>
      <c r="EJ222" s="1046" t="s">
        <v>423</v>
      </c>
      <c r="EK222" s="1046">
        <v>0</v>
      </c>
      <c r="EL222" s="1046">
        <v>0</v>
      </c>
      <c r="EM222" s="1046">
        <v>0</v>
      </c>
      <c r="EN222" s="1046">
        <v>0</v>
      </c>
      <c r="EO222" s="1046">
        <v>0</v>
      </c>
      <c r="EP222" s="1094">
        <v>244.63845449999999</v>
      </c>
      <c r="EQ222" s="1094">
        <v>130</v>
      </c>
      <c r="ER222" s="1094">
        <v>489.27690899999999</v>
      </c>
      <c r="ES222" s="1095">
        <v>260</v>
      </c>
      <c r="ET222" s="1094">
        <v>978.55381799999998</v>
      </c>
      <c r="EU222" s="1094">
        <v>520</v>
      </c>
      <c r="EV222" s="1096">
        <v>0.91979999999999995</v>
      </c>
      <c r="EW222" s="1097">
        <v>0.15</v>
      </c>
      <c r="EX222" s="1096">
        <v>289.50050968399592</v>
      </c>
      <c r="EY222" s="1096">
        <v>1.5443934760448521</v>
      </c>
      <c r="EZ222" s="1096">
        <v>0</v>
      </c>
      <c r="FA222" s="1096">
        <v>39.798461538461538</v>
      </c>
      <c r="FB222" s="1098">
        <v>0</v>
      </c>
      <c r="FC222" s="1098">
        <v>0</v>
      </c>
      <c r="FD222" s="1098" t="s">
        <v>383</v>
      </c>
      <c r="FE222" s="1098" t="s">
        <v>432</v>
      </c>
      <c r="FF222" s="1098">
        <v>3</v>
      </c>
      <c r="FG222" s="1098">
        <v>0</v>
      </c>
      <c r="FH222" s="1098">
        <v>0</v>
      </c>
      <c r="FI222" s="1098">
        <v>0</v>
      </c>
      <c r="FJ222" s="1098">
        <v>0</v>
      </c>
      <c r="FK222" s="1096">
        <v>135.05613575000001</v>
      </c>
      <c r="FL222" s="1096">
        <v>130</v>
      </c>
      <c r="FM222" s="1096">
        <v>270.11227150000002</v>
      </c>
      <c r="FN222" s="1096">
        <v>260</v>
      </c>
      <c r="FO222" s="1096">
        <v>540.22454300000004</v>
      </c>
      <c r="FP222" s="1099">
        <v>520</v>
      </c>
      <c r="FQ222" s="1064">
        <v>1.4141999999999999</v>
      </c>
      <c r="FR222" s="1065">
        <v>0.15</v>
      </c>
      <c r="FS222" s="1066">
        <v>289.50050968399586</v>
      </c>
      <c r="FT222" s="1066">
        <v>3.1754272996334754</v>
      </c>
      <c r="FU222" s="1065"/>
      <c r="FV222" s="1066">
        <v>67.554834975657585</v>
      </c>
      <c r="FW222" s="1065"/>
      <c r="FX222" s="1065"/>
      <c r="FY222" s="1065" t="s">
        <v>375</v>
      </c>
      <c r="FZ222" s="1065" t="s">
        <v>416</v>
      </c>
      <c r="GA222" s="1065">
        <v>3</v>
      </c>
      <c r="GB222" s="1065"/>
      <c r="GC222" s="1065"/>
      <c r="GD222" s="1065"/>
      <c r="GE222" s="1065"/>
      <c r="GF222" s="1066">
        <v>140.85057586991968</v>
      </c>
      <c r="GG222" s="1066">
        <v>130</v>
      </c>
      <c r="GH222" s="1066">
        <v>281.70115173983936</v>
      </c>
      <c r="GI222" s="1066">
        <v>260</v>
      </c>
      <c r="GJ222" s="1066">
        <v>563.40230347967872</v>
      </c>
      <c r="GK222" s="1066">
        <v>520</v>
      </c>
      <c r="GL222" s="584">
        <v>0.97070000000000001</v>
      </c>
      <c r="GM222" s="584">
        <v>0.13</v>
      </c>
      <c r="GN222" s="584"/>
      <c r="GO222" s="584"/>
      <c r="GP222" s="584"/>
      <c r="GQ222" s="584">
        <v>71.670769230769196</v>
      </c>
      <c r="GR222" s="584"/>
      <c r="GS222" s="584">
        <v>66.2589194699286</v>
      </c>
      <c r="GT222" s="584" t="s">
        <v>381</v>
      </c>
      <c r="GU222" s="584" t="s">
        <v>379</v>
      </c>
      <c r="GV222" s="584">
        <v>2</v>
      </c>
      <c r="GW222" s="584"/>
      <c r="GX222" s="584"/>
      <c r="GY222" s="584"/>
      <c r="GZ222" s="584"/>
      <c r="HA222" s="584">
        <v>69.975432999999995</v>
      </c>
      <c r="HB222" s="584">
        <v>130</v>
      </c>
      <c r="HC222" s="584">
        <v>139.95086599999999</v>
      </c>
      <c r="HD222" s="584">
        <v>260</v>
      </c>
      <c r="HE222" s="584">
        <v>279.90173199999998</v>
      </c>
      <c r="HF222" s="584">
        <v>520</v>
      </c>
      <c r="HG222" s="1100">
        <v>1.87</v>
      </c>
      <c r="HH222" s="1100">
        <v>0.11</v>
      </c>
      <c r="HI222" s="1101">
        <v>0</v>
      </c>
      <c r="HJ222" s="1101">
        <v>0</v>
      </c>
      <c r="HK222" s="1101">
        <v>0</v>
      </c>
      <c r="HL222" s="1101">
        <v>0</v>
      </c>
      <c r="HM222" s="1101">
        <v>74.724923076923076</v>
      </c>
      <c r="HN222" s="1101">
        <v>54.999999999999993</v>
      </c>
      <c r="HO222" s="1101">
        <v>0</v>
      </c>
      <c r="HP222" s="1101">
        <v>0</v>
      </c>
      <c r="HQ222" s="1101">
        <v>3</v>
      </c>
      <c r="HR222" s="1101">
        <v>1.76</v>
      </c>
      <c r="HS222" s="1101">
        <v>1.1200000000000001</v>
      </c>
      <c r="HT222" s="1101">
        <v>0.3</v>
      </c>
      <c r="HU222" s="1101">
        <v>0.28000000000000003</v>
      </c>
      <c r="HV222" s="1101">
        <v>67.359548599999997</v>
      </c>
      <c r="HW222" s="1101">
        <v>130</v>
      </c>
      <c r="HX222" s="1101">
        <v>134.71909719999999</v>
      </c>
      <c r="HY222" s="1101">
        <v>260</v>
      </c>
      <c r="HZ222" s="1101">
        <v>269.43819439999999</v>
      </c>
      <c r="IA222" s="1101">
        <v>520</v>
      </c>
      <c r="IB222" s="1062"/>
      <c r="ID222" s="1050"/>
      <c r="IE222" s="1050"/>
      <c r="IM222" s="1050"/>
      <c r="IN222" s="1050"/>
      <c r="IO222" s="1050"/>
      <c r="IP222" s="1050"/>
      <c r="JU222" s="1050"/>
      <c r="KC222" s="1050"/>
      <c r="KD222" s="1050"/>
      <c r="KE222" s="1050"/>
      <c r="KF222" s="1050"/>
      <c r="KN222" s="1103"/>
    </row>
    <row r="223" spans="2:300">
      <c r="B223" s="1048" t="str">
        <f t="shared" si="6"/>
        <v>E1014</v>
      </c>
      <c r="C223" s="1046">
        <v>10</v>
      </c>
      <c r="D223" s="1092">
        <v>14</v>
      </c>
      <c r="E223" s="584">
        <v>0</v>
      </c>
      <c r="F223" s="584">
        <v>0</v>
      </c>
      <c r="G223" s="584">
        <v>0</v>
      </c>
      <c r="H223" s="584">
        <v>0</v>
      </c>
      <c r="I223" s="584">
        <v>0</v>
      </c>
      <c r="J223" s="584">
        <v>0</v>
      </c>
      <c r="K223" s="584">
        <v>0</v>
      </c>
      <c r="L223" s="584">
        <v>0</v>
      </c>
      <c r="M223" s="584">
        <v>0</v>
      </c>
      <c r="N223" s="584">
        <v>0</v>
      </c>
      <c r="O223" s="584">
        <v>0</v>
      </c>
      <c r="P223" s="584">
        <v>0</v>
      </c>
      <c r="Q223" s="584">
        <v>0</v>
      </c>
      <c r="R223" s="584">
        <v>0</v>
      </c>
      <c r="S223" s="584">
        <v>0</v>
      </c>
      <c r="T223" s="584">
        <v>0</v>
      </c>
      <c r="U223" s="584">
        <v>0</v>
      </c>
      <c r="V223" s="584">
        <v>0</v>
      </c>
      <c r="W223" s="584">
        <v>0</v>
      </c>
      <c r="X223" s="584">
        <v>0</v>
      </c>
      <c r="Y223" s="584">
        <v>0</v>
      </c>
      <c r="Z223" s="584">
        <v>0</v>
      </c>
      <c r="AA223" s="584">
        <v>0</v>
      </c>
      <c r="AB223" s="584">
        <v>0</v>
      </c>
      <c r="AC223" s="584">
        <v>0</v>
      </c>
      <c r="AD223" s="584">
        <v>0</v>
      </c>
      <c r="AE223" s="584">
        <v>0</v>
      </c>
      <c r="AF223" s="584">
        <v>0</v>
      </c>
      <c r="AG223" s="584">
        <v>0</v>
      </c>
      <c r="AH223" s="584">
        <v>0</v>
      </c>
      <c r="AI223" s="584">
        <v>0</v>
      </c>
      <c r="AJ223" s="584">
        <v>0</v>
      </c>
      <c r="AK223" s="584">
        <v>0</v>
      </c>
      <c r="AL223" s="584">
        <v>0</v>
      </c>
      <c r="AM223" s="584">
        <v>0</v>
      </c>
      <c r="AN223" s="584">
        <v>0</v>
      </c>
      <c r="AO223" s="584">
        <v>0</v>
      </c>
      <c r="AP223" s="584">
        <v>0</v>
      </c>
      <c r="AQ223" s="584">
        <v>0</v>
      </c>
      <c r="AR223" s="584">
        <v>0</v>
      </c>
      <c r="AS223" s="584">
        <v>0</v>
      </c>
      <c r="AT223" s="584">
        <v>0</v>
      </c>
      <c r="AU223" s="584">
        <v>0</v>
      </c>
      <c r="AV223" s="584">
        <v>0</v>
      </c>
      <c r="AW223" s="584">
        <v>0</v>
      </c>
      <c r="AX223" s="584">
        <v>0</v>
      </c>
      <c r="AY223" s="584">
        <v>0</v>
      </c>
      <c r="AZ223" s="584">
        <v>0</v>
      </c>
      <c r="BA223" s="584">
        <v>0</v>
      </c>
      <c r="BB223" s="584">
        <v>0</v>
      </c>
      <c r="BC223" s="584">
        <v>0</v>
      </c>
      <c r="BD223" s="584">
        <v>0</v>
      </c>
      <c r="BE223" s="584">
        <v>0</v>
      </c>
      <c r="BF223" s="584">
        <v>0</v>
      </c>
      <c r="BG223" s="584">
        <v>0</v>
      </c>
      <c r="BH223" s="584">
        <v>0</v>
      </c>
      <c r="BI223" s="584">
        <v>0</v>
      </c>
      <c r="BJ223" s="584">
        <v>0</v>
      </c>
      <c r="BK223" s="584">
        <v>0</v>
      </c>
      <c r="BL223" s="584">
        <v>0</v>
      </c>
      <c r="BM223" s="584">
        <v>0</v>
      </c>
      <c r="BN223" s="584">
        <v>0</v>
      </c>
      <c r="BO223" s="584">
        <v>0</v>
      </c>
      <c r="BP223" s="584">
        <v>0</v>
      </c>
      <c r="BQ223" s="584">
        <v>0</v>
      </c>
      <c r="BR223" s="584">
        <v>0</v>
      </c>
      <c r="BS223" s="584">
        <v>0</v>
      </c>
      <c r="BT223" s="584">
        <v>0</v>
      </c>
      <c r="BU223" s="584">
        <v>0</v>
      </c>
      <c r="BV223" s="584">
        <v>0</v>
      </c>
      <c r="BW223" s="584">
        <v>0</v>
      </c>
      <c r="BX223" s="584">
        <v>0</v>
      </c>
      <c r="BY223" s="584">
        <v>0</v>
      </c>
      <c r="BZ223" s="584">
        <v>0</v>
      </c>
      <c r="CA223" s="584">
        <v>0</v>
      </c>
      <c r="CB223" s="584">
        <v>0</v>
      </c>
      <c r="CC223" s="584">
        <v>0</v>
      </c>
      <c r="CD223" s="584">
        <v>0</v>
      </c>
      <c r="CE223" s="584">
        <v>0</v>
      </c>
      <c r="CF223" s="584">
        <v>0</v>
      </c>
      <c r="CG223" s="584">
        <v>0</v>
      </c>
      <c r="CH223" s="584">
        <v>0</v>
      </c>
      <c r="CI223" s="584">
        <v>0</v>
      </c>
      <c r="CJ223" s="584">
        <v>0</v>
      </c>
      <c r="CK223" s="584">
        <v>0</v>
      </c>
      <c r="CL223" s="584">
        <v>0</v>
      </c>
      <c r="CM223" s="584">
        <v>0</v>
      </c>
      <c r="CN223" s="584">
        <v>0</v>
      </c>
      <c r="CO223" s="584">
        <v>0</v>
      </c>
      <c r="CP223" s="584">
        <v>0</v>
      </c>
      <c r="CQ223" s="584">
        <v>0</v>
      </c>
      <c r="CR223" s="584">
        <v>0</v>
      </c>
      <c r="CS223" s="584">
        <v>0</v>
      </c>
      <c r="CT223" s="584">
        <v>0</v>
      </c>
      <c r="CU223" s="584">
        <v>0</v>
      </c>
      <c r="CV223" s="584">
        <v>0</v>
      </c>
      <c r="CW223" s="584">
        <v>0</v>
      </c>
      <c r="CX223" s="584">
        <v>0</v>
      </c>
      <c r="CY223" s="584">
        <v>0</v>
      </c>
      <c r="CZ223" s="584">
        <v>0</v>
      </c>
      <c r="DA223" s="584">
        <v>0</v>
      </c>
      <c r="DB223" s="584">
        <v>0</v>
      </c>
      <c r="DC223" s="584">
        <v>0</v>
      </c>
      <c r="DD223" s="584">
        <v>0</v>
      </c>
      <c r="DE223" s="584">
        <v>0</v>
      </c>
      <c r="DF223" s="584">
        <v>0</v>
      </c>
      <c r="DG223" s="584">
        <v>0</v>
      </c>
      <c r="DH223" s="584">
        <v>0</v>
      </c>
      <c r="DI223" s="584">
        <v>0</v>
      </c>
      <c r="DJ223" s="584">
        <v>0</v>
      </c>
      <c r="DK223" s="584">
        <v>0</v>
      </c>
      <c r="DL223" s="584">
        <v>0</v>
      </c>
      <c r="DM223" s="584">
        <v>0</v>
      </c>
      <c r="DN223" s="584">
        <v>0</v>
      </c>
      <c r="DO223" s="584">
        <v>0</v>
      </c>
      <c r="DP223" s="584">
        <v>0</v>
      </c>
      <c r="DQ223" s="584">
        <v>0</v>
      </c>
      <c r="DR223" s="584">
        <v>0</v>
      </c>
      <c r="DS223" s="584">
        <v>0</v>
      </c>
      <c r="DT223" s="584">
        <v>0</v>
      </c>
      <c r="DU223" s="584">
        <v>0</v>
      </c>
      <c r="DV223" s="584">
        <v>0</v>
      </c>
      <c r="DW223" s="584">
        <v>0</v>
      </c>
      <c r="DX223" s="584">
        <v>0</v>
      </c>
      <c r="DY223" s="584">
        <v>0</v>
      </c>
      <c r="DZ223" s="584">
        <v>0</v>
      </c>
      <c r="EA223" s="1062">
        <v>1.373</v>
      </c>
      <c r="EB223" s="1046">
        <v>0.45</v>
      </c>
      <c r="EC223" s="1093">
        <v>132.51783893985726</v>
      </c>
      <c r="ED223" s="1046">
        <v>0</v>
      </c>
      <c r="EE223" s="1046">
        <v>581.03975535168195</v>
      </c>
      <c r="EF223" s="1046">
        <v>41.237142857142864</v>
      </c>
      <c r="EG223" s="1046">
        <v>0</v>
      </c>
      <c r="EH223" s="1046">
        <v>0</v>
      </c>
      <c r="EI223" s="1046" t="s">
        <v>369</v>
      </c>
      <c r="EJ223" s="1046" t="s">
        <v>420</v>
      </c>
      <c r="EK223" s="1046">
        <v>0</v>
      </c>
      <c r="EL223" s="1046">
        <v>0</v>
      </c>
      <c r="EM223" s="1046">
        <v>0</v>
      </c>
      <c r="EN223" s="1046">
        <v>0</v>
      </c>
      <c r="EO223" s="1046">
        <v>0</v>
      </c>
      <c r="EP223" s="1094">
        <v>287.158773</v>
      </c>
      <c r="EQ223" s="1094">
        <v>140</v>
      </c>
      <c r="ER223" s="1094">
        <v>574.31754599999999</v>
      </c>
      <c r="ES223" s="1095">
        <v>280</v>
      </c>
      <c r="ET223" s="1094">
        <v>1148.635092</v>
      </c>
      <c r="EU223" s="1094">
        <v>560</v>
      </c>
      <c r="EV223" s="1096">
        <v>0.99070000000000003</v>
      </c>
      <c r="EW223" s="1097">
        <v>0.15</v>
      </c>
      <c r="EX223" s="1096">
        <v>289.50050968399592</v>
      </c>
      <c r="EY223" s="1096">
        <v>1.5443934760448521</v>
      </c>
      <c r="EZ223" s="1096">
        <v>0</v>
      </c>
      <c r="FA223" s="1096">
        <v>44.202857142857141</v>
      </c>
      <c r="FB223" s="1098">
        <v>0</v>
      </c>
      <c r="FC223" s="1098">
        <v>0</v>
      </c>
      <c r="FD223" s="1098" t="s">
        <v>379</v>
      </c>
      <c r="FE223" s="1098" t="s">
        <v>410</v>
      </c>
      <c r="FF223" s="1098">
        <v>3</v>
      </c>
      <c r="FG223" s="1098">
        <v>0</v>
      </c>
      <c r="FH223" s="1098">
        <v>0</v>
      </c>
      <c r="FI223" s="1098">
        <v>0</v>
      </c>
      <c r="FJ223" s="1098">
        <v>0</v>
      </c>
      <c r="FK223" s="1096">
        <v>146.95731849999999</v>
      </c>
      <c r="FL223" s="1096">
        <v>140</v>
      </c>
      <c r="FM223" s="1096">
        <v>293.91463699999997</v>
      </c>
      <c r="FN223" s="1096">
        <v>280</v>
      </c>
      <c r="FO223" s="1096">
        <v>587.82927399999994</v>
      </c>
      <c r="FP223" s="1099">
        <v>560</v>
      </c>
      <c r="FQ223" s="1064">
        <v>1.4141999999999999</v>
      </c>
      <c r="FR223" s="1065">
        <v>0.15</v>
      </c>
      <c r="FS223" s="1066">
        <v>289.50050968399586</v>
      </c>
      <c r="FT223" s="1066">
        <v>3.1754272996334754</v>
      </c>
      <c r="FU223" s="1065"/>
      <c r="FV223" s="1066">
        <v>74.213177286125372</v>
      </c>
      <c r="FW223" s="1065"/>
      <c r="FX223" s="1065"/>
      <c r="FY223" s="1065" t="s">
        <v>375</v>
      </c>
      <c r="FZ223" s="1065" t="s">
        <v>412</v>
      </c>
      <c r="GA223" s="1065">
        <v>3</v>
      </c>
      <c r="GB223" s="1065"/>
      <c r="GC223" s="1065"/>
      <c r="GD223" s="1065"/>
      <c r="GE223" s="1065"/>
      <c r="GF223" s="1066">
        <v>153.97137738452028</v>
      </c>
      <c r="GG223" s="1066">
        <v>140</v>
      </c>
      <c r="GH223" s="1066">
        <v>307.94275476904056</v>
      </c>
      <c r="GI223" s="1066">
        <v>280</v>
      </c>
      <c r="GJ223" s="1066">
        <v>615.88550953808112</v>
      </c>
      <c r="GK223" s="1066">
        <v>560</v>
      </c>
      <c r="GL223" s="584">
        <v>1.1003000000000001</v>
      </c>
      <c r="GM223" s="584">
        <v>0.13</v>
      </c>
      <c r="GN223" s="584"/>
      <c r="GO223" s="584"/>
      <c r="GP223" s="584"/>
      <c r="GQ223" s="584">
        <v>79.164285714285697</v>
      </c>
      <c r="GR223" s="584"/>
      <c r="GS223" s="584">
        <v>66.2589194699286</v>
      </c>
      <c r="GT223" s="584" t="s">
        <v>381</v>
      </c>
      <c r="GU223" s="584" t="s">
        <v>351</v>
      </c>
      <c r="GV223" s="584">
        <v>2</v>
      </c>
      <c r="GW223" s="584"/>
      <c r="GX223" s="584"/>
      <c r="GY223" s="584"/>
      <c r="GZ223" s="584"/>
      <c r="HA223" s="584">
        <v>77.931057499999994</v>
      </c>
      <c r="HB223" s="584">
        <v>140</v>
      </c>
      <c r="HC223" s="584">
        <v>155.86211499999999</v>
      </c>
      <c r="HD223" s="584">
        <v>280</v>
      </c>
      <c r="HE223" s="584">
        <v>311.72422999999998</v>
      </c>
      <c r="HF223" s="584">
        <v>560</v>
      </c>
      <c r="HG223" s="1100">
        <v>2.0299999999999998</v>
      </c>
      <c r="HH223" s="1100">
        <v>0.11</v>
      </c>
      <c r="HI223" s="1101">
        <v>0</v>
      </c>
      <c r="HJ223" s="1101">
        <v>0</v>
      </c>
      <c r="HK223" s="1101">
        <v>0</v>
      </c>
      <c r="HL223" s="1101">
        <v>0</v>
      </c>
      <c r="HM223" s="1101">
        <v>81.010285714285715</v>
      </c>
      <c r="HN223" s="1101">
        <v>54.999999999999993</v>
      </c>
      <c r="HO223" s="1101">
        <v>0</v>
      </c>
      <c r="HP223" s="1101">
        <v>0</v>
      </c>
      <c r="HQ223" s="1101">
        <v>3</v>
      </c>
      <c r="HR223" s="1101">
        <v>1.92</v>
      </c>
      <c r="HS223" s="1101">
        <v>1.24</v>
      </c>
      <c r="HT223" s="1101">
        <v>0.3</v>
      </c>
      <c r="HU223" s="1101">
        <v>0.28000000000000003</v>
      </c>
      <c r="HV223" s="1101">
        <v>74.699131600000015</v>
      </c>
      <c r="HW223" s="1101">
        <v>140</v>
      </c>
      <c r="HX223" s="1101">
        <v>149.39826320000003</v>
      </c>
      <c r="HY223" s="1101">
        <v>280</v>
      </c>
      <c r="HZ223" s="1101">
        <v>298.79652640000006</v>
      </c>
      <c r="IA223" s="1101">
        <v>560</v>
      </c>
      <c r="IB223" s="1062"/>
      <c r="ID223" s="1050"/>
      <c r="IE223" s="1050"/>
      <c r="IM223" s="1050"/>
      <c r="IN223" s="1050"/>
      <c r="IO223" s="1050"/>
      <c r="IP223" s="1050"/>
      <c r="JU223" s="1050"/>
      <c r="KC223" s="1050"/>
      <c r="KD223" s="1050"/>
      <c r="KE223" s="1050"/>
      <c r="KF223" s="1050"/>
      <c r="KN223" s="1103"/>
    </row>
    <row r="224" spans="2:300">
      <c r="B224" s="1048" t="str">
        <f t="shared" si="6"/>
        <v>E1015</v>
      </c>
      <c r="C224" s="1046">
        <v>10</v>
      </c>
      <c r="D224" s="1092">
        <v>15</v>
      </c>
      <c r="E224" s="584">
        <v>0</v>
      </c>
      <c r="F224" s="584">
        <v>0</v>
      </c>
      <c r="G224" s="584">
        <v>0</v>
      </c>
      <c r="H224" s="584">
        <v>0</v>
      </c>
      <c r="I224" s="584">
        <v>0</v>
      </c>
      <c r="J224" s="584">
        <v>0</v>
      </c>
      <c r="K224" s="584">
        <v>0</v>
      </c>
      <c r="L224" s="584">
        <v>0</v>
      </c>
      <c r="M224" s="584">
        <v>0</v>
      </c>
      <c r="N224" s="584">
        <v>0</v>
      </c>
      <c r="O224" s="584">
        <v>0</v>
      </c>
      <c r="P224" s="584">
        <v>0</v>
      </c>
      <c r="Q224" s="584">
        <v>0</v>
      </c>
      <c r="R224" s="584">
        <v>0</v>
      </c>
      <c r="S224" s="584">
        <v>0</v>
      </c>
      <c r="T224" s="584">
        <v>0</v>
      </c>
      <c r="U224" s="584">
        <v>0</v>
      </c>
      <c r="V224" s="584">
        <v>0</v>
      </c>
      <c r="W224" s="584">
        <v>0</v>
      </c>
      <c r="X224" s="584">
        <v>0</v>
      </c>
      <c r="Y224" s="584">
        <v>0</v>
      </c>
      <c r="Z224" s="584">
        <v>0</v>
      </c>
      <c r="AA224" s="584">
        <v>0</v>
      </c>
      <c r="AB224" s="584">
        <v>0</v>
      </c>
      <c r="AC224" s="584">
        <v>0</v>
      </c>
      <c r="AD224" s="584">
        <v>0</v>
      </c>
      <c r="AE224" s="584">
        <v>0</v>
      </c>
      <c r="AF224" s="584">
        <v>0</v>
      </c>
      <c r="AG224" s="584">
        <v>0</v>
      </c>
      <c r="AH224" s="584">
        <v>0</v>
      </c>
      <c r="AI224" s="584">
        <v>0</v>
      </c>
      <c r="AJ224" s="584">
        <v>0</v>
      </c>
      <c r="AK224" s="584">
        <v>0</v>
      </c>
      <c r="AL224" s="584">
        <v>0</v>
      </c>
      <c r="AM224" s="584">
        <v>0</v>
      </c>
      <c r="AN224" s="584">
        <v>0</v>
      </c>
      <c r="AO224" s="584">
        <v>0</v>
      </c>
      <c r="AP224" s="584">
        <v>0</v>
      </c>
      <c r="AQ224" s="584">
        <v>0</v>
      </c>
      <c r="AR224" s="584">
        <v>0</v>
      </c>
      <c r="AS224" s="584">
        <v>0</v>
      </c>
      <c r="AT224" s="584">
        <v>0</v>
      </c>
      <c r="AU224" s="584">
        <v>0</v>
      </c>
      <c r="AV224" s="584">
        <v>0</v>
      </c>
      <c r="AW224" s="584">
        <v>0</v>
      </c>
      <c r="AX224" s="584">
        <v>0</v>
      </c>
      <c r="AY224" s="584">
        <v>0</v>
      </c>
      <c r="AZ224" s="584">
        <v>0</v>
      </c>
      <c r="BA224" s="584">
        <v>0</v>
      </c>
      <c r="BB224" s="584">
        <v>0</v>
      </c>
      <c r="BC224" s="584">
        <v>0</v>
      </c>
      <c r="BD224" s="584">
        <v>0</v>
      </c>
      <c r="BE224" s="584">
        <v>0</v>
      </c>
      <c r="BF224" s="584">
        <v>0</v>
      </c>
      <c r="BG224" s="584">
        <v>0</v>
      </c>
      <c r="BH224" s="584">
        <v>0</v>
      </c>
      <c r="BI224" s="584">
        <v>0</v>
      </c>
      <c r="BJ224" s="584">
        <v>0</v>
      </c>
      <c r="BK224" s="584">
        <v>0</v>
      </c>
      <c r="BL224" s="584">
        <v>0</v>
      </c>
      <c r="BM224" s="584">
        <v>0</v>
      </c>
      <c r="BN224" s="584">
        <v>0</v>
      </c>
      <c r="BO224" s="584">
        <v>0</v>
      </c>
      <c r="BP224" s="584">
        <v>0</v>
      </c>
      <c r="BQ224" s="584">
        <v>0</v>
      </c>
      <c r="BR224" s="584">
        <v>0</v>
      </c>
      <c r="BS224" s="584">
        <v>0</v>
      </c>
      <c r="BT224" s="584">
        <v>0</v>
      </c>
      <c r="BU224" s="584">
        <v>0</v>
      </c>
      <c r="BV224" s="584">
        <v>0</v>
      </c>
      <c r="BW224" s="584">
        <v>0</v>
      </c>
      <c r="BX224" s="584">
        <v>0</v>
      </c>
      <c r="BY224" s="584">
        <v>0</v>
      </c>
      <c r="BZ224" s="584">
        <v>0</v>
      </c>
      <c r="CA224" s="584">
        <v>0</v>
      </c>
      <c r="CB224" s="584">
        <v>0</v>
      </c>
      <c r="CC224" s="584">
        <v>0</v>
      </c>
      <c r="CD224" s="584">
        <v>0</v>
      </c>
      <c r="CE224" s="584">
        <v>0</v>
      </c>
      <c r="CF224" s="584">
        <v>0</v>
      </c>
      <c r="CG224" s="584">
        <v>0</v>
      </c>
      <c r="CH224" s="584">
        <v>0</v>
      </c>
      <c r="CI224" s="584">
        <v>0</v>
      </c>
      <c r="CJ224" s="584">
        <v>0</v>
      </c>
      <c r="CK224" s="584">
        <v>0</v>
      </c>
      <c r="CL224" s="584">
        <v>0</v>
      </c>
      <c r="CM224" s="584">
        <v>0</v>
      </c>
      <c r="CN224" s="584">
        <v>0</v>
      </c>
      <c r="CO224" s="584">
        <v>0</v>
      </c>
      <c r="CP224" s="584">
        <v>0</v>
      </c>
      <c r="CQ224" s="584">
        <v>0</v>
      </c>
      <c r="CR224" s="584">
        <v>0</v>
      </c>
      <c r="CS224" s="584">
        <v>0</v>
      </c>
      <c r="CT224" s="584">
        <v>0</v>
      </c>
      <c r="CU224" s="584">
        <v>0</v>
      </c>
      <c r="CV224" s="584">
        <v>0</v>
      </c>
      <c r="CW224" s="584">
        <v>0</v>
      </c>
      <c r="CX224" s="584">
        <v>0</v>
      </c>
      <c r="CY224" s="584">
        <v>0</v>
      </c>
      <c r="CZ224" s="584">
        <v>0</v>
      </c>
      <c r="DA224" s="584">
        <v>0</v>
      </c>
      <c r="DB224" s="584">
        <v>0</v>
      </c>
      <c r="DC224" s="584">
        <v>0</v>
      </c>
      <c r="DD224" s="584">
        <v>0</v>
      </c>
      <c r="DE224" s="584">
        <v>0</v>
      </c>
      <c r="DF224" s="584">
        <v>0</v>
      </c>
      <c r="DG224" s="584">
        <v>0</v>
      </c>
      <c r="DH224" s="584">
        <v>0</v>
      </c>
      <c r="DI224" s="584">
        <v>0</v>
      </c>
      <c r="DJ224" s="584">
        <v>0</v>
      </c>
      <c r="DK224" s="584">
        <v>0</v>
      </c>
      <c r="DL224" s="584">
        <v>0</v>
      </c>
      <c r="DM224" s="584">
        <v>0</v>
      </c>
      <c r="DN224" s="584">
        <v>0</v>
      </c>
      <c r="DO224" s="584">
        <v>0</v>
      </c>
      <c r="DP224" s="584">
        <v>0</v>
      </c>
      <c r="DQ224" s="584">
        <v>0</v>
      </c>
      <c r="DR224" s="584">
        <v>0</v>
      </c>
      <c r="DS224" s="584">
        <v>0</v>
      </c>
      <c r="DT224" s="584">
        <v>0</v>
      </c>
      <c r="DU224" s="584">
        <v>0</v>
      </c>
      <c r="DV224" s="584">
        <v>0</v>
      </c>
      <c r="DW224" s="584">
        <v>0</v>
      </c>
      <c r="DX224" s="584">
        <v>0</v>
      </c>
      <c r="DY224" s="584">
        <v>0</v>
      </c>
      <c r="DZ224" s="584">
        <v>0</v>
      </c>
      <c r="EA224" s="1062">
        <v>0</v>
      </c>
      <c r="EB224" s="1046">
        <v>0</v>
      </c>
      <c r="EC224" s="1093">
        <v>0</v>
      </c>
      <c r="ED224" s="1046">
        <v>0</v>
      </c>
      <c r="EE224" s="1046">
        <v>0</v>
      </c>
      <c r="EF224" s="1046">
        <v>0</v>
      </c>
      <c r="EG224" s="1046">
        <v>0</v>
      </c>
      <c r="EH224" s="1046">
        <v>0</v>
      </c>
      <c r="EI224" s="1046">
        <v>0</v>
      </c>
      <c r="EJ224" s="1046">
        <v>0</v>
      </c>
      <c r="EK224" s="1046">
        <v>0</v>
      </c>
      <c r="EL224" s="1046">
        <v>0</v>
      </c>
      <c r="EM224" s="1046">
        <v>0</v>
      </c>
      <c r="EN224" s="1046">
        <v>0</v>
      </c>
      <c r="EO224" s="1046">
        <v>0</v>
      </c>
      <c r="EP224" s="1094">
        <v>0</v>
      </c>
      <c r="EQ224" s="1094">
        <v>0</v>
      </c>
      <c r="ER224" s="1094">
        <v>0</v>
      </c>
      <c r="ES224" s="1095">
        <v>0</v>
      </c>
      <c r="ET224" s="1094">
        <v>0</v>
      </c>
      <c r="EU224" s="1094">
        <v>0</v>
      </c>
      <c r="EV224" s="1096">
        <v>0.99070000000000003</v>
      </c>
      <c r="EW224" s="1097">
        <v>0.15</v>
      </c>
      <c r="EX224" s="1096">
        <v>289.50050968399592</v>
      </c>
      <c r="EY224" s="1096">
        <v>1.5443934760448521</v>
      </c>
      <c r="EZ224" s="1096">
        <v>0</v>
      </c>
      <c r="FA224" s="1096">
        <v>43.28</v>
      </c>
      <c r="FB224" s="1098">
        <v>0</v>
      </c>
      <c r="FC224" s="1098">
        <v>0</v>
      </c>
      <c r="FD224" s="1098" t="s">
        <v>379</v>
      </c>
      <c r="FE224" s="1098" t="s">
        <v>410</v>
      </c>
      <c r="FF224" s="1098">
        <v>3</v>
      </c>
      <c r="FG224" s="1098">
        <v>0</v>
      </c>
      <c r="FH224" s="1098">
        <v>0</v>
      </c>
      <c r="FI224" s="1098">
        <v>0</v>
      </c>
      <c r="FJ224" s="1098">
        <v>0</v>
      </c>
      <c r="FK224" s="1096">
        <v>157.11477375000001</v>
      </c>
      <c r="FL224" s="1096">
        <v>150</v>
      </c>
      <c r="FM224" s="1096">
        <v>314.22954750000002</v>
      </c>
      <c r="FN224" s="1096">
        <v>300</v>
      </c>
      <c r="FO224" s="1096">
        <v>628.45909500000005</v>
      </c>
      <c r="FP224" s="1099">
        <v>600</v>
      </c>
      <c r="FQ224" s="1064">
        <v>1.5084199999999999</v>
      </c>
      <c r="FR224" s="1065">
        <v>0.15</v>
      </c>
      <c r="FS224" s="1066">
        <v>289.50050968399586</v>
      </c>
      <c r="FT224" s="1066">
        <v>3.1754272996334754</v>
      </c>
      <c r="FU224" s="1065"/>
      <c r="FV224" s="1066">
        <v>85.707874010324844</v>
      </c>
      <c r="FW224" s="1065"/>
      <c r="FX224" s="1065"/>
      <c r="FY224" s="1065" t="s">
        <v>1103</v>
      </c>
      <c r="FZ224" s="1065" t="s">
        <v>406</v>
      </c>
      <c r="GA224" s="1065">
        <v>3</v>
      </c>
      <c r="GB224" s="1065"/>
      <c r="GC224" s="1065"/>
      <c r="GD224" s="1065"/>
      <c r="GE224" s="1065"/>
      <c r="GF224" s="1066">
        <v>169.19794446940091</v>
      </c>
      <c r="GG224" s="1066">
        <v>150</v>
      </c>
      <c r="GH224" s="1066">
        <v>338.39588893880182</v>
      </c>
      <c r="GI224" s="1066">
        <v>300</v>
      </c>
      <c r="GJ224" s="1066">
        <v>676.79177787760364</v>
      </c>
      <c r="GK224" s="1066">
        <v>600</v>
      </c>
      <c r="GL224" s="584">
        <v>1.1003000000000001</v>
      </c>
      <c r="GM224" s="584">
        <v>0.13</v>
      </c>
      <c r="GN224" s="584"/>
      <c r="GO224" s="584"/>
      <c r="GP224" s="584"/>
      <c r="GQ224" s="584">
        <v>81.400000000000006</v>
      </c>
      <c r="GR224" s="584"/>
      <c r="GS224" s="584">
        <v>66.2589194699286</v>
      </c>
      <c r="GT224" s="584" t="s">
        <v>351</v>
      </c>
      <c r="GU224" s="584" t="s">
        <v>351</v>
      </c>
      <c r="GV224" s="584">
        <v>2</v>
      </c>
      <c r="GW224" s="584"/>
      <c r="GX224" s="584"/>
      <c r="GY224" s="584"/>
      <c r="GZ224" s="584"/>
      <c r="HA224" s="584">
        <v>84.320025000000001</v>
      </c>
      <c r="HB224" s="584">
        <v>150</v>
      </c>
      <c r="HC224" s="584">
        <v>168.64005</v>
      </c>
      <c r="HD224" s="584">
        <v>300</v>
      </c>
      <c r="HE224" s="584">
        <v>337.2801</v>
      </c>
      <c r="HF224" s="584">
        <v>600</v>
      </c>
      <c r="HG224" s="1100">
        <v>2.15</v>
      </c>
      <c r="HH224" s="1100">
        <v>0.11</v>
      </c>
      <c r="HI224" s="1101">
        <v>0</v>
      </c>
      <c r="HJ224" s="1101">
        <v>0</v>
      </c>
      <c r="HK224" s="1101">
        <v>0</v>
      </c>
      <c r="HL224" s="1101">
        <v>0</v>
      </c>
      <c r="HM224" s="1101">
        <v>86.903999999999996</v>
      </c>
      <c r="HN224" s="1101">
        <v>54.999999999999993</v>
      </c>
      <c r="HO224" s="1101">
        <v>0</v>
      </c>
      <c r="HP224" s="1101">
        <v>0</v>
      </c>
      <c r="HQ224" s="1101">
        <v>3</v>
      </c>
      <c r="HR224" s="1101">
        <v>2.04</v>
      </c>
      <c r="HS224" s="1101">
        <v>1.36</v>
      </c>
      <c r="HT224" s="1101">
        <v>0.3</v>
      </c>
      <c r="HU224" s="1101">
        <v>0.28000000000000003</v>
      </c>
      <c r="HV224" s="1101">
        <v>82.202933999999999</v>
      </c>
      <c r="HW224" s="1101">
        <v>150</v>
      </c>
      <c r="HX224" s="1101">
        <v>164.405868</v>
      </c>
      <c r="HY224" s="1101">
        <v>300</v>
      </c>
      <c r="HZ224" s="1101">
        <v>328.811736</v>
      </c>
      <c r="IA224" s="1101">
        <v>600</v>
      </c>
      <c r="IB224" s="1062"/>
      <c r="ID224" s="1050"/>
      <c r="IE224" s="1050"/>
      <c r="IM224" s="1050"/>
      <c r="IN224" s="1050"/>
      <c r="IO224" s="1050"/>
      <c r="IP224" s="1050"/>
      <c r="JU224" s="1050"/>
      <c r="KC224" s="1050"/>
      <c r="KD224" s="1050"/>
      <c r="KE224" s="1050"/>
      <c r="KF224" s="1050"/>
      <c r="KN224" s="1103"/>
    </row>
    <row r="225" spans="2:300">
      <c r="B225" s="1048" t="str">
        <f t="shared" si="6"/>
        <v>E1016</v>
      </c>
      <c r="C225" s="1046">
        <v>10</v>
      </c>
      <c r="D225" s="1092">
        <v>16</v>
      </c>
      <c r="E225" s="584">
        <v>0</v>
      </c>
      <c r="F225" s="584">
        <v>0</v>
      </c>
      <c r="G225" s="584">
        <v>0</v>
      </c>
      <c r="H225" s="584">
        <v>0</v>
      </c>
      <c r="I225" s="584">
        <v>0</v>
      </c>
      <c r="J225" s="584">
        <v>0</v>
      </c>
      <c r="K225" s="584">
        <v>0</v>
      </c>
      <c r="L225" s="584">
        <v>0</v>
      </c>
      <c r="M225" s="584">
        <v>0</v>
      </c>
      <c r="N225" s="584">
        <v>0</v>
      </c>
      <c r="O225" s="584">
        <v>0</v>
      </c>
      <c r="P225" s="584">
        <v>0</v>
      </c>
      <c r="Q225" s="584">
        <v>0</v>
      </c>
      <c r="R225" s="584">
        <v>0</v>
      </c>
      <c r="S225" s="584">
        <v>0</v>
      </c>
      <c r="T225" s="584">
        <v>0</v>
      </c>
      <c r="U225" s="584">
        <v>0</v>
      </c>
      <c r="V225" s="584">
        <v>0</v>
      </c>
      <c r="W225" s="584">
        <v>0</v>
      </c>
      <c r="X225" s="584">
        <v>0</v>
      </c>
      <c r="Y225" s="584">
        <v>0</v>
      </c>
      <c r="Z225" s="584">
        <v>0</v>
      </c>
      <c r="AA225" s="584">
        <v>0</v>
      </c>
      <c r="AB225" s="584">
        <v>0</v>
      </c>
      <c r="AC225" s="584">
        <v>0</v>
      </c>
      <c r="AD225" s="584">
        <v>0</v>
      </c>
      <c r="AE225" s="584">
        <v>0</v>
      </c>
      <c r="AF225" s="584">
        <v>0</v>
      </c>
      <c r="AG225" s="584">
        <v>0</v>
      </c>
      <c r="AH225" s="584">
        <v>0</v>
      </c>
      <c r="AI225" s="584">
        <v>0</v>
      </c>
      <c r="AJ225" s="584">
        <v>0</v>
      </c>
      <c r="AK225" s="584">
        <v>0</v>
      </c>
      <c r="AL225" s="584">
        <v>0</v>
      </c>
      <c r="AM225" s="584">
        <v>0</v>
      </c>
      <c r="AN225" s="584">
        <v>0</v>
      </c>
      <c r="AO225" s="584">
        <v>181.84143750000001</v>
      </c>
      <c r="AP225" s="584">
        <v>160</v>
      </c>
      <c r="AQ225" s="584">
        <v>259.07343750000001</v>
      </c>
      <c r="AR225" s="584">
        <v>336</v>
      </c>
      <c r="AS225" s="584">
        <v>149.791</v>
      </c>
      <c r="AT225" s="584">
        <v>704</v>
      </c>
      <c r="AU225" s="584">
        <v>0</v>
      </c>
      <c r="AV225" s="584">
        <v>0</v>
      </c>
      <c r="AW225" s="584">
        <v>0</v>
      </c>
      <c r="AX225" s="584">
        <v>0</v>
      </c>
      <c r="AY225" s="584">
        <v>0</v>
      </c>
      <c r="AZ225" s="584">
        <v>0</v>
      </c>
      <c r="BA225" s="584">
        <v>0</v>
      </c>
      <c r="BB225" s="584">
        <v>0</v>
      </c>
      <c r="BC225" s="584">
        <v>0</v>
      </c>
      <c r="BD225" s="584">
        <v>0</v>
      </c>
      <c r="BE225" s="584">
        <v>0</v>
      </c>
      <c r="BF225" s="584">
        <v>0</v>
      </c>
      <c r="BG225" s="584">
        <v>0</v>
      </c>
      <c r="BH225" s="584">
        <v>0</v>
      </c>
      <c r="BI225" s="584">
        <v>0</v>
      </c>
      <c r="BJ225" s="584">
        <v>0</v>
      </c>
      <c r="BK225" s="584">
        <v>0</v>
      </c>
      <c r="BL225" s="584">
        <v>0</v>
      </c>
      <c r="BM225" s="584">
        <v>0</v>
      </c>
      <c r="BN225" s="584">
        <v>0</v>
      </c>
      <c r="BO225" s="584">
        <v>0</v>
      </c>
      <c r="BP225" s="584">
        <v>0</v>
      </c>
      <c r="BQ225" s="584">
        <v>0</v>
      </c>
      <c r="BR225" s="584">
        <v>0</v>
      </c>
      <c r="BS225" s="584">
        <v>0</v>
      </c>
      <c r="BT225" s="584">
        <v>0</v>
      </c>
      <c r="BU225" s="584">
        <v>0</v>
      </c>
      <c r="BV225" s="584">
        <v>0</v>
      </c>
      <c r="BW225" s="584">
        <v>0</v>
      </c>
      <c r="BX225" s="584">
        <v>0</v>
      </c>
      <c r="BY225" s="584">
        <v>0</v>
      </c>
      <c r="BZ225" s="584">
        <v>0</v>
      </c>
      <c r="CA225" s="584">
        <v>0</v>
      </c>
      <c r="CB225" s="584">
        <v>0</v>
      </c>
      <c r="CC225" s="584">
        <v>0</v>
      </c>
      <c r="CD225" s="584">
        <v>0</v>
      </c>
      <c r="CE225" s="584">
        <v>0</v>
      </c>
      <c r="CF225" s="584">
        <v>0</v>
      </c>
      <c r="CG225" s="584">
        <v>0</v>
      </c>
      <c r="CH225" s="584">
        <v>0</v>
      </c>
      <c r="CI225" s="584">
        <v>0</v>
      </c>
      <c r="CJ225" s="584">
        <v>0</v>
      </c>
      <c r="CK225" s="584">
        <v>0</v>
      </c>
      <c r="CL225" s="584">
        <v>0</v>
      </c>
      <c r="CM225" s="584">
        <v>0</v>
      </c>
      <c r="CN225" s="584">
        <v>0</v>
      </c>
      <c r="CO225" s="584">
        <v>0</v>
      </c>
      <c r="CP225" s="584">
        <v>0</v>
      </c>
      <c r="CQ225" s="584">
        <v>0</v>
      </c>
      <c r="CR225" s="584">
        <v>0</v>
      </c>
      <c r="CS225" s="584">
        <v>0</v>
      </c>
      <c r="CT225" s="584">
        <v>0</v>
      </c>
      <c r="CU225" s="584">
        <v>0</v>
      </c>
      <c r="CV225" s="584">
        <v>0</v>
      </c>
      <c r="CW225" s="584">
        <v>0</v>
      </c>
      <c r="CX225" s="584">
        <v>0</v>
      </c>
      <c r="CY225" s="584">
        <v>0</v>
      </c>
      <c r="CZ225" s="584">
        <v>0</v>
      </c>
      <c r="DA225" s="584">
        <v>0</v>
      </c>
      <c r="DB225" s="584">
        <v>0</v>
      </c>
      <c r="DC225" s="584">
        <v>0</v>
      </c>
      <c r="DD225" s="584">
        <v>0</v>
      </c>
      <c r="DE225" s="584">
        <v>0</v>
      </c>
      <c r="DF225" s="584">
        <v>0</v>
      </c>
      <c r="DG225" s="584">
        <v>0</v>
      </c>
      <c r="DH225" s="584">
        <v>0</v>
      </c>
      <c r="DI225" s="584">
        <v>0</v>
      </c>
      <c r="DJ225" s="584">
        <v>0</v>
      </c>
      <c r="DK225" s="584">
        <v>0</v>
      </c>
      <c r="DL225" s="584">
        <v>0</v>
      </c>
      <c r="DM225" s="584">
        <v>0</v>
      </c>
      <c r="DN225" s="584">
        <v>0</v>
      </c>
      <c r="DO225" s="584">
        <v>0</v>
      </c>
      <c r="DP225" s="584">
        <v>0</v>
      </c>
      <c r="DQ225" s="584">
        <v>0</v>
      </c>
      <c r="DR225" s="584">
        <v>0</v>
      </c>
      <c r="DS225" s="584">
        <v>0</v>
      </c>
      <c r="DT225" s="584">
        <v>0</v>
      </c>
      <c r="DU225" s="584">
        <v>0</v>
      </c>
      <c r="DV225" s="584">
        <v>0</v>
      </c>
      <c r="DW225" s="584">
        <v>0</v>
      </c>
      <c r="DX225" s="584">
        <v>0</v>
      </c>
      <c r="DY225" s="584">
        <v>0</v>
      </c>
      <c r="DZ225" s="584">
        <v>0</v>
      </c>
      <c r="EA225" s="1062">
        <v>0</v>
      </c>
      <c r="EB225" s="1046">
        <v>0</v>
      </c>
      <c r="EC225" s="1093">
        <v>0</v>
      </c>
      <c r="ED225" s="1046">
        <v>0</v>
      </c>
      <c r="EE225" s="1046">
        <v>0</v>
      </c>
      <c r="EF225" s="1046">
        <v>0</v>
      </c>
      <c r="EG225" s="1046">
        <v>0</v>
      </c>
      <c r="EH225" s="1046">
        <v>0</v>
      </c>
      <c r="EI225" s="1046">
        <v>0</v>
      </c>
      <c r="EJ225" s="1046">
        <v>0</v>
      </c>
      <c r="EK225" s="1046">
        <v>0</v>
      </c>
      <c r="EL225" s="1046">
        <v>0</v>
      </c>
      <c r="EM225" s="1046">
        <v>0</v>
      </c>
      <c r="EN225" s="1046">
        <v>0</v>
      </c>
      <c r="EO225" s="1046">
        <v>0</v>
      </c>
      <c r="EP225" s="1094">
        <v>0</v>
      </c>
      <c r="EQ225" s="1094">
        <v>0</v>
      </c>
      <c r="ER225" s="1094">
        <v>0</v>
      </c>
      <c r="ES225" s="1095">
        <v>0</v>
      </c>
      <c r="ET225" s="1094">
        <v>0</v>
      </c>
      <c r="EU225" s="1094">
        <v>0</v>
      </c>
      <c r="EV225" s="1096">
        <v>1.0008999999999999</v>
      </c>
      <c r="EW225" s="1097">
        <v>0.15</v>
      </c>
      <c r="EX225" s="1096">
        <v>289.50050968399592</v>
      </c>
      <c r="EY225" s="1096">
        <v>1.5443934760448521</v>
      </c>
      <c r="EZ225" s="1096">
        <v>0</v>
      </c>
      <c r="FA225" s="1096">
        <v>51.716250000000002</v>
      </c>
      <c r="FB225" s="1098">
        <v>0</v>
      </c>
      <c r="FC225" s="1098">
        <v>0</v>
      </c>
      <c r="FD225" s="1098" t="s">
        <v>377</v>
      </c>
      <c r="FE225" s="1098" t="s">
        <v>396</v>
      </c>
      <c r="FF225" s="1098">
        <v>3</v>
      </c>
      <c r="FG225" s="1098">
        <v>0</v>
      </c>
      <c r="FH225" s="1098">
        <v>0</v>
      </c>
      <c r="FI225" s="1098">
        <v>0</v>
      </c>
      <c r="FJ225" s="1098">
        <v>0</v>
      </c>
      <c r="FK225" s="1096">
        <v>170.89947649999999</v>
      </c>
      <c r="FL225" s="1096">
        <v>160</v>
      </c>
      <c r="FM225" s="1096">
        <v>341.79895299999998</v>
      </c>
      <c r="FN225" s="1096">
        <v>320</v>
      </c>
      <c r="FO225" s="1096">
        <v>683.59790599999997</v>
      </c>
      <c r="FP225" s="1099">
        <v>640</v>
      </c>
      <c r="FQ225" s="1064">
        <v>1.5221399999999998</v>
      </c>
      <c r="FR225" s="1065">
        <v>0.15</v>
      </c>
      <c r="FS225" s="1066">
        <v>289.50050968399586</v>
      </c>
      <c r="FT225" s="1066">
        <v>3.1754272996334754</v>
      </c>
      <c r="FU225" s="1065"/>
      <c r="FV225" s="1066">
        <v>90.721480729950883</v>
      </c>
      <c r="FW225" s="1065"/>
      <c r="FX225" s="1065"/>
      <c r="FY225" s="1065" t="s">
        <v>349</v>
      </c>
      <c r="FZ225" s="1065" t="s">
        <v>389</v>
      </c>
      <c r="GA225" s="1065">
        <v>3</v>
      </c>
      <c r="GB225" s="1065"/>
      <c r="GC225" s="1065"/>
      <c r="GD225" s="1065"/>
      <c r="GE225" s="1065"/>
      <c r="GF225" s="1066">
        <v>182.4451467108089</v>
      </c>
      <c r="GG225" s="1066">
        <v>160</v>
      </c>
      <c r="GH225" s="1066">
        <v>364.8902934216178</v>
      </c>
      <c r="GI225" s="1066">
        <v>320</v>
      </c>
      <c r="GJ225" s="1066">
        <v>729.7805868432356</v>
      </c>
      <c r="GK225" s="1066">
        <v>640</v>
      </c>
      <c r="GL225" s="584">
        <v>1.1201000000000001</v>
      </c>
      <c r="GM225" s="584">
        <v>0.13</v>
      </c>
      <c r="GN225" s="584"/>
      <c r="GO225" s="584"/>
      <c r="GP225" s="584"/>
      <c r="GQ225" s="584">
        <v>95.564999999999998</v>
      </c>
      <c r="GR225" s="584"/>
      <c r="GS225" s="584">
        <v>66.2589194699286</v>
      </c>
      <c r="GT225" s="584" t="s">
        <v>351</v>
      </c>
      <c r="GU225" s="584" t="s">
        <v>347</v>
      </c>
      <c r="GV225" s="584">
        <v>2</v>
      </c>
      <c r="GW225" s="584"/>
      <c r="GX225" s="584"/>
      <c r="GY225" s="584"/>
      <c r="GZ225" s="584"/>
      <c r="HA225" s="584">
        <v>95.499706000000003</v>
      </c>
      <c r="HB225" s="584">
        <v>160</v>
      </c>
      <c r="HC225" s="584">
        <v>190.99941200000001</v>
      </c>
      <c r="HD225" s="584">
        <v>320</v>
      </c>
      <c r="HE225" s="584">
        <v>381.99882400000001</v>
      </c>
      <c r="HF225" s="584">
        <v>640</v>
      </c>
      <c r="HG225" s="1100">
        <v>2.31</v>
      </c>
      <c r="HH225" s="1100">
        <v>0.11</v>
      </c>
      <c r="HI225" s="1101">
        <v>0</v>
      </c>
      <c r="HJ225" s="1101">
        <v>0</v>
      </c>
      <c r="HK225" s="1101">
        <v>0</v>
      </c>
      <c r="HL225" s="1101">
        <v>0</v>
      </c>
      <c r="HM225" s="1101">
        <v>93.154499999999999</v>
      </c>
      <c r="HN225" s="1101">
        <v>54.999999999999993</v>
      </c>
      <c r="HO225" s="1101">
        <v>0</v>
      </c>
      <c r="HP225" s="1101">
        <v>0</v>
      </c>
      <c r="HQ225" s="1101">
        <v>3</v>
      </c>
      <c r="HR225" s="1101">
        <v>2.2000000000000002</v>
      </c>
      <c r="HS225" s="1101">
        <v>1.48</v>
      </c>
      <c r="HT225" s="1101">
        <v>0.3</v>
      </c>
      <c r="HU225" s="1101">
        <v>0.28000000000000003</v>
      </c>
      <c r="HV225" s="1101">
        <v>90.135825799999992</v>
      </c>
      <c r="HW225" s="1101">
        <v>160</v>
      </c>
      <c r="HX225" s="1101">
        <v>180.27165159999998</v>
      </c>
      <c r="HY225" s="1101">
        <v>320</v>
      </c>
      <c r="HZ225" s="1101">
        <v>360.54330319999997</v>
      </c>
      <c r="IA225" s="1101">
        <v>640</v>
      </c>
      <c r="IB225" s="1062"/>
      <c r="ID225" s="1050"/>
      <c r="IE225" s="1050"/>
      <c r="IM225" s="1050"/>
      <c r="IN225" s="1050"/>
      <c r="IO225" s="1050"/>
      <c r="IP225" s="1050"/>
      <c r="JU225" s="1050"/>
      <c r="KC225" s="1050"/>
      <c r="KD225" s="1050"/>
      <c r="KE225" s="1050"/>
      <c r="KF225" s="1050"/>
      <c r="KN225" s="1103"/>
    </row>
    <row r="226" spans="2:300">
      <c r="B226" s="1048" t="str">
        <f t="shared" si="6"/>
        <v>E1111</v>
      </c>
      <c r="C226" s="1046">
        <v>11</v>
      </c>
      <c r="D226" s="1092">
        <v>11</v>
      </c>
      <c r="E226" s="584">
        <v>0.42</v>
      </c>
      <c r="F226" s="584">
        <v>0.42</v>
      </c>
      <c r="G226" s="584">
        <v>1008</v>
      </c>
      <c r="H226" s="584">
        <v>33.6</v>
      </c>
      <c r="I226" s="584">
        <v>0</v>
      </c>
      <c r="J226" s="584">
        <v>0</v>
      </c>
      <c r="K226" s="584">
        <v>0</v>
      </c>
      <c r="L226" s="584">
        <v>0</v>
      </c>
      <c r="M226" s="584">
        <v>0</v>
      </c>
      <c r="N226" s="584">
        <v>0</v>
      </c>
      <c r="O226" s="584">
        <v>0</v>
      </c>
      <c r="P226" s="584">
        <v>0</v>
      </c>
      <c r="Q226" s="584">
        <v>0</v>
      </c>
      <c r="R226" s="584">
        <v>0</v>
      </c>
      <c r="S226" s="584">
        <v>0</v>
      </c>
      <c r="T226" s="584">
        <v>492.9464375</v>
      </c>
      <c r="U226" s="584">
        <v>121</v>
      </c>
      <c r="V226" s="584">
        <v>878.07843749999995</v>
      </c>
      <c r="W226" s="584">
        <v>254.1</v>
      </c>
      <c r="X226" s="584">
        <v>1514.5819375000001</v>
      </c>
      <c r="Y226" s="584">
        <v>532.4</v>
      </c>
      <c r="Z226" s="584">
        <v>0.32</v>
      </c>
      <c r="AA226" s="584">
        <v>0.32</v>
      </c>
      <c r="AB226" s="584">
        <v>768</v>
      </c>
      <c r="AC226" s="584">
        <v>27</v>
      </c>
      <c r="AD226" s="584">
        <v>0</v>
      </c>
      <c r="AE226" s="584">
        <v>0</v>
      </c>
      <c r="AF226" s="584">
        <v>0</v>
      </c>
      <c r="AG226" s="584">
        <v>0</v>
      </c>
      <c r="AH226" s="584">
        <v>0</v>
      </c>
      <c r="AI226" s="584">
        <v>0</v>
      </c>
      <c r="AJ226" s="584">
        <v>0</v>
      </c>
      <c r="AK226" s="584">
        <v>0</v>
      </c>
      <c r="AL226" s="584">
        <v>0</v>
      </c>
      <c r="AM226" s="584">
        <v>0</v>
      </c>
      <c r="AN226" s="584">
        <v>0</v>
      </c>
      <c r="AO226" s="584">
        <v>411.72143749999998</v>
      </c>
      <c r="AP226" s="584">
        <v>121</v>
      </c>
      <c r="AQ226" s="584">
        <v>712.17975000000001</v>
      </c>
      <c r="AR226" s="584">
        <v>254.1</v>
      </c>
      <c r="AS226" s="584">
        <v>1180.271</v>
      </c>
      <c r="AT226" s="584">
        <v>532.4</v>
      </c>
      <c r="AU226" s="584">
        <v>0.85</v>
      </c>
      <c r="AV226" s="584">
        <v>0.52</v>
      </c>
      <c r="AW226" s="584">
        <v>801.34487810094095</v>
      </c>
      <c r="AX226" s="584">
        <v>41.797987596236098</v>
      </c>
      <c r="AY226" s="584">
        <v>0</v>
      </c>
      <c r="AZ226" s="584">
        <v>0</v>
      </c>
      <c r="BA226" s="584">
        <v>0</v>
      </c>
      <c r="BB226" s="584">
        <v>0</v>
      </c>
      <c r="BC226" s="584">
        <v>0</v>
      </c>
      <c r="BD226" s="584">
        <v>0</v>
      </c>
      <c r="BE226" s="584">
        <v>0</v>
      </c>
      <c r="BF226" s="584">
        <v>0</v>
      </c>
      <c r="BG226" s="584">
        <v>0.85</v>
      </c>
      <c r="BH226" s="584">
        <v>0</v>
      </c>
      <c r="BI226" s="584">
        <v>0.6</v>
      </c>
      <c r="BJ226" s="584">
        <v>433.00349043787401</v>
      </c>
      <c r="BK226" s="584">
        <v>121</v>
      </c>
      <c r="BL226" s="584">
        <v>721.692009571482</v>
      </c>
      <c r="BM226" s="584">
        <v>254.1</v>
      </c>
      <c r="BN226" s="584">
        <v>1191.6740466691599</v>
      </c>
      <c r="BO226" s="584">
        <v>532.4</v>
      </c>
      <c r="BP226" s="584">
        <v>0.77500000000000002</v>
      </c>
      <c r="BQ226" s="584">
        <v>0.29499999999999998</v>
      </c>
      <c r="BR226" s="584">
        <v>813.70813729683505</v>
      </c>
      <c r="BS226" s="584">
        <v>32.317700959687798</v>
      </c>
      <c r="BT226" s="584">
        <v>0</v>
      </c>
      <c r="BU226" s="584">
        <v>0</v>
      </c>
      <c r="BV226" s="584">
        <v>0</v>
      </c>
      <c r="BW226" s="584">
        <v>0</v>
      </c>
      <c r="BX226" s="584">
        <v>0</v>
      </c>
      <c r="BY226" s="584">
        <v>0</v>
      </c>
      <c r="BZ226" s="584">
        <v>0</v>
      </c>
      <c r="CA226" s="584">
        <v>0.77500000000000002</v>
      </c>
      <c r="CB226" s="584">
        <v>0.77500000000000002</v>
      </c>
      <c r="CC226" s="584">
        <v>0.45</v>
      </c>
      <c r="CD226" s="584">
        <v>0.45</v>
      </c>
      <c r="CE226" s="584">
        <v>435.84485000000001</v>
      </c>
      <c r="CF226" s="584">
        <v>121</v>
      </c>
      <c r="CG226" s="584">
        <v>733.26622499999996</v>
      </c>
      <c r="CH226" s="584">
        <v>254.1</v>
      </c>
      <c r="CI226" s="584">
        <v>1212.2871</v>
      </c>
      <c r="CJ226" s="584">
        <v>532.4</v>
      </c>
      <c r="CK226" s="584">
        <v>0.9</v>
      </c>
      <c r="CL226" s="584">
        <v>0.38500000000000001</v>
      </c>
      <c r="CM226" s="584">
        <v>997.02178678357598</v>
      </c>
      <c r="CN226" s="584">
        <v>34.334555710008601</v>
      </c>
      <c r="CO226" s="584">
        <v>0</v>
      </c>
      <c r="CP226" s="584">
        <v>0</v>
      </c>
      <c r="CQ226" s="584">
        <v>0</v>
      </c>
      <c r="CR226" s="584">
        <v>0</v>
      </c>
      <c r="CS226" s="584">
        <v>0</v>
      </c>
      <c r="CT226" s="584">
        <v>0</v>
      </c>
      <c r="CU226" s="584">
        <v>0</v>
      </c>
      <c r="CV226" s="584">
        <v>0</v>
      </c>
      <c r="CW226" s="584">
        <v>0.9</v>
      </c>
      <c r="CX226" s="584">
        <v>0</v>
      </c>
      <c r="CY226" s="584">
        <v>0.6</v>
      </c>
      <c r="CZ226" s="584">
        <v>512.36855000000003</v>
      </c>
      <c r="DA226" s="584">
        <v>121</v>
      </c>
      <c r="DB226" s="584">
        <v>865.82617500000003</v>
      </c>
      <c r="DC226" s="584">
        <v>254.1</v>
      </c>
      <c r="DD226" s="584">
        <v>1481.625721875</v>
      </c>
      <c r="DE226" s="584">
        <v>532.4</v>
      </c>
      <c r="DF226" s="584">
        <v>0.57499999999999996</v>
      </c>
      <c r="DG226" s="584">
        <v>0.3</v>
      </c>
      <c r="DH226" s="584">
        <v>353.957174935843</v>
      </c>
      <c r="DI226" s="584">
        <v>17.890810147562</v>
      </c>
      <c r="DJ226" s="584">
        <v>390</v>
      </c>
      <c r="DK226" s="584">
        <v>0</v>
      </c>
      <c r="DL226" s="584">
        <v>0</v>
      </c>
      <c r="DM226" s="584">
        <v>0</v>
      </c>
      <c r="DN226" s="584">
        <v>0</v>
      </c>
      <c r="DO226" s="584">
        <v>0</v>
      </c>
      <c r="DP226" s="584">
        <v>0</v>
      </c>
      <c r="DQ226" s="584">
        <v>0</v>
      </c>
      <c r="DR226" s="584">
        <v>0.57499999999999996</v>
      </c>
      <c r="DS226" s="584">
        <v>0</v>
      </c>
      <c r="DT226" s="584">
        <v>2.4</v>
      </c>
      <c r="DU226" s="584">
        <v>386.78300000000002</v>
      </c>
      <c r="DV226" s="584">
        <v>121</v>
      </c>
      <c r="DW226" s="584">
        <v>754.64049999999997</v>
      </c>
      <c r="DX226" s="584">
        <v>254.1</v>
      </c>
      <c r="DY226" s="584">
        <v>1130.1577500000001</v>
      </c>
      <c r="DZ226" s="584">
        <v>532.4</v>
      </c>
      <c r="EA226" s="1062">
        <v>1.2729999999999999</v>
      </c>
      <c r="EB226" s="1046">
        <v>0.35</v>
      </c>
      <c r="EC226" s="1093">
        <v>132.51783893985731</v>
      </c>
      <c r="ED226" s="1046">
        <v>0</v>
      </c>
      <c r="EE226" s="1046">
        <v>458.71559633027522</v>
      </c>
      <c r="EF226" s="1046">
        <v>33.572727272727278</v>
      </c>
      <c r="EG226" s="1046">
        <v>0</v>
      </c>
      <c r="EH226" s="1046">
        <v>0</v>
      </c>
      <c r="EI226" s="1046" t="s">
        <v>369</v>
      </c>
      <c r="EJ226" s="1046" t="s">
        <v>445</v>
      </c>
      <c r="EK226" s="1046">
        <v>0</v>
      </c>
      <c r="EL226" s="1046">
        <v>0</v>
      </c>
      <c r="EM226" s="1046">
        <v>0</v>
      </c>
      <c r="EN226" s="1046">
        <v>0</v>
      </c>
      <c r="EO226" s="1046">
        <v>0</v>
      </c>
      <c r="EP226" s="1094">
        <v>209.61279074999999</v>
      </c>
      <c r="EQ226" s="1094">
        <v>121</v>
      </c>
      <c r="ER226" s="1094">
        <v>419.22558149999998</v>
      </c>
      <c r="ES226" s="1095">
        <v>242</v>
      </c>
      <c r="ET226" s="1094">
        <v>838.45116299999995</v>
      </c>
      <c r="EU226" s="1094">
        <v>484</v>
      </c>
      <c r="EV226" s="1096">
        <v>0.91979999999999995</v>
      </c>
      <c r="EW226" s="1097">
        <v>0.15</v>
      </c>
      <c r="EX226" s="1096">
        <v>289.50050968399592</v>
      </c>
      <c r="EY226" s="1096">
        <v>1.5443934760448521</v>
      </c>
      <c r="EZ226" s="1096">
        <v>0</v>
      </c>
      <c r="FA226" s="1096">
        <v>38.127272727272732</v>
      </c>
      <c r="FB226" s="1098">
        <v>0</v>
      </c>
      <c r="FC226" s="1098">
        <v>0</v>
      </c>
      <c r="FD226" s="1098" t="s">
        <v>383</v>
      </c>
      <c r="FE226" s="1098" t="s">
        <v>456</v>
      </c>
      <c r="FF226" s="1098">
        <v>3</v>
      </c>
      <c r="FG226" s="1098">
        <v>0</v>
      </c>
      <c r="FH226" s="1098">
        <v>0</v>
      </c>
      <c r="FI226" s="1098">
        <v>0</v>
      </c>
      <c r="FJ226" s="1098">
        <v>0</v>
      </c>
      <c r="FK226" s="1096">
        <v>125.210166125</v>
      </c>
      <c r="FL226" s="1096">
        <v>121</v>
      </c>
      <c r="FM226" s="1096">
        <v>250.42033225</v>
      </c>
      <c r="FN226" s="1096">
        <v>242</v>
      </c>
      <c r="FO226" s="1096">
        <v>500.8406645</v>
      </c>
      <c r="FP226" s="1099">
        <v>484</v>
      </c>
      <c r="FQ226" s="1064">
        <v>1.32698</v>
      </c>
      <c r="FR226" s="1065">
        <v>0.15</v>
      </c>
      <c r="FS226" s="1066">
        <v>289.50050968399586</v>
      </c>
      <c r="FT226" s="1066">
        <v>3.2017662436826937</v>
      </c>
      <c r="FU226" s="1065"/>
      <c r="FV226" s="1066">
        <v>58.604427884464073</v>
      </c>
      <c r="FW226" s="1065"/>
      <c r="FX226" s="1065"/>
      <c r="FY226" s="1065" t="s">
        <v>379</v>
      </c>
      <c r="FZ226" s="1065" t="s">
        <v>459</v>
      </c>
      <c r="GA226" s="1065">
        <v>3</v>
      </c>
      <c r="GB226" s="1065"/>
      <c r="GC226" s="1065"/>
      <c r="GD226" s="1065"/>
      <c r="GE226" s="1065"/>
      <c r="GF226" s="1066">
        <v>128.45114262301286</v>
      </c>
      <c r="GG226" s="1066">
        <v>121</v>
      </c>
      <c r="GH226" s="1066">
        <v>256.90228524602571</v>
      </c>
      <c r="GI226" s="1066">
        <v>242</v>
      </c>
      <c r="GJ226" s="1066">
        <v>513.80457049205143</v>
      </c>
      <c r="GK226" s="1066">
        <v>484</v>
      </c>
      <c r="GL226" s="584">
        <v>1.0329999999999999</v>
      </c>
      <c r="GM226" s="584">
        <v>0.13</v>
      </c>
      <c r="GN226" s="584"/>
      <c r="GO226" s="584"/>
      <c r="GP226" s="584"/>
      <c r="GQ226" s="584">
        <v>54.781818181818203</v>
      </c>
      <c r="GR226" s="584"/>
      <c r="GS226" s="584">
        <v>66.2589194699286</v>
      </c>
      <c r="GT226" s="584" t="s">
        <v>375</v>
      </c>
      <c r="GU226" s="584" t="s">
        <v>389</v>
      </c>
      <c r="GV226" s="584">
        <v>2</v>
      </c>
      <c r="GW226" s="584"/>
      <c r="GX226" s="584"/>
      <c r="GY226" s="584"/>
      <c r="GZ226" s="584"/>
      <c r="HA226" s="584">
        <v>60.119141499999998</v>
      </c>
      <c r="HB226" s="584">
        <v>121</v>
      </c>
      <c r="HC226" s="584">
        <v>120.238283</v>
      </c>
      <c r="HD226" s="584">
        <v>242</v>
      </c>
      <c r="HE226" s="584">
        <v>240.47656599999999</v>
      </c>
      <c r="HF226" s="584">
        <v>484</v>
      </c>
      <c r="HG226" s="1100">
        <v>1.7100000000000002</v>
      </c>
      <c r="HH226" s="1100">
        <v>0.11</v>
      </c>
      <c r="HI226" s="1101">
        <v>0</v>
      </c>
      <c r="HJ226" s="1101">
        <v>0</v>
      </c>
      <c r="HK226" s="1101">
        <v>0</v>
      </c>
      <c r="HL226" s="1101">
        <v>0</v>
      </c>
      <c r="HM226" s="1101">
        <v>61.789090909090902</v>
      </c>
      <c r="HN226" s="1101">
        <v>54.999999999999993</v>
      </c>
      <c r="HO226" s="1101">
        <v>0</v>
      </c>
      <c r="HP226" s="1101">
        <v>0</v>
      </c>
      <c r="HQ226" s="1101">
        <v>3</v>
      </c>
      <c r="HR226" s="1101">
        <v>1.6</v>
      </c>
      <c r="HS226" s="1101">
        <v>0.92</v>
      </c>
      <c r="HT226" s="1101">
        <v>0.3</v>
      </c>
      <c r="HU226" s="1101">
        <v>0.28000000000000003</v>
      </c>
      <c r="HV226" s="1101">
        <v>58.857454699999998</v>
      </c>
      <c r="HW226" s="1101">
        <v>121</v>
      </c>
      <c r="HX226" s="1101">
        <v>117.7149094</v>
      </c>
      <c r="HY226" s="1101">
        <v>242</v>
      </c>
      <c r="HZ226" s="1101">
        <v>235.42981879999999</v>
      </c>
      <c r="IA226" s="1101">
        <v>484</v>
      </c>
      <c r="IB226" s="1062"/>
      <c r="ID226" s="1050"/>
      <c r="IE226" s="1050"/>
      <c r="IM226" s="1050"/>
      <c r="IN226" s="1050"/>
      <c r="IO226" s="1050"/>
      <c r="IP226" s="1050"/>
      <c r="JU226" s="1050"/>
      <c r="KC226" s="1050"/>
      <c r="KD226" s="1050"/>
      <c r="KE226" s="1050"/>
      <c r="KF226" s="1050"/>
      <c r="KN226" s="1103"/>
    </row>
    <row r="227" spans="2:300">
      <c r="B227" s="1048" t="str">
        <f t="shared" si="6"/>
        <v>E1112</v>
      </c>
      <c r="C227" s="1046">
        <v>11</v>
      </c>
      <c r="D227" s="1092">
        <v>12</v>
      </c>
      <c r="E227" s="584">
        <v>0.49</v>
      </c>
      <c r="F227" s="584">
        <v>0.49</v>
      </c>
      <c r="G227" s="584">
        <v>1176</v>
      </c>
      <c r="H227" s="584">
        <v>35.28</v>
      </c>
      <c r="I227" s="584">
        <v>0</v>
      </c>
      <c r="J227" s="584">
        <v>0</v>
      </c>
      <c r="K227" s="584">
        <v>0</v>
      </c>
      <c r="L227" s="584">
        <v>0</v>
      </c>
      <c r="M227" s="584">
        <v>0</v>
      </c>
      <c r="N227" s="584">
        <v>0</v>
      </c>
      <c r="O227" s="584">
        <v>0</v>
      </c>
      <c r="P227" s="584">
        <v>0</v>
      </c>
      <c r="Q227" s="584">
        <v>0</v>
      </c>
      <c r="R227" s="584">
        <v>0</v>
      </c>
      <c r="S227" s="584">
        <v>0</v>
      </c>
      <c r="T227" s="584">
        <v>592.47643749999997</v>
      </c>
      <c r="U227" s="584">
        <v>132</v>
      </c>
      <c r="V227" s="584">
        <v>1084.338</v>
      </c>
      <c r="W227" s="584">
        <v>277.2</v>
      </c>
      <c r="X227" s="584">
        <v>1907.0977499999999</v>
      </c>
      <c r="Y227" s="584">
        <v>580.79999999999995</v>
      </c>
      <c r="Z227" s="584">
        <v>0.35499999999999998</v>
      </c>
      <c r="AA227" s="584">
        <v>0.35499999999999998</v>
      </c>
      <c r="AB227" s="584">
        <v>852</v>
      </c>
      <c r="AC227" s="584">
        <v>27</v>
      </c>
      <c r="AD227" s="584">
        <v>0</v>
      </c>
      <c r="AE227" s="584">
        <v>0</v>
      </c>
      <c r="AF227" s="584">
        <v>0</v>
      </c>
      <c r="AG227" s="584">
        <v>0</v>
      </c>
      <c r="AH227" s="584">
        <v>0</v>
      </c>
      <c r="AI227" s="584">
        <v>0</v>
      </c>
      <c r="AJ227" s="584">
        <v>0</v>
      </c>
      <c r="AK227" s="584">
        <v>0</v>
      </c>
      <c r="AL227" s="584">
        <v>0</v>
      </c>
      <c r="AM227" s="584">
        <v>0</v>
      </c>
      <c r="AN227" s="584">
        <v>0</v>
      </c>
      <c r="AO227" s="584">
        <v>473.20393749999999</v>
      </c>
      <c r="AP227" s="584">
        <v>132</v>
      </c>
      <c r="AQ227" s="584">
        <v>840.50943749999999</v>
      </c>
      <c r="AR227" s="584">
        <v>277.2</v>
      </c>
      <c r="AS227" s="584">
        <v>1415.3619375000001</v>
      </c>
      <c r="AT227" s="584">
        <v>580.79999999999995</v>
      </c>
      <c r="AU227" s="584">
        <v>0.97499999999999998</v>
      </c>
      <c r="AV227" s="584">
        <v>0.52</v>
      </c>
      <c r="AW227" s="584">
        <v>793.51572592519904</v>
      </c>
      <c r="AX227" s="584">
        <v>41.486955678806297</v>
      </c>
      <c r="AY227" s="584">
        <v>0</v>
      </c>
      <c r="AZ227" s="584">
        <v>0</v>
      </c>
      <c r="BA227" s="584">
        <v>0</v>
      </c>
      <c r="BB227" s="584">
        <v>0</v>
      </c>
      <c r="BC227" s="584">
        <v>0</v>
      </c>
      <c r="BD227" s="584">
        <v>0</v>
      </c>
      <c r="BE227" s="584">
        <v>0</v>
      </c>
      <c r="BF227" s="584">
        <v>0</v>
      </c>
      <c r="BG227" s="584">
        <v>0.97499999999999998</v>
      </c>
      <c r="BH227" s="584">
        <v>0</v>
      </c>
      <c r="BI227" s="584">
        <v>0.6</v>
      </c>
      <c r="BJ227" s="584">
        <v>467.34461546088198</v>
      </c>
      <c r="BK227" s="584">
        <v>132</v>
      </c>
      <c r="BL227" s="584">
        <v>780.97042980759795</v>
      </c>
      <c r="BM227" s="584">
        <v>277.2</v>
      </c>
      <c r="BN227" s="584">
        <v>1283.4884186168699</v>
      </c>
      <c r="BO227" s="584">
        <v>580.79999999999995</v>
      </c>
      <c r="BP227" s="584">
        <v>0.9</v>
      </c>
      <c r="BQ227" s="584">
        <v>0.29499999999999998</v>
      </c>
      <c r="BR227" s="584">
        <v>845.97246490625298</v>
      </c>
      <c r="BS227" s="584">
        <v>40.705832126730101</v>
      </c>
      <c r="BT227" s="584">
        <v>0</v>
      </c>
      <c r="BU227" s="584">
        <v>0</v>
      </c>
      <c r="BV227" s="584">
        <v>0</v>
      </c>
      <c r="BW227" s="584">
        <v>0</v>
      </c>
      <c r="BX227" s="584">
        <v>0</v>
      </c>
      <c r="BY227" s="584">
        <v>0</v>
      </c>
      <c r="BZ227" s="584">
        <v>0</v>
      </c>
      <c r="CA227" s="584">
        <v>0.77500000000000002</v>
      </c>
      <c r="CB227" s="584">
        <v>0.9</v>
      </c>
      <c r="CC227" s="584">
        <v>0.45</v>
      </c>
      <c r="CD227" s="584">
        <v>0.45</v>
      </c>
      <c r="CE227" s="584">
        <v>491.22609999999997</v>
      </c>
      <c r="CF227" s="584">
        <v>132</v>
      </c>
      <c r="CG227" s="584">
        <v>837.63894374999995</v>
      </c>
      <c r="CH227" s="584">
        <v>277.2</v>
      </c>
      <c r="CI227" s="584">
        <v>1332.5430375000001</v>
      </c>
      <c r="CJ227" s="584">
        <v>580.79999999999995</v>
      </c>
      <c r="CK227" s="584">
        <v>0</v>
      </c>
      <c r="CL227" s="584">
        <v>0</v>
      </c>
      <c r="CM227" s="584">
        <v>0</v>
      </c>
      <c r="CN227" s="584">
        <v>0</v>
      </c>
      <c r="CO227" s="584">
        <v>0</v>
      </c>
      <c r="CP227" s="584">
        <v>0</v>
      </c>
      <c r="CQ227" s="584">
        <v>0</v>
      </c>
      <c r="CR227" s="584">
        <v>0</v>
      </c>
      <c r="CS227" s="584">
        <v>0</v>
      </c>
      <c r="CT227" s="584">
        <v>0</v>
      </c>
      <c r="CU227" s="584">
        <v>0</v>
      </c>
      <c r="CV227" s="584">
        <v>0</v>
      </c>
      <c r="CW227" s="584">
        <v>0</v>
      </c>
      <c r="CX227" s="584">
        <v>0</v>
      </c>
      <c r="CY227" s="584">
        <v>0</v>
      </c>
      <c r="CZ227" s="584">
        <v>0</v>
      </c>
      <c r="DA227" s="584">
        <v>0</v>
      </c>
      <c r="DB227" s="584">
        <v>0</v>
      </c>
      <c r="DC227" s="584">
        <v>0</v>
      </c>
      <c r="DD227" s="584">
        <v>0</v>
      </c>
      <c r="DE227" s="584">
        <v>0</v>
      </c>
      <c r="DF227" s="584">
        <v>0.65</v>
      </c>
      <c r="DG227" s="584">
        <v>0.3</v>
      </c>
      <c r="DH227" s="584">
        <v>386.164597035437</v>
      </c>
      <c r="DI227" s="584">
        <v>19.034374840483</v>
      </c>
      <c r="DJ227" s="584">
        <v>390</v>
      </c>
      <c r="DK227" s="584">
        <v>0</v>
      </c>
      <c r="DL227" s="584">
        <v>0</v>
      </c>
      <c r="DM227" s="584">
        <v>0</v>
      </c>
      <c r="DN227" s="584">
        <v>0</v>
      </c>
      <c r="DO227" s="584">
        <v>0</v>
      </c>
      <c r="DP227" s="584">
        <v>0</v>
      </c>
      <c r="DQ227" s="584">
        <v>0</v>
      </c>
      <c r="DR227" s="584">
        <v>0.65</v>
      </c>
      <c r="DS227" s="584">
        <v>0</v>
      </c>
      <c r="DT227" s="584">
        <v>2.4</v>
      </c>
      <c r="DU227" s="584">
        <v>422.14862499999998</v>
      </c>
      <c r="DV227" s="584">
        <v>132</v>
      </c>
      <c r="DW227" s="584">
        <v>833.64925000000005</v>
      </c>
      <c r="DX227" s="584">
        <v>277.2</v>
      </c>
      <c r="DY227" s="584">
        <v>1285.9604999999999</v>
      </c>
      <c r="DZ227" s="584">
        <v>580.79999999999995</v>
      </c>
      <c r="EA227" s="1062">
        <v>1.2766</v>
      </c>
      <c r="EB227" s="1046">
        <v>0.35</v>
      </c>
      <c r="EC227" s="1093">
        <v>132.51783893985731</v>
      </c>
      <c r="ED227" s="1046">
        <v>0</v>
      </c>
      <c r="EE227" s="1046">
        <v>458.71559633027522</v>
      </c>
      <c r="EF227" s="1046">
        <v>36.209848484848493</v>
      </c>
      <c r="EG227" s="1046">
        <v>0</v>
      </c>
      <c r="EH227" s="1046">
        <v>0</v>
      </c>
      <c r="EI227" s="1046" t="s">
        <v>367</v>
      </c>
      <c r="EJ227" s="1046" t="s">
        <v>442</v>
      </c>
      <c r="EK227" s="1046">
        <v>0</v>
      </c>
      <c r="EL227" s="1046">
        <v>0</v>
      </c>
      <c r="EM227" s="1046">
        <v>0</v>
      </c>
      <c r="EN227" s="1046">
        <v>0</v>
      </c>
      <c r="EO227" s="1046">
        <v>0</v>
      </c>
      <c r="EP227" s="1094">
        <v>229.52221425000005</v>
      </c>
      <c r="EQ227" s="1094">
        <v>132</v>
      </c>
      <c r="ER227" s="1094">
        <v>459.04442850000009</v>
      </c>
      <c r="ES227" s="1095">
        <v>264</v>
      </c>
      <c r="ET227" s="1094">
        <v>918.08885700000019</v>
      </c>
      <c r="EU227" s="1094">
        <v>528</v>
      </c>
      <c r="EV227" s="1096">
        <v>0.99070000000000003</v>
      </c>
      <c r="EW227" s="1097">
        <v>0.15</v>
      </c>
      <c r="EX227" s="1096">
        <v>289.50050968399592</v>
      </c>
      <c r="EY227" s="1096">
        <v>1.5443934760448521</v>
      </c>
      <c r="EZ227" s="1096">
        <v>0</v>
      </c>
      <c r="FA227" s="1096">
        <v>36.386363636363633</v>
      </c>
      <c r="FB227" s="1098">
        <v>0</v>
      </c>
      <c r="FC227" s="1098">
        <v>0</v>
      </c>
      <c r="FD227" s="1098" t="s">
        <v>379</v>
      </c>
      <c r="FE227" s="1098" t="s">
        <v>456</v>
      </c>
      <c r="FF227" s="1098">
        <v>3</v>
      </c>
      <c r="FG227" s="1098">
        <v>0</v>
      </c>
      <c r="FH227" s="1098">
        <v>0</v>
      </c>
      <c r="FI227" s="1098">
        <v>0</v>
      </c>
      <c r="FJ227" s="1098">
        <v>0</v>
      </c>
      <c r="FK227" s="1096">
        <v>136.02932400000003</v>
      </c>
      <c r="FL227" s="1096">
        <v>132</v>
      </c>
      <c r="FM227" s="1096">
        <v>272.05864800000006</v>
      </c>
      <c r="FN227" s="1096">
        <v>264</v>
      </c>
      <c r="FO227" s="1096">
        <v>544.11729600000012</v>
      </c>
      <c r="FP227" s="1099">
        <v>528</v>
      </c>
      <c r="FQ227" s="1064">
        <v>1.4141999999999999</v>
      </c>
      <c r="FR227" s="1065">
        <v>0.15</v>
      </c>
      <c r="FS227" s="1066">
        <v>289.50050968399586</v>
      </c>
      <c r="FT227" s="1066">
        <v>3.2017662436826937</v>
      </c>
      <c r="FU227" s="1065"/>
      <c r="FV227" s="1066">
        <v>63.328500641521117</v>
      </c>
      <c r="FW227" s="1065"/>
      <c r="FX227" s="1065"/>
      <c r="FY227" s="1065" t="s">
        <v>375</v>
      </c>
      <c r="FZ227" s="1065" t="s">
        <v>436</v>
      </c>
      <c r="GA227" s="1065">
        <v>3</v>
      </c>
      <c r="GB227" s="1065"/>
      <c r="GC227" s="1065"/>
      <c r="GD227" s="1065"/>
      <c r="GE227" s="1065"/>
      <c r="GF227" s="1066">
        <v>141.65784329874703</v>
      </c>
      <c r="GG227" s="1066">
        <v>132</v>
      </c>
      <c r="GH227" s="1066">
        <v>283.31568659749405</v>
      </c>
      <c r="GI227" s="1066">
        <v>264</v>
      </c>
      <c r="GJ227" s="1066">
        <v>566.6313731949881</v>
      </c>
      <c r="GK227" s="1066">
        <v>528</v>
      </c>
      <c r="GL227" s="584">
        <v>1.0329999999999999</v>
      </c>
      <c r="GM227" s="584">
        <v>0.13</v>
      </c>
      <c r="GN227" s="584"/>
      <c r="GO227" s="584"/>
      <c r="GP227" s="584"/>
      <c r="GQ227" s="584">
        <v>69.449242424242399</v>
      </c>
      <c r="GR227" s="584"/>
      <c r="GS227" s="584">
        <v>66.2589194699286</v>
      </c>
      <c r="GT227" s="584" t="s">
        <v>381</v>
      </c>
      <c r="GU227" s="584" t="s">
        <v>375</v>
      </c>
      <c r="GV227" s="584">
        <v>2</v>
      </c>
      <c r="GW227" s="584"/>
      <c r="GX227" s="584"/>
      <c r="GY227" s="584"/>
      <c r="GZ227" s="584"/>
      <c r="HA227" s="584">
        <v>70.332803249999998</v>
      </c>
      <c r="HB227" s="584">
        <v>132</v>
      </c>
      <c r="HC227" s="584">
        <v>140.6656065</v>
      </c>
      <c r="HD227" s="584">
        <v>264</v>
      </c>
      <c r="HE227" s="584">
        <v>281.33121299999999</v>
      </c>
      <c r="HF227" s="584">
        <v>528</v>
      </c>
      <c r="HG227" s="1100">
        <v>1.87</v>
      </c>
      <c r="HH227" s="1100">
        <v>0.11</v>
      </c>
      <c r="HI227" s="1101">
        <v>0</v>
      </c>
      <c r="HJ227" s="1101">
        <v>0</v>
      </c>
      <c r="HK227" s="1101">
        <v>0</v>
      </c>
      <c r="HL227" s="1101">
        <v>0</v>
      </c>
      <c r="HM227" s="1101">
        <v>68.890909090909105</v>
      </c>
      <c r="HN227" s="1101">
        <v>54.999999999999993</v>
      </c>
      <c r="HO227" s="1101">
        <v>0</v>
      </c>
      <c r="HP227" s="1101">
        <v>0</v>
      </c>
      <c r="HQ227" s="1101">
        <v>3</v>
      </c>
      <c r="HR227" s="1101">
        <v>1.76</v>
      </c>
      <c r="HS227" s="1101">
        <v>1</v>
      </c>
      <c r="HT227" s="1101">
        <v>0.3</v>
      </c>
      <c r="HU227" s="1101">
        <v>0.3</v>
      </c>
      <c r="HV227" s="1101">
        <v>66.507204000000016</v>
      </c>
      <c r="HW227" s="1101">
        <v>132</v>
      </c>
      <c r="HX227" s="1101">
        <v>133.01440800000003</v>
      </c>
      <c r="HY227" s="1101">
        <v>264</v>
      </c>
      <c r="HZ227" s="1101">
        <v>266.02881600000006</v>
      </c>
      <c r="IA227" s="1101">
        <v>528</v>
      </c>
      <c r="IB227" s="1062"/>
      <c r="ID227" s="1050"/>
      <c r="IE227" s="1050"/>
      <c r="IM227" s="1050"/>
      <c r="IN227" s="1050"/>
      <c r="IO227" s="1050"/>
      <c r="IP227" s="1050"/>
      <c r="JU227" s="1050"/>
      <c r="KC227" s="1050"/>
      <c r="KD227" s="1050"/>
      <c r="KE227" s="1050"/>
      <c r="KF227" s="1050"/>
      <c r="KN227" s="1103"/>
    </row>
    <row r="228" spans="2:300">
      <c r="B228" s="1048" t="str">
        <f t="shared" si="6"/>
        <v>E1113</v>
      </c>
      <c r="C228" s="1046">
        <v>11</v>
      </c>
      <c r="D228" s="1092">
        <v>13</v>
      </c>
      <c r="E228" s="584">
        <v>0.49</v>
      </c>
      <c r="F228" s="584">
        <v>0.49</v>
      </c>
      <c r="G228" s="584">
        <v>1176</v>
      </c>
      <c r="H228" s="584">
        <v>32.83</v>
      </c>
      <c r="I228" s="584">
        <v>0</v>
      </c>
      <c r="J228" s="584">
        <v>0</v>
      </c>
      <c r="K228" s="584">
        <v>0</v>
      </c>
      <c r="L228" s="584">
        <v>0</v>
      </c>
      <c r="M228" s="584">
        <v>0</v>
      </c>
      <c r="N228" s="584">
        <v>0</v>
      </c>
      <c r="O228" s="584">
        <v>0</v>
      </c>
      <c r="P228" s="584">
        <v>0</v>
      </c>
      <c r="Q228" s="584">
        <v>0</v>
      </c>
      <c r="R228" s="584">
        <v>0</v>
      </c>
      <c r="S228" s="584">
        <v>0</v>
      </c>
      <c r="T228" s="584">
        <v>635.14893749999999</v>
      </c>
      <c r="U228" s="584">
        <v>143</v>
      </c>
      <c r="V228" s="584">
        <v>1173.9502500000001</v>
      </c>
      <c r="W228" s="584">
        <v>300.3</v>
      </c>
      <c r="X228" s="584">
        <v>2065.0027500000001</v>
      </c>
      <c r="Y228" s="584">
        <v>629.20000000000005</v>
      </c>
      <c r="Z228" s="584">
        <v>0.39500000000000002</v>
      </c>
      <c r="AA228" s="584">
        <v>0.39500000000000002</v>
      </c>
      <c r="AB228" s="584">
        <v>948</v>
      </c>
      <c r="AC228" s="584">
        <v>31</v>
      </c>
      <c r="AD228" s="584">
        <v>0</v>
      </c>
      <c r="AE228" s="584">
        <v>0</v>
      </c>
      <c r="AF228" s="584">
        <v>0</v>
      </c>
      <c r="AG228" s="584">
        <v>0</v>
      </c>
      <c r="AH228" s="584">
        <v>0</v>
      </c>
      <c r="AI228" s="584">
        <v>0</v>
      </c>
      <c r="AJ228" s="584">
        <v>0</v>
      </c>
      <c r="AK228" s="584">
        <v>0</v>
      </c>
      <c r="AL228" s="584">
        <v>0</v>
      </c>
      <c r="AM228" s="584">
        <v>0</v>
      </c>
      <c r="AN228" s="584">
        <v>0</v>
      </c>
      <c r="AO228" s="584">
        <v>544.44768750000003</v>
      </c>
      <c r="AP228" s="584">
        <v>143</v>
      </c>
      <c r="AQ228" s="584">
        <v>989.16337499999997</v>
      </c>
      <c r="AR228" s="584">
        <v>300.3</v>
      </c>
      <c r="AS228" s="584">
        <v>1689.7294374999999</v>
      </c>
      <c r="AT228" s="584">
        <v>629.20000000000005</v>
      </c>
      <c r="AU228" s="584">
        <v>0</v>
      </c>
      <c r="AV228" s="584">
        <v>0</v>
      </c>
      <c r="AW228" s="584">
        <v>0</v>
      </c>
      <c r="AX228" s="584">
        <v>0</v>
      </c>
      <c r="AY228" s="584">
        <v>0</v>
      </c>
      <c r="AZ228" s="584">
        <v>0</v>
      </c>
      <c r="BA228" s="584">
        <v>0</v>
      </c>
      <c r="BB228" s="584">
        <v>0</v>
      </c>
      <c r="BC228" s="584">
        <v>0</v>
      </c>
      <c r="BD228" s="584">
        <v>0</v>
      </c>
      <c r="BE228" s="584">
        <v>0</v>
      </c>
      <c r="BF228" s="584">
        <v>0</v>
      </c>
      <c r="BG228" s="584">
        <v>0</v>
      </c>
      <c r="BH228" s="584">
        <v>0</v>
      </c>
      <c r="BI228" s="584">
        <v>0</v>
      </c>
      <c r="BJ228" s="584">
        <v>0</v>
      </c>
      <c r="BK228" s="584">
        <v>0</v>
      </c>
      <c r="BL228" s="584">
        <v>0</v>
      </c>
      <c r="BM228" s="584">
        <v>0</v>
      </c>
      <c r="BN228" s="584">
        <v>0</v>
      </c>
      <c r="BO228" s="584">
        <v>0</v>
      </c>
      <c r="BP228" s="584">
        <v>0</v>
      </c>
      <c r="BQ228" s="584">
        <v>0</v>
      </c>
      <c r="BR228" s="584">
        <v>0</v>
      </c>
      <c r="BS228" s="584">
        <v>0</v>
      </c>
      <c r="BT228" s="584">
        <v>0</v>
      </c>
      <c r="BU228" s="584">
        <v>0</v>
      </c>
      <c r="BV228" s="584">
        <v>0</v>
      </c>
      <c r="BW228" s="584">
        <v>0</v>
      </c>
      <c r="BX228" s="584">
        <v>0</v>
      </c>
      <c r="BY228" s="584">
        <v>0</v>
      </c>
      <c r="BZ228" s="584">
        <v>0</v>
      </c>
      <c r="CA228" s="584">
        <v>0</v>
      </c>
      <c r="CB228" s="584">
        <v>0</v>
      </c>
      <c r="CC228" s="584">
        <v>0</v>
      </c>
      <c r="CD228" s="584">
        <v>0</v>
      </c>
      <c r="CE228" s="584">
        <v>0</v>
      </c>
      <c r="CF228" s="584">
        <v>0</v>
      </c>
      <c r="CG228" s="584">
        <v>0</v>
      </c>
      <c r="CH228" s="584">
        <v>0</v>
      </c>
      <c r="CI228" s="584">
        <v>0</v>
      </c>
      <c r="CJ228" s="584">
        <v>0</v>
      </c>
      <c r="CK228" s="584">
        <v>0</v>
      </c>
      <c r="CL228" s="584">
        <v>0</v>
      </c>
      <c r="CM228" s="584">
        <v>0</v>
      </c>
      <c r="CN228" s="584">
        <v>0</v>
      </c>
      <c r="CO228" s="584">
        <v>0</v>
      </c>
      <c r="CP228" s="584">
        <v>0</v>
      </c>
      <c r="CQ228" s="584">
        <v>0</v>
      </c>
      <c r="CR228" s="584">
        <v>0</v>
      </c>
      <c r="CS228" s="584">
        <v>0</v>
      </c>
      <c r="CT228" s="584">
        <v>0</v>
      </c>
      <c r="CU228" s="584">
        <v>0</v>
      </c>
      <c r="CV228" s="584">
        <v>0</v>
      </c>
      <c r="CW228" s="584">
        <v>0</v>
      </c>
      <c r="CX228" s="584">
        <v>0</v>
      </c>
      <c r="CY228" s="584">
        <v>0</v>
      </c>
      <c r="CZ228" s="584">
        <v>0</v>
      </c>
      <c r="DA228" s="584">
        <v>0</v>
      </c>
      <c r="DB228" s="584">
        <v>0</v>
      </c>
      <c r="DC228" s="584">
        <v>0</v>
      </c>
      <c r="DD228" s="584">
        <v>0</v>
      </c>
      <c r="DE228" s="584">
        <v>0</v>
      </c>
      <c r="DF228" s="584">
        <v>0.72499999999999998</v>
      </c>
      <c r="DG228" s="584">
        <v>0.3</v>
      </c>
      <c r="DH228" s="584">
        <v>434.96631736526899</v>
      </c>
      <c r="DI228" s="584">
        <v>20.733237751769199</v>
      </c>
      <c r="DJ228" s="584">
        <v>390</v>
      </c>
      <c r="DK228" s="584">
        <v>0</v>
      </c>
      <c r="DL228" s="584">
        <v>0</v>
      </c>
      <c r="DM228" s="584">
        <v>0</v>
      </c>
      <c r="DN228" s="584">
        <v>0</v>
      </c>
      <c r="DO228" s="584">
        <v>0</v>
      </c>
      <c r="DP228" s="584">
        <v>0</v>
      </c>
      <c r="DQ228" s="584">
        <v>0</v>
      </c>
      <c r="DR228" s="584">
        <v>0.72499999999999998</v>
      </c>
      <c r="DS228" s="584">
        <v>0</v>
      </c>
      <c r="DT228" s="584">
        <v>2.4</v>
      </c>
      <c r="DU228" s="584">
        <v>474.86137500000001</v>
      </c>
      <c r="DV228" s="584">
        <v>143</v>
      </c>
      <c r="DW228" s="584">
        <v>917.27949999999998</v>
      </c>
      <c r="DX228" s="584">
        <v>300.3</v>
      </c>
      <c r="DY228" s="584">
        <v>1452.144890625</v>
      </c>
      <c r="DZ228" s="584">
        <v>629.20000000000005</v>
      </c>
      <c r="EA228" s="1062">
        <v>1.343</v>
      </c>
      <c r="EB228" s="1046">
        <v>0.4</v>
      </c>
      <c r="EC228" s="1093">
        <v>132.51783893985737</v>
      </c>
      <c r="ED228" s="1046">
        <v>0</v>
      </c>
      <c r="EE228" s="1046">
        <v>519.87767584097855</v>
      </c>
      <c r="EF228" s="1046">
        <v>40.229370629370628</v>
      </c>
      <c r="EG228" s="1046">
        <v>0</v>
      </c>
      <c r="EH228" s="1046">
        <v>0</v>
      </c>
      <c r="EI228" s="1046" t="s">
        <v>364</v>
      </c>
      <c r="EJ228" s="1046" t="s">
        <v>423</v>
      </c>
      <c r="EK228" s="1046">
        <v>0</v>
      </c>
      <c r="EL228" s="1046">
        <v>0</v>
      </c>
      <c r="EM228" s="1046">
        <v>0</v>
      </c>
      <c r="EN228" s="1046">
        <v>0</v>
      </c>
      <c r="EO228" s="1046">
        <v>0</v>
      </c>
      <c r="EP228" s="1094">
        <v>271.50874199999998</v>
      </c>
      <c r="EQ228" s="1094">
        <v>143</v>
      </c>
      <c r="ER228" s="1094">
        <v>543.01748399999997</v>
      </c>
      <c r="ES228" s="1095">
        <v>286</v>
      </c>
      <c r="ET228" s="1094">
        <v>1086.0349679999999</v>
      </c>
      <c r="EU228" s="1094">
        <v>572</v>
      </c>
      <c r="EV228" s="1096">
        <v>1.0008999999999999</v>
      </c>
      <c r="EW228" s="1097">
        <v>0.15</v>
      </c>
      <c r="EX228" s="1096">
        <v>289.50050968399592</v>
      </c>
      <c r="EY228" s="1096">
        <v>1.5443934760448521</v>
      </c>
      <c r="EZ228" s="1096">
        <v>0</v>
      </c>
      <c r="FA228" s="1096">
        <v>39.841258741258741</v>
      </c>
      <c r="FB228" s="1098">
        <v>0</v>
      </c>
      <c r="FC228" s="1098">
        <v>0</v>
      </c>
      <c r="FD228" s="1098" t="s">
        <v>377</v>
      </c>
      <c r="FE228" s="1098" t="s">
        <v>432</v>
      </c>
      <c r="FF228" s="1098">
        <v>3</v>
      </c>
      <c r="FG228" s="1098">
        <v>0</v>
      </c>
      <c r="FH228" s="1098">
        <v>0</v>
      </c>
      <c r="FI228" s="1098">
        <v>0</v>
      </c>
      <c r="FJ228" s="1098">
        <v>0</v>
      </c>
      <c r="FK228" s="1096">
        <v>148.576758625</v>
      </c>
      <c r="FL228" s="1096">
        <v>143</v>
      </c>
      <c r="FM228" s="1096">
        <v>297.15351724999999</v>
      </c>
      <c r="FN228" s="1096">
        <v>286</v>
      </c>
      <c r="FO228" s="1096">
        <v>594.30703449999999</v>
      </c>
      <c r="FP228" s="1099">
        <v>572</v>
      </c>
      <c r="FQ228" s="1064">
        <v>1.5084199999999999</v>
      </c>
      <c r="FR228" s="1065">
        <v>0.15</v>
      </c>
      <c r="FS228" s="1066">
        <v>289.50050968399586</v>
      </c>
      <c r="FT228" s="1066">
        <v>3.2017662436826937</v>
      </c>
      <c r="FU228" s="1065"/>
      <c r="FV228" s="1066">
        <v>66.600287746567417</v>
      </c>
      <c r="FW228" s="1065"/>
      <c r="FX228" s="1065"/>
      <c r="FY228" s="1065" t="s">
        <v>1103</v>
      </c>
      <c r="FZ228" s="1065" t="s">
        <v>416</v>
      </c>
      <c r="GA228" s="1065">
        <v>3</v>
      </c>
      <c r="GB228" s="1065"/>
      <c r="GC228" s="1065"/>
      <c r="GD228" s="1065"/>
      <c r="GE228" s="1065"/>
      <c r="GF228" s="1066">
        <v>154.61010384978562</v>
      </c>
      <c r="GG228" s="1066">
        <v>143</v>
      </c>
      <c r="GH228" s="1066">
        <v>309.22020769957123</v>
      </c>
      <c r="GI228" s="1066">
        <v>286</v>
      </c>
      <c r="GJ228" s="1066">
        <v>618.44041539914247</v>
      </c>
      <c r="GK228" s="1066">
        <v>572</v>
      </c>
      <c r="GL228" s="584">
        <v>1.1003000000000001</v>
      </c>
      <c r="GM228" s="584">
        <v>0.13</v>
      </c>
      <c r="GN228" s="584"/>
      <c r="GO228" s="584"/>
      <c r="GP228" s="584"/>
      <c r="GQ228" s="584">
        <v>75.453146853146805</v>
      </c>
      <c r="GR228" s="584"/>
      <c r="GS228" s="584">
        <v>66.2589194699286</v>
      </c>
      <c r="GT228" s="584" t="s">
        <v>379</v>
      </c>
      <c r="GU228" s="584" t="s">
        <v>351</v>
      </c>
      <c r="GV228" s="584">
        <v>2</v>
      </c>
      <c r="GW228" s="584"/>
      <c r="GX228" s="584"/>
      <c r="GY228" s="584"/>
      <c r="GZ228" s="584"/>
      <c r="HA228" s="584">
        <v>78.299484500000005</v>
      </c>
      <c r="HB228" s="584">
        <v>143</v>
      </c>
      <c r="HC228" s="584">
        <v>156.59896900000001</v>
      </c>
      <c r="HD228" s="584">
        <v>286</v>
      </c>
      <c r="HE228" s="584">
        <v>313.19793800000002</v>
      </c>
      <c r="HF228" s="584">
        <v>572</v>
      </c>
      <c r="HG228" s="1100">
        <v>2.0299999999999998</v>
      </c>
      <c r="HH228" s="1100">
        <v>0.11</v>
      </c>
      <c r="HI228" s="1101">
        <v>0</v>
      </c>
      <c r="HJ228" s="1101">
        <v>0</v>
      </c>
      <c r="HK228" s="1101">
        <v>0</v>
      </c>
      <c r="HL228" s="1101">
        <v>0</v>
      </c>
      <c r="HM228" s="1101">
        <v>74.920279720279723</v>
      </c>
      <c r="HN228" s="1101">
        <v>54.999999999999993</v>
      </c>
      <c r="HO228" s="1101">
        <v>0</v>
      </c>
      <c r="HP228" s="1101">
        <v>0</v>
      </c>
      <c r="HQ228" s="1101">
        <v>3</v>
      </c>
      <c r="HR228" s="1101">
        <v>1.92</v>
      </c>
      <c r="HS228" s="1101">
        <v>1.1200000000000001</v>
      </c>
      <c r="HT228" s="1101">
        <v>0.3</v>
      </c>
      <c r="HU228" s="1101">
        <v>0.3</v>
      </c>
      <c r="HV228" s="1101">
        <v>74.164016500000002</v>
      </c>
      <c r="HW228" s="1101">
        <v>143</v>
      </c>
      <c r="HX228" s="1101">
        <v>148.328033</v>
      </c>
      <c r="HY228" s="1101">
        <v>286</v>
      </c>
      <c r="HZ228" s="1101">
        <v>296.65606600000001</v>
      </c>
      <c r="IA228" s="1101">
        <v>572</v>
      </c>
      <c r="IB228" s="1062"/>
      <c r="ID228" s="1050"/>
      <c r="IE228" s="1050"/>
      <c r="IM228" s="1050"/>
      <c r="IN228" s="1050"/>
      <c r="IO228" s="1050"/>
      <c r="IP228" s="1050"/>
      <c r="JU228" s="1050"/>
      <c r="KC228" s="1050"/>
      <c r="KD228" s="1050"/>
      <c r="KE228" s="1050"/>
      <c r="KF228" s="1050"/>
      <c r="KN228" s="1103"/>
    </row>
    <row r="229" spans="2:300">
      <c r="B229" s="1048" t="str">
        <f t="shared" si="6"/>
        <v>E1114</v>
      </c>
      <c r="C229" s="1046">
        <v>11</v>
      </c>
      <c r="D229" s="1092">
        <v>14</v>
      </c>
      <c r="E229" s="584">
        <v>0</v>
      </c>
      <c r="F229" s="584">
        <v>0</v>
      </c>
      <c r="G229" s="584">
        <v>0</v>
      </c>
      <c r="H229" s="584">
        <v>0</v>
      </c>
      <c r="I229" s="584">
        <v>0</v>
      </c>
      <c r="J229" s="584">
        <v>0</v>
      </c>
      <c r="K229" s="584">
        <v>0</v>
      </c>
      <c r="L229" s="584">
        <v>0</v>
      </c>
      <c r="M229" s="584">
        <v>0</v>
      </c>
      <c r="N229" s="584">
        <v>0</v>
      </c>
      <c r="O229" s="584">
        <v>0</v>
      </c>
      <c r="P229" s="584">
        <v>0</v>
      </c>
      <c r="Q229" s="584">
        <v>0</v>
      </c>
      <c r="R229" s="584">
        <v>0</v>
      </c>
      <c r="S229" s="584">
        <v>0</v>
      </c>
      <c r="T229" s="584">
        <v>0</v>
      </c>
      <c r="U229" s="584">
        <v>0</v>
      </c>
      <c r="V229" s="584">
        <v>0</v>
      </c>
      <c r="W229" s="584">
        <v>0</v>
      </c>
      <c r="X229" s="584">
        <v>0</v>
      </c>
      <c r="Y229" s="584">
        <v>0</v>
      </c>
      <c r="Z229" s="584">
        <v>0</v>
      </c>
      <c r="AA229" s="584">
        <v>0</v>
      </c>
      <c r="AB229" s="584">
        <v>0</v>
      </c>
      <c r="AC229" s="584">
        <v>0</v>
      </c>
      <c r="AD229" s="584">
        <v>0</v>
      </c>
      <c r="AE229" s="584">
        <v>0</v>
      </c>
      <c r="AF229" s="584">
        <v>0</v>
      </c>
      <c r="AG229" s="584">
        <v>0</v>
      </c>
      <c r="AH229" s="584">
        <v>0</v>
      </c>
      <c r="AI229" s="584">
        <v>0</v>
      </c>
      <c r="AJ229" s="584">
        <v>0</v>
      </c>
      <c r="AK229" s="584">
        <v>0</v>
      </c>
      <c r="AL229" s="584">
        <v>0</v>
      </c>
      <c r="AM229" s="584">
        <v>0</v>
      </c>
      <c r="AN229" s="584">
        <v>0</v>
      </c>
      <c r="AO229" s="584">
        <v>0</v>
      </c>
      <c r="AP229" s="584">
        <v>0</v>
      </c>
      <c r="AQ229" s="584">
        <v>0</v>
      </c>
      <c r="AR229" s="584">
        <v>0</v>
      </c>
      <c r="AS229" s="584">
        <v>0</v>
      </c>
      <c r="AT229" s="584">
        <v>0</v>
      </c>
      <c r="AU229" s="584">
        <v>0</v>
      </c>
      <c r="AV229" s="584">
        <v>0</v>
      </c>
      <c r="AW229" s="584">
        <v>0</v>
      </c>
      <c r="AX229" s="584">
        <v>0</v>
      </c>
      <c r="AY229" s="584">
        <v>0</v>
      </c>
      <c r="AZ229" s="584">
        <v>0</v>
      </c>
      <c r="BA229" s="584">
        <v>0</v>
      </c>
      <c r="BB229" s="584">
        <v>0</v>
      </c>
      <c r="BC229" s="584">
        <v>0</v>
      </c>
      <c r="BD229" s="584">
        <v>0</v>
      </c>
      <c r="BE229" s="584">
        <v>0</v>
      </c>
      <c r="BF229" s="584">
        <v>0</v>
      </c>
      <c r="BG229" s="584">
        <v>0</v>
      </c>
      <c r="BH229" s="584">
        <v>0</v>
      </c>
      <c r="BI229" s="584">
        <v>0</v>
      </c>
      <c r="BJ229" s="584">
        <v>0</v>
      </c>
      <c r="BK229" s="584">
        <v>0</v>
      </c>
      <c r="BL229" s="584">
        <v>0</v>
      </c>
      <c r="BM229" s="584">
        <v>0</v>
      </c>
      <c r="BN229" s="584">
        <v>0</v>
      </c>
      <c r="BO229" s="584">
        <v>0</v>
      </c>
      <c r="BP229" s="584">
        <v>0</v>
      </c>
      <c r="BQ229" s="584">
        <v>0</v>
      </c>
      <c r="BR229" s="584">
        <v>0</v>
      </c>
      <c r="BS229" s="584">
        <v>0</v>
      </c>
      <c r="BT229" s="584">
        <v>0</v>
      </c>
      <c r="BU229" s="584">
        <v>0</v>
      </c>
      <c r="BV229" s="584">
        <v>0</v>
      </c>
      <c r="BW229" s="584">
        <v>0</v>
      </c>
      <c r="BX229" s="584">
        <v>0</v>
      </c>
      <c r="BY229" s="584">
        <v>0</v>
      </c>
      <c r="BZ229" s="584">
        <v>0</v>
      </c>
      <c r="CA229" s="584">
        <v>0</v>
      </c>
      <c r="CB229" s="584">
        <v>0</v>
      </c>
      <c r="CC229" s="584">
        <v>0</v>
      </c>
      <c r="CD229" s="584">
        <v>0</v>
      </c>
      <c r="CE229" s="584">
        <v>0</v>
      </c>
      <c r="CF229" s="584">
        <v>0</v>
      </c>
      <c r="CG229" s="584">
        <v>0</v>
      </c>
      <c r="CH229" s="584">
        <v>0</v>
      </c>
      <c r="CI229" s="584">
        <v>0</v>
      </c>
      <c r="CJ229" s="584">
        <v>0</v>
      </c>
      <c r="CK229" s="584">
        <v>0</v>
      </c>
      <c r="CL229" s="584">
        <v>0</v>
      </c>
      <c r="CM229" s="584">
        <v>0</v>
      </c>
      <c r="CN229" s="584">
        <v>0</v>
      </c>
      <c r="CO229" s="584">
        <v>0</v>
      </c>
      <c r="CP229" s="584">
        <v>0</v>
      </c>
      <c r="CQ229" s="584">
        <v>0</v>
      </c>
      <c r="CR229" s="584">
        <v>0</v>
      </c>
      <c r="CS229" s="584">
        <v>0</v>
      </c>
      <c r="CT229" s="584">
        <v>0</v>
      </c>
      <c r="CU229" s="584">
        <v>0</v>
      </c>
      <c r="CV229" s="584">
        <v>0</v>
      </c>
      <c r="CW229" s="584">
        <v>0</v>
      </c>
      <c r="CX229" s="584">
        <v>0</v>
      </c>
      <c r="CY229" s="584">
        <v>0</v>
      </c>
      <c r="CZ229" s="584">
        <v>0</v>
      </c>
      <c r="DA229" s="584">
        <v>0</v>
      </c>
      <c r="DB229" s="584">
        <v>0</v>
      </c>
      <c r="DC229" s="584">
        <v>0</v>
      </c>
      <c r="DD229" s="584">
        <v>0</v>
      </c>
      <c r="DE229" s="584">
        <v>0</v>
      </c>
      <c r="DF229" s="584">
        <v>0</v>
      </c>
      <c r="DG229" s="584">
        <v>0</v>
      </c>
      <c r="DH229" s="584">
        <v>0</v>
      </c>
      <c r="DI229" s="584">
        <v>0</v>
      </c>
      <c r="DJ229" s="584">
        <v>0</v>
      </c>
      <c r="DK229" s="584">
        <v>0</v>
      </c>
      <c r="DL229" s="584">
        <v>0</v>
      </c>
      <c r="DM229" s="584">
        <v>0</v>
      </c>
      <c r="DN229" s="584">
        <v>0</v>
      </c>
      <c r="DO229" s="584">
        <v>0</v>
      </c>
      <c r="DP229" s="584">
        <v>0</v>
      </c>
      <c r="DQ229" s="584">
        <v>0</v>
      </c>
      <c r="DR229" s="584">
        <v>0</v>
      </c>
      <c r="DS229" s="584">
        <v>0</v>
      </c>
      <c r="DT229" s="584">
        <v>0</v>
      </c>
      <c r="DU229" s="584">
        <v>0</v>
      </c>
      <c r="DV229" s="584">
        <v>0</v>
      </c>
      <c r="DW229" s="584">
        <v>0</v>
      </c>
      <c r="DX229" s="584">
        <v>0</v>
      </c>
      <c r="DY229" s="584">
        <v>0</v>
      </c>
      <c r="DZ229" s="584">
        <v>0</v>
      </c>
      <c r="EA229" s="1062">
        <v>1.401</v>
      </c>
      <c r="EB229" s="1046">
        <v>0.45</v>
      </c>
      <c r="EC229" s="1093">
        <v>132.51783893985726</v>
      </c>
      <c r="ED229" s="1046">
        <v>0</v>
      </c>
      <c r="EE229" s="1046">
        <v>581.03975535168195</v>
      </c>
      <c r="EF229" s="1046">
        <v>47.105194805194813</v>
      </c>
      <c r="EG229" s="1046">
        <v>0</v>
      </c>
      <c r="EH229" s="1046">
        <v>0</v>
      </c>
      <c r="EI229" s="1046" t="s">
        <v>362</v>
      </c>
      <c r="EJ229" s="1046" t="s">
        <v>420</v>
      </c>
      <c r="EK229" s="1046">
        <v>0</v>
      </c>
      <c r="EL229" s="1046">
        <v>0</v>
      </c>
      <c r="EM229" s="1046">
        <v>0</v>
      </c>
      <c r="EN229" s="1046">
        <v>0</v>
      </c>
      <c r="EO229" s="1046">
        <v>0</v>
      </c>
      <c r="EP229" s="1094">
        <v>318.09092550000003</v>
      </c>
      <c r="EQ229" s="1094">
        <v>154</v>
      </c>
      <c r="ER229" s="1094">
        <v>636.18185100000005</v>
      </c>
      <c r="ES229" s="1095">
        <v>308</v>
      </c>
      <c r="ET229" s="1094">
        <v>1272.3637020000001</v>
      </c>
      <c r="EU229" s="1094">
        <v>616</v>
      </c>
      <c r="EV229" s="1096">
        <v>1.0604</v>
      </c>
      <c r="EW229" s="1097">
        <v>0.15</v>
      </c>
      <c r="EX229" s="1096">
        <v>289.50050968399592</v>
      </c>
      <c r="EY229" s="1096">
        <v>1.5443934760448521</v>
      </c>
      <c r="EZ229" s="1096">
        <v>0</v>
      </c>
      <c r="FA229" s="1096">
        <v>43.614285714285714</v>
      </c>
      <c r="FB229" s="1098">
        <v>0</v>
      </c>
      <c r="FC229" s="1098">
        <v>0</v>
      </c>
      <c r="FD229" s="1098" t="s">
        <v>373</v>
      </c>
      <c r="FE229" s="1098" t="s">
        <v>410</v>
      </c>
      <c r="FF229" s="1098">
        <v>3</v>
      </c>
      <c r="FG229" s="1098">
        <v>0</v>
      </c>
      <c r="FH229" s="1098">
        <v>0</v>
      </c>
      <c r="FI229" s="1098">
        <v>0</v>
      </c>
      <c r="FJ229" s="1098">
        <v>0</v>
      </c>
      <c r="FK229" s="1096">
        <v>161.43075575</v>
      </c>
      <c r="FL229" s="1096">
        <v>154</v>
      </c>
      <c r="FM229" s="1096">
        <v>322.86151150000001</v>
      </c>
      <c r="FN229" s="1096">
        <v>308</v>
      </c>
      <c r="FO229" s="1096">
        <v>645.72302300000001</v>
      </c>
      <c r="FP229" s="1099">
        <v>616</v>
      </c>
      <c r="FQ229" s="1064">
        <v>1.5221399999999998</v>
      </c>
      <c r="FR229" s="1065">
        <v>0.15</v>
      </c>
      <c r="FS229" s="1066">
        <v>289.50050968399586</v>
      </c>
      <c r="FT229" s="1066">
        <v>3.2017662436826937</v>
      </c>
      <c r="FU229" s="1065"/>
      <c r="FV229" s="1066">
        <v>74.984234725217092</v>
      </c>
      <c r="FW229" s="1065"/>
      <c r="FX229" s="1065"/>
      <c r="FY229" s="1065" t="s">
        <v>349</v>
      </c>
      <c r="FZ229" s="1065" t="s">
        <v>410</v>
      </c>
      <c r="GA229" s="1065">
        <v>3</v>
      </c>
      <c r="GB229" s="1065"/>
      <c r="GC229" s="1065"/>
      <c r="GD229" s="1065"/>
      <c r="GE229" s="1065"/>
      <c r="GF229" s="1066">
        <v>169.66967977593893</v>
      </c>
      <c r="GG229" s="1066">
        <v>154</v>
      </c>
      <c r="GH229" s="1066">
        <v>339.33935955187786</v>
      </c>
      <c r="GI229" s="1066">
        <v>308</v>
      </c>
      <c r="GJ229" s="1066">
        <v>678.67871910375572</v>
      </c>
      <c r="GK229" s="1066">
        <v>616</v>
      </c>
      <c r="GL229" s="584">
        <v>1.1003000000000001</v>
      </c>
      <c r="GM229" s="584">
        <v>0.13</v>
      </c>
      <c r="GN229" s="584"/>
      <c r="GO229" s="584"/>
      <c r="GP229" s="584"/>
      <c r="GQ229" s="584">
        <v>76.402597402597394</v>
      </c>
      <c r="GR229" s="584"/>
      <c r="GS229" s="584">
        <v>66.2589194699286</v>
      </c>
      <c r="GT229" s="584" t="s">
        <v>351</v>
      </c>
      <c r="GU229" s="584" t="s">
        <v>351</v>
      </c>
      <c r="GV229" s="584">
        <v>2</v>
      </c>
      <c r="GW229" s="584"/>
      <c r="GX229" s="584"/>
      <c r="GY229" s="584"/>
      <c r="GZ229" s="584"/>
      <c r="HA229" s="584">
        <v>84.681115000000005</v>
      </c>
      <c r="HB229" s="584">
        <v>154</v>
      </c>
      <c r="HC229" s="584">
        <v>169.36223000000001</v>
      </c>
      <c r="HD229" s="584">
        <v>308</v>
      </c>
      <c r="HE229" s="584">
        <v>338.72446000000002</v>
      </c>
      <c r="HF229" s="584">
        <v>616</v>
      </c>
      <c r="HG229" s="1100">
        <v>2.19</v>
      </c>
      <c r="HH229" s="1100">
        <v>0.11</v>
      </c>
      <c r="HI229" s="1101">
        <v>0</v>
      </c>
      <c r="HJ229" s="1101">
        <v>0</v>
      </c>
      <c r="HK229" s="1101">
        <v>0</v>
      </c>
      <c r="HL229" s="1101">
        <v>0</v>
      </c>
      <c r="HM229" s="1101">
        <v>80.929870129870125</v>
      </c>
      <c r="HN229" s="1101">
        <v>54.999999999999993</v>
      </c>
      <c r="HO229" s="1101">
        <v>0</v>
      </c>
      <c r="HP229" s="1101">
        <v>0</v>
      </c>
      <c r="HQ229" s="1101">
        <v>3</v>
      </c>
      <c r="HR229" s="1101">
        <v>2.08</v>
      </c>
      <c r="HS229" s="1101">
        <v>1.24</v>
      </c>
      <c r="HT229" s="1101">
        <v>0.3</v>
      </c>
      <c r="HU229" s="1101">
        <v>0.3</v>
      </c>
      <c r="HV229" s="1101">
        <v>82.138672999999997</v>
      </c>
      <c r="HW229" s="1101">
        <v>154</v>
      </c>
      <c r="HX229" s="1101">
        <v>164.27734599999999</v>
      </c>
      <c r="HY229" s="1101">
        <v>308</v>
      </c>
      <c r="HZ229" s="1101">
        <v>328.55469199999999</v>
      </c>
      <c r="IA229" s="1101">
        <v>616</v>
      </c>
      <c r="IB229" s="1062"/>
      <c r="ID229" s="1050"/>
      <c r="IE229" s="1050"/>
      <c r="IM229" s="1050"/>
      <c r="IN229" s="1050"/>
      <c r="IO229" s="1050"/>
      <c r="IP229" s="1050"/>
      <c r="JU229" s="1050"/>
      <c r="KC229" s="1050"/>
      <c r="KD229" s="1050"/>
      <c r="KE229" s="1050"/>
      <c r="KF229" s="1050"/>
      <c r="KN229" s="1103"/>
    </row>
    <row r="230" spans="2:300">
      <c r="B230" s="1048" t="str">
        <f t="shared" si="6"/>
        <v>E1115</v>
      </c>
      <c r="C230" s="1046">
        <v>11</v>
      </c>
      <c r="D230" s="1092">
        <v>15</v>
      </c>
      <c r="E230" s="584">
        <v>0</v>
      </c>
      <c r="F230" s="584">
        <v>0</v>
      </c>
      <c r="G230" s="584">
        <v>0</v>
      </c>
      <c r="H230" s="584">
        <v>0</v>
      </c>
      <c r="I230" s="584">
        <v>0</v>
      </c>
      <c r="J230" s="584">
        <v>0</v>
      </c>
      <c r="K230" s="584">
        <v>0</v>
      </c>
      <c r="L230" s="584">
        <v>0</v>
      </c>
      <c r="M230" s="584">
        <v>0</v>
      </c>
      <c r="N230" s="584">
        <v>0</v>
      </c>
      <c r="O230" s="584">
        <v>0</v>
      </c>
      <c r="P230" s="584">
        <v>0</v>
      </c>
      <c r="Q230" s="584">
        <v>0</v>
      </c>
      <c r="R230" s="584">
        <v>0</v>
      </c>
      <c r="S230" s="584">
        <v>0</v>
      </c>
      <c r="T230" s="584">
        <v>0</v>
      </c>
      <c r="U230" s="584">
        <v>0</v>
      </c>
      <c r="V230" s="584">
        <v>0</v>
      </c>
      <c r="W230" s="584">
        <v>0</v>
      </c>
      <c r="X230" s="584">
        <v>0</v>
      </c>
      <c r="Y230" s="584">
        <v>0</v>
      </c>
      <c r="Z230" s="584">
        <v>0</v>
      </c>
      <c r="AA230" s="584">
        <v>0</v>
      </c>
      <c r="AB230" s="584">
        <v>0</v>
      </c>
      <c r="AC230" s="584">
        <v>0</v>
      </c>
      <c r="AD230" s="584">
        <v>0</v>
      </c>
      <c r="AE230" s="584">
        <v>0</v>
      </c>
      <c r="AF230" s="584">
        <v>0</v>
      </c>
      <c r="AG230" s="584">
        <v>0</v>
      </c>
      <c r="AH230" s="584">
        <v>0</v>
      </c>
      <c r="AI230" s="584">
        <v>0</v>
      </c>
      <c r="AJ230" s="584">
        <v>0</v>
      </c>
      <c r="AK230" s="584">
        <v>0</v>
      </c>
      <c r="AL230" s="584">
        <v>0</v>
      </c>
      <c r="AM230" s="584">
        <v>0</v>
      </c>
      <c r="AN230" s="584">
        <v>0</v>
      </c>
      <c r="AO230" s="584">
        <v>0</v>
      </c>
      <c r="AP230" s="584">
        <v>0</v>
      </c>
      <c r="AQ230" s="584">
        <v>0</v>
      </c>
      <c r="AR230" s="584">
        <v>0</v>
      </c>
      <c r="AS230" s="584">
        <v>0</v>
      </c>
      <c r="AT230" s="584">
        <v>0</v>
      </c>
      <c r="AU230" s="584">
        <v>0</v>
      </c>
      <c r="AV230" s="584">
        <v>0</v>
      </c>
      <c r="AW230" s="584">
        <v>0</v>
      </c>
      <c r="AX230" s="584">
        <v>0</v>
      </c>
      <c r="AY230" s="584">
        <v>0</v>
      </c>
      <c r="AZ230" s="584">
        <v>0</v>
      </c>
      <c r="BA230" s="584">
        <v>0</v>
      </c>
      <c r="BB230" s="584">
        <v>0</v>
      </c>
      <c r="BC230" s="584">
        <v>0</v>
      </c>
      <c r="BD230" s="584">
        <v>0</v>
      </c>
      <c r="BE230" s="584">
        <v>0</v>
      </c>
      <c r="BF230" s="584">
        <v>0</v>
      </c>
      <c r="BG230" s="584">
        <v>0</v>
      </c>
      <c r="BH230" s="584">
        <v>0</v>
      </c>
      <c r="BI230" s="584">
        <v>0</v>
      </c>
      <c r="BJ230" s="584">
        <v>0</v>
      </c>
      <c r="BK230" s="584">
        <v>0</v>
      </c>
      <c r="BL230" s="584">
        <v>0</v>
      </c>
      <c r="BM230" s="584">
        <v>0</v>
      </c>
      <c r="BN230" s="584">
        <v>0</v>
      </c>
      <c r="BO230" s="584">
        <v>0</v>
      </c>
      <c r="BP230" s="584">
        <v>0</v>
      </c>
      <c r="BQ230" s="584">
        <v>0</v>
      </c>
      <c r="BR230" s="584">
        <v>0</v>
      </c>
      <c r="BS230" s="584">
        <v>0</v>
      </c>
      <c r="BT230" s="584">
        <v>0</v>
      </c>
      <c r="BU230" s="584">
        <v>0</v>
      </c>
      <c r="BV230" s="584">
        <v>0</v>
      </c>
      <c r="BW230" s="584">
        <v>0</v>
      </c>
      <c r="BX230" s="584">
        <v>0</v>
      </c>
      <c r="BY230" s="584">
        <v>0</v>
      </c>
      <c r="BZ230" s="584">
        <v>0</v>
      </c>
      <c r="CA230" s="584">
        <v>0</v>
      </c>
      <c r="CB230" s="584">
        <v>0</v>
      </c>
      <c r="CC230" s="584">
        <v>0</v>
      </c>
      <c r="CD230" s="584">
        <v>0</v>
      </c>
      <c r="CE230" s="584">
        <v>0</v>
      </c>
      <c r="CF230" s="584">
        <v>0</v>
      </c>
      <c r="CG230" s="584">
        <v>0</v>
      </c>
      <c r="CH230" s="584">
        <v>0</v>
      </c>
      <c r="CI230" s="584">
        <v>0</v>
      </c>
      <c r="CJ230" s="584">
        <v>0</v>
      </c>
      <c r="CK230" s="584">
        <v>0</v>
      </c>
      <c r="CL230" s="584">
        <v>0</v>
      </c>
      <c r="CM230" s="584">
        <v>0</v>
      </c>
      <c r="CN230" s="584">
        <v>0</v>
      </c>
      <c r="CO230" s="584">
        <v>0</v>
      </c>
      <c r="CP230" s="584">
        <v>0</v>
      </c>
      <c r="CQ230" s="584">
        <v>0</v>
      </c>
      <c r="CR230" s="584">
        <v>0</v>
      </c>
      <c r="CS230" s="584">
        <v>0</v>
      </c>
      <c r="CT230" s="584">
        <v>0</v>
      </c>
      <c r="CU230" s="584">
        <v>0</v>
      </c>
      <c r="CV230" s="584">
        <v>0</v>
      </c>
      <c r="CW230" s="584">
        <v>0</v>
      </c>
      <c r="CX230" s="584">
        <v>0</v>
      </c>
      <c r="CY230" s="584">
        <v>0</v>
      </c>
      <c r="CZ230" s="584">
        <v>0</v>
      </c>
      <c r="DA230" s="584">
        <v>0</v>
      </c>
      <c r="DB230" s="584">
        <v>0</v>
      </c>
      <c r="DC230" s="584">
        <v>0</v>
      </c>
      <c r="DD230" s="584">
        <v>0</v>
      </c>
      <c r="DE230" s="584">
        <v>0</v>
      </c>
      <c r="DF230" s="584">
        <v>0</v>
      </c>
      <c r="DG230" s="584">
        <v>0</v>
      </c>
      <c r="DH230" s="584">
        <v>0</v>
      </c>
      <c r="DI230" s="584">
        <v>0</v>
      </c>
      <c r="DJ230" s="584">
        <v>0</v>
      </c>
      <c r="DK230" s="584">
        <v>0</v>
      </c>
      <c r="DL230" s="584">
        <v>0</v>
      </c>
      <c r="DM230" s="584">
        <v>0</v>
      </c>
      <c r="DN230" s="584">
        <v>0</v>
      </c>
      <c r="DO230" s="584">
        <v>0</v>
      </c>
      <c r="DP230" s="584">
        <v>0</v>
      </c>
      <c r="DQ230" s="584">
        <v>0</v>
      </c>
      <c r="DR230" s="584">
        <v>0</v>
      </c>
      <c r="DS230" s="584">
        <v>0</v>
      </c>
      <c r="DT230" s="584">
        <v>0</v>
      </c>
      <c r="DU230" s="584">
        <v>0</v>
      </c>
      <c r="DV230" s="584">
        <v>0</v>
      </c>
      <c r="DW230" s="584">
        <v>0</v>
      </c>
      <c r="DX230" s="584">
        <v>0</v>
      </c>
      <c r="DY230" s="584">
        <v>0</v>
      </c>
      <c r="DZ230" s="584">
        <v>0</v>
      </c>
      <c r="EA230" s="1062">
        <v>0</v>
      </c>
      <c r="EB230" s="1046">
        <v>0</v>
      </c>
      <c r="EC230" s="1093">
        <v>0</v>
      </c>
      <c r="ED230" s="1046">
        <v>0</v>
      </c>
      <c r="EE230" s="1046">
        <v>0</v>
      </c>
      <c r="EF230" s="1046">
        <v>0</v>
      </c>
      <c r="EG230" s="1046">
        <v>0</v>
      </c>
      <c r="EH230" s="1046">
        <v>0</v>
      </c>
      <c r="EI230" s="1046">
        <v>0</v>
      </c>
      <c r="EJ230" s="1046">
        <v>0</v>
      </c>
      <c r="EK230" s="1046">
        <v>0</v>
      </c>
      <c r="EL230" s="1046">
        <v>0</v>
      </c>
      <c r="EM230" s="1046">
        <v>0</v>
      </c>
      <c r="EN230" s="1046">
        <v>0</v>
      </c>
      <c r="EO230" s="1046">
        <v>0</v>
      </c>
      <c r="EP230" s="1094">
        <v>0</v>
      </c>
      <c r="EQ230" s="1094">
        <v>0</v>
      </c>
      <c r="ER230" s="1094">
        <v>0</v>
      </c>
      <c r="ES230" s="1095">
        <v>0</v>
      </c>
      <c r="ET230" s="1094">
        <v>0</v>
      </c>
      <c r="EU230" s="1094">
        <v>0</v>
      </c>
      <c r="EV230" s="1096">
        <v>1.0604</v>
      </c>
      <c r="EW230" s="1097">
        <v>0.15</v>
      </c>
      <c r="EX230" s="1096">
        <v>289.50050968399592</v>
      </c>
      <c r="EY230" s="1096">
        <v>1.5443934760448521</v>
      </c>
      <c r="EZ230" s="1096">
        <v>0</v>
      </c>
      <c r="FA230" s="1096">
        <v>42.546666666666667</v>
      </c>
      <c r="FB230" s="1098">
        <v>0</v>
      </c>
      <c r="FC230" s="1098">
        <v>0</v>
      </c>
      <c r="FD230" s="1098" t="s">
        <v>373</v>
      </c>
      <c r="FE230" s="1098" t="s">
        <v>410</v>
      </c>
      <c r="FF230" s="1098">
        <v>3</v>
      </c>
      <c r="FG230" s="1098">
        <v>0</v>
      </c>
      <c r="FH230" s="1098">
        <v>0</v>
      </c>
      <c r="FI230" s="1098">
        <v>0</v>
      </c>
      <c r="FJ230" s="1098">
        <v>0</v>
      </c>
      <c r="FK230" s="1096">
        <v>172.529498625</v>
      </c>
      <c r="FL230" s="1096">
        <v>165</v>
      </c>
      <c r="FM230" s="1096">
        <v>345.05899725</v>
      </c>
      <c r="FN230" s="1096">
        <v>330</v>
      </c>
      <c r="FO230" s="1096">
        <v>690.11799450000001</v>
      </c>
      <c r="FP230" s="1099">
        <v>660</v>
      </c>
      <c r="FQ230" s="1064">
        <v>1.5498599999999998</v>
      </c>
      <c r="FR230" s="1065">
        <v>0.15</v>
      </c>
      <c r="FS230" s="1066">
        <v>289.50050968399586</v>
      </c>
      <c r="FT230" s="1066">
        <v>3.2017662436826937</v>
      </c>
      <c r="FU230" s="1065"/>
      <c r="FV230" s="1066">
        <v>88.389210070185541</v>
      </c>
      <c r="FW230" s="1065"/>
      <c r="FX230" s="1065"/>
      <c r="FY230" s="1065" t="s">
        <v>345</v>
      </c>
      <c r="FZ230" s="1065" t="s">
        <v>396</v>
      </c>
      <c r="GA230" s="1065">
        <v>3</v>
      </c>
      <c r="GB230" s="1065"/>
      <c r="GC230" s="1065"/>
      <c r="GD230" s="1065"/>
      <c r="GE230" s="1065"/>
      <c r="GF230" s="1066">
        <v>187.21343345261073</v>
      </c>
      <c r="GG230" s="1066">
        <v>165</v>
      </c>
      <c r="GH230" s="1066">
        <v>374.42686690522146</v>
      </c>
      <c r="GI230" s="1066">
        <v>330</v>
      </c>
      <c r="GJ230" s="1066">
        <v>748.85373381044292</v>
      </c>
      <c r="GK230" s="1066">
        <v>660</v>
      </c>
      <c r="GL230" s="584">
        <v>1.1201000000000001</v>
      </c>
      <c r="GM230" s="584">
        <v>0.13</v>
      </c>
      <c r="GN230" s="584"/>
      <c r="GO230" s="584"/>
      <c r="GP230" s="584"/>
      <c r="GQ230" s="584">
        <v>89.063636363636405</v>
      </c>
      <c r="GR230" s="584"/>
      <c r="GS230" s="584">
        <v>66.2589194699286</v>
      </c>
      <c r="GT230" s="584" t="s">
        <v>351</v>
      </c>
      <c r="GU230" s="584" t="s">
        <v>347</v>
      </c>
      <c r="GV230" s="584">
        <v>2</v>
      </c>
      <c r="GW230" s="584"/>
      <c r="GX230" s="584"/>
      <c r="GY230" s="584"/>
      <c r="GZ230" s="584"/>
      <c r="HA230" s="584">
        <v>95.853213749999995</v>
      </c>
      <c r="HB230" s="584">
        <v>165</v>
      </c>
      <c r="HC230" s="584">
        <v>191.70642749999999</v>
      </c>
      <c r="HD230" s="584">
        <v>330</v>
      </c>
      <c r="HE230" s="584">
        <v>383.41285499999998</v>
      </c>
      <c r="HF230" s="584">
        <v>660</v>
      </c>
      <c r="HG230" s="1100">
        <v>2.35</v>
      </c>
      <c r="HH230" s="1100">
        <v>0.11</v>
      </c>
      <c r="HI230" s="1101">
        <v>0</v>
      </c>
      <c r="HJ230" s="1101">
        <v>0</v>
      </c>
      <c r="HK230" s="1101">
        <v>0</v>
      </c>
      <c r="HL230" s="1101">
        <v>0</v>
      </c>
      <c r="HM230" s="1101">
        <v>84.305454545454552</v>
      </c>
      <c r="HN230" s="1101">
        <v>54.999999999999993</v>
      </c>
      <c r="HO230" s="1101">
        <v>0</v>
      </c>
      <c r="HP230" s="1101">
        <v>0</v>
      </c>
      <c r="HQ230" s="1101">
        <v>3</v>
      </c>
      <c r="HR230" s="1101">
        <v>2.2400000000000002</v>
      </c>
      <c r="HS230" s="1101">
        <v>1.4</v>
      </c>
      <c r="HT230" s="1101">
        <v>0.3</v>
      </c>
      <c r="HU230" s="1101">
        <v>0.28000000000000003</v>
      </c>
      <c r="HV230" s="1101">
        <v>89.371693500000021</v>
      </c>
      <c r="HW230" s="1101">
        <v>165</v>
      </c>
      <c r="HX230" s="1101">
        <v>178.74338700000004</v>
      </c>
      <c r="HY230" s="1101">
        <v>330</v>
      </c>
      <c r="HZ230" s="1101">
        <v>357.48677400000008</v>
      </c>
      <c r="IA230" s="1101">
        <v>660</v>
      </c>
      <c r="IB230" s="1062"/>
      <c r="ID230" s="1050"/>
      <c r="IE230" s="1050"/>
      <c r="IM230" s="1050"/>
      <c r="IN230" s="1050"/>
      <c r="IO230" s="1050"/>
      <c r="IP230" s="1050"/>
      <c r="JU230" s="1050"/>
      <c r="KC230" s="1050"/>
      <c r="KD230" s="1050"/>
      <c r="KE230" s="1050"/>
      <c r="KF230" s="1050"/>
      <c r="KN230" s="1103"/>
    </row>
    <row r="231" spans="2:300">
      <c r="B231" s="1048" t="str">
        <f t="shared" si="6"/>
        <v>E1116</v>
      </c>
      <c r="C231" s="1046">
        <v>11</v>
      </c>
      <c r="D231" s="1092">
        <v>16</v>
      </c>
      <c r="E231" s="584">
        <v>0</v>
      </c>
      <c r="F231" s="584">
        <v>0</v>
      </c>
      <c r="G231" s="584">
        <v>0</v>
      </c>
      <c r="H231" s="584">
        <v>0</v>
      </c>
      <c r="I231" s="584">
        <v>0</v>
      </c>
      <c r="J231" s="584">
        <v>0</v>
      </c>
      <c r="K231" s="584">
        <v>0</v>
      </c>
      <c r="L231" s="584">
        <v>0</v>
      </c>
      <c r="M231" s="584">
        <v>0</v>
      </c>
      <c r="N231" s="584">
        <v>0</v>
      </c>
      <c r="O231" s="584">
        <v>0</v>
      </c>
      <c r="P231" s="584">
        <v>0</v>
      </c>
      <c r="Q231" s="584">
        <v>0</v>
      </c>
      <c r="R231" s="584">
        <v>0</v>
      </c>
      <c r="S231" s="584">
        <v>0</v>
      </c>
      <c r="T231" s="584">
        <v>0</v>
      </c>
      <c r="U231" s="584">
        <v>0</v>
      </c>
      <c r="V231" s="584">
        <v>0</v>
      </c>
      <c r="W231" s="584">
        <v>0</v>
      </c>
      <c r="X231" s="584">
        <v>0</v>
      </c>
      <c r="Y231" s="584">
        <v>0</v>
      </c>
      <c r="Z231" s="584">
        <v>0</v>
      </c>
      <c r="AA231" s="584">
        <v>0</v>
      </c>
      <c r="AB231" s="584">
        <v>0</v>
      </c>
      <c r="AC231" s="584">
        <v>0</v>
      </c>
      <c r="AD231" s="584">
        <v>0</v>
      </c>
      <c r="AE231" s="584">
        <v>0</v>
      </c>
      <c r="AF231" s="584">
        <v>0</v>
      </c>
      <c r="AG231" s="584">
        <v>0</v>
      </c>
      <c r="AH231" s="584">
        <v>0</v>
      </c>
      <c r="AI231" s="584">
        <v>0</v>
      </c>
      <c r="AJ231" s="584">
        <v>0</v>
      </c>
      <c r="AK231" s="584">
        <v>0</v>
      </c>
      <c r="AL231" s="584">
        <v>0</v>
      </c>
      <c r="AM231" s="584">
        <v>0</v>
      </c>
      <c r="AN231" s="584">
        <v>0</v>
      </c>
      <c r="AO231" s="584">
        <v>190.6014375</v>
      </c>
      <c r="AP231" s="584">
        <v>176</v>
      </c>
      <c r="AQ231" s="584">
        <v>265.79343749999998</v>
      </c>
      <c r="AR231" s="584">
        <v>369.6</v>
      </c>
      <c r="AS231" s="584">
        <v>163.87100000000001</v>
      </c>
      <c r="AT231" s="584">
        <v>774.4</v>
      </c>
      <c r="AU231" s="584">
        <v>0</v>
      </c>
      <c r="AV231" s="584">
        <v>0</v>
      </c>
      <c r="AW231" s="584">
        <v>0</v>
      </c>
      <c r="AX231" s="584">
        <v>0</v>
      </c>
      <c r="AY231" s="584">
        <v>0</v>
      </c>
      <c r="AZ231" s="584">
        <v>0</v>
      </c>
      <c r="BA231" s="584">
        <v>0</v>
      </c>
      <c r="BB231" s="584">
        <v>0</v>
      </c>
      <c r="BC231" s="584">
        <v>0</v>
      </c>
      <c r="BD231" s="584">
        <v>0</v>
      </c>
      <c r="BE231" s="584">
        <v>0</v>
      </c>
      <c r="BF231" s="584">
        <v>0</v>
      </c>
      <c r="BG231" s="584">
        <v>0</v>
      </c>
      <c r="BH231" s="584">
        <v>0</v>
      </c>
      <c r="BI231" s="584">
        <v>0</v>
      </c>
      <c r="BJ231" s="584">
        <v>0</v>
      </c>
      <c r="BK231" s="584">
        <v>0</v>
      </c>
      <c r="BL231" s="584">
        <v>0</v>
      </c>
      <c r="BM231" s="584">
        <v>0</v>
      </c>
      <c r="BN231" s="584">
        <v>0</v>
      </c>
      <c r="BO231" s="584">
        <v>0</v>
      </c>
      <c r="BP231" s="584">
        <v>0</v>
      </c>
      <c r="BQ231" s="584">
        <v>0</v>
      </c>
      <c r="BR231" s="584">
        <v>0</v>
      </c>
      <c r="BS231" s="584">
        <v>0</v>
      </c>
      <c r="BT231" s="584">
        <v>0</v>
      </c>
      <c r="BU231" s="584">
        <v>0</v>
      </c>
      <c r="BV231" s="584">
        <v>0</v>
      </c>
      <c r="BW231" s="584">
        <v>0</v>
      </c>
      <c r="BX231" s="584">
        <v>0</v>
      </c>
      <c r="BY231" s="584">
        <v>0</v>
      </c>
      <c r="BZ231" s="584">
        <v>0</v>
      </c>
      <c r="CA231" s="584">
        <v>0</v>
      </c>
      <c r="CB231" s="584">
        <v>0</v>
      </c>
      <c r="CC231" s="584">
        <v>0</v>
      </c>
      <c r="CD231" s="584">
        <v>0</v>
      </c>
      <c r="CE231" s="584">
        <v>0</v>
      </c>
      <c r="CF231" s="584">
        <v>0</v>
      </c>
      <c r="CG231" s="584">
        <v>0</v>
      </c>
      <c r="CH231" s="584">
        <v>0</v>
      </c>
      <c r="CI231" s="584">
        <v>0</v>
      </c>
      <c r="CJ231" s="584">
        <v>0</v>
      </c>
      <c r="CK231" s="584">
        <v>0</v>
      </c>
      <c r="CL231" s="584">
        <v>0</v>
      </c>
      <c r="CM231" s="584">
        <v>0</v>
      </c>
      <c r="CN231" s="584">
        <v>0</v>
      </c>
      <c r="CO231" s="584">
        <v>0</v>
      </c>
      <c r="CP231" s="584">
        <v>0</v>
      </c>
      <c r="CQ231" s="584">
        <v>0</v>
      </c>
      <c r="CR231" s="584">
        <v>0</v>
      </c>
      <c r="CS231" s="584">
        <v>0</v>
      </c>
      <c r="CT231" s="584">
        <v>0</v>
      </c>
      <c r="CU231" s="584">
        <v>0</v>
      </c>
      <c r="CV231" s="584">
        <v>0</v>
      </c>
      <c r="CW231" s="584">
        <v>0</v>
      </c>
      <c r="CX231" s="584">
        <v>0</v>
      </c>
      <c r="CY231" s="584">
        <v>0</v>
      </c>
      <c r="CZ231" s="584">
        <v>0</v>
      </c>
      <c r="DA231" s="584">
        <v>0</v>
      </c>
      <c r="DB231" s="584">
        <v>0</v>
      </c>
      <c r="DC231" s="584">
        <v>0</v>
      </c>
      <c r="DD231" s="584">
        <v>0</v>
      </c>
      <c r="DE231" s="584">
        <v>0</v>
      </c>
      <c r="DF231" s="584">
        <v>0</v>
      </c>
      <c r="DG231" s="584">
        <v>0</v>
      </c>
      <c r="DH231" s="584">
        <v>0</v>
      </c>
      <c r="DI231" s="584">
        <v>0</v>
      </c>
      <c r="DJ231" s="584">
        <v>0</v>
      </c>
      <c r="DK231" s="584">
        <v>0</v>
      </c>
      <c r="DL231" s="584">
        <v>0</v>
      </c>
      <c r="DM231" s="584">
        <v>0</v>
      </c>
      <c r="DN231" s="584">
        <v>0</v>
      </c>
      <c r="DO231" s="584">
        <v>0</v>
      </c>
      <c r="DP231" s="584">
        <v>0</v>
      </c>
      <c r="DQ231" s="584">
        <v>0</v>
      </c>
      <c r="DR231" s="584">
        <v>0</v>
      </c>
      <c r="DS231" s="584">
        <v>0</v>
      </c>
      <c r="DT231" s="584">
        <v>0</v>
      </c>
      <c r="DU231" s="584">
        <v>0</v>
      </c>
      <c r="DV231" s="584">
        <v>0</v>
      </c>
      <c r="DW231" s="584">
        <v>0</v>
      </c>
      <c r="DX231" s="584">
        <v>0</v>
      </c>
      <c r="DY231" s="584">
        <v>0</v>
      </c>
      <c r="DZ231" s="584">
        <v>0</v>
      </c>
      <c r="EA231" s="1062">
        <v>0</v>
      </c>
      <c r="EB231" s="1046">
        <v>0</v>
      </c>
      <c r="EC231" s="1093">
        <v>0</v>
      </c>
      <c r="ED231" s="1046">
        <v>0</v>
      </c>
      <c r="EE231" s="1046">
        <v>0</v>
      </c>
      <c r="EF231" s="1046">
        <v>0</v>
      </c>
      <c r="EG231" s="1046">
        <v>0</v>
      </c>
      <c r="EH231" s="1046">
        <v>0</v>
      </c>
      <c r="EI231" s="1046">
        <v>0</v>
      </c>
      <c r="EJ231" s="1046">
        <v>0</v>
      </c>
      <c r="EK231" s="1046">
        <v>0</v>
      </c>
      <c r="EL231" s="1046">
        <v>0</v>
      </c>
      <c r="EM231" s="1046">
        <v>0</v>
      </c>
      <c r="EN231" s="1046">
        <v>0</v>
      </c>
      <c r="EO231" s="1046">
        <v>0</v>
      </c>
      <c r="EP231" s="1094">
        <v>0</v>
      </c>
      <c r="EQ231" s="1094">
        <v>0</v>
      </c>
      <c r="ER231" s="1094">
        <v>0</v>
      </c>
      <c r="ES231" s="1095">
        <v>0</v>
      </c>
      <c r="ET231" s="1094">
        <v>0</v>
      </c>
      <c r="EU231" s="1094">
        <v>0</v>
      </c>
      <c r="EV231" s="1096">
        <v>1.0649999999999999</v>
      </c>
      <c r="EW231" s="1097">
        <v>0.15</v>
      </c>
      <c r="EX231" s="1096">
        <v>289.50050968399592</v>
      </c>
      <c r="EY231" s="1096">
        <v>1.5443934760448521</v>
      </c>
      <c r="EZ231" s="1096">
        <v>0</v>
      </c>
      <c r="FA231" s="1096">
        <v>49.020454545454548</v>
      </c>
      <c r="FB231" s="1098">
        <v>0</v>
      </c>
      <c r="FC231" s="1098">
        <v>0</v>
      </c>
      <c r="FD231" s="1098" t="s">
        <v>372</v>
      </c>
      <c r="FE231" s="1098" t="s">
        <v>396</v>
      </c>
      <c r="FF231" s="1098">
        <v>3</v>
      </c>
      <c r="FG231" s="1098">
        <v>0</v>
      </c>
      <c r="FH231" s="1098">
        <v>0</v>
      </c>
      <c r="FI231" s="1098">
        <v>0</v>
      </c>
      <c r="FJ231" s="1098">
        <v>0</v>
      </c>
      <c r="FK231" s="1096">
        <v>186.82581100000002</v>
      </c>
      <c r="FL231" s="1096">
        <v>176</v>
      </c>
      <c r="FM231" s="1096">
        <v>373.65162200000003</v>
      </c>
      <c r="FN231" s="1096">
        <v>352</v>
      </c>
      <c r="FO231" s="1096">
        <v>747.30324400000006</v>
      </c>
      <c r="FP231" s="1099">
        <v>704</v>
      </c>
      <c r="FQ231" s="1064">
        <v>1.5611999999999999</v>
      </c>
      <c r="FR231" s="1065">
        <v>0.15</v>
      </c>
      <c r="FS231" s="1066">
        <v>289.50050968399586</v>
      </c>
      <c r="FT231" s="1066">
        <v>3.2017662436826937</v>
      </c>
      <c r="FU231" s="1065"/>
      <c r="FV231" s="1066">
        <v>93.305776434035579</v>
      </c>
      <c r="FW231" s="1065"/>
      <c r="FX231" s="1065"/>
      <c r="FY231" s="1065" t="s">
        <v>343</v>
      </c>
      <c r="FZ231" s="1065" t="s">
        <v>389</v>
      </c>
      <c r="GA231" s="1065">
        <v>3</v>
      </c>
      <c r="GB231" s="1065"/>
      <c r="GC231" s="1065"/>
      <c r="GD231" s="1065"/>
      <c r="GE231" s="1065"/>
      <c r="GF231" s="1066">
        <v>201.81651572141027</v>
      </c>
      <c r="GG231" s="1066">
        <v>176</v>
      </c>
      <c r="GH231" s="1066">
        <v>403.63303144282054</v>
      </c>
      <c r="GI231" s="1066">
        <v>352</v>
      </c>
      <c r="GJ231" s="1066">
        <v>807.26606288564108</v>
      </c>
      <c r="GK231" s="1066">
        <v>704</v>
      </c>
      <c r="GL231" s="584">
        <v>1.1298999999999999</v>
      </c>
      <c r="GM231" s="584">
        <v>0.13</v>
      </c>
      <c r="GN231" s="584"/>
      <c r="GO231" s="584"/>
      <c r="GP231" s="584"/>
      <c r="GQ231" s="584">
        <v>101.26193181818201</v>
      </c>
      <c r="GR231" s="584"/>
      <c r="GS231" s="584">
        <v>66.2589194699286</v>
      </c>
      <c r="GT231" s="584" t="s">
        <v>349</v>
      </c>
      <c r="GU231" s="584" t="s">
        <v>345</v>
      </c>
      <c r="GV231" s="584">
        <v>2</v>
      </c>
      <c r="GW231" s="584"/>
      <c r="GX231" s="584"/>
      <c r="GY231" s="584"/>
      <c r="GZ231" s="584"/>
      <c r="HA231" s="584">
        <v>107.50870025</v>
      </c>
      <c r="HB231" s="584">
        <v>176</v>
      </c>
      <c r="HC231" s="584">
        <v>215.01740050000001</v>
      </c>
      <c r="HD231" s="584">
        <v>352</v>
      </c>
      <c r="HE231" s="584">
        <v>430.03480100000002</v>
      </c>
      <c r="HF231" s="584">
        <v>704</v>
      </c>
      <c r="HG231" s="1100">
        <v>0</v>
      </c>
      <c r="HH231" s="1100">
        <v>0</v>
      </c>
      <c r="HI231" s="1101">
        <v>0</v>
      </c>
      <c r="HJ231" s="1101">
        <v>0</v>
      </c>
      <c r="HK231" s="1101">
        <v>0</v>
      </c>
      <c r="HL231" s="1101">
        <v>0</v>
      </c>
      <c r="HM231" s="1101">
        <v>0</v>
      </c>
      <c r="HN231" s="1101">
        <v>0</v>
      </c>
      <c r="HO231" s="1101">
        <v>0</v>
      </c>
      <c r="HP231" s="1101">
        <v>0</v>
      </c>
      <c r="HQ231" s="1101">
        <v>0</v>
      </c>
      <c r="HR231" s="1101">
        <v>0</v>
      </c>
      <c r="HS231" s="1101">
        <v>0</v>
      </c>
      <c r="HT231" s="1101">
        <v>0</v>
      </c>
      <c r="HU231" s="1101">
        <v>0</v>
      </c>
      <c r="HV231" s="1101">
        <v>0</v>
      </c>
      <c r="HW231" s="1101">
        <v>0</v>
      </c>
      <c r="HX231" s="1101">
        <v>0</v>
      </c>
      <c r="HY231" s="1101">
        <v>0</v>
      </c>
      <c r="HZ231" s="1101">
        <v>0</v>
      </c>
      <c r="IA231" s="1101">
        <v>0</v>
      </c>
      <c r="IB231" s="1062"/>
      <c r="ID231" s="1050"/>
      <c r="IE231" s="1050"/>
      <c r="IM231" s="1050"/>
      <c r="IN231" s="1050"/>
      <c r="IO231" s="1050"/>
      <c r="IP231" s="1050"/>
      <c r="JU231" s="1050"/>
      <c r="KC231" s="1050"/>
      <c r="KD231" s="1050"/>
      <c r="KE231" s="1050"/>
      <c r="KF231" s="1050"/>
      <c r="KN231" s="1103"/>
    </row>
    <row r="232" spans="2:300">
      <c r="B232" s="1048" t="str">
        <f t="shared" si="6"/>
        <v>E1212</v>
      </c>
      <c r="C232" s="1046">
        <v>12</v>
      </c>
      <c r="D232" s="1092">
        <v>12</v>
      </c>
      <c r="E232" s="584">
        <v>0.49</v>
      </c>
      <c r="F232" s="584">
        <v>0.49</v>
      </c>
      <c r="G232" s="584">
        <v>1176</v>
      </c>
      <c r="H232" s="584">
        <v>37.729999999999997</v>
      </c>
      <c r="I232" s="584">
        <v>0</v>
      </c>
      <c r="J232" s="584">
        <v>0</v>
      </c>
      <c r="K232" s="584">
        <v>0</v>
      </c>
      <c r="L232" s="584">
        <v>0</v>
      </c>
      <c r="M232" s="584">
        <v>0</v>
      </c>
      <c r="N232" s="584">
        <v>0</v>
      </c>
      <c r="O232" s="584">
        <v>0</v>
      </c>
      <c r="P232" s="584">
        <v>0</v>
      </c>
      <c r="Q232" s="584">
        <v>0</v>
      </c>
      <c r="R232" s="584">
        <v>0</v>
      </c>
      <c r="S232" s="584">
        <v>0</v>
      </c>
      <c r="T232" s="584">
        <v>638.41143750000003</v>
      </c>
      <c r="U232" s="584">
        <v>144</v>
      </c>
      <c r="V232" s="584">
        <v>1166.5530000000001</v>
      </c>
      <c r="W232" s="584">
        <v>302.39999999999998</v>
      </c>
      <c r="X232" s="584">
        <v>2079.3577500000001</v>
      </c>
      <c r="Y232" s="584">
        <v>633.6</v>
      </c>
      <c r="Z232" s="584">
        <v>0.35499999999999998</v>
      </c>
      <c r="AA232" s="584">
        <v>0.35499999999999998</v>
      </c>
      <c r="AB232" s="584">
        <v>852</v>
      </c>
      <c r="AC232" s="584">
        <v>30</v>
      </c>
      <c r="AD232" s="584">
        <v>0</v>
      </c>
      <c r="AE232" s="584">
        <v>0</v>
      </c>
      <c r="AF232" s="584">
        <v>0</v>
      </c>
      <c r="AG232" s="584">
        <v>0</v>
      </c>
      <c r="AH232" s="584">
        <v>0</v>
      </c>
      <c r="AI232" s="584">
        <v>0</v>
      </c>
      <c r="AJ232" s="584">
        <v>0</v>
      </c>
      <c r="AK232" s="584">
        <v>0</v>
      </c>
      <c r="AL232" s="584">
        <v>0</v>
      </c>
      <c r="AM232" s="584">
        <v>0</v>
      </c>
      <c r="AN232" s="584">
        <v>0</v>
      </c>
      <c r="AO232" s="584">
        <v>508.67643750000002</v>
      </c>
      <c r="AP232" s="584">
        <v>144</v>
      </c>
      <c r="AQ232" s="584">
        <v>901.46193749999998</v>
      </c>
      <c r="AR232" s="584">
        <v>302.39999999999998</v>
      </c>
      <c r="AS232" s="584">
        <v>1543.0719375000001</v>
      </c>
      <c r="AT232" s="584">
        <v>633.6</v>
      </c>
      <c r="AU232" s="584">
        <v>0</v>
      </c>
      <c r="AV232" s="584">
        <v>0</v>
      </c>
      <c r="AW232" s="584">
        <v>0</v>
      </c>
      <c r="AX232" s="584">
        <v>0</v>
      </c>
      <c r="AY232" s="584">
        <v>0</v>
      </c>
      <c r="AZ232" s="584">
        <v>0</v>
      </c>
      <c r="BA232" s="584">
        <v>0</v>
      </c>
      <c r="BB232" s="584">
        <v>0</v>
      </c>
      <c r="BC232" s="584">
        <v>0</v>
      </c>
      <c r="BD232" s="584">
        <v>0</v>
      </c>
      <c r="BE232" s="584">
        <v>0</v>
      </c>
      <c r="BF232" s="584">
        <v>0</v>
      </c>
      <c r="BG232" s="584">
        <v>0</v>
      </c>
      <c r="BH232" s="584">
        <v>0</v>
      </c>
      <c r="BI232" s="584">
        <v>0</v>
      </c>
      <c r="BJ232" s="584">
        <v>0</v>
      </c>
      <c r="BK232" s="584">
        <v>0</v>
      </c>
      <c r="BL232" s="584">
        <v>0</v>
      </c>
      <c r="BM232" s="584">
        <v>0</v>
      </c>
      <c r="BN232" s="584">
        <v>0</v>
      </c>
      <c r="BO232" s="584">
        <v>0</v>
      </c>
      <c r="BP232" s="584">
        <v>0.9</v>
      </c>
      <c r="BQ232" s="584">
        <v>0.29499999999999998</v>
      </c>
      <c r="BR232" s="584">
        <v>845.61500180147698</v>
      </c>
      <c r="BS232" s="584">
        <v>42.057848135471097</v>
      </c>
      <c r="BT232" s="584">
        <v>0</v>
      </c>
      <c r="BU232" s="584">
        <v>0</v>
      </c>
      <c r="BV232" s="584">
        <v>0</v>
      </c>
      <c r="BW232" s="584">
        <v>0</v>
      </c>
      <c r="BX232" s="584">
        <v>0</v>
      </c>
      <c r="BY232" s="584">
        <v>0</v>
      </c>
      <c r="BZ232" s="584">
        <v>0</v>
      </c>
      <c r="CA232" s="584">
        <v>0.9</v>
      </c>
      <c r="CB232" s="584">
        <v>0.9</v>
      </c>
      <c r="CC232" s="584">
        <v>0.45</v>
      </c>
      <c r="CD232" s="584">
        <v>0.45</v>
      </c>
      <c r="CE232" s="584">
        <v>525.02985000000001</v>
      </c>
      <c r="CF232" s="584">
        <v>144</v>
      </c>
      <c r="CG232" s="584">
        <v>895.10394374999998</v>
      </c>
      <c r="CH232" s="584">
        <v>302.39999999999998</v>
      </c>
      <c r="CI232" s="584">
        <v>1464.0337406250001</v>
      </c>
      <c r="CJ232" s="584">
        <v>633.6</v>
      </c>
      <c r="CK232" s="584">
        <v>0</v>
      </c>
      <c r="CL232" s="584">
        <v>0</v>
      </c>
      <c r="CM232" s="584">
        <v>0</v>
      </c>
      <c r="CN232" s="584">
        <v>0</v>
      </c>
      <c r="CO232" s="584">
        <v>0</v>
      </c>
      <c r="CP232" s="584">
        <v>0</v>
      </c>
      <c r="CQ232" s="584">
        <v>0</v>
      </c>
      <c r="CR232" s="584">
        <v>0</v>
      </c>
      <c r="CS232" s="584">
        <v>0</v>
      </c>
      <c r="CT232" s="584">
        <v>0</v>
      </c>
      <c r="CU232" s="584">
        <v>0</v>
      </c>
      <c r="CV232" s="584">
        <v>0</v>
      </c>
      <c r="CW232" s="584">
        <v>0</v>
      </c>
      <c r="CX232" s="584">
        <v>0</v>
      </c>
      <c r="CY232" s="584">
        <v>0</v>
      </c>
      <c r="CZ232" s="584">
        <v>0</v>
      </c>
      <c r="DA232" s="584">
        <v>0</v>
      </c>
      <c r="DB232" s="584">
        <v>0</v>
      </c>
      <c r="DC232" s="584">
        <v>0</v>
      </c>
      <c r="DD232" s="584">
        <v>0</v>
      </c>
      <c r="DE232" s="584">
        <v>0</v>
      </c>
      <c r="DF232" s="584">
        <v>0.67500000000000004</v>
      </c>
      <c r="DG232" s="584">
        <v>0.35</v>
      </c>
      <c r="DH232" s="584">
        <v>375.80374031705998</v>
      </c>
      <c r="DI232" s="584">
        <v>18.845753602954399</v>
      </c>
      <c r="DJ232" s="584">
        <v>450</v>
      </c>
      <c r="DK232" s="584">
        <v>0</v>
      </c>
      <c r="DL232" s="584">
        <v>0</v>
      </c>
      <c r="DM232" s="584">
        <v>0</v>
      </c>
      <c r="DN232" s="584">
        <v>0</v>
      </c>
      <c r="DO232" s="584">
        <v>0</v>
      </c>
      <c r="DP232" s="584">
        <v>0</v>
      </c>
      <c r="DQ232" s="584">
        <v>0</v>
      </c>
      <c r="DR232" s="584">
        <v>0.67500000000000004</v>
      </c>
      <c r="DS232" s="584">
        <v>0</v>
      </c>
      <c r="DT232" s="584">
        <v>2.4</v>
      </c>
      <c r="DU232" s="584">
        <v>477.02800000000002</v>
      </c>
      <c r="DV232" s="584">
        <v>144</v>
      </c>
      <c r="DW232" s="584">
        <v>952.67925000000002</v>
      </c>
      <c r="DX232" s="584">
        <v>302.39999999999998</v>
      </c>
      <c r="DY232" s="584">
        <v>1481.3050781249999</v>
      </c>
      <c r="DZ232" s="584">
        <v>633.6</v>
      </c>
      <c r="EA232" s="1062">
        <v>1.3009999999999999</v>
      </c>
      <c r="EB232" s="1046">
        <v>0.35</v>
      </c>
      <c r="EC232" s="1093">
        <v>132.51783893985731</v>
      </c>
      <c r="ED232" s="1046">
        <v>0</v>
      </c>
      <c r="EE232" s="1046">
        <v>458.71559633027522</v>
      </c>
      <c r="EF232" s="1046">
        <v>42.858333333333334</v>
      </c>
      <c r="EG232" s="1046">
        <v>0</v>
      </c>
      <c r="EH232" s="1046">
        <v>0</v>
      </c>
      <c r="EI232" s="1046" t="s">
        <v>362</v>
      </c>
      <c r="EJ232" s="1046" t="s">
        <v>442</v>
      </c>
      <c r="EK232" s="1046">
        <v>0</v>
      </c>
      <c r="EL232" s="1046">
        <v>0</v>
      </c>
      <c r="EM232" s="1046">
        <v>0</v>
      </c>
      <c r="EN232" s="1046">
        <v>0</v>
      </c>
      <c r="EO232" s="1046">
        <v>0</v>
      </c>
      <c r="EP232" s="1094">
        <v>252.73584900000003</v>
      </c>
      <c r="EQ232" s="1094">
        <v>144</v>
      </c>
      <c r="ER232" s="1094">
        <v>505.47169800000006</v>
      </c>
      <c r="ES232" s="1095">
        <v>288</v>
      </c>
      <c r="ET232" s="1094">
        <v>1010.9433960000001</v>
      </c>
      <c r="EU232" s="1094">
        <v>576</v>
      </c>
      <c r="EV232" s="1096">
        <v>1.0604</v>
      </c>
      <c r="EW232" s="1097">
        <v>0.15</v>
      </c>
      <c r="EX232" s="1096">
        <v>289.50050968399592</v>
      </c>
      <c r="EY232" s="1096">
        <v>1.5443934760448521</v>
      </c>
      <c r="EZ232" s="1096">
        <v>0</v>
      </c>
      <c r="FA232" s="1096">
        <v>41.708333333333329</v>
      </c>
      <c r="FB232" s="1098">
        <v>0</v>
      </c>
      <c r="FC232" s="1098">
        <v>0</v>
      </c>
      <c r="FD232" s="1098" t="s">
        <v>373</v>
      </c>
      <c r="FE232" s="1098" t="s">
        <v>430</v>
      </c>
      <c r="FF232" s="1098">
        <v>3</v>
      </c>
      <c r="FG232" s="1098">
        <v>0</v>
      </c>
      <c r="FH232" s="1098">
        <v>0</v>
      </c>
      <c r="FI232" s="1098">
        <v>0</v>
      </c>
      <c r="FJ232" s="1098">
        <v>0</v>
      </c>
      <c r="FK232" s="1096">
        <v>150.27513299999998</v>
      </c>
      <c r="FL232" s="1096">
        <v>144</v>
      </c>
      <c r="FM232" s="1096">
        <v>300.55026599999997</v>
      </c>
      <c r="FN232" s="1096">
        <v>288</v>
      </c>
      <c r="FO232" s="1096">
        <v>601.10053199999993</v>
      </c>
      <c r="FP232" s="1099">
        <v>576</v>
      </c>
      <c r="FQ232" s="1064">
        <v>1.5221399999999998</v>
      </c>
      <c r="FR232" s="1065">
        <v>0.15</v>
      </c>
      <c r="FS232" s="1066">
        <v>289.50050968399586</v>
      </c>
      <c r="FT232" s="1066">
        <v>3.2237153637237084</v>
      </c>
      <c r="FU232" s="1065"/>
      <c r="FV232" s="1066">
        <v>65.889353220809085</v>
      </c>
      <c r="FW232" s="1065"/>
      <c r="FX232" s="1065"/>
      <c r="FY232" s="1065" t="s">
        <v>349</v>
      </c>
      <c r="FZ232" s="1065" t="s">
        <v>436</v>
      </c>
      <c r="GA232" s="1065">
        <v>3</v>
      </c>
      <c r="GB232" s="1065"/>
      <c r="GC232" s="1065"/>
      <c r="GD232" s="1065"/>
      <c r="GE232" s="1065"/>
      <c r="GF232" s="1066">
        <v>155.44797130131357</v>
      </c>
      <c r="GG232" s="1066">
        <v>144</v>
      </c>
      <c r="GH232" s="1066">
        <v>310.89594260262714</v>
      </c>
      <c r="GI232" s="1066">
        <v>288</v>
      </c>
      <c r="GJ232" s="1066">
        <v>621.79188520525429</v>
      </c>
      <c r="GK232" s="1066">
        <v>576</v>
      </c>
      <c r="GL232" s="584">
        <v>1.1003000000000001</v>
      </c>
      <c r="GM232" s="584">
        <v>0.13</v>
      </c>
      <c r="GN232" s="584"/>
      <c r="GO232" s="584"/>
      <c r="GP232" s="584"/>
      <c r="GQ232" s="584">
        <v>66.95</v>
      </c>
      <c r="GR232" s="584"/>
      <c r="GS232" s="584">
        <v>66.2589194699286</v>
      </c>
      <c r="GT232" s="584" t="s">
        <v>351</v>
      </c>
      <c r="GU232" s="584" t="s">
        <v>379</v>
      </c>
      <c r="GV232" s="584">
        <v>2</v>
      </c>
      <c r="GW232" s="584"/>
      <c r="GX232" s="584"/>
      <c r="GY232" s="584"/>
      <c r="GZ232" s="584"/>
      <c r="HA232" s="584">
        <v>75.844061999999994</v>
      </c>
      <c r="HB232" s="584">
        <v>144</v>
      </c>
      <c r="HC232" s="584">
        <v>151.68812399999999</v>
      </c>
      <c r="HD232" s="584">
        <v>288</v>
      </c>
      <c r="HE232" s="584">
        <v>303.37624799999998</v>
      </c>
      <c r="HF232" s="584">
        <v>576</v>
      </c>
      <c r="HG232" s="1100">
        <v>2.0299999999999998</v>
      </c>
      <c r="HH232" s="1100">
        <v>0.11</v>
      </c>
      <c r="HI232" s="1101">
        <v>0</v>
      </c>
      <c r="HJ232" s="1101">
        <v>0</v>
      </c>
      <c r="HK232" s="1101">
        <v>0</v>
      </c>
      <c r="HL232" s="1101">
        <v>0</v>
      </c>
      <c r="HM232" s="1101">
        <v>68.400000000000006</v>
      </c>
      <c r="HN232" s="1101">
        <v>54.999999999999993</v>
      </c>
      <c r="HO232" s="1101">
        <v>0</v>
      </c>
      <c r="HP232" s="1101">
        <v>0</v>
      </c>
      <c r="HQ232" s="1101">
        <v>3</v>
      </c>
      <c r="HR232" s="1101">
        <v>1.92</v>
      </c>
      <c r="HS232" s="1101">
        <v>1.04</v>
      </c>
      <c r="HT232" s="1101">
        <v>0.3</v>
      </c>
      <c r="HU232" s="1101">
        <v>0.3</v>
      </c>
      <c r="HV232" s="1101">
        <v>72.379943999999995</v>
      </c>
      <c r="HW232" s="1101">
        <v>144</v>
      </c>
      <c r="HX232" s="1101">
        <v>144.75988799999999</v>
      </c>
      <c r="HY232" s="1101">
        <v>288</v>
      </c>
      <c r="HZ232" s="1101">
        <v>289.51977599999998</v>
      </c>
      <c r="IA232" s="1101">
        <v>576</v>
      </c>
      <c r="IB232" s="1062"/>
      <c r="ID232" s="1050"/>
      <c r="IE232" s="1050"/>
      <c r="IM232" s="1050"/>
      <c r="IN232" s="1050"/>
      <c r="IO232" s="1050"/>
      <c r="IP232" s="1050"/>
      <c r="JU232" s="1050"/>
      <c r="KC232" s="1050"/>
      <c r="KD232" s="1050"/>
      <c r="KE232" s="1050"/>
      <c r="KF232" s="1050"/>
      <c r="KN232" s="1103"/>
    </row>
    <row r="233" spans="2:300">
      <c r="B233" s="1048" t="str">
        <f t="shared" si="6"/>
        <v>E1213</v>
      </c>
      <c r="C233" s="1046">
        <v>12</v>
      </c>
      <c r="D233" s="1092">
        <v>13</v>
      </c>
      <c r="E233" s="584">
        <v>0.49</v>
      </c>
      <c r="F233" s="584">
        <v>0.49</v>
      </c>
      <c r="G233" s="584">
        <v>1176</v>
      </c>
      <c r="H233" s="584">
        <v>35.28</v>
      </c>
      <c r="I233" s="584">
        <v>0</v>
      </c>
      <c r="J233" s="584">
        <v>0</v>
      </c>
      <c r="K233" s="584">
        <v>0</v>
      </c>
      <c r="L233" s="584">
        <v>0</v>
      </c>
      <c r="M233" s="584">
        <v>0</v>
      </c>
      <c r="N233" s="584">
        <v>0</v>
      </c>
      <c r="O233" s="584">
        <v>0</v>
      </c>
      <c r="P233" s="584">
        <v>0</v>
      </c>
      <c r="Q233" s="584">
        <v>0</v>
      </c>
      <c r="R233" s="584">
        <v>0</v>
      </c>
      <c r="S233" s="584">
        <v>0</v>
      </c>
      <c r="T233" s="584">
        <v>684.34643749999998</v>
      </c>
      <c r="U233" s="584">
        <v>156</v>
      </c>
      <c r="V233" s="584">
        <v>1264.5774375000001</v>
      </c>
      <c r="W233" s="584">
        <v>327.60000000000002</v>
      </c>
      <c r="X233" s="584">
        <v>2253.4284375000002</v>
      </c>
      <c r="Y233" s="584">
        <v>686.4</v>
      </c>
      <c r="Z233" s="584">
        <v>0.39500000000000002</v>
      </c>
      <c r="AA233" s="584">
        <v>0.39500000000000002</v>
      </c>
      <c r="AB233" s="584">
        <v>948</v>
      </c>
      <c r="AC233" s="584">
        <v>33</v>
      </c>
      <c r="AD233" s="584">
        <v>0</v>
      </c>
      <c r="AE233" s="584">
        <v>0</v>
      </c>
      <c r="AF233" s="584">
        <v>0</v>
      </c>
      <c r="AG233" s="584">
        <v>0</v>
      </c>
      <c r="AH233" s="584">
        <v>0</v>
      </c>
      <c r="AI233" s="584">
        <v>0</v>
      </c>
      <c r="AJ233" s="584">
        <v>0</v>
      </c>
      <c r="AK233" s="584">
        <v>0</v>
      </c>
      <c r="AL233" s="584">
        <v>0</v>
      </c>
      <c r="AM233" s="584">
        <v>0</v>
      </c>
      <c r="AN233" s="584">
        <v>0</v>
      </c>
      <c r="AO233" s="584">
        <v>585.68893749999995</v>
      </c>
      <c r="AP233" s="584">
        <v>156</v>
      </c>
      <c r="AQ233" s="584">
        <v>1062.02025</v>
      </c>
      <c r="AR233" s="584">
        <v>327.60000000000002</v>
      </c>
      <c r="AS233" s="584">
        <v>1844.0677499999999</v>
      </c>
      <c r="AT233" s="584">
        <v>686.4</v>
      </c>
      <c r="AU233" s="584">
        <v>0</v>
      </c>
      <c r="AV233" s="584">
        <v>0</v>
      </c>
      <c r="AW233" s="584">
        <v>0</v>
      </c>
      <c r="AX233" s="584">
        <v>0</v>
      </c>
      <c r="AY233" s="584">
        <v>0</v>
      </c>
      <c r="AZ233" s="584">
        <v>0</v>
      </c>
      <c r="BA233" s="584">
        <v>0</v>
      </c>
      <c r="BB233" s="584">
        <v>0</v>
      </c>
      <c r="BC233" s="584">
        <v>0</v>
      </c>
      <c r="BD233" s="584">
        <v>0</v>
      </c>
      <c r="BE233" s="584">
        <v>0</v>
      </c>
      <c r="BF233" s="584">
        <v>0</v>
      </c>
      <c r="BG233" s="584">
        <v>0</v>
      </c>
      <c r="BH233" s="584">
        <v>0</v>
      </c>
      <c r="BI233" s="584">
        <v>0</v>
      </c>
      <c r="BJ233" s="584">
        <v>0</v>
      </c>
      <c r="BK233" s="584">
        <v>0</v>
      </c>
      <c r="BL233" s="584">
        <v>0</v>
      </c>
      <c r="BM233" s="584">
        <v>0</v>
      </c>
      <c r="BN233" s="584">
        <v>0</v>
      </c>
      <c r="BO233" s="584">
        <v>0</v>
      </c>
      <c r="BP233" s="584">
        <v>0</v>
      </c>
      <c r="BQ233" s="584">
        <v>0</v>
      </c>
      <c r="BR233" s="584">
        <v>0</v>
      </c>
      <c r="BS233" s="584">
        <v>0</v>
      </c>
      <c r="BT233" s="584">
        <v>0</v>
      </c>
      <c r="BU233" s="584">
        <v>0</v>
      </c>
      <c r="BV233" s="584">
        <v>0</v>
      </c>
      <c r="BW233" s="584">
        <v>0</v>
      </c>
      <c r="BX233" s="584">
        <v>0</v>
      </c>
      <c r="BY233" s="584">
        <v>0</v>
      </c>
      <c r="BZ233" s="584">
        <v>0</v>
      </c>
      <c r="CA233" s="584">
        <v>0</v>
      </c>
      <c r="CB233" s="584">
        <v>0</v>
      </c>
      <c r="CC233" s="584">
        <v>0</v>
      </c>
      <c r="CD233" s="584">
        <v>0</v>
      </c>
      <c r="CE233" s="584">
        <v>0</v>
      </c>
      <c r="CF233" s="584">
        <v>0</v>
      </c>
      <c r="CG233" s="584">
        <v>0</v>
      </c>
      <c r="CH233" s="584">
        <v>0</v>
      </c>
      <c r="CI233" s="584">
        <v>0</v>
      </c>
      <c r="CJ233" s="584">
        <v>0</v>
      </c>
      <c r="CK233" s="584">
        <v>0</v>
      </c>
      <c r="CL233" s="584">
        <v>0</v>
      </c>
      <c r="CM233" s="584">
        <v>0</v>
      </c>
      <c r="CN233" s="584">
        <v>0</v>
      </c>
      <c r="CO233" s="584">
        <v>0</v>
      </c>
      <c r="CP233" s="584">
        <v>0</v>
      </c>
      <c r="CQ233" s="584">
        <v>0</v>
      </c>
      <c r="CR233" s="584">
        <v>0</v>
      </c>
      <c r="CS233" s="584">
        <v>0</v>
      </c>
      <c r="CT233" s="584">
        <v>0</v>
      </c>
      <c r="CU233" s="584">
        <v>0</v>
      </c>
      <c r="CV233" s="584">
        <v>0</v>
      </c>
      <c r="CW233" s="584">
        <v>0</v>
      </c>
      <c r="CX233" s="584">
        <v>0</v>
      </c>
      <c r="CY233" s="584">
        <v>0</v>
      </c>
      <c r="CZ233" s="584">
        <v>0</v>
      </c>
      <c r="DA233" s="584">
        <v>0</v>
      </c>
      <c r="DB233" s="584">
        <v>0</v>
      </c>
      <c r="DC233" s="584">
        <v>0</v>
      </c>
      <c r="DD233" s="584">
        <v>0</v>
      </c>
      <c r="DE233" s="584">
        <v>0</v>
      </c>
      <c r="DF233" s="584">
        <v>0.75</v>
      </c>
      <c r="DG233" s="584">
        <v>0.35</v>
      </c>
      <c r="DH233" s="584">
        <v>418.75999000999002</v>
      </c>
      <c r="DI233" s="584">
        <v>20.258972402597401</v>
      </c>
      <c r="DJ233" s="584">
        <v>450</v>
      </c>
      <c r="DK233" s="584">
        <v>0</v>
      </c>
      <c r="DL233" s="584">
        <v>0</v>
      </c>
      <c r="DM233" s="584">
        <v>0</v>
      </c>
      <c r="DN233" s="584">
        <v>0</v>
      </c>
      <c r="DO233" s="584">
        <v>0</v>
      </c>
      <c r="DP233" s="584">
        <v>0</v>
      </c>
      <c r="DQ233" s="584">
        <v>0</v>
      </c>
      <c r="DR233" s="584">
        <v>0.75</v>
      </c>
      <c r="DS233" s="584">
        <v>0</v>
      </c>
      <c r="DT233" s="584">
        <v>2.4</v>
      </c>
      <c r="DU233" s="584">
        <v>531.05650000000003</v>
      </c>
      <c r="DV233" s="584">
        <v>156</v>
      </c>
      <c r="DW233" s="584">
        <v>1044.5677499999999</v>
      </c>
      <c r="DX233" s="584">
        <v>327.60000000000002</v>
      </c>
      <c r="DY233" s="584">
        <v>1663.7347500000001</v>
      </c>
      <c r="DZ233" s="584">
        <v>686.4</v>
      </c>
      <c r="EA233" s="1062">
        <v>1.371</v>
      </c>
      <c r="EB233" s="1046">
        <v>0.4</v>
      </c>
      <c r="EC233" s="1093">
        <v>132.51783893985737</v>
      </c>
      <c r="ED233" s="1046">
        <v>0</v>
      </c>
      <c r="EE233" s="1046">
        <v>519.87767584097855</v>
      </c>
      <c r="EF233" s="1046">
        <v>49.011538461538464</v>
      </c>
      <c r="EG233" s="1046">
        <v>0</v>
      </c>
      <c r="EH233" s="1046">
        <v>0</v>
      </c>
      <c r="EI233" s="1046" t="s">
        <v>360</v>
      </c>
      <c r="EJ233" s="1046" t="s">
        <v>423</v>
      </c>
      <c r="EK233" s="1046">
        <v>0</v>
      </c>
      <c r="EL233" s="1046">
        <v>0</v>
      </c>
      <c r="EM233" s="1046">
        <v>0</v>
      </c>
      <c r="EN233" s="1046">
        <v>0</v>
      </c>
      <c r="EO233" s="1046">
        <v>0</v>
      </c>
      <c r="EP233" s="1094">
        <v>299.55132450000002</v>
      </c>
      <c r="EQ233" s="1094">
        <v>156</v>
      </c>
      <c r="ER233" s="1094">
        <v>599.10264900000004</v>
      </c>
      <c r="ES233" s="1095">
        <v>312</v>
      </c>
      <c r="ET233" s="1094">
        <v>1198.2052980000001</v>
      </c>
      <c r="EU233" s="1094">
        <v>624</v>
      </c>
      <c r="EV233" s="1096">
        <v>1.0604</v>
      </c>
      <c r="EW233" s="1097">
        <v>0.15</v>
      </c>
      <c r="EX233" s="1096">
        <v>289.50050968399592</v>
      </c>
      <c r="EY233" s="1096">
        <v>1.5443934760448521</v>
      </c>
      <c r="EZ233" s="1096">
        <v>0</v>
      </c>
      <c r="FA233" s="1096">
        <v>40.271153846153844</v>
      </c>
      <c r="FB233" s="1098">
        <v>0</v>
      </c>
      <c r="FC233" s="1098">
        <v>0</v>
      </c>
      <c r="FD233" s="1098" t="s">
        <v>373</v>
      </c>
      <c r="FE233" s="1098" t="s">
        <v>430</v>
      </c>
      <c r="FF233" s="1098">
        <v>3</v>
      </c>
      <c r="FG233" s="1098">
        <v>0</v>
      </c>
      <c r="FH233" s="1098">
        <v>0</v>
      </c>
      <c r="FI233" s="1098">
        <v>0</v>
      </c>
      <c r="FJ233" s="1098">
        <v>0</v>
      </c>
      <c r="FK233" s="1096">
        <v>162.24821025</v>
      </c>
      <c r="FL233" s="1096">
        <v>156</v>
      </c>
      <c r="FM233" s="1096">
        <v>324.4964205</v>
      </c>
      <c r="FN233" s="1096">
        <v>312</v>
      </c>
      <c r="FO233" s="1096">
        <v>648.992841</v>
      </c>
      <c r="FP233" s="1099">
        <v>624</v>
      </c>
      <c r="FQ233" s="1064">
        <v>1.4547999999999999</v>
      </c>
      <c r="FR233" s="1065">
        <v>0.15</v>
      </c>
      <c r="FS233" s="1066">
        <v>289.50050968399586</v>
      </c>
      <c r="FT233" s="1066">
        <v>3.2237153637237084</v>
      </c>
      <c r="FU233" s="1065"/>
      <c r="FV233" s="1066">
        <v>76.412674920538365</v>
      </c>
      <c r="FW233" s="1065"/>
      <c r="FX233" s="1065"/>
      <c r="FY233" s="1065" t="s">
        <v>1104</v>
      </c>
      <c r="FZ233" s="1065" t="s">
        <v>1102</v>
      </c>
      <c r="GA233" s="1065">
        <v>3</v>
      </c>
      <c r="GB233" s="1065"/>
      <c r="GC233" s="1065"/>
      <c r="GD233" s="1065"/>
      <c r="GE233" s="1065"/>
      <c r="GF233" s="1066">
        <v>172.4280865588558</v>
      </c>
      <c r="GG233" s="1066">
        <v>156</v>
      </c>
      <c r="GH233" s="1066">
        <v>344.85617311771159</v>
      </c>
      <c r="GI233" s="1066">
        <v>312</v>
      </c>
      <c r="GJ233" s="1066">
        <v>689.71234623542318</v>
      </c>
      <c r="GK233" s="1066">
        <v>624</v>
      </c>
      <c r="GL233" s="584">
        <v>1.1101000000000001</v>
      </c>
      <c r="GM233" s="584">
        <v>0.13</v>
      </c>
      <c r="GN233" s="584"/>
      <c r="GO233" s="584"/>
      <c r="GP233" s="584"/>
      <c r="GQ233" s="584">
        <v>79.251923076923106</v>
      </c>
      <c r="GR233" s="584"/>
      <c r="GS233" s="584">
        <v>66.2589194699286</v>
      </c>
      <c r="GT233" s="584" t="s">
        <v>351</v>
      </c>
      <c r="GU233" s="584" t="s">
        <v>349</v>
      </c>
      <c r="GV233" s="584">
        <v>2</v>
      </c>
      <c r="GW233" s="584"/>
      <c r="GX233" s="584"/>
      <c r="GY233" s="584"/>
      <c r="GZ233" s="584"/>
      <c r="HA233" s="584">
        <v>86.870993249999998</v>
      </c>
      <c r="HB233" s="584">
        <v>156</v>
      </c>
      <c r="HC233" s="584">
        <v>173.7419865</v>
      </c>
      <c r="HD233" s="584">
        <v>312</v>
      </c>
      <c r="HE233" s="584">
        <v>347.48397299999999</v>
      </c>
      <c r="HF233" s="584">
        <v>624</v>
      </c>
      <c r="HG233" s="1100">
        <v>2.23</v>
      </c>
      <c r="HH233" s="1100">
        <v>0.11</v>
      </c>
      <c r="HI233" s="1101">
        <v>0</v>
      </c>
      <c r="HJ233" s="1101">
        <v>0</v>
      </c>
      <c r="HK233" s="1101">
        <v>0</v>
      </c>
      <c r="HL233" s="1101">
        <v>0</v>
      </c>
      <c r="HM233" s="1101">
        <v>74.215384615384608</v>
      </c>
      <c r="HN233" s="1101">
        <v>54.999999999999993</v>
      </c>
      <c r="HO233" s="1101">
        <v>0</v>
      </c>
      <c r="HP233" s="1101">
        <v>0</v>
      </c>
      <c r="HQ233" s="1101">
        <v>3</v>
      </c>
      <c r="HR233" s="1101">
        <v>2.12</v>
      </c>
      <c r="HS233" s="1101">
        <v>1.1599999999999999</v>
      </c>
      <c r="HT233" s="1101">
        <v>0.3</v>
      </c>
      <c r="HU233" s="1101">
        <v>0.3</v>
      </c>
      <c r="HV233" s="1101">
        <v>80.636514000000005</v>
      </c>
      <c r="HW233" s="1101">
        <v>156</v>
      </c>
      <c r="HX233" s="1101">
        <v>161.27302800000001</v>
      </c>
      <c r="HY233" s="1101">
        <v>312</v>
      </c>
      <c r="HZ233" s="1101">
        <v>322.54605600000002</v>
      </c>
      <c r="IA233" s="1101">
        <v>624</v>
      </c>
      <c r="IB233" s="1062"/>
      <c r="ID233" s="1050"/>
      <c r="IE233" s="1050"/>
      <c r="IM233" s="1050"/>
      <c r="IN233" s="1050"/>
      <c r="IO233" s="1050"/>
      <c r="IP233" s="1050"/>
      <c r="JU233" s="1050"/>
      <c r="KC233" s="1050"/>
      <c r="KD233" s="1050"/>
      <c r="KE233" s="1050"/>
      <c r="KF233" s="1050"/>
      <c r="KN233" s="1103"/>
    </row>
    <row r="234" spans="2:300">
      <c r="B234" s="1048" t="str">
        <f t="shared" ref="B234:B236" si="7">"E"&amp;C234&amp;D234</f>
        <v>E1214</v>
      </c>
      <c r="C234" s="1046">
        <v>12</v>
      </c>
      <c r="D234" s="1092">
        <v>14</v>
      </c>
      <c r="E234" s="584">
        <v>0</v>
      </c>
      <c r="F234" s="584">
        <v>0</v>
      </c>
      <c r="G234" s="584">
        <v>0</v>
      </c>
      <c r="H234" s="584">
        <v>0</v>
      </c>
      <c r="I234" s="584">
        <v>0</v>
      </c>
      <c r="J234" s="584">
        <v>0</v>
      </c>
      <c r="K234" s="584">
        <v>0</v>
      </c>
      <c r="L234" s="584">
        <v>0</v>
      </c>
      <c r="M234" s="584">
        <v>0</v>
      </c>
      <c r="N234" s="584">
        <v>0</v>
      </c>
      <c r="O234" s="584">
        <v>0</v>
      </c>
      <c r="P234" s="584">
        <v>0</v>
      </c>
      <c r="Q234" s="584">
        <v>0</v>
      </c>
      <c r="R234" s="584">
        <v>0</v>
      </c>
      <c r="S234" s="584">
        <v>0</v>
      </c>
      <c r="T234" s="584">
        <v>0</v>
      </c>
      <c r="U234" s="584">
        <v>0</v>
      </c>
      <c r="V234" s="584">
        <v>0</v>
      </c>
      <c r="W234" s="584">
        <v>0</v>
      </c>
      <c r="X234" s="584">
        <v>0</v>
      </c>
      <c r="Y234" s="584">
        <v>0</v>
      </c>
      <c r="Z234" s="584">
        <v>0</v>
      </c>
      <c r="AA234" s="584">
        <v>0</v>
      </c>
      <c r="AB234" s="584">
        <v>0</v>
      </c>
      <c r="AC234" s="584">
        <v>0</v>
      </c>
      <c r="AD234" s="584">
        <v>0</v>
      </c>
      <c r="AE234" s="584">
        <v>0</v>
      </c>
      <c r="AF234" s="584">
        <v>0</v>
      </c>
      <c r="AG234" s="584">
        <v>0</v>
      </c>
      <c r="AH234" s="584">
        <v>0</v>
      </c>
      <c r="AI234" s="584">
        <v>0</v>
      </c>
      <c r="AJ234" s="584">
        <v>0</v>
      </c>
      <c r="AK234" s="584">
        <v>0</v>
      </c>
      <c r="AL234" s="584">
        <v>0</v>
      </c>
      <c r="AM234" s="584">
        <v>0</v>
      </c>
      <c r="AN234" s="584">
        <v>0</v>
      </c>
      <c r="AO234" s="584">
        <v>0</v>
      </c>
      <c r="AP234" s="584">
        <v>0</v>
      </c>
      <c r="AQ234" s="584">
        <v>0</v>
      </c>
      <c r="AR234" s="584">
        <v>0</v>
      </c>
      <c r="AS234" s="584">
        <v>0</v>
      </c>
      <c r="AT234" s="584">
        <v>0</v>
      </c>
      <c r="AU234" s="584">
        <v>0</v>
      </c>
      <c r="AV234" s="584">
        <v>0</v>
      </c>
      <c r="AW234" s="584">
        <v>0</v>
      </c>
      <c r="AX234" s="584">
        <v>0</v>
      </c>
      <c r="AY234" s="584">
        <v>0</v>
      </c>
      <c r="AZ234" s="584">
        <v>0</v>
      </c>
      <c r="BA234" s="584">
        <v>0</v>
      </c>
      <c r="BB234" s="584">
        <v>0</v>
      </c>
      <c r="BC234" s="584">
        <v>0</v>
      </c>
      <c r="BD234" s="584">
        <v>0</v>
      </c>
      <c r="BE234" s="584">
        <v>0</v>
      </c>
      <c r="BF234" s="584">
        <v>0</v>
      </c>
      <c r="BG234" s="584">
        <v>0</v>
      </c>
      <c r="BH234" s="584">
        <v>0</v>
      </c>
      <c r="BI234" s="584">
        <v>0</v>
      </c>
      <c r="BJ234" s="584">
        <v>0</v>
      </c>
      <c r="BK234" s="584">
        <v>0</v>
      </c>
      <c r="BL234" s="584">
        <v>0</v>
      </c>
      <c r="BM234" s="584">
        <v>0</v>
      </c>
      <c r="BN234" s="584">
        <v>0</v>
      </c>
      <c r="BO234" s="584">
        <v>0</v>
      </c>
      <c r="BP234" s="584">
        <v>0</v>
      </c>
      <c r="BQ234" s="584">
        <v>0</v>
      </c>
      <c r="BR234" s="584">
        <v>0</v>
      </c>
      <c r="BS234" s="584">
        <v>0</v>
      </c>
      <c r="BT234" s="584">
        <v>0</v>
      </c>
      <c r="BU234" s="584">
        <v>0</v>
      </c>
      <c r="BV234" s="584">
        <v>0</v>
      </c>
      <c r="BW234" s="584">
        <v>0</v>
      </c>
      <c r="BX234" s="584">
        <v>0</v>
      </c>
      <c r="BY234" s="584">
        <v>0</v>
      </c>
      <c r="BZ234" s="584">
        <v>0</v>
      </c>
      <c r="CA234" s="584">
        <v>0</v>
      </c>
      <c r="CB234" s="584">
        <v>0</v>
      </c>
      <c r="CC234" s="584">
        <v>0</v>
      </c>
      <c r="CD234" s="584">
        <v>0</v>
      </c>
      <c r="CE234" s="584">
        <v>0</v>
      </c>
      <c r="CF234" s="584">
        <v>0</v>
      </c>
      <c r="CG234" s="584">
        <v>0</v>
      </c>
      <c r="CH234" s="584">
        <v>0</v>
      </c>
      <c r="CI234" s="584">
        <v>0</v>
      </c>
      <c r="CJ234" s="584">
        <v>0</v>
      </c>
      <c r="CK234" s="584">
        <v>0</v>
      </c>
      <c r="CL234" s="584">
        <v>0</v>
      </c>
      <c r="CM234" s="584">
        <v>0</v>
      </c>
      <c r="CN234" s="584">
        <v>0</v>
      </c>
      <c r="CO234" s="584">
        <v>0</v>
      </c>
      <c r="CP234" s="584">
        <v>0</v>
      </c>
      <c r="CQ234" s="584">
        <v>0</v>
      </c>
      <c r="CR234" s="584">
        <v>0</v>
      </c>
      <c r="CS234" s="584">
        <v>0</v>
      </c>
      <c r="CT234" s="584">
        <v>0</v>
      </c>
      <c r="CU234" s="584">
        <v>0</v>
      </c>
      <c r="CV234" s="584">
        <v>0</v>
      </c>
      <c r="CW234" s="584">
        <v>0</v>
      </c>
      <c r="CX234" s="584">
        <v>0</v>
      </c>
      <c r="CY234" s="584">
        <v>0</v>
      </c>
      <c r="CZ234" s="584">
        <v>0</v>
      </c>
      <c r="DA234" s="584">
        <v>0</v>
      </c>
      <c r="DB234" s="584">
        <v>0</v>
      </c>
      <c r="DC234" s="584">
        <v>0</v>
      </c>
      <c r="DD234" s="584">
        <v>0</v>
      </c>
      <c r="DE234" s="584">
        <v>0</v>
      </c>
      <c r="DF234" s="584">
        <v>0</v>
      </c>
      <c r="DG234" s="584">
        <v>0</v>
      </c>
      <c r="DH234" s="584">
        <v>0</v>
      </c>
      <c r="DI234" s="584">
        <v>0</v>
      </c>
      <c r="DJ234" s="584">
        <v>0</v>
      </c>
      <c r="DK234" s="584">
        <v>0</v>
      </c>
      <c r="DL234" s="584">
        <v>0</v>
      </c>
      <c r="DM234" s="584">
        <v>0</v>
      </c>
      <c r="DN234" s="584">
        <v>0</v>
      </c>
      <c r="DO234" s="584">
        <v>0</v>
      </c>
      <c r="DP234" s="584">
        <v>0</v>
      </c>
      <c r="DQ234" s="584">
        <v>0</v>
      </c>
      <c r="DR234" s="584">
        <v>0</v>
      </c>
      <c r="DS234" s="584">
        <v>0</v>
      </c>
      <c r="DT234" s="584">
        <v>0</v>
      </c>
      <c r="DU234" s="584">
        <v>0</v>
      </c>
      <c r="DV234" s="584">
        <v>0</v>
      </c>
      <c r="DW234" s="584">
        <v>0</v>
      </c>
      <c r="DX234" s="584">
        <v>0</v>
      </c>
      <c r="DY234" s="584">
        <v>0</v>
      </c>
      <c r="DZ234" s="584">
        <v>0</v>
      </c>
      <c r="EA234" s="1062">
        <v>1.431</v>
      </c>
      <c r="EB234" s="1046">
        <v>0.45</v>
      </c>
      <c r="EC234" s="1093">
        <v>132.51783893985726</v>
      </c>
      <c r="ED234" s="1046">
        <v>0</v>
      </c>
      <c r="EE234" s="1046">
        <v>581.03975535168195</v>
      </c>
      <c r="EF234" s="1046">
        <v>55.44761904761905</v>
      </c>
      <c r="EG234" s="1046">
        <v>0</v>
      </c>
      <c r="EH234" s="1046">
        <v>0</v>
      </c>
      <c r="EI234" s="1046" t="s">
        <v>359</v>
      </c>
      <c r="EJ234" s="1046" t="s">
        <v>420</v>
      </c>
      <c r="EK234" s="1046">
        <v>0</v>
      </c>
      <c r="EL234" s="1046">
        <v>0</v>
      </c>
      <c r="EM234" s="1046">
        <v>0</v>
      </c>
      <c r="EN234" s="1046">
        <v>0</v>
      </c>
      <c r="EO234" s="1046">
        <v>0</v>
      </c>
      <c r="EP234" s="1094">
        <v>350.44552800000002</v>
      </c>
      <c r="EQ234" s="1094">
        <v>168</v>
      </c>
      <c r="ER234" s="1094">
        <v>700.89105600000005</v>
      </c>
      <c r="ES234" s="1095">
        <v>336</v>
      </c>
      <c r="ET234" s="1094">
        <v>1401.7821120000001</v>
      </c>
      <c r="EU234" s="1094">
        <v>672</v>
      </c>
      <c r="EV234" s="1096">
        <v>1.1300999999999999</v>
      </c>
      <c r="EW234" s="1097">
        <v>0.15</v>
      </c>
      <c r="EX234" s="1096">
        <v>289.50050968399592</v>
      </c>
      <c r="EY234" s="1096">
        <v>1.5443934760448521</v>
      </c>
      <c r="EZ234" s="1096">
        <v>0</v>
      </c>
      <c r="FA234" s="1096">
        <v>43.06428571428571</v>
      </c>
      <c r="FB234" s="1098">
        <v>0</v>
      </c>
      <c r="FC234" s="1098">
        <v>0</v>
      </c>
      <c r="FD234" s="1098" t="s">
        <v>349</v>
      </c>
      <c r="FE234" s="1098" t="s">
        <v>410</v>
      </c>
      <c r="FF234" s="1098">
        <v>3</v>
      </c>
      <c r="FG234" s="1098">
        <v>0</v>
      </c>
      <c r="FH234" s="1098">
        <v>0</v>
      </c>
      <c r="FI234" s="1098">
        <v>0</v>
      </c>
      <c r="FJ234" s="1098">
        <v>0</v>
      </c>
      <c r="FK234" s="1096">
        <v>175.87966799999998</v>
      </c>
      <c r="FL234" s="1096">
        <v>168</v>
      </c>
      <c r="FM234" s="1096">
        <v>351.75933599999996</v>
      </c>
      <c r="FN234" s="1096">
        <v>336</v>
      </c>
      <c r="FO234" s="1096">
        <v>703.51867199999992</v>
      </c>
      <c r="FP234" s="1099">
        <v>672</v>
      </c>
      <c r="FQ234" s="1064">
        <v>1.5611999999999999</v>
      </c>
      <c r="FR234" s="1065">
        <v>0.15</v>
      </c>
      <c r="FS234" s="1066">
        <v>289.50050968399586</v>
      </c>
      <c r="FT234" s="1066">
        <v>3.2237153637237084</v>
      </c>
      <c r="FU234" s="1065"/>
      <c r="FV234" s="1066">
        <v>84.989421255552443</v>
      </c>
      <c r="FW234" s="1065"/>
      <c r="FX234" s="1065"/>
      <c r="FY234" s="1065" t="s">
        <v>343</v>
      </c>
      <c r="FZ234" s="1065" t="s">
        <v>408</v>
      </c>
      <c r="GA234" s="1065">
        <v>3</v>
      </c>
      <c r="GB234" s="1065"/>
      <c r="GC234" s="1065"/>
      <c r="GD234" s="1065"/>
      <c r="GE234" s="1065"/>
      <c r="GF234" s="1066">
        <v>189.22557654987415</v>
      </c>
      <c r="GG234" s="1066">
        <v>168</v>
      </c>
      <c r="GH234" s="1066">
        <v>378.4511530997483</v>
      </c>
      <c r="GI234" s="1066">
        <v>336</v>
      </c>
      <c r="GJ234" s="1066">
        <v>756.90230619949659</v>
      </c>
      <c r="GK234" s="1066">
        <v>672</v>
      </c>
      <c r="GL234" s="584">
        <v>1.1201000000000001</v>
      </c>
      <c r="GM234" s="584">
        <v>0.13</v>
      </c>
      <c r="GN234" s="584"/>
      <c r="GO234" s="584"/>
      <c r="GP234" s="584"/>
      <c r="GQ234" s="584">
        <v>85.839285714285694</v>
      </c>
      <c r="GR234" s="584"/>
      <c r="GS234" s="584">
        <v>66.2589194699286</v>
      </c>
      <c r="GT234" s="584" t="s">
        <v>349</v>
      </c>
      <c r="GU234" s="584" t="s">
        <v>347</v>
      </c>
      <c r="GV234" s="584">
        <v>2</v>
      </c>
      <c r="GW234" s="584"/>
      <c r="GX234" s="584"/>
      <c r="GY234" s="584"/>
      <c r="GZ234" s="584"/>
      <c r="HA234" s="584">
        <v>96.267502500000006</v>
      </c>
      <c r="HB234" s="584">
        <v>168</v>
      </c>
      <c r="HC234" s="584">
        <v>192.53500500000001</v>
      </c>
      <c r="HD234" s="584">
        <v>336</v>
      </c>
      <c r="HE234" s="584">
        <v>385.07001000000002</v>
      </c>
      <c r="HF234" s="584">
        <v>672</v>
      </c>
      <c r="HG234" s="1100">
        <v>2.3899999999999997</v>
      </c>
      <c r="HH234" s="1100">
        <v>0.11</v>
      </c>
      <c r="HI234" s="1101">
        <v>0</v>
      </c>
      <c r="HJ234" s="1101">
        <v>0</v>
      </c>
      <c r="HK234" s="1101">
        <v>0</v>
      </c>
      <c r="HL234" s="1101">
        <v>0</v>
      </c>
      <c r="HM234" s="1101">
        <v>79.585714285714289</v>
      </c>
      <c r="HN234" s="1101">
        <v>54.999999999999993</v>
      </c>
      <c r="HO234" s="1101">
        <v>0</v>
      </c>
      <c r="HP234" s="1101">
        <v>0</v>
      </c>
      <c r="HQ234" s="1101">
        <v>3</v>
      </c>
      <c r="HR234" s="1101">
        <v>2.2799999999999998</v>
      </c>
      <c r="HS234" s="1101">
        <v>1.28</v>
      </c>
      <c r="HT234" s="1101">
        <v>0.3</v>
      </c>
      <c r="HU234" s="1101">
        <v>0.3</v>
      </c>
      <c r="HV234" s="1101">
        <v>89.052006000000006</v>
      </c>
      <c r="HW234" s="1101">
        <v>168</v>
      </c>
      <c r="HX234" s="1101">
        <v>178.10401200000001</v>
      </c>
      <c r="HY234" s="1101">
        <v>336</v>
      </c>
      <c r="HZ234" s="1101">
        <v>356.20802400000002</v>
      </c>
      <c r="IA234" s="1101">
        <v>672</v>
      </c>
      <c r="IB234" s="1062"/>
      <c r="ID234" s="1050"/>
      <c r="IE234" s="1050"/>
      <c r="IM234" s="1050"/>
      <c r="IN234" s="1050"/>
      <c r="IO234" s="1050"/>
      <c r="IP234" s="1050"/>
      <c r="JU234" s="1050"/>
      <c r="KC234" s="1050"/>
      <c r="KD234" s="1050"/>
      <c r="KE234" s="1050"/>
      <c r="KF234" s="1050"/>
      <c r="KN234" s="1103"/>
    </row>
    <row r="235" spans="2:300">
      <c r="B235" s="1048" t="str">
        <f t="shared" si="7"/>
        <v>E1215</v>
      </c>
      <c r="C235" s="1046">
        <v>12</v>
      </c>
      <c r="D235" s="1092">
        <v>15</v>
      </c>
      <c r="E235" s="584">
        <v>0</v>
      </c>
      <c r="F235" s="584">
        <v>0</v>
      </c>
      <c r="G235" s="584">
        <v>0</v>
      </c>
      <c r="H235" s="584">
        <v>0</v>
      </c>
      <c r="I235" s="584">
        <v>0</v>
      </c>
      <c r="J235" s="584">
        <v>0</v>
      </c>
      <c r="K235" s="584">
        <v>0</v>
      </c>
      <c r="L235" s="584">
        <v>0</v>
      </c>
      <c r="M235" s="584">
        <v>0</v>
      </c>
      <c r="N235" s="584">
        <v>0</v>
      </c>
      <c r="O235" s="584">
        <v>0</v>
      </c>
      <c r="P235" s="584">
        <v>0</v>
      </c>
      <c r="Q235" s="584">
        <v>0</v>
      </c>
      <c r="R235" s="584">
        <v>0</v>
      </c>
      <c r="S235" s="584">
        <v>0</v>
      </c>
      <c r="T235" s="584">
        <v>0</v>
      </c>
      <c r="U235" s="584">
        <v>0</v>
      </c>
      <c r="V235" s="584">
        <v>0</v>
      </c>
      <c r="W235" s="584">
        <v>0</v>
      </c>
      <c r="X235" s="584">
        <v>0</v>
      </c>
      <c r="Y235" s="584">
        <v>0</v>
      </c>
      <c r="Z235" s="584">
        <v>0</v>
      </c>
      <c r="AA235" s="584">
        <v>0</v>
      </c>
      <c r="AB235" s="584">
        <v>0</v>
      </c>
      <c r="AC235" s="584">
        <v>0</v>
      </c>
      <c r="AD235" s="584">
        <v>0</v>
      </c>
      <c r="AE235" s="584">
        <v>0</v>
      </c>
      <c r="AF235" s="584">
        <v>0</v>
      </c>
      <c r="AG235" s="584">
        <v>0</v>
      </c>
      <c r="AH235" s="584">
        <v>0</v>
      </c>
      <c r="AI235" s="584">
        <v>0</v>
      </c>
      <c r="AJ235" s="584">
        <v>0</v>
      </c>
      <c r="AK235" s="584">
        <v>0</v>
      </c>
      <c r="AL235" s="584">
        <v>0</v>
      </c>
      <c r="AM235" s="584">
        <v>0</v>
      </c>
      <c r="AN235" s="584">
        <v>0</v>
      </c>
      <c r="AO235" s="584">
        <v>0</v>
      </c>
      <c r="AP235" s="584">
        <v>0</v>
      </c>
      <c r="AQ235" s="584">
        <v>0</v>
      </c>
      <c r="AR235" s="584">
        <v>0</v>
      </c>
      <c r="AS235" s="584">
        <v>0</v>
      </c>
      <c r="AT235" s="584">
        <v>0</v>
      </c>
      <c r="AU235" s="584">
        <v>0</v>
      </c>
      <c r="AV235" s="584">
        <v>0</v>
      </c>
      <c r="AW235" s="584">
        <v>0</v>
      </c>
      <c r="AX235" s="584">
        <v>0</v>
      </c>
      <c r="AY235" s="584">
        <v>0</v>
      </c>
      <c r="AZ235" s="584">
        <v>0</v>
      </c>
      <c r="BA235" s="584">
        <v>0</v>
      </c>
      <c r="BB235" s="584">
        <v>0</v>
      </c>
      <c r="BC235" s="584">
        <v>0</v>
      </c>
      <c r="BD235" s="584">
        <v>0</v>
      </c>
      <c r="BE235" s="584">
        <v>0</v>
      </c>
      <c r="BF235" s="584">
        <v>0</v>
      </c>
      <c r="BG235" s="584">
        <v>0</v>
      </c>
      <c r="BH235" s="584">
        <v>0</v>
      </c>
      <c r="BI235" s="584">
        <v>0</v>
      </c>
      <c r="BJ235" s="584">
        <v>0</v>
      </c>
      <c r="BK235" s="584">
        <v>0</v>
      </c>
      <c r="BL235" s="584">
        <v>0</v>
      </c>
      <c r="BM235" s="584">
        <v>0</v>
      </c>
      <c r="BN235" s="584">
        <v>0</v>
      </c>
      <c r="BO235" s="584">
        <v>0</v>
      </c>
      <c r="BP235" s="584">
        <v>0</v>
      </c>
      <c r="BQ235" s="584">
        <v>0</v>
      </c>
      <c r="BR235" s="584">
        <v>0</v>
      </c>
      <c r="BS235" s="584">
        <v>0</v>
      </c>
      <c r="BT235" s="584">
        <v>0</v>
      </c>
      <c r="BU235" s="584">
        <v>0</v>
      </c>
      <c r="BV235" s="584">
        <v>0</v>
      </c>
      <c r="BW235" s="584">
        <v>0</v>
      </c>
      <c r="BX235" s="584">
        <v>0</v>
      </c>
      <c r="BY235" s="584">
        <v>0</v>
      </c>
      <c r="BZ235" s="584">
        <v>0</v>
      </c>
      <c r="CA235" s="584">
        <v>0</v>
      </c>
      <c r="CB235" s="584">
        <v>0</v>
      </c>
      <c r="CC235" s="584">
        <v>0</v>
      </c>
      <c r="CD235" s="584">
        <v>0</v>
      </c>
      <c r="CE235" s="584">
        <v>0</v>
      </c>
      <c r="CF235" s="584">
        <v>0</v>
      </c>
      <c r="CG235" s="584">
        <v>0</v>
      </c>
      <c r="CH235" s="584">
        <v>0</v>
      </c>
      <c r="CI235" s="584">
        <v>0</v>
      </c>
      <c r="CJ235" s="584">
        <v>0</v>
      </c>
      <c r="CK235" s="584">
        <v>0</v>
      </c>
      <c r="CL235" s="584">
        <v>0</v>
      </c>
      <c r="CM235" s="584">
        <v>0</v>
      </c>
      <c r="CN235" s="584">
        <v>0</v>
      </c>
      <c r="CO235" s="584">
        <v>0</v>
      </c>
      <c r="CP235" s="584">
        <v>0</v>
      </c>
      <c r="CQ235" s="584">
        <v>0</v>
      </c>
      <c r="CR235" s="584">
        <v>0</v>
      </c>
      <c r="CS235" s="584">
        <v>0</v>
      </c>
      <c r="CT235" s="584">
        <v>0</v>
      </c>
      <c r="CU235" s="584">
        <v>0</v>
      </c>
      <c r="CV235" s="584">
        <v>0</v>
      </c>
      <c r="CW235" s="584">
        <v>0</v>
      </c>
      <c r="CX235" s="584">
        <v>0</v>
      </c>
      <c r="CY235" s="584">
        <v>0</v>
      </c>
      <c r="CZ235" s="584">
        <v>0</v>
      </c>
      <c r="DA235" s="584">
        <v>0</v>
      </c>
      <c r="DB235" s="584">
        <v>0</v>
      </c>
      <c r="DC235" s="584">
        <v>0</v>
      </c>
      <c r="DD235" s="584">
        <v>0</v>
      </c>
      <c r="DE235" s="584">
        <v>0</v>
      </c>
      <c r="DF235" s="584">
        <v>0</v>
      </c>
      <c r="DG235" s="584">
        <v>0</v>
      </c>
      <c r="DH235" s="584">
        <v>0</v>
      </c>
      <c r="DI235" s="584">
        <v>0</v>
      </c>
      <c r="DJ235" s="584">
        <v>0</v>
      </c>
      <c r="DK235" s="584">
        <v>0</v>
      </c>
      <c r="DL235" s="584">
        <v>0</v>
      </c>
      <c r="DM235" s="584">
        <v>0</v>
      </c>
      <c r="DN235" s="584">
        <v>0</v>
      </c>
      <c r="DO235" s="584">
        <v>0</v>
      </c>
      <c r="DP235" s="584">
        <v>0</v>
      </c>
      <c r="DQ235" s="584">
        <v>0</v>
      </c>
      <c r="DR235" s="584">
        <v>0</v>
      </c>
      <c r="DS235" s="584">
        <v>0</v>
      </c>
      <c r="DT235" s="584">
        <v>0</v>
      </c>
      <c r="DU235" s="584">
        <v>0</v>
      </c>
      <c r="DV235" s="584">
        <v>0</v>
      </c>
      <c r="DW235" s="584">
        <v>0</v>
      </c>
      <c r="DX235" s="584">
        <v>0</v>
      </c>
      <c r="DY235" s="584">
        <v>0</v>
      </c>
      <c r="DZ235" s="584">
        <v>0</v>
      </c>
      <c r="EA235" s="1062">
        <v>0</v>
      </c>
      <c r="EB235" s="1046">
        <v>0</v>
      </c>
      <c r="EC235" s="1093">
        <v>0</v>
      </c>
      <c r="ED235" s="1046">
        <v>0</v>
      </c>
      <c r="EE235" s="1046">
        <v>0</v>
      </c>
      <c r="EF235" s="1046">
        <v>0</v>
      </c>
      <c r="EG235" s="1046">
        <v>0</v>
      </c>
      <c r="EH235" s="1046">
        <v>0</v>
      </c>
      <c r="EI235" s="1046">
        <v>0</v>
      </c>
      <c r="EJ235" s="1046">
        <v>0</v>
      </c>
      <c r="EK235" s="1046">
        <v>0</v>
      </c>
      <c r="EL235" s="1046">
        <v>0</v>
      </c>
      <c r="EM235" s="1046">
        <v>0</v>
      </c>
      <c r="EN235" s="1046">
        <v>0</v>
      </c>
      <c r="EO235" s="1046">
        <v>0</v>
      </c>
      <c r="EP235" s="1094">
        <v>0</v>
      </c>
      <c r="EQ235" s="1094">
        <v>0</v>
      </c>
      <c r="ER235" s="1094">
        <v>0</v>
      </c>
      <c r="ES235" s="1095">
        <v>0</v>
      </c>
      <c r="ET235" s="1094">
        <v>0</v>
      </c>
      <c r="EU235" s="1094">
        <v>0</v>
      </c>
      <c r="EV235" s="1096">
        <v>1.1300999999999999</v>
      </c>
      <c r="EW235" s="1097">
        <v>0.15</v>
      </c>
      <c r="EX235" s="1096">
        <v>289.50050968399592</v>
      </c>
      <c r="EY235" s="1096">
        <v>1.5443934760448521</v>
      </c>
      <c r="EZ235" s="1096">
        <v>0</v>
      </c>
      <c r="FA235" s="1096">
        <v>44.83</v>
      </c>
      <c r="FB235" s="1098">
        <v>0</v>
      </c>
      <c r="FC235" s="1098">
        <v>0</v>
      </c>
      <c r="FD235" s="1098" t="s">
        <v>349</v>
      </c>
      <c r="FE235" s="1098" t="s">
        <v>408</v>
      </c>
      <c r="FF235" s="1098">
        <v>3</v>
      </c>
      <c r="FG235" s="1098">
        <v>0</v>
      </c>
      <c r="FH235" s="1098">
        <v>0</v>
      </c>
      <c r="FI235" s="1098">
        <v>0</v>
      </c>
      <c r="FJ235" s="1098">
        <v>0</v>
      </c>
      <c r="FK235" s="1096">
        <v>189.22197599999998</v>
      </c>
      <c r="FL235" s="1096">
        <v>180</v>
      </c>
      <c r="FM235" s="1096">
        <v>378.44395199999997</v>
      </c>
      <c r="FN235" s="1096">
        <v>360</v>
      </c>
      <c r="FO235" s="1096">
        <v>756.88790399999993</v>
      </c>
      <c r="FP235" s="1099">
        <v>720</v>
      </c>
      <c r="FQ235" s="1064">
        <v>1.57226</v>
      </c>
      <c r="FR235" s="1065">
        <v>0.15</v>
      </c>
      <c r="FS235" s="1066">
        <v>289.50050968399586</v>
      </c>
      <c r="FT235" s="1066">
        <v>3.2237153637237084</v>
      </c>
      <c r="FU235" s="1065"/>
      <c r="FV235" s="1066">
        <v>91.135890393852563</v>
      </c>
      <c r="FW235" s="1065"/>
      <c r="FX235" s="1065"/>
      <c r="FY235" s="1065" t="s">
        <v>341</v>
      </c>
      <c r="FZ235" s="1065" t="s">
        <v>396</v>
      </c>
      <c r="GA235" s="1065">
        <v>3</v>
      </c>
      <c r="GB235" s="1065"/>
      <c r="GC235" s="1065"/>
      <c r="GD235" s="1065"/>
      <c r="GE235" s="1065"/>
      <c r="GF235" s="1066">
        <v>205.45504796168203</v>
      </c>
      <c r="GG235" s="1066">
        <v>180</v>
      </c>
      <c r="GH235" s="1066">
        <v>410.91009592336405</v>
      </c>
      <c r="GI235" s="1066">
        <v>360</v>
      </c>
      <c r="GJ235" s="1066">
        <v>821.82019184672811</v>
      </c>
      <c r="GK235" s="1066">
        <v>720</v>
      </c>
      <c r="GL235" s="584">
        <v>1.1298999999999999</v>
      </c>
      <c r="GM235" s="584">
        <v>0.13</v>
      </c>
      <c r="GN235" s="584"/>
      <c r="GO235" s="584"/>
      <c r="GP235" s="584"/>
      <c r="GQ235" s="584">
        <v>96.728333333333296</v>
      </c>
      <c r="GR235" s="584"/>
      <c r="GS235" s="584">
        <v>66.2589194699286</v>
      </c>
      <c r="GT235" s="584" t="s">
        <v>347</v>
      </c>
      <c r="GU235" s="584" t="s">
        <v>345</v>
      </c>
      <c r="GV235" s="584">
        <v>2</v>
      </c>
      <c r="GW235" s="584"/>
      <c r="GX235" s="584"/>
      <c r="GY235" s="584"/>
      <c r="GZ235" s="584"/>
      <c r="HA235" s="584">
        <v>107.95072275</v>
      </c>
      <c r="HB235" s="584">
        <v>180</v>
      </c>
      <c r="HC235" s="584">
        <v>215.90144549999999</v>
      </c>
      <c r="HD235" s="584">
        <v>360</v>
      </c>
      <c r="HE235" s="584">
        <v>431.80289099999999</v>
      </c>
      <c r="HF235" s="584">
        <v>720</v>
      </c>
      <c r="HG235" s="1100">
        <v>0</v>
      </c>
      <c r="HH235" s="1100">
        <v>0</v>
      </c>
      <c r="HI235" s="1101">
        <v>0</v>
      </c>
      <c r="HJ235" s="1101">
        <v>0</v>
      </c>
      <c r="HK235" s="1101">
        <v>0</v>
      </c>
      <c r="HL235" s="1101">
        <v>0</v>
      </c>
      <c r="HM235" s="1101">
        <v>0</v>
      </c>
      <c r="HN235" s="1101">
        <v>0</v>
      </c>
      <c r="HO235" s="1101">
        <v>0</v>
      </c>
      <c r="HP235" s="1101">
        <v>0</v>
      </c>
      <c r="HQ235" s="1101">
        <v>0</v>
      </c>
      <c r="HR235" s="1101">
        <v>0</v>
      </c>
      <c r="HS235" s="1101">
        <v>0</v>
      </c>
      <c r="HT235" s="1101">
        <v>0</v>
      </c>
      <c r="HU235" s="1101">
        <v>0</v>
      </c>
      <c r="HV235" s="1101">
        <v>0</v>
      </c>
      <c r="HW235" s="1101">
        <v>0</v>
      </c>
      <c r="HX235" s="1101">
        <v>0</v>
      </c>
      <c r="HY235" s="1101">
        <v>0</v>
      </c>
      <c r="HZ235" s="1101">
        <v>0</v>
      </c>
      <c r="IA235" s="1101">
        <v>0</v>
      </c>
      <c r="IB235" s="1062"/>
      <c r="ID235" s="1050"/>
      <c r="IE235" s="1050"/>
      <c r="IM235" s="1050"/>
      <c r="IN235" s="1050"/>
      <c r="IO235" s="1050"/>
      <c r="IP235" s="1050"/>
      <c r="JU235" s="1050"/>
      <c r="KC235" s="1050"/>
      <c r="KD235" s="1050"/>
      <c r="KE235" s="1050"/>
      <c r="KF235" s="1050"/>
      <c r="KN235" s="1103"/>
    </row>
    <row r="236" spans="2:300">
      <c r="B236" s="1048" t="str">
        <f t="shared" si="7"/>
        <v>E1216</v>
      </c>
      <c r="C236" s="1046">
        <v>12</v>
      </c>
      <c r="D236" s="1092">
        <v>16</v>
      </c>
      <c r="E236" s="584">
        <v>0</v>
      </c>
      <c r="F236" s="584">
        <v>0</v>
      </c>
      <c r="G236" s="584">
        <v>0</v>
      </c>
      <c r="H236" s="584">
        <v>0</v>
      </c>
      <c r="I236" s="584">
        <v>0</v>
      </c>
      <c r="J236" s="584">
        <v>0</v>
      </c>
      <c r="K236" s="584">
        <v>0</v>
      </c>
      <c r="L236" s="584">
        <v>0</v>
      </c>
      <c r="M236" s="584">
        <v>0</v>
      </c>
      <c r="N236" s="584">
        <v>0</v>
      </c>
      <c r="O236" s="584">
        <v>0</v>
      </c>
      <c r="P236" s="584">
        <v>0</v>
      </c>
      <c r="Q236" s="584">
        <v>0</v>
      </c>
      <c r="R236" s="584">
        <v>0</v>
      </c>
      <c r="S236" s="584">
        <v>0</v>
      </c>
      <c r="T236" s="584">
        <v>0</v>
      </c>
      <c r="U236" s="584">
        <v>0</v>
      </c>
      <c r="V236" s="584">
        <v>0</v>
      </c>
      <c r="W236" s="584">
        <v>0</v>
      </c>
      <c r="X236" s="584">
        <v>0</v>
      </c>
      <c r="Y236" s="584">
        <v>0</v>
      </c>
      <c r="Z236" s="584">
        <v>0</v>
      </c>
      <c r="AA236" s="584">
        <v>0</v>
      </c>
      <c r="AB236" s="584">
        <v>0</v>
      </c>
      <c r="AC236" s="584">
        <v>0</v>
      </c>
      <c r="AD236" s="584">
        <v>0</v>
      </c>
      <c r="AE236" s="584">
        <v>0</v>
      </c>
      <c r="AF236" s="584">
        <v>0</v>
      </c>
      <c r="AG236" s="584">
        <v>0</v>
      </c>
      <c r="AH236" s="584">
        <v>0</v>
      </c>
      <c r="AI236" s="584">
        <v>0</v>
      </c>
      <c r="AJ236" s="584">
        <v>0</v>
      </c>
      <c r="AK236" s="584">
        <v>0</v>
      </c>
      <c r="AL236" s="584">
        <v>0</v>
      </c>
      <c r="AM236" s="584">
        <v>0</v>
      </c>
      <c r="AN236" s="584">
        <v>0</v>
      </c>
      <c r="AO236" s="584">
        <v>199.36143749999999</v>
      </c>
      <c r="AP236" s="584">
        <v>192</v>
      </c>
      <c r="AQ236" s="584">
        <v>272.51343750000001</v>
      </c>
      <c r="AR236" s="584">
        <v>403.2</v>
      </c>
      <c r="AS236" s="584">
        <v>177.95099999999999</v>
      </c>
      <c r="AT236" s="584">
        <v>844.8</v>
      </c>
      <c r="AU236" s="584">
        <v>0</v>
      </c>
      <c r="AV236" s="584">
        <v>0</v>
      </c>
      <c r="AW236" s="584">
        <v>0</v>
      </c>
      <c r="AX236" s="584">
        <v>0</v>
      </c>
      <c r="AY236" s="584">
        <v>0</v>
      </c>
      <c r="AZ236" s="584">
        <v>0</v>
      </c>
      <c r="BA236" s="584">
        <v>0</v>
      </c>
      <c r="BB236" s="584">
        <v>0</v>
      </c>
      <c r="BC236" s="584">
        <v>0</v>
      </c>
      <c r="BD236" s="584">
        <v>0</v>
      </c>
      <c r="BE236" s="584">
        <v>0</v>
      </c>
      <c r="BF236" s="584">
        <v>0</v>
      </c>
      <c r="BG236" s="584">
        <v>0</v>
      </c>
      <c r="BH236" s="584">
        <v>0</v>
      </c>
      <c r="BI236" s="584">
        <v>0</v>
      </c>
      <c r="BJ236" s="584">
        <v>0</v>
      </c>
      <c r="BK236" s="584">
        <v>0</v>
      </c>
      <c r="BL236" s="584">
        <v>0</v>
      </c>
      <c r="BM236" s="584">
        <v>0</v>
      </c>
      <c r="BN236" s="584">
        <v>0</v>
      </c>
      <c r="BO236" s="584">
        <v>0</v>
      </c>
      <c r="BP236" s="584">
        <v>0</v>
      </c>
      <c r="BQ236" s="584">
        <v>0</v>
      </c>
      <c r="BR236" s="584">
        <v>0</v>
      </c>
      <c r="BS236" s="584">
        <v>0</v>
      </c>
      <c r="BT236" s="584">
        <v>0</v>
      </c>
      <c r="BU236" s="584">
        <v>0</v>
      </c>
      <c r="BV236" s="584">
        <v>0</v>
      </c>
      <c r="BW236" s="584">
        <v>0</v>
      </c>
      <c r="BX236" s="584">
        <v>0</v>
      </c>
      <c r="BY236" s="584">
        <v>0</v>
      </c>
      <c r="BZ236" s="584">
        <v>0</v>
      </c>
      <c r="CA236" s="584">
        <v>0</v>
      </c>
      <c r="CB236" s="584">
        <v>0</v>
      </c>
      <c r="CC236" s="584">
        <v>0</v>
      </c>
      <c r="CD236" s="584">
        <v>0</v>
      </c>
      <c r="CE236" s="584">
        <v>0</v>
      </c>
      <c r="CF236" s="584">
        <v>0</v>
      </c>
      <c r="CG236" s="584">
        <v>0</v>
      </c>
      <c r="CH236" s="584">
        <v>0</v>
      </c>
      <c r="CI236" s="584">
        <v>0</v>
      </c>
      <c r="CJ236" s="584">
        <v>0</v>
      </c>
      <c r="CK236" s="584">
        <v>0</v>
      </c>
      <c r="CL236" s="584">
        <v>0</v>
      </c>
      <c r="CM236" s="584">
        <v>0</v>
      </c>
      <c r="CN236" s="584">
        <v>0</v>
      </c>
      <c r="CO236" s="584">
        <v>0</v>
      </c>
      <c r="CP236" s="584">
        <v>0</v>
      </c>
      <c r="CQ236" s="584">
        <v>0</v>
      </c>
      <c r="CR236" s="584">
        <v>0</v>
      </c>
      <c r="CS236" s="584">
        <v>0</v>
      </c>
      <c r="CT236" s="584">
        <v>0</v>
      </c>
      <c r="CU236" s="584">
        <v>0</v>
      </c>
      <c r="CV236" s="584">
        <v>0</v>
      </c>
      <c r="CW236" s="584">
        <v>0</v>
      </c>
      <c r="CX236" s="584">
        <v>0</v>
      </c>
      <c r="CY236" s="584">
        <v>0</v>
      </c>
      <c r="CZ236" s="584">
        <v>0</v>
      </c>
      <c r="DA236" s="584">
        <v>0</v>
      </c>
      <c r="DB236" s="584">
        <v>0</v>
      </c>
      <c r="DC236" s="584">
        <v>0</v>
      </c>
      <c r="DD236" s="584">
        <v>0</v>
      </c>
      <c r="DE236" s="584">
        <v>0</v>
      </c>
      <c r="DF236" s="584">
        <v>0</v>
      </c>
      <c r="DG236" s="584">
        <v>0</v>
      </c>
      <c r="DH236" s="584">
        <v>0</v>
      </c>
      <c r="DI236" s="584">
        <v>0</v>
      </c>
      <c r="DJ236" s="584">
        <v>0</v>
      </c>
      <c r="DK236" s="584">
        <v>0</v>
      </c>
      <c r="DL236" s="584">
        <v>0</v>
      </c>
      <c r="DM236" s="584">
        <v>0</v>
      </c>
      <c r="DN236" s="584">
        <v>0</v>
      </c>
      <c r="DO236" s="584">
        <v>0</v>
      </c>
      <c r="DP236" s="584">
        <v>0</v>
      </c>
      <c r="DQ236" s="584">
        <v>0</v>
      </c>
      <c r="DR236" s="584">
        <v>0</v>
      </c>
      <c r="DS236" s="584">
        <v>0</v>
      </c>
      <c r="DT236" s="584">
        <v>0</v>
      </c>
      <c r="DU236" s="584">
        <v>0</v>
      </c>
      <c r="DV236" s="584">
        <v>0</v>
      </c>
      <c r="DW236" s="584">
        <v>0</v>
      </c>
      <c r="DX236" s="584">
        <v>0</v>
      </c>
      <c r="DY236" s="584">
        <v>0</v>
      </c>
      <c r="DZ236" s="584">
        <v>0</v>
      </c>
      <c r="EA236" s="1062">
        <v>0</v>
      </c>
      <c r="EB236" s="1046">
        <v>0</v>
      </c>
      <c r="EC236" s="1093">
        <v>0</v>
      </c>
      <c r="ED236" s="1046">
        <v>0</v>
      </c>
      <c r="EE236" s="1046">
        <v>0</v>
      </c>
      <c r="EF236" s="1046">
        <v>0</v>
      </c>
      <c r="EG236" s="1046">
        <v>0</v>
      </c>
      <c r="EH236" s="1046">
        <v>0</v>
      </c>
      <c r="EI236" s="1046">
        <v>0</v>
      </c>
      <c r="EJ236" s="1046">
        <v>0</v>
      </c>
      <c r="EK236" s="1046">
        <v>0</v>
      </c>
      <c r="EL236" s="1046">
        <v>0</v>
      </c>
      <c r="EM236" s="1046">
        <v>0</v>
      </c>
      <c r="EN236" s="1046">
        <v>0</v>
      </c>
      <c r="EO236" s="1046">
        <v>0</v>
      </c>
      <c r="EP236" s="1094">
        <v>0</v>
      </c>
      <c r="EQ236" s="1094">
        <v>0</v>
      </c>
      <c r="ER236" s="1094">
        <v>0</v>
      </c>
      <c r="ES236" s="1095">
        <v>0</v>
      </c>
      <c r="ET236" s="1094">
        <v>0</v>
      </c>
      <c r="EU236" s="1094">
        <v>0</v>
      </c>
      <c r="EV236" s="1096">
        <v>1.1400999999999999</v>
      </c>
      <c r="EW236" s="1097">
        <v>0.15</v>
      </c>
      <c r="EX236" s="1096">
        <v>289.50050968399592</v>
      </c>
      <c r="EY236" s="1096">
        <v>1.5443934760448521</v>
      </c>
      <c r="EZ236" s="1096">
        <v>0</v>
      </c>
      <c r="FA236" s="1096">
        <v>48.318750000000001</v>
      </c>
      <c r="FB236" s="1098">
        <v>0</v>
      </c>
      <c r="FC236" s="1098">
        <v>0</v>
      </c>
      <c r="FD236" s="1098" t="s">
        <v>347</v>
      </c>
      <c r="FE236" s="1098" t="s">
        <v>396</v>
      </c>
      <c r="FF236" s="1098">
        <v>3</v>
      </c>
      <c r="FG236" s="1098">
        <v>0</v>
      </c>
      <c r="FH236" s="1098">
        <v>0</v>
      </c>
      <c r="FI236" s="1098">
        <v>0</v>
      </c>
      <c r="FJ236" s="1098">
        <v>0</v>
      </c>
      <c r="FK236" s="1096">
        <v>203.479557</v>
      </c>
      <c r="FL236" s="1096">
        <v>192</v>
      </c>
      <c r="FM236" s="1096">
        <v>406.959114</v>
      </c>
      <c r="FN236" s="1096">
        <v>384</v>
      </c>
      <c r="FO236" s="1096">
        <v>813.918228</v>
      </c>
      <c r="FP236" s="1099">
        <v>768</v>
      </c>
      <c r="FQ236" s="1064">
        <v>1.5863999999999998</v>
      </c>
      <c r="FR236" s="1065">
        <v>0.15</v>
      </c>
      <c r="FS236" s="1066">
        <v>289.50050968399586</v>
      </c>
      <c r="FT236" s="1066">
        <v>3.2237153637237084</v>
      </c>
      <c r="FU236" s="1065"/>
      <c r="FV236" s="1066">
        <v>96.140496060542404</v>
      </c>
      <c r="FW236" s="1065"/>
      <c r="FX236" s="1065"/>
      <c r="FY236" s="1065" t="s">
        <v>338</v>
      </c>
      <c r="FZ236" s="1065" t="s">
        <v>389</v>
      </c>
      <c r="GA236" s="1065">
        <v>3</v>
      </c>
      <c r="GB236" s="1065"/>
      <c r="GC236" s="1065"/>
      <c r="GD236" s="1065"/>
      <c r="GE236" s="1065"/>
      <c r="GF236" s="1066">
        <v>221.50861987545841</v>
      </c>
      <c r="GG236" s="1066">
        <v>192</v>
      </c>
      <c r="GH236" s="1066">
        <v>443.01723975091681</v>
      </c>
      <c r="GI236" s="1066">
        <v>384</v>
      </c>
      <c r="GJ236" s="1066">
        <v>886.03447950183363</v>
      </c>
      <c r="GK236" s="1066">
        <v>768</v>
      </c>
      <c r="GL236" s="584">
        <v>1.1499999999999999</v>
      </c>
      <c r="GM236" s="584">
        <v>0.13</v>
      </c>
      <c r="GN236" s="584"/>
      <c r="GO236" s="584"/>
      <c r="GP236" s="584"/>
      <c r="GQ236" s="584">
        <v>120.76875</v>
      </c>
      <c r="GR236" s="584"/>
      <c r="GS236" s="584">
        <v>66.2589194699286</v>
      </c>
      <c r="GT236" s="584" t="s">
        <v>347</v>
      </c>
      <c r="GU236" s="584" t="s">
        <v>340</v>
      </c>
      <c r="GV236" s="584">
        <v>2</v>
      </c>
      <c r="GW236" s="584"/>
      <c r="GX236" s="584"/>
      <c r="GY236" s="584"/>
      <c r="GZ236" s="584"/>
      <c r="HA236" s="584">
        <v>126.467589</v>
      </c>
      <c r="HB236" s="584">
        <v>192</v>
      </c>
      <c r="HC236" s="584">
        <v>252.93517800000001</v>
      </c>
      <c r="HD236" s="584">
        <v>384</v>
      </c>
      <c r="HE236" s="584">
        <v>505.87035600000002</v>
      </c>
      <c r="HF236" s="584">
        <v>768</v>
      </c>
      <c r="HG236" s="1100">
        <v>0</v>
      </c>
      <c r="HH236" s="1100">
        <v>0</v>
      </c>
      <c r="HI236" s="1101">
        <v>0</v>
      </c>
      <c r="HJ236" s="1101">
        <v>0</v>
      </c>
      <c r="HK236" s="1101">
        <v>0</v>
      </c>
      <c r="HL236" s="1101">
        <v>0</v>
      </c>
      <c r="HM236" s="1101">
        <v>0</v>
      </c>
      <c r="HN236" s="1101">
        <v>0</v>
      </c>
      <c r="HO236" s="1101">
        <v>0</v>
      </c>
      <c r="HP236" s="1101">
        <v>0</v>
      </c>
      <c r="HQ236" s="1101">
        <v>0</v>
      </c>
      <c r="HR236" s="1101">
        <v>0</v>
      </c>
      <c r="HS236" s="1101">
        <v>0</v>
      </c>
      <c r="HT236" s="1101">
        <v>0</v>
      </c>
      <c r="HU236" s="1101">
        <v>0</v>
      </c>
      <c r="HV236" s="1101">
        <v>0</v>
      </c>
      <c r="HW236" s="1101">
        <v>0</v>
      </c>
      <c r="HX236" s="1101">
        <v>0</v>
      </c>
      <c r="HY236" s="1101">
        <v>0</v>
      </c>
      <c r="HZ236" s="1101">
        <v>0</v>
      </c>
      <c r="IA236" s="1101">
        <v>0</v>
      </c>
      <c r="IB236" s="1062"/>
      <c r="ID236" s="1050"/>
      <c r="IE236" s="1050"/>
      <c r="IM236" s="1050"/>
      <c r="IN236" s="1050"/>
      <c r="IO236" s="1050"/>
      <c r="IP236" s="1050"/>
      <c r="JU236" s="1050"/>
      <c r="KC236" s="1050"/>
      <c r="KD236" s="1050"/>
      <c r="KE236" s="1050"/>
      <c r="KF236" s="1050"/>
      <c r="KN236" s="1103"/>
    </row>
    <row r="237" spans="2:300">
      <c r="B237" s="1048" t="str">
        <f>"H"&amp;C237&amp;D237</f>
        <v>H55</v>
      </c>
      <c r="C237" s="1092">
        <v>5</v>
      </c>
      <c r="D237" s="1092">
        <v>5</v>
      </c>
      <c r="E237" s="584">
        <v>0.20499999999999999</v>
      </c>
      <c r="F237" s="584">
        <v>0.20499999999999999</v>
      </c>
      <c r="G237" s="584">
        <v>492</v>
      </c>
      <c r="H237" s="584">
        <v>14.965</v>
      </c>
      <c r="I237" s="584">
        <v>0</v>
      </c>
      <c r="J237" s="584">
        <v>0</v>
      </c>
      <c r="K237" s="584">
        <v>0</v>
      </c>
      <c r="L237" s="584">
        <v>0</v>
      </c>
      <c r="M237" s="584">
        <v>0</v>
      </c>
      <c r="N237" s="584">
        <v>0</v>
      </c>
      <c r="O237" s="584">
        <v>0</v>
      </c>
      <c r="P237" s="584">
        <v>0</v>
      </c>
      <c r="Q237" s="584">
        <v>0</v>
      </c>
      <c r="R237" s="584">
        <v>0</v>
      </c>
      <c r="S237" s="584">
        <v>0</v>
      </c>
      <c r="T237" s="584">
        <v>118.5516875</v>
      </c>
      <c r="U237" s="584">
        <v>25</v>
      </c>
      <c r="V237" s="584">
        <v>176.35181249999999</v>
      </c>
      <c r="W237" s="584">
        <v>52.5</v>
      </c>
      <c r="X237" s="584">
        <v>229.67850000000001</v>
      </c>
      <c r="Y237" s="584">
        <v>110</v>
      </c>
      <c r="Z237" s="584">
        <v>0.2</v>
      </c>
      <c r="AA237" s="584">
        <v>0.2</v>
      </c>
      <c r="AB237" s="584">
        <v>480</v>
      </c>
      <c r="AC237" s="584">
        <v>20</v>
      </c>
      <c r="AD237" s="584">
        <v>0</v>
      </c>
      <c r="AE237" s="584">
        <v>0</v>
      </c>
      <c r="AF237" s="584">
        <v>0</v>
      </c>
      <c r="AG237" s="584">
        <v>0</v>
      </c>
      <c r="AH237" s="584">
        <v>0</v>
      </c>
      <c r="AI237" s="584">
        <v>0</v>
      </c>
      <c r="AJ237" s="584">
        <v>0</v>
      </c>
      <c r="AK237" s="584">
        <v>0</v>
      </c>
      <c r="AL237" s="584">
        <v>0</v>
      </c>
      <c r="AM237" s="584">
        <v>0</v>
      </c>
      <c r="AN237" s="584">
        <v>0</v>
      </c>
      <c r="AO237" s="584">
        <v>117.6404375</v>
      </c>
      <c r="AP237" s="584">
        <v>25</v>
      </c>
      <c r="AQ237" s="584">
        <v>174.5799375</v>
      </c>
      <c r="AR237" s="584">
        <v>52.5</v>
      </c>
      <c r="AS237" s="584">
        <v>226.24100000000001</v>
      </c>
      <c r="AT237" s="584">
        <v>110</v>
      </c>
      <c r="AU237" s="584">
        <v>0.3</v>
      </c>
      <c r="AV237" s="584">
        <v>0.25</v>
      </c>
      <c r="AW237" s="584">
        <v>443.84584165834201</v>
      </c>
      <c r="AX237" s="584">
        <v>24.145604395604401</v>
      </c>
      <c r="AY237" s="584">
        <v>0</v>
      </c>
      <c r="AZ237" s="584">
        <v>0</v>
      </c>
      <c r="BA237" s="584">
        <v>0</v>
      </c>
      <c r="BB237" s="584">
        <v>0</v>
      </c>
      <c r="BC237" s="584">
        <v>0</v>
      </c>
      <c r="BD237" s="584">
        <v>0</v>
      </c>
      <c r="BE237" s="584">
        <v>0</v>
      </c>
      <c r="BF237" s="584">
        <v>0</v>
      </c>
      <c r="BG237" s="584">
        <v>0.3</v>
      </c>
      <c r="BH237" s="584">
        <v>0</v>
      </c>
      <c r="BI237" s="584">
        <v>0.6</v>
      </c>
      <c r="BJ237" s="584">
        <v>118.790669642857</v>
      </c>
      <c r="BK237" s="584">
        <v>25</v>
      </c>
      <c r="BL237" s="584">
        <v>171.88809375</v>
      </c>
      <c r="BM237" s="584">
        <v>52.5</v>
      </c>
      <c r="BN237" s="584">
        <v>214.52351785714299</v>
      </c>
      <c r="BO237" s="584">
        <v>110</v>
      </c>
      <c r="BP237" s="584">
        <v>0.22500000000000001</v>
      </c>
      <c r="BQ237" s="584">
        <v>0.13</v>
      </c>
      <c r="BR237" s="584">
        <v>385.64647852147903</v>
      </c>
      <c r="BS237" s="584">
        <v>14.857609890109901</v>
      </c>
      <c r="BT237" s="584">
        <v>0</v>
      </c>
      <c r="BU237" s="584">
        <v>0</v>
      </c>
      <c r="BV237" s="584">
        <v>0</v>
      </c>
      <c r="BW237" s="584">
        <v>0</v>
      </c>
      <c r="BX237" s="584">
        <v>0</v>
      </c>
      <c r="BY237" s="584">
        <v>0</v>
      </c>
      <c r="BZ237" s="584">
        <v>0</v>
      </c>
      <c r="CA237" s="584">
        <v>0.22500000000000001</v>
      </c>
      <c r="CB237" s="584">
        <v>0.22500000000000001</v>
      </c>
      <c r="CC237" s="584">
        <v>0.45</v>
      </c>
      <c r="CD237" s="584">
        <v>0.45</v>
      </c>
      <c r="CE237" s="584">
        <v>117.58565</v>
      </c>
      <c r="CF237" s="584">
        <v>25</v>
      </c>
      <c r="CG237" s="584">
        <v>165.71827500000001</v>
      </c>
      <c r="CH237" s="584">
        <v>52.5</v>
      </c>
      <c r="CI237" s="584">
        <v>188.0917125</v>
      </c>
      <c r="CJ237" s="584">
        <v>110</v>
      </c>
      <c r="CK237" s="584">
        <v>0.32500000000000001</v>
      </c>
      <c r="CL237" s="584">
        <v>0.16</v>
      </c>
      <c r="CM237" s="584">
        <v>413.53293581418598</v>
      </c>
      <c r="CN237" s="584">
        <v>18.254840472028</v>
      </c>
      <c r="CO237" s="584">
        <v>0</v>
      </c>
      <c r="CP237" s="584">
        <v>0</v>
      </c>
      <c r="CQ237" s="584">
        <v>0</v>
      </c>
      <c r="CR237" s="584">
        <v>0</v>
      </c>
      <c r="CS237" s="584">
        <v>0</v>
      </c>
      <c r="CT237" s="584">
        <v>0</v>
      </c>
      <c r="CU237" s="584">
        <v>0</v>
      </c>
      <c r="CV237" s="584">
        <v>0</v>
      </c>
      <c r="CW237" s="584">
        <v>0.32500000000000001</v>
      </c>
      <c r="CX237" s="584">
        <v>0</v>
      </c>
      <c r="CY237" s="584">
        <v>0.3</v>
      </c>
      <c r="CZ237" s="584">
        <v>117.117425</v>
      </c>
      <c r="DA237" s="584">
        <v>25</v>
      </c>
      <c r="DB237" s="584">
        <v>167.17192499999999</v>
      </c>
      <c r="DC237" s="584">
        <v>52.5</v>
      </c>
      <c r="DD237" s="584">
        <v>204.52754999999999</v>
      </c>
      <c r="DE237" s="584">
        <v>110</v>
      </c>
      <c r="DF237" s="584">
        <v>0.35</v>
      </c>
      <c r="DG237" s="584">
        <v>0.2</v>
      </c>
      <c r="DH237" s="584">
        <v>367.86525974026</v>
      </c>
      <c r="DI237" s="584">
        <v>17.243500374625398</v>
      </c>
      <c r="DJ237" s="584">
        <v>300</v>
      </c>
      <c r="DK237" s="584">
        <v>0</v>
      </c>
      <c r="DL237" s="584">
        <v>0</v>
      </c>
      <c r="DM237" s="584">
        <v>0</v>
      </c>
      <c r="DN237" s="584">
        <v>0</v>
      </c>
      <c r="DO237" s="584">
        <v>0</v>
      </c>
      <c r="DP237" s="584">
        <v>0</v>
      </c>
      <c r="DQ237" s="584">
        <v>0</v>
      </c>
      <c r="DR237" s="584">
        <v>0.35</v>
      </c>
      <c r="DS237" s="584">
        <v>0</v>
      </c>
      <c r="DT237" s="584">
        <v>2.4</v>
      </c>
      <c r="DU237" s="584">
        <v>120.38825</v>
      </c>
      <c r="DV237" s="584">
        <v>25</v>
      </c>
      <c r="DW237" s="584">
        <v>214.309</v>
      </c>
      <c r="DX237" s="584">
        <v>52.5</v>
      </c>
      <c r="DY237" s="584">
        <v>270.37650000000002</v>
      </c>
      <c r="DZ237" s="584">
        <v>110</v>
      </c>
      <c r="EA237" s="1062">
        <v>0.51100000000000001</v>
      </c>
      <c r="EB237" s="1046">
        <v>0.2</v>
      </c>
      <c r="EC237" s="1093">
        <v>132.51783893985726</v>
      </c>
      <c r="ED237" s="1046">
        <v>0</v>
      </c>
      <c r="EE237" s="1046">
        <v>285.42303771661568</v>
      </c>
      <c r="EF237" s="1046">
        <v>14.24</v>
      </c>
      <c r="EG237" s="1046">
        <v>0</v>
      </c>
      <c r="EH237" s="1046">
        <v>0</v>
      </c>
      <c r="EI237" s="1046" t="s">
        <v>492</v>
      </c>
      <c r="EJ237" s="1046" t="s">
        <v>518</v>
      </c>
      <c r="EK237" s="1046">
        <v>0</v>
      </c>
      <c r="EL237" s="1046">
        <v>0</v>
      </c>
      <c r="EM237" s="1046">
        <v>0</v>
      </c>
      <c r="EN237" s="1046">
        <v>0</v>
      </c>
      <c r="EO237" s="1046">
        <v>0</v>
      </c>
      <c r="EP237" s="1094">
        <v>44.623090000000005</v>
      </c>
      <c r="EQ237" s="1094">
        <v>25</v>
      </c>
      <c r="ER237" s="1094">
        <v>89.24618000000001</v>
      </c>
      <c r="ES237" s="1095">
        <v>50</v>
      </c>
      <c r="ET237" s="1094">
        <v>178.49236000000002</v>
      </c>
      <c r="EU237" s="1094">
        <v>100</v>
      </c>
      <c r="EV237" s="1096">
        <v>0.505</v>
      </c>
      <c r="EW237" s="1097">
        <v>0.15</v>
      </c>
      <c r="EX237" s="1096">
        <v>289.50050968399592</v>
      </c>
      <c r="EY237" s="1096">
        <v>1.5443934760448521</v>
      </c>
      <c r="EZ237" s="1096">
        <v>0</v>
      </c>
      <c r="FA237" s="1096">
        <v>18.260000000000002</v>
      </c>
      <c r="FB237" s="1098">
        <v>0</v>
      </c>
      <c r="FC237" s="1098">
        <v>0</v>
      </c>
      <c r="FD237" s="1098" t="s">
        <v>479</v>
      </c>
      <c r="FE237" s="1098" t="s">
        <v>490</v>
      </c>
      <c r="FF237" s="1098">
        <v>1</v>
      </c>
      <c r="FG237" s="1098">
        <v>0</v>
      </c>
      <c r="FH237" s="1098">
        <v>0</v>
      </c>
      <c r="FI237" s="1098">
        <v>0</v>
      </c>
      <c r="FJ237" s="1098">
        <v>0</v>
      </c>
      <c r="FK237" s="1096">
        <v>37.776756874999997</v>
      </c>
      <c r="FL237" s="1096">
        <v>25</v>
      </c>
      <c r="FM237" s="1096">
        <v>75.553513749999993</v>
      </c>
      <c r="FN237" s="1096">
        <v>50</v>
      </c>
      <c r="FO237" s="1096">
        <v>151.10702749999999</v>
      </c>
      <c r="FP237" s="1099">
        <v>100</v>
      </c>
      <c r="FQ237" s="1064">
        <v>0.57475999999999994</v>
      </c>
      <c r="FR237" s="1065">
        <v>0.15</v>
      </c>
      <c r="FS237" s="1066">
        <v>289.50050968399586</v>
      </c>
      <c r="FT237" s="1066">
        <v>3.1754272996334754</v>
      </c>
      <c r="FU237" s="1065"/>
      <c r="FV237" s="1066">
        <v>39.522972330641153</v>
      </c>
      <c r="FW237" s="1065"/>
      <c r="FX237" s="1065"/>
      <c r="FY237" s="1065" t="s">
        <v>490</v>
      </c>
      <c r="FZ237" s="1065" t="s">
        <v>490</v>
      </c>
      <c r="GA237" s="1065">
        <v>1</v>
      </c>
      <c r="GB237" s="1065"/>
      <c r="GC237" s="1065"/>
      <c r="GD237" s="1065"/>
      <c r="GE237" s="1065"/>
      <c r="GF237" s="1066">
        <v>38.49294562733121</v>
      </c>
      <c r="GG237" s="1066">
        <v>25</v>
      </c>
      <c r="GH237" s="1066">
        <v>76.98589125466242</v>
      </c>
      <c r="GI237" s="1066">
        <v>50</v>
      </c>
      <c r="GJ237" s="1066">
        <v>153.97178250932484</v>
      </c>
      <c r="GK237" s="1066">
        <v>100</v>
      </c>
      <c r="GL237" s="584">
        <v>0.45900000000000002</v>
      </c>
      <c r="GM237" s="584">
        <v>0.11</v>
      </c>
      <c r="GN237" s="584"/>
      <c r="GO237" s="584"/>
      <c r="GP237" s="584"/>
      <c r="GQ237" s="584">
        <v>17.899999999999999</v>
      </c>
      <c r="GR237" s="584"/>
      <c r="GS237" s="584">
        <v>56.065239551478101</v>
      </c>
      <c r="GT237" s="584" t="s">
        <v>484</v>
      </c>
      <c r="GU237" s="584" t="s">
        <v>500</v>
      </c>
      <c r="GV237" s="584">
        <v>1</v>
      </c>
      <c r="GW237" s="584"/>
      <c r="GX237" s="584"/>
      <c r="GY237" s="584"/>
      <c r="GZ237" s="584"/>
      <c r="HA237" s="584">
        <v>22.659993750000002</v>
      </c>
      <c r="HB237" s="584">
        <v>25</v>
      </c>
      <c r="HC237" s="584">
        <v>45.319987500000003</v>
      </c>
      <c r="HD237" s="584">
        <v>50</v>
      </c>
      <c r="HE237" s="584">
        <v>90.639975000000007</v>
      </c>
      <c r="HF237" s="584">
        <v>100</v>
      </c>
      <c r="HG237" s="1100">
        <v>0.59</v>
      </c>
      <c r="HH237" s="1100">
        <v>0.11</v>
      </c>
      <c r="HI237" s="1101">
        <v>0</v>
      </c>
      <c r="HJ237" s="1101">
        <v>0</v>
      </c>
      <c r="HK237" s="1101">
        <v>0</v>
      </c>
      <c r="HL237" s="1101">
        <v>0</v>
      </c>
      <c r="HM237" s="1101">
        <v>31.104000000000003</v>
      </c>
      <c r="HN237" s="1101">
        <v>54.999999999999993</v>
      </c>
      <c r="HO237" s="1101">
        <v>0</v>
      </c>
      <c r="HP237" s="1101">
        <v>0</v>
      </c>
      <c r="HQ237" s="1101">
        <v>1</v>
      </c>
      <c r="HR237" s="1101">
        <v>0.48</v>
      </c>
      <c r="HS237" s="1101">
        <v>0.36</v>
      </c>
      <c r="HT237" s="1101">
        <v>0.3</v>
      </c>
      <c r="HU237" s="1101">
        <v>0.28000000000000003</v>
      </c>
      <c r="HV237" s="1101">
        <v>23.404251499999994</v>
      </c>
      <c r="HW237" s="1101">
        <v>25</v>
      </c>
      <c r="HX237" s="1101">
        <v>46.808502999999988</v>
      </c>
      <c r="HY237" s="1101">
        <v>50</v>
      </c>
      <c r="HZ237" s="1101">
        <v>93.617005999999975</v>
      </c>
      <c r="IA237" s="1101">
        <v>100</v>
      </c>
      <c r="IB237" s="1062"/>
      <c r="ID237" s="1050"/>
      <c r="IE237" s="1050"/>
      <c r="IM237" s="1050"/>
      <c r="IN237" s="1050"/>
      <c r="IO237" s="1050"/>
      <c r="IP237" s="1050"/>
      <c r="JU237" s="1050"/>
      <c r="KC237" s="1050"/>
      <c r="KD237" s="1050"/>
      <c r="KE237" s="1050"/>
      <c r="KF237" s="1050"/>
      <c r="KN237" s="1103"/>
    </row>
    <row r="238" spans="2:300">
      <c r="B238" s="1048" t="str">
        <f t="shared" ref="B238:B301" si="8">"H"&amp;C238&amp;D238</f>
        <v>H56</v>
      </c>
      <c r="C238" s="1092">
        <v>5</v>
      </c>
      <c r="D238" s="1092">
        <v>6</v>
      </c>
      <c r="E238" s="584">
        <v>0.22</v>
      </c>
      <c r="F238" s="584">
        <v>0.22</v>
      </c>
      <c r="G238" s="584">
        <v>528</v>
      </c>
      <c r="H238" s="584">
        <v>16.940000000000001</v>
      </c>
      <c r="I238" s="584">
        <v>0</v>
      </c>
      <c r="J238" s="584">
        <v>0</v>
      </c>
      <c r="K238" s="584">
        <v>0</v>
      </c>
      <c r="L238" s="584">
        <v>0</v>
      </c>
      <c r="M238" s="584">
        <v>0</v>
      </c>
      <c r="N238" s="584">
        <v>0</v>
      </c>
      <c r="O238" s="584">
        <v>0</v>
      </c>
      <c r="P238" s="584">
        <v>0</v>
      </c>
      <c r="Q238" s="584">
        <v>0</v>
      </c>
      <c r="R238" s="584">
        <v>0</v>
      </c>
      <c r="S238" s="584">
        <v>0</v>
      </c>
      <c r="T238" s="584">
        <v>138.10543749999999</v>
      </c>
      <c r="U238" s="584">
        <v>30</v>
      </c>
      <c r="V238" s="584">
        <v>216.98943750000001</v>
      </c>
      <c r="W238" s="584">
        <v>63</v>
      </c>
      <c r="X238" s="584">
        <v>286.19099999999997</v>
      </c>
      <c r="Y238" s="584">
        <v>132</v>
      </c>
      <c r="Z238" s="584">
        <v>0.2</v>
      </c>
      <c r="AA238" s="584">
        <v>0.2</v>
      </c>
      <c r="AB238" s="584">
        <v>480</v>
      </c>
      <c r="AC238" s="584">
        <v>17</v>
      </c>
      <c r="AD238" s="584">
        <v>0</v>
      </c>
      <c r="AE238" s="584">
        <v>0</v>
      </c>
      <c r="AF238" s="584">
        <v>0</v>
      </c>
      <c r="AG238" s="584">
        <v>0</v>
      </c>
      <c r="AH238" s="584">
        <v>0</v>
      </c>
      <c r="AI238" s="584">
        <v>0</v>
      </c>
      <c r="AJ238" s="584">
        <v>0</v>
      </c>
      <c r="AK238" s="584">
        <v>0</v>
      </c>
      <c r="AL238" s="584">
        <v>0</v>
      </c>
      <c r="AM238" s="584">
        <v>0</v>
      </c>
      <c r="AN238" s="584">
        <v>0</v>
      </c>
      <c r="AO238" s="584">
        <v>133.7854375</v>
      </c>
      <c r="AP238" s="584">
        <v>30</v>
      </c>
      <c r="AQ238" s="584">
        <v>208.48443750000001</v>
      </c>
      <c r="AR238" s="584">
        <v>63</v>
      </c>
      <c r="AS238" s="584">
        <v>269.69099999999997</v>
      </c>
      <c r="AT238" s="584">
        <v>132</v>
      </c>
      <c r="AU238" s="584">
        <v>0.3</v>
      </c>
      <c r="AV238" s="584">
        <v>0.25</v>
      </c>
      <c r="AW238" s="584">
        <v>424.93925429409302</v>
      </c>
      <c r="AX238" s="584">
        <v>24.732195224130699</v>
      </c>
      <c r="AY238" s="584">
        <v>0</v>
      </c>
      <c r="AZ238" s="584">
        <v>0</v>
      </c>
      <c r="BA238" s="584">
        <v>0</v>
      </c>
      <c r="BB238" s="584">
        <v>0</v>
      </c>
      <c r="BC238" s="584">
        <v>0</v>
      </c>
      <c r="BD238" s="584">
        <v>0</v>
      </c>
      <c r="BE238" s="584">
        <v>0</v>
      </c>
      <c r="BF238" s="584">
        <v>0</v>
      </c>
      <c r="BG238" s="584">
        <v>0.3</v>
      </c>
      <c r="BH238" s="584">
        <v>0</v>
      </c>
      <c r="BI238" s="584">
        <v>0.6</v>
      </c>
      <c r="BJ238" s="584">
        <v>132.99087557603701</v>
      </c>
      <c r="BK238" s="584">
        <v>30</v>
      </c>
      <c r="BL238" s="584">
        <v>201.41666129032299</v>
      </c>
      <c r="BM238" s="584">
        <v>63</v>
      </c>
      <c r="BN238" s="584">
        <v>248.597149769585</v>
      </c>
      <c r="BO238" s="584">
        <v>132</v>
      </c>
      <c r="BP238" s="584">
        <v>0.32500000000000001</v>
      </c>
      <c r="BQ238" s="584">
        <v>0.13</v>
      </c>
      <c r="BR238" s="584">
        <v>385.56095517385802</v>
      </c>
      <c r="BS238" s="584">
        <v>18.6287410976121</v>
      </c>
      <c r="BT238" s="584">
        <v>0</v>
      </c>
      <c r="BU238" s="584">
        <v>0</v>
      </c>
      <c r="BV238" s="584">
        <v>0</v>
      </c>
      <c r="BW238" s="584">
        <v>0</v>
      </c>
      <c r="BX238" s="584">
        <v>0</v>
      </c>
      <c r="BY238" s="584">
        <v>0</v>
      </c>
      <c r="BZ238" s="584">
        <v>0</v>
      </c>
      <c r="CA238" s="584">
        <v>0.27500000000000002</v>
      </c>
      <c r="CB238" s="584">
        <v>0.32500000000000001</v>
      </c>
      <c r="CC238" s="584">
        <v>0.3</v>
      </c>
      <c r="CD238" s="584">
        <v>0.3</v>
      </c>
      <c r="CE238" s="584">
        <v>132.02515</v>
      </c>
      <c r="CF238" s="584">
        <v>30</v>
      </c>
      <c r="CG238" s="584">
        <v>199.5129</v>
      </c>
      <c r="CH238" s="584">
        <v>63</v>
      </c>
      <c r="CI238" s="584">
        <v>225.24090000000001</v>
      </c>
      <c r="CJ238" s="584">
        <v>132</v>
      </c>
      <c r="CK238" s="584">
        <v>0.32500000000000001</v>
      </c>
      <c r="CL238" s="584">
        <v>0.16</v>
      </c>
      <c r="CM238" s="584">
        <v>423.54207687473797</v>
      </c>
      <c r="CN238" s="584">
        <v>20.444937421449499</v>
      </c>
      <c r="CO238" s="584">
        <v>0</v>
      </c>
      <c r="CP238" s="584">
        <v>0</v>
      </c>
      <c r="CQ238" s="584">
        <v>0</v>
      </c>
      <c r="CR238" s="584">
        <v>0</v>
      </c>
      <c r="CS238" s="584">
        <v>0</v>
      </c>
      <c r="CT238" s="584">
        <v>0</v>
      </c>
      <c r="CU238" s="584">
        <v>0</v>
      </c>
      <c r="CV238" s="584">
        <v>0</v>
      </c>
      <c r="CW238" s="584">
        <v>0.32500000000000001</v>
      </c>
      <c r="CX238" s="584">
        <v>0</v>
      </c>
      <c r="CY238" s="584">
        <v>0.6</v>
      </c>
      <c r="CZ238" s="584">
        <v>133.7827375</v>
      </c>
      <c r="DA238" s="584">
        <v>30</v>
      </c>
      <c r="DB238" s="584">
        <v>200.57579999999999</v>
      </c>
      <c r="DC238" s="584">
        <v>63</v>
      </c>
      <c r="DD238" s="584">
        <v>247.42755</v>
      </c>
      <c r="DE238" s="584">
        <v>132</v>
      </c>
      <c r="DF238" s="584">
        <v>0.35</v>
      </c>
      <c r="DG238" s="584">
        <v>0.2</v>
      </c>
      <c r="DH238" s="584">
        <v>365.77974444909898</v>
      </c>
      <c r="DI238" s="584">
        <v>19.352495915374899</v>
      </c>
      <c r="DJ238" s="584">
        <v>300</v>
      </c>
      <c r="DK238" s="584">
        <v>0</v>
      </c>
      <c r="DL238" s="584">
        <v>0</v>
      </c>
      <c r="DM238" s="584">
        <v>0</v>
      </c>
      <c r="DN238" s="584">
        <v>0</v>
      </c>
      <c r="DO238" s="584">
        <v>0</v>
      </c>
      <c r="DP238" s="584">
        <v>0</v>
      </c>
      <c r="DQ238" s="584">
        <v>0</v>
      </c>
      <c r="DR238" s="584">
        <v>0.35</v>
      </c>
      <c r="DS238" s="584">
        <v>0</v>
      </c>
      <c r="DT238" s="584">
        <v>2.4</v>
      </c>
      <c r="DU238" s="584">
        <v>136.08324999999999</v>
      </c>
      <c r="DV238" s="584">
        <v>30</v>
      </c>
      <c r="DW238" s="584">
        <v>241.084</v>
      </c>
      <c r="DX238" s="584">
        <v>63</v>
      </c>
      <c r="DY238" s="584">
        <v>322.72649999999999</v>
      </c>
      <c r="DZ238" s="584">
        <v>132</v>
      </c>
      <c r="EA238" s="1062">
        <v>0.51039999999999996</v>
      </c>
      <c r="EB238" s="1046">
        <v>0.2</v>
      </c>
      <c r="EC238" s="1093">
        <v>132.51783893985726</v>
      </c>
      <c r="ED238" s="1046">
        <v>0</v>
      </c>
      <c r="EE238" s="1046">
        <v>285.42303771661568</v>
      </c>
      <c r="EF238" s="1046">
        <v>14.66</v>
      </c>
      <c r="EG238" s="1046">
        <v>0</v>
      </c>
      <c r="EH238" s="1046">
        <v>0</v>
      </c>
      <c r="EI238" s="1046" t="s">
        <v>486</v>
      </c>
      <c r="EJ238" s="1046" t="s">
        <v>508</v>
      </c>
      <c r="EK238" s="1046">
        <v>0</v>
      </c>
      <c r="EL238" s="1046">
        <v>0</v>
      </c>
      <c r="EM238" s="1046">
        <v>0</v>
      </c>
      <c r="EN238" s="1046">
        <v>0</v>
      </c>
      <c r="EO238" s="1046">
        <v>0</v>
      </c>
      <c r="EP238" s="1094">
        <v>53.578609499999999</v>
      </c>
      <c r="EQ238" s="1094">
        <v>30</v>
      </c>
      <c r="ER238" s="1094">
        <v>107.157219</v>
      </c>
      <c r="ES238" s="1095">
        <v>60</v>
      </c>
      <c r="ET238" s="1094">
        <v>214.314438</v>
      </c>
      <c r="EU238" s="1094">
        <v>120</v>
      </c>
      <c r="EV238" s="1096">
        <v>0.50800000000000001</v>
      </c>
      <c r="EW238" s="1097">
        <v>0.15</v>
      </c>
      <c r="EX238" s="1096">
        <v>289.50050968399592</v>
      </c>
      <c r="EY238" s="1096">
        <v>1.5443934760448521</v>
      </c>
      <c r="EZ238" s="1096">
        <v>0</v>
      </c>
      <c r="FA238" s="1096">
        <v>17.559999999999999</v>
      </c>
      <c r="FB238" s="1098">
        <v>0</v>
      </c>
      <c r="FC238" s="1098">
        <v>0</v>
      </c>
      <c r="FD238" s="1098" t="s">
        <v>477</v>
      </c>
      <c r="FE238" s="1098" t="s">
        <v>490</v>
      </c>
      <c r="FF238" s="1098">
        <v>1</v>
      </c>
      <c r="FG238" s="1098">
        <v>0</v>
      </c>
      <c r="FH238" s="1098">
        <v>0</v>
      </c>
      <c r="FI238" s="1098">
        <v>0</v>
      </c>
      <c r="FJ238" s="1098">
        <v>0</v>
      </c>
      <c r="FK238" s="1096">
        <v>45.280605749999992</v>
      </c>
      <c r="FL238" s="1096">
        <v>30</v>
      </c>
      <c r="FM238" s="1096">
        <v>90.561211499999985</v>
      </c>
      <c r="FN238" s="1096">
        <v>60</v>
      </c>
      <c r="FO238" s="1096">
        <v>181.12242299999997</v>
      </c>
      <c r="FP238" s="1099">
        <v>120</v>
      </c>
      <c r="FQ238" s="1064">
        <v>0.57475999999999994</v>
      </c>
      <c r="FR238" s="1065">
        <v>0.15</v>
      </c>
      <c r="FS238" s="1066">
        <v>289.50050968399586</v>
      </c>
      <c r="FT238" s="1066">
        <v>3.1754272996334754</v>
      </c>
      <c r="FU238" s="1065"/>
      <c r="FV238" s="1066">
        <v>38.0093607202855</v>
      </c>
      <c r="FW238" s="1065"/>
      <c r="FX238" s="1065"/>
      <c r="FY238" s="1065" t="s">
        <v>490</v>
      </c>
      <c r="FZ238" s="1065" t="s">
        <v>490</v>
      </c>
      <c r="GA238" s="1065">
        <v>1</v>
      </c>
      <c r="GB238" s="1065"/>
      <c r="GC238" s="1065"/>
      <c r="GD238" s="1065"/>
      <c r="GE238" s="1065"/>
      <c r="GF238" s="1066">
        <v>46.080170778565531</v>
      </c>
      <c r="GG238" s="1066">
        <v>30</v>
      </c>
      <c r="GH238" s="1066">
        <v>92.160341557131062</v>
      </c>
      <c r="GI238" s="1066">
        <v>60</v>
      </c>
      <c r="GJ238" s="1066">
        <v>184.32068311426212</v>
      </c>
      <c r="GK238" s="1066">
        <v>120</v>
      </c>
      <c r="GL238" s="584">
        <v>0.50800000000000001</v>
      </c>
      <c r="GM238" s="584">
        <v>0.11</v>
      </c>
      <c r="GN238" s="584"/>
      <c r="GO238" s="584"/>
      <c r="GP238" s="584"/>
      <c r="GQ238" s="584">
        <v>22.1</v>
      </c>
      <c r="GR238" s="584"/>
      <c r="GS238" s="584">
        <v>56.065239551478101</v>
      </c>
      <c r="GT238" s="584" t="s">
        <v>473</v>
      </c>
      <c r="GU238" s="584" t="s">
        <v>473</v>
      </c>
      <c r="GV238" s="584">
        <v>1</v>
      </c>
      <c r="GW238" s="584"/>
      <c r="GX238" s="584"/>
      <c r="GY238" s="584"/>
      <c r="GZ238" s="584"/>
      <c r="HA238" s="584">
        <v>27.5010075</v>
      </c>
      <c r="HB238" s="584">
        <v>30</v>
      </c>
      <c r="HC238" s="584">
        <v>55.002015</v>
      </c>
      <c r="HD238" s="584">
        <v>60</v>
      </c>
      <c r="HE238" s="584">
        <v>110.00403</v>
      </c>
      <c r="HF238" s="584">
        <v>120</v>
      </c>
      <c r="HG238" s="1100">
        <v>0.63</v>
      </c>
      <c r="HH238" s="1100">
        <v>0.11</v>
      </c>
      <c r="HI238" s="1101">
        <v>0</v>
      </c>
      <c r="HJ238" s="1101">
        <v>0</v>
      </c>
      <c r="HK238" s="1101">
        <v>0</v>
      </c>
      <c r="HL238" s="1101">
        <v>0</v>
      </c>
      <c r="HM238" s="1101">
        <v>32.436</v>
      </c>
      <c r="HN238" s="1101">
        <v>54.999999999999993</v>
      </c>
      <c r="HO238" s="1101">
        <v>0</v>
      </c>
      <c r="HP238" s="1101">
        <v>0</v>
      </c>
      <c r="HQ238" s="1101">
        <v>1</v>
      </c>
      <c r="HR238" s="1101">
        <v>0.52</v>
      </c>
      <c r="HS238" s="1101">
        <v>0.48</v>
      </c>
      <c r="HT238" s="1101">
        <v>0.3</v>
      </c>
      <c r="HU238" s="1101">
        <v>0.24</v>
      </c>
      <c r="HV238" s="1101">
        <v>28.183103699999993</v>
      </c>
      <c r="HW238" s="1101">
        <v>30</v>
      </c>
      <c r="HX238" s="1101">
        <v>56.366207399999986</v>
      </c>
      <c r="HY238" s="1101">
        <v>60</v>
      </c>
      <c r="HZ238" s="1101">
        <v>112.73241479999997</v>
      </c>
      <c r="IA238" s="1101">
        <v>120</v>
      </c>
      <c r="IB238" s="1062"/>
      <c r="ID238" s="1050"/>
      <c r="IE238" s="1050"/>
      <c r="IM238" s="1050"/>
      <c r="IN238" s="1050"/>
      <c r="IO238" s="1050"/>
      <c r="IP238" s="1050"/>
      <c r="JU238" s="1050"/>
      <c r="KC238" s="1050"/>
      <c r="KD238" s="1050"/>
      <c r="KE238" s="1050"/>
      <c r="KF238" s="1050"/>
      <c r="KN238" s="1103"/>
    </row>
    <row r="239" spans="2:300">
      <c r="B239" s="1048" t="str">
        <f t="shared" si="8"/>
        <v>H57</v>
      </c>
      <c r="C239" s="1092">
        <v>5</v>
      </c>
      <c r="D239" s="1092">
        <v>7</v>
      </c>
      <c r="E239" s="584">
        <v>0.25</v>
      </c>
      <c r="F239" s="584">
        <v>0.25</v>
      </c>
      <c r="G239" s="584">
        <v>600</v>
      </c>
      <c r="H239" s="584">
        <v>17.5</v>
      </c>
      <c r="I239" s="584">
        <v>0</v>
      </c>
      <c r="J239" s="584">
        <v>0</v>
      </c>
      <c r="K239" s="584">
        <v>0</v>
      </c>
      <c r="L239" s="584">
        <v>0</v>
      </c>
      <c r="M239" s="584">
        <v>0</v>
      </c>
      <c r="N239" s="584">
        <v>0</v>
      </c>
      <c r="O239" s="584">
        <v>0</v>
      </c>
      <c r="P239" s="584">
        <v>0</v>
      </c>
      <c r="Q239" s="584">
        <v>0</v>
      </c>
      <c r="R239" s="584">
        <v>0</v>
      </c>
      <c r="S239" s="584">
        <v>0</v>
      </c>
      <c r="T239" s="584">
        <v>162.41793749999999</v>
      </c>
      <c r="U239" s="584">
        <v>35</v>
      </c>
      <c r="V239" s="584">
        <v>267.19518749999997</v>
      </c>
      <c r="W239" s="584">
        <v>73.5</v>
      </c>
      <c r="X239" s="584">
        <v>361.26600000000002</v>
      </c>
      <c r="Y239" s="584">
        <v>154</v>
      </c>
      <c r="Z239" s="584">
        <v>0.215</v>
      </c>
      <c r="AA239" s="584">
        <v>0.215</v>
      </c>
      <c r="AB239" s="584">
        <v>516</v>
      </c>
      <c r="AC239" s="584">
        <v>15</v>
      </c>
      <c r="AD239" s="584">
        <v>0</v>
      </c>
      <c r="AE239" s="584">
        <v>0</v>
      </c>
      <c r="AF239" s="584">
        <v>0</v>
      </c>
      <c r="AG239" s="584">
        <v>0</v>
      </c>
      <c r="AH239" s="584">
        <v>0</v>
      </c>
      <c r="AI239" s="584">
        <v>0</v>
      </c>
      <c r="AJ239" s="584">
        <v>0</v>
      </c>
      <c r="AK239" s="584">
        <v>0</v>
      </c>
      <c r="AL239" s="584">
        <v>0</v>
      </c>
      <c r="AM239" s="584">
        <v>0</v>
      </c>
      <c r="AN239" s="584">
        <v>0</v>
      </c>
      <c r="AO239" s="584">
        <v>153.67668750000001</v>
      </c>
      <c r="AP239" s="584">
        <v>35</v>
      </c>
      <c r="AQ239" s="584">
        <v>249.83081250000001</v>
      </c>
      <c r="AR239" s="584">
        <v>73.5</v>
      </c>
      <c r="AS239" s="584">
        <v>327.57850000000002</v>
      </c>
      <c r="AT239" s="584">
        <v>154</v>
      </c>
      <c r="AU239" s="584">
        <v>0.35</v>
      </c>
      <c r="AV239" s="584">
        <v>0.25</v>
      </c>
      <c r="AW239" s="584">
        <v>450.57224025974</v>
      </c>
      <c r="AX239" s="584">
        <v>26.949844426406901</v>
      </c>
      <c r="AY239" s="584">
        <v>0</v>
      </c>
      <c r="AZ239" s="584">
        <v>0</v>
      </c>
      <c r="BA239" s="584">
        <v>0</v>
      </c>
      <c r="BB239" s="584">
        <v>0</v>
      </c>
      <c r="BC239" s="584">
        <v>0</v>
      </c>
      <c r="BD239" s="584">
        <v>0</v>
      </c>
      <c r="BE239" s="584">
        <v>0</v>
      </c>
      <c r="BF239" s="584">
        <v>0</v>
      </c>
      <c r="BG239" s="584">
        <v>0.35</v>
      </c>
      <c r="BH239" s="584">
        <v>0</v>
      </c>
      <c r="BI239" s="584">
        <v>0.6</v>
      </c>
      <c r="BJ239" s="584">
        <v>151.60353348214301</v>
      </c>
      <c r="BK239" s="584">
        <v>35</v>
      </c>
      <c r="BL239" s="584">
        <v>237.92149218750001</v>
      </c>
      <c r="BM239" s="584">
        <v>73.5</v>
      </c>
      <c r="BN239" s="584">
        <v>296.11284375000002</v>
      </c>
      <c r="BO239" s="584">
        <v>154</v>
      </c>
      <c r="BP239" s="584">
        <v>0.375</v>
      </c>
      <c r="BQ239" s="584">
        <v>0.13500000000000001</v>
      </c>
      <c r="BR239" s="584">
        <v>383.27597402597399</v>
      </c>
      <c r="BS239" s="584">
        <v>21.353311688311699</v>
      </c>
      <c r="BT239" s="584">
        <v>0</v>
      </c>
      <c r="BU239" s="584">
        <v>0</v>
      </c>
      <c r="BV239" s="584">
        <v>0</v>
      </c>
      <c r="BW239" s="584">
        <v>0</v>
      </c>
      <c r="BX239" s="584">
        <v>0</v>
      </c>
      <c r="BY239" s="584">
        <v>0</v>
      </c>
      <c r="BZ239" s="584">
        <v>0</v>
      </c>
      <c r="CA239" s="584">
        <v>0.27500000000000002</v>
      </c>
      <c r="CB239" s="584">
        <v>0.375</v>
      </c>
      <c r="CC239" s="584">
        <v>0.3</v>
      </c>
      <c r="CD239" s="584">
        <v>0.3</v>
      </c>
      <c r="CE239" s="584">
        <v>144.47205</v>
      </c>
      <c r="CF239" s="584">
        <v>35</v>
      </c>
      <c r="CG239" s="584">
        <v>225.708675</v>
      </c>
      <c r="CH239" s="584">
        <v>73.5</v>
      </c>
      <c r="CI239" s="584">
        <v>267.30529999999999</v>
      </c>
      <c r="CJ239" s="584">
        <v>154</v>
      </c>
      <c r="CK239" s="584">
        <v>0.375</v>
      </c>
      <c r="CL239" s="584">
        <v>0.16</v>
      </c>
      <c r="CM239" s="584">
        <v>433.28145292207802</v>
      </c>
      <c r="CN239" s="584">
        <v>20.871540178571401</v>
      </c>
      <c r="CO239" s="584">
        <v>0</v>
      </c>
      <c r="CP239" s="584">
        <v>0</v>
      </c>
      <c r="CQ239" s="584">
        <v>0</v>
      </c>
      <c r="CR239" s="584">
        <v>0</v>
      </c>
      <c r="CS239" s="584">
        <v>0</v>
      </c>
      <c r="CT239" s="584">
        <v>0</v>
      </c>
      <c r="CU239" s="584">
        <v>0</v>
      </c>
      <c r="CV239" s="584">
        <v>0</v>
      </c>
      <c r="CW239" s="584">
        <v>0.375</v>
      </c>
      <c r="CX239" s="584">
        <v>0</v>
      </c>
      <c r="CY239" s="584">
        <v>0.6</v>
      </c>
      <c r="CZ239" s="584">
        <v>150.6078</v>
      </c>
      <c r="DA239" s="584">
        <v>35</v>
      </c>
      <c r="DB239" s="584">
        <v>234.42067499999999</v>
      </c>
      <c r="DC239" s="584">
        <v>73.5</v>
      </c>
      <c r="DD239" s="584">
        <v>291.0498</v>
      </c>
      <c r="DE239" s="584">
        <v>154</v>
      </c>
      <c r="DF239" s="584">
        <v>0.35</v>
      </c>
      <c r="DG239" s="584">
        <v>0.2</v>
      </c>
      <c r="DH239" s="584">
        <v>368.80275974026</v>
      </c>
      <c r="DI239" s="584">
        <v>22.294219967532499</v>
      </c>
      <c r="DJ239" s="584">
        <v>300</v>
      </c>
      <c r="DK239" s="584">
        <v>0</v>
      </c>
      <c r="DL239" s="584">
        <v>0</v>
      </c>
      <c r="DM239" s="584">
        <v>0</v>
      </c>
      <c r="DN239" s="584">
        <v>0</v>
      </c>
      <c r="DO239" s="584">
        <v>0</v>
      </c>
      <c r="DP239" s="584">
        <v>0</v>
      </c>
      <c r="DQ239" s="584">
        <v>0</v>
      </c>
      <c r="DR239" s="584">
        <v>0.35</v>
      </c>
      <c r="DS239" s="584">
        <v>0</v>
      </c>
      <c r="DT239" s="584">
        <v>2.4</v>
      </c>
      <c r="DU239" s="584">
        <v>152.96924999999999</v>
      </c>
      <c r="DV239" s="584">
        <v>35</v>
      </c>
      <c r="DW239" s="584">
        <v>267.73750000000001</v>
      </c>
      <c r="DX239" s="584">
        <v>73.5</v>
      </c>
      <c r="DY239" s="584">
        <v>375.07650000000001</v>
      </c>
      <c r="DZ239" s="584">
        <v>154</v>
      </c>
      <c r="EA239" s="1062">
        <v>0.60799999999999998</v>
      </c>
      <c r="EB239" s="1046">
        <v>0.25</v>
      </c>
      <c r="EC239" s="1093">
        <v>132.51783893985731</v>
      </c>
      <c r="ED239" s="1046">
        <v>0</v>
      </c>
      <c r="EE239" s="1046">
        <v>346.58511722731902</v>
      </c>
      <c r="EF239" s="1046">
        <v>16.522857142857141</v>
      </c>
      <c r="EG239" s="1046">
        <v>0</v>
      </c>
      <c r="EH239" s="1046">
        <v>0</v>
      </c>
      <c r="EI239" s="1046" t="s">
        <v>477</v>
      </c>
      <c r="EJ239" s="1046" t="s">
        <v>494</v>
      </c>
      <c r="EK239" s="1046">
        <v>0</v>
      </c>
      <c r="EL239" s="1046">
        <v>0</v>
      </c>
      <c r="EM239" s="1046">
        <v>0</v>
      </c>
      <c r="EN239" s="1046">
        <v>0</v>
      </c>
      <c r="EO239" s="1046">
        <v>0</v>
      </c>
      <c r="EP239" s="1094">
        <v>67.918280750000008</v>
      </c>
      <c r="EQ239" s="1094">
        <v>35</v>
      </c>
      <c r="ER239" s="1094">
        <v>135.83656150000002</v>
      </c>
      <c r="ES239" s="1095">
        <v>70</v>
      </c>
      <c r="ET239" s="1094">
        <v>271.67312300000003</v>
      </c>
      <c r="EU239" s="1094">
        <v>140</v>
      </c>
      <c r="EV239" s="1096">
        <v>0.60460000000000003</v>
      </c>
      <c r="EW239" s="1097">
        <v>0.15</v>
      </c>
      <c r="EX239" s="1096">
        <v>289.50050968399592</v>
      </c>
      <c r="EY239" s="1096">
        <v>1.5443934760448521</v>
      </c>
      <c r="EZ239" s="1096">
        <v>0</v>
      </c>
      <c r="FA239" s="1096">
        <v>16.60285714285714</v>
      </c>
      <c r="FB239" s="1098">
        <v>0</v>
      </c>
      <c r="FC239" s="1098">
        <v>0</v>
      </c>
      <c r="FD239" s="1098" t="s">
        <v>459</v>
      </c>
      <c r="FE239" s="1098" t="s">
        <v>490</v>
      </c>
      <c r="FF239" s="1098">
        <v>1</v>
      </c>
      <c r="FG239" s="1098">
        <v>0</v>
      </c>
      <c r="FH239" s="1098">
        <v>0</v>
      </c>
      <c r="FI239" s="1098">
        <v>0</v>
      </c>
      <c r="FJ239" s="1098">
        <v>0</v>
      </c>
      <c r="FK239" s="1096">
        <v>52.745214625000003</v>
      </c>
      <c r="FL239" s="1096">
        <v>35</v>
      </c>
      <c r="FM239" s="1096">
        <v>105.49042925000001</v>
      </c>
      <c r="FN239" s="1096">
        <v>70</v>
      </c>
      <c r="FO239" s="1096">
        <v>210.98085850000001</v>
      </c>
      <c r="FP239" s="1099">
        <v>140</v>
      </c>
      <c r="FQ239" s="1064">
        <v>0.57475999999999994</v>
      </c>
      <c r="FR239" s="1065">
        <v>0.15</v>
      </c>
      <c r="FS239" s="1066">
        <v>289.50050968399586</v>
      </c>
      <c r="FT239" s="1066">
        <v>3.1754272996334754</v>
      </c>
      <c r="FU239" s="1065"/>
      <c r="FV239" s="1066">
        <v>36.928209570031449</v>
      </c>
      <c r="FW239" s="1065"/>
      <c r="FX239" s="1065"/>
      <c r="FY239" s="1065" t="s">
        <v>490</v>
      </c>
      <c r="FZ239" s="1065" t="s">
        <v>490</v>
      </c>
      <c r="GA239" s="1065">
        <v>1</v>
      </c>
      <c r="GB239" s="1065"/>
      <c r="GC239" s="1065"/>
      <c r="GD239" s="1065"/>
      <c r="GE239" s="1065"/>
      <c r="GF239" s="1066">
        <v>53.667395929799866</v>
      </c>
      <c r="GG239" s="1066">
        <v>35</v>
      </c>
      <c r="GH239" s="1066">
        <v>107.33479185959973</v>
      </c>
      <c r="GI239" s="1066">
        <v>70</v>
      </c>
      <c r="GJ239" s="1066">
        <v>214.66958371919947</v>
      </c>
      <c r="GK239" s="1066">
        <v>140</v>
      </c>
      <c r="GL239" s="584">
        <v>0.55979999999999996</v>
      </c>
      <c r="GM239" s="584">
        <v>0.11</v>
      </c>
      <c r="GN239" s="584"/>
      <c r="GO239" s="584"/>
      <c r="GP239" s="584"/>
      <c r="GQ239" s="584">
        <v>26.4914285714286</v>
      </c>
      <c r="GR239" s="584"/>
      <c r="GS239" s="584">
        <v>56.065239551478101</v>
      </c>
      <c r="GT239" s="584" t="s">
        <v>473</v>
      </c>
      <c r="GU239" s="584" t="s">
        <v>461</v>
      </c>
      <c r="GV239" s="584">
        <v>1</v>
      </c>
      <c r="GW239" s="584"/>
      <c r="GX239" s="584"/>
      <c r="GY239" s="584"/>
      <c r="GZ239" s="584"/>
      <c r="HA239" s="584">
        <v>32.461458</v>
      </c>
      <c r="HB239" s="584">
        <v>35</v>
      </c>
      <c r="HC239" s="584">
        <v>64.922916000000001</v>
      </c>
      <c r="HD239" s="584">
        <v>70</v>
      </c>
      <c r="HE239" s="584">
        <v>129.845832</v>
      </c>
      <c r="HF239" s="584">
        <v>140</v>
      </c>
      <c r="HG239" s="1100">
        <v>0.67</v>
      </c>
      <c r="HH239" s="1100">
        <v>0.11</v>
      </c>
      <c r="HI239" s="1101">
        <v>0</v>
      </c>
      <c r="HJ239" s="1101">
        <v>0</v>
      </c>
      <c r="HK239" s="1101">
        <v>0</v>
      </c>
      <c r="HL239" s="1101">
        <v>0</v>
      </c>
      <c r="HM239" s="1101">
        <v>37.008000000000003</v>
      </c>
      <c r="HN239" s="1101">
        <v>54.999999999999993</v>
      </c>
      <c r="HO239" s="1101">
        <v>0</v>
      </c>
      <c r="HP239" s="1101">
        <v>0</v>
      </c>
      <c r="HQ239" s="1101">
        <v>1</v>
      </c>
      <c r="HR239" s="1101">
        <v>0.56000000000000005</v>
      </c>
      <c r="HS239" s="1101">
        <v>0.56000000000000005</v>
      </c>
      <c r="HT239" s="1101">
        <v>0.3</v>
      </c>
      <c r="HU239" s="1101">
        <v>0.26</v>
      </c>
      <c r="HV239" s="1101">
        <v>33.272736699999996</v>
      </c>
      <c r="HW239" s="1101">
        <v>35</v>
      </c>
      <c r="HX239" s="1101">
        <v>66.545473399999992</v>
      </c>
      <c r="HY239" s="1101">
        <v>70</v>
      </c>
      <c r="HZ239" s="1101">
        <v>133.09094679999998</v>
      </c>
      <c r="IA239" s="1101">
        <v>140</v>
      </c>
      <c r="IB239" s="1062"/>
      <c r="ID239" s="1050"/>
      <c r="IE239" s="1050"/>
      <c r="IM239" s="1050"/>
      <c r="IN239" s="1050"/>
      <c r="IO239" s="1050"/>
      <c r="IP239" s="1050"/>
      <c r="JU239" s="1050"/>
      <c r="KC239" s="1050"/>
      <c r="KD239" s="1050"/>
      <c r="KE239" s="1050"/>
      <c r="KF239" s="1050"/>
      <c r="KN239" s="1103"/>
    </row>
    <row r="240" spans="2:300">
      <c r="B240" s="1048" t="str">
        <f t="shared" si="8"/>
        <v>H58</v>
      </c>
      <c r="C240" s="1092">
        <v>5</v>
      </c>
      <c r="D240" s="1092">
        <v>8</v>
      </c>
      <c r="E240" s="584">
        <v>0.28999999999999998</v>
      </c>
      <c r="F240" s="584">
        <v>0.28999999999999998</v>
      </c>
      <c r="G240" s="584">
        <v>696</v>
      </c>
      <c r="H240" s="584">
        <v>18.850000000000001</v>
      </c>
      <c r="I240" s="584">
        <v>0</v>
      </c>
      <c r="J240" s="584">
        <v>0</v>
      </c>
      <c r="K240" s="584">
        <v>0</v>
      </c>
      <c r="L240" s="584">
        <v>0</v>
      </c>
      <c r="M240" s="584">
        <v>0</v>
      </c>
      <c r="N240" s="584">
        <v>0</v>
      </c>
      <c r="O240" s="584">
        <v>0</v>
      </c>
      <c r="P240" s="584">
        <v>0</v>
      </c>
      <c r="Q240" s="584">
        <v>0</v>
      </c>
      <c r="R240" s="584">
        <v>0</v>
      </c>
      <c r="S240" s="584">
        <v>0</v>
      </c>
      <c r="T240" s="584">
        <v>191.59043750000001</v>
      </c>
      <c r="U240" s="584">
        <v>40</v>
      </c>
      <c r="V240" s="584">
        <v>327.32343750000001</v>
      </c>
      <c r="W240" s="584">
        <v>84</v>
      </c>
      <c r="X240" s="584">
        <v>455.59100000000001</v>
      </c>
      <c r="Y240" s="584">
        <v>176</v>
      </c>
      <c r="Z240" s="584">
        <v>0.245</v>
      </c>
      <c r="AA240" s="584">
        <v>0.245</v>
      </c>
      <c r="AB240" s="584">
        <v>588</v>
      </c>
      <c r="AC240" s="584">
        <v>15</v>
      </c>
      <c r="AD240" s="584">
        <v>0</v>
      </c>
      <c r="AE240" s="584">
        <v>0</v>
      </c>
      <c r="AF240" s="584">
        <v>0</v>
      </c>
      <c r="AG240" s="584">
        <v>0</v>
      </c>
      <c r="AH240" s="584">
        <v>0</v>
      </c>
      <c r="AI240" s="584">
        <v>0</v>
      </c>
      <c r="AJ240" s="584">
        <v>0</v>
      </c>
      <c r="AK240" s="584">
        <v>0</v>
      </c>
      <c r="AL240" s="584">
        <v>0</v>
      </c>
      <c r="AM240" s="584">
        <v>0</v>
      </c>
      <c r="AN240" s="584">
        <v>0</v>
      </c>
      <c r="AO240" s="584">
        <v>178.83293750000001</v>
      </c>
      <c r="AP240" s="584">
        <v>40</v>
      </c>
      <c r="AQ240" s="584">
        <v>301.80843750000003</v>
      </c>
      <c r="AR240" s="584">
        <v>84</v>
      </c>
      <c r="AS240" s="584">
        <v>406.09100000000001</v>
      </c>
      <c r="AT240" s="584">
        <v>176</v>
      </c>
      <c r="AU240" s="584">
        <v>0.47499999999999998</v>
      </c>
      <c r="AV240" s="584">
        <v>0.25</v>
      </c>
      <c r="AW240" s="584">
        <v>467.52296484003801</v>
      </c>
      <c r="AX240" s="584">
        <v>24.9139016471334</v>
      </c>
      <c r="AY240" s="584">
        <v>0</v>
      </c>
      <c r="AZ240" s="584">
        <v>0</v>
      </c>
      <c r="BA240" s="584">
        <v>0</v>
      </c>
      <c r="BB240" s="584">
        <v>0</v>
      </c>
      <c r="BC240" s="584">
        <v>0</v>
      </c>
      <c r="BD240" s="584">
        <v>0</v>
      </c>
      <c r="BE240" s="584">
        <v>0</v>
      </c>
      <c r="BF240" s="584">
        <v>0</v>
      </c>
      <c r="BG240" s="584">
        <v>0.47499999999999998</v>
      </c>
      <c r="BH240" s="584">
        <v>0</v>
      </c>
      <c r="BI240" s="584">
        <v>0.45</v>
      </c>
      <c r="BJ240" s="584">
        <v>170.498530487805</v>
      </c>
      <c r="BK240" s="584">
        <v>40</v>
      </c>
      <c r="BL240" s="584">
        <v>275.19031097560998</v>
      </c>
      <c r="BM240" s="584">
        <v>84</v>
      </c>
      <c r="BN240" s="584">
        <v>347.21323954703797</v>
      </c>
      <c r="BO240" s="584">
        <v>176</v>
      </c>
      <c r="BP240" s="584">
        <v>0.47499999999999998</v>
      </c>
      <c r="BQ240" s="584">
        <v>0.13500000000000001</v>
      </c>
      <c r="BR240" s="584">
        <v>402.88755147291698</v>
      </c>
      <c r="BS240" s="584">
        <v>26.3509969908141</v>
      </c>
      <c r="BT240" s="584">
        <v>0</v>
      </c>
      <c r="BU240" s="584">
        <v>0</v>
      </c>
      <c r="BV240" s="584">
        <v>0</v>
      </c>
      <c r="BW240" s="584">
        <v>0</v>
      </c>
      <c r="BX240" s="584">
        <v>0</v>
      </c>
      <c r="BY240" s="584">
        <v>0</v>
      </c>
      <c r="BZ240" s="584">
        <v>0</v>
      </c>
      <c r="CA240" s="584">
        <v>0.27500000000000002</v>
      </c>
      <c r="CB240" s="584">
        <v>0.47499999999999998</v>
      </c>
      <c r="CC240" s="584">
        <v>0.3</v>
      </c>
      <c r="CD240" s="584">
        <v>0.3</v>
      </c>
      <c r="CE240" s="584">
        <v>162.45529999999999</v>
      </c>
      <c r="CF240" s="584">
        <v>40</v>
      </c>
      <c r="CG240" s="584">
        <v>261.36329999999998</v>
      </c>
      <c r="CH240" s="584">
        <v>84</v>
      </c>
      <c r="CI240" s="584">
        <v>309.14980000000003</v>
      </c>
      <c r="CJ240" s="584">
        <v>176</v>
      </c>
      <c r="CK240" s="584">
        <v>0.45</v>
      </c>
      <c r="CL240" s="584">
        <v>0.16</v>
      </c>
      <c r="CM240" s="584">
        <v>448.422731232182</v>
      </c>
      <c r="CN240" s="584">
        <v>20.947142263224599</v>
      </c>
      <c r="CO240" s="584">
        <v>0</v>
      </c>
      <c r="CP240" s="584">
        <v>0</v>
      </c>
      <c r="CQ240" s="584">
        <v>0</v>
      </c>
      <c r="CR240" s="584">
        <v>0</v>
      </c>
      <c r="CS240" s="584">
        <v>0</v>
      </c>
      <c r="CT240" s="584">
        <v>0</v>
      </c>
      <c r="CU240" s="584">
        <v>0</v>
      </c>
      <c r="CV240" s="584">
        <v>0</v>
      </c>
      <c r="CW240" s="584">
        <v>0.45</v>
      </c>
      <c r="CX240" s="584">
        <v>0</v>
      </c>
      <c r="CY240" s="584">
        <v>0.6</v>
      </c>
      <c r="CZ240" s="584">
        <v>168.56742499999999</v>
      </c>
      <c r="DA240" s="584">
        <v>40</v>
      </c>
      <c r="DB240" s="584">
        <v>269.89229999999998</v>
      </c>
      <c r="DC240" s="584">
        <v>84</v>
      </c>
      <c r="DD240" s="584">
        <v>337.98630000000003</v>
      </c>
      <c r="DE240" s="584">
        <v>176</v>
      </c>
      <c r="DF240" s="584">
        <v>0.35</v>
      </c>
      <c r="DG240" s="584">
        <v>0.2</v>
      </c>
      <c r="DH240" s="584">
        <v>376.77581564776699</v>
      </c>
      <c r="DI240" s="584">
        <v>22.841225134621499</v>
      </c>
      <c r="DJ240" s="584">
        <v>300</v>
      </c>
      <c r="DK240" s="584">
        <v>0</v>
      </c>
      <c r="DL240" s="584">
        <v>0</v>
      </c>
      <c r="DM240" s="584">
        <v>0</v>
      </c>
      <c r="DN240" s="584">
        <v>0</v>
      </c>
      <c r="DO240" s="584">
        <v>0</v>
      </c>
      <c r="DP240" s="584">
        <v>0</v>
      </c>
      <c r="DQ240" s="584">
        <v>0</v>
      </c>
      <c r="DR240" s="584">
        <v>0.35</v>
      </c>
      <c r="DS240" s="584">
        <v>0</v>
      </c>
      <c r="DT240" s="584">
        <v>2.4</v>
      </c>
      <c r="DU240" s="584">
        <v>171.60874999999999</v>
      </c>
      <c r="DV240" s="584">
        <v>40</v>
      </c>
      <c r="DW240" s="584">
        <v>294.26949999999999</v>
      </c>
      <c r="DX240" s="584">
        <v>84</v>
      </c>
      <c r="DY240" s="584">
        <v>427.42649999999998</v>
      </c>
      <c r="DZ240" s="584">
        <v>176</v>
      </c>
      <c r="EA240" s="1062">
        <v>0.61339999999999995</v>
      </c>
      <c r="EB240" s="1046">
        <v>0.25</v>
      </c>
      <c r="EC240" s="1093">
        <v>132.51783893985731</v>
      </c>
      <c r="ED240" s="1046">
        <v>0</v>
      </c>
      <c r="EE240" s="1046">
        <v>346.58511722731902</v>
      </c>
      <c r="EF240" s="1046">
        <v>18.587499999999999</v>
      </c>
      <c r="EG240" s="1046">
        <v>0</v>
      </c>
      <c r="EH240" s="1046">
        <v>0</v>
      </c>
      <c r="EI240" s="1046" t="s">
        <v>475</v>
      </c>
      <c r="EJ240" s="1046" t="s">
        <v>479</v>
      </c>
      <c r="EK240" s="1046">
        <v>0</v>
      </c>
      <c r="EL240" s="1046">
        <v>0</v>
      </c>
      <c r="EM240" s="1046">
        <v>0</v>
      </c>
      <c r="EN240" s="1046">
        <v>0</v>
      </c>
      <c r="EO240" s="1046">
        <v>0</v>
      </c>
      <c r="EP240" s="1094">
        <v>77.823433749999992</v>
      </c>
      <c r="EQ240" s="1094">
        <v>40</v>
      </c>
      <c r="ER240" s="1094">
        <v>155.64686749999998</v>
      </c>
      <c r="ES240" s="1095">
        <v>80</v>
      </c>
      <c r="ET240" s="1094">
        <v>311.29373499999997</v>
      </c>
      <c r="EU240" s="1094">
        <v>160</v>
      </c>
      <c r="EV240" s="1096">
        <v>0.60460000000000003</v>
      </c>
      <c r="EW240" s="1097">
        <v>0.15</v>
      </c>
      <c r="EX240" s="1096">
        <v>289.50050968399592</v>
      </c>
      <c r="EY240" s="1096">
        <v>1.5443934760448521</v>
      </c>
      <c r="EZ240" s="1096">
        <v>0</v>
      </c>
      <c r="FA240" s="1096">
        <v>16.475000000000001</v>
      </c>
      <c r="FB240" s="1098">
        <v>0</v>
      </c>
      <c r="FC240" s="1098">
        <v>0</v>
      </c>
      <c r="FD240" s="1098" t="s">
        <v>459</v>
      </c>
      <c r="FE240" s="1098" t="s">
        <v>481</v>
      </c>
      <c r="FF240" s="1098">
        <v>1</v>
      </c>
      <c r="FG240" s="1098">
        <v>0</v>
      </c>
      <c r="FH240" s="1098">
        <v>0</v>
      </c>
      <c r="FI240" s="1098">
        <v>0</v>
      </c>
      <c r="FJ240" s="1098">
        <v>0</v>
      </c>
      <c r="FK240" s="1096">
        <v>60.267702499999999</v>
      </c>
      <c r="FL240" s="1096">
        <v>40</v>
      </c>
      <c r="FM240" s="1096">
        <v>120.535405</v>
      </c>
      <c r="FN240" s="1096">
        <v>80</v>
      </c>
      <c r="FO240" s="1096">
        <v>241.07080999999999</v>
      </c>
      <c r="FP240" s="1099">
        <v>160</v>
      </c>
      <c r="FQ240" s="1064">
        <v>0.64195999999999998</v>
      </c>
      <c r="FR240" s="1065">
        <v>0.15</v>
      </c>
      <c r="FS240" s="1066">
        <v>289.50050968399586</v>
      </c>
      <c r="FT240" s="1066">
        <v>3.1754272996334754</v>
      </c>
      <c r="FU240" s="1065"/>
      <c r="FV240" s="1066">
        <v>36.769760311912542</v>
      </c>
      <c r="FW240" s="1065"/>
      <c r="FX240" s="1065"/>
      <c r="FY240" s="1065" t="s">
        <v>481</v>
      </c>
      <c r="FZ240" s="1065" t="s">
        <v>490</v>
      </c>
      <c r="GA240" s="1065">
        <v>1</v>
      </c>
      <c r="GB240" s="1065"/>
      <c r="GC240" s="1065"/>
      <c r="GD240" s="1065"/>
      <c r="GE240" s="1065"/>
      <c r="GF240" s="1066">
        <v>61.31862290469266</v>
      </c>
      <c r="GG240" s="1066">
        <v>40</v>
      </c>
      <c r="GH240" s="1066">
        <v>122.63724580938532</v>
      </c>
      <c r="GI240" s="1066">
        <v>80</v>
      </c>
      <c r="GJ240" s="1066">
        <v>245.27449161877064</v>
      </c>
      <c r="GK240" s="1066">
        <v>160</v>
      </c>
      <c r="GL240" s="584">
        <v>0.63470000000000004</v>
      </c>
      <c r="GM240" s="584">
        <v>0.11</v>
      </c>
      <c r="GN240" s="584"/>
      <c r="GO240" s="584"/>
      <c r="GP240" s="584"/>
      <c r="GQ240" s="584">
        <v>32.03</v>
      </c>
      <c r="GR240" s="584"/>
      <c r="GS240" s="584">
        <v>56.065239551478101</v>
      </c>
      <c r="GT240" s="584" t="s">
        <v>471</v>
      </c>
      <c r="GU240" s="584" t="s">
        <v>438</v>
      </c>
      <c r="GV240" s="584">
        <v>1</v>
      </c>
      <c r="GW240" s="584"/>
      <c r="GX240" s="584"/>
      <c r="GY240" s="584"/>
      <c r="GZ240" s="584"/>
      <c r="HA240" s="584">
        <v>37.642142999999997</v>
      </c>
      <c r="HB240" s="584">
        <v>40</v>
      </c>
      <c r="HC240" s="584">
        <v>75.284285999999994</v>
      </c>
      <c r="HD240" s="584">
        <v>80</v>
      </c>
      <c r="HE240" s="584">
        <v>150.56857199999999</v>
      </c>
      <c r="HF240" s="584">
        <v>160</v>
      </c>
      <c r="HG240" s="1100">
        <v>0.75</v>
      </c>
      <c r="HH240" s="1100">
        <v>0.11</v>
      </c>
      <c r="HI240" s="1101">
        <v>0</v>
      </c>
      <c r="HJ240" s="1101">
        <v>0</v>
      </c>
      <c r="HK240" s="1101">
        <v>0</v>
      </c>
      <c r="HL240" s="1101">
        <v>0</v>
      </c>
      <c r="HM240" s="1101">
        <v>44.685000000000002</v>
      </c>
      <c r="HN240" s="1101">
        <v>54.999999999999993</v>
      </c>
      <c r="HO240" s="1101">
        <v>0</v>
      </c>
      <c r="HP240" s="1101">
        <v>0</v>
      </c>
      <c r="HQ240" s="1101">
        <v>1</v>
      </c>
      <c r="HR240" s="1101">
        <v>0.6</v>
      </c>
      <c r="HS240" s="1101">
        <v>0.64</v>
      </c>
      <c r="HT240" s="1101">
        <v>0.3</v>
      </c>
      <c r="HU240" s="1101">
        <v>0.3</v>
      </c>
      <c r="HV240" s="1101">
        <v>38.779098499999996</v>
      </c>
      <c r="HW240" s="1101">
        <v>40</v>
      </c>
      <c r="HX240" s="1101">
        <v>77.558196999999993</v>
      </c>
      <c r="HY240" s="1101">
        <v>80</v>
      </c>
      <c r="HZ240" s="1101">
        <v>155.11639399999999</v>
      </c>
      <c r="IA240" s="1101">
        <v>160</v>
      </c>
      <c r="IB240" s="1062"/>
      <c r="ID240" s="1050"/>
      <c r="IE240" s="1050"/>
      <c r="IM240" s="1050"/>
      <c r="IN240" s="1050"/>
      <c r="IO240" s="1050"/>
      <c r="IP240" s="1050"/>
      <c r="JU240" s="1050"/>
      <c r="KC240" s="1050"/>
      <c r="KD240" s="1050"/>
      <c r="KE240" s="1050"/>
      <c r="KF240" s="1050"/>
      <c r="KN240" s="1103"/>
    </row>
    <row r="241" spans="2:300">
      <c r="B241" s="1048" t="str">
        <f t="shared" si="8"/>
        <v>H59</v>
      </c>
      <c r="C241" s="1092">
        <v>5</v>
      </c>
      <c r="D241" s="1092">
        <v>9</v>
      </c>
      <c r="E241" s="584">
        <v>0.35499999999999998</v>
      </c>
      <c r="F241" s="584">
        <v>0.35499999999999998</v>
      </c>
      <c r="G241" s="584">
        <v>852</v>
      </c>
      <c r="H241" s="584">
        <v>19.88</v>
      </c>
      <c r="I241" s="584">
        <v>0</v>
      </c>
      <c r="J241" s="584">
        <v>0</v>
      </c>
      <c r="K241" s="584">
        <v>0</v>
      </c>
      <c r="L241" s="584">
        <v>0</v>
      </c>
      <c r="M241" s="584">
        <v>0</v>
      </c>
      <c r="N241" s="584">
        <v>0</v>
      </c>
      <c r="O241" s="584">
        <v>0</v>
      </c>
      <c r="P241" s="584">
        <v>0</v>
      </c>
      <c r="Q241" s="584">
        <v>0</v>
      </c>
      <c r="R241" s="584">
        <v>0</v>
      </c>
      <c r="S241" s="584">
        <v>0</v>
      </c>
      <c r="T241" s="584">
        <v>231.39418749999999</v>
      </c>
      <c r="U241" s="584">
        <v>45</v>
      </c>
      <c r="V241" s="584">
        <v>409.06856249999998</v>
      </c>
      <c r="W241" s="584">
        <v>94.5</v>
      </c>
      <c r="X241" s="584">
        <v>591.85350000000005</v>
      </c>
      <c r="Y241" s="584">
        <v>198</v>
      </c>
      <c r="Z241" s="584">
        <v>0.27500000000000002</v>
      </c>
      <c r="AA241" s="584">
        <v>0.27500000000000002</v>
      </c>
      <c r="AB241" s="584">
        <v>660</v>
      </c>
      <c r="AC241" s="584">
        <v>16</v>
      </c>
      <c r="AD241" s="584">
        <v>0</v>
      </c>
      <c r="AE241" s="584">
        <v>0</v>
      </c>
      <c r="AF241" s="584">
        <v>0</v>
      </c>
      <c r="AG241" s="584">
        <v>0</v>
      </c>
      <c r="AH241" s="584">
        <v>0</v>
      </c>
      <c r="AI241" s="584">
        <v>0</v>
      </c>
      <c r="AJ241" s="584">
        <v>0</v>
      </c>
      <c r="AK241" s="584">
        <v>0</v>
      </c>
      <c r="AL241" s="584">
        <v>0</v>
      </c>
      <c r="AM241" s="584">
        <v>0</v>
      </c>
      <c r="AN241" s="584">
        <v>0</v>
      </c>
      <c r="AO241" s="584">
        <v>206.01418749999999</v>
      </c>
      <c r="AP241" s="584">
        <v>45</v>
      </c>
      <c r="AQ241" s="584">
        <v>358.03856250000001</v>
      </c>
      <c r="AR241" s="584">
        <v>94.5</v>
      </c>
      <c r="AS241" s="584">
        <v>492.8535</v>
      </c>
      <c r="AT241" s="584">
        <v>198</v>
      </c>
      <c r="AU241" s="584">
        <v>0.55000000000000004</v>
      </c>
      <c r="AV241" s="584">
        <v>0.25</v>
      </c>
      <c r="AW241" s="584">
        <v>476.00225861095402</v>
      </c>
      <c r="AX241" s="584">
        <v>25.355872388481099</v>
      </c>
      <c r="AY241" s="584">
        <v>0</v>
      </c>
      <c r="AZ241" s="584">
        <v>0</v>
      </c>
      <c r="BA241" s="584">
        <v>0</v>
      </c>
      <c r="BB241" s="584">
        <v>0</v>
      </c>
      <c r="BC241" s="584">
        <v>0</v>
      </c>
      <c r="BD241" s="584">
        <v>0</v>
      </c>
      <c r="BE241" s="584">
        <v>0</v>
      </c>
      <c r="BF241" s="584">
        <v>0</v>
      </c>
      <c r="BG241" s="584">
        <v>0.55000000000000004</v>
      </c>
      <c r="BH241" s="584">
        <v>0</v>
      </c>
      <c r="BI241" s="584">
        <v>0.45</v>
      </c>
      <c r="BJ241" s="584">
        <v>188.47583462732899</v>
      </c>
      <c r="BK241" s="584">
        <v>45</v>
      </c>
      <c r="BL241" s="584">
        <v>310.02199728260899</v>
      </c>
      <c r="BM241" s="584">
        <v>94.5</v>
      </c>
      <c r="BN241" s="584">
        <v>390.39061024844699</v>
      </c>
      <c r="BO241" s="584">
        <v>198</v>
      </c>
      <c r="BP241" s="584">
        <v>0</v>
      </c>
      <c r="BQ241" s="584">
        <v>0</v>
      </c>
      <c r="BR241" s="584">
        <v>0</v>
      </c>
      <c r="BS241" s="584">
        <v>0</v>
      </c>
      <c r="BT241" s="584">
        <v>0</v>
      </c>
      <c r="BU241" s="584">
        <v>0</v>
      </c>
      <c r="BV241" s="584">
        <v>0</v>
      </c>
      <c r="BW241" s="584">
        <v>0</v>
      </c>
      <c r="BX241" s="584">
        <v>0</v>
      </c>
      <c r="BY241" s="584">
        <v>0</v>
      </c>
      <c r="BZ241" s="584">
        <v>0</v>
      </c>
      <c r="CA241" s="584">
        <v>0</v>
      </c>
      <c r="CB241" s="584">
        <v>0</v>
      </c>
      <c r="CC241" s="584">
        <v>0</v>
      </c>
      <c r="CD241" s="584">
        <v>0</v>
      </c>
      <c r="CE241" s="584">
        <v>0</v>
      </c>
      <c r="CF241" s="584">
        <v>0</v>
      </c>
      <c r="CG241" s="584">
        <v>0</v>
      </c>
      <c r="CH241" s="584">
        <v>0</v>
      </c>
      <c r="CI241" s="584">
        <v>0</v>
      </c>
      <c r="CJ241" s="584">
        <v>0</v>
      </c>
      <c r="CK241" s="584">
        <v>0.55000000000000004</v>
      </c>
      <c r="CL241" s="584">
        <v>0.16</v>
      </c>
      <c r="CM241" s="584">
        <v>468.91955463015302</v>
      </c>
      <c r="CN241" s="584">
        <v>21.614466579616</v>
      </c>
      <c r="CO241" s="584">
        <v>0</v>
      </c>
      <c r="CP241" s="584">
        <v>0</v>
      </c>
      <c r="CQ241" s="584">
        <v>0</v>
      </c>
      <c r="CR241" s="584">
        <v>0</v>
      </c>
      <c r="CS241" s="584">
        <v>0</v>
      </c>
      <c r="CT241" s="584">
        <v>0</v>
      </c>
      <c r="CU241" s="584">
        <v>0</v>
      </c>
      <c r="CV241" s="584">
        <v>0</v>
      </c>
      <c r="CW241" s="584">
        <v>0.55000000000000004</v>
      </c>
      <c r="CX241" s="584">
        <v>0</v>
      </c>
      <c r="CY241" s="584">
        <v>0.6</v>
      </c>
      <c r="CZ241" s="584">
        <v>187.87254999999999</v>
      </c>
      <c r="DA241" s="584">
        <v>45</v>
      </c>
      <c r="DB241" s="584">
        <v>307.41255000000001</v>
      </c>
      <c r="DC241" s="584">
        <v>94.5</v>
      </c>
      <c r="DD241" s="584">
        <v>389.08080000000001</v>
      </c>
      <c r="DE241" s="584">
        <v>198</v>
      </c>
      <c r="DF241" s="584">
        <v>0.35</v>
      </c>
      <c r="DG241" s="584">
        <v>0.2</v>
      </c>
      <c r="DH241" s="584">
        <v>387.32883963862201</v>
      </c>
      <c r="DI241" s="584">
        <v>21.871588862224701</v>
      </c>
      <c r="DJ241" s="584">
        <v>300</v>
      </c>
      <c r="DK241" s="584">
        <v>0</v>
      </c>
      <c r="DL241" s="584">
        <v>0</v>
      </c>
      <c r="DM241" s="584">
        <v>0</v>
      </c>
      <c r="DN241" s="584">
        <v>0</v>
      </c>
      <c r="DO241" s="584">
        <v>0</v>
      </c>
      <c r="DP241" s="584">
        <v>0</v>
      </c>
      <c r="DQ241" s="584">
        <v>0</v>
      </c>
      <c r="DR241" s="584">
        <v>0.35</v>
      </c>
      <c r="DS241" s="584">
        <v>0</v>
      </c>
      <c r="DT241" s="584">
        <v>2.4</v>
      </c>
      <c r="DU241" s="584">
        <v>191.78125</v>
      </c>
      <c r="DV241" s="584">
        <v>45</v>
      </c>
      <c r="DW241" s="584">
        <v>320.74074999999999</v>
      </c>
      <c r="DX241" s="584">
        <v>94.5</v>
      </c>
      <c r="DY241" s="584">
        <v>479.7765</v>
      </c>
      <c r="DZ241" s="584">
        <v>198</v>
      </c>
      <c r="EA241" s="1062">
        <v>0.70940000000000003</v>
      </c>
      <c r="EB241" s="1046">
        <v>0.3</v>
      </c>
      <c r="EC241" s="1093">
        <v>132.51783893985731</v>
      </c>
      <c r="ED241" s="1046">
        <v>0</v>
      </c>
      <c r="EE241" s="1046">
        <v>397.55351681957183</v>
      </c>
      <c r="EF241" s="1046">
        <v>20.875555555555554</v>
      </c>
      <c r="EG241" s="1046">
        <v>0</v>
      </c>
      <c r="EH241" s="1046">
        <v>0</v>
      </c>
      <c r="EI241" s="1046" t="s">
        <v>466</v>
      </c>
      <c r="EJ241" s="1046" t="s">
        <v>466</v>
      </c>
      <c r="EK241" s="1046">
        <v>0</v>
      </c>
      <c r="EL241" s="1046">
        <v>0</v>
      </c>
      <c r="EM241" s="1046">
        <v>0</v>
      </c>
      <c r="EN241" s="1046">
        <v>0</v>
      </c>
      <c r="EO241" s="1046">
        <v>0</v>
      </c>
      <c r="EP241" s="1094">
        <v>93.428878499999996</v>
      </c>
      <c r="EQ241" s="1094">
        <v>45</v>
      </c>
      <c r="ER241" s="1094">
        <v>186.85775699999999</v>
      </c>
      <c r="ES241" s="1095">
        <v>90</v>
      </c>
      <c r="ET241" s="1094">
        <v>373.71551399999998</v>
      </c>
      <c r="EU241" s="1094">
        <v>180</v>
      </c>
      <c r="EV241" s="1096">
        <v>0.60799999999999998</v>
      </c>
      <c r="EW241" s="1097">
        <v>0.15</v>
      </c>
      <c r="EX241" s="1096">
        <v>289.50050968399592</v>
      </c>
      <c r="EY241" s="1096">
        <v>1.5443934760448521</v>
      </c>
      <c r="EZ241" s="1096">
        <v>0</v>
      </c>
      <c r="FA241" s="1096">
        <v>16.466666666666665</v>
      </c>
      <c r="FB241" s="1098">
        <v>0</v>
      </c>
      <c r="FC241" s="1098">
        <v>0</v>
      </c>
      <c r="FD241" s="1098" t="s">
        <v>458</v>
      </c>
      <c r="FE241" s="1098" t="s">
        <v>481</v>
      </c>
      <c r="FF241" s="1098">
        <v>1</v>
      </c>
      <c r="FG241" s="1098">
        <v>0</v>
      </c>
      <c r="FH241" s="1098">
        <v>0</v>
      </c>
      <c r="FI241" s="1098">
        <v>0</v>
      </c>
      <c r="FJ241" s="1098">
        <v>0</v>
      </c>
      <c r="FK241" s="1096">
        <v>67.800245625000002</v>
      </c>
      <c r="FL241" s="1096">
        <v>45</v>
      </c>
      <c r="FM241" s="1096">
        <v>135.60049125</v>
      </c>
      <c r="FN241" s="1096">
        <v>90</v>
      </c>
      <c r="FO241" s="1096">
        <v>271.20098250000001</v>
      </c>
      <c r="FP241" s="1099">
        <v>180</v>
      </c>
      <c r="FQ241" s="1064">
        <v>0.64195999999999998</v>
      </c>
      <c r="FR241" s="1065">
        <v>0.15</v>
      </c>
      <c r="FS241" s="1066">
        <v>289.50050968399586</v>
      </c>
      <c r="FT241" s="1066">
        <v>3.1754272996334754</v>
      </c>
      <c r="FU241" s="1065"/>
      <c r="FV241" s="1066">
        <v>37.887456163998593</v>
      </c>
      <c r="FW241" s="1065"/>
      <c r="FX241" s="1065"/>
      <c r="FY241" s="1065" t="s">
        <v>481</v>
      </c>
      <c r="FZ241" s="1065" t="s">
        <v>481</v>
      </c>
      <c r="GA241" s="1065">
        <v>1</v>
      </c>
      <c r="GB241" s="1065"/>
      <c r="GC241" s="1065"/>
      <c r="GD241" s="1065"/>
      <c r="GE241" s="1065"/>
      <c r="GF241" s="1066">
        <v>69.106802476255098</v>
      </c>
      <c r="GG241" s="1066">
        <v>45</v>
      </c>
      <c r="GH241" s="1066">
        <v>138.2136049525102</v>
      </c>
      <c r="GI241" s="1066">
        <v>90</v>
      </c>
      <c r="GJ241" s="1066">
        <v>276.42720990502039</v>
      </c>
      <c r="GK241" s="1066">
        <v>180</v>
      </c>
      <c r="GL241" s="584">
        <v>0.70860000000000001</v>
      </c>
      <c r="GM241" s="584">
        <v>0.11</v>
      </c>
      <c r="GN241" s="584"/>
      <c r="GO241" s="584"/>
      <c r="GP241" s="584"/>
      <c r="GQ241" s="584">
        <v>38.531111111111102</v>
      </c>
      <c r="GR241" s="584"/>
      <c r="GS241" s="584">
        <v>56.065239551478101</v>
      </c>
      <c r="GT241" s="584" t="s">
        <v>461</v>
      </c>
      <c r="GU241" s="584" t="s">
        <v>416</v>
      </c>
      <c r="GV241" s="584">
        <v>1</v>
      </c>
      <c r="GW241" s="584"/>
      <c r="GX241" s="584"/>
      <c r="GY241" s="584"/>
      <c r="GZ241" s="584"/>
      <c r="HA241" s="584">
        <v>43.064889749999999</v>
      </c>
      <c r="HB241" s="584">
        <v>45</v>
      </c>
      <c r="HC241" s="584">
        <v>86.129779499999998</v>
      </c>
      <c r="HD241" s="584">
        <v>90</v>
      </c>
      <c r="HE241" s="584">
        <v>172.259559</v>
      </c>
      <c r="HF241" s="584">
        <v>180</v>
      </c>
      <c r="HG241" s="1100">
        <v>0.87</v>
      </c>
      <c r="HH241" s="1100">
        <v>0.11</v>
      </c>
      <c r="HI241" s="1101">
        <v>0</v>
      </c>
      <c r="HJ241" s="1101">
        <v>0</v>
      </c>
      <c r="HK241" s="1101">
        <v>0</v>
      </c>
      <c r="HL241" s="1101">
        <v>0</v>
      </c>
      <c r="HM241" s="1101">
        <v>47.904000000000003</v>
      </c>
      <c r="HN241" s="1101">
        <v>54.999999999999993</v>
      </c>
      <c r="HO241" s="1101">
        <v>0</v>
      </c>
      <c r="HP241" s="1101">
        <v>0</v>
      </c>
      <c r="HQ241" s="1101">
        <v>1</v>
      </c>
      <c r="HR241" s="1101">
        <v>0.64</v>
      </c>
      <c r="HS241" s="1101">
        <v>0.76</v>
      </c>
      <c r="HT241" s="1101">
        <v>0.3</v>
      </c>
      <c r="HU241" s="1101">
        <v>0.28000000000000003</v>
      </c>
      <c r="HV241" s="1101">
        <v>43.981742699999991</v>
      </c>
      <c r="HW241" s="1101">
        <v>45</v>
      </c>
      <c r="HX241" s="1101">
        <v>87.963485399999982</v>
      </c>
      <c r="HY241" s="1101">
        <v>90</v>
      </c>
      <c r="HZ241" s="1101">
        <v>175.92697079999996</v>
      </c>
      <c r="IA241" s="1101">
        <v>180</v>
      </c>
      <c r="IB241" s="1062"/>
      <c r="ID241" s="1050"/>
      <c r="IE241" s="1050"/>
      <c r="IM241" s="1050"/>
      <c r="IN241" s="1050"/>
      <c r="IO241" s="1050"/>
      <c r="IP241" s="1050"/>
      <c r="JU241" s="1050"/>
      <c r="KC241" s="1050"/>
      <c r="KD241" s="1050"/>
      <c r="KE241" s="1050"/>
      <c r="KF241" s="1050"/>
      <c r="KN241" s="1103"/>
    </row>
    <row r="242" spans="2:300">
      <c r="B242" s="1048" t="str">
        <f t="shared" si="8"/>
        <v>H510</v>
      </c>
      <c r="C242" s="1092">
        <v>5</v>
      </c>
      <c r="D242" s="1092">
        <v>10</v>
      </c>
      <c r="E242" s="584">
        <v>0.43</v>
      </c>
      <c r="F242" s="584">
        <v>0.43</v>
      </c>
      <c r="G242" s="584">
        <v>1032</v>
      </c>
      <c r="H242" s="584">
        <v>21.5</v>
      </c>
      <c r="I242" s="584">
        <v>0</v>
      </c>
      <c r="J242" s="584">
        <v>0</v>
      </c>
      <c r="K242" s="584">
        <v>0</v>
      </c>
      <c r="L242" s="584">
        <v>0</v>
      </c>
      <c r="M242" s="584">
        <v>0</v>
      </c>
      <c r="N242" s="584">
        <v>0</v>
      </c>
      <c r="O242" s="584">
        <v>0</v>
      </c>
      <c r="P242" s="584">
        <v>0</v>
      </c>
      <c r="Q242" s="584">
        <v>0</v>
      </c>
      <c r="R242" s="584">
        <v>0</v>
      </c>
      <c r="S242" s="584">
        <v>0</v>
      </c>
      <c r="T242" s="584">
        <v>279.0954375</v>
      </c>
      <c r="U242" s="584">
        <v>50</v>
      </c>
      <c r="V242" s="584">
        <v>507.1149375</v>
      </c>
      <c r="W242" s="584">
        <v>105</v>
      </c>
      <c r="X242" s="584">
        <v>759.74099999999999</v>
      </c>
      <c r="Y242" s="584">
        <v>220</v>
      </c>
      <c r="Z242" s="584">
        <v>0.30499999999999999</v>
      </c>
      <c r="AA242" s="584">
        <v>0.30499999999999999</v>
      </c>
      <c r="AB242" s="584">
        <v>732</v>
      </c>
      <c r="AC242" s="584">
        <v>17</v>
      </c>
      <c r="AD242" s="584">
        <v>0</v>
      </c>
      <c r="AE242" s="584">
        <v>0</v>
      </c>
      <c r="AF242" s="584">
        <v>0</v>
      </c>
      <c r="AG242" s="584">
        <v>0</v>
      </c>
      <c r="AH242" s="584">
        <v>0</v>
      </c>
      <c r="AI242" s="584">
        <v>0</v>
      </c>
      <c r="AJ242" s="584">
        <v>0</v>
      </c>
      <c r="AK242" s="584">
        <v>0</v>
      </c>
      <c r="AL242" s="584">
        <v>0</v>
      </c>
      <c r="AM242" s="584">
        <v>0</v>
      </c>
      <c r="AN242" s="584">
        <v>0</v>
      </c>
      <c r="AO242" s="584">
        <v>235.2204375</v>
      </c>
      <c r="AP242" s="584">
        <v>50</v>
      </c>
      <c r="AQ242" s="584">
        <v>418.5211875</v>
      </c>
      <c r="AR242" s="584">
        <v>105</v>
      </c>
      <c r="AS242" s="584">
        <v>587.86599999999999</v>
      </c>
      <c r="AT242" s="584">
        <v>220</v>
      </c>
      <c r="AU242" s="584">
        <v>0.65</v>
      </c>
      <c r="AV242" s="584">
        <v>0.25</v>
      </c>
      <c r="AW242" s="584">
        <v>504.90068754774597</v>
      </c>
      <c r="AX242" s="584">
        <v>25.790870893812102</v>
      </c>
      <c r="AY242" s="584">
        <v>0</v>
      </c>
      <c r="AZ242" s="584">
        <v>0</v>
      </c>
      <c r="BA242" s="584">
        <v>0</v>
      </c>
      <c r="BB242" s="584">
        <v>0</v>
      </c>
      <c r="BC242" s="584">
        <v>0</v>
      </c>
      <c r="BD242" s="584">
        <v>0</v>
      </c>
      <c r="BE242" s="584">
        <v>0</v>
      </c>
      <c r="BF242" s="584">
        <v>0</v>
      </c>
      <c r="BG242" s="584">
        <v>0.65</v>
      </c>
      <c r="BH242" s="584">
        <v>0</v>
      </c>
      <c r="BI242" s="584">
        <v>0.45</v>
      </c>
      <c r="BJ242" s="584">
        <v>210.52505672268899</v>
      </c>
      <c r="BK242" s="584">
        <v>50</v>
      </c>
      <c r="BL242" s="584">
        <v>352.13339338235301</v>
      </c>
      <c r="BM242" s="584">
        <v>105</v>
      </c>
      <c r="BN242" s="584">
        <v>446.42787605042002</v>
      </c>
      <c r="BO242" s="584">
        <v>220</v>
      </c>
      <c r="BP242" s="584">
        <v>0</v>
      </c>
      <c r="BQ242" s="584">
        <v>0</v>
      </c>
      <c r="BR242" s="584">
        <v>0</v>
      </c>
      <c r="BS242" s="584">
        <v>0</v>
      </c>
      <c r="BT242" s="584">
        <v>0</v>
      </c>
      <c r="BU242" s="584">
        <v>0</v>
      </c>
      <c r="BV242" s="584">
        <v>0</v>
      </c>
      <c r="BW242" s="584">
        <v>0</v>
      </c>
      <c r="BX242" s="584">
        <v>0</v>
      </c>
      <c r="BY242" s="584">
        <v>0</v>
      </c>
      <c r="BZ242" s="584">
        <v>0</v>
      </c>
      <c r="CA242" s="584">
        <v>0</v>
      </c>
      <c r="CB242" s="584">
        <v>0</v>
      </c>
      <c r="CC242" s="584">
        <v>0</v>
      </c>
      <c r="CD242" s="584">
        <v>0</v>
      </c>
      <c r="CE242" s="584">
        <v>0</v>
      </c>
      <c r="CF242" s="584">
        <v>0</v>
      </c>
      <c r="CG242" s="584">
        <v>0</v>
      </c>
      <c r="CH242" s="584">
        <v>0</v>
      </c>
      <c r="CI242" s="584">
        <v>0</v>
      </c>
      <c r="CJ242" s="584">
        <v>0</v>
      </c>
      <c r="CK242" s="584">
        <v>0.625</v>
      </c>
      <c r="CL242" s="584">
        <v>0.16</v>
      </c>
      <c r="CM242" s="584">
        <v>491.11535523300199</v>
      </c>
      <c r="CN242" s="584">
        <v>21.5733670741024</v>
      </c>
      <c r="CO242" s="584">
        <v>0</v>
      </c>
      <c r="CP242" s="584">
        <v>0</v>
      </c>
      <c r="CQ242" s="584">
        <v>0</v>
      </c>
      <c r="CR242" s="584">
        <v>0</v>
      </c>
      <c r="CS242" s="584">
        <v>0</v>
      </c>
      <c r="CT242" s="584">
        <v>0</v>
      </c>
      <c r="CU242" s="584">
        <v>0</v>
      </c>
      <c r="CV242" s="584">
        <v>0</v>
      </c>
      <c r="CW242" s="584">
        <v>0.625</v>
      </c>
      <c r="CX242" s="584">
        <v>0</v>
      </c>
      <c r="CY242" s="584">
        <v>0.6</v>
      </c>
      <c r="CZ242" s="584">
        <v>210.47280000000001</v>
      </c>
      <c r="DA242" s="584">
        <v>50</v>
      </c>
      <c r="DB242" s="584">
        <v>349.68105000000003</v>
      </c>
      <c r="DC242" s="584">
        <v>105</v>
      </c>
      <c r="DD242" s="584">
        <v>439.67354999999998</v>
      </c>
      <c r="DE242" s="584">
        <v>220</v>
      </c>
      <c r="DF242" s="584">
        <v>0.375</v>
      </c>
      <c r="DG242" s="584">
        <v>0.2</v>
      </c>
      <c r="DH242" s="584">
        <v>421.37796027501901</v>
      </c>
      <c r="DI242" s="584">
        <v>21.506515851795299</v>
      </c>
      <c r="DJ242" s="584">
        <v>300</v>
      </c>
      <c r="DK242" s="584">
        <v>0</v>
      </c>
      <c r="DL242" s="584">
        <v>0</v>
      </c>
      <c r="DM242" s="584">
        <v>0</v>
      </c>
      <c r="DN242" s="584">
        <v>0</v>
      </c>
      <c r="DO242" s="584">
        <v>0</v>
      </c>
      <c r="DP242" s="584">
        <v>0</v>
      </c>
      <c r="DQ242" s="584">
        <v>0</v>
      </c>
      <c r="DR242" s="584">
        <v>0.375</v>
      </c>
      <c r="DS242" s="584">
        <v>0</v>
      </c>
      <c r="DT242" s="584">
        <v>2.4</v>
      </c>
      <c r="DU242" s="584">
        <v>214.64474999999999</v>
      </c>
      <c r="DV242" s="584">
        <v>50</v>
      </c>
      <c r="DW242" s="584">
        <v>354.59050000000002</v>
      </c>
      <c r="DX242" s="584">
        <v>105</v>
      </c>
      <c r="DY242" s="584">
        <v>547.06574999999998</v>
      </c>
      <c r="DZ242" s="584">
        <v>220</v>
      </c>
      <c r="EA242" s="1062">
        <v>0.81340000000000001</v>
      </c>
      <c r="EB242" s="1046">
        <v>0.35</v>
      </c>
      <c r="EC242" s="1093">
        <v>132.51783893985731</v>
      </c>
      <c r="ED242" s="1046">
        <v>0</v>
      </c>
      <c r="EE242" s="1046">
        <v>458.71559633027522</v>
      </c>
      <c r="EF242" s="1046">
        <v>26.39</v>
      </c>
      <c r="EG242" s="1046">
        <v>0</v>
      </c>
      <c r="EH242" s="1046">
        <v>0</v>
      </c>
      <c r="EI242" s="1046" t="s">
        <v>463</v>
      </c>
      <c r="EJ242" s="1046" t="s">
        <v>446</v>
      </c>
      <c r="EK242" s="1046">
        <v>0</v>
      </c>
      <c r="EL242" s="1046">
        <v>0</v>
      </c>
      <c r="EM242" s="1046">
        <v>0</v>
      </c>
      <c r="EN242" s="1046">
        <v>0</v>
      </c>
      <c r="EO242" s="1046">
        <v>0</v>
      </c>
      <c r="EP242" s="1094">
        <v>111.98607375000002</v>
      </c>
      <c r="EQ242" s="1094">
        <v>50</v>
      </c>
      <c r="ER242" s="1094">
        <v>223.97214750000003</v>
      </c>
      <c r="ES242" s="1095">
        <v>100</v>
      </c>
      <c r="ET242" s="1094">
        <v>447.94429500000007</v>
      </c>
      <c r="EU242" s="1094">
        <v>200</v>
      </c>
      <c r="EV242" s="1096">
        <v>0.60699999999999998</v>
      </c>
      <c r="EW242" s="1097">
        <v>0.15</v>
      </c>
      <c r="EX242" s="1096">
        <v>289.50050968399592</v>
      </c>
      <c r="EY242" s="1096">
        <v>1.5443934760448521</v>
      </c>
      <c r="EZ242" s="1096">
        <v>0</v>
      </c>
      <c r="FA242" s="1096">
        <v>18.25</v>
      </c>
      <c r="FB242" s="1098">
        <v>0</v>
      </c>
      <c r="FC242" s="1098">
        <v>0</v>
      </c>
      <c r="FD242" s="1098" t="s">
        <v>450</v>
      </c>
      <c r="FE242" s="1098" t="s">
        <v>468</v>
      </c>
      <c r="FF242" s="1098">
        <v>1</v>
      </c>
      <c r="FG242" s="1098">
        <v>0</v>
      </c>
      <c r="FH242" s="1098">
        <v>0</v>
      </c>
      <c r="FI242" s="1098">
        <v>0</v>
      </c>
      <c r="FJ242" s="1098">
        <v>0</v>
      </c>
      <c r="FK242" s="1096">
        <v>75.552287500000006</v>
      </c>
      <c r="FL242" s="1096">
        <v>50</v>
      </c>
      <c r="FM242" s="1096">
        <v>151.10457500000001</v>
      </c>
      <c r="FN242" s="1096">
        <v>100</v>
      </c>
      <c r="FO242" s="1096">
        <v>302.20915000000002</v>
      </c>
      <c r="FP242" s="1099">
        <v>200</v>
      </c>
      <c r="FQ242" s="1064">
        <v>0.88458000000000003</v>
      </c>
      <c r="FR242" s="1065">
        <v>0.15</v>
      </c>
      <c r="FS242" s="1066">
        <v>289.50050968399586</v>
      </c>
      <c r="FT242" s="1066">
        <v>3.1754272996334754</v>
      </c>
      <c r="FU242" s="1065"/>
      <c r="FV242" s="1066">
        <v>43.098180114246276</v>
      </c>
      <c r="FW242" s="1065"/>
      <c r="FX242" s="1065"/>
      <c r="FY242" s="1065" t="s">
        <v>438</v>
      </c>
      <c r="FZ242" s="1065" t="s">
        <v>461</v>
      </c>
      <c r="GA242" s="1065">
        <v>1</v>
      </c>
      <c r="GB242" s="1065"/>
      <c r="GC242" s="1065"/>
      <c r="GD242" s="1065"/>
      <c r="GE242" s="1065"/>
      <c r="GF242" s="1066">
        <v>77.424301109127001</v>
      </c>
      <c r="GG242" s="1066">
        <v>50</v>
      </c>
      <c r="GH242" s="1066">
        <v>154.848602218254</v>
      </c>
      <c r="GI242" s="1066">
        <v>100</v>
      </c>
      <c r="GJ242" s="1066">
        <v>309.697204436508</v>
      </c>
      <c r="GK242" s="1066">
        <v>200</v>
      </c>
      <c r="GL242" s="584">
        <v>0.71760000000000002</v>
      </c>
      <c r="GM242" s="584">
        <v>0.11</v>
      </c>
      <c r="GN242" s="584"/>
      <c r="GO242" s="584"/>
      <c r="GP242" s="584"/>
      <c r="GQ242" s="584">
        <v>50.43</v>
      </c>
      <c r="GR242" s="584"/>
      <c r="GS242" s="584">
        <v>56.065239551478101</v>
      </c>
      <c r="GT242" s="584" t="s">
        <v>461</v>
      </c>
      <c r="GU242" s="584" t="s">
        <v>408</v>
      </c>
      <c r="GV242" s="584">
        <v>1</v>
      </c>
      <c r="GW242" s="584"/>
      <c r="GX242" s="584"/>
      <c r="GY242" s="584"/>
      <c r="GZ242" s="584"/>
      <c r="HA242" s="584">
        <v>49.308978750000001</v>
      </c>
      <c r="HB242" s="584">
        <v>50</v>
      </c>
      <c r="HC242" s="584">
        <v>98.617957500000003</v>
      </c>
      <c r="HD242" s="584">
        <v>100</v>
      </c>
      <c r="HE242" s="584">
        <v>197.23591500000001</v>
      </c>
      <c r="HF242" s="584">
        <v>200</v>
      </c>
      <c r="HG242" s="1100">
        <v>0.99</v>
      </c>
      <c r="HH242" s="1100">
        <v>0.11</v>
      </c>
      <c r="HI242" s="1101">
        <v>0</v>
      </c>
      <c r="HJ242" s="1101">
        <v>0</v>
      </c>
      <c r="HK242" s="1101">
        <v>0</v>
      </c>
      <c r="HL242" s="1101">
        <v>0</v>
      </c>
      <c r="HM242" s="1101">
        <v>53.531999999999996</v>
      </c>
      <c r="HN242" s="1101">
        <v>54.999999999999993</v>
      </c>
      <c r="HO242" s="1101">
        <v>0</v>
      </c>
      <c r="HP242" s="1101">
        <v>0</v>
      </c>
      <c r="HQ242" s="1101">
        <v>1</v>
      </c>
      <c r="HR242" s="1101">
        <v>0.68</v>
      </c>
      <c r="HS242" s="1101">
        <v>0.88</v>
      </c>
      <c r="HT242" s="1101">
        <v>0.3</v>
      </c>
      <c r="HU242" s="1101">
        <v>0.28000000000000003</v>
      </c>
      <c r="HV242" s="1101">
        <v>49.558736499999988</v>
      </c>
      <c r="HW242" s="1101">
        <v>50</v>
      </c>
      <c r="HX242" s="1101">
        <v>99.117472999999976</v>
      </c>
      <c r="HY242" s="1101">
        <v>100</v>
      </c>
      <c r="HZ242" s="1101">
        <v>198.23494599999995</v>
      </c>
      <c r="IA242" s="1101">
        <v>200</v>
      </c>
      <c r="IB242" s="1062"/>
      <c r="ID242" s="1050"/>
      <c r="IE242" s="1050"/>
      <c r="IM242" s="1050"/>
      <c r="IN242" s="1050"/>
      <c r="IO242" s="1050"/>
      <c r="IP242" s="1050"/>
      <c r="JU242" s="1050"/>
      <c r="KC242" s="1050"/>
      <c r="KD242" s="1050"/>
      <c r="KE242" s="1050"/>
      <c r="KF242" s="1050"/>
      <c r="KN242" s="1103"/>
    </row>
    <row r="243" spans="2:300">
      <c r="B243" s="1048" t="str">
        <f t="shared" si="8"/>
        <v>H511</v>
      </c>
      <c r="C243" s="1092">
        <v>5</v>
      </c>
      <c r="D243" s="1092">
        <v>11</v>
      </c>
      <c r="E243" s="584">
        <v>0.48499999999999999</v>
      </c>
      <c r="F243" s="584">
        <v>0.48499999999999999</v>
      </c>
      <c r="G243" s="584">
        <v>1164</v>
      </c>
      <c r="H243" s="584">
        <v>23.28</v>
      </c>
      <c r="I243" s="584">
        <v>0</v>
      </c>
      <c r="J243" s="584">
        <v>0</v>
      </c>
      <c r="K243" s="584">
        <v>0</v>
      </c>
      <c r="L243" s="584">
        <v>0</v>
      </c>
      <c r="M243" s="584">
        <v>0</v>
      </c>
      <c r="N243" s="584">
        <v>0</v>
      </c>
      <c r="O243" s="584">
        <v>0</v>
      </c>
      <c r="P243" s="584">
        <v>0</v>
      </c>
      <c r="Q243" s="584">
        <v>0</v>
      </c>
      <c r="R243" s="584">
        <v>0</v>
      </c>
      <c r="S243" s="584">
        <v>0</v>
      </c>
      <c r="T243" s="584">
        <v>324.16418750000003</v>
      </c>
      <c r="U243" s="584">
        <v>55</v>
      </c>
      <c r="V243" s="584">
        <v>600.20006249999994</v>
      </c>
      <c r="W243" s="584">
        <v>115.5</v>
      </c>
      <c r="X243" s="584">
        <v>918.00350000000003</v>
      </c>
      <c r="Y243" s="584">
        <v>242</v>
      </c>
      <c r="Z243" s="584">
        <v>0.33</v>
      </c>
      <c r="AA243" s="584">
        <v>0.33</v>
      </c>
      <c r="AB243" s="584">
        <v>792</v>
      </c>
      <c r="AC243" s="584">
        <v>19</v>
      </c>
      <c r="AD243" s="584">
        <v>0</v>
      </c>
      <c r="AE243" s="584">
        <v>0</v>
      </c>
      <c r="AF243" s="584">
        <v>0</v>
      </c>
      <c r="AG243" s="584">
        <v>0</v>
      </c>
      <c r="AH243" s="584">
        <v>0</v>
      </c>
      <c r="AI243" s="584">
        <v>0</v>
      </c>
      <c r="AJ243" s="584">
        <v>0</v>
      </c>
      <c r="AK243" s="584">
        <v>0</v>
      </c>
      <c r="AL243" s="584">
        <v>0</v>
      </c>
      <c r="AM243" s="584">
        <v>0</v>
      </c>
      <c r="AN243" s="584">
        <v>0</v>
      </c>
      <c r="AO243" s="584">
        <v>264.52793750000001</v>
      </c>
      <c r="AP243" s="584">
        <v>55</v>
      </c>
      <c r="AQ243" s="584">
        <v>479.35818749999999</v>
      </c>
      <c r="AR243" s="584">
        <v>115.5</v>
      </c>
      <c r="AS243" s="584">
        <v>683.56600000000003</v>
      </c>
      <c r="AT243" s="584">
        <v>242</v>
      </c>
      <c r="AU243" s="584">
        <v>0.75</v>
      </c>
      <c r="AV243" s="584">
        <v>0.25</v>
      </c>
      <c r="AW243" s="584">
        <v>528.429962894249</v>
      </c>
      <c r="AX243" s="584">
        <v>25.7287946428571</v>
      </c>
      <c r="AY243" s="584">
        <v>0</v>
      </c>
      <c r="AZ243" s="584">
        <v>0</v>
      </c>
      <c r="BA243" s="584">
        <v>0</v>
      </c>
      <c r="BB243" s="584">
        <v>0</v>
      </c>
      <c r="BC243" s="584">
        <v>0</v>
      </c>
      <c r="BD243" s="584">
        <v>0</v>
      </c>
      <c r="BE243" s="584">
        <v>0</v>
      </c>
      <c r="BF243" s="584">
        <v>0</v>
      </c>
      <c r="BG243" s="584">
        <v>0.75</v>
      </c>
      <c r="BH243" s="584">
        <v>0</v>
      </c>
      <c r="BI243" s="584">
        <v>0.45</v>
      </c>
      <c r="BJ243" s="584">
        <v>231.822024553571</v>
      </c>
      <c r="BK243" s="584">
        <v>55</v>
      </c>
      <c r="BL243" s="584">
        <v>393.68702343749999</v>
      </c>
      <c r="BM243" s="584">
        <v>115.5</v>
      </c>
      <c r="BN243" s="584">
        <v>504.724325892857</v>
      </c>
      <c r="BO243" s="584">
        <v>242</v>
      </c>
      <c r="BP243" s="584">
        <v>0</v>
      </c>
      <c r="BQ243" s="584">
        <v>0</v>
      </c>
      <c r="BR243" s="584">
        <v>0</v>
      </c>
      <c r="BS243" s="584">
        <v>0</v>
      </c>
      <c r="BT243" s="584">
        <v>0</v>
      </c>
      <c r="BU243" s="584">
        <v>0</v>
      </c>
      <c r="BV243" s="584">
        <v>0</v>
      </c>
      <c r="BW243" s="584">
        <v>0</v>
      </c>
      <c r="BX243" s="584">
        <v>0</v>
      </c>
      <c r="BY243" s="584">
        <v>0</v>
      </c>
      <c r="BZ243" s="584">
        <v>0</v>
      </c>
      <c r="CA243" s="584">
        <v>0</v>
      </c>
      <c r="CB243" s="584">
        <v>0</v>
      </c>
      <c r="CC243" s="584">
        <v>0</v>
      </c>
      <c r="CD243" s="584">
        <v>0</v>
      </c>
      <c r="CE243" s="584">
        <v>0</v>
      </c>
      <c r="CF243" s="584">
        <v>0</v>
      </c>
      <c r="CG243" s="584">
        <v>0</v>
      </c>
      <c r="CH243" s="584">
        <v>0</v>
      </c>
      <c r="CI243" s="584">
        <v>0</v>
      </c>
      <c r="CJ243" s="584">
        <v>0</v>
      </c>
      <c r="CK243" s="584">
        <v>0.72499999999999998</v>
      </c>
      <c r="CL243" s="584">
        <v>0.16</v>
      </c>
      <c r="CM243" s="584">
        <v>513.965677179963</v>
      </c>
      <c r="CN243" s="584">
        <v>21.7752319109462</v>
      </c>
      <c r="CO243" s="584">
        <v>0</v>
      </c>
      <c r="CP243" s="584">
        <v>0</v>
      </c>
      <c r="CQ243" s="584">
        <v>0</v>
      </c>
      <c r="CR243" s="584">
        <v>0</v>
      </c>
      <c r="CS243" s="584">
        <v>0</v>
      </c>
      <c r="CT243" s="584">
        <v>0</v>
      </c>
      <c r="CU243" s="584">
        <v>0</v>
      </c>
      <c r="CV243" s="584">
        <v>0</v>
      </c>
      <c r="CW243" s="584">
        <v>0.72499999999999998</v>
      </c>
      <c r="CX243" s="584">
        <v>0</v>
      </c>
      <c r="CY243" s="584">
        <v>0.6</v>
      </c>
      <c r="CZ243" s="584">
        <v>232.58105</v>
      </c>
      <c r="DA243" s="584">
        <v>55</v>
      </c>
      <c r="DB243" s="584">
        <v>391.87004999999999</v>
      </c>
      <c r="DC243" s="584">
        <v>115.5</v>
      </c>
      <c r="DD243" s="584">
        <v>494.98680000000002</v>
      </c>
      <c r="DE243" s="584">
        <v>242</v>
      </c>
      <c r="DF243" s="584">
        <v>0.42499999999999999</v>
      </c>
      <c r="DG243" s="584">
        <v>0.2</v>
      </c>
      <c r="DH243" s="584">
        <v>489.10540352504597</v>
      </c>
      <c r="DI243" s="584">
        <v>24.935632015306101</v>
      </c>
      <c r="DJ243" s="584">
        <v>300</v>
      </c>
      <c r="DK243" s="584">
        <v>0</v>
      </c>
      <c r="DL243" s="584">
        <v>0</v>
      </c>
      <c r="DM243" s="584">
        <v>0</v>
      </c>
      <c r="DN243" s="584">
        <v>0</v>
      </c>
      <c r="DO243" s="584">
        <v>0</v>
      </c>
      <c r="DP243" s="584">
        <v>0</v>
      </c>
      <c r="DQ243" s="584">
        <v>0</v>
      </c>
      <c r="DR243" s="584">
        <v>0.42499999999999999</v>
      </c>
      <c r="DS243" s="584">
        <v>0</v>
      </c>
      <c r="DT243" s="584">
        <v>2.4</v>
      </c>
      <c r="DU243" s="584">
        <v>244.77237500000001</v>
      </c>
      <c r="DV243" s="584">
        <v>55</v>
      </c>
      <c r="DW243" s="584">
        <v>398.67624999999998</v>
      </c>
      <c r="DX243" s="584">
        <v>115.5</v>
      </c>
      <c r="DY243" s="584">
        <v>633.79425000000003</v>
      </c>
      <c r="DZ243" s="584">
        <v>242</v>
      </c>
      <c r="EA243" s="1062">
        <v>0.8306</v>
      </c>
      <c r="EB243" s="1046">
        <v>0.35</v>
      </c>
      <c r="EC243" s="1093">
        <v>132.51783893985731</v>
      </c>
      <c r="ED243" s="1046">
        <v>0</v>
      </c>
      <c r="EE243" s="1046">
        <v>458.71559633027522</v>
      </c>
      <c r="EF243" s="1046">
        <v>34.414545454545461</v>
      </c>
      <c r="EG243" s="1046">
        <v>0</v>
      </c>
      <c r="EH243" s="1046">
        <v>0</v>
      </c>
      <c r="EI243" s="1046" t="s">
        <v>463</v>
      </c>
      <c r="EJ243" s="1046" t="s">
        <v>442</v>
      </c>
      <c r="EK243" s="1046">
        <v>0</v>
      </c>
      <c r="EL243" s="1046">
        <v>0</v>
      </c>
      <c r="EM243" s="1046">
        <v>0</v>
      </c>
      <c r="EN243" s="1046">
        <v>0</v>
      </c>
      <c r="EO243" s="1046">
        <v>0</v>
      </c>
      <c r="EP243" s="1094">
        <v>124.26709199999999</v>
      </c>
      <c r="EQ243" s="1094">
        <v>55</v>
      </c>
      <c r="ER243" s="1094">
        <v>248.53418399999998</v>
      </c>
      <c r="ES243" s="1095">
        <v>110</v>
      </c>
      <c r="ET243" s="1094">
        <v>497.06836799999996</v>
      </c>
      <c r="EU243" s="1094">
        <v>220</v>
      </c>
      <c r="EV243" s="1096">
        <v>0.61</v>
      </c>
      <c r="EW243" s="1097">
        <v>0.15</v>
      </c>
      <c r="EX243" s="1096">
        <v>289.50050968399592</v>
      </c>
      <c r="EY243" s="1096">
        <v>1.5443934760448521</v>
      </c>
      <c r="EZ243" s="1096">
        <v>0</v>
      </c>
      <c r="FA243" s="1096">
        <v>17.914545454545454</v>
      </c>
      <c r="FB243" s="1098">
        <v>0</v>
      </c>
      <c r="FC243" s="1098">
        <v>0</v>
      </c>
      <c r="FD243" s="1098" t="s">
        <v>448</v>
      </c>
      <c r="FE243" s="1098" t="s">
        <v>461</v>
      </c>
      <c r="FF243" s="1098">
        <v>1</v>
      </c>
      <c r="FG243" s="1098">
        <v>0</v>
      </c>
      <c r="FH243" s="1098">
        <v>0</v>
      </c>
      <c r="FI243" s="1098">
        <v>0</v>
      </c>
      <c r="FJ243" s="1098">
        <v>0</v>
      </c>
      <c r="FK243" s="1096">
        <v>83.062267625000004</v>
      </c>
      <c r="FL243" s="1096">
        <v>55</v>
      </c>
      <c r="FM243" s="1096">
        <v>166.12453525000001</v>
      </c>
      <c r="FN243" s="1096">
        <v>110</v>
      </c>
      <c r="FO243" s="1096">
        <v>332.24907050000002</v>
      </c>
      <c r="FP243" s="1099">
        <v>220</v>
      </c>
      <c r="FQ243" s="1064">
        <v>0.89382878474779204</v>
      </c>
      <c r="FR243" s="1065">
        <v>0.15</v>
      </c>
      <c r="FS243" s="1066">
        <v>289.50050968399586</v>
      </c>
      <c r="FT243" s="1066">
        <v>3.1754272996334754</v>
      </c>
      <c r="FU243" s="1065"/>
      <c r="FV243" s="1066">
        <v>48.247607481247947</v>
      </c>
      <c r="FW243" s="1065"/>
      <c r="FX243" s="1065"/>
      <c r="FY243" s="1065" t="s">
        <v>438</v>
      </c>
      <c r="FZ243" s="1065" t="s">
        <v>438</v>
      </c>
      <c r="GA243" s="1065">
        <v>1</v>
      </c>
      <c r="GB243" s="1065"/>
      <c r="GC243" s="1065"/>
      <c r="GD243" s="1065"/>
      <c r="GE243" s="1065"/>
      <c r="GF243" s="1066">
        <v>85.861324604006128</v>
      </c>
      <c r="GG243" s="1066">
        <v>55</v>
      </c>
      <c r="GH243" s="1066">
        <v>171.72264920801226</v>
      </c>
      <c r="GI243" s="1066">
        <v>110</v>
      </c>
      <c r="GJ243" s="1066">
        <v>343.44529841602451</v>
      </c>
      <c r="GK243" s="1066">
        <v>220</v>
      </c>
      <c r="GL243" s="584">
        <v>0.86</v>
      </c>
      <c r="GM243" s="584">
        <v>0.11</v>
      </c>
      <c r="GN243" s="584"/>
      <c r="GO243" s="584"/>
      <c r="GP243" s="584"/>
      <c r="GQ243" s="584">
        <v>58.996363636363597</v>
      </c>
      <c r="GR243" s="584"/>
      <c r="GS243" s="584">
        <v>56.065239551478101</v>
      </c>
      <c r="GT243" s="584" t="s">
        <v>459</v>
      </c>
      <c r="GU243" s="584" t="s">
        <v>389</v>
      </c>
      <c r="GV243" s="584">
        <v>1</v>
      </c>
      <c r="GW243" s="584"/>
      <c r="GX243" s="584"/>
      <c r="GY243" s="584"/>
      <c r="GZ243" s="584"/>
      <c r="HA243" s="584">
        <v>55.395372000000002</v>
      </c>
      <c r="HB243" s="584">
        <v>55</v>
      </c>
      <c r="HC243" s="584">
        <v>110.790744</v>
      </c>
      <c r="HD243" s="584">
        <v>110</v>
      </c>
      <c r="HE243" s="584">
        <v>221.58148800000001</v>
      </c>
      <c r="HF243" s="584">
        <v>220</v>
      </c>
      <c r="HG243" s="1100">
        <v>1.1100000000000001</v>
      </c>
      <c r="HH243" s="1100">
        <v>0.11</v>
      </c>
      <c r="HI243" s="1101">
        <v>0</v>
      </c>
      <c r="HJ243" s="1101">
        <v>0</v>
      </c>
      <c r="HK243" s="1101">
        <v>0</v>
      </c>
      <c r="HL243" s="1101">
        <v>0</v>
      </c>
      <c r="HM243" s="1101">
        <v>59.236363636363642</v>
      </c>
      <c r="HN243" s="1101">
        <v>54.999999999999993</v>
      </c>
      <c r="HO243" s="1101">
        <v>0</v>
      </c>
      <c r="HP243" s="1101">
        <v>0</v>
      </c>
      <c r="HQ243" s="1101">
        <v>1</v>
      </c>
      <c r="HR243" s="1101">
        <v>0.72</v>
      </c>
      <c r="HS243" s="1101">
        <v>1</v>
      </c>
      <c r="HT243" s="1101">
        <v>0.3</v>
      </c>
      <c r="HU243" s="1101">
        <v>0.28000000000000003</v>
      </c>
      <c r="HV243" s="1101">
        <v>55.284057499999989</v>
      </c>
      <c r="HW243" s="1101">
        <v>55</v>
      </c>
      <c r="HX243" s="1101">
        <v>110.56811499999998</v>
      </c>
      <c r="HY243" s="1101">
        <v>110</v>
      </c>
      <c r="HZ243" s="1101">
        <v>221.13622999999995</v>
      </c>
      <c r="IA243" s="1101">
        <v>220</v>
      </c>
      <c r="IB243" s="1062"/>
      <c r="ID243" s="1050"/>
      <c r="IE243" s="1050"/>
      <c r="IM243" s="1050"/>
      <c r="IN243" s="1050"/>
      <c r="IO243" s="1050"/>
      <c r="IP243" s="1050"/>
      <c r="JU243" s="1050"/>
      <c r="KC243" s="1050"/>
      <c r="KD243" s="1050"/>
      <c r="KE243" s="1050"/>
      <c r="KF243" s="1050"/>
      <c r="KN243" s="1103"/>
    </row>
    <row r="244" spans="2:300">
      <c r="B244" s="1048" t="str">
        <f t="shared" si="8"/>
        <v>H512</v>
      </c>
      <c r="C244" s="1092">
        <v>5</v>
      </c>
      <c r="D244" s="1092">
        <v>12</v>
      </c>
      <c r="E244" s="584">
        <v>0.56999999999999995</v>
      </c>
      <c r="F244" s="584">
        <v>0.56999999999999995</v>
      </c>
      <c r="G244" s="584">
        <v>1368</v>
      </c>
      <c r="H244" s="584">
        <v>25.65</v>
      </c>
      <c r="I244" s="584">
        <v>0</v>
      </c>
      <c r="J244" s="584">
        <v>0</v>
      </c>
      <c r="K244" s="584">
        <v>0</v>
      </c>
      <c r="L244" s="584">
        <v>0</v>
      </c>
      <c r="M244" s="584">
        <v>0</v>
      </c>
      <c r="N244" s="584">
        <v>0</v>
      </c>
      <c r="O244" s="584">
        <v>0</v>
      </c>
      <c r="P244" s="584">
        <v>0</v>
      </c>
      <c r="Q244" s="584">
        <v>0</v>
      </c>
      <c r="R244" s="584">
        <v>0</v>
      </c>
      <c r="S244" s="584">
        <v>0</v>
      </c>
      <c r="T244" s="584">
        <v>385.50043749999998</v>
      </c>
      <c r="U244" s="584">
        <v>60</v>
      </c>
      <c r="V244" s="584">
        <v>726.59643749999998</v>
      </c>
      <c r="W244" s="584">
        <v>126</v>
      </c>
      <c r="X244" s="584">
        <v>1140.8910000000001</v>
      </c>
      <c r="Y244" s="584">
        <v>264</v>
      </c>
      <c r="Z244" s="584">
        <v>0.375</v>
      </c>
      <c r="AA244" s="584">
        <v>0.375</v>
      </c>
      <c r="AB244" s="584">
        <v>900</v>
      </c>
      <c r="AC244" s="584">
        <v>20</v>
      </c>
      <c r="AD244" s="584">
        <v>0</v>
      </c>
      <c r="AE244" s="584">
        <v>0</v>
      </c>
      <c r="AF244" s="584">
        <v>0</v>
      </c>
      <c r="AG244" s="584">
        <v>0</v>
      </c>
      <c r="AH244" s="584">
        <v>0</v>
      </c>
      <c r="AI244" s="584">
        <v>0</v>
      </c>
      <c r="AJ244" s="584">
        <v>0</v>
      </c>
      <c r="AK244" s="584">
        <v>0</v>
      </c>
      <c r="AL244" s="584">
        <v>0</v>
      </c>
      <c r="AM244" s="584">
        <v>0</v>
      </c>
      <c r="AN244" s="584">
        <v>0</v>
      </c>
      <c r="AO244" s="584">
        <v>303.89293750000002</v>
      </c>
      <c r="AP244" s="584">
        <v>60</v>
      </c>
      <c r="AQ244" s="584">
        <v>560.74893750000001</v>
      </c>
      <c r="AR244" s="584">
        <v>126</v>
      </c>
      <c r="AS244" s="584">
        <v>819.14099999999996</v>
      </c>
      <c r="AT244" s="584">
        <v>264</v>
      </c>
      <c r="AU244" s="584">
        <v>0.85</v>
      </c>
      <c r="AV244" s="584">
        <v>0.25</v>
      </c>
      <c r="AW244" s="584">
        <v>571.86901213540602</v>
      </c>
      <c r="AX244" s="584">
        <v>27.299546252927399</v>
      </c>
      <c r="AY244" s="584">
        <v>0</v>
      </c>
      <c r="AZ244" s="584">
        <v>0</v>
      </c>
      <c r="BA244" s="584">
        <v>0</v>
      </c>
      <c r="BB244" s="584">
        <v>0</v>
      </c>
      <c r="BC244" s="584">
        <v>0</v>
      </c>
      <c r="BD244" s="584">
        <v>0</v>
      </c>
      <c r="BE244" s="584">
        <v>0</v>
      </c>
      <c r="BF244" s="584">
        <v>0</v>
      </c>
      <c r="BG244" s="584">
        <v>0.85</v>
      </c>
      <c r="BH244" s="584">
        <v>0</v>
      </c>
      <c r="BI244" s="584">
        <v>0.45</v>
      </c>
      <c r="BJ244" s="584">
        <v>265.07658694379398</v>
      </c>
      <c r="BK244" s="584">
        <v>60</v>
      </c>
      <c r="BL244" s="584">
        <v>451.12470491803299</v>
      </c>
      <c r="BM244" s="584">
        <v>126</v>
      </c>
      <c r="BN244" s="584">
        <v>556.80068149882902</v>
      </c>
      <c r="BO244" s="584">
        <v>264</v>
      </c>
      <c r="BP244" s="584">
        <v>0</v>
      </c>
      <c r="BQ244" s="584">
        <v>0</v>
      </c>
      <c r="BR244" s="584">
        <v>0</v>
      </c>
      <c r="BS244" s="584">
        <v>0</v>
      </c>
      <c r="BT244" s="584">
        <v>0</v>
      </c>
      <c r="BU244" s="584">
        <v>0</v>
      </c>
      <c r="BV244" s="584">
        <v>0</v>
      </c>
      <c r="BW244" s="584">
        <v>0</v>
      </c>
      <c r="BX244" s="584">
        <v>0</v>
      </c>
      <c r="BY244" s="584">
        <v>0</v>
      </c>
      <c r="BZ244" s="584">
        <v>0</v>
      </c>
      <c r="CA244" s="584">
        <v>0</v>
      </c>
      <c r="CB244" s="584">
        <v>0</v>
      </c>
      <c r="CC244" s="584">
        <v>0</v>
      </c>
      <c r="CD244" s="584">
        <v>0</v>
      </c>
      <c r="CE244" s="584">
        <v>0</v>
      </c>
      <c r="CF244" s="584">
        <v>0</v>
      </c>
      <c r="CG244" s="584">
        <v>0</v>
      </c>
      <c r="CH244" s="584">
        <v>0</v>
      </c>
      <c r="CI244" s="584">
        <v>0</v>
      </c>
      <c r="CJ244" s="584">
        <v>0</v>
      </c>
      <c r="CK244" s="584">
        <v>0.82499999999999996</v>
      </c>
      <c r="CL244" s="584">
        <v>0.16</v>
      </c>
      <c r="CM244" s="584">
        <v>558.84612518628899</v>
      </c>
      <c r="CN244" s="584">
        <v>23.209299819033401</v>
      </c>
      <c r="CO244" s="584">
        <v>0</v>
      </c>
      <c r="CP244" s="584">
        <v>0</v>
      </c>
      <c r="CQ244" s="584">
        <v>0</v>
      </c>
      <c r="CR244" s="584">
        <v>0</v>
      </c>
      <c r="CS244" s="584">
        <v>0</v>
      </c>
      <c r="CT244" s="584">
        <v>0</v>
      </c>
      <c r="CU244" s="584">
        <v>0</v>
      </c>
      <c r="CV244" s="584">
        <v>0</v>
      </c>
      <c r="CW244" s="584">
        <v>0.82499999999999996</v>
      </c>
      <c r="CX244" s="584">
        <v>0</v>
      </c>
      <c r="CY244" s="584">
        <v>0.6</v>
      </c>
      <c r="CZ244" s="584">
        <v>270.26117499999998</v>
      </c>
      <c r="DA244" s="584">
        <v>60</v>
      </c>
      <c r="DB244" s="584">
        <v>456.48405000000002</v>
      </c>
      <c r="DC244" s="584">
        <v>126</v>
      </c>
      <c r="DD244" s="584">
        <v>552.55005000000006</v>
      </c>
      <c r="DE244" s="584">
        <v>264</v>
      </c>
      <c r="DF244" s="584">
        <v>0.47499999999999998</v>
      </c>
      <c r="DG244" s="584">
        <v>0.2</v>
      </c>
      <c r="DH244" s="584">
        <v>546.79582712369597</v>
      </c>
      <c r="DI244" s="584">
        <v>27.285326325313999</v>
      </c>
      <c r="DJ244" s="584">
        <v>300</v>
      </c>
      <c r="DK244" s="584">
        <v>0</v>
      </c>
      <c r="DL244" s="584">
        <v>0</v>
      </c>
      <c r="DM244" s="584">
        <v>0</v>
      </c>
      <c r="DN244" s="584">
        <v>0</v>
      </c>
      <c r="DO244" s="584">
        <v>0</v>
      </c>
      <c r="DP244" s="584">
        <v>0</v>
      </c>
      <c r="DQ244" s="584">
        <v>0</v>
      </c>
      <c r="DR244" s="584">
        <v>0.47499999999999998</v>
      </c>
      <c r="DS244" s="584">
        <v>0</v>
      </c>
      <c r="DT244" s="584">
        <v>2.4</v>
      </c>
      <c r="DU244" s="584">
        <v>273.06849999999997</v>
      </c>
      <c r="DV244" s="584">
        <v>60</v>
      </c>
      <c r="DW244" s="584">
        <v>445.33674999999999</v>
      </c>
      <c r="DX244" s="584">
        <v>126</v>
      </c>
      <c r="DY244" s="584">
        <v>726.52274999999997</v>
      </c>
      <c r="DZ244" s="584">
        <v>264</v>
      </c>
      <c r="EA244" s="1062">
        <v>0.9425</v>
      </c>
      <c r="EB244" s="1046">
        <v>0.4</v>
      </c>
      <c r="EC244" s="1093">
        <v>132.51783893985737</v>
      </c>
      <c r="ED244" s="1046">
        <v>0</v>
      </c>
      <c r="EE244" s="1046">
        <v>519.87767584097855</v>
      </c>
      <c r="EF244" s="1046">
        <v>37.56166666666666</v>
      </c>
      <c r="EG244" s="1046">
        <v>0</v>
      </c>
      <c r="EH244" s="1046">
        <v>0</v>
      </c>
      <c r="EI244" s="1046" t="s">
        <v>446</v>
      </c>
      <c r="EJ244" s="1046" t="s">
        <v>423</v>
      </c>
      <c r="EK244" s="1046">
        <v>0</v>
      </c>
      <c r="EL244" s="1046">
        <v>0</v>
      </c>
      <c r="EM244" s="1046">
        <v>0</v>
      </c>
      <c r="EN244" s="1046">
        <v>0</v>
      </c>
      <c r="EO244" s="1046">
        <v>0</v>
      </c>
      <c r="EP244" s="1094">
        <v>145.02719925000002</v>
      </c>
      <c r="EQ244" s="1094">
        <v>60</v>
      </c>
      <c r="ER244" s="1094">
        <v>290.05439850000005</v>
      </c>
      <c r="ES244" s="1095">
        <v>120</v>
      </c>
      <c r="ET244" s="1094">
        <v>580.1087970000001</v>
      </c>
      <c r="EU244" s="1094">
        <v>240</v>
      </c>
      <c r="EV244" s="1096">
        <v>0.6782999999999999</v>
      </c>
      <c r="EW244" s="1097">
        <v>0.15</v>
      </c>
      <c r="EX244" s="1096">
        <v>289.50050968399592</v>
      </c>
      <c r="EY244" s="1096">
        <v>1.5443934760448521</v>
      </c>
      <c r="EZ244" s="1096">
        <v>0</v>
      </c>
      <c r="FA244" s="1096">
        <v>23.881666666666668</v>
      </c>
      <c r="FB244" s="1098">
        <v>0</v>
      </c>
      <c r="FC244" s="1098">
        <v>0</v>
      </c>
      <c r="FD244" s="1098" t="s">
        <v>446</v>
      </c>
      <c r="FE244" s="1098" t="s">
        <v>432</v>
      </c>
      <c r="FF244" s="1098">
        <v>1</v>
      </c>
      <c r="FG244" s="1098">
        <v>0</v>
      </c>
      <c r="FH244" s="1098">
        <v>0</v>
      </c>
      <c r="FI244" s="1098">
        <v>0</v>
      </c>
      <c r="FJ244" s="1098">
        <v>0</v>
      </c>
      <c r="FK244" s="1096">
        <v>91.491444749999999</v>
      </c>
      <c r="FL244" s="1096">
        <v>60</v>
      </c>
      <c r="FM244" s="1096">
        <v>182.9828895</v>
      </c>
      <c r="FN244" s="1096">
        <v>120</v>
      </c>
      <c r="FO244" s="1096">
        <v>365.965779</v>
      </c>
      <c r="FP244" s="1099">
        <v>240</v>
      </c>
      <c r="FQ244" s="1064">
        <v>1.0020981024599609</v>
      </c>
      <c r="FR244" s="1065">
        <v>0.15</v>
      </c>
      <c r="FS244" s="1066">
        <v>289.50050968399586</v>
      </c>
      <c r="FT244" s="1066">
        <v>3.1754272996334754</v>
      </c>
      <c r="FU244" s="1065"/>
      <c r="FV244" s="1066">
        <v>55.784980123354593</v>
      </c>
      <c r="FW244" s="1065"/>
      <c r="FX244" s="1065"/>
      <c r="FY244" s="1065" t="s">
        <v>436</v>
      </c>
      <c r="FZ244" s="1065" t="s">
        <v>416</v>
      </c>
      <c r="GA244" s="1065">
        <v>1</v>
      </c>
      <c r="GB244" s="1065"/>
      <c r="GC244" s="1065"/>
      <c r="GD244" s="1065"/>
      <c r="GE244" s="1065"/>
      <c r="GF244" s="1066">
        <v>94.77602395229269</v>
      </c>
      <c r="GG244" s="1066">
        <v>60</v>
      </c>
      <c r="GH244" s="1066">
        <v>189.55204790458538</v>
      </c>
      <c r="GI244" s="1066">
        <v>120</v>
      </c>
      <c r="GJ244" s="1066">
        <v>379.10409580917076</v>
      </c>
      <c r="GK244" s="1066">
        <v>240</v>
      </c>
      <c r="GL244" s="584">
        <v>0.87219999999999998</v>
      </c>
      <c r="GM244" s="584">
        <v>0.11</v>
      </c>
      <c r="GN244" s="584"/>
      <c r="GO244" s="584"/>
      <c r="GP244" s="584"/>
      <c r="GQ244" s="584">
        <v>74.183333333333294</v>
      </c>
      <c r="GR244" s="584"/>
      <c r="GS244" s="584">
        <v>56.065239551478101</v>
      </c>
      <c r="GT244" s="584" t="s">
        <v>459</v>
      </c>
      <c r="GU244" s="584" t="s">
        <v>385</v>
      </c>
      <c r="GV244" s="584">
        <v>1</v>
      </c>
      <c r="GW244" s="584"/>
      <c r="GX244" s="584"/>
      <c r="GY244" s="584"/>
      <c r="GZ244" s="584"/>
      <c r="HA244" s="584">
        <v>62.6660775</v>
      </c>
      <c r="HB244" s="584">
        <v>60</v>
      </c>
      <c r="HC244" s="584">
        <v>125.332155</v>
      </c>
      <c r="HD244" s="584">
        <v>120</v>
      </c>
      <c r="HE244" s="584">
        <v>250.66431</v>
      </c>
      <c r="HF244" s="584">
        <v>240</v>
      </c>
      <c r="HG244" s="1100">
        <v>1.2300000000000002</v>
      </c>
      <c r="HH244" s="1100">
        <v>0.11</v>
      </c>
      <c r="HI244" s="1101">
        <v>0</v>
      </c>
      <c r="HJ244" s="1101">
        <v>0</v>
      </c>
      <c r="HK244" s="1101">
        <v>0</v>
      </c>
      <c r="HL244" s="1101">
        <v>0</v>
      </c>
      <c r="HM244" s="1101">
        <v>69.03</v>
      </c>
      <c r="HN244" s="1101">
        <v>54.999999999999993</v>
      </c>
      <c r="HO244" s="1101">
        <v>0</v>
      </c>
      <c r="HP244" s="1101">
        <v>0</v>
      </c>
      <c r="HQ244" s="1101">
        <v>1</v>
      </c>
      <c r="HR244" s="1101">
        <v>0.76</v>
      </c>
      <c r="HS244" s="1101">
        <v>1.1200000000000001</v>
      </c>
      <c r="HT244" s="1101">
        <v>0.3</v>
      </c>
      <c r="HU244" s="1101">
        <v>0.3</v>
      </c>
      <c r="HV244" s="1101">
        <v>61.751014499999989</v>
      </c>
      <c r="HW244" s="1101">
        <v>60</v>
      </c>
      <c r="HX244" s="1101">
        <v>123.50202899999998</v>
      </c>
      <c r="HY244" s="1101">
        <v>120</v>
      </c>
      <c r="HZ244" s="1101">
        <v>247.00405799999996</v>
      </c>
      <c r="IA244" s="1101">
        <v>240</v>
      </c>
      <c r="IB244" s="1062"/>
      <c r="ID244" s="1050"/>
      <c r="IE244" s="1050"/>
      <c r="IM244" s="1050"/>
      <c r="IN244" s="1050"/>
      <c r="IO244" s="1050"/>
      <c r="IP244" s="1050"/>
      <c r="JU244" s="1050"/>
      <c r="KC244" s="1050"/>
      <c r="KD244" s="1050"/>
      <c r="KE244" s="1050"/>
      <c r="KF244" s="1050"/>
      <c r="KN244" s="1103"/>
    </row>
    <row r="245" spans="2:300">
      <c r="B245" s="1048" t="str">
        <f t="shared" si="8"/>
        <v>H513</v>
      </c>
      <c r="C245" s="1092">
        <v>5</v>
      </c>
      <c r="D245" s="1092">
        <v>13</v>
      </c>
      <c r="E245" s="584">
        <v>0.56999999999999995</v>
      </c>
      <c r="F245" s="584">
        <v>0.56999999999999995</v>
      </c>
      <c r="G245" s="584">
        <v>1368</v>
      </c>
      <c r="H245" s="584">
        <v>25.65</v>
      </c>
      <c r="I245" s="584">
        <v>0</v>
      </c>
      <c r="J245" s="584">
        <v>0</v>
      </c>
      <c r="K245" s="584">
        <v>0</v>
      </c>
      <c r="L245" s="584">
        <v>0</v>
      </c>
      <c r="M245" s="584">
        <v>0</v>
      </c>
      <c r="N245" s="584">
        <v>0</v>
      </c>
      <c r="O245" s="584">
        <v>0</v>
      </c>
      <c r="P245" s="584">
        <v>0</v>
      </c>
      <c r="Q245" s="584">
        <v>0</v>
      </c>
      <c r="R245" s="584">
        <v>0</v>
      </c>
      <c r="S245" s="584">
        <v>0</v>
      </c>
      <c r="T245" s="584">
        <v>414.13293750000003</v>
      </c>
      <c r="U245" s="584">
        <v>65</v>
      </c>
      <c r="V245" s="584">
        <v>787.91099999999994</v>
      </c>
      <c r="W245" s="584">
        <v>136.5</v>
      </c>
      <c r="X245" s="584">
        <v>1235.2159999999999</v>
      </c>
      <c r="Y245" s="584">
        <v>286</v>
      </c>
      <c r="Z245" s="584">
        <v>0.41</v>
      </c>
      <c r="AA245" s="584">
        <v>0.41</v>
      </c>
      <c r="AB245" s="584">
        <v>984</v>
      </c>
      <c r="AC245" s="584">
        <v>23</v>
      </c>
      <c r="AD245" s="584">
        <v>0</v>
      </c>
      <c r="AE245" s="584">
        <v>0</v>
      </c>
      <c r="AF245" s="584">
        <v>0</v>
      </c>
      <c r="AG245" s="584">
        <v>0</v>
      </c>
      <c r="AH245" s="584">
        <v>0</v>
      </c>
      <c r="AI245" s="584">
        <v>0</v>
      </c>
      <c r="AJ245" s="584">
        <v>0</v>
      </c>
      <c r="AK245" s="584">
        <v>0</v>
      </c>
      <c r="AL245" s="584">
        <v>0</v>
      </c>
      <c r="AM245" s="584">
        <v>0</v>
      </c>
      <c r="AN245" s="584">
        <v>0</v>
      </c>
      <c r="AO245" s="584">
        <v>341.77293750000001</v>
      </c>
      <c r="AP245" s="584">
        <v>65</v>
      </c>
      <c r="AQ245" s="584">
        <v>639.3046875</v>
      </c>
      <c r="AR245" s="584">
        <v>136.5</v>
      </c>
      <c r="AS245" s="584">
        <v>949.21600000000001</v>
      </c>
      <c r="AT245" s="584">
        <v>286</v>
      </c>
      <c r="AU245" s="584">
        <v>0</v>
      </c>
      <c r="AV245" s="584">
        <v>0</v>
      </c>
      <c r="AW245" s="584">
        <v>0</v>
      </c>
      <c r="AX245" s="584">
        <v>0</v>
      </c>
      <c r="AY245" s="584">
        <v>0</v>
      </c>
      <c r="AZ245" s="584">
        <v>0</v>
      </c>
      <c r="BA245" s="584">
        <v>0</v>
      </c>
      <c r="BB245" s="584">
        <v>0</v>
      </c>
      <c r="BC245" s="584">
        <v>0</v>
      </c>
      <c r="BD245" s="584">
        <v>0</v>
      </c>
      <c r="BE245" s="584">
        <v>0</v>
      </c>
      <c r="BF245" s="584">
        <v>0</v>
      </c>
      <c r="BG245" s="584">
        <v>0</v>
      </c>
      <c r="BH245" s="584">
        <v>0</v>
      </c>
      <c r="BI245" s="584">
        <v>0</v>
      </c>
      <c r="BJ245" s="584">
        <v>0</v>
      </c>
      <c r="BK245" s="584">
        <v>0</v>
      </c>
      <c r="BL245" s="584">
        <v>0</v>
      </c>
      <c r="BM245" s="584">
        <v>0</v>
      </c>
      <c r="BN245" s="584">
        <v>0</v>
      </c>
      <c r="BO245" s="584">
        <v>0</v>
      </c>
      <c r="BP245" s="584">
        <v>0</v>
      </c>
      <c r="BQ245" s="584">
        <v>0</v>
      </c>
      <c r="BR245" s="584">
        <v>0</v>
      </c>
      <c r="BS245" s="584">
        <v>0</v>
      </c>
      <c r="BT245" s="584">
        <v>0</v>
      </c>
      <c r="BU245" s="584">
        <v>0</v>
      </c>
      <c r="BV245" s="584">
        <v>0</v>
      </c>
      <c r="BW245" s="584">
        <v>0</v>
      </c>
      <c r="BX245" s="584">
        <v>0</v>
      </c>
      <c r="BY245" s="584">
        <v>0</v>
      </c>
      <c r="BZ245" s="584">
        <v>0</v>
      </c>
      <c r="CA245" s="584">
        <v>0</v>
      </c>
      <c r="CB245" s="584">
        <v>0</v>
      </c>
      <c r="CC245" s="584">
        <v>0</v>
      </c>
      <c r="CD245" s="584">
        <v>0</v>
      </c>
      <c r="CE245" s="584">
        <v>0</v>
      </c>
      <c r="CF245" s="584">
        <v>0</v>
      </c>
      <c r="CG245" s="584">
        <v>0</v>
      </c>
      <c r="CH245" s="584">
        <v>0</v>
      </c>
      <c r="CI245" s="584">
        <v>0</v>
      </c>
      <c r="CJ245" s="584">
        <v>0</v>
      </c>
      <c r="CK245" s="584">
        <v>0</v>
      </c>
      <c r="CL245" s="584">
        <v>0</v>
      </c>
      <c r="CM245" s="584">
        <v>0</v>
      </c>
      <c r="CN245" s="584">
        <v>0</v>
      </c>
      <c r="CO245" s="584">
        <v>0</v>
      </c>
      <c r="CP245" s="584">
        <v>0</v>
      </c>
      <c r="CQ245" s="584">
        <v>0</v>
      </c>
      <c r="CR245" s="584">
        <v>0</v>
      </c>
      <c r="CS245" s="584">
        <v>0</v>
      </c>
      <c r="CT245" s="584">
        <v>0</v>
      </c>
      <c r="CU245" s="584">
        <v>0</v>
      </c>
      <c r="CV245" s="584">
        <v>0</v>
      </c>
      <c r="CW245" s="584">
        <v>0</v>
      </c>
      <c r="CX245" s="584">
        <v>0</v>
      </c>
      <c r="CY245" s="584">
        <v>0</v>
      </c>
      <c r="CZ245" s="584">
        <v>0</v>
      </c>
      <c r="DA245" s="584">
        <v>0</v>
      </c>
      <c r="DB245" s="584">
        <v>0</v>
      </c>
      <c r="DC245" s="584">
        <v>0</v>
      </c>
      <c r="DD245" s="584">
        <v>0</v>
      </c>
      <c r="DE245" s="584">
        <v>0</v>
      </c>
      <c r="DF245" s="584">
        <v>0.52500000000000002</v>
      </c>
      <c r="DG245" s="584">
        <v>0.2</v>
      </c>
      <c r="DH245" s="584">
        <v>633.243063754427</v>
      </c>
      <c r="DI245" s="584">
        <v>30.200235684769801</v>
      </c>
      <c r="DJ245" s="584">
        <v>300</v>
      </c>
      <c r="DK245" s="584">
        <v>0</v>
      </c>
      <c r="DL245" s="584">
        <v>0</v>
      </c>
      <c r="DM245" s="584">
        <v>0</v>
      </c>
      <c r="DN245" s="584">
        <v>0</v>
      </c>
      <c r="DO245" s="584">
        <v>0</v>
      </c>
      <c r="DP245" s="584">
        <v>0</v>
      </c>
      <c r="DQ245" s="584">
        <v>0</v>
      </c>
      <c r="DR245" s="584">
        <v>0.52500000000000002</v>
      </c>
      <c r="DS245" s="584">
        <v>0</v>
      </c>
      <c r="DT245" s="584">
        <v>2.4</v>
      </c>
      <c r="DU245" s="584">
        <v>317.06700000000001</v>
      </c>
      <c r="DV245" s="584">
        <v>65</v>
      </c>
      <c r="DW245" s="584">
        <v>495.24025</v>
      </c>
      <c r="DX245" s="584">
        <v>136.5</v>
      </c>
      <c r="DY245" s="584">
        <v>825.25125000000003</v>
      </c>
      <c r="DZ245" s="584">
        <v>286</v>
      </c>
      <c r="EA245" s="1062">
        <v>1.0103</v>
      </c>
      <c r="EB245" s="1046">
        <v>0.45</v>
      </c>
      <c r="EC245" s="1093">
        <v>132.51783893985726</v>
      </c>
      <c r="ED245" s="1046">
        <v>0</v>
      </c>
      <c r="EE245" s="1046">
        <v>581.03975535168195</v>
      </c>
      <c r="EF245" s="1046">
        <v>51.321538461538466</v>
      </c>
      <c r="EG245" s="1046">
        <v>0</v>
      </c>
      <c r="EH245" s="1046">
        <v>0</v>
      </c>
      <c r="EI245" s="1046" t="s">
        <v>445</v>
      </c>
      <c r="EJ245" s="1046" t="s">
        <v>420</v>
      </c>
      <c r="EK245" s="1046">
        <v>0</v>
      </c>
      <c r="EL245" s="1046">
        <v>0</v>
      </c>
      <c r="EM245" s="1046">
        <v>0</v>
      </c>
      <c r="EN245" s="1046">
        <v>0</v>
      </c>
      <c r="EO245" s="1046">
        <v>0</v>
      </c>
      <c r="EP245" s="1094">
        <v>169.05629475000001</v>
      </c>
      <c r="EQ245" s="1094">
        <v>65</v>
      </c>
      <c r="ER245" s="1094">
        <v>338.11258950000001</v>
      </c>
      <c r="ES245" s="1095">
        <v>130</v>
      </c>
      <c r="ET245" s="1094">
        <v>676.22517900000003</v>
      </c>
      <c r="EU245" s="1094">
        <v>260</v>
      </c>
      <c r="EV245" s="1096">
        <v>0.68310000000000004</v>
      </c>
      <c r="EW245" s="1097">
        <v>0.15</v>
      </c>
      <c r="EX245" s="1096">
        <v>289.50050968399592</v>
      </c>
      <c r="EY245" s="1096">
        <v>1.5443934760448521</v>
      </c>
      <c r="EZ245" s="1096">
        <v>0</v>
      </c>
      <c r="FA245" s="1096">
        <v>23.524615384615387</v>
      </c>
      <c r="FB245" s="1098">
        <v>0</v>
      </c>
      <c r="FC245" s="1098">
        <v>0</v>
      </c>
      <c r="FD245" s="1098" t="s">
        <v>430</v>
      </c>
      <c r="FE245" s="1098" t="s">
        <v>432</v>
      </c>
      <c r="FF245" s="1098">
        <v>1</v>
      </c>
      <c r="FG245" s="1098">
        <v>0</v>
      </c>
      <c r="FH245" s="1098">
        <v>0</v>
      </c>
      <c r="FI245" s="1098">
        <v>0</v>
      </c>
      <c r="FJ245" s="1098">
        <v>0</v>
      </c>
      <c r="FK245" s="1096">
        <v>99.058813375</v>
      </c>
      <c r="FL245" s="1096">
        <v>65</v>
      </c>
      <c r="FM245" s="1096">
        <v>198.11762675</v>
      </c>
      <c r="FN245" s="1096">
        <v>130</v>
      </c>
      <c r="FO245" s="1096">
        <v>396.2352535</v>
      </c>
      <c r="FP245" s="1099">
        <v>260</v>
      </c>
      <c r="FQ245" s="1064">
        <v>1.0064981024599609</v>
      </c>
      <c r="FR245" s="1065">
        <v>0.15</v>
      </c>
      <c r="FS245" s="1066">
        <v>289.50050968399586</v>
      </c>
      <c r="FT245" s="1066">
        <v>3.1754272996334754</v>
      </c>
      <c r="FU245" s="1065"/>
      <c r="FV245" s="1066">
        <v>60.213466657061481</v>
      </c>
      <c r="FW245" s="1065"/>
      <c r="FX245" s="1065"/>
      <c r="FY245" s="1065" t="s">
        <v>416</v>
      </c>
      <c r="FZ245" s="1065" t="s">
        <v>1102</v>
      </c>
      <c r="GA245" s="1065">
        <v>1</v>
      </c>
      <c r="GB245" s="1065"/>
      <c r="GC245" s="1065"/>
      <c r="GD245" s="1065"/>
      <c r="GE245" s="1065"/>
      <c r="GF245" s="1066">
        <v>103.37998205787163</v>
      </c>
      <c r="GG245" s="1066">
        <v>65</v>
      </c>
      <c r="GH245" s="1066">
        <v>206.75996411574326</v>
      </c>
      <c r="GI245" s="1066">
        <v>130</v>
      </c>
      <c r="GJ245" s="1066">
        <v>413.51992823148652</v>
      </c>
      <c r="GK245" s="1066">
        <v>260</v>
      </c>
      <c r="GL245" s="584">
        <v>0.95069999999999999</v>
      </c>
      <c r="GM245" s="584">
        <v>0.11</v>
      </c>
      <c r="GN245" s="584"/>
      <c r="GO245" s="584"/>
      <c r="GP245" s="584"/>
      <c r="GQ245" s="584">
        <v>82.573846153846205</v>
      </c>
      <c r="GR245" s="584"/>
      <c r="GS245" s="584">
        <v>56.065239551478101</v>
      </c>
      <c r="GT245" s="584" t="s">
        <v>438</v>
      </c>
      <c r="GU245" s="584" t="s">
        <v>379</v>
      </c>
      <c r="GV245" s="584">
        <v>1</v>
      </c>
      <c r="GW245" s="584"/>
      <c r="GX245" s="584"/>
      <c r="GY245" s="584"/>
      <c r="GZ245" s="584"/>
      <c r="HA245" s="584">
        <v>69.225803249999998</v>
      </c>
      <c r="HB245" s="584">
        <v>65</v>
      </c>
      <c r="HC245" s="584">
        <v>138.4516065</v>
      </c>
      <c r="HD245" s="584">
        <v>130</v>
      </c>
      <c r="HE245" s="584">
        <v>276.90321299999999</v>
      </c>
      <c r="HF245" s="584">
        <v>260</v>
      </c>
      <c r="HG245" s="1100">
        <v>1.35</v>
      </c>
      <c r="HH245" s="1100">
        <v>0.11</v>
      </c>
      <c r="HI245" s="1101">
        <v>0</v>
      </c>
      <c r="HJ245" s="1101">
        <v>0</v>
      </c>
      <c r="HK245" s="1101">
        <v>0</v>
      </c>
      <c r="HL245" s="1101">
        <v>0</v>
      </c>
      <c r="HM245" s="1101">
        <v>75.267692307692315</v>
      </c>
      <c r="HN245" s="1101">
        <v>54.999999999999993</v>
      </c>
      <c r="HO245" s="1101">
        <v>0</v>
      </c>
      <c r="HP245" s="1101">
        <v>0</v>
      </c>
      <c r="HQ245" s="1101">
        <v>1</v>
      </c>
      <c r="HR245" s="1101">
        <v>0.8</v>
      </c>
      <c r="HS245" s="1101">
        <v>1.24</v>
      </c>
      <c r="HT245" s="1101">
        <v>0.3</v>
      </c>
      <c r="HU245" s="1101">
        <v>0.3</v>
      </c>
      <c r="HV245" s="1101">
        <v>67.891298499999991</v>
      </c>
      <c r="HW245" s="1101">
        <v>65</v>
      </c>
      <c r="HX245" s="1101">
        <v>135.78259699999998</v>
      </c>
      <c r="HY245" s="1101">
        <v>130</v>
      </c>
      <c r="HZ245" s="1101">
        <v>271.56519399999996</v>
      </c>
      <c r="IA245" s="1101">
        <v>260</v>
      </c>
      <c r="IB245" s="1062"/>
      <c r="ID245" s="1050"/>
      <c r="IE245" s="1050"/>
      <c r="IM245" s="1050"/>
      <c r="IN245" s="1050"/>
      <c r="IO245" s="1050"/>
      <c r="IP245" s="1050"/>
      <c r="JU245" s="1050"/>
      <c r="KC245" s="1050"/>
      <c r="KD245" s="1050"/>
      <c r="KE245" s="1050"/>
      <c r="KF245" s="1050"/>
      <c r="KN245" s="1103"/>
    </row>
    <row r="246" spans="2:300">
      <c r="B246" s="1048" t="str">
        <f t="shared" si="8"/>
        <v>H514</v>
      </c>
      <c r="C246" s="1092">
        <v>5</v>
      </c>
      <c r="D246" s="1092">
        <v>14</v>
      </c>
      <c r="E246" s="584">
        <v>0</v>
      </c>
      <c r="F246" s="584">
        <v>0</v>
      </c>
      <c r="G246" s="584">
        <v>0</v>
      </c>
      <c r="H246" s="584">
        <v>0</v>
      </c>
      <c r="I246" s="584">
        <v>0</v>
      </c>
      <c r="J246" s="584">
        <v>0</v>
      </c>
      <c r="K246" s="584">
        <v>0</v>
      </c>
      <c r="L246" s="584">
        <v>0</v>
      </c>
      <c r="M246" s="584">
        <v>0</v>
      </c>
      <c r="N246" s="584">
        <v>0</v>
      </c>
      <c r="O246" s="584">
        <v>0</v>
      </c>
      <c r="P246" s="584">
        <v>0</v>
      </c>
      <c r="Q246" s="584">
        <v>0</v>
      </c>
      <c r="R246" s="584">
        <v>0</v>
      </c>
      <c r="S246" s="584">
        <v>0</v>
      </c>
      <c r="T246" s="584">
        <v>0</v>
      </c>
      <c r="U246" s="584">
        <v>0</v>
      </c>
      <c r="V246" s="584">
        <v>0</v>
      </c>
      <c r="W246" s="584">
        <v>0</v>
      </c>
      <c r="X246" s="584">
        <v>0</v>
      </c>
      <c r="Y246" s="584">
        <v>0</v>
      </c>
      <c r="Z246" s="584">
        <v>0.47</v>
      </c>
      <c r="AA246" s="584">
        <v>0.47</v>
      </c>
      <c r="AB246" s="584">
        <v>1128</v>
      </c>
      <c r="AC246" s="584">
        <v>22</v>
      </c>
      <c r="AD246" s="584">
        <v>0</v>
      </c>
      <c r="AE246" s="584">
        <v>0</v>
      </c>
      <c r="AF246" s="584">
        <v>0</v>
      </c>
      <c r="AG246" s="584">
        <v>0</v>
      </c>
      <c r="AH246" s="584">
        <v>0</v>
      </c>
      <c r="AI246" s="584">
        <v>0</v>
      </c>
      <c r="AJ246" s="584">
        <v>0</v>
      </c>
      <c r="AK246" s="584">
        <v>0</v>
      </c>
      <c r="AL246" s="584">
        <v>0</v>
      </c>
      <c r="AM246" s="584">
        <v>0</v>
      </c>
      <c r="AN246" s="584">
        <v>0</v>
      </c>
      <c r="AO246" s="584">
        <v>394.1654375</v>
      </c>
      <c r="AP246" s="584">
        <v>70</v>
      </c>
      <c r="AQ246" s="584">
        <v>748.81425000000002</v>
      </c>
      <c r="AR246" s="584">
        <v>147</v>
      </c>
      <c r="AS246" s="584">
        <v>1137.0409999999999</v>
      </c>
      <c r="AT246" s="584">
        <v>308</v>
      </c>
      <c r="AU246" s="584">
        <v>0</v>
      </c>
      <c r="AV246" s="584">
        <v>0</v>
      </c>
      <c r="AW246" s="584">
        <v>0</v>
      </c>
      <c r="AX246" s="584">
        <v>0</v>
      </c>
      <c r="AY246" s="584">
        <v>0</v>
      </c>
      <c r="AZ246" s="584">
        <v>0</v>
      </c>
      <c r="BA246" s="584">
        <v>0</v>
      </c>
      <c r="BB246" s="584">
        <v>0</v>
      </c>
      <c r="BC246" s="584">
        <v>0</v>
      </c>
      <c r="BD246" s="584">
        <v>0</v>
      </c>
      <c r="BE246" s="584">
        <v>0</v>
      </c>
      <c r="BF246" s="584">
        <v>0</v>
      </c>
      <c r="BG246" s="584">
        <v>0</v>
      </c>
      <c r="BH246" s="584">
        <v>0</v>
      </c>
      <c r="BI246" s="584">
        <v>0</v>
      </c>
      <c r="BJ246" s="584">
        <v>0</v>
      </c>
      <c r="BK246" s="584">
        <v>0</v>
      </c>
      <c r="BL246" s="584">
        <v>0</v>
      </c>
      <c r="BM246" s="584">
        <v>0</v>
      </c>
      <c r="BN246" s="584">
        <v>0</v>
      </c>
      <c r="BO246" s="584">
        <v>0</v>
      </c>
      <c r="BP246" s="584">
        <v>0</v>
      </c>
      <c r="BQ246" s="584">
        <v>0</v>
      </c>
      <c r="BR246" s="584">
        <v>0</v>
      </c>
      <c r="BS246" s="584">
        <v>0</v>
      </c>
      <c r="BT246" s="584">
        <v>0</v>
      </c>
      <c r="BU246" s="584">
        <v>0</v>
      </c>
      <c r="BV246" s="584">
        <v>0</v>
      </c>
      <c r="BW246" s="584">
        <v>0</v>
      </c>
      <c r="BX246" s="584">
        <v>0</v>
      </c>
      <c r="BY246" s="584">
        <v>0</v>
      </c>
      <c r="BZ246" s="584">
        <v>0</v>
      </c>
      <c r="CA246" s="584">
        <v>0</v>
      </c>
      <c r="CB246" s="584">
        <v>0</v>
      </c>
      <c r="CC246" s="584">
        <v>0</v>
      </c>
      <c r="CD246" s="584">
        <v>0</v>
      </c>
      <c r="CE246" s="584">
        <v>0</v>
      </c>
      <c r="CF246" s="584">
        <v>0</v>
      </c>
      <c r="CG246" s="584">
        <v>0</v>
      </c>
      <c r="CH246" s="584">
        <v>0</v>
      </c>
      <c r="CI246" s="584">
        <v>0</v>
      </c>
      <c r="CJ246" s="584">
        <v>0</v>
      </c>
      <c r="CK246" s="584">
        <v>0</v>
      </c>
      <c r="CL246" s="584">
        <v>0</v>
      </c>
      <c r="CM246" s="584">
        <v>0</v>
      </c>
      <c r="CN246" s="584">
        <v>0</v>
      </c>
      <c r="CO246" s="584">
        <v>0</v>
      </c>
      <c r="CP246" s="584">
        <v>0</v>
      </c>
      <c r="CQ246" s="584">
        <v>0</v>
      </c>
      <c r="CR246" s="584">
        <v>0</v>
      </c>
      <c r="CS246" s="584">
        <v>0</v>
      </c>
      <c r="CT246" s="584">
        <v>0</v>
      </c>
      <c r="CU246" s="584">
        <v>0</v>
      </c>
      <c r="CV246" s="584">
        <v>0</v>
      </c>
      <c r="CW246" s="584">
        <v>0</v>
      </c>
      <c r="CX246" s="584">
        <v>0</v>
      </c>
      <c r="CY246" s="584">
        <v>0</v>
      </c>
      <c r="CZ246" s="584">
        <v>0</v>
      </c>
      <c r="DA246" s="584">
        <v>0</v>
      </c>
      <c r="DB246" s="584">
        <v>0</v>
      </c>
      <c r="DC246" s="584">
        <v>0</v>
      </c>
      <c r="DD246" s="584">
        <v>0</v>
      </c>
      <c r="DE246" s="584">
        <v>0</v>
      </c>
      <c r="DF246" s="584">
        <v>0.57499999999999996</v>
      </c>
      <c r="DG246" s="584">
        <v>0.2</v>
      </c>
      <c r="DH246" s="584">
        <v>693.47837022132796</v>
      </c>
      <c r="DI246" s="584">
        <v>32.080257499542697</v>
      </c>
      <c r="DJ246" s="584">
        <v>300</v>
      </c>
      <c r="DK246" s="584">
        <v>0</v>
      </c>
      <c r="DL246" s="584">
        <v>0</v>
      </c>
      <c r="DM246" s="584">
        <v>0</v>
      </c>
      <c r="DN246" s="584">
        <v>0</v>
      </c>
      <c r="DO246" s="584">
        <v>0</v>
      </c>
      <c r="DP246" s="584">
        <v>0</v>
      </c>
      <c r="DQ246" s="584">
        <v>0</v>
      </c>
      <c r="DR246" s="584">
        <v>0.57499999999999996</v>
      </c>
      <c r="DS246" s="584">
        <v>0</v>
      </c>
      <c r="DT246" s="584">
        <v>2.4</v>
      </c>
      <c r="DU246" s="584">
        <v>351.17075</v>
      </c>
      <c r="DV246" s="584">
        <v>70</v>
      </c>
      <c r="DW246" s="584">
        <v>547.9615</v>
      </c>
      <c r="DX246" s="584">
        <v>147</v>
      </c>
      <c r="DY246" s="584">
        <v>929.97974999999997</v>
      </c>
      <c r="DZ246" s="584">
        <v>308</v>
      </c>
      <c r="EA246" s="1062">
        <v>0</v>
      </c>
      <c r="EB246" s="1046">
        <v>0</v>
      </c>
      <c r="EC246" s="1093">
        <v>0</v>
      </c>
      <c r="ED246" s="1046">
        <v>0</v>
      </c>
      <c r="EE246" s="1046">
        <v>0</v>
      </c>
      <c r="EF246" s="1046">
        <v>0</v>
      </c>
      <c r="EG246" s="1046">
        <v>0</v>
      </c>
      <c r="EH246" s="1046">
        <v>0</v>
      </c>
      <c r="EI246" s="1046">
        <v>0</v>
      </c>
      <c r="EJ246" s="1046">
        <v>0</v>
      </c>
      <c r="EK246" s="1046">
        <v>0</v>
      </c>
      <c r="EL246" s="1046">
        <v>0</v>
      </c>
      <c r="EM246" s="1046">
        <v>0</v>
      </c>
      <c r="EN246" s="1046">
        <v>0</v>
      </c>
      <c r="EO246" s="1046">
        <v>0</v>
      </c>
      <c r="EP246" s="1094">
        <v>0</v>
      </c>
      <c r="EQ246" s="1094">
        <v>0</v>
      </c>
      <c r="ER246" s="1094">
        <v>0</v>
      </c>
      <c r="ES246" s="1095">
        <v>0</v>
      </c>
      <c r="ET246" s="1094">
        <v>0</v>
      </c>
      <c r="EU246" s="1094">
        <v>0</v>
      </c>
      <c r="EV246" s="1096">
        <v>0.75260000000000005</v>
      </c>
      <c r="EW246" s="1097">
        <v>0.15</v>
      </c>
      <c r="EX246" s="1096">
        <v>289.50050968399592</v>
      </c>
      <c r="EY246" s="1096">
        <v>1.5443934760448521</v>
      </c>
      <c r="EZ246" s="1096">
        <v>0</v>
      </c>
      <c r="FA246" s="1096">
        <v>26.818571428571428</v>
      </c>
      <c r="FB246" s="1098">
        <v>0</v>
      </c>
      <c r="FC246" s="1098">
        <v>0</v>
      </c>
      <c r="FD246" s="1098" t="s">
        <v>430</v>
      </c>
      <c r="FE246" s="1098" t="s">
        <v>410</v>
      </c>
      <c r="FF246" s="1098">
        <v>1</v>
      </c>
      <c r="FG246" s="1098">
        <v>0</v>
      </c>
      <c r="FH246" s="1098">
        <v>0</v>
      </c>
      <c r="FI246" s="1098">
        <v>0</v>
      </c>
      <c r="FJ246" s="1098">
        <v>0</v>
      </c>
      <c r="FK246" s="1096">
        <v>107.24421199999998</v>
      </c>
      <c r="FL246" s="1096">
        <v>70</v>
      </c>
      <c r="FM246" s="1096">
        <v>214.48842399999995</v>
      </c>
      <c r="FN246" s="1096">
        <v>140</v>
      </c>
      <c r="FO246" s="1096">
        <v>428.9768479999999</v>
      </c>
      <c r="FP246" s="1099">
        <v>280</v>
      </c>
      <c r="FQ246" s="1064">
        <v>1.0156981024599609</v>
      </c>
      <c r="FR246" s="1065">
        <v>0.15</v>
      </c>
      <c r="FS246" s="1066">
        <v>289.50050968399586</v>
      </c>
      <c r="FT246" s="1066">
        <v>3.1754272996334754</v>
      </c>
      <c r="FU246" s="1065"/>
      <c r="FV246" s="1066">
        <v>74.085174465018611</v>
      </c>
      <c r="FW246" s="1065"/>
      <c r="FX246" s="1065"/>
      <c r="FY246" s="1065" t="s">
        <v>416</v>
      </c>
      <c r="FZ246" s="1065" t="s">
        <v>406</v>
      </c>
      <c r="GA246" s="1065">
        <v>1</v>
      </c>
      <c r="GB246" s="1065"/>
      <c r="GC246" s="1065"/>
      <c r="GD246" s="1065"/>
      <c r="GE246" s="1065"/>
      <c r="GF246" s="1066">
        <v>113.71371380794665</v>
      </c>
      <c r="GG246" s="1066">
        <v>70</v>
      </c>
      <c r="GH246" s="1066">
        <v>227.42742761589329</v>
      </c>
      <c r="GI246" s="1066">
        <v>140</v>
      </c>
      <c r="GJ246" s="1066">
        <v>454.85485523178659</v>
      </c>
      <c r="GK246" s="1066">
        <v>280</v>
      </c>
      <c r="GL246" s="584">
        <v>1.0803</v>
      </c>
      <c r="GM246" s="584">
        <v>0.11</v>
      </c>
      <c r="GN246" s="584"/>
      <c r="GO246" s="584"/>
      <c r="GP246" s="584"/>
      <c r="GQ246" s="584">
        <v>93.492857142857105</v>
      </c>
      <c r="GR246" s="584"/>
      <c r="GS246" s="584">
        <v>56.065239551478101</v>
      </c>
      <c r="GT246" s="584" t="s">
        <v>438</v>
      </c>
      <c r="GU246" s="584" t="s">
        <v>351</v>
      </c>
      <c r="GV246" s="584">
        <v>1</v>
      </c>
      <c r="GW246" s="584"/>
      <c r="GX246" s="584"/>
      <c r="GY246" s="584"/>
      <c r="GZ246" s="584"/>
      <c r="HA246" s="584">
        <v>76.425386250000003</v>
      </c>
      <c r="HB246" s="584">
        <v>70</v>
      </c>
      <c r="HC246" s="584">
        <v>152.85077250000001</v>
      </c>
      <c r="HD246" s="584">
        <v>140</v>
      </c>
      <c r="HE246" s="584">
        <v>305.70154500000001</v>
      </c>
      <c r="HF246" s="584">
        <v>280</v>
      </c>
      <c r="HG246" s="1100">
        <v>1.4700000000000002</v>
      </c>
      <c r="HH246" s="1100">
        <v>0.11</v>
      </c>
      <c r="HI246" s="1101">
        <v>0</v>
      </c>
      <c r="HJ246" s="1101">
        <v>0</v>
      </c>
      <c r="HK246" s="1101">
        <v>0</v>
      </c>
      <c r="HL246" s="1101">
        <v>0</v>
      </c>
      <c r="HM246" s="1101">
        <v>81.540000000000006</v>
      </c>
      <c r="HN246" s="1101">
        <v>54.999999999999993</v>
      </c>
      <c r="HO246" s="1101">
        <v>0</v>
      </c>
      <c r="HP246" s="1101">
        <v>0</v>
      </c>
      <c r="HQ246" s="1101">
        <v>1</v>
      </c>
      <c r="HR246" s="1101">
        <v>0.84</v>
      </c>
      <c r="HS246" s="1101">
        <v>1.36</v>
      </c>
      <c r="HT246" s="1101">
        <v>0.3</v>
      </c>
      <c r="HU246" s="1101">
        <v>0.3</v>
      </c>
      <c r="HV246" s="1101">
        <v>74.190504499999989</v>
      </c>
      <c r="HW246" s="1101">
        <v>70</v>
      </c>
      <c r="HX246" s="1101">
        <v>148.38100899999998</v>
      </c>
      <c r="HY246" s="1101">
        <v>140</v>
      </c>
      <c r="HZ246" s="1101">
        <v>296.76201799999996</v>
      </c>
      <c r="IA246" s="1101">
        <v>280</v>
      </c>
      <c r="IB246" s="1062"/>
      <c r="ID246" s="1050"/>
      <c r="IE246" s="1050"/>
      <c r="IM246" s="1050"/>
      <c r="IN246" s="1050"/>
      <c r="IO246" s="1050"/>
      <c r="IP246" s="1050"/>
      <c r="JU246" s="1050"/>
      <c r="KC246" s="1050"/>
      <c r="KD246" s="1050"/>
      <c r="KE246" s="1050"/>
      <c r="KF246" s="1050"/>
      <c r="KN246" s="1103"/>
    </row>
    <row r="247" spans="2:300">
      <c r="B247" s="1048" t="str">
        <f t="shared" si="8"/>
        <v>H515</v>
      </c>
      <c r="C247" s="1092">
        <v>5</v>
      </c>
      <c r="D247" s="1092">
        <v>15</v>
      </c>
      <c r="E247" s="584">
        <v>0</v>
      </c>
      <c r="F247" s="584">
        <v>0</v>
      </c>
      <c r="G247" s="584">
        <v>0</v>
      </c>
      <c r="H247" s="584">
        <v>0</v>
      </c>
      <c r="I247" s="584">
        <v>0</v>
      </c>
      <c r="J247" s="584">
        <v>0</v>
      </c>
      <c r="K247" s="584">
        <v>0</v>
      </c>
      <c r="L247" s="584">
        <v>0</v>
      </c>
      <c r="M247" s="584">
        <v>0</v>
      </c>
      <c r="N247" s="584">
        <v>0</v>
      </c>
      <c r="O247" s="584">
        <v>0</v>
      </c>
      <c r="P247" s="584">
        <v>0</v>
      </c>
      <c r="Q247" s="584">
        <v>0</v>
      </c>
      <c r="R247" s="584">
        <v>0</v>
      </c>
      <c r="S247" s="584">
        <v>0</v>
      </c>
      <c r="T247" s="584">
        <v>0</v>
      </c>
      <c r="U247" s="584">
        <v>0</v>
      </c>
      <c r="V247" s="584">
        <v>0</v>
      </c>
      <c r="W247" s="584">
        <v>0</v>
      </c>
      <c r="X247" s="584">
        <v>0</v>
      </c>
      <c r="Y247" s="584">
        <v>0</v>
      </c>
      <c r="Z247" s="584">
        <v>0</v>
      </c>
      <c r="AA247" s="584">
        <v>0</v>
      </c>
      <c r="AB247" s="584">
        <v>0</v>
      </c>
      <c r="AC247" s="584">
        <v>0</v>
      </c>
      <c r="AD247" s="584">
        <v>0</v>
      </c>
      <c r="AE247" s="584">
        <v>0</v>
      </c>
      <c r="AF247" s="584">
        <v>0</v>
      </c>
      <c r="AG247" s="584">
        <v>0</v>
      </c>
      <c r="AH247" s="584">
        <v>0</v>
      </c>
      <c r="AI247" s="584">
        <v>0</v>
      </c>
      <c r="AJ247" s="584">
        <v>0</v>
      </c>
      <c r="AK247" s="584">
        <v>0</v>
      </c>
      <c r="AL247" s="584">
        <v>0</v>
      </c>
      <c r="AM247" s="584">
        <v>0</v>
      </c>
      <c r="AN247" s="584">
        <v>0</v>
      </c>
      <c r="AO247" s="584">
        <v>0</v>
      </c>
      <c r="AP247" s="584">
        <v>0</v>
      </c>
      <c r="AQ247" s="584">
        <v>0</v>
      </c>
      <c r="AR247" s="584">
        <v>0</v>
      </c>
      <c r="AS247" s="584">
        <v>0</v>
      </c>
      <c r="AT247" s="584">
        <v>0</v>
      </c>
      <c r="AU247" s="584">
        <v>0</v>
      </c>
      <c r="AV247" s="584">
        <v>0</v>
      </c>
      <c r="AW247" s="584">
        <v>0</v>
      </c>
      <c r="AX247" s="584">
        <v>0</v>
      </c>
      <c r="AY247" s="584">
        <v>0</v>
      </c>
      <c r="AZ247" s="584">
        <v>0</v>
      </c>
      <c r="BA247" s="584">
        <v>0</v>
      </c>
      <c r="BB247" s="584">
        <v>0</v>
      </c>
      <c r="BC247" s="584">
        <v>0</v>
      </c>
      <c r="BD247" s="584">
        <v>0</v>
      </c>
      <c r="BE247" s="584">
        <v>0</v>
      </c>
      <c r="BF247" s="584">
        <v>0</v>
      </c>
      <c r="BG247" s="584">
        <v>0</v>
      </c>
      <c r="BH247" s="584">
        <v>0</v>
      </c>
      <c r="BI247" s="584">
        <v>0</v>
      </c>
      <c r="BJ247" s="584">
        <v>0</v>
      </c>
      <c r="BK247" s="584">
        <v>0</v>
      </c>
      <c r="BL247" s="584">
        <v>0</v>
      </c>
      <c r="BM247" s="584">
        <v>0</v>
      </c>
      <c r="BN247" s="584">
        <v>0</v>
      </c>
      <c r="BO247" s="584">
        <v>0</v>
      </c>
      <c r="BP247" s="584">
        <v>0</v>
      </c>
      <c r="BQ247" s="584">
        <v>0</v>
      </c>
      <c r="BR247" s="584">
        <v>0</v>
      </c>
      <c r="BS247" s="584">
        <v>0</v>
      </c>
      <c r="BT247" s="584">
        <v>0</v>
      </c>
      <c r="BU247" s="584">
        <v>0</v>
      </c>
      <c r="BV247" s="584">
        <v>0</v>
      </c>
      <c r="BW247" s="584">
        <v>0</v>
      </c>
      <c r="BX247" s="584">
        <v>0</v>
      </c>
      <c r="BY247" s="584">
        <v>0</v>
      </c>
      <c r="BZ247" s="584">
        <v>0</v>
      </c>
      <c r="CA247" s="584">
        <v>0</v>
      </c>
      <c r="CB247" s="584">
        <v>0</v>
      </c>
      <c r="CC247" s="584">
        <v>0</v>
      </c>
      <c r="CD247" s="584">
        <v>0</v>
      </c>
      <c r="CE247" s="584">
        <v>0</v>
      </c>
      <c r="CF247" s="584">
        <v>0</v>
      </c>
      <c r="CG247" s="584">
        <v>0</v>
      </c>
      <c r="CH247" s="584">
        <v>0</v>
      </c>
      <c r="CI247" s="584">
        <v>0</v>
      </c>
      <c r="CJ247" s="584">
        <v>0</v>
      </c>
      <c r="CK247" s="584">
        <v>0</v>
      </c>
      <c r="CL247" s="584">
        <v>0</v>
      </c>
      <c r="CM247" s="584">
        <v>0</v>
      </c>
      <c r="CN247" s="584">
        <v>0</v>
      </c>
      <c r="CO247" s="584">
        <v>0</v>
      </c>
      <c r="CP247" s="584">
        <v>0</v>
      </c>
      <c r="CQ247" s="584">
        <v>0</v>
      </c>
      <c r="CR247" s="584">
        <v>0</v>
      </c>
      <c r="CS247" s="584">
        <v>0</v>
      </c>
      <c r="CT247" s="584">
        <v>0</v>
      </c>
      <c r="CU247" s="584">
        <v>0</v>
      </c>
      <c r="CV247" s="584">
        <v>0</v>
      </c>
      <c r="CW247" s="584">
        <v>0</v>
      </c>
      <c r="CX247" s="584">
        <v>0</v>
      </c>
      <c r="CY247" s="584">
        <v>0</v>
      </c>
      <c r="CZ247" s="584">
        <v>0</v>
      </c>
      <c r="DA247" s="584">
        <v>0</v>
      </c>
      <c r="DB247" s="584">
        <v>0</v>
      </c>
      <c r="DC247" s="584">
        <v>0</v>
      </c>
      <c r="DD247" s="584">
        <v>0</v>
      </c>
      <c r="DE247" s="584">
        <v>0</v>
      </c>
      <c r="DF247" s="584">
        <v>0</v>
      </c>
      <c r="DG247" s="584">
        <v>0</v>
      </c>
      <c r="DH247" s="584">
        <v>0</v>
      </c>
      <c r="DI247" s="584">
        <v>0</v>
      </c>
      <c r="DJ247" s="584">
        <v>0</v>
      </c>
      <c r="DK247" s="584">
        <v>0</v>
      </c>
      <c r="DL247" s="584">
        <v>0</v>
      </c>
      <c r="DM247" s="584">
        <v>0</v>
      </c>
      <c r="DN247" s="584">
        <v>0</v>
      </c>
      <c r="DO247" s="584">
        <v>0</v>
      </c>
      <c r="DP247" s="584">
        <v>0</v>
      </c>
      <c r="DQ247" s="584">
        <v>0</v>
      </c>
      <c r="DR247" s="584">
        <v>0</v>
      </c>
      <c r="DS247" s="584">
        <v>0</v>
      </c>
      <c r="DT247" s="584">
        <v>0</v>
      </c>
      <c r="DU247" s="584">
        <v>0</v>
      </c>
      <c r="DV247" s="584">
        <v>0</v>
      </c>
      <c r="DW247" s="584">
        <v>0</v>
      </c>
      <c r="DX247" s="584">
        <v>0</v>
      </c>
      <c r="DY247" s="584">
        <v>0</v>
      </c>
      <c r="DZ247" s="584">
        <v>0</v>
      </c>
      <c r="EA247" s="1062">
        <v>0</v>
      </c>
      <c r="EB247" s="1046">
        <v>0</v>
      </c>
      <c r="EC247" s="1093">
        <v>0</v>
      </c>
      <c r="ED247" s="1046">
        <v>0</v>
      </c>
      <c r="EE247" s="1046">
        <v>0</v>
      </c>
      <c r="EF247" s="1046">
        <v>0</v>
      </c>
      <c r="EG247" s="1046">
        <v>0</v>
      </c>
      <c r="EH247" s="1046">
        <v>0</v>
      </c>
      <c r="EI247" s="1046">
        <v>0</v>
      </c>
      <c r="EJ247" s="1046">
        <v>0</v>
      </c>
      <c r="EK247" s="1046">
        <v>0</v>
      </c>
      <c r="EL247" s="1046">
        <v>0</v>
      </c>
      <c r="EM247" s="1046">
        <v>0</v>
      </c>
      <c r="EN247" s="1046">
        <v>0</v>
      </c>
      <c r="EO247" s="1046">
        <v>0</v>
      </c>
      <c r="EP247" s="1094">
        <v>0</v>
      </c>
      <c r="EQ247" s="1094">
        <v>0</v>
      </c>
      <c r="ER247" s="1094">
        <v>0</v>
      </c>
      <c r="ES247" s="1095">
        <v>0</v>
      </c>
      <c r="ET247" s="1094">
        <v>0</v>
      </c>
      <c r="EU247" s="1094">
        <v>0</v>
      </c>
      <c r="EV247" s="1096">
        <v>0.75260000000000005</v>
      </c>
      <c r="EW247" s="1097">
        <v>0.15</v>
      </c>
      <c r="EX247" s="1096">
        <v>289.50050968399592</v>
      </c>
      <c r="EY247" s="1096">
        <v>1.5443934760448521</v>
      </c>
      <c r="EZ247" s="1096">
        <v>0</v>
      </c>
      <c r="FA247" s="1096">
        <v>26.973333333333333</v>
      </c>
      <c r="FB247" s="1098">
        <v>0</v>
      </c>
      <c r="FC247" s="1098">
        <v>0</v>
      </c>
      <c r="FD247" s="1098" t="s">
        <v>429</v>
      </c>
      <c r="FE247" s="1098" t="s">
        <v>410</v>
      </c>
      <c r="FF247" s="1098">
        <v>1</v>
      </c>
      <c r="FG247" s="1098">
        <v>0</v>
      </c>
      <c r="FH247" s="1098">
        <v>0</v>
      </c>
      <c r="FI247" s="1098">
        <v>0</v>
      </c>
      <c r="FJ247" s="1098">
        <v>0</v>
      </c>
      <c r="FK247" s="1096">
        <v>114.93297937500002</v>
      </c>
      <c r="FL247" s="1096">
        <v>75</v>
      </c>
      <c r="FM247" s="1096">
        <v>229.86595875000003</v>
      </c>
      <c r="FN247" s="1096">
        <v>150</v>
      </c>
      <c r="FO247" s="1096">
        <v>459.73191750000007</v>
      </c>
      <c r="FP247" s="1099">
        <v>300</v>
      </c>
      <c r="FQ247" s="1064">
        <v>1.2222367378842984</v>
      </c>
      <c r="FR247" s="1065">
        <v>0.15</v>
      </c>
      <c r="FS247" s="1066">
        <v>289.50050968399586</v>
      </c>
      <c r="FT247" s="1066">
        <v>3.1754272996334754</v>
      </c>
      <c r="FU247" s="1065"/>
      <c r="FV247" s="1066">
        <v>78.990679159617073</v>
      </c>
      <c r="FW247" s="1065"/>
      <c r="FX247" s="1065"/>
      <c r="FY247" s="1065" t="s">
        <v>414</v>
      </c>
      <c r="FZ247" s="1065" t="s">
        <v>389</v>
      </c>
      <c r="GA247" s="1065">
        <v>1</v>
      </c>
      <c r="GB247" s="1065"/>
      <c r="GC247" s="1065"/>
      <c r="GD247" s="1065"/>
      <c r="GE247" s="1065"/>
      <c r="GF247" s="1066">
        <v>122.73842820684841</v>
      </c>
      <c r="GG247" s="1066">
        <v>75</v>
      </c>
      <c r="GH247" s="1066">
        <v>245.47685641369682</v>
      </c>
      <c r="GI247" s="1066">
        <v>150</v>
      </c>
      <c r="GJ247" s="1066">
        <v>490.95371282739364</v>
      </c>
      <c r="GK247" s="1066">
        <v>300</v>
      </c>
      <c r="GL247" s="584">
        <v>1.0901000000000001</v>
      </c>
      <c r="GM247" s="584">
        <v>0.11</v>
      </c>
      <c r="GN247" s="584"/>
      <c r="GO247" s="584"/>
      <c r="GP247" s="584"/>
      <c r="GQ247" s="584">
        <v>104.426666666667</v>
      </c>
      <c r="GR247" s="584"/>
      <c r="GS247" s="584">
        <v>56.065239551478101</v>
      </c>
      <c r="GT247" s="584" t="s">
        <v>456</v>
      </c>
      <c r="GU247" s="584" t="s">
        <v>349</v>
      </c>
      <c r="GV247" s="584">
        <v>1</v>
      </c>
      <c r="GW247" s="584"/>
      <c r="GX247" s="584"/>
      <c r="GY247" s="584"/>
      <c r="GZ247" s="584"/>
      <c r="HA247" s="584">
        <v>83.895480000000006</v>
      </c>
      <c r="HB247" s="584">
        <v>75</v>
      </c>
      <c r="HC247" s="584">
        <v>167.79096000000001</v>
      </c>
      <c r="HD247" s="584">
        <v>150</v>
      </c>
      <c r="HE247" s="584">
        <v>335.58192000000003</v>
      </c>
      <c r="HF247" s="584">
        <v>300</v>
      </c>
      <c r="HG247" s="1100">
        <v>1.6300000000000001</v>
      </c>
      <c r="HH247" s="1100">
        <v>0.11</v>
      </c>
      <c r="HI247" s="1101">
        <v>0</v>
      </c>
      <c r="HJ247" s="1101">
        <v>0</v>
      </c>
      <c r="HK247" s="1101">
        <v>0</v>
      </c>
      <c r="HL247" s="1101">
        <v>0</v>
      </c>
      <c r="HM247" s="1101">
        <v>90.360000000000014</v>
      </c>
      <c r="HN247" s="1101">
        <v>54.999999999999993</v>
      </c>
      <c r="HO247" s="1101">
        <v>0</v>
      </c>
      <c r="HP247" s="1101">
        <v>0</v>
      </c>
      <c r="HQ247" s="1101">
        <v>1</v>
      </c>
      <c r="HR247" s="1101">
        <v>0.92</v>
      </c>
      <c r="HS247" s="1101">
        <v>1.52</v>
      </c>
      <c r="HT247" s="1101">
        <v>0.3</v>
      </c>
      <c r="HU247" s="1101">
        <v>0.3</v>
      </c>
      <c r="HV247" s="1101">
        <v>81.112154999999987</v>
      </c>
      <c r="HW247" s="1101">
        <v>75</v>
      </c>
      <c r="HX247" s="1101">
        <v>162.22430999999997</v>
      </c>
      <c r="HY247" s="1101">
        <v>150</v>
      </c>
      <c r="HZ247" s="1101">
        <v>324.44861999999995</v>
      </c>
      <c r="IA247" s="1101">
        <v>300</v>
      </c>
      <c r="IB247" s="1062"/>
      <c r="ID247" s="1050"/>
      <c r="IE247" s="1050"/>
      <c r="IM247" s="1050"/>
      <c r="IN247" s="1050"/>
      <c r="IO247" s="1050"/>
      <c r="IP247" s="1050"/>
      <c r="JU247" s="1050"/>
      <c r="KC247" s="1050"/>
      <c r="KD247" s="1050"/>
      <c r="KE247" s="1050"/>
      <c r="KF247" s="1050"/>
      <c r="KN247" s="1103"/>
    </row>
    <row r="248" spans="2:300">
      <c r="B248" s="1048" t="str">
        <f t="shared" si="8"/>
        <v>H516</v>
      </c>
      <c r="C248" s="1092">
        <v>5</v>
      </c>
      <c r="D248" s="1092">
        <v>16</v>
      </c>
      <c r="E248" s="584">
        <v>0</v>
      </c>
      <c r="F248" s="584">
        <v>0</v>
      </c>
      <c r="G248" s="584">
        <v>0</v>
      </c>
      <c r="H248" s="584">
        <v>0</v>
      </c>
      <c r="I248" s="584">
        <v>0</v>
      </c>
      <c r="J248" s="584">
        <v>0</v>
      </c>
      <c r="K248" s="584">
        <v>0</v>
      </c>
      <c r="L248" s="584">
        <v>0</v>
      </c>
      <c r="M248" s="584">
        <v>0</v>
      </c>
      <c r="N248" s="584">
        <v>0</v>
      </c>
      <c r="O248" s="584">
        <v>0</v>
      </c>
      <c r="P248" s="584">
        <v>0</v>
      </c>
      <c r="Q248" s="584">
        <v>0</v>
      </c>
      <c r="R248" s="584">
        <v>0</v>
      </c>
      <c r="S248" s="584">
        <v>0</v>
      </c>
      <c r="T248" s="584">
        <v>0</v>
      </c>
      <c r="U248" s="584">
        <v>0</v>
      </c>
      <c r="V248" s="584">
        <v>0</v>
      </c>
      <c r="W248" s="584">
        <v>0</v>
      </c>
      <c r="X248" s="584">
        <v>0</v>
      </c>
      <c r="Y248" s="584">
        <v>0</v>
      </c>
      <c r="Z248" s="584">
        <v>0</v>
      </c>
      <c r="AA248" s="584">
        <v>0</v>
      </c>
      <c r="AB248" s="584">
        <v>0</v>
      </c>
      <c r="AC248" s="584">
        <v>0</v>
      </c>
      <c r="AD248" s="584">
        <v>0</v>
      </c>
      <c r="AE248" s="584">
        <v>0</v>
      </c>
      <c r="AF248" s="584">
        <v>0</v>
      </c>
      <c r="AG248" s="584">
        <v>0</v>
      </c>
      <c r="AH248" s="584">
        <v>0</v>
      </c>
      <c r="AI248" s="584">
        <v>0</v>
      </c>
      <c r="AJ248" s="584">
        <v>0</v>
      </c>
      <c r="AK248" s="584">
        <v>0</v>
      </c>
      <c r="AL248" s="584">
        <v>0</v>
      </c>
      <c r="AM248" s="584">
        <v>0</v>
      </c>
      <c r="AN248" s="584">
        <v>0</v>
      </c>
      <c r="AO248" s="584">
        <v>0</v>
      </c>
      <c r="AP248" s="584">
        <v>0</v>
      </c>
      <c r="AQ248" s="584">
        <v>0</v>
      </c>
      <c r="AR248" s="584">
        <v>0</v>
      </c>
      <c r="AS248" s="584">
        <v>0</v>
      </c>
      <c r="AT248" s="584">
        <v>0</v>
      </c>
      <c r="AU248" s="584">
        <v>0</v>
      </c>
      <c r="AV248" s="584">
        <v>0</v>
      </c>
      <c r="AW248" s="584">
        <v>0</v>
      </c>
      <c r="AX248" s="584">
        <v>0</v>
      </c>
      <c r="AY248" s="584">
        <v>0</v>
      </c>
      <c r="AZ248" s="584">
        <v>0</v>
      </c>
      <c r="BA248" s="584">
        <v>0</v>
      </c>
      <c r="BB248" s="584">
        <v>0</v>
      </c>
      <c r="BC248" s="584">
        <v>0</v>
      </c>
      <c r="BD248" s="584">
        <v>0</v>
      </c>
      <c r="BE248" s="584">
        <v>0</v>
      </c>
      <c r="BF248" s="584">
        <v>0</v>
      </c>
      <c r="BG248" s="584">
        <v>0</v>
      </c>
      <c r="BH248" s="584">
        <v>0</v>
      </c>
      <c r="BI248" s="584">
        <v>0</v>
      </c>
      <c r="BJ248" s="584">
        <v>0</v>
      </c>
      <c r="BK248" s="584">
        <v>0</v>
      </c>
      <c r="BL248" s="584">
        <v>0</v>
      </c>
      <c r="BM248" s="584">
        <v>0</v>
      </c>
      <c r="BN248" s="584">
        <v>0</v>
      </c>
      <c r="BO248" s="584">
        <v>0</v>
      </c>
      <c r="BP248" s="584">
        <v>0</v>
      </c>
      <c r="BQ248" s="584">
        <v>0</v>
      </c>
      <c r="BR248" s="584">
        <v>0</v>
      </c>
      <c r="BS248" s="584">
        <v>0</v>
      </c>
      <c r="BT248" s="584">
        <v>0</v>
      </c>
      <c r="BU248" s="584">
        <v>0</v>
      </c>
      <c r="BV248" s="584">
        <v>0</v>
      </c>
      <c r="BW248" s="584">
        <v>0</v>
      </c>
      <c r="BX248" s="584">
        <v>0</v>
      </c>
      <c r="BY248" s="584">
        <v>0</v>
      </c>
      <c r="BZ248" s="584">
        <v>0</v>
      </c>
      <c r="CA248" s="584">
        <v>0</v>
      </c>
      <c r="CB248" s="584">
        <v>0</v>
      </c>
      <c r="CC248" s="584">
        <v>0</v>
      </c>
      <c r="CD248" s="584">
        <v>0</v>
      </c>
      <c r="CE248" s="584">
        <v>0</v>
      </c>
      <c r="CF248" s="584">
        <v>0</v>
      </c>
      <c r="CG248" s="584">
        <v>0</v>
      </c>
      <c r="CH248" s="584">
        <v>0</v>
      </c>
      <c r="CI248" s="584">
        <v>0</v>
      </c>
      <c r="CJ248" s="584">
        <v>0</v>
      </c>
      <c r="CK248" s="584">
        <v>0</v>
      </c>
      <c r="CL248" s="584">
        <v>0</v>
      </c>
      <c r="CM248" s="584">
        <v>0</v>
      </c>
      <c r="CN248" s="584">
        <v>0</v>
      </c>
      <c r="CO248" s="584">
        <v>0</v>
      </c>
      <c r="CP248" s="584">
        <v>0</v>
      </c>
      <c r="CQ248" s="584">
        <v>0</v>
      </c>
      <c r="CR248" s="584">
        <v>0</v>
      </c>
      <c r="CS248" s="584">
        <v>0</v>
      </c>
      <c r="CT248" s="584">
        <v>0</v>
      </c>
      <c r="CU248" s="584">
        <v>0</v>
      </c>
      <c r="CV248" s="584">
        <v>0</v>
      </c>
      <c r="CW248" s="584">
        <v>0</v>
      </c>
      <c r="CX248" s="584">
        <v>0</v>
      </c>
      <c r="CY248" s="584">
        <v>0</v>
      </c>
      <c r="CZ248" s="584">
        <v>0</v>
      </c>
      <c r="DA248" s="584">
        <v>0</v>
      </c>
      <c r="DB248" s="584">
        <v>0</v>
      </c>
      <c r="DC248" s="584">
        <v>0</v>
      </c>
      <c r="DD248" s="584">
        <v>0</v>
      </c>
      <c r="DE248" s="584">
        <v>0</v>
      </c>
      <c r="DF248" s="584">
        <v>0</v>
      </c>
      <c r="DG248" s="584">
        <v>0</v>
      </c>
      <c r="DH248" s="584">
        <v>0</v>
      </c>
      <c r="DI248" s="584">
        <v>0</v>
      </c>
      <c r="DJ248" s="584">
        <v>0</v>
      </c>
      <c r="DK248" s="584">
        <v>0</v>
      </c>
      <c r="DL248" s="584">
        <v>0</v>
      </c>
      <c r="DM248" s="584">
        <v>0</v>
      </c>
      <c r="DN248" s="584">
        <v>0</v>
      </c>
      <c r="DO248" s="584">
        <v>0</v>
      </c>
      <c r="DP248" s="584">
        <v>0</v>
      </c>
      <c r="DQ248" s="584">
        <v>0</v>
      </c>
      <c r="DR248" s="584">
        <v>0</v>
      </c>
      <c r="DS248" s="584">
        <v>0</v>
      </c>
      <c r="DT248" s="584">
        <v>0</v>
      </c>
      <c r="DU248" s="584">
        <v>0</v>
      </c>
      <c r="DV248" s="584">
        <v>0</v>
      </c>
      <c r="DW248" s="584">
        <v>0</v>
      </c>
      <c r="DX248" s="584">
        <v>0</v>
      </c>
      <c r="DY248" s="584">
        <v>0</v>
      </c>
      <c r="DZ248" s="584">
        <v>0</v>
      </c>
      <c r="EA248" s="1062">
        <v>0</v>
      </c>
      <c r="EB248" s="1046">
        <v>0</v>
      </c>
      <c r="EC248" s="1093">
        <v>0</v>
      </c>
      <c r="ED248" s="1046">
        <v>0</v>
      </c>
      <c r="EE248" s="1046">
        <v>0</v>
      </c>
      <c r="EF248" s="1046">
        <v>0</v>
      </c>
      <c r="EG248" s="1046">
        <v>0</v>
      </c>
      <c r="EH248" s="1046">
        <v>0</v>
      </c>
      <c r="EI248" s="1046">
        <v>0</v>
      </c>
      <c r="EJ248" s="1046">
        <v>0</v>
      </c>
      <c r="EK248" s="1046">
        <v>0</v>
      </c>
      <c r="EL248" s="1046">
        <v>0</v>
      </c>
      <c r="EM248" s="1046">
        <v>0</v>
      </c>
      <c r="EN248" s="1046">
        <v>0</v>
      </c>
      <c r="EO248" s="1046">
        <v>0</v>
      </c>
      <c r="EP248" s="1094">
        <v>0</v>
      </c>
      <c r="EQ248" s="1094">
        <v>0</v>
      </c>
      <c r="ER248" s="1094">
        <v>0</v>
      </c>
      <c r="ES248" s="1095">
        <v>0</v>
      </c>
      <c r="ET248" s="1094">
        <v>0</v>
      </c>
      <c r="EU248" s="1094">
        <v>0</v>
      </c>
      <c r="EV248" s="1096">
        <v>0.82789999999999997</v>
      </c>
      <c r="EW248" s="1097">
        <v>0.15</v>
      </c>
      <c r="EX248" s="1096">
        <v>289.50050968399592</v>
      </c>
      <c r="EY248" s="1096">
        <v>1.5443934760448521</v>
      </c>
      <c r="EZ248" s="1096">
        <v>0</v>
      </c>
      <c r="FA248" s="1096">
        <v>31.352499999999999</v>
      </c>
      <c r="FB248" s="1098">
        <v>0</v>
      </c>
      <c r="FC248" s="1098">
        <v>0</v>
      </c>
      <c r="FD248" s="1098" t="s">
        <v>429</v>
      </c>
      <c r="FE248" s="1098" t="s">
        <v>396</v>
      </c>
      <c r="FF248" s="1098">
        <v>1</v>
      </c>
      <c r="FG248" s="1098">
        <v>0</v>
      </c>
      <c r="FH248" s="1098">
        <v>0</v>
      </c>
      <c r="FI248" s="1098">
        <v>0</v>
      </c>
      <c r="FJ248" s="1098">
        <v>0</v>
      </c>
      <c r="FK248" s="1096">
        <v>123.45437050000001</v>
      </c>
      <c r="FL248" s="1096">
        <v>80</v>
      </c>
      <c r="FM248" s="1096">
        <v>246.90874100000002</v>
      </c>
      <c r="FN248" s="1096">
        <v>160</v>
      </c>
      <c r="FO248" s="1096">
        <v>493.81748200000004</v>
      </c>
      <c r="FP248" s="1099">
        <v>320</v>
      </c>
      <c r="FQ248" s="1064">
        <v>1.2262367378842984</v>
      </c>
      <c r="FR248" s="1065">
        <v>0.15</v>
      </c>
      <c r="FS248" s="1066">
        <v>289.50050968399586</v>
      </c>
      <c r="FT248" s="1066">
        <v>3.1754272996334754</v>
      </c>
      <c r="FU248" s="1065"/>
      <c r="FV248" s="1066">
        <v>85.412791807316779</v>
      </c>
      <c r="FW248" s="1065"/>
      <c r="FX248" s="1065"/>
      <c r="FY248" s="1065" t="s">
        <v>408</v>
      </c>
      <c r="FZ248" s="1065" t="s">
        <v>387</v>
      </c>
      <c r="GA248" s="1065">
        <v>1</v>
      </c>
      <c r="GB248" s="1065"/>
      <c r="GC248" s="1065"/>
      <c r="GD248" s="1065"/>
      <c r="GE248" s="1065"/>
      <c r="GF248" s="1066">
        <v>132.18100858878361</v>
      </c>
      <c r="GG248" s="1066">
        <v>80</v>
      </c>
      <c r="GH248" s="1066">
        <v>264.36201717756722</v>
      </c>
      <c r="GI248" s="1066">
        <v>160</v>
      </c>
      <c r="GJ248" s="1066">
        <v>528.72403435513445</v>
      </c>
      <c r="GK248" s="1066">
        <v>320</v>
      </c>
      <c r="GL248" s="584">
        <v>1.1099000000000001</v>
      </c>
      <c r="GM248" s="584">
        <v>0.11</v>
      </c>
      <c r="GN248" s="584"/>
      <c r="GO248" s="584"/>
      <c r="GP248" s="584"/>
      <c r="GQ248" s="584">
        <v>130.38874999999999</v>
      </c>
      <c r="GR248" s="584"/>
      <c r="GS248" s="584">
        <v>56.065239551478101</v>
      </c>
      <c r="GT248" s="584" t="s">
        <v>436</v>
      </c>
      <c r="GU248" s="584" t="s">
        <v>345</v>
      </c>
      <c r="GV248" s="584">
        <v>1</v>
      </c>
      <c r="GW248" s="584"/>
      <c r="GX248" s="584"/>
      <c r="GY248" s="584"/>
      <c r="GZ248" s="584"/>
      <c r="HA248" s="584">
        <v>94.582272750000001</v>
      </c>
      <c r="HB248" s="584">
        <v>80</v>
      </c>
      <c r="HC248" s="584">
        <v>189.1645455</v>
      </c>
      <c r="HD248" s="584">
        <v>160</v>
      </c>
      <c r="HE248" s="584">
        <v>378.32909100000001</v>
      </c>
      <c r="HF248" s="584">
        <v>320</v>
      </c>
      <c r="HG248" s="1100">
        <v>1.75</v>
      </c>
      <c r="HH248" s="1100">
        <v>0.11</v>
      </c>
      <c r="HI248" s="1101">
        <v>0</v>
      </c>
      <c r="HJ248" s="1101">
        <v>0</v>
      </c>
      <c r="HK248" s="1101">
        <v>0</v>
      </c>
      <c r="HL248" s="1101">
        <v>0</v>
      </c>
      <c r="HM248" s="1101">
        <v>96.997500000000002</v>
      </c>
      <c r="HN248" s="1101">
        <v>54.999999999999993</v>
      </c>
      <c r="HO248" s="1101">
        <v>0</v>
      </c>
      <c r="HP248" s="1101">
        <v>0</v>
      </c>
      <c r="HQ248" s="1101">
        <v>1</v>
      </c>
      <c r="HR248" s="1101">
        <v>1</v>
      </c>
      <c r="HS248" s="1101">
        <v>1.64</v>
      </c>
      <c r="HT248" s="1101">
        <v>0.3</v>
      </c>
      <c r="HU248" s="1101">
        <v>0.3</v>
      </c>
      <c r="HV248" s="1101">
        <v>87.82190949999999</v>
      </c>
      <c r="HW248" s="1101">
        <v>80</v>
      </c>
      <c r="HX248" s="1101">
        <v>175.64381899999998</v>
      </c>
      <c r="HY248" s="1101">
        <v>160</v>
      </c>
      <c r="HZ248" s="1101">
        <v>351.28763799999996</v>
      </c>
      <c r="IA248" s="1101">
        <v>320</v>
      </c>
      <c r="IB248" s="1062"/>
      <c r="ID248" s="1050"/>
      <c r="IE248" s="1050"/>
      <c r="IM248" s="1050"/>
      <c r="IN248" s="1050"/>
      <c r="IO248" s="1050"/>
      <c r="IP248" s="1050"/>
      <c r="JU248" s="1050"/>
      <c r="KC248" s="1050"/>
      <c r="KD248" s="1050"/>
      <c r="KE248" s="1050"/>
      <c r="KF248" s="1050"/>
      <c r="KN248" s="1103"/>
    </row>
    <row r="249" spans="2:300">
      <c r="B249" s="1048" t="str">
        <f t="shared" si="8"/>
        <v>H66</v>
      </c>
      <c r="C249" s="1046">
        <v>6</v>
      </c>
      <c r="D249" s="1046">
        <v>6</v>
      </c>
      <c r="E249" s="584">
        <v>0.22</v>
      </c>
      <c r="F249" s="584">
        <v>0.22</v>
      </c>
      <c r="G249" s="584">
        <v>528</v>
      </c>
      <c r="H249" s="584">
        <v>19.8</v>
      </c>
      <c r="I249" s="584">
        <v>0</v>
      </c>
      <c r="J249" s="584">
        <v>0</v>
      </c>
      <c r="K249" s="584">
        <v>0</v>
      </c>
      <c r="L249" s="584">
        <v>0</v>
      </c>
      <c r="M249" s="584">
        <v>0</v>
      </c>
      <c r="N249" s="584">
        <v>0</v>
      </c>
      <c r="O249" s="584">
        <v>0</v>
      </c>
      <c r="P249" s="584">
        <v>0</v>
      </c>
      <c r="Q249" s="584">
        <v>0</v>
      </c>
      <c r="R249" s="584">
        <v>0</v>
      </c>
      <c r="S249" s="584">
        <v>0</v>
      </c>
      <c r="T249" s="584">
        <v>157.02543750000001</v>
      </c>
      <c r="U249" s="584">
        <v>36</v>
      </c>
      <c r="V249" s="584">
        <v>243.44943749999999</v>
      </c>
      <c r="W249" s="584">
        <v>75.599999999999994</v>
      </c>
      <c r="X249" s="584">
        <v>341.63099999999997</v>
      </c>
      <c r="Y249" s="584">
        <v>158.4</v>
      </c>
      <c r="Z249" s="584">
        <v>0.2</v>
      </c>
      <c r="AA249" s="584">
        <v>0.2</v>
      </c>
      <c r="AB249" s="584">
        <v>480</v>
      </c>
      <c r="AC249" s="584">
        <v>20</v>
      </c>
      <c r="AD249" s="584">
        <v>0</v>
      </c>
      <c r="AE249" s="584">
        <v>0</v>
      </c>
      <c r="AF249" s="584">
        <v>0</v>
      </c>
      <c r="AG249" s="584">
        <v>0</v>
      </c>
      <c r="AH249" s="584">
        <v>0</v>
      </c>
      <c r="AI249" s="584">
        <v>0</v>
      </c>
      <c r="AJ249" s="584">
        <v>0</v>
      </c>
      <c r="AK249" s="584">
        <v>0</v>
      </c>
      <c r="AL249" s="584">
        <v>0</v>
      </c>
      <c r="AM249" s="584">
        <v>0</v>
      </c>
      <c r="AN249" s="584">
        <v>0</v>
      </c>
      <c r="AO249" s="584">
        <v>151.90543750000001</v>
      </c>
      <c r="AP249" s="584">
        <v>36</v>
      </c>
      <c r="AQ249" s="584">
        <v>233.3694375</v>
      </c>
      <c r="AR249" s="584">
        <v>75.599999999999994</v>
      </c>
      <c r="AS249" s="584">
        <v>321.83100000000002</v>
      </c>
      <c r="AT249" s="584">
        <v>158.4</v>
      </c>
      <c r="AU249" s="584">
        <v>0.32500000000000001</v>
      </c>
      <c r="AV249" s="584">
        <v>0.25</v>
      </c>
      <c r="AW249" s="584">
        <v>426.69339498597498</v>
      </c>
      <c r="AX249" s="584">
        <v>25.161082135343602</v>
      </c>
      <c r="AY249" s="584">
        <v>0</v>
      </c>
      <c r="AZ249" s="584">
        <v>0</v>
      </c>
      <c r="BA249" s="584">
        <v>0</v>
      </c>
      <c r="BB249" s="584">
        <v>0</v>
      </c>
      <c r="BC249" s="584">
        <v>0</v>
      </c>
      <c r="BD249" s="584">
        <v>0</v>
      </c>
      <c r="BE249" s="584">
        <v>0</v>
      </c>
      <c r="BF249" s="584">
        <v>0</v>
      </c>
      <c r="BG249" s="584">
        <v>0.32500000000000001</v>
      </c>
      <c r="BH249" s="584">
        <v>0</v>
      </c>
      <c r="BI249" s="584">
        <v>0.6</v>
      </c>
      <c r="BJ249" s="584">
        <v>150.15445161290299</v>
      </c>
      <c r="BK249" s="584">
        <v>36</v>
      </c>
      <c r="BL249" s="584">
        <v>223.83595161290299</v>
      </c>
      <c r="BM249" s="584">
        <v>75.599999999999994</v>
      </c>
      <c r="BN249" s="584">
        <v>297.33151209677402</v>
      </c>
      <c r="BO249" s="584">
        <v>158.4</v>
      </c>
      <c r="BP249" s="584">
        <v>0.32500000000000001</v>
      </c>
      <c r="BQ249" s="584">
        <v>0.14000000000000001</v>
      </c>
      <c r="BR249" s="584">
        <v>410.45827489481098</v>
      </c>
      <c r="BS249" s="584">
        <v>18.752019635343601</v>
      </c>
      <c r="BT249" s="584">
        <v>0</v>
      </c>
      <c r="BU249" s="584">
        <v>0</v>
      </c>
      <c r="BV249" s="584">
        <v>0</v>
      </c>
      <c r="BW249" s="584">
        <v>0</v>
      </c>
      <c r="BX249" s="584">
        <v>0</v>
      </c>
      <c r="BY249" s="584">
        <v>0</v>
      </c>
      <c r="BZ249" s="584">
        <v>0</v>
      </c>
      <c r="CA249" s="584">
        <v>0.32500000000000001</v>
      </c>
      <c r="CB249" s="584">
        <v>0.32500000000000001</v>
      </c>
      <c r="CC249" s="584">
        <v>0.3</v>
      </c>
      <c r="CD249" s="584">
        <v>0.3</v>
      </c>
      <c r="CE249" s="584">
        <v>152.17945</v>
      </c>
      <c r="CF249" s="584">
        <v>36</v>
      </c>
      <c r="CG249" s="584">
        <v>226.6722</v>
      </c>
      <c r="CH249" s="584">
        <v>75.599999999999994</v>
      </c>
      <c r="CI249" s="584">
        <v>278.21519999999998</v>
      </c>
      <c r="CJ249" s="584">
        <v>158.4</v>
      </c>
      <c r="CK249" s="584">
        <v>0.35</v>
      </c>
      <c r="CL249" s="584">
        <v>0.185</v>
      </c>
      <c r="CM249" s="584">
        <v>478.01803558905999</v>
      </c>
      <c r="CN249" s="584">
        <v>23.070664446002802</v>
      </c>
      <c r="CO249" s="584">
        <v>0</v>
      </c>
      <c r="CP249" s="584">
        <v>0</v>
      </c>
      <c r="CQ249" s="584">
        <v>0</v>
      </c>
      <c r="CR249" s="584">
        <v>0</v>
      </c>
      <c r="CS249" s="584">
        <v>0</v>
      </c>
      <c r="CT249" s="584">
        <v>0</v>
      </c>
      <c r="CU249" s="584">
        <v>0</v>
      </c>
      <c r="CV249" s="584">
        <v>0</v>
      </c>
      <c r="CW249" s="584">
        <v>0.35</v>
      </c>
      <c r="CX249" s="584">
        <v>0</v>
      </c>
      <c r="CY249" s="584">
        <v>0.45</v>
      </c>
      <c r="CZ249" s="584">
        <v>157.16679999999999</v>
      </c>
      <c r="DA249" s="584">
        <v>36</v>
      </c>
      <c r="DB249" s="584">
        <v>234.91079999999999</v>
      </c>
      <c r="DC249" s="584">
        <v>75.599999999999994</v>
      </c>
      <c r="DD249" s="584">
        <v>317.71755000000002</v>
      </c>
      <c r="DE249" s="584">
        <v>158.4</v>
      </c>
      <c r="DF249" s="584">
        <v>0.35</v>
      </c>
      <c r="DG249" s="584">
        <v>0.2</v>
      </c>
      <c r="DH249" s="584">
        <v>328.54707223001401</v>
      </c>
      <c r="DI249" s="584">
        <v>18.1183534361851</v>
      </c>
      <c r="DJ249" s="584">
        <v>300</v>
      </c>
      <c r="DK249" s="584">
        <v>0</v>
      </c>
      <c r="DL249" s="584">
        <v>0</v>
      </c>
      <c r="DM249" s="584">
        <v>0</v>
      </c>
      <c r="DN249" s="584">
        <v>0</v>
      </c>
      <c r="DO249" s="584">
        <v>0</v>
      </c>
      <c r="DP249" s="584">
        <v>0</v>
      </c>
      <c r="DQ249" s="584">
        <v>0</v>
      </c>
      <c r="DR249" s="584">
        <v>0.35</v>
      </c>
      <c r="DS249" s="584">
        <v>0</v>
      </c>
      <c r="DT249" s="584">
        <v>2.4</v>
      </c>
      <c r="DU249" s="584">
        <v>152.99700000000001</v>
      </c>
      <c r="DV249" s="584">
        <v>36</v>
      </c>
      <c r="DW249" s="584">
        <v>278.93549999999999</v>
      </c>
      <c r="DX249" s="584">
        <v>75.599999999999994</v>
      </c>
      <c r="DY249" s="584">
        <v>368.26650000000001</v>
      </c>
      <c r="DZ249" s="584">
        <v>158.4</v>
      </c>
      <c r="EA249" s="1062">
        <v>0.60939999999999994</v>
      </c>
      <c r="EB249" s="1046">
        <v>0.2</v>
      </c>
      <c r="EC249" s="1093">
        <v>132.51783893985726</v>
      </c>
      <c r="ED249" s="1046">
        <v>0</v>
      </c>
      <c r="EE249" s="1046">
        <v>285.42303771661568</v>
      </c>
      <c r="EF249" s="1046">
        <v>15.899999999999999</v>
      </c>
      <c r="EG249" s="1046">
        <v>0</v>
      </c>
      <c r="EH249" s="1046">
        <v>0</v>
      </c>
      <c r="EI249" s="1046" t="s">
        <v>466</v>
      </c>
      <c r="EJ249" s="1046" t="s">
        <v>508</v>
      </c>
      <c r="EK249" s="1046">
        <v>0</v>
      </c>
      <c r="EL249" s="1046">
        <v>0</v>
      </c>
      <c r="EM249" s="1046">
        <v>0</v>
      </c>
      <c r="EN249" s="1046">
        <v>0</v>
      </c>
      <c r="EO249" s="1046">
        <v>0</v>
      </c>
      <c r="EP249" s="1094">
        <v>64.40381099999999</v>
      </c>
      <c r="EQ249" s="1094">
        <v>36</v>
      </c>
      <c r="ER249" s="1094">
        <v>128.80762199999998</v>
      </c>
      <c r="ES249" s="1095">
        <v>72</v>
      </c>
      <c r="ET249" s="1094">
        <v>257.61524399999996</v>
      </c>
      <c r="EU249" s="1094">
        <v>144</v>
      </c>
      <c r="EV249" s="1096">
        <v>0.60799999999999998</v>
      </c>
      <c r="EW249" s="1097">
        <v>0.15</v>
      </c>
      <c r="EX249" s="1096">
        <v>289.50050968399592</v>
      </c>
      <c r="EY249" s="1096">
        <v>1.5443934760448521</v>
      </c>
      <c r="EZ249" s="1096">
        <v>0</v>
      </c>
      <c r="FA249" s="1096">
        <v>17.916666666666668</v>
      </c>
      <c r="FB249" s="1098">
        <v>0</v>
      </c>
      <c r="FC249" s="1098">
        <v>0</v>
      </c>
      <c r="FD249" s="1098" t="s">
        <v>458</v>
      </c>
      <c r="FE249" s="1098" t="s">
        <v>490</v>
      </c>
      <c r="FF249" s="1098">
        <v>1</v>
      </c>
      <c r="FG249" s="1098">
        <v>0</v>
      </c>
      <c r="FH249" s="1098">
        <v>0</v>
      </c>
      <c r="FI249" s="1098">
        <v>0</v>
      </c>
      <c r="FJ249" s="1098">
        <v>0</v>
      </c>
      <c r="FK249" s="1096">
        <v>54.368217000000001</v>
      </c>
      <c r="FL249" s="1096">
        <v>36</v>
      </c>
      <c r="FM249" s="1096">
        <v>108.736434</v>
      </c>
      <c r="FN249" s="1096">
        <v>72</v>
      </c>
      <c r="FO249" s="1096">
        <v>217.47286800000001</v>
      </c>
      <c r="FP249" s="1099">
        <v>144</v>
      </c>
      <c r="FQ249" s="1064">
        <v>0.64195999999999998</v>
      </c>
      <c r="FR249" s="1065">
        <v>0.15</v>
      </c>
      <c r="FS249" s="1066">
        <v>289.50050968399586</v>
      </c>
      <c r="FT249" s="1066">
        <v>3.2237153637237084</v>
      </c>
      <c r="FU249" s="1065"/>
      <c r="FV249" s="1066">
        <v>36.032284951713756</v>
      </c>
      <c r="FW249" s="1065"/>
      <c r="FX249" s="1065"/>
      <c r="FY249" s="1065" t="s">
        <v>481</v>
      </c>
      <c r="FZ249" s="1065" t="s">
        <v>490</v>
      </c>
      <c r="GA249" s="1065">
        <v>1</v>
      </c>
      <c r="GB249" s="1065"/>
      <c r="GC249" s="1065"/>
      <c r="GD249" s="1065"/>
      <c r="GE249" s="1065"/>
      <c r="GF249" s="1066">
        <v>55.125912267849969</v>
      </c>
      <c r="GG249" s="1066">
        <v>36</v>
      </c>
      <c r="GH249" s="1066">
        <v>110.25182453569994</v>
      </c>
      <c r="GI249" s="1066">
        <v>72</v>
      </c>
      <c r="GJ249" s="1066">
        <v>220.50364907139988</v>
      </c>
      <c r="GK249" s="1066">
        <v>144</v>
      </c>
      <c r="GL249" s="584">
        <v>0.55979999999999996</v>
      </c>
      <c r="GM249" s="584">
        <v>0.11</v>
      </c>
      <c r="GN249" s="584"/>
      <c r="GO249" s="584"/>
      <c r="GP249" s="584"/>
      <c r="GQ249" s="584">
        <v>21.716666666666701</v>
      </c>
      <c r="GR249" s="584"/>
      <c r="GS249" s="584">
        <v>56.065239551478101</v>
      </c>
      <c r="GT249" s="584" t="s">
        <v>461</v>
      </c>
      <c r="GU249" s="584" t="s">
        <v>473</v>
      </c>
      <c r="GV249" s="584">
        <v>1</v>
      </c>
      <c r="GW249" s="584"/>
      <c r="GX249" s="584"/>
      <c r="GY249" s="584"/>
      <c r="GZ249" s="584"/>
      <c r="HA249" s="584">
        <v>32.967364500000002</v>
      </c>
      <c r="HB249" s="584">
        <v>36</v>
      </c>
      <c r="HC249" s="584">
        <v>65.934729000000004</v>
      </c>
      <c r="HD249" s="584">
        <v>72</v>
      </c>
      <c r="HE249" s="584">
        <v>131.86945800000001</v>
      </c>
      <c r="HF249" s="584">
        <v>144</v>
      </c>
      <c r="HG249" s="1100">
        <v>0.75</v>
      </c>
      <c r="HH249" s="1100">
        <v>0.11</v>
      </c>
      <c r="HI249" s="1101">
        <v>0</v>
      </c>
      <c r="HJ249" s="1101">
        <v>0</v>
      </c>
      <c r="HK249" s="1101">
        <v>0</v>
      </c>
      <c r="HL249" s="1101">
        <v>0</v>
      </c>
      <c r="HM249" s="1101">
        <v>33.72</v>
      </c>
      <c r="HN249" s="1101">
        <v>54.999999999999993</v>
      </c>
      <c r="HO249" s="1101">
        <v>0</v>
      </c>
      <c r="HP249" s="1101">
        <v>0</v>
      </c>
      <c r="HQ249" s="1101">
        <v>1</v>
      </c>
      <c r="HR249" s="1101">
        <v>0.64</v>
      </c>
      <c r="HS249" s="1101">
        <v>0.52</v>
      </c>
      <c r="HT249" s="1101">
        <v>0.28000000000000003</v>
      </c>
      <c r="HU249" s="1101">
        <v>0.26</v>
      </c>
      <c r="HV249" s="1101">
        <v>33.933088799999993</v>
      </c>
      <c r="HW249" s="1101">
        <v>36</v>
      </c>
      <c r="HX249" s="1101">
        <v>67.866177599999986</v>
      </c>
      <c r="HY249" s="1101">
        <v>72</v>
      </c>
      <c r="HZ249" s="1101">
        <v>135.73235519999997</v>
      </c>
      <c r="IA249" s="1101">
        <v>144</v>
      </c>
      <c r="IB249" s="1062"/>
      <c r="ID249" s="1050"/>
      <c r="IE249" s="1050"/>
      <c r="IM249" s="1050"/>
      <c r="IN249" s="1050"/>
      <c r="IO249" s="1050"/>
      <c r="IP249" s="1050"/>
      <c r="JU249" s="1050"/>
      <c r="KC249" s="1050"/>
      <c r="KD249" s="1050"/>
      <c r="KE249" s="1050"/>
      <c r="KF249" s="1050"/>
      <c r="KN249" s="1103"/>
    </row>
    <row r="250" spans="2:300">
      <c r="B250" s="1048" t="str">
        <f t="shared" si="8"/>
        <v>H67</v>
      </c>
      <c r="C250" s="1046">
        <v>6</v>
      </c>
      <c r="D250" s="1046">
        <v>7</v>
      </c>
      <c r="E250" s="584">
        <v>0.25</v>
      </c>
      <c r="F250" s="584">
        <v>0.25</v>
      </c>
      <c r="G250" s="584">
        <v>600</v>
      </c>
      <c r="H250" s="584">
        <v>19.75</v>
      </c>
      <c r="I250" s="584">
        <v>0</v>
      </c>
      <c r="J250" s="584">
        <v>0</v>
      </c>
      <c r="K250" s="584">
        <v>0</v>
      </c>
      <c r="L250" s="584">
        <v>0</v>
      </c>
      <c r="M250" s="584">
        <v>0</v>
      </c>
      <c r="N250" s="584">
        <v>0</v>
      </c>
      <c r="O250" s="584">
        <v>0</v>
      </c>
      <c r="P250" s="584">
        <v>0</v>
      </c>
      <c r="Q250" s="584">
        <v>0</v>
      </c>
      <c r="R250" s="584">
        <v>0</v>
      </c>
      <c r="S250" s="584">
        <v>0</v>
      </c>
      <c r="T250" s="584">
        <v>184.82543749999999</v>
      </c>
      <c r="U250" s="584">
        <v>42</v>
      </c>
      <c r="V250" s="584">
        <v>300.8214375</v>
      </c>
      <c r="W250" s="584">
        <v>88.2</v>
      </c>
      <c r="X250" s="584">
        <v>431.721</v>
      </c>
      <c r="Y250" s="584">
        <v>184.8</v>
      </c>
      <c r="Z250" s="584">
        <v>0.215</v>
      </c>
      <c r="AA250" s="584">
        <v>0.215</v>
      </c>
      <c r="AB250" s="584">
        <v>516</v>
      </c>
      <c r="AC250" s="584">
        <v>18</v>
      </c>
      <c r="AD250" s="584">
        <v>0</v>
      </c>
      <c r="AE250" s="584">
        <v>0</v>
      </c>
      <c r="AF250" s="584">
        <v>0</v>
      </c>
      <c r="AG250" s="584">
        <v>0</v>
      </c>
      <c r="AH250" s="584">
        <v>0</v>
      </c>
      <c r="AI250" s="584">
        <v>0</v>
      </c>
      <c r="AJ250" s="584">
        <v>0</v>
      </c>
      <c r="AK250" s="584">
        <v>0</v>
      </c>
      <c r="AL250" s="584">
        <v>0</v>
      </c>
      <c r="AM250" s="584">
        <v>0</v>
      </c>
      <c r="AN250" s="584">
        <v>0</v>
      </c>
      <c r="AO250" s="584">
        <v>174.46543750000001</v>
      </c>
      <c r="AP250" s="584">
        <v>42</v>
      </c>
      <c r="AQ250" s="584">
        <v>280.24143750000002</v>
      </c>
      <c r="AR250" s="584">
        <v>88.2</v>
      </c>
      <c r="AS250" s="584">
        <v>391.29599999999999</v>
      </c>
      <c r="AT250" s="584">
        <v>184.8</v>
      </c>
      <c r="AU250" s="584">
        <v>0.4</v>
      </c>
      <c r="AV250" s="584">
        <v>0.25</v>
      </c>
      <c r="AW250" s="584">
        <v>441.20686141304299</v>
      </c>
      <c r="AX250" s="584">
        <v>25.566236413043502</v>
      </c>
      <c r="AY250" s="584">
        <v>0</v>
      </c>
      <c r="AZ250" s="584">
        <v>0</v>
      </c>
      <c r="BA250" s="584">
        <v>0</v>
      </c>
      <c r="BB250" s="584">
        <v>0</v>
      </c>
      <c r="BC250" s="584">
        <v>0</v>
      </c>
      <c r="BD250" s="584">
        <v>0</v>
      </c>
      <c r="BE250" s="584">
        <v>0</v>
      </c>
      <c r="BF250" s="584">
        <v>0</v>
      </c>
      <c r="BG250" s="584">
        <v>0.4</v>
      </c>
      <c r="BH250" s="584">
        <v>0</v>
      </c>
      <c r="BI250" s="584">
        <v>0.45</v>
      </c>
      <c r="BJ250" s="584">
        <v>170.54285937500001</v>
      </c>
      <c r="BK250" s="584">
        <v>42</v>
      </c>
      <c r="BL250" s="584">
        <v>263.94007031249998</v>
      </c>
      <c r="BM250" s="584">
        <v>88.2</v>
      </c>
      <c r="BN250" s="584">
        <v>352.11123632812502</v>
      </c>
      <c r="BO250" s="584">
        <v>184.8</v>
      </c>
      <c r="BP250" s="584">
        <v>0.4</v>
      </c>
      <c r="BQ250" s="584">
        <v>0.14499999999999999</v>
      </c>
      <c r="BR250" s="584">
        <v>407.08695652173901</v>
      </c>
      <c r="BS250" s="584">
        <v>20.026467391304401</v>
      </c>
      <c r="BT250" s="584">
        <v>0</v>
      </c>
      <c r="BU250" s="584">
        <v>0</v>
      </c>
      <c r="BV250" s="584">
        <v>0</v>
      </c>
      <c r="BW250" s="584">
        <v>0</v>
      </c>
      <c r="BX250" s="584">
        <v>0</v>
      </c>
      <c r="BY250" s="584">
        <v>0</v>
      </c>
      <c r="BZ250" s="584">
        <v>0</v>
      </c>
      <c r="CA250" s="584">
        <v>0.32500000000000001</v>
      </c>
      <c r="CB250" s="584">
        <v>0.4</v>
      </c>
      <c r="CC250" s="584">
        <v>0.3</v>
      </c>
      <c r="CD250" s="584">
        <v>0.3</v>
      </c>
      <c r="CE250" s="584">
        <v>165.83435</v>
      </c>
      <c r="CF250" s="584">
        <v>42</v>
      </c>
      <c r="CG250" s="584">
        <v>256.90222499999999</v>
      </c>
      <c r="CH250" s="584">
        <v>88.2</v>
      </c>
      <c r="CI250" s="584">
        <v>330.74009999999998</v>
      </c>
      <c r="CJ250" s="584">
        <v>184.8</v>
      </c>
      <c r="CK250" s="584">
        <v>0.4</v>
      </c>
      <c r="CL250" s="584">
        <v>0.185</v>
      </c>
      <c r="CM250" s="584">
        <v>487.69021739130397</v>
      </c>
      <c r="CN250" s="584">
        <v>23.3444927536232</v>
      </c>
      <c r="CO250" s="584">
        <v>0</v>
      </c>
      <c r="CP250" s="584">
        <v>0</v>
      </c>
      <c r="CQ250" s="584">
        <v>0</v>
      </c>
      <c r="CR250" s="584">
        <v>0</v>
      </c>
      <c r="CS250" s="584">
        <v>0</v>
      </c>
      <c r="CT250" s="584">
        <v>0</v>
      </c>
      <c r="CU250" s="584">
        <v>0</v>
      </c>
      <c r="CV250" s="584">
        <v>0</v>
      </c>
      <c r="CW250" s="584">
        <v>0.4</v>
      </c>
      <c r="CX250" s="584">
        <v>0</v>
      </c>
      <c r="CY250" s="584">
        <v>0.45</v>
      </c>
      <c r="CZ250" s="584">
        <v>177.0403</v>
      </c>
      <c r="DA250" s="584">
        <v>42</v>
      </c>
      <c r="DB250" s="584">
        <v>274.67505</v>
      </c>
      <c r="DC250" s="584">
        <v>88.2</v>
      </c>
      <c r="DD250" s="584">
        <v>373.0548</v>
      </c>
      <c r="DE250" s="584">
        <v>184.8</v>
      </c>
      <c r="DF250" s="584">
        <v>0.35</v>
      </c>
      <c r="DG250" s="584">
        <v>0.2</v>
      </c>
      <c r="DH250" s="584">
        <v>338.14198369565202</v>
      </c>
      <c r="DI250" s="584">
        <v>21.126732789855101</v>
      </c>
      <c r="DJ250" s="584">
        <v>300</v>
      </c>
      <c r="DK250" s="584">
        <v>0</v>
      </c>
      <c r="DL250" s="584">
        <v>0</v>
      </c>
      <c r="DM250" s="584">
        <v>0</v>
      </c>
      <c r="DN250" s="584">
        <v>0</v>
      </c>
      <c r="DO250" s="584">
        <v>0</v>
      </c>
      <c r="DP250" s="584">
        <v>0</v>
      </c>
      <c r="DQ250" s="584">
        <v>0</v>
      </c>
      <c r="DR250" s="584">
        <v>0.35</v>
      </c>
      <c r="DS250" s="584">
        <v>0</v>
      </c>
      <c r="DT250" s="584">
        <v>2.4</v>
      </c>
      <c r="DU250" s="584">
        <v>173.56700000000001</v>
      </c>
      <c r="DV250" s="584">
        <v>42</v>
      </c>
      <c r="DW250" s="584">
        <v>309.62549999999999</v>
      </c>
      <c r="DX250" s="584">
        <v>88.2</v>
      </c>
      <c r="DY250" s="584">
        <v>428.20650000000001</v>
      </c>
      <c r="DZ250" s="584">
        <v>184.8</v>
      </c>
      <c r="EA250" s="1062">
        <v>0.66720000000000002</v>
      </c>
      <c r="EB250" s="1046">
        <v>0.25</v>
      </c>
      <c r="EC250" s="1093">
        <v>132.51783893985731</v>
      </c>
      <c r="ED250" s="1046">
        <v>0</v>
      </c>
      <c r="EE250" s="1046">
        <v>346.58511722731902</v>
      </c>
      <c r="EF250" s="1046">
        <v>19.169047619047618</v>
      </c>
      <c r="EG250" s="1046">
        <v>0</v>
      </c>
      <c r="EH250" s="1046">
        <v>0</v>
      </c>
      <c r="EI250" s="1046" t="s">
        <v>463</v>
      </c>
      <c r="EJ250" s="1046" t="s">
        <v>494</v>
      </c>
      <c r="EK250" s="1046">
        <v>0</v>
      </c>
      <c r="EL250" s="1046">
        <v>0</v>
      </c>
      <c r="EM250" s="1046">
        <v>0</v>
      </c>
      <c r="EN250" s="1046">
        <v>0</v>
      </c>
      <c r="EO250" s="1046">
        <v>0</v>
      </c>
      <c r="EP250" s="1094">
        <v>81.774507749999998</v>
      </c>
      <c r="EQ250" s="1094">
        <v>42</v>
      </c>
      <c r="ER250" s="1094">
        <v>163.5490155</v>
      </c>
      <c r="ES250" s="1095">
        <v>84</v>
      </c>
      <c r="ET250" s="1094">
        <v>327.09803099999999</v>
      </c>
      <c r="EU250" s="1094">
        <v>168</v>
      </c>
      <c r="EV250" s="1096">
        <v>0.60699999999999998</v>
      </c>
      <c r="EW250" s="1097">
        <v>0.15</v>
      </c>
      <c r="EX250" s="1096">
        <v>289.50050968399592</v>
      </c>
      <c r="EY250" s="1096">
        <v>1.5443934760448521</v>
      </c>
      <c r="EZ250" s="1096">
        <v>0</v>
      </c>
      <c r="FA250" s="1096">
        <v>17.330952380952379</v>
      </c>
      <c r="FB250" s="1098">
        <v>0</v>
      </c>
      <c r="FC250" s="1098">
        <v>0</v>
      </c>
      <c r="FD250" s="1098" t="s">
        <v>450</v>
      </c>
      <c r="FE250" s="1098" t="s">
        <v>490</v>
      </c>
      <c r="FF250" s="1098">
        <v>1</v>
      </c>
      <c r="FG250" s="1098">
        <v>0</v>
      </c>
      <c r="FH250" s="1098">
        <v>0</v>
      </c>
      <c r="FI250" s="1098">
        <v>0</v>
      </c>
      <c r="FJ250" s="1098">
        <v>0</v>
      </c>
      <c r="FK250" s="1096">
        <v>63.369254999999995</v>
      </c>
      <c r="FL250" s="1096">
        <v>42</v>
      </c>
      <c r="FM250" s="1096">
        <v>126.73850999999999</v>
      </c>
      <c r="FN250" s="1096">
        <v>84</v>
      </c>
      <c r="FO250" s="1096">
        <v>253.47701999999998</v>
      </c>
      <c r="FP250" s="1099">
        <v>168</v>
      </c>
      <c r="FQ250" s="1064">
        <v>0.64700000000000002</v>
      </c>
      <c r="FR250" s="1065">
        <v>0.15</v>
      </c>
      <c r="FS250" s="1066">
        <v>289.50050968399586</v>
      </c>
      <c r="FT250" s="1066">
        <v>3.2237153637237084</v>
      </c>
      <c r="FU250" s="1065"/>
      <c r="FV250" s="1066">
        <v>35.769904407325839</v>
      </c>
      <c r="FW250" s="1065"/>
      <c r="FX250" s="1065"/>
      <c r="FY250" s="1065" t="s">
        <v>479</v>
      </c>
      <c r="FZ250" s="1065" t="s">
        <v>490</v>
      </c>
      <c r="GA250" s="1065">
        <v>1</v>
      </c>
      <c r="GB250" s="1065"/>
      <c r="GC250" s="1065"/>
      <c r="GD250" s="1065"/>
      <c r="GE250" s="1065"/>
      <c r="GF250" s="1066">
        <v>64.286537804516954</v>
      </c>
      <c r="GG250" s="1066">
        <v>42</v>
      </c>
      <c r="GH250" s="1066">
        <v>128.57307560903391</v>
      </c>
      <c r="GI250" s="1066">
        <v>84</v>
      </c>
      <c r="GJ250" s="1066">
        <v>257.14615121806781</v>
      </c>
      <c r="GK250" s="1066">
        <v>168</v>
      </c>
      <c r="GL250" s="584">
        <v>0.56459999999999999</v>
      </c>
      <c r="GM250" s="584">
        <v>0.11</v>
      </c>
      <c r="GN250" s="584"/>
      <c r="GO250" s="584"/>
      <c r="GP250" s="584"/>
      <c r="GQ250" s="584">
        <v>28.476190476190499</v>
      </c>
      <c r="GR250" s="584"/>
      <c r="GS250" s="584">
        <v>56.065239551478101</v>
      </c>
      <c r="GT250" s="584" t="s">
        <v>459</v>
      </c>
      <c r="GU250" s="584" t="s">
        <v>459</v>
      </c>
      <c r="GV250" s="584">
        <v>1</v>
      </c>
      <c r="GW250" s="584"/>
      <c r="GX250" s="584"/>
      <c r="GY250" s="584"/>
      <c r="GZ250" s="584"/>
      <c r="HA250" s="584">
        <v>39.158189999999998</v>
      </c>
      <c r="HB250" s="584">
        <v>42</v>
      </c>
      <c r="HC250" s="584">
        <v>78.316379999999995</v>
      </c>
      <c r="HD250" s="584">
        <v>84</v>
      </c>
      <c r="HE250" s="584">
        <v>156.63275999999999</v>
      </c>
      <c r="HF250" s="584">
        <v>168</v>
      </c>
      <c r="HG250" s="1100">
        <v>0.79</v>
      </c>
      <c r="HH250" s="1100">
        <v>0.11</v>
      </c>
      <c r="HI250" s="1101">
        <v>0</v>
      </c>
      <c r="HJ250" s="1101">
        <v>0</v>
      </c>
      <c r="HK250" s="1101">
        <v>0</v>
      </c>
      <c r="HL250" s="1101">
        <v>0</v>
      </c>
      <c r="HM250" s="1101">
        <v>40.114285714285714</v>
      </c>
      <c r="HN250" s="1101">
        <v>54.999999999999993</v>
      </c>
      <c r="HO250" s="1101">
        <v>0</v>
      </c>
      <c r="HP250" s="1101">
        <v>0</v>
      </c>
      <c r="HQ250" s="1101">
        <v>1</v>
      </c>
      <c r="HR250" s="1101">
        <v>0.68</v>
      </c>
      <c r="HS250" s="1101">
        <v>0.6</v>
      </c>
      <c r="HT250" s="1101">
        <v>0.3</v>
      </c>
      <c r="HU250" s="1101">
        <v>0.3</v>
      </c>
      <c r="HV250" s="1101">
        <v>40.247246999999994</v>
      </c>
      <c r="HW250" s="1101">
        <v>42</v>
      </c>
      <c r="HX250" s="1101">
        <v>80.494493999999989</v>
      </c>
      <c r="HY250" s="1101">
        <v>84</v>
      </c>
      <c r="HZ250" s="1101">
        <v>160.98898799999998</v>
      </c>
      <c r="IA250" s="1101">
        <v>168</v>
      </c>
      <c r="IB250" s="1062"/>
      <c r="ID250" s="1050"/>
      <c r="IE250" s="1050"/>
      <c r="IM250" s="1050"/>
      <c r="IN250" s="1050"/>
      <c r="IO250" s="1050"/>
      <c r="IP250" s="1050"/>
      <c r="JU250" s="1050"/>
      <c r="KC250" s="1050"/>
      <c r="KD250" s="1050"/>
      <c r="KE250" s="1050"/>
      <c r="KF250" s="1050"/>
      <c r="KN250" s="1103"/>
    </row>
    <row r="251" spans="2:300">
      <c r="B251" s="1048" t="str">
        <f t="shared" si="8"/>
        <v>H68</v>
      </c>
      <c r="C251" s="1046">
        <v>6</v>
      </c>
      <c r="D251" s="1046">
        <v>8</v>
      </c>
      <c r="E251" s="584">
        <v>0.28999999999999998</v>
      </c>
      <c r="F251" s="584">
        <v>0.28999999999999998</v>
      </c>
      <c r="G251" s="584">
        <v>696</v>
      </c>
      <c r="H251" s="584">
        <v>21.17</v>
      </c>
      <c r="I251" s="584">
        <v>0</v>
      </c>
      <c r="J251" s="584">
        <v>0</v>
      </c>
      <c r="K251" s="584">
        <v>0</v>
      </c>
      <c r="L251" s="584">
        <v>0</v>
      </c>
      <c r="M251" s="584">
        <v>0</v>
      </c>
      <c r="N251" s="584">
        <v>0</v>
      </c>
      <c r="O251" s="584">
        <v>0</v>
      </c>
      <c r="P251" s="584">
        <v>0</v>
      </c>
      <c r="Q251" s="584">
        <v>0</v>
      </c>
      <c r="R251" s="584">
        <v>0</v>
      </c>
      <c r="S251" s="584">
        <v>0</v>
      </c>
      <c r="T251" s="584">
        <v>218.38543749999999</v>
      </c>
      <c r="U251" s="584">
        <v>48</v>
      </c>
      <c r="V251" s="584">
        <v>369.95343750000001</v>
      </c>
      <c r="W251" s="584">
        <v>100.8</v>
      </c>
      <c r="X251" s="584">
        <v>544.91099999999994</v>
      </c>
      <c r="Y251" s="584">
        <v>211.2</v>
      </c>
      <c r="Z251" s="584">
        <v>0.245</v>
      </c>
      <c r="AA251" s="584">
        <v>0.245</v>
      </c>
      <c r="AB251" s="584">
        <v>588</v>
      </c>
      <c r="AC251" s="584">
        <v>17</v>
      </c>
      <c r="AD251" s="584">
        <v>0</v>
      </c>
      <c r="AE251" s="584">
        <v>0</v>
      </c>
      <c r="AF251" s="584">
        <v>0</v>
      </c>
      <c r="AG251" s="584">
        <v>0</v>
      </c>
      <c r="AH251" s="584">
        <v>0</v>
      </c>
      <c r="AI251" s="584">
        <v>0</v>
      </c>
      <c r="AJ251" s="584">
        <v>0</v>
      </c>
      <c r="AK251" s="584">
        <v>0</v>
      </c>
      <c r="AL251" s="584">
        <v>0</v>
      </c>
      <c r="AM251" s="584">
        <v>0</v>
      </c>
      <c r="AN251" s="584">
        <v>0</v>
      </c>
      <c r="AO251" s="584">
        <v>203.26543749999999</v>
      </c>
      <c r="AP251" s="584">
        <v>48</v>
      </c>
      <c r="AQ251" s="584">
        <v>339.7134375</v>
      </c>
      <c r="AR251" s="584">
        <v>100.8</v>
      </c>
      <c r="AS251" s="584">
        <v>485.51100000000002</v>
      </c>
      <c r="AT251" s="584">
        <v>211.2</v>
      </c>
      <c r="AU251" s="584">
        <v>0.47499999999999998</v>
      </c>
      <c r="AV251" s="584">
        <v>0.25</v>
      </c>
      <c r="AW251" s="584">
        <v>460.57098356309598</v>
      </c>
      <c r="AX251" s="584">
        <v>24.729056203605499</v>
      </c>
      <c r="AY251" s="584">
        <v>0</v>
      </c>
      <c r="AZ251" s="584">
        <v>0</v>
      </c>
      <c r="BA251" s="584">
        <v>0</v>
      </c>
      <c r="BB251" s="584">
        <v>0</v>
      </c>
      <c r="BC251" s="584">
        <v>0</v>
      </c>
      <c r="BD251" s="584">
        <v>0</v>
      </c>
      <c r="BE251" s="584">
        <v>0</v>
      </c>
      <c r="BF251" s="584">
        <v>0</v>
      </c>
      <c r="BG251" s="584">
        <v>0.47499999999999998</v>
      </c>
      <c r="BH251" s="584">
        <v>0</v>
      </c>
      <c r="BI251" s="584">
        <v>0.45</v>
      </c>
      <c r="BJ251" s="584">
        <v>191.676304878049</v>
      </c>
      <c r="BK251" s="584">
        <v>48</v>
      </c>
      <c r="BL251" s="584">
        <v>305.27335975609799</v>
      </c>
      <c r="BM251" s="584">
        <v>100.8</v>
      </c>
      <c r="BN251" s="584">
        <v>410.28642987804898</v>
      </c>
      <c r="BO251" s="584">
        <v>211.2</v>
      </c>
      <c r="BP251" s="584">
        <v>0.5</v>
      </c>
      <c r="BQ251" s="584">
        <v>0.155</v>
      </c>
      <c r="BR251" s="584">
        <v>444.91861081654298</v>
      </c>
      <c r="BS251" s="584">
        <v>24.2253340402969</v>
      </c>
      <c r="BT251" s="584">
        <v>0</v>
      </c>
      <c r="BU251" s="584">
        <v>0</v>
      </c>
      <c r="BV251" s="584">
        <v>0</v>
      </c>
      <c r="BW251" s="584">
        <v>0</v>
      </c>
      <c r="BX251" s="584">
        <v>0</v>
      </c>
      <c r="BY251" s="584">
        <v>0</v>
      </c>
      <c r="BZ251" s="584">
        <v>0</v>
      </c>
      <c r="CA251" s="584">
        <v>0.32500000000000001</v>
      </c>
      <c r="CB251" s="584">
        <v>0.5</v>
      </c>
      <c r="CC251" s="584">
        <v>0.3</v>
      </c>
      <c r="CD251" s="584">
        <v>0.3</v>
      </c>
      <c r="CE251" s="584">
        <v>188.98314999999999</v>
      </c>
      <c r="CF251" s="584">
        <v>48</v>
      </c>
      <c r="CG251" s="584">
        <v>303.31552499999998</v>
      </c>
      <c r="CH251" s="584">
        <v>100.8</v>
      </c>
      <c r="CI251" s="584">
        <v>393.44639999999998</v>
      </c>
      <c r="CJ251" s="584">
        <v>211.2</v>
      </c>
      <c r="CK251" s="584">
        <v>0.5</v>
      </c>
      <c r="CL251" s="584">
        <v>0.185</v>
      </c>
      <c r="CM251" s="584">
        <v>504.408801696713</v>
      </c>
      <c r="CN251" s="584">
        <v>23.587423117709399</v>
      </c>
      <c r="CO251" s="584">
        <v>0</v>
      </c>
      <c r="CP251" s="584">
        <v>0</v>
      </c>
      <c r="CQ251" s="584">
        <v>0</v>
      </c>
      <c r="CR251" s="584">
        <v>0</v>
      </c>
      <c r="CS251" s="584">
        <v>0</v>
      </c>
      <c r="CT251" s="584">
        <v>0</v>
      </c>
      <c r="CU251" s="584">
        <v>0</v>
      </c>
      <c r="CV251" s="584">
        <v>0</v>
      </c>
      <c r="CW251" s="584">
        <v>0.5</v>
      </c>
      <c r="CX251" s="584">
        <v>0</v>
      </c>
      <c r="CY251" s="584">
        <v>0.45</v>
      </c>
      <c r="CZ251" s="584">
        <v>198.87354999999999</v>
      </c>
      <c r="DA251" s="584">
        <v>48</v>
      </c>
      <c r="DB251" s="584">
        <v>316.96154999999999</v>
      </c>
      <c r="DC251" s="584">
        <v>100.8</v>
      </c>
      <c r="DD251" s="584">
        <v>433.89555000000001</v>
      </c>
      <c r="DE251" s="584">
        <v>211.2</v>
      </c>
      <c r="DF251" s="584">
        <v>0.35</v>
      </c>
      <c r="DG251" s="584">
        <v>0.2</v>
      </c>
      <c r="DH251" s="584">
        <v>337.05759544008498</v>
      </c>
      <c r="DI251" s="584">
        <v>20.456835630964999</v>
      </c>
      <c r="DJ251" s="584">
        <v>300</v>
      </c>
      <c r="DK251" s="584">
        <v>0</v>
      </c>
      <c r="DL251" s="584">
        <v>0</v>
      </c>
      <c r="DM251" s="584">
        <v>0</v>
      </c>
      <c r="DN251" s="584">
        <v>0</v>
      </c>
      <c r="DO251" s="584">
        <v>0</v>
      </c>
      <c r="DP251" s="584">
        <v>0</v>
      </c>
      <c r="DQ251" s="584">
        <v>0</v>
      </c>
      <c r="DR251" s="584">
        <v>0.35</v>
      </c>
      <c r="DS251" s="584">
        <v>0</v>
      </c>
      <c r="DT251" s="584">
        <v>2.4</v>
      </c>
      <c r="DU251" s="584">
        <v>191.9725</v>
      </c>
      <c r="DV251" s="584">
        <v>48</v>
      </c>
      <c r="DW251" s="584">
        <v>339.95100000000002</v>
      </c>
      <c r="DX251" s="584">
        <v>100.8</v>
      </c>
      <c r="DY251" s="584">
        <v>488.1465</v>
      </c>
      <c r="DZ251" s="584">
        <v>211.2</v>
      </c>
      <c r="EA251" s="1062">
        <v>0.71579999999999999</v>
      </c>
      <c r="EB251" s="1046">
        <v>0.25</v>
      </c>
      <c r="EC251" s="1093">
        <v>132.51783893985731</v>
      </c>
      <c r="ED251" s="1046">
        <v>0</v>
      </c>
      <c r="EE251" s="1046">
        <v>346.58511722731902</v>
      </c>
      <c r="EF251" s="1046">
        <v>18.762499999999999</v>
      </c>
      <c r="EG251" s="1046">
        <v>0</v>
      </c>
      <c r="EH251" s="1046">
        <v>0</v>
      </c>
      <c r="EI251" s="1046" t="s">
        <v>454</v>
      </c>
      <c r="EJ251" s="1046" t="s">
        <v>479</v>
      </c>
      <c r="EK251" s="1046">
        <v>0</v>
      </c>
      <c r="EL251" s="1046">
        <v>0</v>
      </c>
      <c r="EM251" s="1046">
        <v>0</v>
      </c>
      <c r="EN251" s="1046">
        <v>0</v>
      </c>
      <c r="EO251" s="1046">
        <v>0</v>
      </c>
      <c r="EP251" s="1094">
        <v>93.408721500000013</v>
      </c>
      <c r="EQ251" s="1094">
        <v>48</v>
      </c>
      <c r="ER251" s="1094">
        <v>186.81744300000003</v>
      </c>
      <c r="ES251" s="1095">
        <v>96</v>
      </c>
      <c r="ET251" s="1094">
        <v>373.63488600000005</v>
      </c>
      <c r="EU251" s="1094">
        <v>192</v>
      </c>
      <c r="EV251" s="1096">
        <v>0.61339999999999995</v>
      </c>
      <c r="EW251" s="1097">
        <v>0.15</v>
      </c>
      <c r="EX251" s="1096">
        <v>289.50050968399592</v>
      </c>
      <c r="EY251" s="1096">
        <v>1.5443934760448521</v>
      </c>
      <c r="EZ251" s="1096">
        <v>0</v>
      </c>
      <c r="FA251" s="1096">
        <v>18.662499999999998</v>
      </c>
      <c r="FB251" s="1098">
        <v>0</v>
      </c>
      <c r="FC251" s="1098">
        <v>0</v>
      </c>
      <c r="FD251" s="1098" t="s">
        <v>446</v>
      </c>
      <c r="FE251" s="1098" t="s">
        <v>481</v>
      </c>
      <c r="FF251" s="1098">
        <v>1</v>
      </c>
      <c r="FG251" s="1098">
        <v>0</v>
      </c>
      <c r="FH251" s="1098">
        <v>0</v>
      </c>
      <c r="FI251" s="1098">
        <v>0</v>
      </c>
      <c r="FJ251" s="1098">
        <v>0</v>
      </c>
      <c r="FK251" s="1096">
        <v>72.5787555</v>
      </c>
      <c r="FL251" s="1096">
        <v>48</v>
      </c>
      <c r="FM251" s="1096">
        <v>145.157511</v>
      </c>
      <c r="FN251" s="1096">
        <v>96</v>
      </c>
      <c r="FO251" s="1096">
        <v>290.315022</v>
      </c>
      <c r="FP251" s="1099">
        <v>192</v>
      </c>
      <c r="FQ251" s="1064">
        <v>0.77972000000000008</v>
      </c>
      <c r="FR251" s="1065">
        <v>0.15</v>
      </c>
      <c r="FS251" s="1066">
        <v>289.50050968399586</v>
      </c>
      <c r="FT251" s="1066">
        <v>3.2237153637237084</v>
      </c>
      <c r="FU251" s="1065"/>
      <c r="FV251" s="1066">
        <v>34.909593606937072</v>
      </c>
      <c r="FW251" s="1065"/>
      <c r="FX251" s="1065"/>
      <c r="FY251" s="1065" t="s">
        <v>461</v>
      </c>
      <c r="FZ251" s="1065" t="s">
        <v>490</v>
      </c>
      <c r="GA251" s="1065">
        <v>1</v>
      </c>
      <c r="GB251" s="1065"/>
      <c r="GC251" s="1065"/>
      <c r="GD251" s="1065"/>
      <c r="GE251" s="1065"/>
      <c r="GF251" s="1066">
        <v>73.369053132026181</v>
      </c>
      <c r="GG251" s="1066">
        <v>48</v>
      </c>
      <c r="GH251" s="1066">
        <v>146.73810626405236</v>
      </c>
      <c r="GI251" s="1066">
        <v>96</v>
      </c>
      <c r="GJ251" s="1066">
        <v>293.47621252810472</v>
      </c>
      <c r="GK251" s="1066">
        <v>192</v>
      </c>
      <c r="GL251" s="584">
        <v>0.6391</v>
      </c>
      <c r="GM251" s="584">
        <v>0.11</v>
      </c>
      <c r="GN251" s="584"/>
      <c r="GO251" s="584"/>
      <c r="GP251" s="584"/>
      <c r="GQ251" s="584">
        <v>32.375</v>
      </c>
      <c r="GR251" s="584"/>
      <c r="GS251" s="584">
        <v>56.065239551478101</v>
      </c>
      <c r="GT251" s="584" t="s">
        <v>459</v>
      </c>
      <c r="GU251" s="584" t="s">
        <v>436</v>
      </c>
      <c r="GV251" s="584">
        <v>1</v>
      </c>
      <c r="GW251" s="584"/>
      <c r="GX251" s="584"/>
      <c r="GY251" s="584"/>
      <c r="GZ251" s="584"/>
      <c r="HA251" s="584">
        <v>45.211185</v>
      </c>
      <c r="HB251" s="584">
        <v>48</v>
      </c>
      <c r="HC251" s="584">
        <v>90.422370000000001</v>
      </c>
      <c r="HD251" s="584">
        <v>96</v>
      </c>
      <c r="HE251" s="584">
        <v>180.84474</v>
      </c>
      <c r="HF251" s="584">
        <v>192</v>
      </c>
      <c r="HG251" s="1100">
        <v>0.83</v>
      </c>
      <c r="HH251" s="1100">
        <v>0.11</v>
      </c>
      <c r="HI251" s="1101">
        <v>0</v>
      </c>
      <c r="HJ251" s="1101">
        <v>0</v>
      </c>
      <c r="HK251" s="1101">
        <v>0</v>
      </c>
      <c r="HL251" s="1101">
        <v>0</v>
      </c>
      <c r="HM251" s="1101">
        <v>44.55</v>
      </c>
      <c r="HN251" s="1101">
        <v>54.999999999999993</v>
      </c>
      <c r="HO251" s="1101">
        <v>0</v>
      </c>
      <c r="HP251" s="1101">
        <v>0</v>
      </c>
      <c r="HQ251" s="1101">
        <v>1</v>
      </c>
      <c r="HR251" s="1101">
        <v>0.72</v>
      </c>
      <c r="HS251" s="1101">
        <v>0.72</v>
      </c>
      <c r="HT251" s="1101">
        <v>0.3</v>
      </c>
      <c r="HU251" s="1101">
        <v>0.3</v>
      </c>
      <c r="HV251" s="1101">
        <v>46.51902599999999</v>
      </c>
      <c r="HW251" s="1101">
        <v>48</v>
      </c>
      <c r="HX251" s="1101">
        <v>93.038051999999979</v>
      </c>
      <c r="HY251" s="1101">
        <v>96</v>
      </c>
      <c r="HZ251" s="1101">
        <v>186.07610399999996</v>
      </c>
      <c r="IA251" s="1101">
        <v>192</v>
      </c>
      <c r="IB251" s="1062"/>
      <c r="ID251" s="1050"/>
      <c r="IE251" s="1050"/>
      <c r="IM251" s="1050"/>
      <c r="IN251" s="1050"/>
      <c r="IO251" s="1050"/>
      <c r="IP251" s="1050"/>
      <c r="JU251" s="1050"/>
      <c r="KC251" s="1050"/>
      <c r="KD251" s="1050"/>
      <c r="KE251" s="1050"/>
      <c r="KF251" s="1050"/>
      <c r="KN251" s="1103"/>
    </row>
    <row r="252" spans="2:300">
      <c r="B252" s="1048" t="str">
        <f t="shared" si="8"/>
        <v>H69</v>
      </c>
      <c r="C252" s="1046">
        <v>6</v>
      </c>
      <c r="D252" s="1046">
        <v>9</v>
      </c>
      <c r="E252" s="584">
        <v>0.35499999999999998</v>
      </c>
      <c r="F252" s="584">
        <v>0.35499999999999998</v>
      </c>
      <c r="G252" s="584">
        <v>852</v>
      </c>
      <c r="H252" s="584">
        <v>21.655000000000001</v>
      </c>
      <c r="I252" s="584">
        <v>0</v>
      </c>
      <c r="J252" s="584">
        <v>0</v>
      </c>
      <c r="K252" s="584">
        <v>0</v>
      </c>
      <c r="L252" s="584">
        <v>0</v>
      </c>
      <c r="M252" s="584">
        <v>0</v>
      </c>
      <c r="N252" s="584">
        <v>0</v>
      </c>
      <c r="O252" s="584">
        <v>0</v>
      </c>
      <c r="P252" s="584">
        <v>0</v>
      </c>
      <c r="Q252" s="584">
        <v>0</v>
      </c>
      <c r="R252" s="584">
        <v>0</v>
      </c>
      <c r="S252" s="584">
        <v>0</v>
      </c>
      <c r="T252" s="584">
        <v>264.54543749999999</v>
      </c>
      <c r="U252" s="584">
        <v>54</v>
      </c>
      <c r="V252" s="584">
        <v>464.70543750000002</v>
      </c>
      <c r="W252" s="584">
        <v>113.4</v>
      </c>
      <c r="X252" s="584">
        <v>708.42600000000004</v>
      </c>
      <c r="Y252" s="584">
        <v>237.6</v>
      </c>
      <c r="Z252" s="584">
        <v>0.27500000000000002</v>
      </c>
      <c r="AA252" s="584">
        <v>0.27500000000000002</v>
      </c>
      <c r="AB252" s="584">
        <v>660</v>
      </c>
      <c r="AC252" s="584">
        <v>17</v>
      </c>
      <c r="AD252" s="584">
        <v>0</v>
      </c>
      <c r="AE252" s="584">
        <v>0</v>
      </c>
      <c r="AF252" s="584">
        <v>0</v>
      </c>
      <c r="AG252" s="584">
        <v>0</v>
      </c>
      <c r="AH252" s="584">
        <v>0</v>
      </c>
      <c r="AI252" s="584">
        <v>0</v>
      </c>
      <c r="AJ252" s="584">
        <v>0</v>
      </c>
      <c r="AK252" s="584">
        <v>0</v>
      </c>
      <c r="AL252" s="584">
        <v>0</v>
      </c>
      <c r="AM252" s="584">
        <v>0</v>
      </c>
      <c r="AN252" s="584">
        <v>0</v>
      </c>
      <c r="AO252" s="584">
        <v>234.46543750000001</v>
      </c>
      <c r="AP252" s="584">
        <v>54</v>
      </c>
      <c r="AQ252" s="584">
        <v>404.2254375</v>
      </c>
      <c r="AR252" s="584">
        <v>113.4</v>
      </c>
      <c r="AS252" s="584">
        <v>589.62599999999998</v>
      </c>
      <c r="AT252" s="584">
        <v>237.6</v>
      </c>
      <c r="AU252" s="584">
        <v>0.57499999999999996</v>
      </c>
      <c r="AV252" s="584">
        <v>0.25</v>
      </c>
      <c r="AW252" s="584">
        <v>466.19198960302498</v>
      </c>
      <c r="AX252" s="584">
        <v>25.0010042533081</v>
      </c>
      <c r="AY252" s="584">
        <v>0</v>
      </c>
      <c r="AZ252" s="584">
        <v>0</v>
      </c>
      <c r="BA252" s="584">
        <v>0</v>
      </c>
      <c r="BB252" s="584">
        <v>0</v>
      </c>
      <c r="BC252" s="584">
        <v>0</v>
      </c>
      <c r="BD252" s="584">
        <v>0</v>
      </c>
      <c r="BE252" s="584">
        <v>0</v>
      </c>
      <c r="BF252" s="584">
        <v>0</v>
      </c>
      <c r="BG252" s="584">
        <v>0.57499999999999996</v>
      </c>
      <c r="BH252" s="584">
        <v>0</v>
      </c>
      <c r="BI252" s="584">
        <v>0.45</v>
      </c>
      <c r="BJ252" s="584">
        <v>211.33987500000001</v>
      </c>
      <c r="BK252" s="584">
        <v>54</v>
      </c>
      <c r="BL252" s="584">
        <v>343.15143749999999</v>
      </c>
      <c r="BM252" s="584">
        <v>113.4</v>
      </c>
      <c r="BN252" s="584">
        <v>462.45304687499998</v>
      </c>
      <c r="BO252" s="584">
        <v>237.6</v>
      </c>
      <c r="BP252" s="584">
        <v>0</v>
      </c>
      <c r="BQ252" s="584">
        <v>0</v>
      </c>
      <c r="BR252" s="584">
        <v>0</v>
      </c>
      <c r="BS252" s="584">
        <v>0</v>
      </c>
      <c r="BT252" s="584">
        <v>0</v>
      </c>
      <c r="BU252" s="584">
        <v>0</v>
      </c>
      <c r="BV252" s="584">
        <v>0</v>
      </c>
      <c r="BW252" s="584">
        <v>0</v>
      </c>
      <c r="BX252" s="584">
        <v>0</v>
      </c>
      <c r="BY252" s="584">
        <v>0</v>
      </c>
      <c r="BZ252" s="584">
        <v>0</v>
      </c>
      <c r="CA252" s="584">
        <v>0</v>
      </c>
      <c r="CB252" s="584">
        <v>0</v>
      </c>
      <c r="CC252" s="584">
        <v>0</v>
      </c>
      <c r="CD252" s="584">
        <v>0</v>
      </c>
      <c r="CE252" s="584">
        <v>0</v>
      </c>
      <c r="CF252" s="584">
        <v>0</v>
      </c>
      <c r="CG252" s="584">
        <v>0</v>
      </c>
      <c r="CH252" s="584">
        <v>0</v>
      </c>
      <c r="CI252" s="584">
        <v>0</v>
      </c>
      <c r="CJ252" s="584">
        <v>0</v>
      </c>
      <c r="CK252" s="584">
        <v>0.57499999999999996</v>
      </c>
      <c r="CL252" s="584">
        <v>0.185</v>
      </c>
      <c r="CM252" s="584">
        <v>515.69602138468804</v>
      </c>
      <c r="CN252" s="584">
        <v>23.5555287098299</v>
      </c>
      <c r="CO252" s="584">
        <v>0</v>
      </c>
      <c r="CP252" s="584">
        <v>0</v>
      </c>
      <c r="CQ252" s="584">
        <v>0</v>
      </c>
      <c r="CR252" s="584">
        <v>0</v>
      </c>
      <c r="CS252" s="584">
        <v>0</v>
      </c>
      <c r="CT252" s="584">
        <v>0</v>
      </c>
      <c r="CU252" s="584">
        <v>0</v>
      </c>
      <c r="CV252" s="584">
        <v>0</v>
      </c>
      <c r="CW252" s="584">
        <v>0.57499999999999996</v>
      </c>
      <c r="CX252" s="584">
        <v>0</v>
      </c>
      <c r="CY252" s="584">
        <v>0.6</v>
      </c>
      <c r="CZ252" s="584">
        <v>220.064425</v>
      </c>
      <c r="DA252" s="584">
        <v>54</v>
      </c>
      <c r="DB252" s="584">
        <v>358.91505000000001</v>
      </c>
      <c r="DC252" s="584">
        <v>113.4</v>
      </c>
      <c r="DD252" s="584">
        <v>494.51580000000001</v>
      </c>
      <c r="DE252" s="584">
        <v>237.6</v>
      </c>
      <c r="DF252" s="584">
        <v>0.35</v>
      </c>
      <c r="DG252" s="584">
        <v>0.2</v>
      </c>
      <c r="DH252" s="584">
        <v>345.65660444234402</v>
      </c>
      <c r="DI252" s="584">
        <v>19.508921077504699</v>
      </c>
      <c r="DJ252" s="584">
        <v>300</v>
      </c>
      <c r="DK252" s="584">
        <v>0</v>
      </c>
      <c r="DL252" s="584">
        <v>0</v>
      </c>
      <c r="DM252" s="584">
        <v>0</v>
      </c>
      <c r="DN252" s="584">
        <v>0</v>
      </c>
      <c r="DO252" s="584">
        <v>0</v>
      </c>
      <c r="DP252" s="584">
        <v>0</v>
      </c>
      <c r="DQ252" s="584">
        <v>0</v>
      </c>
      <c r="DR252" s="584">
        <v>0.35</v>
      </c>
      <c r="DS252" s="584">
        <v>0</v>
      </c>
      <c r="DT252" s="584">
        <v>2.4</v>
      </c>
      <c r="DU252" s="584">
        <v>213.87</v>
      </c>
      <c r="DV252" s="584">
        <v>54</v>
      </c>
      <c r="DW252" s="584">
        <v>370.33724999999998</v>
      </c>
      <c r="DX252" s="584">
        <v>113.4</v>
      </c>
      <c r="DY252" s="584">
        <v>548.0865</v>
      </c>
      <c r="DZ252" s="584">
        <v>237.6</v>
      </c>
      <c r="EA252" s="1062">
        <v>0.76339999999999997</v>
      </c>
      <c r="EB252" s="1046">
        <v>0.3</v>
      </c>
      <c r="EC252" s="1093">
        <v>132.51783893985731</v>
      </c>
      <c r="ED252" s="1046">
        <v>0</v>
      </c>
      <c r="EE252" s="1046">
        <v>397.55351681957183</v>
      </c>
      <c r="EF252" s="1046">
        <v>21.105555555555551</v>
      </c>
      <c r="EG252" s="1046">
        <v>0</v>
      </c>
      <c r="EH252" s="1046">
        <v>0</v>
      </c>
      <c r="EI252" s="1046" t="s">
        <v>446</v>
      </c>
      <c r="EJ252" s="1046" t="s">
        <v>466</v>
      </c>
      <c r="EK252" s="1046">
        <v>0</v>
      </c>
      <c r="EL252" s="1046">
        <v>0</v>
      </c>
      <c r="EM252" s="1046">
        <v>0</v>
      </c>
      <c r="EN252" s="1046">
        <v>0</v>
      </c>
      <c r="EO252" s="1046">
        <v>0</v>
      </c>
      <c r="EP252" s="1094">
        <v>112.14511425000001</v>
      </c>
      <c r="EQ252" s="1094">
        <v>54</v>
      </c>
      <c r="ER252" s="1094">
        <v>224.29022850000001</v>
      </c>
      <c r="ES252" s="1095">
        <v>108</v>
      </c>
      <c r="ET252" s="1094">
        <v>448.58045700000002</v>
      </c>
      <c r="EU252" s="1094">
        <v>216</v>
      </c>
      <c r="EV252" s="1096">
        <v>0.68310000000000004</v>
      </c>
      <c r="EW252" s="1097">
        <v>0.15</v>
      </c>
      <c r="EX252" s="1096">
        <v>289.50050968399592</v>
      </c>
      <c r="EY252" s="1096">
        <v>1.5443934760448521</v>
      </c>
      <c r="EZ252" s="1096">
        <v>0</v>
      </c>
      <c r="FA252" s="1096">
        <v>18.733333333333331</v>
      </c>
      <c r="FB252" s="1098">
        <v>0</v>
      </c>
      <c r="FC252" s="1098">
        <v>0</v>
      </c>
      <c r="FD252" s="1098" t="s">
        <v>430</v>
      </c>
      <c r="FE252" s="1098" t="s">
        <v>479</v>
      </c>
      <c r="FF252" s="1098">
        <v>1</v>
      </c>
      <c r="FG252" s="1098">
        <v>0</v>
      </c>
      <c r="FH252" s="1098">
        <v>0</v>
      </c>
      <c r="FI252" s="1098">
        <v>0</v>
      </c>
      <c r="FJ252" s="1098">
        <v>0</v>
      </c>
      <c r="FK252" s="1096">
        <v>81.660480750000005</v>
      </c>
      <c r="FL252" s="1096">
        <v>54</v>
      </c>
      <c r="FM252" s="1096">
        <v>163.32096150000001</v>
      </c>
      <c r="FN252" s="1096">
        <v>108</v>
      </c>
      <c r="FO252" s="1096">
        <v>326.64192300000002</v>
      </c>
      <c r="FP252" s="1099">
        <v>216</v>
      </c>
      <c r="FQ252" s="1064">
        <v>0.71895999999999993</v>
      </c>
      <c r="FR252" s="1065">
        <v>0.15</v>
      </c>
      <c r="FS252" s="1066">
        <v>289.50050968399586</v>
      </c>
      <c r="FT252" s="1066">
        <v>3.2237153637237084</v>
      </c>
      <c r="FU252" s="1065"/>
      <c r="FV252" s="1066">
        <v>38.528205710088152</v>
      </c>
      <c r="FW252" s="1065"/>
      <c r="FX252" s="1065"/>
      <c r="FY252" s="1065" t="s">
        <v>467</v>
      </c>
      <c r="FZ252" s="1065" t="s">
        <v>479</v>
      </c>
      <c r="GA252" s="1065">
        <v>1</v>
      </c>
      <c r="GB252" s="1065"/>
      <c r="GC252" s="1065"/>
      <c r="GD252" s="1065"/>
      <c r="GE252" s="1065"/>
      <c r="GF252" s="1066">
        <v>83.019415667410271</v>
      </c>
      <c r="GG252" s="1066">
        <v>54</v>
      </c>
      <c r="GH252" s="1066">
        <v>166.03883133482054</v>
      </c>
      <c r="GI252" s="1066">
        <v>108</v>
      </c>
      <c r="GJ252" s="1066">
        <v>332.07766266964109</v>
      </c>
      <c r="GK252" s="1066">
        <v>216</v>
      </c>
      <c r="GL252" s="584">
        <v>0.71299999999999997</v>
      </c>
      <c r="GM252" s="584">
        <v>0.11</v>
      </c>
      <c r="GN252" s="584"/>
      <c r="GO252" s="584"/>
      <c r="GP252" s="584"/>
      <c r="GQ252" s="584">
        <v>38.033333333333303</v>
      </c>
      <c r="GR252" s="584"/>
      <c r="GS252" s="584">
        <v>56.065239551478101</v>
      </c>
      <c r="GT252" s="584" t="s">
        <v>438</v>
      </c>
      <c r="GU252" s="584" t="s">
        <v>414</v>
      </c>
      <c r="GV252" s="584">
        <v>1</v>
      </c>
      <c r="GW252" s="584"/>
      <c r="GX252" s="584"/>
      <c r="GY252" s="584"/>
      <c r="GZ252" s="584"/>
      <c r="HA252" s="584">
        <v>51.6119445</v>
      </c>
      <c r="HB252" s="584">
        <v>54</v>
      </c>
      <c r="HC252" s="584">
        <v>103.223889</v>
      </c>
      <c r="HD252" s="584">
        <v>108</v>
      </c>
      <c r="HE252" s="584">
        <v>206.447778</v>
      </c>
      <c r="HF252" s="584">
        <v>216</v>
      </c>
      <c r="HG252" s="1100">
        <v>0.91</v>
      </c>
      <c r="HH252" s="1100">
        <v>0.11</v>
      </c>
      <c r="HI252" s="1101">
        <v>0</v>
      </c>
      <c r="HJ252" s="1101">
        <v>0</v>
      </c>
      <c r="HK252" s="1101">
        <v>0</v>
      </c>
      <c r="HL252" s="1101">
        <v>0</v>
      </c>
      <c r="HM252" s="1101">
        <v>47.2</v>
      </c>
      <c r="HN252" s="1101">
        <v>54.999999999999993</v>
      </c>
      <c r="HO252" s="1101">
        <v>0</v>
      </c>
      <c r="HP252" s="1101">
        <v>0</v>
      </c>
      <c r="HQ252" s="1101">
        <v>1</v>
      </c>
      <c r="HR252" s="1101">
        <v>0.8</v>
      </c>
      <c r="HS252" s="1101">
        <v>0.8</v>
      </c>
      <c r="HT252" s="1101">
        <v>0.28000000000000003</v>
      </c>
      <c r="HU252" s="1101">
        <v>0.3</v>
      </c>
      <c r="HV252" s="1101">
        <v>52.684856999999994</v>
      </c>
      <c r="HW252" s="1101">
        <v>54</v>
      </c>
      <c r="HX252" s="1101">
        <v>105.36971399999999</v>
      </c>
      <c r="HY252" s="1101">
        <v>108</v>
      </c>
      <c r="HZ252" s="1101">
        <v>210.73942799999998</v>
      </c>
      <c r="IA252" s="1101">
        <v>216</v>
      </c>
      <c r="IB252" s="1062"/>
      <c r="ID252" s="1050"/>
      <c r="IE252" s="1050"/>
      <c r="IM252" s="1050"/>
      <c r="IN252" s="1050"/>
      <c r="IO252" s="1050"/>
      <c r="IP252" s="1050"/>
      <c r="JU252" s="1050"/>
      <c r="KC252" s="1050"/>
      <c r="KD252" s="1050"/>
      <c r="KE252" s="1050"/>
      <c r="KF252" s="1050"/>
      <c r="KN252" s="1103"/>
    </row>
    <row r="253" spans="2:300">
      <c r="B253" s="1048" t="str">
        <f t="shared" si="8"/>
        <v>H610</v>
      </c>
      <c r="C253" s="1046">
        <v>6</v>
      </c>
      <c r="D253" s="1092">
        <v>10</v>
      </c>
      <c r="E253" s="584">
        <v>0.43</v>
      </c>
      <c r="F253" s="584">
        <v>0.43</v>
      </c>
      <c r="G253" s="584">
        <v>1032</v>
      </c>
      <c r="H253" s="584">
        <v>23.22</v>
      </c>
      <c r="I253" s="584">
        <v>0</v>
      </c>
      <c r="J253" s="584">
        <v>0</v>
      </c>
      <c r="K253" s="584">
        <v>0</v>
      </c>
      <c r="L253" s="584">
        <v>0</v>
      </c>
      <c r="M253" s="584">
        <v>0</v>
      </c>
      <c r="N253" s="584">
        <v>0</v>
      </c>
      <c r="O253" s="584">
        <v>0</v>
      </c>
      <c r="P253" s="584">
        <v>0</v>
      </c>
      <c r="Q253" s="584">
        <v>0</v>
      </c>
      <c r="R253" s="584">
        <v>0</v>
      </c>
      <c r="S253" s="584">
        <v>0</v>
      </c>
      <c r="T253" s="584">
        <v>320.06543749999997</v>
      </c>
      <c r="U253" s="584">
        <v>60</v>
      </c>
      <c r="V253" s="584">
        <v>578.77743750000002</v>
      </c>
      <c r="W253" s="584">
        <v>126</v>
      </c>
      <c r="X253" s="584">
        <v>909.89099999999996</v>
      </c>
      <c r="Y253" s="584">
        <v>264</v>
      </c>
      <c r="Z253" s="584">
        <v>0.30499999999999999</v>
      </c>
      <c r="AA253" s="584">
        <v>0.30499999999999999</v>
      </c>
      <c r="AB253" s="584">
        <v>732</v>
      </c>
      <c r="AC253" s="584">
        <v>18</v>
      </c>
      <c r="AD253" s="584">
        <v>0</v>
      </c>
      <c r="AE253" s="584">
        <v>0</v>
      </c>
      <c r="AF253" s="584">
        <v>0</v>
      </c>
      <c r="AG253" s="584">
        <v>0</v>
      </c>
      <c r="AH253" s="584">
        <v>0</v>
      </c>
      <c r="AI253" s="584">
        <v>0</v>
      </c>
      <c r="AJ253" s="584">
        <v>0</v>
      </c>
      <c r="AK253" s="584">
        <v>0</v>
      </c>
      <c r="AL253" s="584">
        <v>0</v>
      </c>
      <c r="AM253" s="584">
        <v>0</v>
      </c>
      <c r="AN253" s="584">
        <v>0</v>
      </c>
      <c r="AO253" s="584">
        <v>268.06543749999997</v>
      </c>
      <c r="AP253" s="584">
        <v>60</v>
      </c>
      <c r="AQ253" s="584">
        <v>473.77743750000002</v>
      </c>
      <c r="AR253" s="584">
        <v>126</v>
      </c>
      <c r="AS253" s="584">
        <v>703.64099999999996</v>
      </c>
      <c r="AT253" s="584">
        <v>264</v>
      </c>
      <c r="AU253" s="584">
        <v>0.67500000000000004</v>
      </c>
      <c r="AV253" s="584">
        <v>0.25</v>
      </c>
      <c r="AW253" s="584">
        <v>491.97674232736603</v>
      </c>
      <c r="AX253" s="584">
        <v>25.4082480818414</v>
      </c>
      <c r="AY253" s="584">
        <v>0</v>
      </c>
      <c r="AZ253" s="584">
        <v>0</v>
      </c>
      <c r="BA253" s="584">
        <v>0</v>
      </c>
      <c r="BB253" s="584">
        <v>0</v>
      </c>
      <c r="BC253" s="584">
        <v>0</v>
      </c>
      <c r="BD253" s="584">
        <v>0</v>
      </c>
      <c r="BE253" s="584">
        <v>0</v>
      </c>
      <c r="BF253" s="584">
        <v>0</v>
      </c>
      <c r="BG253" s="584">
        <v>0.67500000000000004</v>
      </c>
      <c r="BH253" s="584">
        <v>0</v>
      </c>
      <c r="BI253" s="584">
        <v>0.45</v>
      </c>
      <c r="BJ253" s="584">
        <v>235.646617647059</v>
      </c>
      <c r="BK253" s="584">
        <v>60</v>
      </c>
      <c r="BL253" s="584">
        <v>389.20591544117701</v>
      </c>
      <c r="BM253" s="584">
        <v>126</v>
      </c>
      <c r="BN253" s="584">
        <v>527.03759283088198</v>
      </c>
      <c r="BO253" s="584">
        <v>264</v>
      </c>
      <c r="BP253" s="584">
        <v>0</v>
      </c>
      <c r="BQ253" s="584">
        <v>0</v>
      </c>
      <c r="BR253" s="584">
        <v>0</v>
      </c>
      <c r="BS253" s="584">
        <v>0</v>
      </c>
      <c r="BT253" s="584">
        <v>0</v>
      </c>
      <c r="BU253" s="584">
        <v>0</v>
      </c>
      <c r="BV253" s="584">
        <v>0</v>
      </c>
      <c r="BW253" s="584">
        <v>0</v>
      </c>
      <c r="BX253" s="584">
        <v>0</v>
      </c>
      <c r="BY253" s="584">
        <v>0</v>
      </c>
      <c r="BZ253" s="584">
        <v>0</v>
      </c>
      <c r="CA253" s="584">
        <v>0</v>
      </c>
      <c r="CB253" s="584">
        <v>0</v>
      </c>
      <c r="CC253" s="584">
        <v>0</v>
      </c>
      <c r="CD253" s="584">
        <v>0</v>
      </c>
      <c r="CE253" s="584">
        <v>0</v>
      </c>
      <c r="CF253" s="584">
        <v>0</v>
      </c>
      <c r="CG253" s="584">
        <v>0</v>
      </c>
      <c r="CH253" s="584">
        <v>0</v>
      </c>
      <c r="CI253" s="584">
        <v>0</v>
      </c>
      <c r="CJ253" s="584">
        <v>0</v>
      </c>
      <c r="CK253" s="584">
        <v>0.67500000000000004</v>
      </c>
      <c r="CL253" s="584">
        <v>0.185</v>
      </c>
      <c r="CM253" s="584">
        <v>537.33375959079297</v>
      </c>
      <c r="CN253" s="584">
        <v>24.007429667519201</v>
      </c>
      <c r="CO253" s="584">
        <v>0</v>
      </c>
      <c r="CP253" s="584">
        <v>0</v>
      </c>
      <c r="CQ253" s="584">
        <v>0</v>
      </c>
      <c r="CR253" s="584">
        <v>0</v>
      </c>
      <c r="CS253" s="584">
        <v>0</v>
      </c>
      <c r="CT253" s="584">
        <v>0</v>
      </c>
      <c r="CU253" s="584">
        <v>0</v>
      </c>
      <c r="CV253" s="584">
        <v>0</v>
      </c>
      <c r="CW253" s="584">
        <v>0.67500000000000004</v>
      </c>
      <c r="CX253" s="584">
        <v>0</v>
      </c>
      <c r="CY253" s="584">
        <v>0.6</v>
      </c>
      <c r="CZ253" s="584">
        <v>245.78829999999999</v>
      </c>
      <c r="DA253" s="584">
        <v>60</v>
      </c>
      <c r="DB253" s="584">
        <v>406.84530000000001</v>
      </c>
      <c r="DC253" s="584">
        <v>126</v>
      </c>
      <c r="DD253" s="584">
        <v>559.57529999999997</v>
      </c>
      <c r="DE253" s="584">
        <v>264</v>
      </c>
      <c r="DF253" s="584">
        <v>0.4</v>
      </c>
      <c r="DG253" s="584">
        <v>0.2</v>
      </c>
      <c r="DH253" s="584">
        <v>389.618765984655</v>
      </c>
      <c r="DI253" s="584">
        <v>19.811130434782601</v>
      </c>
      <c r="DJ253" s="584">
        <v>300</v>
      </c>
      <c r="DK253" s="584">
        <v>0</v>
      </c>
      <c r="DL253" s="584">
        <v>0</v>
      </c>
      <c r="DM253" s="584">
        <v>0</v>
      </c>
      <c r="DN253" s="584">
        <v>0</v>
      </c>
      <c r="DO253" s="584">
        <v>0</v>
      </c>
      <c r="DP253" s="584">
        <v>0</v>
      </c>
      <c r="DQ253" s="584">
        <v>0</v>
      </c>
      <c r="DR253" s="584">
        <v>0.4</v>
      </c>
      <c r="DS253" s="584">
        <v>0</v>
      </c>
      <c r="DT253" s="584">
        <v>2.4</v>
      </c>
      <c r="DU253" s="584">
        <v>238.45849999999999</v>
      </c>
      <c r="DV253" s="584">
        <v>60</v>
      </c>
      <c r="DW253" s="584">
        <v>415.60199999999998</v>
      </c>
      <c r="DX253" s="584">
        <v>126</v>
      </c>
      <c r="DY253" s="584">
        <v>637.90499999999997</v>
      </c>
      <c r="DZ253" s="584">
        <v>264</v>
      </c>
      <c r="EA253" s="1062">
        <v>0.81920000000000004</v>
      </c>
      <c r="EB253" s="1046">
        <v>0.35</v>
      </c>
      <c r="EC253" s="1093">
        <v>132.51783893985731</v>
      </c>
      <c r="ED253" s="1046">
        <v>0</v>
      </c>
      <c r="EE253" s="1046">
        <v>458.71559633027522</v>
      </c>
      <c r="EF253" s="1046">
        <v>25.463333333333331</v>
      </c>
      <c r="EG253" s="1046">
        <v>0</v>
      </c>
      <c r="EH253" s="1046">
        <v>0</v>
      </c>
      <c r="EI253" s="1046" t="s">
        <v>444</v>
      </c>
      <c r="EJ253" s="1046" t="s">
        <v>446</v>
      </c>
      <c r="EK253" s="1046">
        <v>0</v>
      </c>
      <c r="EL253" s="1046">
        <v>0</v>
      </c>
      <c r="EM253" s="1046">
        <v>0</v>
      </c>
      <c r="EN253" s="1046">
        <v>0</v>
      </c>
      <c r="EO253" s="1046">
        <v>0</v>
      </c>
      <c r="EP253" s="1094">
        <v>134.24692949999999</v>
      </c>
      <c r="EQ253" s="1094">
        <v>60</v>
      </c>
      <c r="ER253" s="1094">
        <v>268.49385899999999</v>
      </c>
      <c r="ES253" s="1095">
        <v>120</v>
      </c>
      <c r="ET253" s="1094">
        <v>536.98771799999997</v>
      </c>
      <c r="EU253" s="1094">
        <v>240</v>
      </c>
      <c r="EV253" s="1096">
        <v>0.68310000000000004</v>
      </c>
      <c r="EW253" s="1097">
        <v>0.15</v>
      </c>
      <c r="EX253" s="1096">
        <v>289.50050968399592</v>
      </c>
      <c r="EY253" s="1096">
        <v>1.5443934760448521</v>
      </c>
      <c r="EZ253" s="1096">
        <v>0</v>
      </c>
      <c r="FA253" s="1096">
        <v>18.226666666666667</v>
      </c>
      <c r="FB253" s="1098">
        <v>0</v>
      </c>
      <c r="FC253" s="1098">
        <v>0</v>
      </c>
      <c r="FD253" s="1098" t="s">
        <v>430</v>
      </c>
      <c r="FE253" s="1098" t="s">
        <v>468</v>
      </c>
      <c r="FF253" s="1098">
        <v>1</v>
      </c>
      <c r="FG253" s="1098">
        <v>0</v>
      </c>
      <c r="FH253" s="1098">
        <v>0</v>
      </c>
      <c r="FI253" s="1098">
        <v>0</v>
      </c>
      <c r="FJ253" s="1098">
        <v>0</v>
      </c>
      <c r="FK253" s="1096">
        <v>90.659311500000001</v>
      </c>
      <c r="FL253" s="1096">
        <v>60</v>
      </c>
      <c r="FM253" s="1096">
        <v>181.318623</v>
      </c>
      <c r="FN253" s="1096">
        <v>120</v>
      </c>
      <c r="FO253" s="1096">
        <v>362.637246</v>
      </c>
      <c r="FP253" s="1099">
        <v>240</v>
      </c>
      <c r="FQ253" s="1064">
        <v>0.98803999999999992</v>
      </c>
      <c r="FR253" s="1065">
        <v>0.15</v>
      </c>
      <c r="FS253" s="1066">
        <v>289.50050968399586</v>
      </c>
      <c r="FT253" s="1066">
        <v>3.2237153637237084</v>
      </c>
      <c r="FU253" s="1065"/>
      <c r="FV253" s="1066">
        <v>44.048555931184133</v>
      </c>
      <c r="FW253" s="1065"/>
      <c r="FX253" s="1065"/>
      <c r="FY253" s="1065" t="s">
        <v>416</v>
      </c>
      <c r="FZ253" s="1065" t="s">
        <v>459</v>
      </c>
      <c r="GA253" s="1065">
        <v>1</v>
      </c>
      <c r="GB253" s="1065"/>
      <c r="GC253" s="1065"/>
      <c r="GD253" s="1065"/>
      <c r="GE253" s="1065"/>
      <c r="GF253" s="1066">
        <v>93.056114721045702</v>
      </c>
      <c r="GG253" s="1066">
        <v>60</v>
      </c>
      <c r="GH253" s="1066">
        <v>186.1122294420914</v>
      </c>
      <c r="GI253" s="1066">
        <v>120</v>
      </c>
      <c r="GJ253" s="1066">
        <v>372.22445888418281</v>
      </c>
      <c r="GK253" s="1066">
        <v>240</v>
      </c>
      <c r="GL253" s="584">
        <v>0.72219999999999995</v>
      </c>
      <c r="GM253" s="584">
        <v>0.11</v>
      </c>
      <c r="GN253" s="584"/>
      <c r="GO253" s="584"/>
      <c r="GP253" s="584"/>
      <c r="GQ253" s="584">
        <v>48.27</v>
      </c>
      <c r="GR253" s="584"/>
      <c r="GS253" s="584">
        <v>56.065239551478101</v>
      </c>
      <c r="GT253" s="584" t="s">
        <v>438</v>
      </c>
      <c r="GU253" s="584" t="s">
        <v>406</v>
      </c>
      <c r="GV253" s="584">
        <v>1</v>
      </c>
      <c r="GW253" s="584"/>
      <c r="GX253" s="584"/>
      <c r="GY253" s="584"/>
      <c r="GZ253" s="584"/>
      <c r="HA253" s="584">
        <v>58.852930499999999</v>
      </c>
      <c r="HB253" s="584">
        <v>60</v>
      </c>
      <c r="HC253" s="584">
        <v>117.705861</v>
      </c>
      <c r="HD253" s="584">
        <v>120</v>
      </c>
      <c r="HE253" s="584">
        <v>235.411722</v>
      </c>
      <c r="HF253" s="584">
        <v>240</v>
      </c>
      <c r="HG253" s="1100">
        <v>1.03</v>
      </c>
      <c r="HH253" s="1100">
        <v>0.11</v>
      </c>
      <c r="HI253" s="1101">
        <v>0</v>
      </c>
      <c r="HJ253" s="1101">
        <v>0</v>
      </c>
      <c r="HK253" s="1101">
        <v>0</v>
      </c>
      <c r="HL253" s="1101">
        <v>0</v>
      </c>
      <c r="HM253" s="1101">
        <v>51.984000000000009</v>
      </c>
      <c r="HN253" s="1101">
        <v>54.999999999999993</v>
      </c>
      <c r="HO253" s="1101">
        <v>0</v>
      </c>
      <c r="HP253" s="1101">
        <v>0</v>
      </c>
      <c r="HQ253" s="1101">
        <v>1</v>
      </c>
      <c r="HR253" s="1101">
        <v>0.84</v>
      </c>
      <c r="HS253" s="1101">
        <v>0.92</v>
      </c>
      <c r="HT253" s="1101">
        <v>0.28000000000000003</v>
      </c>
      <c r="HU253" s="1101">
        <v>0.3</v>
      </c>
      <c r="HV253" s="1101">
        <v>59.24269559999999</v>
      </c>
      <c r="HW253" s="1101">
        <v>60</v>
      </c>
      <c r="HX253" s="1101">
        <v>118.48539119999998</v>
      </c>
      <c r="HY253" s="1101">
        <v>120</v>
      </c>
      <c r="HZ253" s="1101">
        <v>236.97078239999996</v>
      </c>
      <c r="IA253" s="1101">
        <v>240</v>
      </c>
      <c r="IB253" s="1062"/>
      <c r="ID253" s="1050"/>
      <c r="IE253" s="1050"/>
      <c r="IM253" s="1050"/>
      <c r="IN253" s="1050"/>
      <c r="IO253" s="1050"/>
      <c r="IP253" s="1050"/>
      <c r="JU253" s="1050"/>
      <c r="KC253" s="1050"/>
      <c r="KD253" s="1050"/>
      <c r="KE253" s="1050"/>
      <c r="KF253" s="1050"/>
      <c r="KN253" s="1103"/>
    </row>
    <row r="254" spans="2:300">
      <c r="B254" s="1048" t="str">
        <f t="shared" si="8"/>
        <v>H611</v>
      </c>
      <c r="C254" s="1046">
        <v>6</v>
      </c>
      <c r="D254" s="1092">
        <v>11</v>
      </c>
      <c r="E254" s="584">
        <v>0.48499999999999999</v>
      </c>
      <c r="F254" s="584">
        <v>0.48499999999999999</v>
      </c>
      <c r="G254" s="584">
        <v>1164</v>
      </c>
      <c r="H254" s="584">
        <v>24.734999999999999</v>
      </c>
      <c r="I254" s="584">
        <v>0</v>
      </c>
      <c r="J254" s="584">
        <v>0</v>
      </c>
      <c r="K254" s="584">
        <v>0</v>
      </c>
      <c r="L254" s="584">
        <v>0</v>
      </c>
      <c r="M254" s="584">
        <v>0</v>
      </c>
      <c r="N254" s="584">
        <v>0</v>
      </c>
      <c r="O254" s="584">
        <v>0</v>
      </c>
      <c r="P254" s="584">
        <v>0</v>
      </c>
      <c r="Q254" s="584">
        <v>0</v>
      </c>
      <c r="R254" s="584">
        <v>0</v>
      </c>
      <c r="S254" s="584">
        <v>0</v>
      </c>
      <c r="T254" s="584">
        <v>372.46543750000001</v>
      </c>
      <c r="U254" s="584">
        <v>66</v>
      </c>
      <c r="V254" s="584">
        <v>686.96943750000003</v>
      </c>
      <c r="W254" s="584">
        <v>138.6</v>
      </c>
      <c r="X254" s="584">
        <v>1099.806</v>
      </c>
      <c r="Y254" s="584">
        <v>290.39999999999998</v>
      </c>
      <c r="Z254" s="584">
        <v>0.33</v>
      </c>
      <c r="AA254" s="584">
        <v>0.33</v>
      </c>
      <c r="AB254" s="584">
        <v>792</v>
      </c>
      <c r="AC254" s="584">
        <v>19</v>
      </c>
      <c r="AD254" s="584">
        <v>0</v>
      </c>
      <c r="AE254" s="584">
        <v>0</v>
      </c>
      <c r="AF254" s="584">
        <v>0</v>
      </c>
      <c r="AG254" s="584">
        <v>0</v>
      </c>
      <c r="AH254" s="584">
        <v>0</v>
      </c>
      <c r="AI254" s="584">
        <v>0</v>
      </c>
      <c r="AJ254" s="584">
        <v>0</v>
      </c>
      <c r="AK254" s="584">
        <v>0</v>
      </c>
      <c r="AL254" s="584">
        <v>0</v>
      </c>
      <c r="AM254" s="584">
        <v>0</v>
      </c>
      <c r="AN254" s="584">
        <v>0</v>
      </c>
      <c r="AO254" s="584">
        <v>301.7854375</v>
      </c>
      <c r="AP254" s="584">
        <v>66</v>
      </c>
      <c r="AQ254" s="584">
        <v>543.7494375</v>
      </c>
      <c r="AR254" s="584">
        <v>138.6</v>
      </c>
      <c r="AS254" s="584">
        <v>818.48099999999999</v>
      </c>
      <c r="AT254" s="584">
        <v>290.39999999999998</v>
      </c>
      <c r="AU254" s="584">
        <v>0.77500000000000002</v>
      </c>
      <c r="AV254" s="584">
        <v>0.25</v>
      </c>
      <c r="AW254" s="584">
        <v>516.12679541925502</v>
      </c>
      <c r="AX254" s="584">
        <v>25.4788795613354</v>
      </c>
      <c r="AY254" s="584">
        <v>0</v>
      </c>
      <c r="AZ254" s="584">
        <v>0</v>
      </c>
      <c r="BA254" s="584">
        <v>0</v>
      </c>
      <c r="BB254" s="584">
        <v>0</v>
      </c>
      <c r="BC254" s="584">
        <v>0</v>
      </c>
      <c r="BD254" s="584">
        <v>0</v>
      </c>
      <c r="BE254" s="584">
        <v>0</v>
      </c>
      <c r="BF254" s="584">
        <v>0</v>
      </c>
      <c r="BG254" s="584">
        <v>0.77500000000000002</v>
      </c>
      <c r="BH254" s="584">
        <v>0</v>
      </c>
      <c r="BI254" s="584">
        <v>0.45</v>
      </c>
      <c r="BJ254" s="584">
        <v>260.70067187500001</v>
      </c>
      <c r="BK254" s="584">
        <v>66</v>
      </c>
      <c r="BL254" s="584">
        <v>436.7660390625</v>
      </c>
      <c r="BM254" s="584">
        <v>138.6</v>
      </c>
      <c r="BN254" s="584">
        <v>593.88322851562498</v>
      </c>
      <c r="BO254" s="584">
        <v>290.39999999999998</v>
      </c>
      <c r="BP254" s="584">
        <v>0.875</v>
      </c>
      <c r="BQ254" s="584">
        <v>0.16500000000000001</v>
      </c>
      <c r="BR254" s="584">
        <v>529.62519409937897</v>
      </c>
      <c r="BS254" s="584">
        <v>50.687827057453397</v>
      </c>
      <c r="BT254" s="584">
        <v>0</v>
      </c>
      <c r="BU254" s="584">
        <v>0</v>
      </c>
      <c r="BV254" s="584">
        <v>0</v>
      </c>
      <c r="BW254" s="584">
        <v>0</v>
      </c>
      <c r="BX254" s="584">
        <v>0</v>
      </c>
      <c r="BY254" s="584">
        <v>0</v>
      </c>
      <c r="BZ254" s="584">
        <v>0</v>
      </c>
      <c r="CA254" s="584">
        <v>0.32500000000000001</v>
      </c>
      <c r="CB254" s="584">
        <v>0.875</v>
      </c>
      <c r="CC254" s="584">
        <v>0.3</v>
      </c>
      <c r="CD254" s="584">
        <v>0.3</v>
      </c>
      <c r="CE254" s="584">
        <v>262.85995000000003</v>
      </c>
      <c r="CF254" s="584">
        <v>66</v>
      </c>
      <c r="CG254" s="584">
        <v>446.06144999999998</v>
      </c>
      <c r="CH254" s="584">
        <v>138.6</v>
      </c>
      <c r="CI254" s="584">
        <v>581.45820000000003</v>
      </c>
      <c r="CJ254" s="584">
        <v>290.39999999999998</v>
      </c>
      <c r="CK254" s="584">
        <v>0.77500000000000002</v>
      </c>
      <c r="CL254" s="584">
        <v>0.185</v>
      </c>
      <c r="CM254" s="584">
        <v>556.39169254658395</v>
      </c>
      <c r="CN254" s="584">
        <v>24.112596564440999</v>
      </c>
      <c r="CO254" s="584">
        <v>0</v>
      </c>
      <c r="CP254" s="584">
        <v>0</v>
      </c>
      <c r="CQ254" s="584">
        <v>0</v>
      </c>
      <c r="CR254" s="584">
        <v>0</v>
      </c>
      <c r="CS254" s="584">
        <v>0</v>
      </c>
      <c r="CT254" s="584">
        <v>0</v>
      </c>
      <c r="CU254" s="584">
        <v>0</v>
      </c>
      <c r="CV254" s="584">
        <v>0</v>
      </c>
      <c r="CW254" s="584">
        <v>0.77500000000000002</v>
      </c>
      <c r="CX254" s="584">
        <v>0</v>
      </c>
      <c r="CY254" s="584">
        <v>0.6</v>
      </c>
      <c r="CZ254" s="584">
        <v>270.99655000000001</v>
      </c>
      <c r="DA254" s="584">
        <v>66</v>
      </c>
      <c r="DB254" s="584">
        <v>454.7568</v>
      </c>
      <c r="DC254" s="584">
        <v>138.6</v>
      </c>
      <c r="DD254" s="584">
        <v>626.88480000000004</v>
      </c>
      <c r="DE254" s="584">
        <v>290.39999999999998</v>
      </c>
      <c r="DF254" s="584">
        <v>0.45</v>
      </c>
      <c r="DG254" s="584">
        <v>0.2</v>
      </c>
      <c r="DH254" s="584">
        <v>446.14955357142901</v>
      </c>
      <c r="DI254" s="584">
        <v>22.561399747670801</v>
      </c>
      <c r="DJ254" s="584">
        <v>300</v>
      </c>
      <c r="DK254" s="584">
        <v>0</v>
      </c>
      <c r="DL254" s="584">
        <v>0</v>
      </c>
      <c r="DM254" s="584">
        <v>0</v>
      </c>
      <c r="DN254" s="584">
        <v>0</v>
      </c>
      <c r="DO254" s="584">
        <v>0</v>
      </c>
      <c r="DP254" s="584">
        <v>0</v>
      </c>
      <c r="DQ254" s="584">
        <v>0</v>
      </c>
      <c r="DR254" s="584">
        <v>0.45</v>
      </c>
      <c r="DS254" s="584">
        <v>0</v>
      </c>
      <c r="DT254" s="584">
        <v>2.4</v>
      </c>
      <c r="DU254" s="584">
        <v>270.311125</v>
      </c>
      <c r="DV254" s="584">
        <v>66</v>
      </c>
      <c r="DW254" s="584">
        <v>464.35275000000001</v>
      </c>
      <c r="DX254" s="584">
        <v>138.6</v>
      </c>
      <c r="DY254" s="584">
        <v>733.72349999999994</v>
      </c>
      <c r="DZ254" s="584">
        <v>290.39999999999998</v>
      </c>
      <c r="EA254" s="1062">
        <v>0.8306</v>
      </c>
      <c r="EB254" s="1046">
        <v>0.35</v>
      </c>
      <c r="EC254" s="1093">
        <v>132.51783893985731</v>
      </c>
      <c r="ED254" s="1046">
        <v>0</v>
      </c>
      <c r="EE254" s="1046">
        <v>458.71559633027522</v>
      </c>
      <c r="EF254" s="1046">
        <v>34.334848484848493</v>
      </c>
      <c r="EG254" s="1046">
        <v>0</v>
      </c>
      <c r="EH254" s="1046">
        <v>0</v>
      </c>
      <c r="EI254" s="1046" t="s">
        <v>442</v>
      </c>
      <c r="EJ254" s="1046" t="s">
        <v>442</v>
      </c>
      <c r="EK254" s="1046">
        <v>0</v>
      </c>
      <c r="EL254" s="1046">
        <v>0</v>
      </c>
      <c r="EM254" s="1046">
        <v>0</v>
      </c>
      <c r="EN254" s="1046">
        <v>0</v>
      </c>
      <c r="EO254" s="1046">
        <v>0</v>
      </c>
      <c r="EP254" s="1094">
        <v>149.10761025000002</v>
      </c>
      <c r="EQ254" s="1094">
        <v>66</v>
      </c>
      <c r="ER254" s="1094">
        <v>298.21522050000004</v>
      </c>
      <c r="ES254" s="1095">
        <v>132</v>
      </c>
      <c r="ET254" s="1094">
        <v>596.43044100000009</v>
      </c>
      <c r="EU254" s="1094">
        <v>264</v>
      </c>
      <c r="EV254" s="1096">
        <v>0.68670000000000009</v>
      </c>
      <c r="EW254" s="1097">
        <v>0.15</v>
      </c>
      <c r="EX254" s="1096">
        <v>289.50050968399592</v>
      </c>
      <c r="EY254" s="1096">
        <v>1.5443934760448521</v>
      </c>
      <c r="EZ254" s="1096">
        <v>0</v>
      </c>
      <c r="FA254" s="1096">
        <v>19.148484848484848</v>
      </c>
      <c r="FB254" s="1098">
        <v>0</v>
      </c>
      <c r="FC254" s="1098">
        <v>0</v>
      </c>
      <c r="FD254" s="1098" t="s">
        <v>429</v>
      </c>
      <c r="FE254" s="1098" t="s">
        <v>459</v>
      </c>
      <c r="FF254" s="1098">
        <v>1</v>
      </c>
      <c r="FG254" s="1098">
        <v>0</v>
      </c>
      <c r="FH254" s="1098">
        <v>0</v>
      </c>
      <c r="FI254" s="1098">
        <v>0</v>
      </c>
      <c r="FJ254" s="1098">
        <v>0</v>
      </c>
      <c r="FK254" s="1096">
        <v>99.874452749999989</v>
      </c>
      <c r="FL254" s="1096">
        <v>66</v>
      </c>
      <c r="FM254" s="1096">
        <v>199.74890549999998</v>
      </c>
      <c r="FN254" s="1096">
        <v>132</v>
      </c>
      <c r="FO254" s="1096">
        <v>399.49781099999996</v>
      </c>
      <c r="FP254" s="1099">
        <v>264</v>
      </c>
      <c r="FQ254" s="1064">
        <v>0.98803999999999992</v>
      </c>
      <c r="FR254" s="1065">
        <v>0.15</v>
      </c>
      <c r="FS254" s="1066">
        <v>289.50050968399586</v>
      </c>
      <c r="FT254" s="1066">
        <v>3.2237153637237084</v>
      </c>
      <c r="FU254" s="1065"/>
      <c r="FV254" s="1066">
        <v>48.580488341640844</v>
      </c>
      <c r="FW254" s="1065"/>
      <c r="FX254" s="1065"/>
      <c r="FY254" s="1065" t="s">
        <v>416</v>
      </c>
      <c r="FZ254" s="1065" t="s">
        <v>436</v>
      </c>
      <c r="GA254" s="1065">
        <v>1</v>
      </c>
      <c r="GB254" s="1065"/>
      <c r="GC254" s="1065"/>
      <c r="GD254" s="1065"/>
      <c r="GE254" s="1065"/>
      <c r="GF254" s="1066">
        <v>103.09528743276881</v>
      </c>
      <c r="GG254" s="1066">
        <v>66</v>
      </c>
      <c r="GH254" s="1066">
        <v>206.19057486553763</v>
      </c>
      <c r="GI254" s="1066">
        <v>132</v>
      </c>
      <c r="GJ254" s="1066">
        <v>412.38114973107525</v>
      </c>
      <c r="GK254" s="1066">
        <v>264</v>
      </c>
      <c r="GL254" s="584">
        <v>0.86</v>
      </c>
      <c r="GM254" s="584">
        <v>0.11</v>
      </c>
      <c r="GN254" s="584"/>
      <c r="GO254" s="584"/>
      <c r="GP254" s="584"/>
      <c r="GQ254" s="584">
        <v>51.424242424242401</v>
      </c>
      <c r="GR254" s="584"/>
      <c r="GS254" s="584">
        <v>56.065239551478101</v>
      </c>
      <c r="GT254" s="584" t="s">
        <v>436</v>
      </c>
      <c r="GU254" s="584" t="s">
        <v>389</v>
      </c>
      <c r="GV254" s="584">
        <v>1</v>
      </c>
      <c r="GW254" s="584"/>
      <c r="GX254" s="584"/>
      <c r="GY254" s="584"/>
      <c r="GZ254" s="584"/>
      <c r="HA254" s="584">
        <v>65.248784999999998</v>
      </c>
      <c r="HB254" s="584">
        <v>66</v>
      </c>
      <c r="HC254" s="584">
        <v>130.49757</v>
      </c>
      <c r="HD254" s="584">
        <v>132</v>
      </c>
      <c r="HE254" s="584">
        <v>260.99513999999999</v>
      </c>
      <c r="HF254" s="584">
        <v>264</v>
      </c>
      <c r="HG254" s="1100">
        <v>1.1500000000000001</v>
      </c>
      <c r="HH254" s="1100">
        <v>0.11</v>
      </c>
      <c r="HI254" s="1101">
        <v>0</v>
      </c>
      <c r="HJ254" s="1101">
        <v>0</v>
      </c>
      <c r="HK254" s="1101">
        <v>0</v>
      </c>
      <c r="HL254" s="1101">
        <v>0</v>
      </c>
      <c r="HM254" s="1101">
        <v>56.88</v>
      </c>
      <c r="HN254" s="1101">
        <v>54.999999999999993</v>
      </c>
      <c r="HO254" s="1101">
        <v>0</v>
      </c>
      <c r="HP254" s="1101">
        <v>0</v>
      </c>
      <c r="HQ254" s="1101">
        <v>1</v>
      </c>
      <c r="HR254" s="1101">
        <v>0.88</v>
      </c>
      <c r="HS254" s="1101">
        <v>1.04</v>
      </c>
      <c r="HT254" s="1101">
        <v>0.28000000000000003</v>
      </c>
      <c r="HU254" s="1101">
        <v>0.3</v>
      </c>
      <c r="HV254" s="1101">
        <v>65.959456199999991</v>
      </c>
      <c r="HW254" s="1101">
        <v>66</v>
      </c>
      <c r="HX254" s="1101">
        <v>131.91891239999998</v>
      </c>
      <c r="HY254" s="1101">
        <v>132</v>
      </c>
      <c r="HZ254" s="1101">
        <v>263.83782479999996</v>
      </c>
      <c r="IA254" s="1101">
        <v>264</v>
      </c>
      <c r="IB254" s="1062"/>
      <c r="ID254" s="1050"/>
      <c r="IE254" s="1050"/>
      <c r="IM254" s="1050"/>
      <c r="IN254" s="1050"/>
      <c r="IO254" s="1050"/>
      <c r="IP254" s="1050"/>
      <c r="JU254" s="1050"/>
      <c r="KC254" s="1050"/>
      <c r="KD254" s="1050"/>
      <c r="KE254" s="1050"/>
      <c r="KF254" s="1050"/>
      <c r="KN254" s="1103"/>
    </row>
    <row r="255" spans="2:300">
      <c r="B255" s="1048" t="str">
        <f t="shared" si="8"/>
        <v>H612</v>
      </c>
      <c r="C255" s="1046">
        <v>6</v>
      </c>
      <c r="D255" s="1092">
        <v>12</v>
      </c>
      <c r="E255" s="584">
        <v>0.56999999999999995</v>
      </c>
      <c r="F255" s="584">
        <v>0.56999999999999995</v>
      </c>
      <c r="G255" s="584">
        <v>1368</v>
      </c>
      <c r="H255" s="584">
        <v>26.79</v>
      </c>
      <c r="I255" s="584">
        <v>0</v>
      </c>
      <c r="J255" s="584">
        <v>0</v>
      </c>
      <c r="K255" s="584">
        <v>0</v>
      </c>
      <c r="L255" s="584">
        <v>0</v>
      </c>
      <c r="M255" s="584">
        <v>0</v>
      </c>
      <c r="N255" s="584">
        <v>0</v>
      </c>
      <c r="O255" s="584">
        <v>0</v>
      </c>
      <c r="P255" s="584">
        <v>0</v>
      </c>
      <c r="Q255" s="584">
        <v>0</v>
      </c>
      <c r="R255" s="584">
        <v>0</v>
      </c>
      <c r="S255" s="584">
        <v>0</v>
      </c>
      <c r="T255" s="584">
        <v>444.14543750000001</v>
      </c>
      <c r="U255" s="584">
        <v>72</v>
      </c>
      <c r="V255" s="584">
        <v>835.82775000000004</v>
      </c>
      <c r="W255" s="584">
        <v>151.19999999999999</v>
      </c>
      <c r="X255" s="584">
        <v>1367.271</v>
      </c>
      <c r="Y255" s="584">
        <v>316.8</v>
      </c>
      <c r="Z255" s="584">
        <v>0.375</v>
      </c>
      <c r="AA255" s="584">
        <v>0.375</v>
      </c>
      <c r="AB255" s="584">
        <v>900</v>
      </c>
      <c r="AC255" s="584">
        <v>21</v>
      </c>
      <c r="AD255" s="584">
        <v>0</v>
      </c>
      <c r="AE255" s="584">
        <v>0</v>
      </c>
      <c r="AF255" s="584">
        <v>0</v>
      </c>
      <c r="AG255" s="584">
        <v>0</v>
      </c>
      <c r="AH255" s="584">
        <v>0</v>
      </c>
      <c r="AI255" s="584">
        <v>0</v>
      </c>
      <c r="AJ255" s="584">
        <v>0</v>
      </c>
      <c r="AK255" s="584">
        <v>0</v>
      </c>
      <c r="AL255" s="584">
        <v>0</v>
      </c>
      <c r="AM255" s="584">
        <v>0</v>
      </c>
      <c r="AN255" s="584">
        <v>0</v>
      </c>
      <c r="AO255" s="584">
        <v>347.42543749999999</v>
      </c>
      <c r="AP255" s="584">
        <v>72</v>
      </c>
      <c r="AQ255" s="584">
        <v>638.08143749999999</v>
      </c>
      <c r="AR255" s="584">
        <v>151.19999999999999</v>
      </c>
      <c r="AS255" s="584">
        <v>981.17100000000005</v>
      </c>
      <c r="AT255" s="584">
        <v>316.8</v>
      </c>
      <c r="AU255" s="584">
        <v>0.875</v>
      </c>
      <c r="AV255" s="584">
        <v>0.25</v>
      </c>
      <c r="AW255" s="584">
        <v>554.78991446899499</v>
      </c>
      <c r="AX255" s="584">
        <v>26.792230933713501</v>
      </c>
      <c r="AY255" s="584">
        <v>0</v>
      </c>
      <c r="AZ255" s="584">
        <v>0</v>
      </c>
      <c r="BA255" s="584">
        <v>0</v>
      </c>
      <c r="BB255" s="584">
        <v>0</v>
      </c>
      <c r="BC255" s="584">
        <v>0</v>
      </c>
      <c r="BD255" s="584">
        <v>0</v>
      </c>
      <c r="BE255" s="584">
        <v>0</v>
      </c>
      <c r="BF255" s="584">
        <v>0</v>
      </c>
      <c r="BG255" s="584">
        <v>0.875</v>
      </c>
      <c r="BH255" s="584">
        <v>0</v>
      </c>
      <c r="BI255" s="584">
        <v>0.45</v>
      </c>
      <c r="BJ255" s="584">
        <v>297.43852868852503</v>
      </c>
      <c r="BK255" s="584">
        <v>72</v>
      </c>
      <c r="BL255" s="584">
        <v>498.619364754098</v>
      </c>
      <c r="BM255" s="584">
        <v>151.19999999999999</v>
      </c>
      <c r="BN255" s="584">
        <v>652.75122540983602</v>
      </c>
      <c r="BO255" s="584">
        <v>316.8</v>
      </c>
      <c r="BP255" s="584">
        <v>1.0249999999999999</v>
      </c>
      <c r="BQ255" s="584">
        <v>0.16500000000000001</v>
      </c>
      <c r="BR255" s="584">
        <v>554.87598004276504</v>
      </c>
      <c r="BS255" s="584">
        <v>65.892696008553102</v>
      </c>
      <c r="BT255" s="584">
        <v>0</v>
      </c>
      <c r="BU255" s="584">
        <v>0</v>
      </c>
      <c r="BV255" s="584">
        <v>0</v>
      </c>
      <c r="BW255" s="584">
        <v>0</v>
      </c>
      <c r="BX255" s="584">
        <v>0</v>
      </c>
      <c r="BY255" s="584">
        <v>0</v>
      </c>
      <c r="BZ255" s="584">
        <v>0</v>
      </c>
      <c r="CA255" s="584">
        <v>0.32500000000000001</v>
      </c>
      <c r="CB255" s="584">
        <v>1.0249999999999999</v>
      </c>
      <c r="CC255" s="584">
        <v>0.3</v>
      </c>
      <c r="CD255" s="584">
        <v>0.3</v>
      </c>
      <c r="CE255" s="584">
        <v>289.6592</v>
      </c>
      <c r="CF255" s="584">
        <v>72</v>
      </c>
      <c r="CG255" s="584">
        <v>495.67770000000002</v>
      </c>
      <c r="CH255" s="584">
        <v>151.19999999999999</v>
      </c>
      <c r="CI255" s="584">
        <v>645.94619999999998</v>
      </c>
      <c r="CJ255" s="584">
        <v>316.8</v>
      </c>
      <c r="CK255" s="584">
        <v>0.9</v>
      </c>
      <c r="CL255" s="584">
        <v>0.185</v>
      </c>
      <c r="CM255" s="584">
        <v>597.14633820384904</v>
      </c>
      <c r="CN255" s="584">
        <v>25.3896044191019</v>
      </c>
      <c r="CO255" s="584">
        <v>0</v>
      </c>
      <c r="CP255" s="584">
        <v>0</v>
      </c>
      <c r="CQ255" s="584">
        <v>0</v>
      </c>
      <c r="CR255" s="584">
        <v>0</v>
      </c>
      <c r="CS255" s="584">
        <v>0</v>
      </c>
      <c r="CT255" s="584">
        <v>0</v>
      </c>
      <c r="CU255" s="584">
        <v>0</v>
      </c>
      <c r="CV255" s="584">
        <v>0</v>
      </c>
      <c r="CW255" s="584">
        <v>0.9</v>
      </c>
      <c r="CX255" s="584">
        <v>0</v>
      </c>
      <c r="CY255" s="584">
        <v>0.6</v>
      </c>
      <c r="CZ255" s="584">
        <v>312.58780000000002</v>
      </c>
      <c r="DA255" s="584">
        <v>72</v>
      </c>
      <c r="DB255" s="584">
        <v>525.03255000000001</v>
      </c>
      <c r="DC255" s="584">
        <v>151.19999999999999</v>
      </c>
      <c r="DD255" s="584">
        <v>699.75855000000001</v>
      </c>
      <c r="DE255" s="584">
        <v>316.8</v>
      </c>
      <c r="DF255" s="584">
        <v>0.52500000000000002</v>
      </c>
      <c r="DG255" s="584">
        <v>0.2</v>
      </c>
      <c r="DH255" s="584">
        <v>509.957234497505</v>
      </c>
      <c r="DI255" s="584">
        <v>25.137778688524602</v>
      </c>
      <c r="DJ255" s="584">
        <v>300</v>
      </c>
      <c r="DK255" s="584">
        <v>0</v>
      </c>
      <c r="DL255" s="584">
        <v>0</v>
      </c>
      <c r="DM255" s="584">
        <v>0</v>
      </c>
      <c r="DN255" s="584">
        <v>0</v>
      </c>
      <c r="DO255" s="584">
        <v>0</v>
      </c>
      <c r="DP255" s="584">
        <v>0</v>
      </c>
      <c r="DQ255" s="584">
        <v>0</v>
      </c>
      <c r="DR255" s="584">
        <v>0.52500000000000002</v>
      </c>
      <c r="DS255" s="584">
        <v>0</v>
      </c>
      <c r="DT255" s="584">
        <v>2.4</v>
      </c>
      <c r="DU255" s="584">
        <v>300.33224999999999</v>
      </c>
      <c r="DV255" s="584">
        <v>72</v>
      </c>
      <c r="DW255" s="584">
        <v>524.67825000000005</v>
      </c>
      <c r="DX255" s="584">
        <v>151.19999999999999</v>
      </c>
      <c r="DY255" s="584">
        <v>853.48125000000005</v>
      </c>
      <c r="DZ255" s="584">
        <v>316.8</v>
      </c>
      <c r="EA255" s="1062">
        <v>0.9425</v>
      </c>
      <c r="EB255" s="1046">
        <v>0.4</v>
      </c>
      <c r="EC255" s="1093">
        <v>132.51783893985737</v>
      </c>
      <c r="ED255" s="1046">
        <v>0</v>
      </c>
      <c r="EE255" s="1046">
        <v>519.87767584097855</v>
      </c>
      <c r="EF255" s="1046">
        <v>36.208333333333336</v>
      </c>
      <c r="EG255" s="1046">
        <v>0</v>
      </c>
      <c r="EH255" s="1046">
        <v>0</v>
      </c>
      <c r="EI255" s="1046" t="s">
        <v>442</v>
      </c>
      <c r="EJ255" s="1046" t="s">
        <v>423</v>
      </c>
      <c r="EK255" s="1046">
        <v>0</v>
      </c>
      <c r="EL255" s="1046">
        <v>0</v>
      </c>
      <c r="EM255" s="1046">
        <v>0</v>
      </c>
      <c r="EN255" s="1046">
        <v>0</v>
      </c>
      <c r="EO255" s="1046">
        <v>0</v>
      </c>
      <c r="EP255" s="1094">
        <v>173.7936675</v>
      </c>
      <c r="EQ255" s="1094">
        <v>72</v>
      </c>
      <c r="ER255" s="1094">
        <v>347.587335</v>
      </c>
      <c r="ES255" s="1095">
        <v>144</v>
      </c>
      <c r="ET255" s="1094">
        <v>695.17466999999999</v>
      </c>
      <c r="EU255" s="1094">
        <v>288</v>
      </c>
      <c r="EV255" s="1096">
        <v>0.6895</v>
      </c>
      <c r="EW255" s="1097">
        <v>0.15</v>
      </c>
      <c r="EX255" s="1096">
        <v>289.50050968399592</v>
      </c>
      <c r="EY255" s="1096">
        <v>1.5443934760448521</v>
      </c>
      <c r="EZ255" s="1096">
        <v>0</v>
      </c>
      <c r="FA255" s="1096">
        <v>22.783333333333335</v>
      </c>
      <c r="FB255" s="1098">
        <v>0</v>
      </c>
      <c r="FC255" s="1098">
        <v>0</v>
      </c>
      <c r="FD255" s="1098" t="s">
        <v>428</v>
      </c>
      <c r="FE255" s="1098" t="s">
        <v>432</v>
      </c>
      <c r="FF255" s="1098">
        <v>1</v>
      </c>
      <c r="FG255" s="1098">
        <v>0</v>
      </c>
      <c r="FH255" s="1098">
        <v>0</v>
      </c>
      <c r="FI255" s="1098">
        <v>0</v>
      </c>
      <c r="FJ255" s="1098">
        <v>0</v>
      </c>
      <c r="FK255" s="1096">
        <v>109.59579000000001</v>
      </c>
      <c r="FL255" s="1096">
        <v>72</v>
      </c>
      <c r="FM255" s="1096">
        <v>219.19158000000002</v>
      </c>
      <c r="FN255" s="1096">
        <v>144</v>
      </c>
      <c r="FO255" s="1096">
        <v>438.38316000000003</v>
      </c>
      <c r="FP255" s="1099">
        <v>288</v>
      </c>
      <c r="FQ255" s="1064">
        <v>1.0020981024599609</v>
      </c>
      <c r="FR255" s="1065">
        <v>0.15</v>
      </c>
      <c r="FS255" s="1066">
        <v>289.50050968399586</v>
      </c>
      <c r="FT255" s="1066">
        <v>3.2237153637237084</v>
      </c>
      <c r="FU255" s="1065"/>
      <c r="FV255" s="1066">
        <v>52.401232864250936</v>
      </c>
      <c r="FW255" s="1065"/>
      <c r="FX255" s="1065"/>
      <c r="FY255" s="1065" t="s">
        <v>412</v>
      </c>
      <c r="FZ255" s="1065" t="s">
        <v>416</v>
      </c>
      <c r="GA255" s="1065">
        <v>1</v>
      </c>
      <c r="GB255" s="1065"/>
      <c r="GC255" s="1065"/>
      <c r="GD255" s="1065"/>
      <c r="GE255" s="1065"/>
      <c r="GF255" s="1066">
        <v>113.14225335809576</v>
      </c>
      <c r="GG255" s="1066">
        <v>72</v>
      </c>
      <c r="GH255" s="1066">
        <v>226.28450671619152</v>
      </c>
      <c r="GI255" s="1066">
        <v>144</v>
      </c>
      <c r="GJ255" s="1066">
        <v>452.56901343238303</v>
      </c>
      <c r="GK255" s="1066">
        <v>288</v>
      </c>
      <c r="GL255" s="584">
        <v>0.94489999999999996</v>
      </c>
      <c r="GM255" s="584">
        <v>0.11</v>
      </c>
      <c r="GN255" s="584"/>
      <c r="GO255" s="584"/>
      <c r="GP255" s="584"/>
      <c r="GQ255" s="584">
        <v>64.858333333333306</v>
      </c>
      <c r="GR255" s="584"/>
      <c r="GS255" s="584">
        <v>56.065239551478101</v>
      </c>
      <c r="GT255" s="584" t="s">
        <v>436</v>
      </c>
      <c r="GU255" s="584" t="s">
        <v>381</v>
      </c>
      <c r="GV255" s="584">
        <v>1</v>
      </c>
      <c r="GW255" s="584"/>
      <c r="GX255" s="584"/>
      <c r="GY255" s="584"/>
      <c r="GZ255" s="584"/>
      <c r="HA255" s="584">
        <v>73.552684499999998</v>
      </c>
      <c r="HB255" s="584">
        <v>72</v>
      </c>
      <c r="HC255" s="584">
        <v>147.105369</v>
      </c>
      <c r="HD255" s="584">
        <v>144</v>
      </c>
      <c r="HE255" s="584">
        <v>294.21073799999999</v>
      </c>
      <c r="HF255" s="584">
        <v>288</v>
      </c>
      <c r="HG255" s="1100">
        <v>1.31</v>
      </c>
      <c r="HH255" s="1100">
        <v>0.11</v>
      </c>
      <c r="HI255" s="1101">
        <v>0</v>
      </c>
      <c r="HJ255" s="1101">
        <v>0</v>
      </c>
      <c r="HK255" s="1101">
        <v>0</v>
      </c>
      <c r="HL255" s="1101">
        <v>0</v>
      </c>
      <c r="HM255" s="1101">
        <v>60.06</v>
      </c>
      <c r="HN255" s="1101">
        <v>54.999999999999993</v>
      </c>
      <c r="HO255" s="1101">
        <v>0</v>
      </c>
      <c r="HP255" s="1101">
        <v>0</v>
      </c>
      <c r="HQ255" s="1101">
        <v>1</v>
      </c>
      <c r="HR255" s="1101">
        <v>0.92</v>
      </c>
      <c r="HS255" s="1101">
        <v>1.2</v>
      </c>
      <c r="HT255" s="1101">
        <v>0.28000000000000003</v>
      </c>
      <c r="HU255" s="1101">
        <v>0.28000000000000003</v>
      </c>
      <c r="HV255" s="1101">
        <v>72.517294799999988</v>
      </c>
      <c r="HW255" s="1101">
        <v>72</v>
      </c>
      <c r="HX255" s="1101">
        <v>145.03458959999998</v>
      </c>
      <c r="HY255" s="1101">
        <v>144</v>
      </c>
      <c r="HZ255" s="1101">
        <v>290.06917919999995</v>
      </c>
      <c r="IA255" s="1101">
        <v>288</v>
      </c>
      <c r="IB255" s="1062"/>
      <c r="ID255" s="1050"/>
      <c r="IE255" s="1050"/>
      <c r="IM255" s="1050"/>
      <c r="IN255" s="1050"/>
      <c r="IO255" s="1050"/>
      <c r="IP255" s="1050"/>
      <c r="JU255" s="1050"/>
      <c r="KC255" s="1050"/>
      <c r="KD255" s="1050"/>
      <c r="KE255" s="1050"/>
      <c r="KF255" s="1050"/>
      <c r="KN255" s="1103"/>
    </row>
    <row r="256" spans="2:300">
      <c r="B256" s="1048" t="str">
        <f t="shared" si="8"/>
        <v>H613</v>
      </c>
      <c r="C256" s="1046">
        <v>6</v>
      </c>
      <c r="D256" s="1092">
        <v>13</v>
      </c>
      <c r="E256" s="584">
        <v>0.56999999999999995</v>
      </c>
      <c r="F256" s="584">
        <v>0.56999999999999995</v>
      </c>
      <c r="G256" s="584">
        <v>1368</v>
      </c>
      <c r="H256" s="584">
        <v>26.22</v>
      </c>
      <c r="I256" s="584">
        <v>0</v>
      </c>
      <c r="J256" s="584">
        <v>0</v>
      </c>
      <c r="K256" s="584">
        <v>0</v>
      </c>
      <c r="L256" s="584">
        <v>0</v>
      </c>
      <c r="M256" s="584">
        <v>0</v>
      </c>
      <c r="N256" s="584">
        <v>0</v>
      </c>
      <c r="O256" s="584">
        <v>0</v>
      </c>
      <c r="P256" s="584">
        <v>0</v>
      </c>
      <c r="Q256" s="584">
        <v>0</v>
      </c>
      <c r="R256" s="584">
        <v>0</v>
      </c>
      <c r="S256" s="584">
        <v>0</v>
      </c>
      <c r="T256" s="584">
        <v>477.06543749999997</v>
      </c>
      <c r="U256" s="584">
        <v>78</v>
      </c>
      <c r="V256" s="584">
        <v>906.27093749999995</v>
      </c>
      <c r="W256" s="584">
        <v>163.80000000000001</v>
      </c>
      <c r="X256" s="584">
        <v>1480.461</v>
      </c>
      <c r="Y256" s="584">
        <v>343.2</v>
      </c>
      <c r="Z256" s="584">
        <v>0.41</v>
      </c>
      <c r="AA256" s="584">
        <v>0.41</v>
      </c>
      <c r="AB256" s="584">
        <v>984</v>
      </c>
      <c r="AC256" s="584">
        <v>24</v>
      </c>
      <c r="AD256" s="584">
        <v>0</v>
      </c>
      <c r="AE256" s="584">
        <v>0</v>
      </c>
      <c r="AF256" s="584">
        <v>0</v>
      </c>
      <c r="AG256" s="584">
        <v>0</v>
      </c>
      <c r="AH256" s="584">
        <v>0</v>
      </c>
      <c r="AI256" s="584">
        <v>0</v>
      </c>
      <c r="AJ256" s="584">
        <v>0</v>
      </c>
      <c r="AK256" s="584">
        <v>0</v>
      </c>
      <c r="AL256" s="584">
        <v>0</v>
      </c>
      <c r="AM256" s="584">
        <v>0</v>
      </c>
      <c r="AN256" s="584">
        <v>0</v>
      </c>
      <c r="AO256" s="584">
        <v>391.30543749999998</v>
      </c>
      <c r="AP256" s="584">
        <v>78</v>
      </c>
      <c r="AQ256" s="584">
        <v>730.23974999999996</v>
      </c>
      <c r="AR256" s="584">
        <v>163.80000000000001</v>
      </c>
      <c r="AS256" s="584">
        <v>1137.261</v>
      </c>
      <c r="AT256" s="584">
        <v>343.2</v>
      </c>
      <c r="AU256" s="584">
        <v>0</v>
      </c>
      <c r="AV256" s="584">
        <v>0</v>
      </c>
      <c r="AW256" s="584">
        <v>0</v>
      </c>
      <c r="AX256" s="584">
        <v>0</v>
      </c>
      <c r="AY256" s="584">
        <v>0</v>
      </c>
      <c r="AZ256" s="584">
        <v>0</v>
      </c>
      <c r="BA256" s="584">
        <v>0</v>
      </c>
      <c r="BB256" s="584">
        <v>0</v>
      </c>
      <c r="BC256" s="584">
        <v>0</v>
      </c>
      <c r="BD256" s="584">
        <v>0</v>
      </c>
      <c r="BE256" s="584">
        <v>0</v>
      </c>
      <c r="BF256" s="584">
        <v>0</v>
      </c>
      <c r="BG256" s="584">
        <v>0</v>
      </c>
      <c r="BH256" s="584">
        <v>0</v>
      </c>
      <c r="BI256" s="584">
        <v>0</v>
      </c>
      <c r="BJ256" s="584">
        <v>0</v>
      </c>
      <c r="BK256" s="584">
        <v>0</v>
      </c>
      <c r="BL256" s="584">
        <v>0</v>
      </c>
      <c r="BM256" s="584">
        <v>0</v>
      </c>
      <c r="BN256" s="584">
        <v>0</v>
      </c>
      <c r="BO256" s="584">
        <v>0</v>
      </c>
      <c r="BP256" s="584">
        <v>0</v>
      </c>
      <c r="BQ256" s="584">
        <v>0</v>
      </c>
      <c r="BR256" s="584">
        <v>0</v>
      </c>
      <c r="BS256" s="584">
        <v>0</v>
      </c>
      <c r="BT256" s="584">
        <v>0</v>
      </c>
      <c r="BU256" s="584">
        <v>0</v>
      </c>
      <c r="BV256" s="584">
        <v>0</v>
      </c>
      <c r="BW256" s="584">
        <v>0</v>
      </c>
      <c r="BX256" s="584">
        <v>0</v>
      </c>
      <c r="BY256" s="584">
        <v>0</v>
      </c>
      <c r="BZ256" s="584">
        <v>0</v>
      </c>
      <c r="CA256" s="584">
        <v>0</v>
      </c>
      <c r="CB256" s="584">
        <v>0</v>
      </c>
      <c r="CC256" s="584">
        <v>0</v>
      </c>
      <c r="CD256" s="584">
        <v>0</v>
      </c>
      <c r="CE256" s="584">
        <v>0</v>
      </c>
      <c r="CF256" s="584">
        <v>0</v>
      </c>
      <c r="CG256" s="584">
        <v>0</v>
      </c>
      <c r="CH256" s="584">
        <v>0</v>
      </c>
      <c r="CI256" s="584">
        <v>0</v>
      </c>
      <c r="CJ256" s="584">
        <v>0</v>
      </c>
      <c r="CK256" s="584">
        <v>0</v>
      </c>
      <c r="CL256" s="584">
        <v>0</v>
      </c>
      <c r="CM256" s="584">
        <v>0</v>
      </c>
      <c r="CN256" s="584">
        <v>0</v>
      </c>
      <c r="CO256" s="584">
        <v>0</v>
      </c>
      <c r="CP256" s="584">
        <v>0</v>
      </c>
      <c r="CQ256" s="584">
        <v>0</v>
      </c>
      <c r="CR256" s="584">
        <v>0</v>
      </c>
      <c r="CS256" s="584">
        <v>0</v>
      </c>
      <c r="CT256" s="584">
        <v>0</v>
      </c>
      <c r="CU256" s="584">
        <v>0</v>
      </c>
      <c r="CV256" s="584">
        <v>0</v>
      </c>
      <c r="CW256" s="584">
        <v>0</v>
      </c>
      <c r="CX256" s="584">
        <v>0</v>
      </c>
      <c r="CY256" s="584">
        <v>0</v>
      </c>
      <c r="CZ256" s="584">
        <v>0</v>
      </c>
      <c r="DA256" s="584">
        <v>0</v>
      </c>
      <c r="DB256" s="584">
        <v>0</v>
      </c>
      <c r="DC256" s="584">
        <v>0</v>
      </c>
      <c r="DD256" s="584">
        <v>0</v>
      </c>
      <c r="DE256" s="584">
        <v>0</v>
      </c>
      <c r="DF256" s="584">
        <v>0.57499999999999996</v>
      </c>
      <c r="DG256" s="584">
        <v>0.2</v>
      </c>
      <c r="DH256" s="584">
        <v>582.20046936758899</v>
      </c>
      <c r="DI256" s="584">
        <v>27.569628458497998</v>
      </c>
      <c r="DJ256" s="584">
        <v>300</v>
      </c>
      <c r="DK256" s="584">
        <v>0</v>
      </c>
      <c r="DL256" s="584">
        <v>0</v>
      </c>
      <c r="DM256" s="584">
        <v>0</v>
      </c>
      <c r="DN256" s="584">
        <v>0</v>
      </c>
      <c r="DO256" s="584">
        <v>0</v>
      </c>
      <c r="DP256" s="584">
        <v>0</v>
      </c>
      <c r="DQ256" s="584">
        <v>0</v>
      </c>
      <c r="DR256" s="584">
        <v>0.57499999999999996</v>
      </c>
      <c r="DS256" s="584">
        <v>0</v>
      </c>
      <c r="DT256" s="584">
        <v>2.4</v>
      </c>
      <c r="DU256" s="584">
        <v>346.05574999999999</v>
      </c>
      <c r="DV256" s="584">
        <v>78</v>
      </c>
      <c r="DW256" s="584">
        <v>579.99675000000002</v>
      </c>
      <c r="DX256" s="584">
        <v>163.80000000000001</v>
      </c>
      <c r="DY256" s="584">
        <v>962.79975000000002</v>
      </c>
      <c r="DZ256" s="584">
        <v>343.2</v>
      </c>
      <c r="EA256" s="1062">
        <v>1.0103</v>
      </c>
      <c r="EB256" s="1046">
        <v>0.45</v>
      </c>
      <c r="EC256" s="1093">
        <v>132.51783893985726</v>
      </c>
      <c r="ED256" s="1046">
        <v>0</v>
      </c>
      <c r="EE256" s="1046">
        <v>581.03975535168195</v>
      </c>
      <c r="EF256" s="1046">
        <v>48.882051282051286</v>
      </c>
      <c r="EG256" s="1046">
        <v>0</v>
      </c>
      <c r="EH256" s="1046">
        <v>0</v>
      </c>
      <c r="EI256" s="1046" t="s">
        <v>440</v>
      </c>
      <c r="EJ256" s="1046" t="s">
        <v>420</v>
      </c>
      <c r="EK256" s="1046">
        <v>0</v>
      </c>
      <c r="EL256" s="1046">
        <v>0</v>
      </c>
      <c r="EM256" s="1046">
        <v>0</v>
      </c>
      <c r="EN256" s="1046">
        <v>0</v>
      </c>
      <c r="EO256" s="1046">
        <v>0</v>
      </c>
      <c r="EP256" s="1094">
        <v>202.400892</v>
      </c>
      <c r="EQ256" s="1094">
        <v>78</v>
      </c>
      <c r="ER256" s="1094">
        <v>404.801784</v>
      </c>
      <c r="ES256" s="1095">
        <v>156</v>
      </c>
      <c r="ET256" s="1094">
        <v>809.603568</v>
      </c>
      <c r="EU256" s="1094">
        <v>312</v>
      </c>
      <c r="EV256" s="1096">
        <v>0.75760000000000005</v>
      </c>
      <c r="EW256" s="1097">
        <v>0.15</v>
      </c>
      <c r="EX256" s="1096">
        <v>289.50050968399592</v>
      </c>
      <c r="EY256" s="1096">
        <v>1.5443934760448521</v>
      </c>
      <c r="EZ256" s="1096">
        <v>0</v>
      </c>
      <c r="FA256" s="1096">
        <v>22.392307692307693</v>
      </c>
      <c r="FB256" s="1098">
        <v>0</v>
      </c>
      <c r="FC256" s="1098">
        <v>0</v>
      </c>
      <c r="FD256" s="1098" t="s">
        <v>408</v>
      </c>
      <c r="FE256" s="1098" t="s">
        <v>432</v>
      </c>
      <c r="FF256" s="1098">
        <v>1</v>
      </c>
      <c r="FG256" s="1098">
        <v>0</v>
      </c>
      <c r="FH256" s="1098">
        <v>0</v>
      </c>
      <c r="FI256" s="1098">
        <v>0</v>
      </c>
      <c r="FJ256" s="1098">
        <v>0</v>
      </c>
      <c r="FK256" s="1096">
        <v>118.65397124999998</v>
      </c>
      <c r="FL256" s="1096">
        <v>78</v>
      </c>
      <c r="FM256" s="1096">
        <v>237.30794249999997</v>
      </c>
      <c r="FN256" s="1096">
        <v>156</v>
      </c>
      <c r="FO256" s="1096">
        <v>474.61588499999993</v>
      </c>
      <c r="FP256" s="1099">
        <v>312</v>
      </c>
      <c r="FQ256" s="1064">
        <v>1.00708</v>
      </c>
      <c r="FR256" s="1065">
        <v>0.15</v>
      </c>
      <c r="FS256" s="1066">
        <v>289.50050968399586</v>
      </c>
      <c r="FT256" s="1066">
        <v>3.2237153637237084</v>
      </c>
      <c r="FU256" s="1065"/>
      <c r="FV256" s="1066">
        <v>60.257018544322314</v>
      </c>
      <c r="FW256" s="1065"/>
      <c r="FX256" s="1065"/>
      <c r="FY256" s="1065" t="s">
        <v>406</v>
      </c>
      <c r="FZ256" s="1065" t="s">
        <v>410</v>
      </c>
      <c r="GA256" s="1065">
        <v>1</v>
      </c>
      <c r="GB256" s="1065"/>
      <c r="GC256" s="1065"/>
      <c r="GD256" s="1065"/>
      <c r="GE256" s="1065"/>
      <c r="GF256" s="1066">
        <v>124.07354699293965</v>
      </c>
      <c r="GG256" s="1066">
        <v>78</v>
      </c>
      <c r="GH256" s="1066">
        <v>248.14709398587931</v>
      </c>
      <c r="GI256" s="1066">
        <v>156</v>
      </c>
      <c r="GJ256" s="1066">
        <v>496.29418797175862</v>
      </c>
      <c r="GK256" s="1066">
        <v>312</v>
      </c>
      <c r="GL256" s="584">
        <v>1.0129999999999999</v>
      </c>
      <c r="GM256" s="584">
        <v>0.11</v>
      </c>
      <c r="GN256" s="584"/>
      <c r="GO256" s="584"/>
      <c r="GP256" s="584"/>
      <c r="GQ256" s="584">
        <v>73.258974358974399</v>
      </c>
      <c r="GR256" s="584"/>
      <c r="GS256" s="584">
        <v>56.065239551478101</v>
      </c>
      <c r="GT256" s="584" t="s">
        <v>416</v>
      </c>
      <c r="GU256" s="584" t="s">
        <v>375</v>
      </c>
      <c r="GV256" s="584">
        <v>1</v>
      </c>
      <c r="GW256" s="584"/>
      <c r="GX256" s="584"/>
      <c r="GY256" s="584"/>
      <c r="GZ256" s="584"/>
      <c r="HA256" s="584">
        <v>81.289075499999996</v>
      </c>
      <c r="HB256" s="584">
        <v>78</v>
      </c>
      <c r="HC256" s="584">
        <v>162.57815099999999</v>
      </c>
      <c r="HD256" s="584">
        <v>156</v>
      </c>
      <c r="HE256" s="584">
        <v>325.15630199999998</v>
      </c>
      <c r="HF256" s="584">
        <v>312</v>
      </c>
      <c r="HG256" s="1100">
        <v>1.4300000000000002</v>
      </c>
      <c r="HH256" s="1100">
        <v>0.11</v>
      </c>
      <c r="HI256" s="1101">
        <v>0</v>
      </c>
      <c r="HJ256" s="1101">
        <v>0</v>
      </c>
      <c r="HK256" s="1101">
        <v>0</v>
      </c>
      <c r="HL256" s="1101">
        <v>0</v>
      </c>
      <c r="HM256" s="1101">
        <v>69.369230769230782</v>
      </c>
      <c r="HN256" s="1101">
        <v>54.999999999999993</v>
      </c>
      <c r="HO256" s="1101">
        <v>0</v>
      </c>
      <c r="HP256" s="1101">
        <v>0</v>
      </c>
      <c r="HQ256" s="1101">
        <v>1</v>
      </c>
      <c r="HR256" s="1101">
        <v>0.96</v>
      </c>
      <c r="HS256" s="1101">
        <v>1.32</v>
      </c>
      <c r="HT256" s="1101">
        <v>0.3</v>
      </c>
      <c r="HU256" s="1101">
        <v>0.3</v>
      </c>
      <c r="HV256" s="1101">
        <v>80.341211999999999</v>
      </c>
      <c r="HW256" s="1101">
        <v>78</v>
      </c>
      <c r="HX256" s="1101">
        <v>160.682424</v>
      </c>
      <c r="HY256" s="1101">
        <v>156</v>
      </c>
      <c r="HZ256" s="1101">
        <v>321.36484799999999</v>
      </c>
      <c r="IA256" s="1101">
        <v>312</v>
      </c>
      <c r="IB256" s="1062"/>
      <c r="ID256" s="1050"/>
      <c r="IE256" s="1050"/>
      <c r="IM256" s="1050"/>
      <c r="IN256" s="1050"/>
      <c r="IO256" s="1050"/>
      <c r="IP256" s="1050"/>
      <c r="JU256" s="1050"/>
      <c r="KC256" s="1050"/>
      <c r="KD256" s="1050"/>
      <c r="KE256" s="1050"/>
      <c r="KF256" s="1050"/>
      <c r="KN256" s="1103"/>
    </row>
    <row r="257" spans="2:300">
      <c r="B257" s="1048" t="str">
        <f t="shared" si="8"/>
        <v>H614</v>
      </c>
      <c r="C257" s="1046">
        <v>6</v>
      </c>
      <c r="D257" s="1092">
        <v>14</v>
      </c>
      <c r="E257" s="584">
        <v>0</v>
      </c>
      <c r="F257" s="584">
        <v>0</v>
      </c>
      <c r="G257" s="584">
        <v>0</v>
      </c>
      <c r="H257" s="584">
        <v>0</v>
      </c>
      <c r="I257" s="584">
        <v>0</v>
      </c>
      <c r="J257" s="584">
        <v>0</v>
      </c>
      <c r="K257" s="584">
        <v>0</v>
      </c>
      <c r="L257" s="584">
        <v>0</v>
      </c>
      <c r="M257" s="584">
        <v>0</v>
      </c>
      <c r="N257" s="584">
        <v>0</v>
      </c>
      <c r="O257" s="584">
        <v>0</v>
      </c>
      <c r="P257" s="584">
        <v>0</v>
      </c>
      <c r="Q257" s="584">
        <v>0</v>
      </c>
      <c r="R257" s="584">
        <v>0</v>
      </c>
      <c r="S257" s="584">
        <v>0</v>
      </c>
      <c r="T257" s="584">
        <v>0</v>
      </c>
      <c r="U257" s="584">
        <v>0</v>
      </c>
      <c r="V257" s="584">
        <v>0</v>
      </c>
      <c r="W257" s="584">
        <v>0</v>
      </c>
      <c r="X257" s="584">
        <v>0</v>
      </c>
      <c r="Y257" s="584">
        <v>0</v>
      </c>
      <c r="Z257" s="584">
        <v>0.47</v>
      </c>
      <c r="AA257" s="584">
        <v>0.47</v>
      </c>
      <c r="AB257" s="584">
        <v>1128</v>
      </c>
      <c r="AC257" s="584">
        <v>22</v>
      </c>
      <c r="AD257" s="584">
        <v>0</v>
      </c>
      <c r="AE257" s="584">
        <v>0</v>
      </c>
      <c r="AF257" s="584">
        <v>0</v>
      </c>
      <c r="AG257" s="584">
        <v>0</v>
      </c>
      <c r="AH257" s="584">
        <v>0</v>
      </c>
      <c r="AI257" s="584">
        <v>0</v>
      </c>
      <c r="AJ257" s="584">
        <v>0</v>
      </c>
      <c r="AK257" s="584">
        <v>0</v>
      </c>
      <c r="AL257" s="584">
        <v>0</v>
      </c>
      <c r="AM257" s="584">
        <v>0</v>
      </c>
      <c r="AN257" s="584">
        <v>0</v>
      </c>
      <c r="AO257" s="584">
        <v>452.38543750000002</v>
      </c>
      <c r="AP257" s="584">
        <v>84</v>
      </c>
      <c r="AQ257" s="584">
        <v>856.49175000000002</v>
      </c>
      <c r="AR257" s="584">
        <v>176.4</v>
      </c>
      <c r="AS257" s="584">
        <v>1362.6510000000001</v>
      </c>
      <c r="AT257" s="584">
        <v>369.6</v>
      </c>
      <c r="AU257" s="584">
        <v>0</v>
      </c>
      <c r="AV257" s="584">
        <v>0</v>
      </c>
      <c r="AW257" s="584">
        <v>0</v>
      </c>
      <c r="AX257" s="584">
        <v>0</v>
      </c>
      <c r="AY257" s="584">
        <v>0</v>
      </c>
      <c r="AZ257" s="584">
        <v>0</v>
      </c>
      <c r="BA257" s="584">
        <v>0</v>
      </c>
      <c r="BB257" s="584">
        <v>0</v>
      </c>
      <c r="BC257" s="584">
        <v>0</v>
      </c>
      <c r="BD257" s="584">
        <v>0</v>
      </c>
      <c r="BE257" s="584">
        <v>0</v>
      </c>
      <c r="BF257" s="584">
        <v>0</v>
      </c>
      <c r="BG257" s="584">
        <v>0</v>
      </c>
      <c r="BH257" s="584">
        <v>0</v>
      </c>
      <c r="BI257" s="584">
        <v>0</v>
      </c>
      <c r="BJ257" s="584">
        <v>0</v>
      </c>
      <c r="BK257" s="584">
        <v>0</v>
      </c>
      <c r="BL257" s="584">
        <v>0</v>
      </c>
      <c r="BM257" s="584">
        <v>0</v>
      </c>
      <c r="BN257" s="584">
        <v>0</v>
      </c>
      <c r="BO257" s="584">
        <v>0</v>
      </c>
      <c r="BP257" s="584">
        <v>0</v>
      </c>
      <c r="BQ257" s="584">
        <v>0</v>
      </c>
      <c r="BR257" s="584">
        <v>0</v>
      </c>
      <c r="BS257" s="584">
        <v>0</v>
      </c>
      <c r="BT257" s="584">
        <v>0</v>
      </c>
      <c r="BU257" s="584">
        <v>0</v>
      </c>
      <c r="BV257" s="584">
        <v>0</v>
      </c>
      <c r="BW257" s="584">
        <v>0</v>
      </c>
      <c r="BX257" s="584">
        <v>0</v>
      </c>
      <c r="BY257" s="584">
        <v>0</v>
      </c>
      <c r="BZ257" s="584">
        <v>0</v>
      </c>
      <c r="CA257" s="584">
        <v>0</v>
      </c>
      <c r="CB257" s="584">
        <v>0</v>
      </c>
      <c r="CC257" s="584">
        <v>0</v>
      </c>
      <c r="CD257" s="584">
        <v>0</v>
      </c>
      <c r="CE257" s="584">
        <v>0</v>
      </c>
      <c r="CF257" s="584">
        <v>0</v>
      </c>
      <c r="CG257" s="584">
        <v>0</v>
      </c>
      <c r="CH257" s="584">
        <v>0</v>
      </c>
      <c r="CI257" s="584">
        <v>0</v>
      </c>
      <c r="CJ257" s="584">
        <v>0</v>
      </c>
      <c r="CK257" s="584">
        <v>0</v>
      </c>
      <c r="CL257" s="584">
        <v>0</v>
      </c>
      <c r="CM257" s="584">
        <v>0</v>
      </c>
      <c r="CN257" s="584">
        <v>0</v>
      </c>
      <c r="CO257" s="584">
        <v>0</v>
      </c>
      <c r="CP257" s="584">
        <v>0</v>
      </c>
      <c r="CQ257" s="584">
        <v>0</v>
      </c>
      <c r="CR257" s="584">
        <v>0</v>
      </c>
      <c r="CS257" s="584">
        <v>0</v>
      </c>
      <c r="CT257" s="584">
        <v>0</v>
      </c>
      <c r="CU257" s="584">
        <v>0</v>
      </c>
      <c r="CV257" s="584">
        <v>0</v>
      </c>
      <c r="CW257" s="584">
        <v>0</v>
      </c>
      <c r="CX257" s="584">
        <v>0</v>
      </c>
      <c r="CY257" s="584">
        <v>0</v>
      </c>
      <c r="CZ257" s="584">
        <v>0</v>
      </c>
      <c r="DA257" s="584">
        <v>0</v>
      </c>
      <c r="DB257" s="584">
        <v>0</v>
      </c>
      <c r="DC257" s="584">
        <v>0</v>
      </c>
      <c r="DD257" s="584">
        <v>0</v>
      </c>
      <c r="DE257" s="584">
        <v>0</v>
      </c>
      <c r="DF257" s="584">
        <v>0.65</v>
      </c>
      <c r="DG257" s="584">
        <v>0.2</v>
      </c>
      <c r="DH257" s="584">
        <v>648.17303276178802</v>
      </c>
      <c r="DI257" s="584">
        <v>29.755527250459298</v>
      </c>
      <c r="DJ257" s="584">
        <v>300</v>
      </c>
      <c r="DK257" s="584">
        <v>0</v>
      </c>
      <c r="DL257" s="584">
        <v>0</v>
      </c>
      <c r="DM257" s="584">
        <v>0</v>
      </c>
      <c r="DN257" s="584">
        <v>0</v>
      </c>
      <c r="DO257" s="584">
        <v>0</v>
      </c>
      <c r="DP257" s="584">
        <v>0</v>
      </c>
      <c r="DQ257" s="584">
        <v>0</v>
      </c>
      <c r="DR257" s="584">
        <v>0.65</v>
      </c>
      <c r="DS257" s="584">
        <v>0</v>
      </c>
      <c r="DT257" s="584">
        <v>2.4</v>
      </c>
      <c r="DU257" s="584">
        <v>381.8845</v>
      </c>
      <c r="DV257" s="584">
        <v>84</v>
      </c>
      <c r="DW257" s="584">
        <v>648.63300000000004</v>
      </c>
      <c r="DX257" s="584">
        <v>176.4</v>
      </c>
      <c r="DY257" s="584">
        <v>1099.0574999999999</v>
      </c>
      <c r="DZ257" s="584">
        <v>369.6</v>
      </c>
      <c r="EA257" s="1062">
        <v>0</v>
      </c>
      <c r="EB257" s="1046">
        <v>0</v>
      </c>
      <c r="EC257" s="1093">
        <v>0</v>
      </c>
      <c r="ED257" s="1046">
        <v>0</v>
      </c>
      <c r="EE257" s="1046">
        <v>0</v>
      </c>
      <c r="EF257" s="1046">
        <v>0</v>
      </c>
      <c r="EG257" s="1046">
        <v>0</v>
      </c>
      <c r="EH257" s="1046">
        <v>0</v>
      </c>
      <c r="EI257" s="1046">
        <v>0</v>
      </c>
      <c r="EJ257" s="1046">
        <v>0</v>
      </c>
      <c r="EK257" s="1046">
        <v>0</v>
      </c>
      <c r="EL257" s="1046">
        <v>0</v>
      </c>
      <c r="EM257" s="1046">
        <v>0</v>
      </c>
      <c r="EN257" s="1046">
        <v>0</v>
      </c>
      <c r="EO257" s="1046">
        <v>0</v>
      </c>
      <c r="EP257" s="1094">
        <v>0</v>
      </c>
      <c r="EQ257" s="1094">
        <v>0</v>
      </c>
      <c r="ER257" s="1094">
        <v>0</v>
      </c>
      <c r="ES257" s="1095">
        <v>0</v>
      </c>
      <c r="ET257" s="1094">
        <v>0</v>
      </c>
      <c r="EU257" s="1094">
        <v>0</v>
      </c>
      <c r="EV257" s="1096">
        <v>0.75760000000000005</v>
      </c>
      <c r="EW257" s="1097">
        <v>0.15</v>
      </c>
      <c r="EX257" s="1096">
        <v>289.50050968399592</v>
      </c>
      <c r="EY257" s="1096">
        <v>1.5443934760448521</v>
      </c>
      <c r="EZ257" s="1096">
        <v>0</v>
      </c>
      <c r="FA257" s="1096">
        <v>24.93809523809524</v>
      </c>
      <c r="FB257" s="1098">
        <v>0</v>
      </c>
      <c r="FC257" s="1098">
        <v>0</v>
      </c>
      <c r="FD257" s="1098" t="s">
        <v>408</v>
      </c>
      <c r="FE257" s="1098" t="s">
        <v>410</v>
      </c>
      <c r="FF257" s="1098">
        <v>1</v>
      </c>
      <c r="FG257" s="1098">
        <v>0</v>
      </c>
      <c r="FH257" s="1098">
        <v>0</v>
      </c>
      <c r="FI257" s="1098">
        <v>0</v>
      </c>
      <c r="FJ257" s="1098">
        <v>0</v>
      </c>
      <c r="FK257" s="1096">
        <v>128.3056575</v>
      </c>
      <c r="FL257" s="1096">
        <v>84</v>
      </c>
      <c r="FM257" s="1096">
        <v>256.61131499999999</v>
      </c>
      <c r="FN257" s="1096">
        <v>168</v>
      </c>
      <c r="FO257" s="1096">
        <v>513.22262999999998</v>
      </c>
      <c r="FP257" s="1099">
        <v>336</v>
      </c>
      <c r="FQ257" s="1064">
        <v>1.1157674201721295</v>
      </c>
      <c r="FR257" s="1065">
        <v>0.15</v>
      </c>
      <c r="FS257" s="1066">
        <v>289.50050968399586</v>
      </c>
      <c r="FT257" s="1066">
        <v>3.2237153637237084</v>
      </c>
      <c r="FU257" s="1065"/>
      <c r="FV257" s="1066">
        <v>69.066802373559327</v>
      </c>
      <c r="FW257" s="1065"/>
      <c r="FX257" s="1065"/>
      <c r="FY257" s="1065" t="s">
        <v>396</v>
      </c>
      <c r="FZ257" s="1065" t="s">
        <v>396</v>
      </c>
      <c r="GA257" s="1065">
        <v>1</v>
      </c>
      <c r="GB257" s="1065"/>
      <c r="GC257" s="1065"/>
      <c r="GD257" s="1065"/>
      <c r="GE257" s="1065"/>
      <c r="GF257" s="1066">
        <v>135.43256955905767</v>
      </c>
      <c r="GG257" s="1066">
        <v>84</v>
      </c>
      <c r="GH257" s="1066">
        <v>270.86513911811534</v>
      </c>
      <c r="GI257" s="1066">
        <v>168</v>
      </c>
      <c r="GJ257" s="1066">
        <v>541.73027823623067</v>
      </c>
      <c r="GK257" s="1066">
        <v>336</v>
      </c>
      <c r="GL257" s="584">
        <v>1.0803</v>
      </c>
      <c r="GM257" s="584">
        <v>0.11</v>
      </c>
      <c r="GN257" s="584"/>
      <c r="GO257" s="584"/>
      <c r="GP257" s="584"/>
      <c r="GQ257" s="584">
        <v>79.842857142857099</v>
      </c>
      <c r="GR257" s="584"/>
      <c r="GS257" s="584">
        <v>56.065239551478101</v>
      </c>
      <c r="GT257" s="584" t="s">
        <v>416</v>
      </c>
      <c r="GU257" s="584" t="s">
        <v>351</v>
      </c>
      <c r="GV257" s="584">
        <v>1</v>
      </c>
      <c r="GW257" s="584"/>
      <c r="GX257" s="584"/>
      <c r="GY257" s="584"/>
      <c r="GZ257" s="584"/>
      <c r="HA257" s="584">
        <v>88.898426999999998</v>
      </c>
      <c r="HB257" s="584">
        <v>84</v>
      </c>
      <c r="HC257" s="584">
        <v>177.796854</v>
      </c>
      <c r="HD257" s="584">
        <v>168</v>
      </c>
      <c r="HE257" s="584">
        <v>355.59370799999999</v>
      </c>
      <c r="HF257" s="584">
        <v>336</v>
      </c>
      <c r="HG257" s="1100">
        <v>1.55</v>
      </c>
      <c r="HH257" s="1100">
        <v>0.11</v>
      </c>
      <c r="HI257" s="1101">
        <v>0</v>
      </c>
      <c r="HJ257" s="1101">
        <v>0</v>
      </c>
      <c r="HK257" s="1101">
        <v>0</v>
      </c>
      <c r="HL257" s="1101">
        <v>0</v>
      </c>
      <c r="HM257" s="1101">
        <v>74.442857142857122</v>
      </c>
      <c r="HN257" s="1101">
        <v>54.999999999999993</v>
      </c>
      <c r="HO257" s="1101">
        <v>0</v>
      </c>
      <c r="HP257" s="1101">
        <v>0</v>
      </c>
      <c r="HQ257" s="1101">
        <v>1</v>
      </c>
      <c r="HR257" s="1101">
        <v>1</v>
      </c>
      <c r="HS257" s="1101">
        <v>1.44</v>
      </c>
      <c r="HT257" s="1101">
        <v>0.3</v>
      </c>
      <c r="HU257" s="1101">
        <v>0.3</v>
      </c>
      <c r="HV257" s="1101">
        <v>87.566522999999989</v>
      </c>
      <c r="HW257" s="1101">
        <v>84</v>
      </c>
      <c r="HX257" s="1101">
        <v>175.13304599999998</v>
      </c>
      <c r="HY257" s="1101">
        <v>168</v>
      </c>
      <c r="HZ257" s="1101">
        <v>350.26609199999996</v>
      </c>
      <c r="IA257" s="1101">
        <v>336</v>
      </c>
      <c r="IB257" s="1062"/>
      <c r="ID257" s="1050"/>
      <c r="IE257" s="1050"/>
      <c r="IM257" s="1050"/>
      <c r="IN257" s="1050"/>
      <c r="IO257" s="1050"/>
      <c r="IP257" s="1050"/>
      <c r="JU257" s="1050"/>
      <c r="KC257" s="1050"/>
      <c r="KD257" s="1050"/>
      <c r="KE257" s="1050"/>
      <c r="KF257" s="1050"/>
      <c r="KN257" s="1103"/>
    </row>
    <row r="258" spans="2:300">
      <c r="B258" s="1048" t="str">
        <f t="shared" si="8"/>
        <v>H615</v>
      </c>
      <c r="C258" s="1046">
        <v>6</v>
      </c>
      <c r="D258" s="1092">
        <v>15</v>
      </c>
      <c r="E258" s="584">
        <v>0</v>
      </c>
      <c r="F258" s="584">
        <v>0</v>
      </c>
      <c r="G258" s="584">
        <v>0</v>
      </c>
      <c r="H258" s="584">
        <v>0</v>
      </c>
      <c r="I258" s="584">
        <v>0</v>
      </c>
      <c r="J258" s="584">
        <v>0</v>
      </c>
      <c r="K258" s="584">
        <v>0</v>
      </c>
      <c r="L258" s="584">
        <v>0</v>
      </c>
      <c r="M258" s="584">
        <v>0</v>
      </c>
      <c r="N258" s="584">
        <v>0</v>
      </c>
      <c r="O258" s="584">
        <v>0</v>
      </c>
      <c r="P258" s="584">
        <v>0</v>
      </c>
      <c r="Q258" s="584">
        <v>0</v>
      </c>
      <c r="R258" s="584">
        <v>0</v>
      </c>
      <c r="S258" s="584">
        <v>0</v>
      </c>
      <c r="T258" s="584">
        <v>0</v>
      </c>
      <c r="U258" s="584">
        <v>0</v>
      </c>
      <c r="V258" s="584">
        <v>0</v>
      </c>
      <c r="W258" s="584">
        <v>0</v>
      </c>
      <c r="X258" s="584">
        <v>0</v>
      </c>
      <c r="Y258" s="584">
        <v>0</v>
      </c>
      <c r="Z258" s="584">
        <v>0</v>
      </c>
      <c r="AA258" s="584">
        <v>0</v>
      </c>
      <c r="AB258" s="584">
        <v>0</v>
      </c>
      <c r="AC258" s="584">
        <v>0</v>
      </c>
      <c r="AD258" s="584">
        <v>0</v>
      </c>
      <c r="AE258" s="584">
        <v>0</v>
      </c>
      <c r="AF258" s="584">
        <v>0</v>
      </c>
      <c r="AG258" s="584">
        <v>0</v>
      </c>
      <c r="AH258" s="584">
        <v>0</v>
      </c>
      <c r="AI258" s="584">
        <v>0</v>
      </c>
      <c r="AJ258" s="584">
        <v>0</v>
      </c>
      <c r="AK258" s="584">
        <v>0</v>
      </c>
      <c r="AL258" s="584">
        <v>0</v>
      </c>
      <c r="AM258" s="584">
        <v>0</v>
      </c>
      <c r="AN258" s="584">
        <v>0</v>
      </c>
      <c r="AO258" s="584">
        <v>0</v>
      </c>
      <c r="AP258" s="584">
        <v>0</v>
      </c>
      <c r="AQ258" s="584">
        <v>0</v>
      </c>
      <c r="AR258" s="584">
        <v>0</v>
      </c>
      <c r="AS258" s="584">
        <v>0</v>
      </c>
      <c r="AT258" s="584">
        <v>0</v>
      </c>
      <c r="AU258" s="584">
        <v>0</v>
      </c>
      <c r="AV258" s="584">
        <v>0</v>
      </c>
      <c r="AW258" s="584">
        <v>0</v>
      </c>
      <c r="AX258" s="584">
        <v>0</v>
      </c>
      <c r="AY258" s="584">
        <v>0</v>
      </c>
      <c r="AZ258" s="584">
        <v>0</v>
      </c>
      <c r="BA258" s="584">
        <v>0</v>
      </c>
      <c r="BB258" s="584">
        <v>0</v>
      </c>
      <c r="BC258" s="584">
        <v>0</v>
      </c>
      <c r="BD258" s="584">
        <v>0</v>
      </c>
      <c r="BE258" s="584">
        <v>0</v>
      </c>
      <c r="BF258" s="584">
        <v>0</v>
      </c>
      <c r="BG258" s="584">
        <v>0</v>
      </c>
      <c r="BH258" s="584">
        <v>0</v>
      </c>
      <c r="BI258" s="584">
        <v>0</v>
      </c>
      <c r="BJ258" s="584">
        <v>0</v>
      </c>
      <c r="BK258" s="584">
        <v>0</v>
      </c>
      <c r="BL258" s="584">
        <v>0</v>
      </c>
      <c r="BM258" s="584">
        <v>0</v>
      </c>
      <c r="BN258" s="584">
        <v>0</v>
      </c>
      <c r="BO258" s="584">
        <v>0</v>
      </c>
      <c r="BP258" s="584">
        <v>0</v>
      </c>
      <c r="BQ258" s="584">
        <v>0</v>
      </c>
      <c r="BR258" s="584">
        <v>0</v>
      </c>
      <c r="BS258" s="584">
        <v>0</v>
      </c>
      <c r="BT258" s="584">
        <v>0</v>
      </c>
      <c r="BU258" s="584">
        <v>0</v>
      </c>
      <c r="BV258" s="584">
        <v>0</v>
      </c>
      <c r="BW258" s="584">
        <v>0</v>
      </c>
      <c r="BX258" s="584">
        <v>0</v>
      </c>
      <c r="BY258" s="584">
        <v>0</v>
      </c>
      <c r="BZ258" s="584">
        <v>0</v>
      </c>
      <c r="CA258" s="584">
        <v>0</v>
      </c>
      <c r="CB258" s="584">
        <v>0</v>
      </c>
      <c r="CC258" s="584">
        <v>0</v>
      </c>
      <c r="CD258" s="584">
        <v>0</v>
      </c>
      <c r="CE258" s="584">
        <v>0</v>
      </c>
      <c r="CF258" s="584">
        <v>0</v>
      </c>
      <c r="CG258" s="584">
        <v>0</v>
      </c>
      <c r="CH258" s="584">
        <v>0</v>
      </c>
      <c r="CI258" s="584">
        <v>0</v>
      </c>
      <c r="CJ258" s="584">
        <v>0</v>
      </c>
      <c r="CK258" s="584">
        <v>0</v>
      </c>
      <c r="CL258" s="584">
        <v>0</v>
      </c>
      <c r="CM258" s="584">
        <v>0</v>
      </c>
      <c r="CN258" s="584">
        <v>0</v>
      </c>
      <c r="CO258" s="584">
        <v>0</v>
      </c>
      <c r="CP258" s="584">
        <v>0</v>
      </c>
      <c r="CQ258" s="584">
        <v>0</v>
      </c>
      <c r="CR258" s="584">
        <v>0</v>
      </c>
      <c r="CS258" s="584">
        <v>0</v>
      </c>
      <c r="CT258" s="584">
        <v>0</v>
      </c>
      <c r="CU258" s="584">
        <v>0</v>
      </c>
      <c r="CV258" s="584">
        <v>0</v>
      </c>
      <c r="CW258" s="584">
        <v>0</v>
      </c>
      <c r="CX258" s="584">
        <v>0</v>
      </c>
      <c r="CY258" s="584">
        <v>0</v>
      </c>
      <c r="CZ258" s="584">
        <v>0</v>
      </c>
      <c r="DA258" s="584">
        <v>0</v>
      </c>
      <c r="DB258" s="584">
        <v>0</v>
      </c>
      <c r="DC258" s="584">
        <v>0</v>
      </c>
      <c r="DD258" s="584">
        <v>0</v>
      </c>
      <c r="DE258" s="584">
        <v>0</v>
      </c>
      <c r="DF258" s="584">
        <v>0</v>
      </c>
      <c r="DG258" s="584">
        <v>0</v>
      </c>
      <c r="DH258" s="584">
        <v>0</v>
      </c>
      <c r="DI258" s="584">
        <v>0</v>
      </c>
      <c r="DJ258" s="584">
        <v>0</v>
      </c>
      <c r="DK258" s="584">
        <v>0</v>
      </c>
      <c r="DL258" s="584">
        <v>0</v>
      </c>
      <c r="DM258" s="584">
        <v>0</v>
      </c>
      <c r="DN258" s="584">
        <v>0</v>
      </c>
      <c r="DO258" s="584">
        <v>0</v>
      </c>
      <c r="DP258" s="584">
        <v>0</v>
      </c>
      <c r="DQ258" s="584">
        <v>0</v>
      </c>
      <c r="DR258" s="584">
        <v>0</v>
      </c>
      <c r="DS258" s="584">
        <v>0</v>
      </c>
      <c r="DT258" s="584">
        <v>0</v>
      </c>
      <c r="DU258" s="584">
        <v>0</v>
      </c>
      <c r="DV258" s="584">
        <v>0</v>
      </c>
      <c r="DW258" s="584">
        <v>0</v>
      </c>
      <c r="DX258" s="584">
        <v>0</v>
      </c>
      <c r="DY258" s="584">
        <v>0</v>
      </c>
      <c r="DZ258" s="584">
        <v>0</v>
      </c>
      <c r="EA258" s="1062">
        <v>0</v>
      </c>
      <c r="EB258" s="1046">
        <v>0</v>
      </c>
      <c r="EC258" s="1093">
        <v>0</v>
      </c>
      <c r="ED258" s="1046">
        <v>0</v>
      </c>
      <c r="EE258" s="1046">
        <v>0</v>
      </c>
      <c r="EF258" s="1046">
        <v>0</v>
      </c>
      <c r="EG258" s="1046">
        <v>0</v>
      </c>
      <c r="EH258" s="1046">
        <v>0</v>
      </c>
      <c r="EI258" s="1046">
        <v>0</v>
      </c>
      <c r="EJ258" s="1046">
        <v>0</v>
      </c>
      <c r="EK258" s="1046">
        <v>0</v>
      </c>
      <c r="EL258" s="1046">
        <v>0</v>
      </c>
      <c r="EM258" s="1046">
        <v>0</v>
      </c>
      <c r="EN258" s="1046">
        <v>0</v>
      </c>
      <c r="EO258" s="1046">
        <v>0</v>
      </c>
      <c r="EP258" s="1094">
        <v>0</v>
      </c>
      <c r="EQ258" s="1094">
        <v>0</v>
      </c>
      <c r="ER258" s="1094">
        <v>0</v>
      </c>
      <c r="ES258" s="1095">
        <v>0</v>
      </c>
      <c r="ET258" s="1094">
        <v>0</v>
      </c>
      <c r="EU258" s="1094">
        <v>0</v>
      </c>
      <c r="EV258" s="1096">
        <v>0.7622000000000001</v>
      </c>
      <c r="EW258" s="1097">
        <v>0.15</v>
      </c>
      <c r="EX258" s="1096">
        <v>289.50050968399592</v>
      </c>
      <c r="EY258" s="1096">
        <v>1.5443934760448521</v>
      </c>
      <c r="EZ258" s="1096">
        <v>0</v>
      </c>
      <c r="FA258" s="1096">
        <v>25.206666666666667</v>
      </c>
      <c r="FB258" s="1098">
        <v>0</v>
      </c>
      <c r="FC258" s="1098">
        <v>0</v>
      </c>
      <c r="FD258" s="1098" t="s">
        <v>406</v>
      </c>
      <c r="FE258" s="1098" t="s">
        <v>410</v>
      </c>
      <c r="FF258" s="1098">
        <v>1</v>
      </c>
      <c r="FG258" s="1098">
        <v>0</v>
      </c>
      <c r="FH258" s="1098">
        <v>0</v>
      </c>
      <c r="FI258" s="1098">
        <v>0</v>
      </c>
      <c r="FJ258" s="1098">
        <v>0</v>
      </c>
      <c r="FK258" s="1096">
        <v>137.52962775</v>
      </c>
      <c r="FL258" s="1096">
        <v>90</v>
      </c>
      <c r="FM258" s="1096">
        <v>275.05925550000001</v>
      </c>
      <c r="FN258" s="1096">
        <v>180</v>
      </c>
      <c r="FO258" s="1096">
        <v>550.11851100000001</v>
      </c>
      <c r="FP258" s="1099">
        <v>360</v>
      </c>
      <c r="FQ258" s="1064">
        <v>1.2222367378842984</v>
      </c>
      <c r="FR258" s="1065">
        <v>0.15</v>
      </c>
      <c r="FS258" s="1066">
        <v>289.50050968399586</v>
      </c>
      <c r="FT258" s="1066">
        <v>3.2237153637237084</v>
      </c>
      <c r="FU258" s="1065"/>
      <c r="FV258" s="1066">
        <v>72.640999292318043</v>
      </c>
      <c r="FW258" s="1065"/>
      <c r="FX258" s="1065"/>
      <c r="FY258" s="1065" t="s">
        <v>389</v>
      </c>
      <c r="FZ258" s="1065" t="s">
        <v>389</v>
      </c>
      <c r="GA258" s="1065">
        <v>1</v>
      </c>
      <c r="GB258" s="1065"/>
      <c r="GC258" s="1065"/>
      <c r="GD258" s="1065"/>
      <c r="GE258" s="1065"/>
      <c r="GF258" s="1066">
        <v>145.89523914245481</v>
      </c>
      <c r="GG258" s="1066">
        <v>90</v>
      </c>
      <c r="GH258" s="1066">
        <v>291.79047828490963</v>
      </c>
      <c r="GI258" s="1066">
        <v>180</v>
      </c>
      <c r="GJ258" s="1066">
        <v>583.58095656981925</v>
      </c>
      <c r="GK258" s="1066">
        <v>360</v>
      </c>
      <c r="GL258" s="584">
        <v>1.1001000000000001</v>
      </c>
      <c r="GM258" s="584">
        <v>0.11</v>
      </c>
      <c r="GN258" s="584"/>
      <c r="GO258" s="584"/>
      <c r="GP258" s="584"/>
      <c r="GQ258" s="584">
        <v>96.906666666666695</v>
      </c>
      <c r="GR258" s="584"/>
      <c r="GS258" s="584">
        <v>56.065239551478101</v>
      </c>
      <c r="GT258" s="584" t="s">
        <v>430</v>
      </c>
      <c r="GU258" s="584" t="s">
        <v>347</v>
      </c>
      <c r="GV258" s="584">
        <v>1</v>
      </c>
      <c r="GW258" s="584"/>
      <c r="GX258" s="584"/>
      <c r="GY258" s="584"/>
      <c r="GZ258" s="584"/>
      <c r="HA258" s="584">
        <v>99.014724000000001</v>
      </c>
      <c r="HB258" s="584">
        <v>90</v>
      </c>
      <c r="HC258" s="584">
        <v>198.029448</v>
      </c>
      <c r="HD258" s="584">
        <v>180</v>
      </c>
      <c r="HE258" s="584">
        <v>396.058896</v>
      </c>
      <c r="HF258" s="584">
        <v>360</v>
      </c>
      <c r="HG258" s="1100">
        <v>1.7100000000000002</v>
      </c>
      <c r="HH258" s="1100">
        <v>0.11</v>
      </c>
      <c r="HI258" s="1101">
        <v>0</v>
      </c>
      <c r="HJ258" s="1101">
        <v>0</v>
      </c>
      <c r="HK258" s="1101">
        <v>0</v>
      </c>
      <c r="HL258" s="1101">
        <v>0</v>
      </c>
      <c r="HM258" s="1101">
        <v>81.72</v>
      </c>
      <c r="HN258" s="1101">
        <v>54.999999999999993</v>
      </c>
      <c r="HO258" s="1101">
        <v>0</v>
      </c>
      <c r="HP258" s="1101">
        <v>0</v>
      </c>
      <c r="HQ258" s="1101">
        <v>1</v>
      </c>
      <c r="HR258" s="1101">
        <v>1.08</v>
      </c>
      <c r="HS258" s="1101">
        <v>1.6</v>
      </c>
      <c r="HT258" s="1101">
        <v>0.3</v>
      </c>
      <c r="HU258" s="1101">
        <v>0.3</v>
      </c>
      <c r="HV258" s="1101">
        <v>95.427521999999982</v>
      </c>
      <c r="HW258" s="1101">
        <v>90</v>
      </c>
      <c r="HX258" s="1101">
        <v>190.85504399999996</v>
      </c>
      <c r="HY258" s="1101">
        <v>180</v>
      </c>
      <c r="HZ258" s="1101">
        <v>381.71008799999993</v>
      </c>
      <c r="IA258" s="1101">
        <v>360</v>
      </c>
      <c r="IB258" s="1062"/>
      <c r="ID258" s="1050"/>
      <c r="IE258" s="1050"/>
      <c r="IM258" s="1050"/>
      <c r="IN258" s="1050"/>
      <c r="IO258" s="1050"/>
      <c r="IP258" s="1050"/>
      <c r="JU258" s="1050"/>
      <c r="KC258" s="1050"/>
      <c r="KD258" s="1050"/>
      <c r="KE258" s="1050"/>
      <c r="KF258" s="1050"/>
      <c r="KN258" s="1103"/>
    </row>
    <row r="259" spans="2:300">
      <c r="B259" s="1048" t="str">
        <f t="shared" si="8"/>
        <v>H616</v>
      </c>
      <c r="C259" s="1046">
        <v>6</v>
      </c>
      <c r="D259" s="1092">
        <v>16</v>
      </c>
      <c r="E259" s="584">
        <v>0</v>
      </c>
      <c r="F259" s="584">
        <v>0</v>
      </c>
      <c r="G259" s="584">
        <v>0</v>
      </c>
      <c r="H259" s="584">
        <v>0</v>
      </c>
      <c r="I259" s="584">
        <v>0</v>
      </c>
      <c r="J259" s="584">
        <v>0</v>
      </c>
      <c r="K259" s="584">
        <v>0</v>
      </c>
      <c r="L259" s="584">
        <v>0</v>
      </c>
      <c r="M259" s="584">
        <v>0</v>
      </c>
      <c r="N259" s="584">
        <v>0</v>
      </c>
      <c r="O259" s="584">
        <v>0</v>
      </c>
      <c r="P259" s="584">
        <v>0</v>
      </c>
      <c r="Q259" s="584">
        <v>0</v>
      </c>
      <c r="R259" s="584">
        <v>0</v>
      </c>
      <c r="S259" s="584">
        <v>0</v>
      </c>
      <c r="T259" s="584">
        <v>0</v>
      </c>
      <c r="U259" s="584">
        <v>0</v>
      </c>
      <c r="V259" s="584">
        <v>0</v>
      </c>
      <c r="W259" s="584">
        <v>0</v>
      </c>
      <c r="X259" s="584">
        <v>0</v>
      </c>
      <c r="Y259" s="584">
        <v>0</v>
      </c>
      <c r="Z259" s="584">
        <v>0</v>
      </c>
      <c r="AA259" s="584">
        <v>0</v>
      </c>
      <c r="AB259" s="584">
        <v>0</v>
      </c>
      <c r="AC259" s="584">
        <v>0</v>
      </c>
      <c r="AD259" s="584">
        <v>0</v>
      </c>
      <c r="AE259" s="584">
        <v>0</v>
      </c>
      <c r="AF259" s="584">
        <v>0</v>
      </c>
      <c r="AG259" s="584">
        <v>0</v>
      </c>
      <c r="AH259" s="584">
        <v>0</v>
      </c>
      <c r="AI259" s="584">
        <v>0</v>
      </c>
      <c r="AJ259" s="584">
        <v>0</v>
      </c>
      <c r="AK259" s="584">
        <v>0</v>
      </c>
      <c r="AL259" s="584">
        <v>0</v>
      </c>
      <c r="AM259" s="584">
        <v>0</v>
      </c>
      <c r="AN259" s="584">
        <v>0</v>
      </c>
      <c r="AO259" s="584">
        <v>0</v>
      </c>
      <c r="AP259" s="584">
        <v>0</v>
      </c>
      <c r="AQ259" s="584">
        <v>0</v>
      </c>
      <c r="AR259" s="584">
        <v>0</v>
      </c>
      <c r="AS259" s="584">
        <v>0</v>
      </c>
      <c r="AT259" s="584">
        <v>0</v>
      </c>
      <c r="AU259" s="584">
        <v>0</v>
      </c>
      <c r="AV259" s="584">
        <v>0</v>
      </c>
      <c r="AW259" s="584">
        <v>0</v>
      </c>
      <c r="AX259" s="584">
        <v>0</v>
      </c>
      <c r="AY259" s="584">
        <v>0</v>
      </c>
      <c r="AZ259" s="584">
        <v>0</v>
      </c>
      <c r="BA259" s="584">
        <v>0</v>
      </c>
      <c r="BB259" s="584">
        <v>0</v>
      </c>
      <c r="BC259" s="584">
        <v>0</v>
      </c>
      <c r="BD259" s="584">
        <v>0</v>
      </c>
      <c r="BE259" s="584">
        <v>0</v>
      </c>
      <c r="BF259" s="584">
        <v>0</v>
      </c>
      <c r="BG259" s="584">
        <v>0</v>
      </c>
      <c r="BH259" s="584">
        <v>0</v>
      </c>
      <c r="BI259" s="584">
        <v>0</v>
      </c>
      <c r="BJ259" s="584">
        <v>0</v>
      </c>
      <c r="BK259" s="584">
        <v>0</v>
      </c>
      <c r="BL259" s="584">
        <v>0</v>
      </c>
      <c r="BM259" s="584">
        <v>0</v>
      </c>
      <c r="BN259" s="584">
        <v>0</v>
      </c>
      <c r="BO259" s="584">
        <v>0</v>
      </c>
      <c r="BP259" s="584">
        <v>0</v>
      </c>
      <c r="BQ259" s="584">
        <v>0</v>
      </c>
      <c r="BR259" s="584">
        <v>0</v>
      </c>
      <c r="BS259" s="584">
        <v>0</v>
      </c>
      <c r="BT259" s="584">
        <v>0</v>
      </c>
      <c r="BU259" s="584">
        <v>0</v>
      </c>
      <c r="BV259" s="584">
        <v>0</v>
      </c>
      <c r="BW259" s="584">
        <v>0</v>
      </c>
      <c r="BX259" s="584">
        <v>0</v>
      </c>
      <c r="BY259" s="584">
        <v>0</v>
      </c>
      <c r="BZ259" s="584">
        <v>0</v>
      </c>
      <c r="CA259" s="584">
        <v>0</v>
      </c>
      <c r="CB259" s="584">
        <v>0</v>
      </c>
      <c r="CC259" s="584">
        <v>0</v>
      </c>
      <c r="CD259" s="584">
        <v>0</v>
      </c>
      <c r="CE259" s="584">
        <v>0</v>
      </c>
      <c r="CF259" s="584">
        <v>0</v>
      </c>
      <c r="CG259" s="584">
        <v>0</v>
      </c>
      <c r="CH259" s="584">
        <v>0</v>
      </c>
      <c r="CI259" s="584">
        <v>0</v>
      </c>
      <c r="CJ259" s="584">
        <v>0</v>
      </c>
      <c r="CK259" s="584">
        <v>0</v>
      </c>
      <c r="CL259" s="584">
        <v>0</v>
      </c>
      <c r="CM259" s="584">
        <v>0</v>
      </c>
      <c r="CN259" s="584">
        <v>0</v>
      </c>
      <c r="CO259" s="584">
        <v>0</v>
      </c>
      <c r="CP259" s="584">
        <v>0</v>
      </c>
      <c r="CQ259" s="584">
        <v>0</v>
      </c>
      <c r="CR259" s="584">
        <v>0</v>
      </c>
      <c r="CS259" s="584">
        <v>0</v>
      </c>
      <c r="CT259" s="584">
        <v>0</v>
      </c>
      <c r="CU259" s="584">
        <v>0</v>
      </c>
      <c r="CV259" s="584">
        <v>0</v>
      </c>
      <c r="CW259" s="584">
        <v>0</v>
      </c>
      <c r="CX259" s="584">
        <v>0</v>
      </c>
      <c r="CY259" s="584">
        <v>0</v>
      </c>
      <c r="CZ259" s="584">
        <v>0</v>
      </c>
      <c r="DA259" s="584">
        <v>0</v>
      </c>
      <c r="DB259" s="584">
        <v>0</v>
      </c>
      <c r="DC259" s="584">
        <v>0</v>
      </c>
      <c r="DD259" s="584">
        <v>0</v>
      </c>
      <c r="DE259" s="584">
        <v>0</v>
      </c>
      <c r="DF259" s="584">
        <v>0</v>
      </c>
      <c r="DG259" s="584">
        <v>0</v>
      </c>
      <c r="DH259" s="584">
        <v>0</v>
      </c>
      <c r="DI259" s="584">
        <v>0</v>
      </c>
      <c r="DJ259" s="584">
        <v>0</v>
      </c>
      <c r="DK259" s="584">
        <v>0</v>
      </c>
      <c r="DL259" s="584">
        <v>0</v>
      </c>
      <c r="DM259" s="584">
        <v>0</v>
      </c>
      <c r="DN259" s="584">
        <v>0</v>
      </c>
      <c r="DO259" s="584">
        <v>0</v>
      </c>
      <c r="DP259" s="584">
        <v>0</v>
      </c>
      <c r="DQ259" s="584">
        <v>0</v>
      </c>
      <c r="DR259" s="584">
        <v>0</v>
      </c>
      <c r="DS259" s="584">
        <v>0</v>
      </c>
      <c r="DT259" s="584">
        <v>0</v>
      </c>
      <c r="DU259" s="584">
        <v>0</v>
      </c>
      <c r="DV259" s="584">
        <v>0</v>
      </c>
      <c r="DW259" s="584">
        <v>0</v>
      </c>
      <c r="DX259" s="584">
        <v>0</v>
      </c>
      <c r="DY259" s="584">
        <v>0</v>
      </c>
      <c r="DZ259" s="584">
        <v>0</v>
      </c>
      <c r="EA259" s="1062">
        <v>0</v>
      </c>
      <c r="EB259" s="1046">
        <v>0</v>
      </c>
      <c r="EC259" s="1093">
        <v>0</v>
      </c>
      <c r="ED259" s="1046">
        <v>0</v>
      </c>
      <c r="EE259" s="1046">
        <v>0</v>
      </c>
      <c r="EF259" s="1046">
        <v>0</v>
      </c>
      <c r="EG259" s="1046">
        <v>0</v>
      </c>
      <c r="EH259" s="1046">
        <v>0</v>
      </c>
      <c r="EI259" s="1046">
        <v>0</v>
      </c>
      <c r="EJ259" s="1046">
        <v>0</v>
      </c>
      <c r="EK259" s="1046">
        <v>0</v>
      </c>
      <c r="EL259" s="1046">
        <v>0</v>
      </c>
      <c r="EM259" s="1046">
        <v>0</v>
      </c>
      <c r="EN259" s="1046">
        <v>0</v>
      </c>
      <c r="EO259" s="1046">
        <v>0</v>
      </c>
      <c r="EP259" s="1094">
        <v>0</v>
      </c>
      <c r="EQ259" s="1094">
        <v>0</v>
      </c>
      <c r="ER259" s="1094">
        <v>0</v>
      </c>
      <c r="ES259" s="1095">
        <v>0</v>
      </c>
      <c r="ET259" s="1094">
        <v>0</v>
      </c>
      <c r="EU259" s="1094">
        <v>0</v>
      </c>
      <c r="EV259" s="1096">
        <v>0.82789999999999997</v>
      </c>
      <c r="EW259" s="1097">
        <v>0.15</v>
      </c>
      <c r="EX259" s="1096">
        <v>289.50050968399592</v>
      </c>
      <c r="EY259" s="1096">
        <v>1.5443934760448521</v>
      </c>
      <c r="EZ259" s="1096">
        <v>0</v>
      </c>
      <c r="FA259" s="1096">
        <v>28.685416666666669</v>
      </c>
      <c r="FB259" s="1098">
        <v>0</v>
      </c>
      <c r="FC259" s="1098">
        <v>0</v>
      </c>
      <c r="FD259" s="1098" t="s">
        <v>406</v>
      </c>
      <c r="FE259" s="1098" t="s">
        <v>396</v>
      </c>
      <c r="FF259" s="1098">
        <v>1</v>
      </c>
      <c r="FG259" s="1098">
        <v>0</v>
      </c>
      <c r="FH259" s="1098">
        <v>0</v>
      </c>
      <c r="FI259" s="1098">
        <v>0</v>
      </c>
      <c r="FJ259" s="1098">
        <v>0</v>
      </c>
      <c r="FK259" s="1096">
        <v>147.51730650000002</v>
      </c>
      <c r="FL259" s="1096">
        <v>96</v>
      </c>
      <c r="FM259" s="1096">
        <v>295.03461300000004</v>
      </c>
      <c r="FN259" s="1096">
        <v>192</v>
      </c>
      <c r="FO259" s="1096">
        <v>590.06922600000007</v>
      </c>
      <c r="FP259" s="1099">
        <v>384</v>
      </c>
      <c r="FQ259" s="1064">
        <v>1.2344367378842984</v>
      </c>
      <c r="FR259" s="1065">
        <v>0.15</v>
      </c>
      <c r="FS259" s="1066">
        <v>289.50050968399586</v>
      </c>
      <c r="FT259" s="1066">
        <v>3.2237153637237084</v>
      </c>
      <c r="FU259" s="1065"/>
      <c r="FV259" s="1066">
        <v>85.997750967036723</v>
      </c>
      <c r="FW259" s="1065"/>
      <c r="FX259" s="1065"/>
      <c r="FY259" s="1065" t="s">
        <v>389</v>
      </c>
      <c r="FZ259" s="1065" t="s">
        <v>385</v>
      </c>
      <c r="GA259" s="1065">
        <v>1</v>
      </c>
      <c r="GB259" s="1065"/>
      <c r="GC259" s="1065"/>
      <c r="GD259" s="1065"/>
      <c r="GE259" s="1065"/>
      <c r="GF259" s="1066">
        <v>158.76630203291424</v>
      </c>
      <c r="GG259" s="1066">
        <v>96</v>
      </c>
      <c r="GH259" s="1066">
        <v>317.53260406582848</v>
      </c>
      <c r="GI259" s="1066">
        <v>192</v>
      </c>
      <c r="GJ259" s="1066">
        <v>635.06520813165696</v>
      </c>
      <c r="GK259" s="1066">
        <v>384</v>
      </c>
      <c r="GL259" s="584">
        <v>1.1180000000000001</v>
      </c>
      <c r="GM259" s="584">
        <v>0.11</v>
      </c>
      <c r="GN259" s="584"/>
      <c r="GO259" s="584"/>
      <c r="GP259" s="584"/>
      <c r="GQ259" s="584">
        <v>122.935416666667</v>
      </c>
      <c r="GR259" s="584"/>
      <c r="GS259" s="584">
        <v>56.065239551478101</v>
      </c>
      <c r="GT259" s="584" t="s">
        <v>412</v>
      </c>
      <c r="GU259" s="584" t="s">
        <v>343</v>
      </c>
      <c r="GV259" s="584">
        <v>1</v>
      </c>
      <c r="GW259" s="584"/>
      <c r="GX259" s="584"/>
      <c r="GY259" s="584"/>
      <c r="GZ259" s="584"/>
      <c r="HA259" s="584">
        <v>111.7439145</v>
      </c>
      <c r="HB259" s="584">
        <v>96</v>
      </c>
      <c r="HC259" s="584">
        <v>223.487829</v>
      </c>
      <c r="HD259" s="584">
        <v>192</v>
      </c>
      <c r="HE259" s="584">
        <v>446.97565800000001</v>
      </c>
      <c r="HF259" s="584">
        <v>384</v>
      </c>
      <c r="HG259" s="1100">
        <v>1.87</v>
      </c>
      <c r="HH259" s="1100">
        <v>0.11</v>
      </c>
      <c r="HI259" s="1101">
        <v>0</v>
      </c>
      <c r="HJ259" s="1101">
        <v>0</v>
      </c>
      <c r="HK259" s="1101">
        <v>0</v>
      </c>
      <c r="HL259" s="1101">
        <v>0</v>
      </c>
      <c r="HM259" s="1101">
        <v>88.987499999999997</v>
      </c>
      <c r="HN259" s="1101">
        <v>54.999999999999993</v>
      </c>
      <c r="HO259" s="1101">
        <v>0</v>
      </c>
      <c r="HP259" s="1101">
        <v>0</v>
      </c>
      <c r="HQ259" s="1101">
        <v>1</v>
      </c>
      <c r="HR259" s="1101">
        <v>1.1599999999999999</v>
      </c>
      <c r="HS259" s="1101">
        <v>1.76</v>
      </c>
      <c r="HT259" s="1101">
        <v>0.3</v>
      </c>
      <c r="HU259" s="1101">
        <v>0.3</v>
      </c>
      <c r="HV259" s="1101">
        <v>103.500417</v>
      </c>
      <c r="HW259" s="1101">
        <v>96</v>
      </c>
      <c r="HX259" s="1101">
        <v>207.000834</v>
      </c>
      <c r="HY259" s="1101">
        <v>192</v>
      </c>
      <c r="HZ259" s="1101">
        <v>414.001668</v>
      </c>
      <c r="IA259" s="1101">
        <v>384</v>
      </c>
      <c r="IB259" s="1062"/>
      <c r="ID259" s="1050"/>
      <c r="IE259" s="1050"/>
      <c r="IM259" s="1050"/>
      <c r="IN259" s="1050"/>
      <c r="IO259" s="1050"/>
      <c r="IP259" s="1050"/>
      <c r="JU259" s="1050"/>
      <c r="KC259" s="1050"/>
      <c r="KD259" s="1050"/>
      <c r="KE259" s="1050"/>
      <c r="KF259" s="1050"/>
      <c r="KN259" s="1103"/>
    </row>
    <row r="260" spans="2:300">
      <c r="B260" s="1048" t="str">
        <f t="shared" si="8"/>
        <v>H77</v>
      </c>
      <c r="C260" s="1046">
        <v>7</v>
      </c>
      <c r="D260" s="1046">
        <v>7</v>
      </c>
      <c r="E260" s="584">
        <v>0.25</v>
      </c>
      <c r="F260" s="584">
        <v>0.25</v>
      </c>
      <c r="G260" s="584">
        <v>600</v>
      </c>
      <c r="H260" s="584">
        <v>22.75</v>
      </c>
      <c r="I260" s="584">
        <v>0</v>
      </c>
      <c r="J260" s="584">
        <v>0</v>
      </c>
      <c r="K260" s="584">
        <v>0</v>
      </c>
      <c r="L260" s="584">
        <v>0</v>
      </c>
      <c r="M260" s="584">
        <v>0</v>
      </c>
      <c r="N260" s="584">
        <v>0</v>
      </c>
      <c r="O260" s="584">
        <v>0</v>
      </c>
      <c r="P260" s="584">
        <v>0</v>
      </c>
      <c r="Q260" s="584">
        <v>0</v>
      </c>
      <c r="R260" s="584">
        <v>0</v>
      </c>
      <c r="S260" s="584">
        <v>0</v>
      </c>
      <c r="T260" s="584">
        <v>207.23293749999999</v>
      </c>
      <c r="U260" s="584">
        <v>49</v>
      </c>
      <c r="V260" s="584">
        <v>334.44768749999997</v>
      </c>
      <c r="W260" s="584">
        <v>102.9</v>
      </c>
      <c r="X260" s="584">
        <v>502.17599999999999</v>
      </c>
      <c r="Y260" s="584">
        <v>215.6</v>
      </c>
      <c r="Z260" s="584">
        <v>0.215</v>
      </c>
      <c r="AA260" s="584">
        <v>0.215</v>
      </c>
      <c r="AB260" s="584">
        <v>516</v>
      </c>
      <c r="AC260" s="584">
        <v>20</v>
      </c>
      <c r="AD260" s="584">
        <v>0</v>
      </c>
      <c r="AE260" s="584">
        <v>0</v>
      </c>
      <c r="AF260" s="584">
        <v>0</v>
      </c>
      <c r="AG260" s="584">
        <v>0</v>
      </c>
      <c r="AH260" s="584">
        <v>0</v>
      </c>
      <c r="AI260" s="584">
        <v>0</v>
      </c>
      <c r="AJ260" s="584">
        <v>0</v>
      </c>
      <c r="AK260" s="584">
        <v>0</v>
      </c>
      <c r="AL260" s="584">
        <v>0</v>
      </c>
      <c r="AM260" s="584">
        <v>0</v>
      </c>
      <c r="AN260" s="584">
        <v>0</v>
      </c>
      <c r="AO260" s="584">
        <v>195.2541875</v>
      </c>
      <c r="AP260" s="584">
        <v>49</v>
      </c>
      <c r="AQ260" s="584">
        <v>310.6520625</v>
      </c>
      <c r="AR260" s="584">
        <v>102.9</v>
      </c>
      <c r="AS260" s="584">
        <v>455.01350000000002</v>
      </c>
      <c r="AT260" s="584">
        <v>215.6</v>
      </c>
      <c r="AU260" s="584">
        <v>0.42499999999999999</v>
      </c>
      <c r="AV260" s="584">
        <v>0.28999999999999998</v>
      </c>
      <c r="AW260" s="584">
        <v>485.41738317757</v>
      </c>
      <c r="AX260" s="584">
        <v>34.824719626168203</v>
      </c>
      <c r="AY260" s="584">
        <v>0</v>
      </c>
      <c r="AZ260" s="584">
        <v>0</v>
      </c>
      <c r="BA260" s="584">
        <v>0</v>
      </c>
      <c r="BB260" s="584">
        <v>0</v>
      </c>
      <c r="BC260" s="584">
        <v>0</v>
      </c>
      <c r="BD260" s="584">
        <v>0</v>
      </c>
      <c r="BE260" s="584">
        <v>0</v>
      </c>
      <c r="BF260" s="584">
        <v>0</v>
      </c>
      <c r="BG260" s="584">
        <v>0.42499999999999999</v>
      </c>
      <c r="BH260" s="584">
        <v>0</v>
      </c>
      <c r="BI260" s="584">
        <v>0.45</v>
      </c>
      <c r="BJ260" s="584">
        <v>195.268224912383</v>
      </c>
      <c r="BK260" s="584">
        <v>49</v>
      </c>
      <c r="BL260" s="584">
        <v>302.46200962324798</v>
      </c>
      <c r="BM260" s="584">
        <v>102.9</v>
      </c>
      <c r="BN260" s="584">
        <v>432.573237091122</v>
      </c>
      <c r="BO260" s="584">
        <v>215.6</v>
      </c>
      <c r="BP260" s="584">
        <v>0.4</v>
      </c>
      <c r="BQ260" s="584">
        <v>0.16</v>
      </c>
      <c r="BR260" s="584">
        <v>442.08878504672901</v>
      </c>
      <c r="BS260" s="584">
        <v>19.851880841121499</v>
      </c>
      <c r="BT260" s="584">
        <v>0</v>
      </c>
      <c r="BU260" s="584">
        <v>0</v>
      </c>
      <c r="BV260" s="584">
        <v>0</v>
      </c>
      <c r="BW260" s="584">
        <v>0</v>
      </c>
      <c r="BX260" s="584">
        <v>0</v>
      </c>
      <c r="BY260" s="584">
        <v>0</v>
      </c>
      <c r="BZ260" s="584">
        <v>0</v>
      </c>
      <c r="CA260" s="584">
        <v>0.4</v>
      </c>
      <c r="CB260" s="584">
        <v>0.4</v>
      </c>
      <c r="CC260" s="584">
        <v>0.3</v>
      </c>
      <c r="CD260" s="584">
        <v>0.3</v>
      </c>
      <c r="CE260" s="584">
        <v>189.75579999999999</v>
      </c>
      <c r="CF260" s="584">
        <v>49</v>
      </c>
      <c r="CG260" s="584">
        <v>292.61430000000001</v>
      </c>
      <c r="CH260" s="584">
        <v>102.9</v>
      </c>
      <c r="CI260" s="584">
        <v>404.9778</v>
      </c>
      <c r="CJ260" s="584">
        <v>215.6</v>
      </c>
      <c r="CK260" s="584">
        <v>0.42499999999999999</v>
      </c>
      <c r="CL260" s="584">
        <v>0.22</v>
      </c>
      <c r="CM260" s="584">
        <v>563.87850467289695</v>
      </c>
      <c r="CN260" s="584">
        <v>25.762570093457899</v>
      </c>
      <c r="CO260" s="584">
        <v>0</v>
      </c>
      <c r="CP260" s="584">
        <v>0</v>
      </c>
      <c r="CQ260" s="584">
        <v>0</v>
      </c>
      <c r="CR260" s="584">
        <v>0</v>
      </c>
      <c r="CS260" s="584">
        <v>0</v>
      </c>
      <c r="CT260" s="584">
        <v>0</v>
      </c>
      <c r="CU260" s="584">
        <v>0</v>
      </c>
      <c r="CV260" s="584">
        <v>0</v>
      </c>
      <c r="CW260" s="584">
        <v>0.42499999999999999</v>
      </c>
      <c r="CX260" s="584">
        <v>0</v>
      </c>
      <c r="CY260" s="584">
        <v>0.45</v>
      </c>
      <c r="CZ260" s="584">
        <v>208.53835000000001</v>
      </c>
      <c r="DA260" s="584">
        <v>49</v>
      </c>
      <c r="DB260" s="584">
        <v>325.62434999999999</v>
      </c>
      <c r="DC260" s="584">
        <v>102.9</v>
      </c>
      <c r="DD260" s="584">
        <v>477.39659999999998</v>
      </c>
      <c r="DE260" s="584">
        <v>215.6</v>
      </c>
      <c r="DF260" s="584">
        <v>0.35</v>
      </c>
      <c r="DG260" s="584">
        <v>0.2</v>
      </c>
      <c r="DH260" s="584">
        <v>312.494158878505</v>
      </c>
      <c r="DI260" s="584">
        <v>20.284120327102801</v>
      </c>
      <c r="DJ260" s="584">
        <v>300</v>
      </c>
      <c r="DK260" s="584">
        <v>0</v>
      </c>
      <c r="DL260" s="584">
        <v>0</v>
      </c>
      <c r="DM260" s="584">
        <v>0</v>
      </c>
      <c r="DN260" s="584">
        <v>0</v>
      </c>
      <c r="DO260" s="584">
        <v>0</v>
      </c>
      <c r="DP260" s="584">
        <v>0</v>
      </c>
      <c r="DQ260" s="584">
        <v>0</v>
      </c>
      <c r="DR260" s="584">
        <v>0.35</v>
      </c>
      <c r="DS260" s="584">
        <v>0</v>
      </c>
      <c r="DT260" s="584">
        <v>2.4</v>
      </c>
      <c r="DU260" s="584">
        <v>193.19012499999999</v>
      </c>
      <c r="DV260" s="584">
        <v>49</v>
      </c>
      <c r="DW260" s="584">
        <v>353.36075</v>
      </c>
      <c r="DX260" s="584">
        <v>102.9</v>
      </c>
      <c r="DY260" s="584">
        <v>481.3365</v>
      </c>
      <c r="DZ260" s="584">
        <v>215.6</v>
      </c>
      <c r="EA260" s="1062">
        <v>0.73060000000000003</v>
      </c>
      <c r="EB260" s="1046">
        <v>0.25</v>
      </c>
      <c r="EC260" s="1093">
        <v>132.51783893985731</v>
      </c>
      <c r="ED260" s="1046">
        <v>0</v>
      </c>
      <c r="EE260" s="1046">
        <v>346.58511722731902</v>
      </c>
      <c r="EF260" s="1046">
        <v>25.028571428571432</v>
      </c>
      <c r="EG260" s="1046">
        <v>0</v>
      </c>
      <c r="EH260" s="1046">
        <v>0</v>
      </c>
      <c r="EI260" s="1046" t="s">
        <v>442</v>
      </c>
      <c r="EJ260" s="1046" t="s">
        <v>494</v>
      </c>
      <c r="EK260" s="1046">
        <v>0</v>
      </c>
      <c r="EL260" s="1046">
        <v>0</v>
      </c>
      <c r="EM260" s="1046">
        <v>0</v>
      </c>
      <c r="EN260" s="1046">
        <v>0</v>
      </c>
      <c r="EO260" s="1046">
        <v>0</v>
      </c>
      <c r="EP260" s="1094">
        <v>96.107745999999992</v>
      </c>
      <c r="EQ260" s="1094">
        <v>49</v>
      </c>
      <c r="ER260" s="1094">
        <v>192.21549199999998</v>
      </c>
      <c r="ES260" s="1095">
        <v>98</v>
      </c>
      <c r="ET260" s="1094">
        <v>384.43098399999997</v>
      </c>
      <c r="EU260" s="1094">
        <v>196</v>
      </c>
      <c r="EV260" s="1096">
        <v>0.61339999999999995</v>
      </c>
      <c r="EW260" s="1097">
        <v>0.15</v>
      </c>
      <c r="EX260" s="1096">
        <v>289.50050968399592</v>
      </c>
      <c r="EY260" s="1096">
        <v>1.5443934760448521</v>
      </c>
      <c r="EZ260" s="1096">
        <v>0</v>
      </c>
      <c r="FA260" s="1096">
        <v>24.271428571428572</v>
      </c>
      <c r="FB260" s="1098">
        <v>0</v>
      </c>
      <c r="FC260" s="1098">
        <v>0</v>
      </c>
      <c r="FD260" s="1098" t="s">
        <v>446</v>
      </c>
      <c r="FE260" s="1098" t="s">
        <v>490</v>
      </c>
      <c r="FF260" s="1098">
        <v>2</v>
      </c>
      <c r="FG260" s="1098">
        <v>0</v>
      </c>
      <c r="FH260" s="1098">
        <v>0</v>
      </c>
      <c r="FI260" s="1098">
        <v>0</v>
      </c>
      <c r="FJ260" s="1098">
        <v>0</v>
      </c>
      <c r="FK260" s="1096">
        <v>74.764851875000005</v>
      </c>
      <c r="FL260" s="1096">
        <v>49</v>
      </c>
      <c r="FM260" s="1096">
        <v>149.52970375000001</v>
      </c>
      <c r="FN260" s="1096">
        <v>98</v>
      </c>
      <c r="FO260" s="1096">
        <v>299.05940750000002</v>
      </c>
      <c r="FP260" s="1099">
        <v>196</v>
      </c>
      <c r="FQ260" s="1064">
        <v>0.78643999999999992</v>
      </c>
      <c r="FR260" s="1065">
        <v>0.15</v>
      </c>
      <c r="FS260" s="1066">
        <v>289.50050968399586</v>
      </c>
      <c r="FT260" s="1066">
        <v>3.1547324150233758</v>
      </c>
      <c r="FU260" s="1065"/>
      <c r="FV260" s="1066">
        <v>35.013788167577758</v>
      </c>
      <c r="FW260" s="1065"/>
      <c r="FX260" s="1065"/>
      <c r="FY260" s="1065" t="s">
        <v>459</v>
      </c>
      <c r="FZ260" s="1065" t="s">
        <v>490</v>
      </c>
      <c r="GA260" s="1065">
        <v>1</v>
      </c>
      <c r="GB260" s="1065"/>
      <c r="GC260" s="1065"/>
      <c r="GD260" s="1065"/>
      <c r="GE260" s="1065"/>
      <c r="GF260" s="1066">
        <v>74.901806539712624</v>
      </c>
      <c r="GG260" s="1066">
        <v>49</v>
      </c>
      <c r="GH260" s="1066">
        <v>149.80361307942525</v>
      </c>
      <c r="GI260" s="1066">
        <v>98</v>
      </c>
      <c r="GJ260" s="1066">
        <v>299.60722615885049</v>
      </c>
      <c r="GK260" s="1066">
        <v>196</v>
      </c>
      <c r="GL260" s="584">
        <v>0.72860000000000003</v>
      </c>
      <c r="GM260" s="584">
        <v>0.13</v>
      </c>
      <c r="GN260" s="584"/>
      <c r="GO260" s="584"/>
      <c r="GP260" s="584"/>
      <c r="GQ260" s="584">
        <v>30.457142857142902</v>
      </c>
      <c r="GR260" s="584"/>
      <c r="GS260" s="584">
        <v>66.2589194699286</v>
      </c>
      <c r="GT260" s="584" t="s">
        <v>416</v>
      </c>
      <c r="GU260" s="584" t="s">
        <v>438</v>
      </c>
      <c r="GV260" s="584">
        <v>1</v>
      </c>
      <c r="GW260" s="584"/>
      <c r="GX260" s="584"/>
      <c r="GY260" s="584"/>
      <c r="GZ260" s="584"/>
      <c r="HA260" s="584">
        <v>47.147610999999998</v>
      </c>
      <c r="HB260" s="584">
        <v>49</v>
      </c>
      <c r="HC260" s="584">
        <v>94.295221999999995</v>
      </c>
      <c r="HD260" s="584">
        <v>98</v>
      </c>
      <c r="HE260" s="584">
        <v>188.59044399999999</v>
      </c>
      <c r="HF260" s="584">
        <v>196</v>
      </c>
      <c r="HG260" s="1100">
        <v>0.93</v>
      </c>
      <c r="HH260" s="1100">
        <v>0.13</v>
      </c>
      <c r="HI260" s="1101">
        <v>0</v>
      </c>
      <c r="HJ260" s="1101">
        <v>0</v>
      </c>
      <c r="HK260" s="1101">
        <v>0</v>
      </c>
      <c r="HL260" s="1101">
        <v>0</v>
      </c>
      <c r="HM260" s="1101">
        <v>39.908571428571427</v>
      </c>
      <c r="HN260" s="1101">
        <v>65</v>
      </c>
      <c r="HO260" s="1101">
        <v>0</v>
      </c>
      <c r="HP260" s="1101">
        <v>0</v>
      </c>
      <c r="HQ260" s="1101">
        <v>1</v>
      </c>
      <c r="HR260" s="1101">
        <v>0.8</v>
      </c>
      <c r="HS260" s="1101">
        <v>0.68</v>
      </c>
      <c r="HT260" s="1101">
        <v>0.3</v>
      </c>
      <c r="HU260" s="1101">
        <v>0.28000000000000003</v>
      </c>
      <c r="HV260" s="1101">
        <v>48.132125299999998</v>
      </c>
      <c r="HW260" s="1101">
        <v>49</v>
      </c>
      <c r="HX260" s="1101">
        <v>96.264250599999997</v>
      </c>
      <c r="HY260" s="1101">
        <v>98</v>
      </c>
      <c r="HZ260" s="1101">
        <v>192.52850119999999</v>
      </c>
      <c r="IA260" s="1101">
        <v>196</v>
      </c>
      <c r="IB260" s="1062"/>
      <c r="ID260" s="1050"/>
      <c r="IE260" s="1050"/>
      <c r="IM260" s="1050"/>
      <c r="IN260" s="1050"/>
      <c r="IO260" s="1050"/>
      <c r="IP260" s="1050"/>
      <c r="JU260" s="1050"/>
      <c r="KC260" s="1050"/>
      <c r="KD260" s="1050"/>
      <c r="KE260" s="1050"/>
      <c r="KF260" s="1050"/>
      <c r="KN260" s="1103"/>
    </row>
    <row r="261" spans="2:300">
      <c r="B261" s="1048" t="str">
        <f t="shared" si="8"/>
        <v>H78</v>
      </c>
      <c r="C261" s="1046">
        <v>7</v>
      </c>
      <c r="D261" s="1046">
        <v>8</v>
      </c>
      <c r="E261" s="584">
        <v>0.28999999999999998</v>
      </c>
      <c r="F261" s="584">
        <v>0.28999999999999998</v>
      </c>
      <c r="G261" s="584">
        <v>696</v>
      </c>
      <c r="H261" s="584">
        <v>23.78</v>
      </c>
      <c r="I261" s="584">
        <v>0</v>
      </c>
      <c r="J261" s="584">
        <v>0</v>
      </c>
      <c r="K261" s="584">
        <v>0</v>
      </c>
      <c r="L261" s="584">
        <v>0</v>
      </c>
      <c r="M261" s="584">
        <v>0</v>
      </c>
      <c r="N261" s="584">
        <v>0</v>
      </c>
      <c r="O261" s="584">
        <v>0</v>
      </c>
      <c r="P261" s="584">
        <v>0</v>
      </c>
      <c r="Q261" s="584">
        <v>0</v>
      </c>
      <c r="R261" s="584">
        <v>0</v>
      </c>
      <c r="S261" s="584">
        <v>0</v>
      </c>
      <c r="T261" s="584">
        <v>245.18043750000001</v>
      </c>
      <c r="U261" s="584">
        <v>56</v>
      </c>
      <c r="V261" s="584">
        <v>412.5834375</v>
      </c>
      <c r="W261" s="584">
        <v>117.6</v>
      </c>
      <c r="X261" s="584">
        <v>634.23099999999999</v>
      </c>
      <c r="Y261" s="584">
        <v>246.4</v>
      </c>
      <c r="Z261" s="584">
        <v>0.245</v>
      </c>
      <c r="AA261" s="584">
        <v>0.245</v>
      </c>
      <c r="AB261" s="584">
        <v>588</v>
      </c>
      <c r="AC261" s="584">
        <v>19</v>
      </c>
      <c r="AD261" s="584">
        <v>0</v>
      </c>
      <c r="AE261" s="584">
        <v>0</v>
      </c>
      <c r="AF261" s="584">
        <v>0</v>
      </c>
      <c r="AG261" s="584">
        <v>0</v>
      </c>
      <c r="AH261" s="584">
        <v>0</v>
      </c>
      <c r="AI261" s="584">
        <v>0</v>
      </c>
      <c r="AJ261" s="584">
        <v>0</v>
      </c>
      <c r="AK261" s="584">
        <v>0</v>
      </c>
      <c r="AL261" s="584">
        <v>0</v>
      </c>
      <c r="AM261" s="584">
        <v>0</v>
      </c>
      <c r="AN261" s="584">
        <v>0</v>
      </c>
      <c r="AO261" s="584">
        <v>227.69793749999999</v>
      </c>
      <c r="AP261" s="584">
        <v>56</v>
      </c>
      <c r="AQ261" s="584">
        <v>377.61843750000003</v>
      </c>
      <c r="AR261" s="584">
        <v>117.6</v>
      </c>
      <c r="AS261" s="584">
        <v>564.93100000000004</v>
      </c>
      <c r="AT261" s="584">
        <v>246.4</v>
      </c>
      <c r="AU261" s="584">
        <v>0.5</v>
      </c>
      <c r="AV261" s="584">
        <v>0.28999999999999998</v>
      </c>
      <c r="AW261" s="584">
        <v>498.23031684522402</v>
      </c>
      <c r="AX261" s="584">
        <v>32.7541987690905</v>
      </c>
      <c r="AY261" s="584">
        <v>0</v>
      </c>
      <c r="AZ261" s="584">
        <v>0</v>
      </c>
      <c r="BA261" s="584">
        <v>0</v>
      </c>
      <c r="BB261" s="584">
        <v>0</v>
      </c>
      <c r="BC261" s="584">
        <v>0</v>
      </c>
      <c r="BD261" s="584">
        <v>0</v>
      </c>
      <c r="BE261" s="584">
        <v>0</v>
      </c>
      <c r="BF261" s="584">
        <v>0</v>
      </c>
      <c r="BG261" s="584">
        <v>0.5</v>
      </c>
      <c r="BH261" s="584">
        <v>0</v>
      </c>
      <c r="BI261" s="584">
        <v>0.45</v>
      </c>
      <c r="BJ261" s="584">
        <v>219.966799441532</v>
      </c>
      <c r="BK261" s="584">
        <v>56</v>
      </c>
      <c r="BL261" s="584">
        <v>350.33289888306399</v>
      </c>
      <c r="BM261" s="584">
        <v>117.6</v>
      </c>
      <c r="BN261" s="584">
        <v>503.42938247093701</v>
      </c>
      <c r="BO261" s="584">
        <v>246.4</v>
      </c>
      <c r="BP261" s="584">
        <v>0.5</v>
      </c>
      <c r="BQ261" s="584">
        <v>0.17</v>
      </c>
      <c r="BR261" s="584">
        <v>477.790517437885</v>
      </c>
      <c r="BS261" s="584">
        <v>23.268556530658799</v>
      </c>
      <c r="BT261" s="584">
        <v>0</v>
      </c>
      <c r="BU261" s="584">
        <v>0</v>
      </c>
      <c r="BV261" s="584">
        <v>0</v>
      </c>
      <c r="BW261" s="584">
        <v>0</v>
      </c>
      <c r="BX261" s="584">
        <v>0</v>
      </c>
      <c r="BY261" s="584">
        <v>0</v>
      </c>
      <c r="BZ261" s="584">
        <v>0</v>
      </c>
      <c r="CA261" s="584">
        <v>0.4</v>
      </c>
      <c r="CB261" s="584">
        <v>0.5</v>
      </c>
      <c r="CC261" s="584">
        <v>0.3</v>
      </c>
      <c r="CD261" s="584">
        <v>0.3</v>
      </c>
      <c r="CE261" s="584">
        <v>216.03585000000001</v>
      </c>
      <c r="CF261" s="584">
        <v>56</v>
      </c>
      <c r="CG261" s="584">
        <v>345.39134999999999</v>
      </c>
      <c r="CH261" s="584">
        <v>117.6</v>
      </c>
      <c r="CI261" s="584">
        <v>479.76159999999999</v>
      </c>
      <c r="CJ261" s="584">
        <v>246.4</v>
      </c>
      <c r="CK261" s="584">
        <v>0.5</v>
      </c>
      <c r="CL261" s="584">
        <v>0.22</v>
      </c>
      <c r="CM261" s="584">
        <v>575.73056758605003</v>
      </c>
      <c r="CN261" s="584">
        <v>25.851882265785299</v>
      </c>
      <c r="CO261" s="584">
        <v>0</v>
      </c>
      <c r="CP261" s="584">
        <v>0</v>
      </c>
      <c r="CQ261" s="584">
        <v>0</v>
      </c>
      <c r="CR261" s="584">
        <v>0</v>
      </c>
      <c r="CS261" s="584">
        <v>0</v>
      </c>
      <c r="CT261" s="584">
        <v>0</v>
      </c>
      <c r="CU261" s="584">
        <v>0</v>
      </c>
      <c r="CV261" s="584">
        <v>0</v>
      </c>
      <c r="CW261" s="584">
        <v>0.5</v>
      </c>
      <c r="CX261" s="584">
        <v>0</v>
      </c>
      <c r="CY261" s="584">
        <v>0.45</v>
      </c>
      <c r="CZ261" s="584">
        <v>234.17609999999999</v>
      </c>
      <c r="DA261" s="584">
        <v>56</v>
      </c>
      <c r="DB261" s="584">
        <v>375.2466</v>
      </c>
      <c r="DC261" s="584">
        <v>117.6</v>
      </c>
      <c r="DD261" s="584">
        <v>550.95060000000001</v>
      </c>
      <c r="DE261" s="584">
        <v>246.4</v>
      </c>
      <c r="DF261" s="584">
        <v>0.35</v>
      </c>
      <c r="DG261" s="584">
        <v>0.2</v>
      </c>
      <c r="DH261" s="584">
        <v>310.98330294050601</v>
      </c>
      <c r="DI261" s="584">
        <v>18.9512255527695</v>
      </c>
      <c r="DJ261" s="584">
        <v>300</v>
      </c>
      <c r="DK261" s="584">
        <v>0</v>
      </c>
      <c r="DL261" s="584">
        <v>0</v>
      </c>
      <c r="DM261" s="584">
        <v>0</v>
      </c>
      <c r="DN261" s="584">
        <v>0</v>
      </c>
      <c r="DO261" s="584">
        <v>0</v>
      </c>
      <c r="DP261" s="584">
        <v>0</v>
      </c>
      <c r="DQ261" s="584">
        <v>0</v>
      </c>
      <c r="DR261" s="584">
        <v>0.35</v>
      </c>
      <c r="DS261" s="584">
        <v>0</v>
      </c>
      <c r="DT261" s="584">
        <v>2.4</v>
      </c>
      <c r="DU261" s="584">
        <v>213.32062500000001</v>
      </c>
      <c r="DV261" s="584">
        <v>56</v>
      </c>
      <c r="DW261" s="584">
        <v>387.60124999999999</v>
      </c>
      <c r="DX261" s="584">
        <v>117.6</v>
      </c>
      <c r="DY261" s="584">
        <v>548.86649999999997</v>
      </c>
      <c r="DZ261" s="584">
        <v>246.4</v>
      </c>
      <c r="EA261" s="1062">
        <v>0.73060000000000003</v>
      </c>
      <c r="EB261" s="1046">
        <v>0.25</v>
      </c>
      <c r="EC261" s="1093">
        <v>132.51783893985731</v>
      </c>
      <c r="ED261" s="1046">
        <v>0</v>
      </c>
      <c r="EE261" s="1046">
        <v>346.58511722731902</v>
      </c>
      <c r="EF261" s="1046">
        <v>23.94821428571429</v>
      </c>
      <c r="EG261" s="1046">
        <v>0</v>
      </c>
      <c r="EH261" s="1046">
        <v>0</v>
      </c>
      <c r="EI261" s="1046" t="s">
        <v>442</v>
      </c>
      <c r="EJ261" s="1046" t="s">
        <v>479</v>
      </c>
      <c r="EK261" s="1046">
        <v>0</v>
      </c>
      <c r="EL261" s="1046">
        <v>0</v>
      </c>
      <c r="EM261" s="1046">
        <v>0</v>
      </c>
      <c r="EN261" s="1046">
        <v>0</v>
      </c>
      <c r="EO261" s="1046">
        <v>0</v>
      </c>
      <c r="EP261" s="1094">
        <v>109.68904775</v>
      </c>
      <c r="EQ261" s="1094">
        <v>56</v>
      </c>
      <c r="ER261" s="1094">
        <v>219.3780955</v>
      </c>
      <c r="ES261" s="1095">
        <v>112</v>
      </c>
      <c r="ET261" s="1094">
        <v>438.756191</v>
      </c>
      <c r="EU261" s="1094">
        <v>224</v>
      </c>
      <c r="EV261" s="1096">
        <v>0.68310000000000004</v>
      </c>
      <c r="EW261" s="1097">
        <v>0.15</v>
      </c>
      <c r="EX261" s="1096">
        <v>289.50050968399592</v>
      </c>
      <c r="EY261" s="1096">
        <v>1.5443934760448521</v>
      </c>
      <c r="EZ261" s="1096">
        <v>0</v>
      </c>
      <c r="FA261" s="1096">
        <v>24.369642857142853</v>
      </c>
      <c r="FB261" s="1098">
        <v>0</v>
      </c>
      <c r="FC261" s="1098">
        <v>0</v>
      </c>
      <c r="FD261" s="1098" t="s">
        <v>430</v>
      </c>
      <c r="FE261" s="1098" t="s">
        <v>481</v>
      </c>
      <c r="FF261" s="1098">
        <v>2</v>
      </c>
      <c r="FG261" s="1098">
        <v>0</v>
      </c>
      <c r="FH261" s="1098">
        <v>0</v>
      </c>
      <c r="FI261" s="1098">
        <v>0</v>
      </c>
      <c r="FJ261" s="1098">
        <v>0</v>
      </c>
      <c r="FK261" s="1096">
        <v>85.459033749999989</v>
      </c>
      <c r="FL261" s="1096">
        <v>56</v>
      </c>
      <c r="FM261" s="1096">
        <v>170.91806749999998</v>
      </c>
      <c r="FN261" s="1096">
        <v>112</v>
      </c>
      <c r="FO261" s="1096">
        <v>341.83613499999996</v>
      </c>
      <c r="FP261" s="1099">
        <v>224</v>
      </c>
      <c r="FQ261" s="1064">
        <v>0.7847599999999999</v>
      </c>
      <c r="FR261" s="1065">
        <v>0.15</v>
      </c>
      <c r="FS261" s="1066">
        <v>289.50050968399586</v>
      </c>
      <c r="FT261" s="1066">
        <v>3.1547324150233758</v>
      </c>
      <c r="FU261" s="1065"/>
      <c r="FV261" s="1066">
        <v>37.913754282864637</v>
      </c>
      <c r="FW261" s="1065"/>
      <c r="FX261" s="1065"/>
      <c r="FY261" s="1065" t="s">
        <v>452</v>
      </c>
      <c r="FZ261" s="1065" t="s">
        <v>479</v>
      </c>
      <c r="GA261" s="1065">
        <v>1</v>
      </c>
      <c r="GB261" s="1065"/>
      <c r="GC261" s="1065"/>
      <c r="GD261" s="1065"/>
      <c r="GE261" s="1065"/>
      <c r="GF261" s="1066">
        <v>86.000345963087938</v>
      </c>
      <c r="GG261" s="1066">
        <v>56</v>
      </c>
      <c r="GH261" s="1066">
        <v>172.00069192617588</v>
      </c>
      <c r="GI261" s="1066">
        <v>112</v>
      </c>
      <c r="GJ261" s="1066">
        <v>344.00138385235175</v>
      </c>
      <c r="GK261" s="1066">
        <v>224</v>
      </c>
      <c r="GL261" s="584">
        <v>0.72860000000000003</v>
      </c>
      <c r="GM261" s="584">
        <v>0.13</v>
      </c>
      <c r="GN261" s="584"/>
      <c r="GO261" s="584"/>
      <c r="GP261" s="584"/>
      <c r="GQ261" s="584">
        <v>33.596428571428604</v>
      </c>
      <c r="GR261" s="584"/>
      <c r="GS261" s="584">
        <v>66.2589194699286</v>
      </c>
      <c r="GT261" s="584" t="s">
        <v>416</v>
      </c>
      <c r="GU261" s="584" t="s">
        <v>416</v>
      </c>
      <c r="GV261" s="584">
        <v>1</v>
      </c>
      <c r="GW261" s="584"/>
      <c r="GX261" s="584"/>
      <c r="GY261" s="584"/>
      <c r="GZ261" s="584"/>
      <c r="HA261" s="584">
        <v>54.314133499999997</v>
      </c>
      <c r="HB261" s="584">
        <v>56</v>
      </c>
      <c r="HC261" s="584">
        <v>108.62826699999999</v>
      </c>
      <c r="HD261" s="584">
        <v>112</v>
      </c>
      <c r="HE261" s="584">
        <v>217.25653399999999</v>
      </c>
      <c r="HF261" s="584">
        <v>224</v>
      </c>
      <c r="HG261" s="1100">
        <v>1.01</v>
      </c>
      <c r="HH261" s="1100">
        <v>0.13</v>
      </c>
      <c r="HI261" s="1101">
        <v>0</v>
      </c>
      <c r="HJ261" s="1101">
        <v>0</v>
      </c>
      <c r="HK261" s="1101">
        <v>0</v>
      </c>
      <c r="HL261" s="1101">
        <v>0</v>
      </c>
      <c r="HM261" s="1101">
        <v>42.660000000000004</v>
      </c>
      <c r="HN261" s="1101">
        <v>65</v>
      </c>
      <c r="HO261" s="1101">
        <v>0</v>
      </c>
      <c r="HP261" s="1101">
        <v>0</v>
      </c>
      <c r="HQ261" s="1101">
        <v>1</v>
      </c>
      <c r="HR261" s="1101">
        <v>0.88</v>
      </c>
      <c r="HS261" s="1101">
        <v>0.8</v>
      </c>
      <c r="HT261" s="1101">
        <v>0.28000000000000003</v>
      </c>
      <c r="HU261" s="1101">
        <v>0.28000000000000003</v>
      </c>
      <c r="HV261" s="1101">
        <v>55.386024399999997</v>
      </c>
      <c r="HW261" s="1101">
        <v>56</v>
      </c>
      <c r="HX261" s="1101">
        <v>110.77204879999999</v>
      </c>
      <c r="HY261" s="1101">
        <v>112</v>
      </c>
      <c r="HZ261" s="1101">
        <v>221.54409759999999</v>
      </c>
      <c r="IA261" s="1101">
        <v>224</v>
      </c>
      <c r="IB261" s="1062"/>
      <c r="ID261" s="1050"/>
      <c r="IE261" s="1050"/>
      <c r="IM261" s="1050"/>
      <c r="IN261" s="1050"/>
      <c r="IO261" s="1050"/>
      <c r="IP261" s="1050"/>
      <c r="JU261" s="1050"/>
      <c r="KC261" s="1050"/>
      <c r="KD261" s="1050"/>
      <c r="KE261" s="1050"/>
      <c r="KF261" s="1050"/>
      <c r="KN261" s="1103"/>
    </row>
    <row r="262" spans="2:300">
      <c r="B262" s="1048" t="str">
        <f t="shared" si="8"/>
        <v>H79</v>
      </c>
      <c r="C262" s="1046">
        <v>7</v>
      </c>
      <c r="D262" s="1046">
        <v>9</v>
      </c>
      <c r="E262" s="584">
        <v>0.35499999999999998</v>
      </c>
      <c r="F262" s="584">
        <v>0.35499999999999998</v>
      </c>
      <c r="G262" s="584">
        <v>852</v>
      </c>
      <c r="H262" s="584">
        <v>24.14</v>
      </c>
      <c r="I262" s="584">
        <v>0</v>
      </c>
      <c r="J262" s="584">
        <v>0</v>
      </c>
      <c r="K262" s="584">
        <v>0</v>
      </c>
      <c r="L262" s="584">
        <v>0</v>
      </c>
      <c r="M262" s="584">
        <v>0</v>
      </c>
      <c r="N262" s="584">
        <v>0</v>
      </c>
      <c r="O262" s="584">
        <v>0</v>
      </c>
      <c r="P262" s="584">
        <v>0</v>
      </c>
      <c r="Q262" s="584">
        <v>0</v>
      </c>
      <c r="R262" s="584">
        <v>0</v>
      </c>
      <c r="S262" s="584">
        <v>0</v>
      </c>
      <c r="T262" s="584">
        <v>297.6966875</v>
      </c>
      <c r="U262" s="584">
        <v>63</v>
      </c>
      <c r="V262" s="584">
        <v>520.34231250000005</v>
      </c>
      <c r="W262" s="584">
        <v>132.30000000000001</v>
      </c>
      <c r="X262" s="584">
        <v>824.99850000000004</v>
      </c>
      <c r="Y262" s="584">
        <v>277.2</v>
      </c>
      <c r="Z262" s="584">
        <v>0.27500000000000002</v>
      </c>
      <c r="AA262" s="584">
        <v>0.27500000000000002</v>
      </c>
      <c r="AB262" s="584">
        <v>660</v>
      </c>
      <c r="AC262" s="584">
        <v>20</v>
      </c>
      <c r="AD262" s="584">
        <v>0</v>
      </c>
      <c r="AE262" s="584">
        <v>0</v>
      </c>
      <c r="AF262" s="584">
        <v>0</v>
      </c>
      <c r="AG262" s="584">
        <v>0</v>
      </c>
      <c r="AH262" s="584">
        <v>0</v>
      </c>
      <c r="AI262" s="584">
        <v>0</v>
      </c>
      <c r="AJ262" s="584">
        <v>0</v>
      </c>
      <c r="AK262" s="584">
        <v>0</v>
      </c>
      <c r="AL262" s="584">
        <v>0</v>
      </c>
      <c r="AM262" s="584">
        <v>0</v>
      </c>
      <c r="AN262" s="584">
        <v>0</v>
      </c>
      <c r="AO262" s="584">
        <v>262.91668750000002</v>
      </c>
      <c r="AP262" s="584">
        <v>63</v>
      </c>
      <c r="AQ262" s="584">
        <v>450.41231249999998</v>
      </c>
      <c r="AR262" s="584">
        <v>132.30000000000001</v>
      </c>
      <c r="AS262" s="584">
        <v>686.39850000000001</v>
      </c>
      <c r="AT262" s="584">
        <v>277.2</v>
      </c>
      <c r="AU262" s="584">
        <v>0.6</v>
      </c>
      <c r="AV262" s="584">
        <v>0.28999999999999998</v>
      </c>
      <c r="AW262" s="584">
        <v>498.65007720438803</v>
      </c>
      <c r="AX262" s="584">
        <v>32.822433969930898</v>
      </c>
      <c r="AY262" s="584">
        <v>0</v>
      </c>
      <c r="AZ262" s="584">
        <v>0</v>
      </c>
      <c r="BA262" s="584">
        <v>0</v>
      </c>
      <c r="BB262" s="584">
        <v>0</v>
      </c>
      <c r="BC262" s="584">
        <v>0</v>
      </c>
      <c r="BD262" s="584">
        <v>0</v>
      </c>
      <c r="BE262" s="584">
        <v>0</v>
      </c>
      <c r="BF262" s="584">
        <v>0</v>
      </c>
      <c r="BG262" s="584">
        <v>0.6</v>
      </c>
      <c r="BH262" s="584">
        <v>0</v>
      </c>
      <c r="BI262" s="584">
        <v>0.45</v>
      </c>
      <c r="BJ262" s="584">
        <v>241.67080411418101</v>
      </c>
      <c r="BK262" s="584">
        <v>63</v>
      </c>
      <c r="BL262" s="584">
        <v>391.99293061255599</v>
      </c>
      <c r="BM262" s="584">
        <v>132.30000000000001</v>
      </c>
      <c r="BN262" s="584">
        <v>563.50412553839897</v>
      </c>
      <c r="BO262" s="584">
        <v>277.2</v>
      </c>
      <c r="BP262" s="584">
        <v>0.625</v>
      </c>
      <c r="BQ262" s="584">
        <v>0.18</v>
      </c>
      <c r="BR262" s="584">
        <v>518.381349045104</v>
      </c>
      <c r="BS262" s="584">
        <v>28.771808715969101</v>
      </c>
      <c r="BT262" s="584">
        <v>0</v>
      </c>
      <c r="BU262" s="584">
        <v>0</v>
      </c>
      <c r="BV262" s="584">
        <v>0</v>
      </c>
      <c r="BW262" s="584">
        <v>0</v>
      </c>
      <c r="BX262" s="584">
        <v>0</v>
      </c>
      <c r="BY262" s="584">
        <v>0</v>
      </c>
      <c r="BZ262" s="584">
        <v>0</v>
      </c>
      <c r="CA262" s="584">
        <v>0.4</v>
      </c>
      <c r="CB262" s="584">
        <v>0.625</v>
      </c>
      <c r="CC262" s="584">
        <v>0.3</v>
      </c>
      <c r="CD262" s="584">
        <v>0.3</v>
      </c>
      <c r="CE262" s="584">
        <v>245.16765000000001</v>
      </c>
      <c r="CF262" s="584">
        <v>63</v>
      </c>
      <c r="CG262" s="584">
        <v>402.853275</v>
      </c>
      <c r="CH262" s="584">
        <v>132.30000000000001</v>
      </c>
      <c r="CI262" s="584">
        <v>561.31590000000006</v>
      </c>
      <c r="CJ262" s="584">
        <v>277.2</v>
      </c>
      <c r="CK262" s="584">
        <v>0.6</v>
      </c>
      <c r="CL262" s="584">
        <v>0.22</v>
      </c>
      <c r="CM262" s="584">
        <v>590.27224705404296</v>
      </c>
      <c r="CN262" s="584">
        <v>25.9410925436814</v>
      </c>
      <c r="CO262" s="584">
        <v>0</v>
      </c>
      <c r="CP262" s="584">
        <v>0</v>
      </c>
      <c r="CQ262" s="584">
        <v>0</v>
      </c>
      <c r="CR262" s="584">
        <v>0</v>
      </c>
      <c r="CS262" s="584">
        <v>0</v>
      </c>
      <c r="CT262" s="584">
        <v>0</v>
      </c>
      <c r="CU262" s="584">
        <v>0</v>
      </c>
      <c r="CV262" s="584">
        <v>0</v>
      </c>
      <c r="CW262" s="584">
        <v>0.6</v>
      </c>
      <c r="CX262" s="584">
        <v>0</v>
      </c>
      <c r="CY262" s="584">
        <v>0.6</v>
      </c>
      <c r="CZ262" s="584">
        <v>260.31560000000002</v>
      </c>
      <c r="DA262" s="584">
        <v>63</v>
      </c>
      <c r="DB262" s="584">
        <v>425.93310000000002</v>
      </c>
      <c r="DC262" s="584">
        <v>132.30000000000001</v>
      </c>
      <c r="DD262" s="584">
        <v>628.6626</v>
      </c>
      <c r="DE262" s="584">
        <v>277.2</v>
      </c>
      <c r="DF262" s="584">
        <v>0.375</v>
      </c>
      <c r="DG262" s="584">
        <v>0.2</v>
      </c>
      <c r="DH262" s="584">
        <v>331.36148923201898</v>
      </c>
      <c r="DI262" s="584">
        <v>18.542207740755799</v>
      </c>
      <c r="DJ262" s="584">
        <v>300</v>
      </c>
      <c r="DK262" s="584">
        <v>0</v>
      </c>
      <c r="DL262" s="584">
        <v>0</v>
      </c>
      <c r="DM262" s="584">
        <v>0</v>
      </c>
      <c r="DN262" s="584">
        <v>0</v>
      </c>
      <c r="DO262" s="584">
        <v>0</v>
      </c>
      <c r="DP262" s="584">
        <v>0</v>
      </c>
      <c r="DQ262" s="584">
        <v>0</v>
      </c>
      <c r="DR262" s="584">
        <v>0.375</v>
      </c>
      <c r="DS262" s="584">
        <v>0</v>
      </c>
      <c r="DT262" s="584">
        <v>2.4</v>
      </c>
      <c r="DU262" s="584">
        <v>236.94312500000001</v>
      </c>
      <c r="DV262" s="584">
        <v>63</v>
      </c>
      <c r="DW262" s="584">
        <v>428.65249999999997</v>
      </c>
      <c r="DX262" s="584">
        <v>132.30000000000001</v>
      </c>
      <c r="DY262" s="584">
        <v>629.83574999999996</v>
      </c>
      <c r="DZ262" s="584">
        <v>277.2</v>
      </c>
      <c r="EA262" s="1062">
        <v>0.79200000000000004</v>
      </c>
      <c r="EB262" s="1046">
        <v>0.3</v>
      </c>
      <c r="EC262" s="1093">
        <v>132.51783893985731</v>
      </c>
      <c r="ED262" s="1046">
        <v>0</v>
      </c>
      <c r="EE262" s="1046">
        <v>397.55351681957183</v>
      </c>
      <c r="EF262" s="1046">
        <v>27.519047619047615</v>
      </c>
      <c r="EG262" s="1046">
        <v>0</v>
      </c>
      <c r="EH262" s="1046">
        <v>0</v>
      </c>
      <c r="EI262" s="1046" t="s">
        <v>440</v>
      </c>
      <c r="EJ262" s="1046" t="s">
        <v>466</v>
      </c>
      <c r="EK262" s="1046">
        <v>0</v>
      </c>
      <c r="EL262" s="1046">
        <v>0</v>
      </c>
      <c r="EM262" s="1046">
        <v>0</v>
      </c>
      <c r="EN262" s="1046">
        <v>0</v>
      </c>
      <c r="EO262" s="1046">
        <v>0</v>
      </c>
      <c r="EP262" s="1094">
        <v>131.82689925</v>
      </c>
      <c r="EQ262" s="1094">
        <v>63</v>
      </c>
      <c r="ER262" s="1094">
        <v>263.65379849999999</v>
      </c>
      <c r="ES262" s="1095">
        <v>126</v>
      </c>
      <c r="ET262" s="1094">
        <v>527.30759699999999</v>
      </c>
      <c r="EU262" s="1094">
        <v>252</v>
      </c>
      <c r="EV262" s="1096">
        <v>0.68670000000000009</v>
      </c>
      <c r="EW262" s="1097">
        <v>0.15</v>
      </c>
      <c r="EX262" s="1096">
        <v>289.50050968399592</v>
      </c>
      <c r="EY262" s="1096">
        <v>1.5443934760448521</v>
      </c>
      <c r="EZ262" s="1096">
        <v>0</v>
      </c>
      <c r="FA262" s="1096">
        <v>24.079365079365079</v>
      </c>
      <c r="FB262" s="1098">
        <v>0</v>
      </c>
      <c r="FC262" s="1098">
        <v>0</v>
      </c>
      <c r="FD262" s="1098" t="s">
        <v>429</v>
      </c>
      <c r="FE262" s="1098" t="s">
        <v>481</v>
      </c>
      <c r="FF262" s="1098">
        <v>2</v>
      </c>
      <c r="FG262" s="1098">
        <v>0</v>
      </c>
      <c r="FH262" s="1098">
        <v>0</v>
      </c>
      <c r="FI262" s="1098">
        <v>0</v>
      </c>
      <c r="FJ262" s="1098">
        <v>0</v>
      </c>
      <c r="FK262" s="1096">
        <v>96.096562875000004</v>
      </c>
      <c r="FL262" s="1096">
        <v>63</v>
      </c>
      <c r="FM262" s="1096">
        <v>192.19312575000001</v>
      </c>
      <c r="FN262" s="1096">
        <v>126</v>
      </c>
      <c r="FO262" s="1096">
        <v>384.38625150000001</v>
      </c>
      <c r="FP262" s="1099">
        <v>252</v>
      </c>
      <c r="FQ262" s="1064">
        <v>0.99419999999999997</v>
      </c>
      <c r="FR262" s="1065">
        <v>0.15</v>
      </c>
      <c r="FS262" s="1066">
        <v>289.50050968399586</v>
      </c>
      <c r="FT262" s="1066">
        <v>3.1547324150233758</v>
      </c>
      <c r="FU262" s="1065"/>
      <c r="FV262" s="1066">
        <v>41.191322396727664</v>
      </c>
      <c r="FW262" s="1065"/>
      <c r="FX262" s="1065"/>
      <c r="FY262" s="1065" t="s">
        <v>414</v>
      </c>
      <c r="FZ262" s="1065" t="s">
        <v>461</v>
      </c>
      <c r="GA262" s="1065">
        <v>1</v>
      </c>
      <c r="GB262" s="1065"/>
      <c r="GC262" s="1065"/>
      <c r="GD262" s="1065"/>
      <c r="GE262" s="1065"/>
      <c r="GF262" s="1066">
        <v>97.256798063826636</v>
      </c>
      <c r="GG262" s="1066">
        <v>63</v>
      </c>
      <c r="GH262" s="1066">
        <v>194.51359612765327</v>
      </c>
      <c r="GI262" s="1066">
        <v>126</v>
      </c>
      <c r="GJ262" s="1066">
        <v>389.02719225530655</v>
      </c>
      <c r="GK262" s="1066">
        <v>252</v>
      </c>
      <c r="GL262" s="584">
        <v>0.73260000000000003</v>
      </c>
      <c r="GM262" s="584">
        <v>0.13</v>
      </c>
      <c r="GN262" s="584"/>
      <c r="GO262" s="584"/>
      <c r="GP262" s="584"/>
      <c r="GQ262" s="584">
        <v>38.0031746031746</v>
      </c>
      <c r="GR262" s="584"/>
      <c r="GS262" s="584">
        <v>66.2589194699286</v>
      </c>
      <c r="GT262" s="584" t="s">
        <v>416</v>
      </c>
      <c r="GU262" s="584" t="s">
        <v>410</v>
      </c>
      <c r="GV262" s="584">
        <v>1</v>
      </c>
      <c r="GW262" s="584"/>
      <c r="GX262" s="584"/>
      <c r="GY262" s="584"/>
      <c r="GZ262" s="584"/>
      <c r="HA262" s="584">
        <v>61.7842755</v>
      </c>
      <c r="HB262" s="584">
        <v>63</v>
      </c>
      <c r="HC262" s="584">
        <v>123.568551</v>
      </c>
      <c r="HD262" s="584">
        <v>126</v>
      </c>
      <c r="HE262" s="584">
        <v>247.137102</v>
      </c>
      <c r="HF262" s="584">
        <v>252</v>
      </c>
      <c r="HG262" s="1100">
        <v>1.05</v>
      </c>
      <c r="HH262" s="1100">
        <v>0.13</v>
      </c>
      <c r="HI262" s="1101">
        <v>0</v>
      </c>
      <c r="HJ262" s="1101">
        <v>0</v>
      </c>
      <c r="HK262" s="1101">
        <v>0</v>
      </c>
      <c r="HL262" s="1101">
        <v>0</v>
      </c>
      <c r="HM262" s="1101">
        <v>46.92</v>
      </c>
      <c r="HN262" s="1101">
        <v>65</v>
      </c>
      <c r="HO262" s="1101">
        <v>0</v>
      </c>
      <c r="HP262" s="1101">
        <v>0</v>
      </c>
      <c r="HQ262" s="1101">
        <v>1</v>
      </c>
      <c r="HR262" s="1101">
        <v>0.92</v>
      </c>
      <c r="HS262" s="1101">
        <v>0.92</v>
      </c>
      <c r="HT262" s="1101">
        <v>0.3</v>
      </c>
      <c r="HU262" s="1101">
        <v>0.28000000000000003</v>
      </c>
      <c r="HV262" s="1101">
        <v>62.967479400000002</v>
      </c>
      <c r="HW262" s="1101">
        <v>63</v>
      </c>
      <c r="HX262" s="1101">
        <v>125.9349588</v>
      </c>
      <c r="HY262" s="1101">
        <v>126</v>
      </c>
      <c r="HZ262" s="1101">
        <v>251.86991760000001</v>
      </c>
      <c r="IA262" s="1101">
        <v>252</v>
      </c>
      <c r="IB262" s="1062"/>
      <c r="ID262" s="1050"/>
      <c r="IE262" s="1050"/>
      <c r="IM262" s="1050"/>
      <c r="IN262" s="1050"/>
      <c r="IO262" s="1050"/>
      <c r="IP262" s="1050"/>
      <c r="JU262" s="1050"/>
      <c r="KC262" s="1050"/>
      <c r="KD262" s="1050"/>
      <c r="KE262" s="1050"/>
      <c r="KF262" s="1050"/>
      <c r="KN262" s="1103"/>
    </row>
    <row r="263" spans="2:300">
      <c r="B263" s="1048" t="str">
        <f t="shared" si="8"/>
        <v>H710</v>
      </c>
      <c r="C263" s="1046">
        <v>7</v>
      </c>
      <c r="D263" s="1092">
        <v>10</v>
      </c>
      <c r="E263" s="584">
        <v>0.43</v>
      </c>
      <c r="F263" s="584">
        <v>0.43</v>
      </c>
      <c r="G263" s="584">
        <v>1032</v>
      </c>
      <c r="H263" s="584">
        <v>24.94</v>
      </c>
      <c r="I263" s="584">
        <v>0</v>
      </c>
      <c r="J263" s="584">
        <v>0</v>
      </c>
      <c r="K263" s="584">
        <v>0</v>
      </c>
      <c r="L263" s="584">
        <v>0</v>
      </c>
      <c r="M263" s="584">
        <v>0</v>
      </c>
      <c r="N263" s="584">
        <v>0</v>
      </c>
      <c r="O263" s="584">
        <v>0</v>
      </c>
      <c r="P263" s="584">
        <v>0</v>
      </c>
      <c r="Q263" s="584">
        <v>0</v>
      </c>
      <c r="R263" s="584">
        <v>0</v>
      </c>
      <c r="S263" s="584">
        <v>0</v>
      </c>
      <c r="T263" s="584">
        <v>361.0354375</v>
      </c>
      <c r="U263" s="584">
        <v>70</v>
      </c>
      <c r="V263" s="584">
        <v>650.43993750000004</v>
      </c>
      <c r="W263" s="584">
        <v>147</v>
      </c>
      <c r="X263" s="584">
        <v>1060.0409999999999</v>
      </c>
      <c r="Y263" s="584">
        <v>308</v>
      </c>
      <c r="Z263" s="584">
        <v>0.30499999999999999</v>
      </c>
      <c r="AA263" s="584">
        <v>0.30499999999999999</v>
      </c>
      <c r="AB263" s="584">
        <v>732</v>
      </c>
      <c r="AC263" s="584">
        <v>19</v>
      </c>
      <c r="AD263" s="584">
        <v>0</v>
      </c>
      <c r="AE263" s="584">
        <v>0</v>
      </c>
      <c r="AF263" s="584">
        <v>0</v>
      </c>
      <c r="AG263" s="584">
        <v>0</v>
      </c>
      <c r="AH263" s="584">
        <v>0</v>
      </c>
      <c r="AI263" s="584">
        <v>0</v>
      </c>
      <c r="AJ263" s="584">
        <v>0</v>
      </c>
      <c r="AK263" s="584">
        <v>0</v>
      </c>
      <c r="AL263" s="584">
        <v>0</v>
      </c>
      <c r="AM263" s="584">
        <v>0</v>
      </c>
      <c r="AN263" s="584">
        <v>0</v>
      </c>
      <c r="AO263" s="584">
        <v>300.9104375</v>
      </c>
      <c r="AP263" s="584">
        <v>70</v>
      </c>
      <c r="AQ263" s="584">
        <v>529.03368750000004</v>
      </c>
      <c r="AR263" s="584">
        <v>147</v>
      </c>
      <c r="AS263" s="584">
        <v>819.41600000000005</v>
      </c>
      <c r="AT263" s="584">
        <v>308</v>
      </c>
      <c r="AU263" s="584">
        <v>0.7</v>
      </c>
      <c r="AV263" s="584">
        <v>0.28999999999999998</v>
      </c>
      <c r="AW263" s="584">
        <v>523.45158878504697</v>
      </c>
      <c r="AX263" s="584">
        <v>32.980952446399101</v>
      </c>
      <c r="AY263" s="584">
        <v>0</v>
      </c>
      <c r="AZ263" s="584">
        <v>0</v>
      </c>
      <c r="BA263" s="584">
        <v>0</v>
      </c>
      <c r="BB263" s="584">
        <v>0</v>
      </c>
      <c r="BC263" s="584">
        <v>0</v>
      </c>
      <c r="BD263" s="584">
        <v>0</v>
      </c>
      <c r="BE263" s="584">
        <v>0</v>
      </c>
      <c r="BF263" s="584">
        <v>0</v>
      </c>
      <c r="BG263" s="584">
        <v>0.7</v>
      </c>
      <c r="BH263" s="584">
        <v>0</v>
      </c>
      <c r="BI263" s="584">
        <v>0.45</v>
      </c>
      <c r="BJ263" s="584">
        <v>269.28940117280598</v>
      </c>
      <c r="BK263" s="584">
        <v>70</v>
      </c>
      <c r="BL263" s="584">
        <v>444.19157256047299</v>
      </c>
      <c r="BM263" s="584">
        <v>147</v>
      </c>
      <c r="BN263" s="584">
        <v>640.77025822796395</v>
      </c>
      <c r="BO263" s="584">
        <v>308</v>
      </c>
      <c r="BP263" s="584">
        <v>0.625</v>
      </c>
      <c r="BQ263" s="584">
        <v>0.185</v>
      </c>
      <c r="BR263" s="584">
        <v>557.59469488730099</v>
      </c>
      <c r="BS263" s="584">
        <v>37.836009483232502</v>
      </c>
      <c r="BT263" s="584">
        <v>0</v>
      </c>
      <c r="BU263" s="584">
        <v>0</v>
      </c>
      <c r="BV263" s="584">
        <v>0</v>
      </c>
      <c r="BW263" s="584">
        <v>0</v>
      </c>
      <c r="BX263" s="584">
        <v>0</v>
      </c>
      <c r="BY263" s="584">
        <v>0</v>
      </c>
      <c r="BZ263" s="584">
        <v>0</v>
      </c>
      <c r="CA263" s="584">
        <v>0.35</v>
      </c>
      <c r="CB263" s="584">
        <v>0.625</v>
      </c>
      <c r="CC263" s="584">
        <v>0.45</v>
      </c>
      <c r="CD263" s="584">
        <v>0.45</v>
      </c>
      <c r="CE263" s="584">
        <v>275.69855000000001</v>
      </c>
      <c r="CF263" s="584">
        <v>70</v>
      </c>
      <c r="CG263" s="584">
        <v>455.51805000000002</v>
      </c>
      <c r="CH263" s="584">
        <v>147</v>
      </c>
      <c r="CI263" s="584">
        <v>647.61305000000004</v>
      </c>
      <c r="CJ263" s="584">
        <v>308</v>
      </c>
      <c r="CK263" s="584">
        <v>0.72499999999999998</v>
      </c>
      <c r="CL263" s="584">
        <v>0.22</v>
      </c>
      <c r="CM263" s="584">
        <v>609.08741066520099</v>
      </c>
      <c r="CN263" s="584">
        <v>26.202406542056099</v>
      </c>
      <c r="CO263" s="584">
        <v>0</v>
      </c>
      <c r="CP263" s="584">
        <v>0</v>
      </c>
      <c r="CQ263" s="584">
        <v>0</v>
      </c>
      <c r="CR263" s="584">
        <v>0</v>
      </c>
      <c r="CS263" s="584">
        <v>0</v>
      </c>
      <c r="CT263" s="584">
        <v>0</v>
      </c>
      <c r="CU263" s="584">
        <v>0</v>
      </c>
      <c r="CV263" s="584">
        <v>0</v>
      </c>
      <c r="CW263" s="584">
        <v>0.72499999999999998</v>
      </c>
      <c r="CX263" s="584">
        <v>0</v>
      </c>
      <c r="CY263" s="584">
        <v>0.6</v>
      </c>
      <c r="CZ263" s="584">
        <v>288.55059999999997</v>
      </c>
      <c r="DA263" s="584">
        <v>70</v>
      </c>
      <c r="DB263" s="584">
        <v>479.55885000000001</v>
      </c>
      <c r="DC263" s="584">
        <v>147</v>
      </c>
      <c r="DD263" s="584">
        <v>711.37635</v>
      </c>
      <c r="DE263" s="584">
        <v>308</v>
      </c>
      <c r="DF263" s="584">
        <v>0.42499999999999999</v>
      </c>
      <c r="DG263" s="584">
        <v>0.2</v>
      </c>
      <c r="DH263" s="584">
        <v>368.780236393623</v>
      </c>
      <c r="DI263" s="584">
        <v>18.9184472237493</v>
      </c>
      <c r="DJ263" s="584">
        <v>300</v>
      </c>
      <c r="DK263" s="584">
        <v>0</v>
      </c>
      <c r="DL263" s="584">
        <v>0</v>
      </c>
      <c r="DM263" s="584">
        <v>0</v>
      </c>
      <c r="DN263" s="584">
        <v>0</v>
      </c>
      <c r="DO263" s="584">
        <v>0</v>
      </c>
      <c r="DP263" s="584">
        <v>0</v>
      </c>
      <c r="DQ263" s="584">
        <v>0</v>
      </c>
      <c r="DR263" s="584">
        <v>0.42499999999999999</v>
      </c>
      <c r="DS263" s="584">
        <v>0</v>
      </c>
      <c r="DT263" s="584">
        <v>2.4</v>
      </c>
      <c r="DU263" s="584">
        <v>263.25662499999999</v>
      </c>
      <c r="DV263" s="584">
        <v>70</v>
      </c>
      <c r="DW263" s="584">
        <v>478.58224999999999</v>
      </c>
      <c r="DX263" s="584">
        <v>147</v>
      </c>
      <c r="DY263" s="584">
        <v>728.74424999999997</v>
      </c>
      <c r="DZ263" s="584">
        <v>308</v>
      </c>
      <c r="EA263" s="1062">
        <v>0.89910000000000001</v>
      </c>
      <c r="EB263" s="1046">
        <v>0.35</v>
      </c>
      <c r="EC263" s="1093">
        <v>132.51783893985731</v>
      </c>
      <c r="ED263" s="1046">
        <v>0</v>
      </c>
      <c r="EE263" s="1046">
        <v>458.71559633027522</v>
      </c>
      <c r="EF263" s="1046">
        <v>26.587142857142858</v>
      </c>
      <c r="EG263" s="1046">
        <v>0</v>
      </c>
      <c r="EH263" s="1046">
        <v>0</v>
      </c>
      <c r="EI263" s="1046" t="s">
        <v>425</v>
      </c>
      <c r="EJ263" s="1046" t="s">
        <v>446</v>
      </c>
      <c r="EK263" s="1046">
        <v>0</v>
      </c>
      <c r="EL263" s="1046">
        <v>0</v>
      </c>
      <c r="EM263" s="1046">
        <v>0</v>
      </c>
      <c r="EN263" s="1046">
        <v>0</v>
      </c>
      <c r="EO263" s="1046">
        <v>0</v>
      </c>
      <c r="EP263" s="1094">
        <v>156.81434775000002</v>
      </c>
      <c r="EQ263" s="1094">
        <v>70</v>
      </c>
      <c r="ER263" s="1094">
        <v>313.62869550000005</v>
      </c>
      <c r="ES263" s="1095">
        <v>140</v>
      </c>
      <c r="ET263" s="1094">
        <v>627.2573910000001</v>
      </c>
      <c r="EU263" s="1094">
        <v>280</v>
      </c>
      <c r="EV263" s="1096">
        <v>0.6895</v>
      </c>
      <c r="EW263" s="1097">
        <v>0.15</v>
      </c>
      <c r="EX263" s="1096">
        <v>289.50050968399592</v>
      </c>
      <c r="EY263" s="1096">
        <v>1.5443934760448521</v>
      </c>
      <c r="EZ263" s="1096">
        <v>0</v>
      </c>
      <c r="FA263" s="1096">
        <v>26.357142857142858</v>
      </c>
      <c r="FB263" s="1098">
        <v>0</v>
      </c>
      <c r="FC263" s="1098">
        <v>0</v>
      </c>
      <c r="FD263" s="1098" t="s">
        <v>428</v>
      </c>
      <c r="FE263" s="1098" t="s">
        <v>468</v>
      </c>
      <c r="FF263" s="1098">
        <v>2</v>
      </c>
      <c r="FG263" s="1098">
        <v>0</v>
      </c>
      <c r="FH263" s="1098">
        <v>0</v>
      </c>
      <c r="FI263" s="1098">
        <v>0</v>
      </c>
      <c r="FJ263" s="1098">
        <v>0</v>
      </c>
      <c r="FK263" s="1096">
        <v>107.16499625</v>
      </c>
      <c r="FL263" s="1096">
        <v>70</v>
      </c>
      <c r="FM263" s="1096">
        <v>214.3299925</v>
      </c>
      <c r="FN263" s="1096">
        <v>140</v>
      </c>
      <c r="FO263" s="1096">
        <v>428.65998500000001</v>
      </c>
      <c r="FP263" s="1099">
        <v>280</v>
      </c>
      <c r="FQ263" s="1064">
        <v>1.00064</v>
      </c>
      <c r="FR263" s="1065">
        <v>0.15</v>
      </c>
      <c r="FS263" s="1066">
        <v>289.50050968399586</v>
      </c>
      <c r="FT263" s="1066">
        <v>3.1547324150233758</v>
      </c>
      <c r="FU263" s="1065"/>
      <c r="FV263" s="1066">
        <v>46.479053882434449</v>
      </c>
      <c r="FW263" s="1065"/>
      <c r="FX263" s="1065"/>
      <c r="FY263" s="1065" t="s">
        <v>408</v>
      </c>
      <c r="FZ263" s="1065" t="s">
        <v>438</v>
      </c>
      <c r="GA263" s="1065">
        <v>1</v>
      </c>
      <c r="GB263" s="1065"/>
      <c r="GC263" s="1065"/>
      <c r="GD263" s="1065"/>
      <c r="GE263" s="1065"/>
      <c r="GF263" s="1066">
        <v>108.97088026261606</v>
      </c>
      <c r="GG263" s="1066">
        <v>70</v>
      </c>
      <c r="GH263" s="1066">
        <v>217.94176052523213</v>
      </c>
      <c r="GI263" s="1066">
        <v>140</v>
      </c>
      <c r="GJ263" s="1066">
        <v>435.88352105046425</v>
      </c>
      <c r="GK263" s="1066">
        <v>280</v>
      </c>
      <c r="GL263" s="584">
        <v>0.80789999999999995</v>
      </c>
      <c r="GM263" s="584">
        <v>0.13</v>
      </c>
      <c r="GN263" s="584"/>
      <c r="GO263" s="584"/>
      <c r="GP263" s="584"/>
      <c r="GQ263" s="584">
        <v>44.9914285714286</v>
      </c>
      <c r="GR263" s="584"/>
      <c r="GS263" s="584">
        <v>66.2589194699286</v>
      </c>
      <c r="GT263" s="584" t="s">
        <v>414</v>
      </c>
      <c r="GU263" s="584" t="s">
        <v>396</v>
      </c>
      <c r="GV263" s="584">
        <v>1</v>
      </c>
      <c r="GW263" s="584"/>
      <c r="GX263" s="584"/>
      <c r="GY263" s="584"/>
      <c r="GZ263" s="584"/>
      <c r="HA263" s="584">
        <v>69.848903500000006</v>
      </c>
      <c r="HB263" s="584">
        <v>70</v>
      </c>
      <c r="HC263" s="584">
        <v>139.69780700000001</v>
      </c>
      <c r="HD263" s="584">
        <v>140</v>
      </c>
      <c r="HE263" s="584">
        <v>279.39561400000002</v>
      </c>
      <c r="HF263" s="584">
        <v>280</v>
      </c>
      <c r="HG263" s="1100">
        <v>1.17</v>
      </c>
      <c r="HH263" s="1100">
        <v>0.13</v>
      </c>
      <c r="HI263" s="1101">
        <v>0</v>
      </c>
      <c r="HJ263" s="1101">
        <v>0</v>
      </c>
      <c r="HK263" s="1101">
        <v>0</v>
      </c>
      <c r="HL263" s="1101">
        <v>0</v>
      </c>
      <c r="HM263" s="1101">
        <v>53.074285714285715</v>
      </c>
      <c r="HN263" s="1101">
        <v>65</v>
      </c>
      <c r="HO263" s="1101">
        <v>0</v>
      </c>
      <c r="HP263" s="1101">
        <v>0</v>
      </c>
      <c r="HQ263" s="1101">
        <v>1</v>
      </c>
      <c r="HR263" s="1101">
        <v>0.96</v>
      </c>
      <c r="HS263" s="1101">
        <v>1.04</v>
      </c>
      <c r="HT263" s="1101">
        <v>0.3</v>
      </c>
      <c r="HU263" s="1101">
        <v>0.3</v>
      </c>
      <c r="HV263" s="1101">
        <v>71.020403000000002</v>
      </c>
      <c r="HW263" s="1101">
        <v>70</v>
      </c>
      <c r="HX263" s="1101">
        <v>142.040806</v>
      </c>
      <c r="HY263" s="1101">
        <v>140</v>
      </c>
      <c r="HZ263" s="1101">
        <v>284.08161200000001</v>
      </c>
      <c r="IA263" s="1101">
        <v>280</v>
      </c>
      <c r="IB263" s="1062"/>
      <c r="ID263" s="1050"/>
      <c r="IE263" s="1050"/>
      <c r="IM263" s="1050"/>
      <c r="IN263" s="1050"/>
      <c r="IO263" s="1050"/>
      <c r="IP263" s="1050"/>
      <c r="JU263" s="1050"/>
      <c r="KC263" s="1050"/>
      <c r="KD263" s="1050"/>
      <c r="KE263" s="1050"/>
      <c r="KF263" s="1050"/>
      <c r="KN263" s="1103"/>
    </row>
    <row r="264" spans="2:300">
      <c r="B264" s="1048" t="str">
        <f t="shared" si="8"/>
        <v>H711</v>
      </c>
      <c r="C264" s="1046">
        <v>7</v>
      </c>
      <c r="D264" s="1092">
        <v>11</v>
      </c>
      <c r="E264" s="584">
        <v>0.48499999999999999</v>
      </c>
      <c r="F264" s="584">
        <v>0.48499999999999999</v>
      </c>
      <c r="G264" s="584">
        <v>1164</v>
      </c>
      <c r="H264" s="584">
        <v>26.19</v>
      </c>
      <c r="I264" s="584">
        <v>0</v>
      </c>
      <c r="J264" s="584">
        <v>0</v>
      </c>
      <c r="K264" s="584">
        <v>0</v>
      </c>
      <c r="L264" s="584">
        <v>0</v>
      </c>
      <c r="M264" s="584">
        <v>0</v>
      </c>
      <c r="N264" s="584">
        <v>0</v>
      </c>
      <c r="O264" s="584">
        <v>0</v>
      </c>
      <c r="P264" s="584">
        <v>0</v>
      </c>
      <c r="Q264" s="584">
        <v>0</v>
      </c>
      <c r="R264" s="584">
        <v>0</v>
      </c>
      <c r="S264" s="584">
        <v>0</v>
      </c>
      <c r="T264" s="584">
        <v>420.76668749999999</v>
      </c>
      <c r="U264" s="584">
        <v>77</v>
      </c>
      <c r="V264" s="584">
        <v>774.92512499999998</v>
      </c>
      <c r="W264" s="584">
        <v>161.69999999999999</v>
      </c>
      <c r="X264" s="584">
        <v>1281.6085</v>
      </c>
      <c r="Y264" s="584">
        <v>338.8</v>
      </c>
      <c r="Z264" s="584">
        <v>0.33</v>
      </c>
      <c r="AA264" s="584">
        <v>0.33</v>
      </c>
      <c r="AB264" s="584">
        <v>792</v>
      </c>
      <c r="AC264" s="584">
        <v>21</v>
      </c>
      <c r="AD264" s="584">
        <v>0</v>
      </c>
      <c r="AE264" s="584">
        <v>0</v>
      </c>
      <c r="AF264" s="584">
        <v>0</v>
      </c>
      <c r="AG264" s="584">
        <v>0</v>
      </c>
      <c r="AH264" s="584">
        <v>0</v>
      </c>
      <c r="AI264" s="584">
        <v>0</v>
      </c>
      <c r="AJ264" s="584">
        <v>0</v>
      </c>
      <c r="AK264" s="584">
        <v>0</v>
      </c>
      <c r="AL264" s="584">
        <v>0</v>
      </c>
      <c r="AM264" s="584">
        <v>0</v>
      </c>
      <c r="AN264" s="584">
        <v>0</v>
      </c>
      <c r="AO264" s="584">
        <v>339.04293749999999</v>
      </c>
      <c r="AP264" s="584">
        <v>77</v>
      </c>
      <c r="AQ264" s="584">
        <v>608.14068750000001</v>
      </c>
      <c r="AR264" s="584">
        <v>161.69999999999999</v>
      </c>
      <c r="AS264" s="584">
        <v>953.39599999999996</v>
      </c>
      <c r="AT264" s="584">
        <v>338.8</v>
      </c>
      <c r="AU264" s="584">
        <v>0.82499999999999996</v>
      </c>
      <c r="AV264" s="584">
        <v>0.28999999999999998</v>
      </c>
      <c r="AW264" s="584">
        <v>546.37766355140195</v>
      </c>
      <c r="AX264" s="584">
        <v>33.026864152202897</v>
      </c>
      <c r="AY264" s="584">
        <v>0</v>
      </c>
      <c r="AZ264" s="584">
        <v>0</v>
      </c>
      <c r="BA264" s="584">
        <v>0</v>
      </c>
      <c r="BB264" s="584">
        <v>0</v>
      </c>
      <c r="BC264" s="584">
        <v>0</v>
      </c>
      <c r="BD264" s="584">
        <v>0</v>
      </c>
      <c r="BE264" s="584">
        <v>0</v>
      </c>
      <c r="BF264" s="584">
        <v>0</v>
      </c>
      <c r="BG264" s="584">
        <v>0.82499999999999996</v>
      </c>
      <c r="BH264" s="584">
        <v>0</v>
      </c>
      <c r="BI264" s="584">
        <v>0.45</v>
      </c>
      <c r="BJ264" s="584">
        <v>297.593332973131</v>
      </c>
      <c r="BK264" s="584">
        <v>77</v>
      </c>
      <c r="BL264" s="584">
        <v>497.83768655081798</v>
      </c>
      <c r="BM264" s="584">
        <v>161.69999999999999</v>
      </c>
      <c r="BN264" s="584">
        <v>723.33568685747696</v>
      </c>
      <c r="BO264" s="584">
        <v>338.8</v>
      </c>
      <c r="BP264" s="584">
        <v>0.72499999999999998</v>
      </c>
      <c r="BQ264" s="584">
        <v>0.19</v>
      </c>
      <c r="BR264" s="584">
        <v>587.45527369826402</v>
      </c>
      <c r="BS264" s="584">
        <v>46.881341371829102</v>
      </c>
      <c r="BT264" s="584">
        <v>0</v>
      </c>
      <c r="BU264" s="584">
        <v>0</v>
      </c>
      <c r="BV264" s="584">
        <v>0</v>
      </c>
      <c r="BW264" s="584">
        <v>0</v>
      </c>
      <c r="BX264" s="584">
        <v>0</v>
      </c>
      <c r="BY264" s="584">
        <v>0</v>
      </c>
      <c r="BZ264" s="584">
        <v>0</v>
      </c>
      <c r="CA264" s="584">
        <v>0.35</v>
      </c>
      <c r="CB264" s="584">
        <v>0.72499999999999998</v>
      </c>
      <c r="CC264" s="584">
        <v>0.45</v>
      </c>
      <c r="CD264" s="584">
        <v>0.45</v>
      </c>
      <c r="CE264" s="584">
        <v>305.66145</v>
      </c>
      <c r="CF264" s="584">
        <v>77</v>
      </c>
      <c r="CG264" s="584">
        <v>511.76763749999998</v>
      </c>
      <c r="CH264" s="584">
        <v>161.69999999999999</v>
      </c>
      <c r="CI264" s="584">
        <v>731.7437625</v>
      </c>
      <c r="CJ264" s="584">
        <v>338.8</v>
      </c>
      <c r="CK264" s="584">
        <v>0.82499999999999996</v>
      </c>
      <c r="CL264" s="584">
        <v>0.22</v>
      </c>
      <c r="CM264" s="584">
        <v>625.47396528704905</v>
      </c>
      <c r="CN264" s="584">
        <v>26.189472630173601</v>
      </c>
      <c r="CO264" s="584">
        <v>0</v>
      </c>
      <c r="CP264" s="584">
        <v>0</v>
      </c>
      <c r="CQ264" s="584">
        <v>0</v>
      </c>
      <c r="CR264" s="584">
        <v>0</v>
      </c>
      <c r="CS264" s="584">
        <v>0</v>
      </c>
      <c r="CT264" s="584">
        <v>0</v>
      </c>
      <c r="CU264" s="584">
        <v>0</v>
      </c>
      <c r="CV264" s="584">
        <v>0</v>
      </c>
      <c r="CW264" s="584">
        <v>0.82499999999999996</v>
      </c>
      <c r="CX264" s="584">
        <v>0</v>
      </c>
      <c r="CY264" s="584">
        <v>0.6</v>
      </c>
      <c r="CZ264" s="584">
        <v>317.59634999999997</v>
      </c>
      <c r="DA264" s="584">
        <v>77</v>
      </c>
      <c r="DB264" s="584">
        <v>534.74535000000003</v>
      </c>
      <c r="DC264" s="584">
        <v>161.69999999999999</v>
      </c>
      <c r="DD264" s="584">
        <v>793.86959999999999</v>
      </c>
      <c r="DE264" s="584">
        <v>338.8</v>
      </c>
      <c r="DF264" s="584">
        <v>0.5</v>
      </c>
      <c r="DG264" s="584">
        <v>0.2</v>
      </c>
      <c r="DH264" s="584">
        <v>430.514644526035</v>
      </c>
      <c r="DI264" s="584">
        <v>21.7272403204272</v>
      </c>
      <c r="DJ264" s="584">
        <v>300</v>
      </c>
      <c r="DK264" s="584">
        <v>0</v>
      </c>
      <c r="DL264" s="584">
        <v>0</v>
      </c>
      <c r="DM264" s="584">
        <v>0</v>
      </c>
      <c r="DN264" s="584">
        <v>0</v>
      </c>
      <c r="DO264" s="584">
        <v>0</v>
      </c>
      <c r="DP264" s="584">
        <v>0</v>
      </c>
      <c r="DQ264" s="584">
        <v>0</v>
      </c>
      <c r="DR264" s="584">
        <v>0.5</v>
      </c>
      <c r="DS264" s="584">
        <v>0</v>
      </c>
      <c r="DT264" s="584">
        <v>2.4</v>
      </c>
      <c r="DU264" s="584">
        <v>296.83425</v>
      </c>
      <c r="DV264" s="584">
        <v>77</v>
      </c>
      <c r="DW264" s="584">
        <v>540.24800000000005</v>
      </c>
      <c r="DX264" s="584">
        <v>161.69999999999999</v>
      </c>
      <c r="DY264" s="584">
        <v>850.09199999999998</v>
      </c>
      <c r="DZ264" s="584">
        <v>338.8</v>
      </c>
      <c r="EA264" s="1062">
        <v>0.89249999999999996</v>
      </c>
      <c r="EB264" s="1046">
        <v>0.35</v>
      </c>
      <c r="EC264" s="1093">
        <v>132.51783893985731</v>
      </c>
      <c r="ED264" s="1046">
        <v>0</v>
      </c>
      <c r="EE264" s="1046">
        <v>458.71559633027522</v>
      </c>
      <c r="EF264" s="1046">
        <v>32.733766233766232</v>
      </c>
      <c r="EG264" s="1046">
        <v>0</v>
      </c>
      <c r="EH264" s="1046">
        <v>0</v>
      </c>
      <c r="EI264" s="1046" t="s">
        <v>423</v>
      </c>
      <c r="EJ264" s="1046" t="s">
        <v>442</v>
      </c>
      <c r="EK264" s="1046">
        <v>0</v>
      </c>
      <c r="EL264" s="1046">
        <v>0</v>
      </c>
      <c r="EM264" s="1046">
        <v>0</v>
      </c>
      <c r="EN264" s="1046">
        <v>0</v>
      </c>
      <c r="EO264" s="1046">
        <v>0</v>
      </c>
      <c r="EP264" s="1094">
        <v>173.65652625000001</v>
      </c>
      <c r="EQ264" s="1094">
        <v>77</v>
      </c>
      <c r="ER264" s="1094">
        <v>347.31305250000003</v>
      </c>
      <c r="ES264" s="1095">
        <v>154</v>
      </c>
      <c r="ET264" s="1094">
        <v>694.62610500000005</v>
      </c>
      <c r="EU264" s="1094">
        <v>308</v>
      </c>
      <c r="EV264" s="1096">
        <v>0.75760000000000005</v>
      </c>
      <c r="EW264" s="1097">
        <v>0.15</v>
      </c>
      <c r="EX264" s="1096">
        <v>289.50050968399592</v>
      </c>
      <c r="EY264" s="1096">
        <v>1.5443934760448521</v>
      </c>
      <c r="EZ264" s="1096">
        <v>0</v>
      </c>
      <c r="FA264" s="1096">
        <v>25.215584415584413</v>
      </c>
      <c r="FB264" s="1098">
        <v>0</v>
      </c>
      <c r="FC264" s="1098">
        <v>0</v>
      </c>
      <c r="FD264" s="1098" t="s">
        <v>408</v>
      </c>
      <c r="FE264" s="1098" t="s">
        <v>461</v>
      </c>
      <c r="FF264" s="1098">
        <v>2</v>
      </c>
      <c r="FG264" s="1098">
        <v>0</v>
      </c>
      <c r="FH264" s="1098">
        <v>0</v>
      </c>
      <c r="FI264" s="1098">
        <v>0</v>
      </c>
      <c r="FJ264" s="1098">
        <v>0</v>
      </c>
      <c r="FK264" s="1096">
        <v>117.66592112500001</v>
      </c>
      <c r="FL264" s="1096">
        <v>77</v>
      </c>
      <c r="FM264" s="1096">
        <v>235.33184225000002</v>
      </c>
      <c r="FN264" s="1096">
        <v>154</v>
      </c>
      <c r="FO264" s="1096">
        <v>470.66368450000004</v>
      </c>
      <c r="FP264" s="1099">
        <v>308</v>
      </c>
      <c r="FQ264" s="1064">
        <v>1.0990599999999999</v>
      </c>
      <c r="FR264" s="1065">
        <v>0.15</v>
      </c>
      <c r="FS264" s="1066">
        <v>289.50050968399586</v>
      </c>
      <c r="FT264" s="1066">
        <v>3.1547324150233758</v>
      </c>
      <c r="FU264" s="1065"/>
      <c r="FV264" s="1066">
        <v>51.72624127798926</v>
      </c>
      <c r="FW264" s="1065"/>
      <c r="FX264" s="1065"/>
      <c r="FY264" s="1065" t="s">
        <v>396</v>
      </c>
      <c r="FZ264" s="1065" t="s">
        <v>416</v>
      </c>
      <c r="GA264" s="1065">
        <v>1</v>
      </c>
      <c r="GB264" s="1065"/>
      <c r="GC264" s="1065"/>
      <c r="GD264" s="1065"/>
      <c r="GE264" s="1065"/>
      <c r="GF264" s="1066">
        <v>120.85886027462271</v>
      </c>
      <c r="GG264" s="1066">
        <v>77</v>
      </c>
      <c r="GH264" s="1066">
        <v>241.71772054924543</v>
      </c>
      <c r="GI264" s="1066">
        <v>154</v>
      </c>
      <c r="GJ264" s="1066">
        <v>483.43544109849086</v>
      </c>
      <c r="GK264" s="1066">
        <v>308</v>
      </c>
      <c r="GL264" s="584">
        <v>0.89219999999999999</v>
      </c>
      <c r="GM264" s="584">
        <v>0.13</v>
      </c>
      <c r="GN264" s="584"/>
      <c r="GO264" s="584"/>
      <c r="GP264" s="584"/>
      <c r="GQ264" s="584">
        <v>58.546753246753298</v>
      </c>
      <c r="GR264" s="584"/>
      <c r="GS264" s="584">
        <v>66.2589194699286</v>
      </c>
      <c r="GT264" s="584" t="s">
        <v>412</v>
      </c>
      <c r="GU264" s="584" t="s">
        <v>385</v>
      </c>
      <c r="GV264" s="584">
        <v>1</v>
      </c>
      <c r="GW264" s="584"/>
      <c r="GX264" s="584"/>
      <c r="GY264" s="584"/>
      <c r="GZ264" s="584"/>
      <c r="HA264" s="584">
        <v>79.393615249999996</v>
      </c>
      <c r="HB264" s="584">
        <v>77</v>
      </c>
      <c r="HC264" s="584">
        <v>158.78723049999999</v>
      </c>
      <c r="HD264" s="584">
        <v>154</v>
      </c>
      <c r="HE264" s="584">
        <v>317.57446099999999</v>
      </c>
      <c r="HF264" s="584">
        <v>308</v>
      </c>
      <c r="HG264" s="1100">
        <v>1.29</v>
      </c>
      <c r="HH264" s="1100">
        <v>0.13</v>
      </c>
      <c r="HI264" s="1101">
        <v>0</v>
      </c>
      <c r="HJ264" s="1101">
        <v>0</v>
      </c>
      <c r="HK264" s="1101">
        <v>0</v>
      </c>
      <c r="HL264" s="1101">
        <v>0</v>
      </c>
      <c r="HM264" s="1101">
        <v>57.015584415584406</v>
      </c>
      <c r="HN264" s="1101">
        <v>65</v>
      </c>
      <c r="HO264" s="1101">
        <v>0</v>
      </c>
      <c r="HP264" s="1101">
        <v>0</v>
      </c>
      <c r="HQ264" s="1101">
        <v>1</v>
      </c>
      <c r="HR264" s="1101">
        <v>1</v>
      </c>
      <c r="HS264" s="1101">
        <v>1.1599999999999999</v>
      </c>
      <c r="HT264" s="1101">
        <v>0.3</v>
      </c>
      <c r="HU264" s="1101">
        <v>0.3</v>
      </c>
      <c r="HV264" s="1101">
        <v>78.866727999999995</v>
      </c>
      <c r="HW264" s="1101">
        <v>77</v>
      </c>
      <c r="HX264" s="1101">
        <v>157.73345599999999</v>
      </c>
      <c r="HY264" s="1101">
        <v>154</v>
      </c>
      <c r="HZ264" s="1101">
        <v>315.46691199999998</v>
      </c>
      <c r="IA264" s="1101">
        <v>308</v>
      </c>
      <c r="IB264" s="1062"/>
      <c r="ID264" s="1050"/>
      <c r="IE264" s="1050"/>
      <c r="IM264" s="1050"/>
      <c r="IN264" s="1050"/>
      <c r="IO264" s="1050"/>
      <c r="IP264" s="1050"/>
      <c r="JU264" s="1050"/>
      <c r="KC264" s="1050"/>
      <c r="KD264" s="1050"/>
      <c r="KE264" s="1050"/>
      <c r="KF264" s="1050"/>
      <c r="KN264" s="1103"/>
    </row>
    <row r="265" spans="2:300">
      <c r="B265" s="1048" t="str">
        <f t="shared" si="8"/>
        <v>H712</v>
      </c>
      <c r="C265" s="1046">
        <v>7</v>
      </c>
      <c r="D265" s="1092">
        <v>12</v>
      </c>
      <c r="E265" s="584">
        <v>0.56999999999999995</v>
      </c>
      <c r="F265" s="584">
        <v>0.56999999999999995</v>
      </c>
      <c r="G265" s="584">
        <v>1368</v>
      </c>
      <c r="H265" s="584">
        <v>28.5</v>
      </c>
      <c r="I265" s="584">
        <v>0</v>
      </c>
      <c r="J265" s="584">
        <v>0</v>
      </c>
      <c r="K265" s="584">
        <v>0</v>
      </c>
      <c r="L265" s="584">
        <v>0</v>
      </c>
      <c r="M265" s="584">
        <v>0</v>
      </c>
      <c r="N265" s="584">
        <v>0</v>
      </c>
      <c r="O265" s="584">
        <v>0</v>
      </c>
      <c r="P265" s="584">
        <v>0</v>
      </c>
      <c r="Q265" s="584">
        <v>0</v>
      </c>
      <c r="R265" s="584">
        <v>0</v>
      </c>
      <c r="S265" s="584">
        <v>0</v>
      </c>
      <c r="T265" s="584">
        <v>502.7904375</v>
      </c>
      <c r="U265" s="584">
        <v>84</v>
      </c>
      <c r="V265" s="584">
        <v>945.18393749999996</v>
      </c>
      <c r="W265" s="584">
        <v>176.4</v>
      </c>
      <c r="X265" s="584">
        <v>1593.6510000000001</v>
      </c>
      <c r="Y265" s="584">
        <v>369.6</v>
      </c>
      <c r="Z265" s="584">
        <v>0.375</v>
      </c>
      <c r="AA265" s="584">
        <v>0.375</v>
      </c>
      <c r="AB265" s="584">
        <v>900</v>
      </c>
      <c r="AC265" s="584">
        <v>22</v>
      </c>
      <c r="AD265" s="584">
        <v>0</v>
      </c>
      <c r="AE265" s="584">
        <v>0</v>
      </c>
      <c r="AF265" s="584">
        <v>0</v>
      </c>
      <c r="AG265" s="584">
        <v>0</v>
      </c>
      <c r="AH265" s="584">
        <v>0</v>
      </c>
      <c r="AI265" s="584">
        <v>0</v>
      </c>
      <c r="AJ265" s="584">
        <v>0</v>
      </c>
      <c r="AK265" s="584">
        <v>0</v>
      </c>
      <c r="AL265" s="584">
        <v>0</v>
      </c>
      <c r="AM265" s="584">
        <v>0</v>
      </c>
      <c r="AN265" s="584">
        <v>0</v>
      </c>
      <c r="AO265" s="584">
        <v>390.95793750000001</v>
      </c>
      <c r="AP265" s="584">
        <v>84</v>
      </c>
      <c r="AQ265" s="584">
        <v>716.60024999999996</v>
      </c>
      <c r="AR265" s="584">
        <v>176.4</v>
      </c>
      <c r="AS265" s="584">
        <v>1143.201</v>
      </c>
      <c r="AT265" s="584">
        <v>369.6</v>
      </c>
      <c r="AU265" s="584">
        <v>0.92500000000000004</v>
      </c>
      <c r="AV265" s="584">
        <v>0.28999999999999998</v>
      </c>
      <c r="AW265" s="584">
        <v>577.24092079056197</v>
      </c>
      <c r="AX265" s="584">
        <v>34.513857055308698</v>
      </c>
      <c r="AY265" s="584">
        <v>0</v>
      </c>
      <c r="AZ265" s="584">
        <v>0</v>
      </c>
      <c r="BA265" s="584">
        <v>0</v>
      </c>
      <c r="BB265" s="584">
        <v>0</v>
      </c>
      <c r="BC265" s="584">
        <v>0</v>
      </c>
      <c r="BD265" s="584">
        <v>0</v>
      </c>
      <c r="BE265" s="584">
        <v>0</v>
      </c>
      <c r="BF265" s="584">
        <v>0</v>
      </c>
      <c r="BG265" s="584">
        <v>0.92500000000000004</v>
      </c>
      <c r="BH265" s="584">
        <v>0</v>
      </c>
      <c r="BI265" s="584">
        <v>0.45</v>
      </c>
      <c r="BJ265" s="584">
        <v>336.68637810249697</v>
      </c>
      <c r="BK265" s="584">
        <v>84</v>
      </c>
      <c r="BL265" s="584">
        <v>562.78667082120398</v>
      </c>
      <c r="BM265" s="584">
        <v>176.4</v>
      </c>
      <c r="BN265" s="584">
        <v>790.37023451049504</v>
      </c>
      <c r="BO265" s="584">
        <v>369.6</v>
      </c>
      <c r="BP265" s="584">
        <v>0.85</v>
      </c>
      <c r="BQ265" s="584">
        <v>0.19</v>
      </c>
      <c r="BR265" s="584">
        <v>639.54580971349799</v>
      </c>
      <c r="BS265" s="584">
        <v>62.3239279148154</v>
      </c>
      <c r="BT265" s="584">
        <v>0</v>
      </c>
      <c r="BU265" s="584">
        <v>0</v>
      </c>
      <c r="BV265" s="584">
        <v>0</v>
      </c>
      <c r="BW265" s="584">
        <v>0</v>
      </c>
      <c r="BX265" s="584">
        <v>0</v>
      </c>
      <c r="BY265" s="584">
        <v>0</v>
      </c>
      <c r="BZ265" s="584">
        <v>0</v>
      </c>
      <c r="CA265" s="584">
        <v>0.35</v>
      </c>
      <c r="CB265" s="584">
        <v>0.85</v>
      </c>
      <c r="CC265" s="584">
        <v>0.45</v>
      </c>
      <c r="CD265" s="584">
        <v>0.45</v>
      </c>
      <c r="CE265" s="584">
        <v>352.38395000000003</v>
      </c>
      <c r="CF265" s="584">
        <v>84</v>
      </c>
      <c r="CG265" s="584">
        <v>593.04307500000004</v>
      </c>
      <c r="CH265" s="584">
        <v>176.4</v>
      </c>
      <c r="CI265" s="584">
        <v>812.60595000000001</v>
      </c>
      <c r="CJ265" s="584">
        <v>369.6</v>
      </c>
      <c r="CK265" s="584">
        <v>0.95</v>
      </c>
      <c r="CL265" s="584">
        <v>0.22</v>
      </c>
      <c r="CM265" s="584">
        <v>660.19637658955105</v>
      </c>
      <c r="CN265" s="584">
        <v>27.451817642102</v>
      </c>
      <c r="CO265" s="584">
        <v>0</v>
      </c>
      <c r="CP265" s="584">
        <v>0</v>
      </c>
      <c r="CQ265" s="584">
        <v>0</v>
      </c>
      <c r="CR265" s="584">
        <v>0</v>
      </c>
      <c r="CS265" s="584">
        <v>0</v>
      </c>
      <c r="CT265" s="584">
        <v>0</v>
      </c>
      <c r="CU265" s="584">
        <v>0</v>
      </c>
      <c r="CV265" s="584">
        <v>0</v>
      </c>
      <c r="CW265" s="584">
        <v>0.95</v>
      </c>
      <c r="CX265" s="584">
        <v>0</v>
      </c>
      <c r="CY265" s="584">
        <v>0.6</v>
      </c>
      <c r="CZ265" s="584">
        <v>363.54072500000001</v>
      </c>
      <c r="DA265" s="584">
        <v>84</v>
      </c>
      <c r="DB265" s="584">
        <v>611.84609999999998</v>
      </c>
      <c r="DC265" s="584">
        <v>176.4</v>
      </c>
      <c r="DD265" s="584">
        <v>881.9271</v>
      </c>
      <c r="DE265" s="584">
        <v>369.6</v>
      </c>
      <c r="DF265" s="584">
        <v>0.55000000000000004</v>
      </c>
      <c r="DG265" s="584">
        <v>0.2</v>
      </c>
      <c r="DH265" s="584">
        <v>471.659453041213</v>
      </c>
      <c r="DI265" s="584">
        <v>23.312648460242102</v>
      </c>
      <c r="DJ265" s="584">
        <v>300</v>
      </c>
      <c r="DK265" s="584">
        <v>0</v>
      </c>
      <c r="DL265" s="584">
        <v>0</v>
      </c>
      <c r="DM265" s="584">
        <v>0</v>
      </c>
      <c r="DN265" s="584">
        <v>0</v>
      </c>
      <c r="DO265" s="584">
        <v>0</v>
      </c>
      <c r="DP265" s="584">
        <v>0</v>
      </c>
      <c r="DQ265" s="584">
        <v>0</v>
      </c>
      <c r="DR265" s="584">
        <v>0.55000000000000004</v>
      </c>
      <c r="DS265" s="584">
        <v>0</v>
      </c>
      <c r="DT265" s="584">
        <v>2.4</v>
      </c>
      <c r="DU265" s="584">
        <v>328.580375</v>
      </c>
      <c r="DV265" s="584">
        <v>84</v>
      </c>
      <c r="DW265" s="584">
        <v>596.98850000000004</v>
      </c>
      <c r="DX265" s="584">
        <v>176.4</v>
      </c>
      <c r="DY265" s="584">
        <v>962.50049999999999</v>
      </c>
      <c r="DZ265" s="584">
        <v>369.6</v>
      </c>
      <c r="EA265" s="1062">
        <v>0.9507000000000001</v>
      </c>
      <c r="EB265" s="1046">
        <v>0.4</v>
      </c>
      <c r="EC265" s="1093">
        <v>132.51783893985737</v>
      </c>
      <c r="ED265" s="1046">
        <v>0</v>
      </c>
      <c r="EE265" s="1046">
        <v>519.87767584097855</v>
      </c>
      <c r="EF265" s="1046">
        <v>36.639285714285712</v>
      </c>
      <c r="EG265" s="1046">
        <v>0</v>
      </c>
      <c r="EH265" s="1046">
        <v>0</v>
      </c>
      <c r="EI265" s="1046" t="s">
        <v>421</v>
      </c>
      <c r="EJ265" s="1046" t="s">
        <v>423</v>
      </c>
      <c r="EK265" s="1046">
        <v>0</v>
      </c>
      <c r="EL265" s="1046">
        <v>0</v>
      </c>
      <c r="EM265" s="1046">
        <v>0</v>
      </c>
      <c r="EN265" s="1046">
        <v>0</v>
      </c>
      <c r="EO265" s="1046">
        <v>0</v>
      </c>
      <c r="EP265" s="1094">
        <v>202.84805925000001</v>
      </c>
      <c r="EQ265" s="1094">
        <v>84</v>
      </c>
      <c r="ER265" s="1094">
        <v>405.69611850000001</v>
      </c>
      <c r="ES265" s="1095">
        <v>168</v>
      </c>
      <c r="ET265" s="1094">
        <v>811.39223700000002</v>
      </c>
      <c r="EU265" s="1094">
        <v>336</v>
      </c>
      <c r="EV265" s="1096">
        <v>0.7622000000000001</v>
      </c>
      <c r="EW265" s="1097">
        <v>0.15</v>
      </c>
      <c r="EX265" s="1096">
        <v>289.50050968399592</v>
      </c>
      <c r="EY265" s="1096">
        <v>1.5443934760448521</v>
      </c>
      <c r="EZ265" s="1096">
        <v>0</v>
      </c>
      <c r="FA265" s="1096">
        <v>33.910714285714285</v>
      </c>
      <c r="FB265" s="1098">
        <v>0</v>
      </c>
      <c r="FC265" s="1098">
        <v>0</v>
      </c>
      <c r="FD265" s="1098" t="s">
        <v>406</v>
      </c>
      <c r="FE265" s="1098" t="s">
        <v>432</v>
      </c>
      <c r="FF265" s="1098">
        <v>2</v>
      </c>
      <c r="FG265" s="1098">
        <v>0</v>
      </c>
      <c r="FH265" s="1098">
        <v>0</v>
      </c>
      <c r="FI265" s="1098">
        <v>0</v>
      </c>
      <c r="FJ265" s="1098">
        <v>0</v>
      </c>
      <c r="FK265" s="1096">
        <v>130.15410675000001</v>
      </c>
      <c r="FL265" s="1096">
        <v>84</v>
      </c>
      <c r="FM265" s="1096">
        <v>260.30821350000002</v>
      </c>
      <c r="FN265" s="1096">
        <v>168</v>
      </c>
      <c r="FO265" s="1096">
        <v>520.61642700000004</v>
      </c>
      <c r="FP265" s="1099">
        <v>336</v>
      </c>
      <c r="FQ265" s="1064">
        <v>1.0990599999999999</v>
      </c>
      <c r="FR265" s="1065">
        <v>0.15</v>
      </c>
      <c r="FS265" s="1066">
        <v>289.50050968399586</v>
      </c>
      <c r="FT265" s="1066">
        <v>3.1547324150233758</v>
      </c>
      <c r="FU265" s="1065"/>
      <c r="FV265" s="1066">
        <v>53.858214067016057</v>
      </c>
      <c r="FW265" s="1065"/>
      <c r="FX265" s="1065"/>
      <c r="FY265" s="1065" t="s">
        <v>396</v>
      </c>
      <c r="FZ265" s="1065" t="s">
        <v>1102</v>
      </c>
      <c r="GA265" s="1065">
        <v>1</v>
      </c>
      <c r="GB265" s="1065"/>
      <c r="GC265" s="1065"/>
      <c r="GD265" s="1065"/>
      <c r="GE265" s="1065"/>
      <c r="GF265" s="1066">
        <v>132.28523710476495</v>
      </c>
      <c r="GG265" s="1066">
        <v>84</v>
      </c>
      <c r="GH265" s="1066">
        <v>264.57047420952989</v>
      </c>
      <c r="GI265" s="1066">
        <v>168</v>
      </c>
      <c r="GJ265" s="1066">
        <v>529.14094841905978</v>
      </c>
      <c r="GK265" s="1066">
        <v>336</v>
      </c>
      <c r="GL265" s="584">
        <v>0.97070000000000001</v>
      </c>
      <c r="GM265" s="584">
        <v>0.13</v>
      </c>
      <c r="GN265" s="584"/>
      <c r="GO265" s="584"/>
      <c r="GP265" s="584"/>
      <c r="GQ265" s="584">
        <v>63.729761904761901</v>
      </c>
      <c r="GR265" s="584"/>
      <c r="GS265" s="584">
        <v>66.2589194699286</v>
      </c>
      <c r="GT265" s="584" t="s">
        <v>412</v>
      </c>
      <c r="GU265" s="584" t="s">
        <v>379</v>
      </c>
      <c r="GV265" s="584">
        <v>1</v>
      </c>
      <c r="GW265" s="584"/>
      <c r="GX265" s="584"/>
      <c r="GY265" s="584"/>
      <c r="GZ265" s="584"/>
      <c r="HA265" s="584">
        <v>87.678968249999997</v>
      </c>
      <c r="HB265" s="584">
        <v>84</v>
      </c>
      <c r="HC265" s="584">
        <v>175.35793649999999</v>
      </c>
      <c r="HD265" s="584">
        <v>168</v>
      </c>
      <c r="HE265" s="584">
        <v>350.71587299999999</v>
      </c>
      <c r="HF265" s="584">
        <v>336</v>
      </c>
      <c r="HG265" s="1100">
        <v>1.4500000000000002</v>
      </c>
      <c r="HH265" s="1100">
        <v>0.13</v>
      </c>
      <c r="HI265" s="1101">
        <v>0</v>
      </c>
      <c r="HJ265" s="1101">
        <v>0</v>
      </c>
      <c r="HK265" s="1101">
        <v>0</v>
      </c>
      <c r="HL265" s="1101">
        <v>0</v>
      </c>
      <c r="HM265" s="1101">
        <v>58.86</v>
      </c>
      <c r="HN265" s="1101">
        <v>65</v>
      </c>
      <c r="HO265" s="1101">
        <v>0</v>
      </c>
      <c r="HP265" s="1101">
        <v>0</v>
      </c>
      <c r="HQ265" s="1101">
        <v>1</v>
      </c>
      <c r="HR265" s="1101">
        <v>1.08</v>
      </c>
      <c r="HS265" s="1101">
        <v>1.32</v>
      </c>
      <c r="HT265" s="1101">
        <v>0.28000000000000003</v>
      </c>
      <c r="HU265" s="1101">
        <v>0.28000000000000003</v>
      </c>
      <c r="HV265" s="1101">
        <v>86.416398600000008</v>
      </c>
      <c r="HW265" s="1101">
        <v>84</v>
      </c>
      <c r="HX265" s="1101">
        <v>172.83279720000002</v>
      </c>
      <c r="HY265" s="1101">
        <v>168</v>
      </c>
      <c r="HZ265" s="1101">
        <v>345.66559440000003</v>
      </c>
      <c r="IA265" s="1101">
        <v>336</v>
      </c>
      <c r="IB265" s="1062"/>
      <c r="ID265" s="1050"/>
      <c r="IE265" s="1050"/>
      <c r="IM265" s="1050"/>
      <c r="IN265" s="1050"/>
      <c r="IO265" s="1050"/>
      <c r="IP265" s="1050"/>
      <c r="JU265" s="1050"/>
      <c r="KC265" s="1050"/>
      <c r="KD265" s="1050"/>
      <c r="KE265" s="1050"/>
      <c r="KF265" s="1050"/>
      <c r="KN265" s="1103"/>
    </row>
    <row r="266" spans="2:300">
      <c r="B266" s="1048" t="str">
        <f t="shared" si="8"/>
        <v>H713</v>
      </c>
      <c r="C266" s="1046">
        <v>7</v>
      </c>
      <c r="D266" s="1092">
        <v>13</v>
      </c>
      <c r="E266" s="584">
        <v>0.56999999999999995</v>
      </c>
      <c r="F266" s="584">
        <v>0.56999999999999995</v>
      </c>
      <c r="G266" s="584">
        <v>1368</v>
      </c>
      <c r="H266" s="584">
        <v>27.36</v>
      </c>
      <c r="I266" s="584">
        <v>0</v>
      </c>
      <c r="J266" s="584">
        <v>0</v>
      </c>
      <c r="K266" s="584">
        <v>0</v>
      </c>
      <c r="L266" s="584">
        <v>0</v>
      </c>
      <c r="M266" s="584">
        <v>0</v>
      </c>
      <c r="N266" s="584">
        <v>0</v>
      </c>
      <c r="O266" s="584">
        <v>0</v>
      </c>
      <c r="P266" s="584">
        <v>0</v>
      </c>
      <c r="Q266" s="584">
        <v>0</v>
      </c>
      <c r="R266" s="584">
        <v>0</v>
      </c>
      <c r="S266" s="584">
        <v>0</v>
      </c>
      <c r="T266" s="584">
        <v>539.99793750000003</v>
      </c>
      <c r="U266" s="584">
        <v>91</v>
      </c>
      <c r="V266" s="584">
        <v>1023.3196875</v>
      </c>
      <c r="W266" s="584">
        <v>191.1</v>
      </c>
      <c r="X266" s="584">
        <v>1727.2669375</v>
      </c>
      <c r="Y266" s="584">
        <v>400.4</v>
      </c>
      <c r="Z266" s="584">
        <v>0.41</v>
      </c>
      <c r="AA266" s="584">
        <v>0.41</v>
      </c>
      <c r="AB266" s="584">
        <v>984</v>
      </c>
      <c r="AC266" s="584">
        <v>25</v>
      </c>
      <c r="AD266" s="584">
        <v>0</v>
      </c>
      <c r="AE266" s="584">
        <v>0</v>
      </c>
      <c r="AF266" s="584">
        <v>0</v>
      </c>
      <c r="AG266" s="584">
        <v>0</v>
      </c>
      <c r="AH266" s="584">
        <v>0</v>
      </c>
      <c r="AI266" s="584">
        <v>0</v>
      </c>
      <c r="AJ266" s="584">
        <v>0</v>
      </c>
      <c r="AK266" s="584">
        <v>0</v>
      </c>
      <c r="AL266" s="584">
        <v>0</v>
      </c>
      <c r="AM266" s="584">
        <v>0</v>
      </c>
      <c r="AN266" s="584">
        <v>0</v>
      </c>
      <c r="AO266" s="584">
        <v>440.83793750000001</v>
      </c>
      <c r="AP266" s="584">
        <v>91</v>
      </c>
      <c r="AQ266" s="584">
        <v>819.98850000000004</v>
      </c>
      <c r="AR266" s="584">
        <v>191.1</v>
      </c>
      <c r="AS266" s="584">
        <v>1325.306</v>
      </c>
      <c r="AT266" s="584">
        <v>400.4</v>
      </c>
      <c r="AU266" s="584">
        <v>0</v>
      </c>
      <c r="AV266" s="584">
        <v>0</v>
      </c>
      <c r="AW266" s="584">
        <v>0</v>
      </c>
      <c r="AX266" s="584">
        <v>0</v>
      </c>
      <c r="AY266" s="584">
        <v>0</v>
      </c>
      <c r="AZ266" s="584">
        <v>0</v>
      </c>
      <c r="BA266" s="584">
        <v>0</v>
      </c>
      <c r="BB266" s="584">
        <v>0</v>
      </c>
      <c r="BC266" s="584">
        <v>0</v>
      </c>
      <c r="BD266" s="584">
        <v>0</v>
      </c>
      <c r="BE266" s="584">
        <v>0</v>
      </c>
      <c r="BF266" s="584">
        <v>0</v>
      </c>
      <c r="BG266" s="584">
        <v>0</v>
      </c>
      <c r="BH266" s="584">
        <v>0</v>
      </c>
      <c r="BI266" s="584">
        <v>0</v>
      </c>
      <c r="BJ266" s="584">
        <v>0</v>
      </c>
      <c r="BK266" s="584">
        <v>0</v>
      </c>
      <c r="BL266" s="584">
        <v>0</v>
      </c>
      <c r="BM266" s="584">
        <v>0</v>
      </c>
      <c r="BN266" s="584">
        <v>0</v>
      </c>
      <c r="BO266" s="584">
        <v>0</v>
      </c>
      <c r="BP266" s="584">
        <v>0.97499999999999998</v>
      </c>
      <c r="BQ266" s="584">
        <v>0.19</v>
      </c>
      <c r="BR266" s="584">
        <v>669.78536533559895</v>
      </c>
      <c r="BS266" s="584">
        <v>70.117807455395095</v>
      </c>
      <c r="BT266" s="584">
        <v>0</v>
      </c>
      <c r="BU266" s="584">
        <v>0</v>
      </c>
      <c r="BV266" s="584">
        <v>0</v>
      </c>
      <c r="BW266" s="584">
        <v>0</v>
      </c>
      <c r="BX266" s="584">
        <v>0</v>
      </c>
      <c r="BY266" s="584">
        <v>0</v>
      </c>
      <c r="BZ266" s="584">
        <v>0</v>
      </c>
      <c r="CA266" s="584">
        <v>0.35</v>
      </c>
      <c r="CB266" s="584">
        <v>0.97499999999999998</v>
      </c>
      <c r="CC266" s="584">
        <v>0.45</v>
      </c>
      <c r="CD266" s="584">
        <v>0.45</v>
      </c>
      <c r="CE266" s="584">
        <v>389.20645000000002</v>
      </c>
      <c r="CF266" s="584">
        <v>91</v>
      </c>
      <c r="CG266" s="584">
        <v>656.34804374999999</v>
      </c>
      <c r="CH266" s="584">
        <v>191.1</v>
      </c>
      <c r="CI266" s="584">
        <v>896.28063750000001</v>
      </c>
      <c r="CJ266" s="584">
        <v>400.4</v>
      </c>
      <c r="CK266" s="584">
        <v>0</v>
      </c>
      <c r="CL266" s="584">
        <v>0</v>
      </c>
      <c r="CM266" s="584">
        <v>0</v>
      </c>
      <c r="CN266" s="584">
        <v>0</v>
      </c>
      <c r="CO266" s="584">
        <v>0</v>
      </c>
      <c r="CP266" s="584">
        <v>0</v>
      </c>
      <c r="CQ266" s="584">
        <v>0</v>
      </c>
      <c r="CR266" s="584">
        <v>0</v>
      </c>
      <c r="CS266" s="584">
        <v>0</v>
      </c>
      <c r="CT266" s="584">
        <v>0</v>
      </c>
      <c r="CU266" s="584">
        <v>0</v>
      </c>
      <c r="CV266" s="584">
        <v>0</v>
      </c>
      <c r="CW266" s="584">
        <v>0</v>
      </c>
      <c r="CX266" s="584">
        <v>0</v>
      </c>
      <c r="CY266" s="584">
        <v>0</v>
      </c>
      <c r="CZ266" s="584">
        <v>0</v>
      </c>
      <c r="DA266" s="584">
        <v>0</v>
      </c>
      <c r="DB266" s="584">
        <v>0</v>
      </c>
      <c r="DC266" s="584">
        <v>0</v>
      </c>
      <c r="DD266" s="584">
        <v>0</v>
      </c>
      <c r="DE266" s="584">
        <v>0</v>
      </c>
      <c r="DF266" s="584">
        <v>0.625</v>
      </c>
      <c r="DG266" s="584">
        <v>0.2</v>
      </c>
      <c r="DH266" s="584">
        <v>546.998194562447</v>
      </c>
      <c r="DI266" s="584">
        <v>25.941854502973701</v>
      </c>
      <c r="DJ266" s="584">
        <v>300</v>
      </c>
      <c r="DK266" s="584">
        <v>0</v>
      </c>
      <c r="DL266" s="584">
        <v>0</v>
      </c>
      <c r="DM266" s="584">
        <v>0</v>
      </c>
      <c r="DN266" s="584">
        <v>0</v>
      </c>
      <c r="DO266" s="584">
        <v>0</v>
      </c>
      <c r="DP266" s="584">
        <v>0</v>
      </c>
      <c r="DQ266" s="584">
        <v>0</v>
      </c>
      <c r="DR266" s="584">
        <v>0.625</v>
      </c>
      <c r="DS266" s="584">
        <v>0</v>
      </c>
      <c r="DT266" s="584">
        <v>2.4</v>
      </c>
      <c r="DU266" s="584">
        <v>376.02887500000003</v>
      </c>
      <c r="DV266" s="584">
        <v>91</v>
      </c>
      <c r="DW266" s="584">
        <v>666.72199999999998</v>
      </c>
      <c r="DX266" s="584">
        <v>191.1</v>
      </c>
      <c r="DY266" s="584">
        <v>1100.34825</v>
      </c>
      <c r="DZ266" s="584">
        <v>400.4</v>
      </c>
      <c r="EA266" s="1062">
        <v>1.0103</v>
      </c>
      <c r="EB266" s="1046">
        <v>0.45</v>
      </c>
      <c r="EC266" s="1093">
        <v>132.51783893985726</v>
      </c>
      <c r="ED266" s="1046">
        <v>0</v>
      </c>
      <c r="EE266" s="1046">
        <v>581.03975535168195</v>
      </c>
      <c r="EF266" s="1046">
        <v>48.087912087912088</v>
      </c>
      <c r="EG266" s="1046">
        <v>0</v>
      </c>
      <c r="EH266" s="1046">
        <v>0</v>
      </c>
      <c r="EI266" s="1046" t="s">
        <v>420</v>
      </c>
      <c r="EJ266" s="1046" t="s">
        <v>420</v>
      </c>
      <c r="EK266" s="1046">
        <v>0</v>
      </c>
      <c r="EL266" s="1046">
        <v>0</v>
      </c>
      <c r="EM266" s="1046">
        <v>0</v>
      </c>
      <c r="EN266" s="1046">
        <v>0</v>
      </c>
      <c r="EO266" s="1046">
        <v>0</v>
      </c>
      <c r="EP266" s="1094">
        <v>235.95714000000004</v>
      </c>
      <c r="EQ266" s="1094">
        <v>91</v>
      </c>
      <c r="ER266" s="1094">
        <v>471.91428000000008</v>
      </c>
      <c r="ES266" s="1095">
        <v>182</v>
      </c>
      <c r="ET266" s="1094">
        <v>943.82856000000015</v>
      </c>
      <c r="EU266" s="1094">
        <v>364</v>
      </c>
      <c r="EV266" s="1096">
        <v>0.7622000000000001</v>
      </c>
      <c r="EW266" s="1097">
        <v>0.15</v>
      </c>
      <c r="EX266" s="1096">
        <v>289.50050968399592</v>
      </c>
      <c r="EY266" s="1096">
        <v>1.5443934760448521</v>
      </c>
      <c r="EZ266" s="1096">
        <v>0</v>
      </c>
      <c r="FA266" s="1096">
        <v>33.10879120879121</v>
      </c>
      <c r="FB266" s="1098">
        <v>0</v>
      </c>
      <c r="FC266" s="1098">
        <v>0</v>
      </c>
      <c r="FD266" s="1098" t="s">
        <v>406</v>
      </c>
      <c r="FE266" s="1098" t="s">
        <v>432</v>
      </c>
      <c r="FF266" s="1098">
        <v>2</v>
      </c>
      <c r="FG266" s="1098">
        <v>0</v>
      </c>
      <c r="FH266" s="1098">
        <v>0</v>
      </c>
      <c r="FI266" s="1098">
        <v>0</v>
      </c>
      <c r="FJ266" s="1098">
        <v>0</v>
      </c>
      <c r="FK266" s="1096">
        <v>140.82131112500002</v>
      </c>
      <c r="FL266" s="1096">
        <v>91</v>
      </c>
      <c r="FM266" s="1096">
        <v>281.64262225000004</v>
      </c>
      <c r="FN266" s="1096">
        <v>182</v>
      </c>
      <c r="FO266" s="1096">
        <v>563.28524450000009</v>
      </c>
      <c r="FP266" s="1099">
        <v>364</v>
      </c>
      <c r="FQ266" s="1064">
        <v>1.2</v>
      </c>
      <c r="FR266" s="1065">
        <v>0.15</v>
      </c>
      <c r="FS266" s="1066">
        <v>289.50050968399586</v>
      </c>
      <c r="FT266" s="1066">
        <v>3.1547324150233758</v>
      </c>
      <c r="FU266" s="1065"/>
      <c r="FV266" s="1066">
        <v>63.554909414623602</v>
      </c>
      <c r="FW266" s="1065"/>
      <c r="FX266" s="1065"/>
      <c r="FY266" s="1065" t="s">
        <v>389</v>
      </c>
      <c r="FZ266" s="1065" t="s">
        <v>396</v>
      </c>
      <c r="GA266" s="1065">
        <v>1</v>
      </c>
      <c r="GB266" s="1065"/>
      <c r="GC266" s="1065"/>
      <c r="GD266" s="1065"/>
      <c r="GE266" s="1065"/>
      <c r="GF266" s="1066">
        <v>145.47309108943602</v>
      </c>
      <c r="GG266" s="1066">
        <v>91</v>
      </c>
      <c r="GH266" s="1066">
        <v>290.94618217887205</v>
      </c>
      <c r="GI266" s="1066">
        <v>182</v>
      </c>
      <c r="GJ266" s="1066">
        <v>581.8923643577441</v>
      </c>
      <c r="GK266" s="1066">
        <v>364</v>
      </c>
      <c r="GL266" s="584">
        <v>1.1003000000000001</v>
      </c>
      <c r="GM266" s="584">
        <v>0.13</v>
      </c>
      <c r="GN266" s="584"/>
      <c r="GO266" s="584"/>
      <c r="GP266" s="584"/>
      <c r="GQ266" s="584">
        <v>72.120879120879096</v>
      </c>
      <c r="GR266" s="584"/>
      <c r="GS266" s="584">
        <v>66.2589194699286</v>
      </c>
      <c r="GT266" s="584" t="s">
        <v>408</v>
      </c>
      <c r="GU266" s="584" t="s">
        <v>351</v>
      </c>
      <c r="GV266" s="584">
        <v>1</v>
      </c>
      <c r="GW266" s="584"/>
      <c r="GX266" s="584"/>
      <c r="GY266" s="584"/>
      <c r="GZ266" s="584"/>
      <c r="HA266" s="584">
        <v>96.858257499999993</v>
      </c>
      <c r="HB266" s="584">
        <v>91</v>
      </c>
      <c r="HC266" s="584">
        <v>193.71651499999999</v>
      </c>
      <c r="HD266" s="584">
        <v>182</v>
      </c>
      <c r="HE266" s="584">
        <v>387.43302999999997</v>
      </c>
      <c r="HF266" s="584">
        <v>364</v>
      </c>
      <c r="HG266" s="1100">
        <v>1.5299999999999998</v>
      </c>
      <c r="HH266" s="1100">
        <v>0.13</v>
      </c>
      <c r="HI266" s="1101">
        <v>0</v>
      </c>
      <c r="HJ266" s="1101">
        <v>0</v>
      </c>
      <c r="HK266" s="1101">
        <v>0</v>
      </c>
      <c r="HL266" s="1101">
        <v>0</v>
      </c>
      <c r="HM266" s="1101">
        <v>65.630769230769232</v>
      </c>
      <c r="HN266" s="1101">
        <v>65</v>
      </c>
      <c r="HO266" s="1101">
        <v>0</v>
      </c>
      <c r="HP266" s="1101">
        <v>0</v>
      </c>
      <c r="HQ266" s="1101">
        <v>1</v>
      </c>
      <c r="HR266" s="1101">
        <v>1.1200000000000001</v>
      </c>
      <c r="HS266" s="1101">
        <v>1.4</v>
      </c>
      <c r="HT266" s="1101">
        <v>0.3</v>
      </c>
      <c r="HU266" s="1101">
        <v>0.3</v>
      </c>
      <c r="HV266" s="1101">
        <v>95.128848500000004</v>
      </c>
      <c r="HW266" s="1101">
        <v>91</v>
      </c>
      <c r="HX266" s="1101">
        <v>190.25769700000001</v>
      </c>
      <c r="HY266" s="1101">
        <v>182</v>
      </c>
      <c r="HZ266" s="1101">
        <v>380.51539400000001</v>
      </c>
      <c r="IA266" s="1101">
        <v>364</v>
      </c>
      <c r="IB266" s="1062"/>
      <c r="ID266" s="1050"/>
      <c r="IE266" s="1050"/>
      <c r="IM266" s="1050"/>
      <c r="IN266" s="1050"/>
      <c r="IO266" s="1050"/>
      <c r="IP266" s="1050"/>
      <c r="JU266" s="1050"/>
      <c r="KC266" s="1050"/>
      <c r="KD266" s="1050"/>
      <c r="KE266" s="1050"/>
      <c r="KF266" s="1050"/>
      <c r="KN266" s="1103"/>
    </row>
    <row r="267" spans="2:300">
      <c r="B267" s="1048" t="str">
        <f t="shared" si="8"/>
        <v>H714</v>
      </c>
      <c r="C267" s="1046">
        <v>7</v>
      </c>
      <c r="D267" s="1092">
        <v>14</v>
      </c>
      <c r="E267" s="584">
        <v>0</v>
      </c>
      <c r="F267" s="584">
        <v>0</v>
      </c>
      <c r="G267" s="584">
        <v>0</v>
      </c>
      <c r="H267" s="584">
        <v>0</v>
      </c>
      <c r="I267" s="584">
        <v>0</v>
      </c>
      <c r="J267" s="584">
        <v>0</v>
      </c>
      <c r="K267" s="584">
        <v>0</v>
      </c>
      <c r="L267" s="584">
        <v>0</v>
      </c>
      <c r="M267" s="584">
        <v>0</v>
      </c>
      <c r="N267" s="584">
        <v>0</v>
      </c>
      <c r="O267" s="584">
        <v>0</v>
      </c>
      <c r="P267" s="584">
        <v>0</v>
      </c>
      <c r="Q267" s="584">
        <v>0</v>
      </c>
      <c r="R267" s="584">
        <v>0</v>
      </c>
      <c r="S267" s="584">
        <v>0</v>
      </c>
      <c r="T267" s="584">
        <v>0</v>
      </c>
      <c r="U267" s="584">
        <v>0</v>
      </c>
      <c r="V267" s="584">
        <v>0</v>
      </c>
      <c r="W267" s="584">
        <v>0</v>
      </c>
      <c r="X267" s="584">
        <v>0</v>
      </c>
      <c r="Y267" s="584">
        <v>0</v>
      </c>
      <c r="Z267" s="584">
        <v>0.47</v>
      </c>
      <c r="AA267" s="584">
        <v>0.47</v>
      </c>
      <c r="AB267" s="584">
        <v>1128</v>
      </c>
      <c r="AC267" s="584">
        <v>23</v>
      </c>
      <c r="AD267" s="584">
        <v>0</v>
      </c>
      <c r="AE267" s="584">
        <v>0</v>
      </c>
      <c r="AF267" s="584">
        <v>0</v>
      </c>
      <c r="AG267" s="584">
        <v>0</v>
      </c>
      <c r="AH267" s="584">
        <v>0</v>
      </c>
      <c r="AI267" s="584">
        <v>0</v>
      </c>
      <c r="AJ267" s="584">
        <v>0</v>
      </c>
      <c r="AK267" s="584">
        <v>0</v>
      </c>
      <c r="AL267" s="584">
        <v>0</v>
      </c>
      <c r="AM267" s="584">
        <v>0</v>
      </c>
      <c r="AN267" s="584">
        <v>0</v>
      </c>
      <c r="AO267" s="584">
        <v>510.60543749999999</v>
      </c>
      <c r="AP267" s="584">
        <v>98</v>
      </c>
      <c r="AQ267" s="584">
        <v>965.48043749999999</v>
      </c>
      <c r="AR267" s="584">
        <v>205.8</v>
      </c>
      <c r="AS267" s="584">
        <v>1589.8219375000001</v>
      </c>
      <c r="AT267" s="584">
        <v>431.2</v>
      </c>
      <c r="AU267" s="584">
        <v>0</v>
      </c>
      <c r="AV267" s="584">
        <v>0</v>
      </c>
      <c r="AW267" s="584">
        <v>0</v>
      </c>
      <c r="AX267" s="584">
        <v>0</v>
      </c>
      <c r="AY267" s="584">
        <v>0</v>
      </c>
      <c r="AZ267" s="584">
        <v>0</v>
      </c>
      <c r="BA267" s="584">
        <v>0</v>
      </c>
      <c r="BB267" s="584">
        <v>0</v>
      </c>
      <c r="BC267" s="584">
        <v>0</v>
      </c>
      <c r="BD267" s="584">
        <v>0</v>
      </c>
      <c r="BE267" s="584">
        <v>0</v>
      </c>
      <c r="BF267" s="584">
        <v>0</v>
      </c>
      <c r="BG267" s="584">
        <v>0</v>
      </c>
      <c r="BH267" s="584">
        <v>0</v>
      </c>
      <c r="BI267" s="584">
        <v>0</v>
      </c>
      <c r="BJ267" s="584">
        <v>0</v>
      </c>
      <c r="BK267" s="584">
        <v>0</v>
      </c>
      <c r="BL267" s="584">
        <v>0</v>
      </c>
      <c r="BM267" s="584">
        <v>0</v>
      </c>
      <c r="BN267" s="584">
        <v>0</v>
      </c>
      <c r="BO267" s="584">
        <v>0</v>
      </c>
      <c r="BP267" s="584">
        <v>1.1000000000000001</v>
      </c>
      <c r="BQ267" s="584">
        <v>0.19500000000000001</v>
      </c>
      <c r="BR267" s="584">
        <v>735.471008292747</v>
      </c>
      <c r="BS267" s="584">
        <v>82.886344774253004</v>
      </c>
      <c r="BT267" s="584">
        <v>0</v>
      </c>
      <c r="BU267" s="584">
        <v>0</v>
      </c>
      <c r="BV267" s="584">
        <v>0</v>
      </c>
      <c r="BW267" s="584">
        <v>0</v>
      </c>
      <c r="BX267" s="584">
        <v>0</v>
      </c>
      <c r="BY267" s="584">
        <v>0</v>
      </c>
      <c r="BZ267" s="584">
        <v>0</v>
      </c>
      <c r="CA267" s="584">
        <v>0.35</v>
      </c>
      <c r="CB267" s="584">
        <v>1.1000000000000001</v>
      </c>
      <c r="CC267" s="584">
        <v>0.45</v>
      </c>
      <c r="CD267" s="584">
        <v>0.45</v>
      </c>
      <c r="CE267" s="584">
        <v>448.10235</v>
      </c>
      <c r="CF267" s="584">
        <v>98</v>
      </c>
      <c r="CG267" s="584">
        <v>762.03172500000005</v>
      </c>
      <c r="CH267" s="584">
        <v>205.8</v>
      </c>
      <c r="CI267" s="584">
        <v>995.09903750000001</v>
      </c>
      <c r="CJ267" s="584">
        <v>431.2</v>
      </c>
      <c r="CK267" s="584">
        <v>0</v>
      </c>
      <c r="CL267" s="584">
        <v>0</v>
      </c>
      <c r="CM267" s="584">
        <v>0</v>
      </c>
      <c r="CN267" s="584">
        <v>0</v>
      </c>
      <c r="CO267" s="584">
        <v>0</v>
      </c>
      <c r="CP267" s="584">
        <v>0</v>
      </c>
      <c r="CQ267" s="584">
        <v>0</v>
      </c>
      <c r="CR267" s="584">
        <v>0</v>
      </c>
      <c r="CS267" s="584">
        <v>0</v>
      </c>
      <c r="CT267" s="584">
        <v>0</v>
      </c>
      <c r="CU267" s="584">
        <v>0</v>
      </c>
      <c r="CV267" s="584">
        <v>0</v>
      </c>
      <c r="CW267" s="584">
        <v>0</v>
      </c>
      <c r="CX267" s="584">
        <v>0</v>
      </c>
      <c r="CY267" s="584">
        <v>0</v>
      </c>
      <c r="CZ267" s="584">
        <v>0</v>
      </c>
      <c r="DA267" s="584">
        <v>0</v>
      </c>
      <c r="DB267" s="584">
        <v>0</v>
      </c>
      <c r="DC267" s="584">
        <v>0</v>
      </c>
      <c r="DD267" s="584">
        <v>0</v>
      </c>
      <c r="DE267" s="584">
        <v>0</v>
      </c>
      <c r="DF267" s="584">
        <v>0.7</v>
      </c>
      <c r="DG267" s="584">
        <v>0.2</v>
      </c>
      <c r="DH267" s="584">
        <v>603.53379623535602</v>
      </c>
      <c r="DI267" s="584">
        <v>27.540587929445799</v>
      </c>
      <c r="DJ267" s="584">
        <v>300</v>
      </c>
      <c r="DK267" s="584">
        <v>0</v>
      </c>
      <c r="DL267" s="584">
        <v>0</v>
      </c>
      <c r="DM267" s="584">
        <v>0</v>
      </c>
      <c r="DN267" s="584">
        <v>0</v>
      </c>
      <c r="DO267" s="584">
        <v>0</v>
      </c>
      <c r="DP267" s="584">
        <v>0</v>
      </c>
      <c r="DQ267" s="584">
        <v>0</v>
      </c>
      <c r="DR267" s="584">
        <v>0.7</v>
      </c>
      <c r="DS267" s="584">
        <v>0</v>
      </c>
      <c r="DT267" s="584">
        <v>2.4</v>
      </c>
      <c r="DU267" s="584">
        <v>413.58262500000001</v>
      </c>
      <c r="DV267" s="584">
        <v>98</v>
      </c>
      <c r="DW267" s="584">
        <v>740.77324999999996</v>
      </c>
      <c r="DX267" s="584">
        <v>205.8</v>
      </c>
      <c r="DY267" s="584">
        <v>1247.1959999999999</v>
      </c>
      <c r="DZ267" s="584">
        <v>431.2</v>
      </c>
      <c r="EA267" s="1062">
        <v>0</v>
      </c>
      <c r="EB267" s="1046">
        <v>0</v>
      </c>
      <c r="EC267" s="1093">
        <v>0</v>
      </c>
      <c r="ED267" s="1046">
        <v>0</v>
      </c>
      <c r="EE267" s="1046">
        <v>0</v>
      </c>
      <c r="EF267" s="1046">
        <v>0</v>
      </c>
      <c r="EG267" s="1046">
        <v>0</v>
      </c>
      <c r="EH267" s="1046">
        <v>0</v>
      </c>
      <c r="EI267" s="1046">
        <v>0</v>
      </c>
      <c r="EJ267" s="1046">
        <v>0</v>
      </c>
      <c r="EK267" s="1046">
        <v>0</v>
      </c>
      <c r="EL267" s="1046">
        <v>0</v>
      </c>
      <c r="EM267" s="1046">
        <v>0</v>
      </c>
      <c r="EN267" s="1046">
        <v>0</v>
      </c>
      <c r="EO267" s="1046">
        <v>0</v>
      </c>
      <c r="EP267" s="1094">
        <v>0</v>
      </c>
      <c r="EQ267" s="1094">
        <v>0</v>
      </c>
      <c r="ER267" s="1094">
        <v>0</v>
      </c>
      <c r="ES267" s="1095">
        <v>0</v>
      </c>
      <c r="ET267" s="1094">
        <v>0</v>
      </c>
      <c r="EU267" s="1094">
        <v>0</v>
      </c>
      <c r="EV267" s="1096">
        <v>0.76719999999999999</v>
      </c>
      <c r="EW267" s="1097">
        <v>0.15</v>
      </c>
      <c r="EX267" s="1096">
        <v>289.50050968399592</v>
      </c>
      <c r="EY267" s="1096">
        <v>1.5443934760448521</v>
      </c>
      <c r="EZ267" s="1096">
        <v>0</v>
      </c>
      <c r="FA267" s="1096">
        <v>38.907142857142858</v>
      </c>
      <c r="FB267" s="1098">
        <v>0</v>
      </c>
      <c r="FC267" s="1098">
        <v>0</v>
      </c>
      <c r="FD267" s="1098" t="s">
        <v>404</v>
      </c>
      <c r="FE267" s="1098" t="s">
        <v>410</v>
      </c>
      <c r="FF267" s="1098">
        <v>2</v>
      </c>
      <c r="FG267" s="1098">
        <v>0</v>
      </c>
      <c r="FH267" s="1098">
        <v>0</v>
      </c>
      <c r="FI267" s="1098">
        <v>0</v>
      </c>
      <c r="FJ267" s="1098">
        <v>0</v>
      </c>
      <c r="FK267" s="1096">
        <v>153.0473245</v>
      </c>
      <c r="FL267" s="1096">
        <v>98</v>
      </c>
      <c r="FM267" s="1096">
        <v>306.094649</v>
      </c>
      <c r="FN267" s="1096">
        <v>196</v>
      </c>
      <c r="FO267" s="1096">
        <v>612.18929800000001</v>
      </c>
      <c r="FP267" s="1099">
        <v>392</v>
      </c>
      <c r="FQ267" s="1064">
        <v>1.2222367378842984</v>
      </c>
      <c r="FR267" s="1065">
        <v>0.15</v>
      </c>
      <c r="FS267" s="1066">
        <v>289.50050968399586</v>
      </c>
      <c r="FT267" s="1066">
        <v>3.1547324150233758</v>
      </c>
      <c r="FU267" s="1065"/>
      <c r="FV267" s="1066">
        <v>66.968491107814103</v>
      </c>
      <c r="FW267" s="1065"/>
      <c r="FX267" s="1065"/>
      <c r="FY267" s="1065" t="s">
        <v>387</v>
      </c>
      <c r="FZ267" s="1065" t="s">
        <v>389</v>
      </c>
      <c r="GA267" s="1065">
        <v>1</v>
      </c>
      <c r="GB267" s="1065"/>
      <c r="GC267" s="1065"/>
      <c r="GD267" s="1065"/>
      <c r="GE267" s="1065"/>
      <c r="GF267" s="1066">
        <v>157.48376615759634</v>
      </c>
      <c r="GG267" s="1066">
        <v>98</v>
      </c>
      <c r="GH267" s="1066">
        <v>314.96753231519267</v>
      </c>
      <c r="GI267" s="1066">
        <v>196</v>
      </c>
      <c r="GJ267" s="1066">
        <v>629.93506463038534</v>
      </c>
      <c r="GK267" s="1066">
        <v>392</v>
      </c>
      <c r="GL267" s="584">
        <v>1.1101000000000001</v>
      </c>
      <c r="GM267" s="584">
        <v>0.13</v>
      </c>
      <c r="GN267" s="584"/>
      <c r="GO267" s="584"/>
      <c r="GP267" s="584"/>
      <c r="GQ267" s="584">
        <v>79.128571428571405</v>
      </c>
      <c r="GR267" s="584"/>
      <c r="GS267" s="584">
        <v>66.2589194699286</v>
      </c>
      <c r="GT267" s="584" t="s">
        <v>408</v>
      </c>
      <c r="GU267" s="584" t="s">
        <v>349</v>
      </c>
      <c r="GV267" s="584">
        <v>1</v>
      </c>
      <c r="GW267" s="584"/>
      <c r="GX267" s="584"/>
      <c r="GY267" s="584"/>
      <c r="GZ267" s="584"/>
      <c r="HA267" s="584">
        <v>105.9931565</v>
      </c>
      <c r="HB267" s="584">
        <v>98</v>
      </c>
      <c r="HC267" s="584">
        <v>211.986313</v>
      </c>
      <c r="HD267" s="584">
        <v>196</v>
      </c>
      <c r="HE267" s="584">
        <v>423.97262599999999</v>
      </c>
      <c r="HF267" s="584">
        <v>392</v>
      </c>
      <c r="HG267" s="1100">
        <v>1.65</v>
      </c>
      <c r="HH267" s="1100">
        <v>0.13</v>
      </c>
      <c r="HI267" s="1101">
        <v>0</v>
      </c>
      <c r="HJ267" s="1101">
        <v>0</v>
      </c>
      <c r="HK267" s="1101">
        <v>0</v>
      </c>
      <c r="HL267" s="1101">
        <v>0</v>
      </c>
      <c r="HM267" s="1101">
        <v>70.2</v>
      </c>
      <c r="HN267" s="1101">
        <v>65</v>
      </c>
      <c r="HO267" s="1101">
        <v>0</v>
      </c>
      <c r="HP267" s="1101">
        <v>0</v>
      </c>
      <c r="HQ267" s="1101">
        <v>1</v>
      </c>
      <c r="HR267" s="1101">
        <v>1.2</v>
      </c>
      <c r="HS267" s="1101">
        <v>1.52</v>
      </c>
      <c r="HT267" s="1101">
        <v>0.3</v>
      </c>
      <c r="HU267" s="1101">
        <v>0.3</v>
      </c>
      <c r="HV267" s="1101">
        <v>103.54464400000001</v>
      </c>
      <c r="HW267" s="1101">
        <v>98</v>
      </c>
      <c r="HX267" s="1101">
        <v>207.08928800000001</v>
      </c>
      <c r="HY267" s="1101">
        <v>196</v>
      </c>
      <c r="HZ267" s="1101">
        <v>414.17857600000002</v>
      </c>
      <c r="IA267" s="1101">
        <v>392</v>
      </c>
      <c r="IB267" s="1062"/>
      <c r="ID267" s="1050"/>
      <c r="IE267" s="1050"/>
      <c r="IM267" s="1050"/>
      <c r="IN267" s="1050"/>
      <c r="IO267" s="1050"/>
      <c r="IP267" s="1050"/>
      <c r="JU267" s="1050"/>
      <c r="KC267" s="1050"/>
      <c r="KD267" s="1050"/>
      <c r="KE267" s="1050"/>
      <c r="KF267" s="1050"/>
      <c r="KN267" s="1103"/>
    </row>
    <row r="268" spans="2:300">
      <c r="B268" s="1048" t="str">
        <f t="shared" si="8"/>
        <v>H715</v>
      </c>
      <c r="C268" s="1046">
        <v>7</v>
      </c>
      <c r="D268" s="1092">
        <v>15</v>
      </c>
      <c r="E268" s="584">
        <v>0</v>
      </c>
      <c r="F268" s="584">
        <v>0</v>
      </c>
      <c r="G268" s="584">
        <v>0</v>
      </c>
      <c r="H268" s="584">
        <v>0</v>
      </c>
      <c r="I268" s="584">
        <v>0</v>
      </c>
      <c r="J268" s="584">
        <v>0</v>
      </c>
      <c r="K268" s="584">
        <v>0</v>
      </c>
      <c r="L268" s="584">
        <v>0</v>
      </c>
      <c r="M268" s="584">
        <v>0</v>
      </c>
      <c r="N268" s="584">
        <v>0</v>
      </c>
      <c r="O268" s="584">
        <v>0</v>
      </c>
      <c r="P268" s="584">
        <v>0</v>
      </c>
      <c r="Q268" s="584">
        <v>0</v>
      </c>
      <c r="R268" s="584">
        <v>0</v>
      </c>
      <c r="S268" s="584">
        <v>0</v>
      </c>
      <c r="T268" s="584">
        <v>0</v>
      </c>
      <c r="U268" s="584">
        <v>0</v>
      </c>
      <c r="V268" s="584">
        <v>0</v>
      </c>
      <c r="W268" s="584">
        <v>0</v>
      </c>
      <c r="X268" s="584">
        <v>0</v>
      </c>
      <c r="Y268" s="584">
        <v>0</v>
      </c>
      <c r="Z268" s="584">
        <v>0</v>
      </c>
      <c r="AA268" s="584">
        <v>0</v>
      </c>
      <c r="AB268" s="584">
        <v>0</v>
      </c>
      <c r="AC268" s="584">
        <v>0</v>
      </c>
      <c r="AD268" s="584">
        <v>0</v>
      </c>
      <c r="AE268" s="584">
        <v>0</v>
      </c>
      <c r="AF268" s="584">
        <v>0</v>
      </c>
      <c r="AG268" s="584">
        <v>0</v>
      </c>
      <c r="AH268" s="584">
        <v>0</v>
      </c>
      <c r="AI268" s="584">
        <v>0</v>
      </c>
      <c r="AJ268" s="584">
        <v>0</v>
      </c>
      <c r="AK268" s="584">
        <v>0</v>
      </c>
      <c r="AL268" s="584">
        <v>0</v>
      </c>
      <c r="AM268" s="584">
        <v>0</v>
      </c>
      <c r="AN268" s="584">
        <v>0</v>
      </c>
      <c r="AO268" s="584">
        <v>0</v>
      </c>
      <c r="AP268" s="584">
        <v>0</v>
      </c>
      <c r="AQ268" s="584">
        <v>0</v>
      </c>
      <c r="AR268" s="584">
        <v>0</v>
      </c>
      <c r="AS268" s="584">
        <v>0</v>
      </c>
      <c r="AT268" s="584">
        <v>0</v>
      </c>
      <c r="AU268" s="584">
        <v>0</v>
      </c>
      <c r="AV268" s="584">
        <v>0</v>
      </c>
      <c r="AW268" s="584">
        <v>0</v>
      </c>
      <c r="AX268" s="584">
        <v>0</v>
      </c>
      <c r="AY268" s="584">
        <v>0</v>
      </c>
      <c r="AZ268" s="584">
        <v>0</v>
      </c>
      <c r="BA268" s="584">
        <v>0</v>
      </c>
      <c r="BB268" s="584">
        <v>0</v>
      </c>
      <c r="BC268" s="584">
        <v>0</v>
      </c>
      <c r="BD268" s="584">
        <v>0</v>
      </c>
      <c r="BE268" s="584">
        <v>0</v>
      </c>
      <c r="BF268" s="584">
        <v>0</v>
      </c>
      <c r="BG268" s="584">
        <v>0</v>
      </c>
      <c r="BH268" s="584">
        <v>0</v>
      </c>
      <c r="BI268" s="584">
        <v>0</v>
      </c>
      <c r="BJ268" s="584">
        <v>0</v>
      </c>
      <c r="BK268" s="584">
        <v>0</v>
      </c>
      <c r="BL268" s="584">
        <v>0</v>
      </c>
      <c r="BM268" s="584">
        <v>0</v>
      </c>
      <c r="BN268" s="584">
        <v>0</v>
      </c>
      <c r="BO268" s="584">
        <v>0</v>
      </c>
      <c r="BP268" s="584">
        <v>0</v>
      </c>
      <c r="BQ268" s="584">
        <v>0</v>
      </c>
      <c r="BR268" s="584">
        <v>0</v>
      </c>
      <c r="BS268" s="584">
        <v>0</v>
      </c>
      <c r="BT268" s="584">
        <v>0</v>
      </c>
      <c r="BU268" s="584">
        <v>0</v>
      </c>
      <c r="BV268" s="584">
        <v>0</v>
      </c>
      <c r="BW268" s="584">
        <v>0</v>
      </c>
      <c r="BX268" s="584">
        <v>0</v>
      </c>
      <c r="BY268" s="584">
        <v>0</v>
      </c>
      <c r="BZ268" s="584">
        <v>0</v>
      </c>
      <c r="CA268" s="584">
        <v>0</v>
      </c>
      <c r="CB268" s="584">
        <v>0</v>
      </c>
      <c r="CC268" s="584">
        <v>0</v>
      </c>
      <c r="CD268" s="584">
        <v>0</v>
      </c>
      <c r="CE268" s="584">
        <v>0</v>
      </c>
      <c r="CF268" s="584">
        <v>0</v>
      </c>
      <c r="CG268" s="584">
        <v>0</v>
      </c>
      <c r="CH268" s="584">
        <v>0</v>
      </c>
      <c r="CI268" s="584">
        <v>0</v>
      </c>
      <c r="CJ268" s="584">
        <v>0</v>
      </c>
      <c r="CK268" s="584">
        <v>0</v>
      </c>
      <c r="CL268" s="584">
        <v>0</v>
      </c>
      <c r="CM268" s="584">
        <v>0</v>
      </c>
      <c r="CN268" s="584">
        <v>0</v>
      </c>
      <c r="CO268" s="584">
        <v>0</v>
      </c>
      <c r="CP268" s="584">
        <v>0</v>
      </c>
      <c r="CQ268" s="584">
        <v>0</v>
      </c>
      <c r="CR268" s="584">
        <v>0</v>
      </c>
      <c r="CS268" s="584">
        <v>0</v>
      </c>
      <c r="CT268" s="584">
        <v>0</v>
      </c>
      <c r="CU268" s="584">
        <v>0</v>
      </c>
      <c r="CV268" s="584">
        <v>0</v>
      </c>
      <c r="CW268" s="584">
        <v>0</v>
      </c>
      <c r="CX268" s="584">
        <v>0</v>
      </c>
      <c r="CY268" s="584">
        <v>0</v>
      </c>
      <c r="CZ268" s="584">
        <v>0</v>
      </c>
      <c r="DA268" s="584">
        <v>0</v>
      </c>
      <c r="DB268" s="584">
        <v>0</v>
      </c>
      <c r="DC268" s="584">
        <v>0</v>
      </c>
      <c r="DD268" s="584">
        <v>0</v>
      </c>
      <c r="DE268" s="584">
        <v>0</v>
      </c>
      <c r="DF268" s="584">
        <v>0</v>
      </c>
      <c r="DG268" s="584">
        <v>0</v>
      </c>
      <c r="DH268" s="584">
        <v>0</v>
      </c>
      <c r="DI268" s="584">
        <v>0</v>
      </c>
      <c r="DJ268" s="584">
        <v>0</v>
      </c>
      <c r="DK268" s="584">
        <v>0</v>
      </c>
      <c r="DL268" s="584">
        <v>0</v>
      </c>
      <c r="DM268" s="584">
        <v>0</v>
      </c>
      <c r="DN268" s="584">
        <v>0</v>
      </c>
      <c r="DO268" s="584">
        <v>0</v>
      </c>
      <c r="DP268" s="584">
        <v>0</v>
      </c>
      <c r="DQ268" s="584">
        <v>0</v>
      </c>
      <c r="DR268" s="584">
        <v>0</v>
      </c>
      <c r="DS268" s="584">
        <v>0</v>
      </c>
      <c r="DT268" s="584">
        <v>0</v>
      </c>
      <c r="DU268" s="584">
        <v>0</v>
      </c>
      <c r="DV268" s="584">
        <v>0</v>
      </c>
      <c r="DW268" s="584">
        <v>0</v>
      </c>
      <c r="DX268" s="584">
        <v>0</v>
      </c>
      <c r="DY268" s="584">
        <v>0</v>
      </c>
      <c r="DZ268" s="584">
        <v>0</v>
      </c>
      <c r="EA268" s="1062">
        <v>0</v>
      </c>
      <c r="EB268" s="1046">
        <v>0</v>
      </c>
      <c r="EC268" s="1093">
        <v>0</v>
      </c>
      <c r="ED268" s="1046">
        <v>0</v>
      </c>
      <c r="EE268" s="1046">
        <v>0</v>
      </c>
      <c r="EF268" s="1046">
        <v>0</v>
      </c>
      <c r="EG268" s="1046">
        <v>0</v>
      </c>
      <c r="EH268" s="1046">
        <v>0</v>
      </c>
      <c r="EI268" s="1046">
        <v>0</v>
      </c>
      <c r="EJ268" s="1046">
        <v>0</v>
      </c>
      <c r="EK268" s="1046">
        <v>0</v>
      </c>
      <c r="EL268" s="1046">
        <v>0</v>
      </c>
      <c r="EM268" s="1046">
        <v>0</v>
      </c>
      <c r="EN268" s="1046">
        <v>0</v>
      </c>
      <c r="EO268" s="1046">
        <v>0</v>
      </c>
      <c r="EP268" s="1094">
        <v>0</v>
      </c>
      <c r="EQ268" s="1094">
        <v>0</v>
      </c>
      <c r="ER268" s="1094">
        <v>0</v>
      </c>
      <c r="ES268" s="1095">
        <v>0</v>
      </c>
      <c r="ET268" s="1094">
        <v>0</v>
      </c>
      <c r="EU268" s="1094">
        <v>0</v>
      </c>
      <c r="EV268" s="1096">
        <v>0.83350000000000002</v>
      </c>
      <c r="EW268" s="1097">
        <v>0.15</v>
      </c>
      <c r="EX268" s="1096">
        <v>289.50050968399592</v>
      </c>
      <c r="EY268" s="1096">
        <v>1.5443934760448521</v>
      </c>
      <c r="EZ268" s="1096">
        <v>0</v>
      </c>
      <c r="FA268" s="1096">
        <v>38.254285714285714</v>
      </c>
      <c r="FB268" s="1098">
        <v>0</v>
      </c>
      <c r="FC268" s="1098">
        <v>0</v>
      </c>
      <c r="FD268" s="1098" t="s">
        <v>394</v>
      </c>
      <c r="FE268" s="1098" t="s">
        <v>410</v>
      </c>
      <c r="FF268" s="1098">
        <v>2</v>
      </c>
      <c r="FG268" s="1098">
        <v>0</v>
      </c>
      <c r="FH268" s="1098">
        <v>0</v>
      </c>
      <c r="FI268" s="1098">
        <v>0</v>
      </c>
      <c r="FJ268" s="1098">
        <v>0</v>
      </c>
      <c r="FK268" s="1096">
        <v>163.81115737499999</v>
      </c>
      <c r="FL268" s="1096">
        <v>105</v>
      </c>
      <c r="FM268" s="1096">
        <v>327.62231474999999</v>
      </c>
      <c r="FN268" s="1096">
        <v>210</v>
      </c>
      <c r="FO268" s="1096">
        <v>655.24462949999997</v>
      </c>
      <c r="FP268" s="1099">
        <v>420</v>
      </c>
      <c r="FQ268" s="1064">
        <v>1.2262367378842984</v>
      </c>
      <c r="FR268" s="1065">
        <v>0.15</v>
      </c>
      <c r="FS268" s="1066">
        <v>289.50050968399586</v>
      </c>
      <c r="FT268" s="1066">
        <v>3.1547324150233758</v>
      </c>
      <c r="FU268" s="1065"/>
      <c r="FV268" s="1066">
        <v>72.028744967298721</v>
      </c>
      <c r="FW268" s="1065"/>
      <c r="FX268" s="1065"/>
      <c r="FY268" s="1065" t="s">
        <v>385</v>
      </c>
      <c r="FZ268" s="1065" t="s">
        <v>387</v>
      </c>
      <c r="GA268" s="1065">
        <v>1</v>
      </c>
      <c r="GB268" s="1065"/>
      <c r="GC268" s="1065"/>
      <c r="GD268" s="1065"/>
      <c r="GE268" s="1065"/>
      <c r="GF268" s="1066">
        <v>170.0356852194152</v>
      </c>
      <c r="GG268" s="1066">
        <v>105</v>
      </c>
      <c r="GH268" s="1066">
        <v>340.0713704388304</v>
      </c>
      <c r="GI268" s="1066">
        <v>210</v>
      </c>
      <c r="GJ268" s="1066">
        <v>680.1427408776608</v>
      </c>
      <c r="GK268" s="1066">
        <v>420</v>
      </c>
      <c r="GL268" s="584">
        <v>1.1298999999999999</v>
      </c>
      <c r="GM268" s="584">
        <v>0.13</v>
      </c>
      <c r="GN268" s="584"/>
      <c r="GO268" s="584"/>
      <c r="GP268" s="584"/>
      <c r="GQ268" s="584">
        <v>98.14</v>
      </c>
      <c r="GR268" s="584"/>
      <c r="GS268" s="584">
        <v>66.2589194699286</v>
      </c>
      <c r="GT268" s="584" t="s">
        <v>406</v>
      </c>
      <c r="GU268" s="584" t="s">
        <v>345</v>
      </c>
      <c r="GV268" s="584">
        <v>1</v>
      </c>
      <c r="GW268" s="584"/>
      <c r="GX268" s="584"/>
      <c r="GY268" s="584"/>
      <c r="GZ268" s="584"/>
      <c r="HA268" s="584">
        <v>118.45977675</v>
      </c>
      <c r="HB268" s="584">
        <v>105</v>
      </c>
      <c r="HC268" s="584">
        <v>236.91955350000001</v>
      </c>
      <c r="HD268" s="584">
        <v>210</v>
      </c>
      <c r="HE268" s="584">
        <v>473.83910700000001</v>
      </c>
      <c r="HF268" s="584">
        <v>420</v>
      </c>
      <c r="HG268" s="1100">
        <v>1.81</v>
      </c>
      <c r="HH268" s="1100">
        <v>0.13</v>
      </c>
      <c r="HI268" s="1101">
        <v>0</v>
      </c>
      <c r="HJ268" s="1101">
        <v>0</v>
      </c>
      <c r="HK268" s="1101">
        <v>0</v>
      </c>
      <c r="HL268" s="1101">
        <v>0</v>
      </c>
      <c r="HM268" s="1101">
        <v>76.319999999999993</v>
      </c>
      <c r="HN268" s="1101">
        <v>65</v>
      </c>
      <c r="HO268" s="1101">
        <v>0</v>
      </c>
      <c r="HP268" s="1101">
        <v>0</v>
      </c>
      <c r="HQ268" s="1101">
        <v>1</v>
      </c>
      <c r="HR268" s="1101">
        <v>1.28</v>
      </c>
      <c r="HS268" s="1101">
        <v>1.68</v>
      </c>
      <c r="HT268" s="1101">
        <v>0.3</v>
      </c>
      <c r="HU268" s="1101">
        <v>0.3</v>
      </c>
      <c r="HV268" s="1101">
        <v>112.5166665</v>
      </c>
      <c r="HW268" s="1101">
        <v>105</v>
      </c>
      <c r="HX268" s="1101">
        <v>225.033333</v>
      </c>
      <c r="HY268" s="1101">
        <v>210</v>
      </c>
      <c r="HZ268" s="1101">
        <v>450.066666</v>
      </c>
      <c r="IA268" s="1101">
        <v>420</v>
      </c>
      <c r="IB268" s="1062"/>
      <c r="ID268" s="1050"/>
      <c r="IE268" s="1050"/>
      <c r="IM268" s="1050"/>
      <c r="IN268" s="1050"/>
      <c r="IO268" s="1050"/>
      <c r="IP268" s="1050"/>
      <c r="JU268" s="1050"/>
      <c r="KC268" s="1050"/>
      <c r="KD268" s="1050"/>
      <c r="KE268" s="1050"/>
      <c r="KF268" s="1050"/>
      <c r="KN268" s="1103"/>
    </row>
    <row r="269" spans="2:300">
      <c r="B269" s="1048" t="str">
        <f t="shared" si="8"/>
        <v>H716</v>
      </c>
      <c r="C269" s="1046">
        <v>7</v>
      </c>
      <c r="D269" s="1092">
        <v>16</v>
      </c>
      <c r="E269" s="584">
        <v>0</v>
      </c>
      <c r="F269" s="584">
        <v>0</v>
      </c>
      <c r="G269" s="584">
        <v>0</v>
      </c>
      <c r="H269" s="584">
        <v>0</v>
      </c>
      <c r="I269" s="584">
        <v>0</v>
      </c>
      <c r="J269" s="584">
        <v>0</v>
      </c>
      <c r="K269" s="584">
        <v>0</v>
      </c>
      <c r="L269" s="584">
        <v>0</v>
      </c>
      <c r="M269" s="584">
        <v>0</v>
      </c>
      <c r="N269" s="584">
        <v>0</v>
      </c>
      <c r="O269" s="584">
        <v>0</v>
      </c>
      <c r="P269" s="584">
        <v>0</v>
      </c>
      <c r="Q269" s="584">
        <v>0</v>
      </c>
      <c r="R269" s="584">
        <v>0</v>
      </c>
      <c r="S269" s="584">
        <v>0</v>
      </c>
      <c r="T269" s="584">
        <v>0</v>
      </c>
      <c r="U269" s="584">
        <v>0</v>
      </c>
      <c r="V269" s="584">
        <v>0</v>
      </c>
      <c r="W269" s="584">
        <v>0</v>
      </c>
      <c r="X269" s="584">
        <v>0</v>
      </c>
      <c r="Y269" s="584">
        <v>0</v>
      </c>
      <c r="Z269" s="584">
        <v>0</v>
      </c>
      <c r="AA269" s="584">
        <v>0</v>
      </c>
      <c r="AB269" s="584">
        <v>0</v>
      </c>
      <c r="AC269" s="584">
        <v>0</v>
      </c>
      <c r="AD269" s="584">
        <v>0</v>
      </c>
      <c r="AE269" s="584">
        <v>0</v>
      </c>
      <c r="AF269" s="584">
        <v>0</v>
      </c>
      <c r="AG269" s="584">
        <v>0</v>
      </c>
      <c r="AH269" s="584">
        <v>0</v>
      </c>
      <c r="AI269" s="584">
        <v>0</v>
      </c>
      <c r="AJ269" s="584">
        <v>0</v>
      </c>
      <c r="AK269" s="584">
        <v>0</v>
      </c>
      <c r="AL269" s="584">
        <v>0</v>
      </c>
      <c r="AM269" s="584">
        <v>0</v>
      </c>
      <c r="AN269" s="584">
        <v>0</v>
      </c>
      <c r="AO269" s="584">
        <v>0</v>
      </c>
      <c r="AP269" s="584">
        <v>0</v>
      </c>
      <c r="AQ269" s="584">
        <v>0</v>
      </c>
      <c r="AR269" s="584">
        <v>0</v>
      </c>
      <c r="AS269" s="584">
        <v>0</v>
      </c>
      <c r="AT269" s="584">
        <v>0</v>
      </c>
      <c r="AU269" s="584">
        <v>0</v>
      </c>
      <c r="AV269" s="584">
        <v>0</v>
      </c>
      <c r="AW269" s="584">
        <v>0</v>
      </c>
      <c r="AX269" s="584">
        <v>0</v>
      </c>
      <c r="AY269" s="584">
        <v>0</v>
      </c>
      <c r="AZ269" s="584">
        <v>0</v>
      </c>
      <c r="BA269" s="584">
        <v>0</v>
      </c>
      <c r="BB269" s="584">
        <v>0</v>
      </c>
      <c r="BC269" s="584">
        <v>0</v>
      </c>
      <c r="BD269" s="584">
        <v>0</v>
      </c>
      <c r="BE269" s="584">
        <v>0</v>
      </c>
      <c r="BF269" s="584">
        <v>0</v>
      </c>
      <c r="BG269" s="584">
        <v>0</v>
      </c>
      <c r="BH269" s="584">
        <v>0</v>
      </c>
      <c r="BI269" s="584">
        <v>0</v>
      </c>
      <c r="BJ269" s="584">
        <v>0</v>
      </c>
      <c r="BK269" s="584">
        <v>0</v>
      </c>
      <c r="BL269" s="584">
        <v>0</v>
      </c>
      <c r="BM269" s="584">
        <v>0</v>
      </c>
      <c r="BN269" s="584">
        <v>0</v>
      </c>
      <c r="BO269" s="584">
        <v>0</v>
      </c>
      <c r="BP269" s="584">
        <v>0</v>
      </c>
      <c r="BQ269" s="584">
        <v>0</v>
      </c>
      <c r="BR269" s="584">
        <v>0</v>
      </c>
      <c r="BS269" s="584">
        <v>0</v>
      </c>
      <c r="BT269" s="584">
        <v>0</v>
      </c>
      <c r="BU269" s="584">
        <v>0</v>
      </c>
      <c r="BV269" s="584">
        <v>0</v>
      </c>
      <c r="BW269" s="584">
        <v>0</v>
      </c>
      <c r="BX269" s="584">
        <v>0</v>
      </c>
      <c r="BY269" s="584">
        <v>0</v>
      </c>
      <c r="BZ269" s="584">
        <v>0</v>
      </c>
      <c r="CA269" s="584">
        <v>0</v>
      </c>
      <c r="CB269" s="584">
        <v>0</v>
      </c>
      <c r="CC269" s="584">
        <v>0</v>
      </c>
      <c r="CD269" s="584">
        <v>0</v>
      </c>
      <c r="CE269" s="584">
        <v>0</v>
      </c>
      <c r="CF269" s="584">
        <v>0</v>
      </c>
      <c r="CG269" s="584">
        <v>0</v>
      </c>
      <c r="CH269" s="584">
        <v>0</v>
      </c>
      <c r="CI269" s="584">
        <v>0</v>
      </c>
      <c r="CJ269" s="584">
        <v>0</v>
      </c>
      <c r="CK269" s="584">
        <v>0</v>
      </c>
      <c r="CL269" s="584">
        <v>0</v>
      </c>
      <c r="CM269" s="584">
        <v>0</v>
      </c>
      <c r="CN269" s="584">
        <v>0</v>
      </c>
      <c r="CO269" s="584">
        <v>0</v>
      </c>
      <c r="CP269" s="584">
        <v>0</v>
      </c>
      <c r="CQ269" s="584">
        <v>0</v>
      </c>
      <c r="CR269" s="584">
        <v>0</v>
      </c>
      <c r="CS269" s="584">
        <v>0</v>
      </c>
      <c r="CT269" s="584">
        <v>0</v>
      </c>
      <c r="CU269" s="584">
        <v>0</v>
      </c>
      <c r="CV269" s="584">
        <v>0</v>
      </c>
      <c r="CW269" s="584">
        <v>0</v>
      </c>
      <c r="CX269" s="584">
        <v>0</v>
      </c>
      <c r="CY269" s="584">
        <v>0</v>
      </c>
      <c r="CZ269" s="584">
        <v>0</v>
      </c>
      <c r="DA269" s="584">
        <v>0</v>
      </c>
      <c r="DB269" s="584">
        <v>0</v>
      </c>
      <c r="DC269" s="584">
        <v>0</v>
      </c>
      <c r="DD269" s="584">
        <v>0</v>
      </c>
      <c r="DE269" s="584">
        <v>0</v>
      </c>
      <c r="DF269" s="584">
        <v>0</v>
      </c>
      <c r="DG269" s="584">
        <v>0</v>
      </c>
      <c r="DH269" s="584">
        <v>0</v>
      </c>
      <c r="DI269" s="584">
        <v>0</v>
      </c>
      <c r="DJ269" s="584">
        <v>0</v>
      </c>
      <c r="DK269" s="584">
        <v>0</v>
      </c>
      <c r="DL269" s="584">
        <v>0</v>
      </c>
      <c r="DM269" s="584">
        <v>0</v>
      </c>
      <c r="DN269" s="584">
        <v>0</v>
      </c>
      <c r="DO269" s="584">
        <v>0</v>
      </c>
      <c r="DP269" s="584">
        <v>0</v>
      </c>
      <c r="DQ269" s="584">
        <v>0</v>
      </c>
      <c r="DR269" s="584">
        <v>0</v>
      </c>
      <c r="DS269" s="584">
        <v>0</v>
      </c>
      <c r="DT269" s="584">
        <v>0</v>
      </c>
      <c r="DU269" s="584">
        <v>0</v>
      </c>
      <c r="DV269" s="584">
        <v>0</v>
      </c>
      <c r="DW269" s="584">
        <v>0</v>
      </c>
      <c r="DX269" s="584">
        <v>0</v>
      </c>
      <c r="DY269" s="584">
        <v>0</v>
      </c>
      <c r="DZ269" s="584">
        <v>0</v>
      </c>
      <c r="EA269" s="1062">
        <v>0</v>
      </c>
      <c r="EB269" s="1046">
        <v>0</v>
      </c>
      <c r="EC269" s="1093">
        <v>0</v>
      </c>
      <c r="ED269" s="1046">
        <v>0</v>
      </c>
      <c r="EE269" s="1046">
        <v>0</v>
      </c>
      <c r="EF269" s="1046">
        <v>0</v>
      </c>
      <c r="EG269" s="1046">
        <v>0</v>
      </c>
      <c r="EH269" s="1046">
        <v>0</v>
      </c>
      <c r="EI269" s="1046">
        <v>0</v>
      </c>
      <c r="EJ269" s="1046">
        <v>0</v>
      </c>
      <c r="EK269" s="1046">
        <v>0</v>
      </c>
      <c r="EL269" s="1046">
        <v>0</v>
      </c>
      <c r="EM269" s="1046">
        <v>0</v>
      </c>
      <c r="EN269" s="1046">
        <v>0</v>
      </c>
      <c r="EO269" s="1046">
        <v>0</v>
      </c>
      <c r="EP269" s="1094">
        <v>0</v>
      </c>
      <c r="EQ269" s="1094">
        <v>0</v>
      </c>
      <c r="ER269" s="1094">
        <v>0</v>
      </c>
      <c r="ES269" s="1095">
        <v>0</v>
      </c>
      <c r="ET269" s="1094">
        <v>0</v>
      </c>
      <c r="EU269" s="1094">
        <v>0</v>
      </c>
      <c r="EV269" s="1096">
        <v>0.83350000000000002</v>
      </c>
      <c r="EW269" s="1097">
        <v>0.15</v>
      </c>
      <c r="EX269" s="1096">
        <v>289.50050968399592</v>
      </c>
      <c r="EY269" s="1096">
        <v>1.5443934760448521</v>
      </c>
      <c r="EZ269" s="1096">
        <v>0</v>
      </c>
      <c r="FA269" s="1096">
        <v>44.527678571428574</v>
      </c>
      <c r="FB269" s="1098">
        <v>0</v>
      </c>
      <c r="FC269" s="1098">
        <v>0</v>
      </c>
      <c r="FD269" s="1098" t="s">
        <v>394</v>
      </c>
      <c r="FE269" s="1098" t="s">
        <v>396</v>
      </c>
      <c r="FF269" s="1098">
        <v>2</v>
      </c>
      <c r="FG269" s="1098">
        <v>0</v>
      </c>
      <c r="FH269" s="1098">
        <v>0</v>
      </c>
      <c r="FI269" s="1098">
        <v>0</v>
      </c>
      <c r="FJ269" s="1098">
        <v>0</v>
      </c>
      <c r="FK269" s="1096">
        <v>176.45507674999999</v>
      </c>
      <c r="FL269" s="1096">
        <v>112</v>
      </c>
      <c r="FM269" s="1096">
        <v>352.91015349999998</v>
      </c>
      <c r="FN269" s="1096">
        <v>224</v>
      </c>
      <c r="FO269" s="1096">
        <v>705.82030699999996</v>
      </c>
      <c r="FP269" s="1099">
        <v>448</v>
      </c>
      <c r="FQ269" s="1064">
        <v>1.3415060555964671</v>
      </c>
      <c r="FR269" s="1065">
        <v>0.15</v>
      </c>
      <c r="FS269" s="1066">
        <v>289.50050968399586</v>
      </c>
      <c r="FT269" s="1066">
        <v>3.1547324150233758</v>
      </c>
      <c r="FU269" s="1065"/>
      <c r="FV269" s="1066">
        <v>80.995377687729871</v>
      </c>
      <c r="FW269" s="1065"/>
      <c r="FX269" s="1065"/>
      <c r="FY269" s="1065" t="s">
        <v>381</v>
      </c>
      <c r="FZ269" s="1065" t="s">
        <v>381</v>
      </c>
      <c r="GA269" s="1065">
        <v>1</v>
      </c>
      <c r="GB269" s="1065"/>
      <c r="GC269" s="1065"/>
      <c r="GD269" s="1065"/>
      <c r="GE269" s="1065"/>
      <c r="GF269" s="1066">
        <v>183.83435224302423</v>
      </c>
      <c r="GG269" s="1066">
        <v>112</v>
      </c>
      <c r="GH269" s="1066">
        <v>367.66870448604845</v>
      </c>
      <c r="GI269" s="1066">
        <v>224</v>
      </c>
      <c r="GJ269" s="1066">
        <v>735.33740897209691</v>
      </c>
      <c r="GK269" s="1066">
        <v>448</v>
      </c>
      <c r="GL269" s="584">
        <v>1.1499999999999999</v>
      </c>
      <c r="GM269" s="584">
        <v>0.13</v>
      </c>
      <c r="GN269" s="584"/>
      <c r="GO269" s="584"/>
      <c r="GP269" s="584"/>
      <c r="GQ269" s="584">
        <v>126.390178571429</v>
      </c>
      <c r="GR269" s="584"/>
      <c r="GS269" s="584">
        <v>66.2589194699286</v>
      </c>
      <c r="GT269" s="584" t="s">
        <v>406</v>
      </c>
      <c r="GU269" s="584" t="s">
        <v>340</v>
      </c>
      <c r="GV269" s="584">
        <v>1</v>
      </c>
      <c r="GW269" s="584"/>
      <c r="GX269" s="584"/>
      <c r="GY269" s="584"/>
      <c r="GZ269" s="584"/>
      <c r="HA269" s="584">
        <v>134.11685424999999</v>
      </c>
      <c r="HB269" s="584">
        <v>112</v>
      </c>
      <c r="HC269" s="584">
        <v>268.23370849999998</v>
      </c>
      <c r="HD269" s="584">
        <v>224</v>
      </c>
      <c r="HE269" s="584">
        <v>536.46741699999995</v>
      </c>
      <c r="HF269" s="584">
        <v>448</v>
      </c>
      <c r="HG269" s="1100">
        <v>1.9700000000000002</v>
      </c>
      <c r="HH269" s="1100">
        <v>0.13</v>
      </c>
      <c r="HI269" s="1101">
        <v>0</v>
      </c>
      <c r="HJ269" s="1101">
        <v>0</v>
      </c>
      <c r="HK269" s="1101">
        <v>0</v>
      </c>
      <c r="HL269" s="1101">
        <v>0</v>
      </c>
      <c r="HM269" s="1101">
        <v>82.446428571428584</v>
      </c>
      <c r="HN269" s="1101">
        <v>65</v>
      </c>
      <c r="HO269" s="1101">
        <v>0</v>
      </c>
      <c r="HP269" s="1101">
        <v>0</v>
      </c>
      <c r="HQ269" s="1101">
        <v>1</v>
      </c>
      <c r="HR269" s="1101">
        <v>1.36</v>
      </c>
      <c r="HS269" s="1101">
        <v>1.84</v>
      </c>
      <c r="HT269" s="1101">
        <v>0.3</v>
      </c>
      <c r="HU269" s="1101">
        <v>0.3</v>
      </c>
      <c r="HV269" s="1101">
        <v>121.700585</v>
      </c>
      <c r="HW269" s="1101">
        <v>112</v>
      </c>
      <c r="HX269" s="1101">
        <v>243.40117000000001</v>
      </c>
      <c r="HY269" s="1101">
        <v>224</v>
      </c>
      <c r="HZ269" s="1101">
        <v>486.80234000000002</v>
      </c>
      <c r="IA269" s="1101">
        <v>448</v>
      </c>
      <c r="IB269" s="1062"/>
      <c r="ID269" s="1050"/>
      <c r="IE269" s="1050"/>
      <c r="IM269" s="1050"/>
      <c r="IN269" s="1050"/>
      <c r="IO269" s="1050"/>
      <c r="IP269" s="1050"/>
      <c r="JU269" s="1050"/>
      <c r="KC269" s="1050"/>
      <c r="KD269" s="1050"/>
      <c r="KE269" s="1050"/>
      <c r="KF269" s="1050"/>
      <c r="KN269" s="1103"/>
    </row>
    <row r="270" spans="2:300">
      <c r="B270" s="1048" t="str">
        <f t="shared" si="8"/>
        <v>H88</v>
      </c>
      <c r="C270" s="1046">
        <v>8</v>
      </c>
      <c r="D270" s="1046">
        <v>8</v>
      </c>
      <c r="E270" s="584">
        <v>0.28999999999999998</v>
      </c>
      <c r="F270" s="584">
        <v>0.28999999999999998</v>
      </c>
      <c r="G270" s="584">
        <v>696</v>
      </c>
      <c r="H270" s="584">
        <v>26.68</v>
      </c>
      <c r="I270" s="584">
        <v>0</v>
      </c>
      <c r="J270" s="584">
        <v>0</v>
      </c>
      <c r="K270" s="584">
        <v>0</v>
      </c>
      <c r="L270" s="584">
        <v>0</v>
      </c>
      <c r="M270" s="584">
        <v>0</v>
      </c>
      <c r="N270" s="584">
        <v>0</v>
      </c>
      <c r="O270" s="584">
        <v>0</v>
      </c>
      <c r="P270" s="584">
        <v>0</v>
      </c>
      <c r="Q270" s="584">
        <v>0</v>
      </c>
      <c r="R270" s="584">
        <v>0</v>
      </c>
      <c r="S270" s="584">
        <v>0</v>
      </c>
      <c r="T270" s="584">
        <v>271.9754375</v>
      </c>
      <c r="U270" s="584">
        <v>64</v>
      </c>
      <c r="V270" s="584">
        <v>455.2134375</v>
      </c>
      <c r="W270" s="584">
        <v>134.4</v>
      </c>
      <c r="X270" s="584">
        <v>723.55100000000004</v>
      </c>
      <c r="Y270" s="584">
        <v>281.60000000000002</v>
      </c>
      <c r="Z270" s="584">
        <v>0.245</v>
      </c>
      <c r="AA270" s="584">
        <v>0.245</v>
      </c>
      <c r="AB270" s="584">
        <v>588</v>
      </c>
      <c r="AC270" s="584">
        <v>22</v>
      </c>
      <c r="AD270" s="584">
        <v>0</v>
      </c>
      <c r="AE270" s="584">
        <v>0</v>
      </c>
      <c r="AF270" s="584">
        <v>0</v>
      </c>
      <c r="AG270" s="584">
        <v>0</v>
      </c>
      <c r="AH270" s="584">
        <v>0</v>
      </c>
      <c r="AI270" s="584">
        <v>0</v>
      </c>
      <c r="AJ270" s="584">
        <v>0</v>
      </c>
      <c r="AK270" s="584">
        <v>0</v>
      </c>
      <c r="AL270" s="584">
        <v>0</v>
      </c>
      <c r="AM270" s="584">
        <v>0</v>
      </c>
      <c r="AN270" s="584">
        <v>0</v>
      </c>
      <c r="AO270" s="584">
        <v>252.1304375</v>
      </c>
      <c r="AP270" s="584">
        <v>64</v>
      </c>
      <c r="AQ270" s="584">
        <v>415.5234375</v>
      </c>
      <c r="AR270" s="584">
        <v>134.4</v>
      </c>
      <c r="AS270" s="584">
        <v>644.351</v>
      </c>
      <c r="AT270" s="584">
        <v>281.60000000000002</v>
      </c>
      <c r="AU270" s="584">
        <v>0.52500000000000002</v>
      </c>
      <c r="AV270" s="584">
        <v>0.35</v>
      </c>
      <c r="AW270" s="584">
        <v>567.61970211915195</v>
      </c>
      <c r="AX270" s="584">
        <v>36.795871651339503</v>
      </c>
      <c r="AY270" s="584">
        <v>0</v>
      </c>
      <c r="AZ270" s="584">
        <v>0</v>
      </c>
      <c r="BA270" s="584">
        <v>0</v>
      </c>
      <c r="BB270" s="584">
        <v>0</v>
      </c>
      <c r="BC270" s="584">
        <v>0</v>
      </c>
      <c r="BD270" s="584">
        <v>0</v>
      </c>
      <c r="BE270" s="584">
        <v>0</v>
      </c>
      <c r="BF270" s="584">
        <v>0</v>
      </c>
      <c r="BG270" s="584">
        <v>0.52500000000000002</v>
      </c>
      <c r="BH270" s="584">
        <v>0</v>
      </c>
      <c r="BI270" s="584">
        <v>0.45</v>
      </c>
      <c r="BJ270" s="584">
        <v>252.92955567772901</v>
      </c>
      <c r="BK270" s="584">
        <v>64</v>
      </c>
      <c r="BL270" s="584">
        <v>406.86336135545798</v>
      </c>
      <c r="BM270" s="584">
        <v>134.4</v>
      </c>
      <c r="BN270" s="584">
        <v>621.92477039184303</v>
      </c>
      <c r="BO270" s="584">
        <v>281.60000000000002</v>
      </c>
      <c r="BP270" s="584">
        <v>0.52500000000000002</v>
      </c>
      <c r="BQ270" s="584">
        <v>0.185</v>
      </c>
      <c r="BR270" s="584">
        <v>515.91183526589396</v>
      </c>
      <c r="BS270" s="584">
        <v>23.081655337864898</v>
      </c>
      <c r="BT270" s="584">
        <v>0</v>
      </c>
      <c r="BU270" s="584">
        <v>0</v>
      </c>
      <c r="BV270" s="584">
        <v>0</v>
      </c>
      <c r="BW270" s="584">
        <v>0</v>
      </c>
      <c r="BX270" s="584">
        <v>0</v>
      </c>
      <c r="BY270" s="584">
        <v>0</v>
      </c>
      <c r="BZ270" s="584">
        <v>0</v>
      </c>
      <c r="CA270" s="584">
        <v>0.52500000000000002</v>
      </c>
      <c r="CB270" s="584">
        <v>0.52500000000000002</v>
      </c>
      <c r="CC270" s="584">
        <v>0.3</v>
      </c>
      <c r="CD270" s="584">
        <v>0.3</v>
      </c>
      <c r="CE270" s="584">
        <v>244.67779999999999</v>
      </c>
      <c r="CF270" s="584">
        <v>64</v>
      </c>
      <c r="CG270" s="584">
        <v>391.42829999999998</v>
      </c>
      <c r="CH270" s="584">
        <v>134.4</v>
      </c>
      <c r="CI270" s="584">
        <v>577.95979999999997</v>
      </c>
      <c r="CJ270" s="584">
        <v>281.60000000000002</v>
      </c>
      <c r="CK270" s="584">
        <v>0.55000000000000004</v>
      </c>
      <c r="CL270" s="584">
        <v>0.26</v>
      </c>
      <c r="CM270" s="584">
        <v>667.32307077169105</v>
      </c>
      <c r="CN270" s="584">
        <v>29.0559496201519</v>
      </c>
      <c r="CO270" s="584">
        <v>0</v>
      </c>
      <c r="CP270" s="584">
        <v>0</v>
      </c>
      <c r="CQ270" s="584">
        <v>0</v>
      </c>
      <c r="CR270" s="584">
        <v>0</v>
      </c>
      <c r="CS270" s="584">
        <v>0</v>
      </c>
      <c r="CT270" s="584">
        <v>0</v>
      </c>
      <c r="CU270" s="584">
        <v>0</v>
      </c>
      <c r="CV270" s="584">
        <v>0</v>
      </c>
      <c r="CW270" s="584">
        <v>0.55000000000000004</v>
      </c>
      <c r="CX270" s="584">
        <v>0</v>
      </c>
      <c r="CY270" s="584">
        <v>0.45</v>
      </c>
      <c r="CZ270" s="584">
        <v>274.87430000000001</v>
      </c>
      <c r="DA270" s="584">
        <v>64</v>
      </c>
      <c r="DB270" s="584">
        <v>444.88229999999999</v>
      </c>
      <c r="DC270" s="584">
        <v>134.4</v>
      </c>
      <c r="DD270" s="584">
        <v>696.1463</v>
      </c>
      <c r="DE270" s="584">
        <v>281.60000000000002</v>
      </c>
      <c r="DF270" s="584">
        <v>0.4</v>
      </c>
      <c r="DG270" s="584">
        <v>0.25</v>
      </c>
      <c r="DH270" s="584">
        <v>320.57027189124301</v>
      </c>
      <c r="DI270" s="584">
        <v>19.944321071571402</v>
      </c>
      <c r="DJ270" s="584">
        <v>340</v>
      </c>
      <c r="DK270" s="584">
        <v>0</v>
      </c>
      <c r="DL270" s="584">
        <v>0</v>
      </c>
      <c r="DM270" s="584">
        <v>0</v>
      </c>
      <c r="DN270" s="584">
        <v>0</v>
      </c>
      <c r="DO270" s="584">
        <v>0</v>
      </c>
      <c r="DP270" s="584">
        <v>0</v>
      </c>
      <c r="DQ270" s="584">
        <v>0</v>
      </c>
      <c r="DR270" s="584">
        <v>0.4</v>
      </c>
      <c r="DS270" s="584">
        <v>0</v>
      </c>
      <c r="DT270" s="584">
        <v>2.4</v>
      </c>
      <c r="DU270" s="584">
        <v>251.49199999999999</v>
      </c>
      <c r="DV270" s="584">
        <v>64</v>
      </c>
      <c r="DW270" s="584">
        <v>469.78300000000002</v>
      </c>
      <c r="DX270" s="584">
        <v>134.4</v>
      </c>
      <c r="DY270" s="584">
        <v>677.10649999999998</v>
      </c>
      <c r="DZ270" s="584">
        <v>281.60000000000002</v>
      </c>
      <c r="EA270" s="1062">
        <v>0.80070000000000008</v>
      </c>
      <c r="EB270" s="1046">
        <v>0.25</v>
      </c>
      <c r="EC270" s="1093">
        <v>132.51783893985731</v>
      </c>
      <c r="ED270" s="1046">
        <v>0</v>
      </c>
      <c r="EE270" s="1046">
        <v>346.58511722731902</v>
      </c>
      <c r="EF270" s="1046">
        <v>29.0625</v>
      </c>
      <c r="EG270" s="1046">
        <v>0</v>
      </c>
      <c r="EH270" s="1046">
        <v>0</v>
      </c>
      <c r="EI270" s="1046" t="s">
        <v>421</v>
      </c>
      <c r="EJ270" s="1046" t="s">
        <v>479</v>
      </c>
      <c r="EK270" s="1046">
        <v>0</v>
      </c>
      <c r="EL270" s="1046">
        <v>0</v>
      </c>
      <c r="EM270" s="1046">
        <v>0</v>
      </c>
      <c r="EN270" s="1046">
        <v>0</v>
      </c>
      <c r="EO270" s="1046">
        <v>0</v>
      </c>
      <c r="EP270" s="1094">
        <v>126.16165000000001</v>
      </c>
      <c r="EQ270" s="1094">
        <v>64</v>
      </c>
      <c r="ER270" s="1094">
        <v>252.32330000000002</v>
      </c>
      <c r="ES270" s="1095">
        <v>128</v>
      </c>
      <c r="ET270" s="1094">
        <v>504.64660000000003</v>
      </c>
      <c r="EU270" s="1094">
        <v>256</v>
      </c>
      <c r="EV270" s="1096">
        <v>0.75760000000000005</v>
      </c>
      <c r="EW270" s="1097">
        <v>0.15</v>
      </c>
      <c r="EX270" s="1096">
        <v>289.50050968399592</v>
      </c>
      <c r="EY270" s="1096">
        <v>1.5443934760448521</v>
      </c>
      <c r="EZ270" s="1096">
        <v>0</v>
      </c>
      <c r="FA270" s="1096">
        <v>25.375</v>
      </c>
      <c r="FB270" s="1098">
        <v>0</v>
      </c>
      <c r="FC270" s="1098">
        <v>0</v>
      </c>
      <c r="FD270" s="1098" t="s">
        <v>408</v>
      </c>
      <c r="FE270" s="1098" t="s">
        <v>481</v>
      </c>
      <c r="FF270" s="1098">
        <v>2</v>
      </c>
      <c r="FG270" s="1098">
        <v>0</v>
      </c>
      <c r="FH270" s="1098">
        <v>0</v>
      </c>
      <c r="FI270" s="1098">
        <v>0</v>
      </c>
      <c r="FJ270" s="1098">
        <v>0</v>
      </c>
      <c r="FK270" s="1096">
        <v>97.825267999999994</v>
      </c>
      <c r="FL270" s="1096">
        <v>64</v>
      </c>
      <c r="FM270" s="1096">
        <v>195.65053599999999</v>
      </c>
      <c r="FN270" s="1096">
        <v>128</v>
      </c>
      <c r="FO270" s="1096">
        <v>391.30107199999998</v>
      </c>
      <c r="FP270" s="1099">
        <v>256</v>
      </c>
      <c r="FQ270" s="1064">
        <v>1.00064</v>
      </c>
      <c r="FR270" s="1065">
        <v>0.15</v>
      </c>
      <c r="FS270" s="1066">
        <v>289.50050968399586</v>
      </c>
      <c r="FT270" s="1066">
        <v>3.1935353236673123</v>
      </c>
      <c r="FU270" s="1065"/>
      <c r="FV270" s="1066">
        <v>52.494575678631328</v>
      </c>
      <c r="FW270" s="1065"/>
      <c r="FX270" s="1065"/>
      <c r="FY270" s="1065" t="s">
        <v>408</v>
      </c>
      <c r="FZ270" s="1065" t="s">
        <v>490</v>
      </c>
      <c r="GA270" s="1065">
        <v>3</v>
      </c>
      <c r="GB270" s="1065"/>
      <c r="GC270" s="1065"/>
      <c r="GD270" s="1065"/>
      <c r="GE270" s="1065"/>
      <c r="GF270" s="1066">
        <v>100.58080590292079</v>
      </c>
      <c r="GG270" s="1066">
        <v>64</v>
      </c>
      <c r="GH270" s="1066">
        <v>201.16161180584157</v>
      </c>
      <c r="GI270" s="1066">
        <v>128</v>
      </c>
      <c r="GJ270" s="1066">
        <v>402.32322361168315</v>
      </c>
      <c r="GK270" s="1066">
        <v>256</v>
      </c>
      <c r="GL270" s="584">
        <v>0.73760000000000003</v>
      </c>
      <c r="GM270" s="584">
        <v>0.13</v>
      </c>
      <c r="GN270" s="584"/>
      <c r="GO270" s="584"/>
      <c r="GP270" s="584"/>
      <c r="GQ270" s="584">
        <v>34.575000000000003</v>
      </c>
      <c r="GR270" s="584"/>
      <c r="GS270" s="584">
        <v>66.2589194699286</v>
      </c>
      <c r="GT270" s="584" t="s">
        <v>408</v>
      </c>
      <c r="GU270" s="584" t="s">
        <v>416</v>
      </c>
      <c r="GV270" s="584">
        <v>1</v>
      </c>
      <c r="GW270" s="584"/>
      <c r="GX270" s="584"/>
      <c r="GY270" s="584"/>
      <c r="GZ270" s="584"/>
      <c r="HA270" s="584">
        <v>62.226891999999999</v>
      </c>
      <c r="HB270" s="584">
        <v>64</v>
      </c>
      <c r="HC270" s="584">
        <v>124.453784</v>
      </c>
      <c r="HD270" s="584">
        <v>128</v>
      </c>
      <c r="HE270" s="584">
        <v>248.907568</v>
      </c>
      <c r="HF270" s="584">
        <v>256</v>
      </c>
      <c r="HG270" s="1100">
        <v>1.2300000000000002</v>
      </c>
      <c r="HH270" s="1100">
        <v>0.11</v>
      </c>
      <c r="HI270" s="1101">
        <v>0</v>
      </c>
      <c r="HJ270" s="1101">
        <v>0</v>
      </c>
      <c r="HK270" s="1101">
        <v>0</v>
      </c>
      <c r="HL270" s="1101">
        <v>0</v>
      </c>
      <c r="HM270" s="1101">
        <v>62.100000000000009</v>
      </c>
      <c r="HN270" s="1101">
        <v>54.999999999999993</v>
      </c>
      <c r="HO270" s="1101">
        <v>0</v>
      </c>
      <c r="HP270" s="1101">
        <v>0</v>
      </c>
      <c r="HQ270" s="1101">
        <v>3</v>
      </c>
      <c r="HR270" s="1101">
        <v>1.1200000000000001</v>
      </c>
      <c r="HS270" s="1101">
        <v>0.64</v>
      </c>
      <c r="HT270" s="1101">
        <v>0.3</v>
      </c>
      <c r="HU270" s="1101">
        <v>0.3</v>
      </c>
      <c r="HV270" s="1101">
        <v>64.780015999999989</v>
      </c>
      <c r="HW270" s="1101">
        <v>64</v>
      </c>
      <c r="HX270" s="1101">
        <v>129.56003199999998</v>
      </c>
      <c r="HY270" s="1101">
        <v>128</v>
      </c>
      <c r="HZ270" s="1101">
        <v>259.12006399999996</v>
      </c>
      <c r="IA270" s="1101">
        <v>256</v>
      </c>
      <c r="IB270" s="1062"/>
      <c r="ID270" s="1050"/>
      <c r="IE270" s="1050"/>
      <c r="IM270" s="1050"/>
      <c r="IN270" s="1050"/>
      <c r="IO270" s="1050"/>
      <c r="IP270" s="1050"/>
      <c r="JU270" s="1050"/>
      <c r="KC270" s="1050"/>
      <c r="KD270" s="1050"/>
      <c r="KE270" s="1050"/>
      <c r="KF270" s="1050"/>
      <c r="KN270" s="1103"/>
    </row>
    <row r="271" spans="2:300">
      <c r="B271" s="1048" t="str">
        <f t="shared" si="8"/>
        <v>H89</v>
      </c>
      <c r="C271" s="1046">
        <v>8</v>
      </c>
      <c r="D271" s="1046">
        <v>9</v>
      </c>
      <c r="E271" s="584">
        <v>0.35499999999999998</v>
      </c>
      <c r="F271" s="584">
        <v>0.35499999999999998</v>
      </c>
      <c r="G271" s="584">
        <v>852</v>
      </c>
      <c r="H271" s="584">
        <v>26.625</v>
      </c>
      <c r="I271" s="584">
        <v>0</v>
      </c>
      <c r="J271" s="584">
        <v>0</v>
      </c>
      <c r="K271" s="584">
        <v>0</v>
      </c>
      <c r="L271" s="584">
        <v>0</v>
      </c>
      <c r="M271" s="584">
        <v>0</v>
      </c>
      <c r="N271" s="584">
        <v>0</v>
      </c>
      <c r="O271" s="584">
        <v>0</v>
      </c>
      <c r="P271" s="584">
        <v>0</v>
      </c>
      <c r="Q271" s="584">
        <v>0</v>
      </c>
      <c r="R271" s="584">
        <v>0</v>
      </c>
      <c r="S271" s="584">
        <v>0</v>
      </c>
      <c r="T271" s="584">
        <v>330.8479375</v>
      </c>
      <c r="U271" s="584">
        <v>72</v>
      </c>
      <c r="V271" s="584">
        <v>575.97918749999997</v>
      </c>
      <c r="W271" s="584">
        <v>151.19999999999999</v>
      </c>
      <c r="X271" s="584">
        <v>941.57100000000003</v>
      </c>
      <c r="Y271" s="584">
        <v>316.8</v>
      </c>
      <c r="Z271" s="584">
        <v>0.27500000000000002</v>
      </c>
      <c r="AA271" s="584">
        <v>0.27500000000000002</v>
      </c>
      <c r="AB271" s="584">
        <v>660</v>
      </c>
      <c r="AC271" s="584">
        <v>21</v>
      </c>
      <c r="AD271" s="584">
        <v>0</v>
      </c>
      <c r="AE271" s="584">
        <v>0</v>
      </c>
      <c r="AF271" s="584">
        <v>0</v>
      </c>
      <c r="AG271" s="584">
        <v>0</v>
      </c>
      <c r="AH271" s="584">
        <v>0</v>
      </c>
      <c r="AI271" s="584">
        <v>0</v>
      </c>
      <c r="AJ271" s="584">
        <v>0</v>
      </c>
      <c r="AK271" s="584">
        <v>0</v>
      </c>
      <c r="AL271" s="584">
        <v>0</v>
      </c>
      <c r="AM271" s="584">
        <v>0</v>
      </c>
      <c r="AN271" s="584">
        <v>0</v>
      </c>
      <c r="AO271" s="584">
        <v>291.36793749999998</v>
      </c>
      <c r="AP271" s="584">
        <v>72</v>
      </c>
      <c r="AQ271" s="584">
        <v>496.59918750000003</v>
      </c>
      <c r="AR271" s="584">
        <v>151.19999999999999</v>
      </c>
      <c r="AS271" s="584">
        <v>783.17100000000005</v>
      </c>
      <c r="AT271" s="584">
        <v>316.8</v>
      </c>
      <c r="AU271" s="584">
        <v>0.625</v>
      </c>
      <c r="AV271" s="584">
        <v>0.35</v>
      </c>
      <c r="AW271" s="584">
        <v>557.95215609408399</v>
      </c>
      <c r="AX271" s="584">
        <v>35.434461867426897</v>
      </c>
      <c r="AY271" s="584">
        <v>0</v>
      </c>
      <c r="AZ271" s="584">
        <v>0</v>
      </c>
      <c r="BA271" s="584">
        <v>0</v>
      </c>
      <c r="BB271" s="584">
        <v>0</v>
      </c>
      <c r="BC271" s="584">
        <v>0</v>
      </c>
      <c r="BD271" s="584">
        <v>0</v>
      </c>
      <c r="BE271" s="584">
        <v>0</v>
      </c>
      <c r="BF271" s="584">
        <v>0</v>
      </c>
      <c r="BG271" s="584">
        <v>0.625</v>
      </c>
      <c r="BH271" s="584">
        <v>0</v>
      </c>
      <c r="BI271" s="584">
        <v>0.45</v>
      </c>
      <c r="BJ271" s="584">
        <v>279.24564754098401</v>
      </c>
      <c r="BK271" s="584">
        <v>72</v>
      </c>
      <c r="BL271" s="584">
        <v>455.27300409836101</v>
      </c>
      <c r="BM271" s="584">
        <v>151.19999999999999</v>
      </c>
      <c r="BN271" s="584">
        <v>691.05961475409799</v>
      </c>
      <c r="BO271" s="584">
        <v>316.8</v>
      </c>
      <c r="BP271" s="584">
        <v>0.52500000000000002</v>
      </c>
      <c r="BQ271" s="584">
        <v>0.2</v>
      </c>
      <c r="BR271" s="584">
        <v>568.53661796151096</v>
      </c>
      <c r="BS271" s="584">
        <v>29.460145669992901</v>
      </c>
      <c r="BT271" s="584">
        <v>0</v>
      </c>
      <c r="BU271" s="584">
        <v>0</v>
      </c>
      <c r="BV271" s="584">
        <v>0</v>
      </c>
      <c r="BW271" s="584">
        <v>0</v>
      </c>
      <c r="BX271" s="584">
        <v>0</v>
      </c>
      <c r="BY271" s="584">
        <v>0</v>
      </c>
      <c r="BZ271" s="584">
        <v>0</v>
      </c>
      <c r="CA271" s="584">
        <v>0.45</v>
      </c>
      <c r="CB271" s="584">
        <v>0.52500000000000002</v>
      </c>
      <c r="CC271" s="584">
        <v>0.45</v>
      </c>
      <c r="CD271" s="584">
        <v>0.45</v>
      </c>
      <c r="CE271" s="584">
        <v>279.81175000000002</v>
      </c>
      <c r="CF271" s="584">
        <v>72</v>
      </c>
      <c r="CG271" s="584">
        <v>456.74456249999997</v>
      </c>
      <c r="CH271" s="584">
        <v>151.19999999999999</v>
      </c>
      <c r="CI271" s="584">
        <v>687.64218749999998</v>
      </c>
      <c r="CJ271" s="584">
        <v>316.8</v>
      </c>
      <c r="CK271" s="584">
        <v>0.65</v>
      </c>
      <c r="CL271" s="584">
        <v>0.26</v>
      </c>
      <c r="CM271" s="584">
        <v>679.91803278688496</v>
      </c>
      <c r="CN271" s="584">
        <v>28.808920171061999</v>
      </c>
      <c r="CO271" s="584">
        <v>0</v>
      </c>
      <c r="CP271" s="584">
        <v>0</v>
      </c>
      <c r="CQ271" s="584">
        <v>0</v>
      </c>
      <c r="CR271" s="584">
        <v>0</v>
      </c>
      <c r="CS271" s="584">
        <v>0</v>
      </c>
      <c r="CT271" s="584">
        <v>0</v>
      </c>
      <c r="CU271" s="584">
        <v>0</v>
      </c>
      <c r="CV271" s="584">
        <v>0</v>
      </c>
      <c r="CW271" s="584">
        <v>0.65</v>
      </c>
      <c r="CX271" s="584">
        <v>0</v>
      </c>
      <c r="CY271" s="584">
        <v>0.45</v>
      </c>
      <c r="CZ271" s="584">
        <v>305.43880000000001</v>
      </c>
      <c r="DA271" s="584">
        <v>72</v>
      </c>
      <c r="DB271" s="584">
        <v>504.27629999999999</v>
      </c>
      <c r="DC271" s="584">
        <v>151.19999999999999</v>
      </c>
      <c r="DD271" s="584">
        <v>792.01080000000002</v>
      </c>
      <c r="DE271" s="584">
        <v>316.8</v>
      </c>
      <c r="DF271" s="584">
        <v>0.4</v>
      </c>
      <c r="DG271" s="584">
        <v>0.25</v>
      </c>
      <c r="DH271" s="584">
        <v>319.08410548824003</v>
      </c>
      <c r="DI271" s="584">
        <v>18.062787598004299</v>
      </c>
      <c r="DJ271" s="584">
        <v>340</v>
      </c>
      <c r="DK271" s="584">
        <v>0</v>
      </c>
      <c r="DL271" s="584">
        <v>0</v>
      </c>
      <c r="DM271" s="584">
        <v>0</v>
      </c>
      <c r="DN271" s="584">
        <v>0</v>
      </c>
      <c r="DO271" s="584">
        <v>0</v>
      </c>
      <c r="DP271" s="584">
        <v>0</v>
      </c>
      <c r="DQ271" s="584">
        <v>0</v>
      </c>
      <c r="DR271" s="584">
        <v>0.4</v>
      </c>
      <c r="DS271" s="584">
        <v>0</v>
      </c>
      <c r="DT271" s="584">
        <v>2.4</v>
      </c>
      <c r="DU271" s="584">
        <v>276.06849999999997</v>
      </c>
      <c r="DV271" s="584">
        <v>72</v>
      </c>
      <c r="DW271" s="584">
        <v>512.03700000000003</v>
      </c>
      <c r="DX271" s="584">
        <v>151.19999999999999</v>
      </c>
      <c r="DY271" s="584">
        <v>760.66650000000004</v>
      </c>
      <c r="DZ271" s="584">
        <v>316.8</v>
      </c>
      <c r="EA271" s="1062">
        <v>0.86029999999999995</v>
      </c>
      <c r="EB271" s="1046">
        <v>0.3</v>
      </c>
      <c r="EC271" s="1093">
        <v>132.51783893985731</v>
      </c>
      <c r="ED271" s="1046">
        <v>0</v>
      </c>
      <c r="EE271" s="1046">
        <v>397.55351681957183</v>
      </c>
      <c r="EF271" s="1046">
        <v>32.698611111111113</v>
      </c>
      <c r="EG271" s="1046">
        <v>0</v>
      </c>
      <c r="EH271" s="1046">
        <v>0</v>
      </c>
      <c r="EI271" s="1046" t="s">
        <v>420</v>
      </c>
      <c r="EJ271" s="1046" t="s">
        <v>466</v>
      </c>
      <c r="EK271" s="1046">
        <v>0</v>
      </c>
      <c r="EL271" s="1046">
        <v>0</v>
      </c>
      <c r="EM271" s="1046">
        <v>0</v>
      </c>
      <c r="EN271" s="1046">
        <v>0</v>
      </c>
      <c r="EO271" s="1046">
        <v>0</v>
      </c>
      <c r="EP271" s="1094">
        <v>151.57392074999998</v>
      </c>
      <c r="EQ271" s="1094">
        <v>72</v>
      </c>
      <c r="ER271" s="1094">
        <v>303.14784149999997</v>
      </c>
      <c r="ES271" s="1095">
        <v>144</v>
      </c>
      <c r="ET271" s="1094">
        <v>606.29568299999994</v>
      </c>
      <c r="EU271" s="1094">
        <v>288</v>
      </c>
      <c r="EV271" s="1096">
        <v>0.75760000000000005</v>
      </c>
      <c r="EW271" s="1097">
        <v>0.15</v>
      </c>
      <c r="EX271" s="1096">
        <v>289.50050968399592</v>
      </c>
      <c r="EY271" s="1096">
        <v>1.5443934760448521</v>
      </c>
      <c r="EZ271" s="1096">
        <v>0</v>
      </c>
      <c r="FA271" s="1096">
        <v>23.805555555555557</v>
      </c>
      <c r="FB271" s="1098">
        <v>0</v>
      </c>
      <c r="FC271" s="1098">
        <v>0</v>
      </c>
      <c r="FD271" s="1098" t="s">
        <v>408</v>
      </c>
      <c r="FE271" s="1098" t="s">
        <v>481</v>
      </c>
      <c r="FF271" s="1098">
        <v>2</v>
      </c>
      <c r="FG271" s="1098">
        <v>0</v>
      </c>
      <c r="FH271" s="1098">
        <v>0</v>
      </c>
      <c r="FI271" s="1098">
        <v>0</v>
      </c>
      <c r="FJ271" s="1098">
        <v>0</v>
      </c>
      <c r="FK271" s="1096">
        <v>109.77629399999999</v>
      </c>
      <c r="FL271" s="1096">
        <v>72</v>
      </c>
      <c r="FM271" s="1096">
        <v>219.55258799999999</v>
      </c>
      <c r="FN271" s="1096">
        <v>144</v>
      </c>
      <c r="FO271" s="1096">
        <v>439.10517599999997</v>
      </c>
      <c r="FP271" s="1099">
        <v>288</v>
      </c>
      <c r="FQ271" s="1064">
        <v>1.0990599999999999</v>
      </c>
      <c r="FR271" s="1065">
        <v>0.15</v>
      </c>
      <c r="FS271" s="1066">
        <v>289.50050968399586</v>
      </c>
      <c r="FT271" s="1066">
        <v>3.1935353236673123</v>
      </c>
      <c r="FU271" s="1065"/>
      <c r="FV271" s="1066">
        <v>54.597962942934522</v>
      </c>
      <c r="FW271" s="1065"/>
      <c r="FX271" s="1065"/>
      <c r="FY271" s="1065" t="s">
        <v>396</v>
      </c>
      <c r="FZ271" s="1065" t="s">
        <v>481</v>
      </c>
      <c r="GA271" s="1065">
        <v>3</v>
      </c>
      <c r="GB271" s="1065"/>
      <c r="GC271" s="1065"/>
      <c r="GD271" s="1065"/>
      <c r="GE271" s="1065"/>
      <c r="GF271" s="1066">
        <v>113.52482276391655</v>
      </c>
      <c r="GG271" s="1066">
        <v>72</v>
      </c>
      <c r="GH271" s="1066">
        <v>227.04964552783309</v>
      </c>
      <c r="GI271" s="1066">
        <v>144</v>
      </c>
      <c r="GJ271" s="1066">
        <v>454.09929105566619</v>
      </c>
      <c r="GK271" s="1066">
        <v>288</v>
      </c>
      <c r="GL271" s="584">
        <v>0.74219999999999997</v>
      </c>
      <c r="GM271" s="584">
        <v>0.13</v>
      </c>
      <c r="GN271" s="584"/>
      <c r="GO271" s="584"/>
      <c r="GP271" s="584"/>
      <c r="GQ271" s="584">
        <v>42.15</v>
      </c>
      <c r="GR271" s="584"/>
      <c r="GS271" s="584">
        <v>66.2589194699286</v>
      </c>
      <c r="GT271" s="584" t="s">
        <v>406</v>
      </c>
      <c r="GU271" s="584" t="s">
        <v>408</v>
      </c>
      <c r="GV271" s="584">
        <v>1</v>
      </c>
      <c r="GW271" s="584"/>
      <c r="GX271" s="584"/>
      <c r="GY271" s="584"/>
      <c r="GZ271" s="584"/>
      <c r="HA271" s="584">
        <v>71.342847000000006</v>
      </c>
      <c r="HB271" s="584">
        <v>72</v>
      </c>
      <c r="HC271" s="584">
        <v>142.68569400000001</v>
      </c>
      <c r="HD271" s="584">
        <v>144</v>
      </c>
      <c r="HE271" s="584">
        <v>285.37138800000002</v>
      </c>
      <c r="HF271" s="584">
        <v>288</v>
      </c>
      <c r="HG271" s="1100">
        <v>1.3900000000000001</v>
      </c>
      <c r="HH271" s="1100">
        <v>0.11</v>
      </c>
      <c r="HI271" s="1101">
        <v>0</v>
      </c>
      <c r="HJ271" s="1101">
        <v>0</v>
      </c>
      <c r="HK271" s="1101">
        <v>0</v>
      </c>
      <c r="HL271" s="1101">
        <v>0</v>
      </c>
      <c r="HM271" s="1101">
        <v>64.56</v>
      </c>
      <c r="HN271" s="1101">
        <v>54.999999999999993</v>
      </c>
      <c r="HO271" s="1101">
        <v>0</v>
      </c>
      <c r="HP271" s="1101">
        <v>0</v>
      </c>
      <c r="HQ271" s="1101">
        <v>3</v>
      </c>
      <c r="HR271" s="1101">
        <v>1.28</v>
      </c>
      <c r="HS271" s="1101">
        <v>0.72</v>
      </c>
      <c r="HT271" s="1101">
        <v>0.3</v>
      </c>
      <c r="HU271" s="1101">
        <v>0.28000000000000003</v>
      </c>
      <c r="HV271" s="1101">
        <v>73.311904799999979</v>
      </c>
      <c r="HW271" s="1101">
        <v>72</v>
      </c>
      <c r="HX271" s="1101">
        <v>146.62380959999996</v>
      </c>
      <c r="HY271" s="1101">
        <v>144</v>
      </c>
      <c r="HZ271" s="1101">
        <v>293.24761919999992</v>
      </c>
      <c r="IA271" s="1101">
        <v>288</v>
      </c>
      <c r="IB271" s="1062"/>
      <c r="ID271" s="1050"/>
      <c r="IE271" s="1050"/>
      <c r="IM271" s="1050"/>
      <c r="IN271" s="1050"/>
      <c r="IO271" s="1050"/>
      <c r="IP271" s="1050"/>
      <c r="JU271" s="1050"/>
      <c r="KC271" s="1050"/>
      <c r="KD271" s="1050"/>
      <c r="KE271" s="1050"/>
      <c r="KF271" s="1050"/>
      <c r="KN271" s="1103"/>
    </row>
    <row r="272" spans="2:300">
      <c r="B272" s="1048" t="str">
        <f t="shared" si="8"/>
        <v>H810</v>
      </c>
      <c r="C272" s="1046">
        <v>8</v>
      </c>
      <c r="D272" s="1092">
        <v>10</v>
      </c>
      <c r="E272" s="584">
        <v>0.43</v>
      </c>
      <c r="F272" s="584">
        <v>0.43</v>
      </c>
      <c r="G272" s="584">
        <v>1032</v>
      </c>
      <c r="H272" s="584">
        <v>27.52</v>
      </c>
      <c r="I272" s="584">
        <v>0</v>
      </c>
      <c r="J272" s="584">
        <v>0</v>
      </c>
      <c r="K272" s="584">
        <v>0</v>
      </c>
      <c r="L272" s="584">
        <v>0</v>
      </c>
      <c r="M272" s="584">
        <v>0</v>
      </c>
      <c r="N272" s="584">
        <v>0</v>
      </c>
      <c r="O272" s="584">
        <v>0</v>
      </c>
      <c r="P272" s="584">
        <v>0</v>
      </c>
      <c r="Q272" s="584">
        <v>0</v>
      </c>
      <c r="R272" s="584">
        <v>0</v>
      </c>
      <c r="S272" s="584">
        <v>0</v>
      </c>
      <c r="T272" s="584">
        <v>402.00543750000003</v>
      </c>
      <c r="U272" s="584">
        <v>80</v>
      </c>
      <c r="V272" s="584">
        <v>723.28875000000005</v>
      </c>
      <c r="W272" s="584">
        <v>168</v>
      </c>
      <c r="X272" s="584">
        <v>1210.191</v>
      </c>
      <c r="Y272" s="584">
        <v>352</v>
      </c>
      <c r="Z272" s="584">
        <v>0.30499999999999999</v>
      </c>
      <c r="AA272" s="584">
        <v>0.30499999999999999</v>
      </c>
      <c r="AB272" s="584">
        <v>732</v>
      </c>
      <c r="AC272" s="584">
        <v>21</v>
      </c>
      <c r="AD272" s="584">
        <v>0</v>
      </c>
      <c r="AE272" s="584">
        <v>0</v>
      </c>
      <c r="AF272" s="584">
        <v>0</v>
      </c>
      <c r="AG272" s="584">
        <v>0</v>
      </c>
      <c r="AH272" s="584">
        <v>0</v>
      </c>
      <c r="AI272" s="584">
        <v>0</v>
      </c>
      <c r="AJ272" s="584">
        <v>0</v>
      </c>
      <c r="AK272" s="584">
        <v>0</v>
      </c>
      <c r="AL272" s="584">
        <v>0</v>
      </c>
      <c r="AM272" s="584">
        <v>0</v>
      </c>
      <c r="AN272" s="584">
        <v>0</v>
      </c>
      <c r="AO272" s="584">
        <v>333.75543750000003</v>
      </c>
      <c r="AP272" s="584">
        <v>80</v>
      </c>
      <c r="AQ272" s="584">
        <v>584.28993749999995</v>
      </c>
      <c r="AR272" s="584">
        <v>168</v>
      </c>
      <c r="AS272" s="584">
        <v>935.19100000000003</v>
      </c>
      <c r="AT272" s="584">
        <v>352</v>
      </c>
      <c r="AU272" s="584">
        <v>0.75</v>
      </c>
      <c r="AV272" s="584">
        <v>0.35</v>
      </c>
      <c r="AW272" s="584">
        <v>577.85920925747303</v>
      </c>
      <c r="AX272" s="584">
        <v>34.241875602700098</v>
      </c>
      <c r="AY272" s="584">
        <v>0</v>
      </c>
      <c r="AZ272" s="584">
        <v>0</v>
      </c>
      <c r="BA272" s="584">
        <v>0</v>
      </c>
      <c r="BB272" s="584">
        <v>0</v>
      </c>
      <c r="BC272" s="584">
        <v>0</v>
      </c>
      <c r="BD272" s="584">
        <v>0</v>
      </c>
      <c r="BE272" s="584">
        <v>0</v>
      </c>
      <c r="BF272" s="584">
        <v>0</v>
      </c>
      <c r="BG272" s="584">
        <v>0.75</v>
      </c>
      <c r="BH272" s="584">
        <v>0</v>
      </c>
      <c r="BI272" s="584">
        <v>0.45</v>
      </c>
      <c r="BJ272" s="584">
        <v>309.381985535198</v>
      </c>
      <c r="BK272" s="584">
        <v>80</v>
      </c>
      <c r="BL272" s="584">
        <v>513.66637463838003</v>
      </c>
      <c r="BM272" s="584">
        <v>168</v>
      </c>
      <c r="BN272" s="584">
        <v>787.48450948248205</v>
      </c>
      <c r="BO272" s="584">
        <v>352</v>
      </c>
      <c r="BP272" s="584">
        <v>0.65</v>
      </c>
      <c r="BQ272" s="584">
        <v>0.20499999999999999</v>
      </c>
      <c r="BR272" s="584">
        <v>598.79182738669203</v>
      </c>
      <c r="BS272" s="584">
        <v>35.706817743490802</v>
      </c>
      <c r="BT272" s="584">
        <v>0</v>
      </c>
      <c r="BU272" s="584">
        <v>0</v>
      </c>
      <c r="BV272" s="584">
        <v>0</v>
      </c>
      <c r="BW272" s="584">
        <v>0</v>
      </c>
      <c r="BX272" s="584">
        <v>0</v>
      </c>
      <c r="BY272" s="584">
        <v>0</v>
      </c>
      <c r="BZ272" s="584">
        <v>0</v>
      </c>
      <c r="CA272" s="584">
        <v>0.45</v>
      </c>
      <c r="CB272" s="584">
        <v>0.65</v>
      </c>
      <c r="CC272" s="584">
        <v>0.45</v>
      </c>
      <c r="CD272" s="584">
        <v>0.45</v>
      </c>
      <c r="CE272" s="584">
        <v>312.04514999999998</v>
      </c>
      <c r="CF272" s="584">
        <v>80</v>
      </c>
      <c r="CG272" s="584">
        <v>519.52871249999998</v>
      </c>
      <c r="CH272" s="584">
        <v>168</v>
      </c>
      <c r="CI272" s="584">
        <v>783.96933750000005</v>
      </c>
      <c r="CJ272" s="584">
        <v>352</v>
      </c>
      <c r="CK272" s="584">
        <v>0.75</v>
      </c>
      <c r="CL272" s="584">
        <v>0.26</v>
      </c>
      <c r="CM272" s="584">
        <v>694.07907425265205</v>
      </c>
      <c r="CN272" s="584">
        <v>28.531735776277699</v>
      </c>
      <c r="CO272" s="584">
        <v>0</v>
      </c>
      <c r="CP272" s="584">
        <v>0</v>
      </c>
      <c r="CQ272" s="584">
        <v>0</v>
      </c>
      <c r="CR272" s="584">
        <v>0</v>
      </c>
      <c r="CS272" s="584">
        <v>0</v>
      </c>
      <c r="CT272" s="584">
        <v>0</v>
      </c>
      <c r="CU272" s="584">
        <v>0</v>
      </c>
      <c r="CV272" s="584">
        <v>0</v>
      </c>
      <c r="CW272" s="584">
        <v>0.75</v>
      </c>
      <c r="CX272" s="584">
        <v>0</v>
      </c>
      <c r="CY272" s="584">
        <v>0.6</v>
      </c>
      <c r="CZ272" s="584">
        <v>338.25330000000002</v>
      </c>
      <c r="DA272" s="584">
        <v>80</v>
      </c>
      <c r="DB272" s="584">
        <v>566.6703</v>
      </c>
      <c r="DC272" s="584">
        <v>168</v>
      </c>
      <c r="DD272" s="584">
        <v>890.12530000000004</v>
      </c>
      <c r="DE272" s="584">
        <v>352</v>
      </c>
      <c r="DF272" s="584">
        <v>0.45</v>
      </c>
      <c r="DG272" s="584">
        <v>0.25</v>
      </c>
      <c r="DH272" s="584">
        <v>360.77929122468697</v>
      </c>
      <c r="DI272" s="584">
        <v>19.752930568948901</v>
      </c>
      <c r="DJ272" s="584">
        <v>340</v>
      </c>
      <c r="DK272" s="584">
        <v>0</v>
      </c>
      <c r="DL272" s="584">
        <v>0</v>
      </c>
      <c r="DM272" s="584">
        <v>0</v>
      </c>
      <c r="DN272" s="584">
        <v>0</v>
      </c>
      <c r="DO272" s="584">
        <v>0</v>
      </c>
      <c r="DP272" s="584">
        <v>0</v>
      </c>
      <c r="DQ272" s="584">
        <v>0</v>
      </c>
      <c r="DR272" s="584">
        <v>0.45</v>
      </c>
      <c r="DS272" s="584">
        <v>0</v>
      </c>
      <c r="DT272" s="584">
        <v>2.4</v>
      </c>
      <c r="DU272" s="584">
        <v>310.55399999999997</v>
      </c>
      <c r="DV272" s="584">
        <v>80</v>
      </c>
      <c r="DW272" s="584">
        <v>569.71624999999995</v>
      </c>
      <c r="DX272" s="584">
        <v>168</v>
      </c>
      <c r="DY272" s="584">
        <v>874.10500000000002</v>
      </c>
      <c r="DZ272" s="584">
        <v>352</v>
      </c>
      <c r="EA272" s="1062">
        <v>0.9103</v>
      </c>
      <c r="EB272" s="1046">
        <v>0.35</v>
      </c>
      <c r="EC272" s="1093">
        <v>132.51783893985731</v>
      </c>
      <c r="ED272" s="1046">
        <v>0</v>
      </c>
      <c r="EE272" s="1046">
        <v>458.71559633027522</v>
      </c>
      <c r="EF272" s="1046">
        <v>33.042500000000004</v>
      </c>
      <c r="EG272" s="1046">
        <v>0</v>
      </c>
      <c r="EH272" s="1046">
        <v>0</v>
      </c>
      <c r="EI272" s="1046" t="s">
        <v>420</v>
      </c>
      <c r="EJ272" s="1046" t="s">
        <v>446</v>
      </c>
      <c r="EK272" s="1046">
        <v>0</v>
      </c>
      <c r="EL272" s="1046">
        <v>0</v>
      </c>
      <c r="EM272" s="1046">
        <v>0</v>
      </c>
      <c r="EN272" s="1046">
        <v>0</v>
      </c>
      <c r="EO272" s="1046">
        <v>0</v>
      </c>
      <c r="EP272" s="1094">
        <v>180.48293850000002</v>
      </c>
      <c r="EQ272" s="1094">
        <v>80</v>
      </c>
      <c r="ER272" s="1094">
        <v>360.96587700000003</v>
      </c>
      <c r="ES272" s="1095">
        <v>160</v>
      </c>
      <c r="ET272" s="1094">
        <v>721.93175400000007</v>
      </c>
      <c r="EU272" s="1094">
        <v>320</v>
      </c>
      <c r="EV272" s="1096">
        <v>0.7622000000000001</v>
      </c>
      <c r="EW272" s="1097">
        <v>0.15</v>
      </c>
      <c r="EX272" s="1096">
        <v>289.50050968399592</v>
      </c>
      <c r="EY272" s="1096">
        <v>1.5443934760448521</v>
      </c>
      <c r="EZ272" s="1096">
        <v>0</v>
      </c>
      <c r="FA272" s="1096">
        <v>26.035000000000004</v>
      </c>
      <c r="FB272" s="1098">
        <v>0</v>
      </c>
      <c r="FC272" s="1098">
        <v>0</v>
      </c>
      <c r="FD272" s="1098" t="s">
        <v>406</v>
      </c>
      <c r="FE272" s="1098" t="s">
        <v>468</v>
      </c>
      <c r="FF272" s="1098">
        <v>2</v>
      </c>
      <c r="FG272" s="1098">
        <v>0</v>
      </c>
      <c r="FH272" s="1098">
        <v>0</v>
      </c>
      <c r="FI272" s="1098">
        <v>0</v>
      </c>
      <c r="FJ272" s="1098">
        <v>0</v>
      </c>
      <c r="FK272" s="1096">
        <v>122.41107700000001</v>
      </c>
      <c r="FL272" s="1096">
        <v>80</v>
      </c>
      <c r="FM272" s="1096">
        <v>244.82215400000001</v>
      </c>
      <c r="FN272" s="1096">
        <v>160</v>
      </c>
      <c r="FO272" s="1096">
        <v>489.64430800000002</v>
      </c>
      <c r="FP272" s="1099">
        <v>320</v>
      </c>
      <c r="FQ272" s="1064">
        <v>1.2</v>
      </c>
      <c r="FR272" s="1065">
        <v>0.15</v>
      </c>
      <c r="FS272" s="1066">
        <v>289.50050968399586</v>
      </c>
      <c r="FT272" s="1066">
        <v>3.1935353236673123</v>
      </c>
      <c r="FU272" s="1065"/>
      <c r="FV272" s="1066">
        <v>58.08087765559798</v>
      </c>
      <c r="FW272" s="1065"/>
      <c r="FX272" s="1065"/>
      <c r="FY272" s="1065" t="s">
        <v>389</v>
      </c>
      <c r="FZ272" s="1065" t="s">
        <v>461</v>
      </c>
      <c r="GA272" s="1065">
        <v>3</v>
      </c>
      <c r="GB272" s="1065"/>
      <c r="GC272" s="1065"/>
      <c r="GD272" s="1065"/>
      <c r="GE272" s="1065"/>
      <c r="GF272" s="1066">
        <v>126.82203982653185</v>
      </c>
      <c r="GG272" s="1066">
        <v>80</v>
      </c>
      <c r="GH272" s="1066">
        <v>253.6440796530637</v>
      </c>
      <c r="GI272" s="1066">
        <v>160</v>
      </c>
      <c r="GJ272" s="1066">
        <v>507.2881593061274</v>
      </c>
      <c r="GK272" s="1066">
        <v>320</v>
      </c>
      <c r="GL272" s="584">
        <v>0.88</v>
      </c>
      <c r="GM272" s="584">
        <v>0.13</v>
      </c>
      <c r="GN272" s="584"/>
      <c r="GO272" s="584"/>
      <c r="GP272" s="584"/>
      <c r="GQ272" s="584">
        <v>45.994999999999997</v>
      </c>
      <c r="GR272" s="584"/>
      <c r="GS272" s="584">
        <v>66.2589194699286</v>
      </c>
      <c r="GT272" s="584" t="s">
        <v>396</v>
      </c>
      <c r="GU272" s="584" t="s">
        <v>389</v>
      </c>
      <c r="GV272" s="584">
        <v>1</v>
      </c>
      <c r="GW272" s="584"/>
      <c r="GX272" s="584"/>
      <c r="GY272" s="584"/>
      <c r="GZ272" s="584"/>
      <c r="HA272" s="584">
        <v>80.024219000000002</v>
      </c>
      <c r="HB272" s="584">
        <v>80</v>
      </c>
      <c r="HC272" s="584">
        <v>160.048438</v>
      </c>
      <c r="HD272" s="584">
        <v>160</v>
      </c>
      <c r="HE272" s="584">
        <v>320.09687600000001</v>
      </c>
      <c r="HF272" s="584">
        <v>320</v>
      </c>
      <c r="HG272" s="1100">
        <v>1.55</v>
      </c>
      <c r="HH272" s="1100">
        <v>0.11</v>
      </c>
      <c r="HI272" s="1101">
        <v>0</v>
      </c>
      <c r="HJ272" s="1101">
        <v>0</v>
      </c>
      <c r="HK272" s="1101">
        <v>0</v>
      </c>
      <c r="HL272" s="1101">
        <v>0</v>
      </c>
      <c r="HM272" s="1101">
        <v>73.44</v>
      </c>
      <c r="HN272" s="1101">
        <v>54.999999999999993</v>
      </c>
      <c r="HO272" s="1101">
        <v>0</v>
      </c>
      <c r="HP272" s="1101">
        <v>0</v>
      </c>
      <c r="HQ272" s="1101">
        <v>3</v>
      </c>
      <c r="HR272" s="1101">
        <v>1.44</v>
      </c>
      <c r="HS272" s="1101">
        <v>0.8</v>
      </c>
      <c r="HT272" s="1101">
        <v>0.3</v>
      </c>
      <c r="HU272" s="1101">
        <v>0.3</v>
      </c>
      <c r="HV272" s="1101">
        <v>83.199927999999971</v>
      </c>
      <c r="HW272" s="1101">
        <v>80</v>
      </c>
      <c r="HX272" s="1101">
        <v>166.39985599999994</v>
      </c>
      <c r="HY272" s="1101">
        <v>160</v>
      </c>
      <c r="HZ272" s="1101">
        <v>332.79971199999989</v>
      </c>
      <c r="IA272" s="1101">
        <v>320</v>
      </c>
      <c r="IB272" s="1062"/>
      <c r="ID272" s="1050"/>
      <c r="IE272" s="1050"/>
      <c r="IM272" s="1050"/>
      <c r="IN272" s="1050"/>
      <c r="IO272" s="1050"/>
      <c r="IP272" s="1050"/>
      <c r="JU272" s="1050"/>
      <c r="KC272" s="1050"/>
      <c r="KD272" s="1050"/>
      <c r="KE272" s="1050"/>
      <c r="KF272" s="1050"/>
      <c r="KN272" s="1103"/>
    </row>
    <row r="273" spans="2:300">
      <c r="B273" s="1048" t="str">
        <f t="shared" si="8"/>
        <v>H811</v>
      </c>
      <c r="C273" s="1046">
        <v>8</v>
      </c>
      <c r="D273" s="1092">
        <v>11</v>
      </c>
      <c r="E273" s="584">
        <v>0.48499999999999999</v>
      </c>
      <c r="F273" s="584">
        <v>0.48499999999999999</v>
      </c>
      <c r="G273" s="584">
        <v>1164</v>
      </c>
      <c r="H273" s="584">
        <v>28.614999999999998</v>
      </c>
      <c r="I273" s="584">
        <v>0</v>
      </c>
      <c r="J273" s="584">
        <v>0</v>
      </c>
      <c r="K273" s="584">
        <v>0</v>
      </c>
      <c r="L273" s="584">
        <v>0</v>
      </c>
      <c r="M273" s="584">
        <v>0</v>
      </c>
      <c r="N273" s="584">
        <v>0</v>
      </c>
      <c r="O273" s="584">
        <v>0</v>
      </c>
      <c r="P273" s="584">
        <v>0</v>
      </c>
      <c r="Q273" s="584">
        <v>0</v>
      </c>
      <c r="R273" s="584">
        <v>0</v>
      </c>
      <c r="S273" s="584">
        <v>0</v>
      </c>
      <c r="T273" s="584">
        <v>469.06793750000003</v>
      </c>
      <c r="U273" s="584">
        <v>88</v>
      </c>
      <c r="V273" s="584">
        <v>861.69449999999995</v>
      </c>
      <c r="W273" s="584">
        <v>184.8</v>
      </c>
      <c r="X273" s="584">
        <v>1463.4110000000001</v>
      </c>
      <c r="Y273" s="584">
        <v>387.2</v>
      </c>
      <c r="Z273" s="584">
        <v>0.33</v>
      </c>
      <c r="AA273" s="584">
        <v>0.33</v>
      </c>
      <c r="AB273" s="584">
        <v>792</v>
      </c>
      <c r="AC273" s="584">
        <v>22</v>
      </c>
      <c r="AD273" s="584">
        <v>0</v>
      </c>
      <c r="AE273" s="584">
        <v>0</v>
      </c>
      <c r="AF273" s="584">
        <v>0</v>
      </c>
      <c r="AG273" s="584">
        <v>0</v>
      </c>
      <c r="AH273" s="584">
        <v>0</v>
      </c>
      <c r="AI273" s="584">
        <v>0</v>
      </c>
      <c r="AJ273" s="584">
        <v>0</v>
      </c>
      <c r="AK273" s="584">
        <v>0</v>
      </c>
      <c r="AL273" s="584">
        <v>0</v>
      </c>
      <c r="AM273" s="584">
        <v>0</v>
      </c>
      <c r="AN273" s="584">
        <v>0</v>
      </c>
      <c r="AO273" s="584">
        <v>376.30043749999999</v>
      </c>
      <c r="AP273" s="584">
        <v>88</v>
      </c>
      <c r="AQ273" s="584">
        <v>673.71825000000001</v>
      </c>
      <c r="AR273" s="584">
        <v>184.8</v>
      </c>
      <c r="AS273" s="584">
        <v>1088.3109999999999</v>
      </c>
      <c r="AT273" s="584">
        <v>387.2</v>
      </c>
      <c r="AU273" s="584">
        <v>0.85</v>
      </c>
      <c r="AV273" s="584">
        <v>0.35</v>
      </c>
      <c r="AW273" s="584">
        <v>600.70257611241198</v>
      </c>
      <c r="AX273" s="584">
        <v>34.239682742974203</v>
      </c>
      <c r="AY273" s="584">
        <v>0</v>
      </c>
      <c r="AZ273" s="584">
        <v>0</v>
      </c>
      <c r="BA273" s="584">
        <v>0</v>
      </c>
      <c r="BB273" s="584">
        <v>0</v>
      </c>
      <c r="BC273" s="584">
        <v>0</v>
      </c>
      <c r="BD273" s="584">
        <v>0</v>
      </c>
      <c r="BE273" s="584">
        <v>0</v>
      </c>
      <c r="BF273" s="584">
        <v>0</v>
      </c>
      <c r="BG273" s="584">
        <v>0.85</v>
      </c>
      <c r="BH273" s="584">
        <v>0</v>
      </c>
      <c r="BI273" s="584">
        <v>0.45</v>
      </c>
      <c r="BJ273" s="584">
        <v>341.91702254098402</v>
      </c>
      <c r="BK273" s="584">
        <v>88</v>
      </c>
      <c r="BL273" s="584">
        <v>575.32017725409798</v>
      </c>
      <c r="BM273" s="584">
        <v>184.8</v>
      </c>
      <c r="BN273" s="584">
        <v>883.71321311475401</v>
      </c>
      <c r="BO273" s="584">
        <v>387.2</v>
      </c>
      <c r="BP273" s="584">
        <v>0.75</v>
      </c>
      <c r="BQ273" s="584">
        <v>0.215</v>
      </c>
      <c r="BR273" s="584">
        <v>640.15013905152205</v>
      </c>
      <c r="BS273" s="584">
        <v>44.611820843091301</v>
      </c>
      <c r="BT273" s="584">
        <v>0</v>
      </c>
      <c r="BU273" s="584">
        <v>0</v>
      </c>
      <c r="BV273" s="584">
        <v>0</v>
      </c>
      <c r="BW273" s="584">
        <v>0</v>
      </c>
      <c r="BX273" s="584">
        <v>0</v>
      </c>
      <c r="BY273" s="584">
        <v>0</v>
      </c>
      <c r="BZ273" s="584">
        <v>0</v>
      </c>
      <c r="CA273" s="584">
        <v>0.45</v>
      </c>
      <c r="CB273" s="584">
        <v>0.75</v>
      </c>
      <c r="CC273" s="584">
        <v>0.45</v>
      </c>
      <c r="CD273" s="584">
        <v>0.45</v>
      </c>
      <c r="CE273" s="584">
        <v>350.00644999999997</v>
      </c>
      <c r="CF273" s="584">
        <v>88</v>
      </c>
      <c r="CG273" s="584">
        <v>590.46513749999997</v>
      </c>
      <c r="CH273" s="584">
        <v>184.8</v>
      </c>
      <c r="CI273" s="584">
        <v>893.35876250000001</v>
      </c>
      <c r="CJ273" s="584">
        <v>387.2</v>
      </c>
      <c r="CK273" s="584">
        <v>0.875</v>
      </c>
      <c r="CL273" s="584">
        <v>0.26</v>
      </c>
      <c r="CM273" s="584">
        <v>711.99502341920402</v>
      </c>
      <c r="CN273" s="584">
        <v>28.7083317476581</v>
      </c>
      <c r="CO273" s="584">
        <v>0</v>
      </c>
      <c r="CP273" s="584">
        <v>0</v>
      </c>
      <c r="CQ273" s="584">
        <v>0</v>
      </c>
      <c r="CR273" s="584">
        <v>0</v>
      </c>
      <c r="CS273" s="584">
        <v>0</v>
      </c>
      <c r="CT273" s="584">
        <v>0</v>
      </c>
      <c r="CU273" s="584">
        <v>0</v>
      </c>
      <c r="CV273" s="584">
        <v>0</v>
      </c>
      <c r="CW273" s="584">
        <v>0.875</v>
      </c>
      <c r="CX273" s="584">
        <v>0</v>
      </c>
      <c r="CY273" s="584">
        <v>0.6</v>
      </c>
      <c r="CZ273" s="584">
        <v>373.53829999999999</v>
      </c>
      <c r="DA273" s="584">
        <v>88</v>
      </c>
      <c r="DB273" s="584">
        <v>632.56605000000002</v>
      </c>
      <c r="DC273" s="584">
        <v>184.8</v>
      </c>
      <c r="DD273" s="584">
        <v>993.52279999999996</v>
      </c>
      <c r="DE273" s="584">
        <v>387.2</v>
      </c>
      <c r="DF273" s="584">
        <v>0.52500000000000002</v>
      </c>
      <c r="DG273" s="584">
        <v>0.25</v>
      </c>
      <c r="DH273" s="584">
        <v>406.01873536299797</v>
      </c>
      <c r="DI273" s="584">
        <v>20.9229148126464</v>
      </c>
      <c r="DJ273" s="584">
        <v>340</v>
      </c>
      <c r="DK273" s="584">
        <v>0</v>
      </c>
      <c r="DL273" s="584">
        <v>0</v>
      </c>
      <c r="DM273" s="584">
        <v>0</v>
      </c>
      <c r="DN273" s="584">
        <v>0</v>
      </c>
      <c r="DO273" s="584">
        <v>0</v>
      </c>
      <c r="DP273" s="584">
        <v>0</v>
      </c>
      <c r="DQ273" s="584">
        <v>0</v>
      </c>
      <c r="DR273" s="584">
        <v>0.52500000000000002</v>
      </c>
      <c r="DS273" s="584">
        <v>0</v>
      </c>
      <c r="DT273" s="584">
        <v>2.4</v>
      </c>
      <c r="DU273" s="584">
        <v>342.72649999999999</v>
      </c>
      <c r="DV273" s="584">
        <v>88</v>
      </c>
      <c r="DW273" s="584">
        <v>638.40250000000003</v>
      </c>
      <c r="DX273" s="584">
        <v>184.8</v>
      </c>
      <c r="DY273" s="584">
        <v>1009.98275</v>
      </c>
      <c r="DZ273" s="584">
        <v>387.2</v>
      </c>
      <c r="EA273" s="1062">
        <v>0.92710000000000004</v>
      </c>
      <c r="EB273" s="1046">
        <v>0.35</v>
      </c>
      <c r="EC273" s="1093">
        <v>132.51783893985731</v>
      </c>
      <c r="ED273" s="1046">
        <v>0</v>
      </c>
      <c r="EE273" s="1046">
        <v>458.71559633027522</v>
      </c>
      <c r="EF273" s="1046">
        <v>41.507954545454545</v>
      </c>
      <c r="EG273" s="1046">
        <v>0</v>
      </c>
      <c r="EH273" s="1046">
        <v>0</v>
      </c>
      <c r="EI273" s="1046" t="s">
        <v>418</v>
      </c>
      <c r="EJ273" s="1046" t="s">
        <v>442</v>
      </c>
      <c r="EK273" s="1046">
        <v>0</v>
      </c>
      <c r="EL273" s="1046">
        <v>0</v>
      </c>
      <c r="EM273" s="1046">
        <v>0</v>
      </c>
      <c r="EN273" s="1046">
        <v>0</v>
      </c>
      <c r="EO273" s="1046">
        <v>0</v>
      </c>
      <c r="EP273" s="1094">
        <v>200.35824674999998</v>
      </c>
      <c r="EQ273" s="1094">
        <v>88</v>
      </c>
      <c r="ER273" s="1094">
        <v>400.71649349999996</v>
      </c>
      <c r="ES273" s="1095">
        <v>176</v>
      </c>
      <c r="ET273" s="1094">
        <v>801.43298699999991</v>
      </c>
      <c r="EU273" s="1094">
        <v>352</v>
      </c>
      <c r="EV273" s="1096">
        <v>0.76719999999999999</v>
      </c>
      <c r="EW273" s="1097">
        <v>0.15</v>
      </c>
      <c r="EX273" s="1096">
        <v>289.50050968399592</v>
      </c>
      <c r="EY273" s="1096">
        <v>1.5443934760448521</v>
      </c>
      <c r="EZ273" s="1096">
        <v>0</v>
      </c>
      <c r="FA273" s="1096">
        <v>25.793181818181822</v>
      </c>
      <c r="FB273" s="1098">
        <v>0</v>
      </c>
      <c r="FC273" s="1098">
        <v>0</v>
      </c>
      <c r="FD273" s="1098" t="s">
        <v>404</v>
      </c>
      <c r="FE273" s="1098" t="s">
        <v>461</v>
      </c>
      <c r="FF273" s="1098">
        <v>2</v>
      </c>
      <c r="FG273" s="1098">
        <v>0</v>
      </c>
      <c r="FH273" s="1098">
        <v>0</v>
      </c>
      <c r="FI273" s="1098">
        <v>0</v>
      </c>
      <c r="FJ273" s="1098">
        <v>0</v>
      </c>
      <c r="FK273" s="1096">
        <v>134.59999550000001</v>
      </c>
      <c r="FL273" s="1096">
        <v>88</v>
      </c>
      <c r="FM273" s="1096">
        <v>269.19999100000001</v>
      </c>
      <c r="FN273" s="1096">
        <v>176</v>
      </c>
      <c r="FO273" s="1096">
        <v>538.39998200000002</v>
      </c>
      <c r="FP273" s="1099">
        <v>352</v>
      </c>
      <c r="FQ273" s="1064">
        <v>1.2056</v>
      </c>
      <c r="FR273" s="1065">
        <v>0.15</v>
      </c>
      <c r="FS273" s="1066">
        <v>289.50050968399586</v>
      </c>
      <c r="FT273" s="1066">
        <v>3.1935353236673123</v>
      </c>
      <c r="FU273" s="1065"/>
      <c r="FV273" s="1066">
        <v>61.786370538576406</v>
      </c>
      <c r="FW273" s="1065"/>
      <c r="FX273" s="1065"/>
      <c r="FY273" s="1065" t="s">
        <v>387</v>
      </c>
      <c r="FZ273" s="1065" t="s">
        <v>459</v>
      </c>
      <c r="GA273" s="1065">
        <v>3</v>
      </c>
      <c r="GB273" s="1065"/>
      <c r="GC273" s="1065"/>
      <c r="GD273" s="1065"/>
      <c r="GE273" s="1065"/>
      <c r="GF273" s="1066">
        <v>140.30396328318943</v>
      </c>
      <c r="GG273" s="1066">
        <v>88</v>
      </c>
      <c r="GH273" s="1066">
        <v>280.60792656637886</v>
      </c>
      <c r="GI273" s="1066">
        <v>176</v>
      </c>
      <c r="GJ273" s="1066">
        <v>561.21585313275773</v>
      </c>
      <c r="GK273" s="1066">
        <v>352</v>
      </c>
      <c r="GL273" s="584">
        <v>0.89219999999999999</v>
      </c>
      <c r="GM273" s="584">
        <v>0.13</v>
      </c>
      <c r="GN273" s="584"/>
      <c r="GO273" s="584"/>
      <c r="GP273" s="584"/>
      <c r="GQ273" s="584">
        <v>54.631818181818197</v>
      </c>
      <c r="GR273" s="584"/>
      <c r="GS273" s="584">
        <v>66.2589194699286</v>
      </c>
      <c r="GT273" s="584" t="s">
        <v>396</v>
      </c>
      <c r="GU273" s="584" t="s">
        <v>385</v>
      </c>
      <c r="GV273" s="584">
        <v>1</v>
      </c>
      <c r="GW273" s="584"/>
      <c r="GX273" s="584"/>
      <c r="GY273" s="584"/>
      <c r="GZ273" s="584"/>
      <c r="HA273" s="584">
        <v>89.890638999999993</v>
      </c>
      <c r="HB273" s="584">
        <v>88</v>
      </c>
      <c r="HC273" s="584">
        <v>179.78127799999999</v>
      </c>
      <c r="HD273" s="584">
        <v>176</v>
      </c>
      <c r="HE273" s="584">
        <v>359.56255599999997</v>
      </c>
      <c r="HF273" s="584">
        <v>352</v>
      </c>
      <c r="HG273" s="1100">
        <v>1.7100000000000002</v>
      </c>
      <c r="HH273" s="1100">
        <v>0.11</v>
      </c>
      <c r="HI273" s="1101">
        <v>0</v>
      </c>
      <c r="HJ273" s="1101">
        <v>0</v>
      </c>
      <c r="HK273" s="1101">
        <v>0</v>
      </c>
      <c r="HL273" s="1101">
        <v>0</v>
      </c>
      <c r="HM273" s="1101">
        <v>81.736363636363649</v>
      </c>
      <c r="HN273" s="1101">
        <v>54.999999999999993</v>
      </c>
      <c r="HO273" s="1101">
        <v>0</v>
      </c>
      <c r="HP273" s="1101">
        <v>0</v>
      </c>
      <c r="HQ273" s="1101">
        <v>3</v>
      </c>
      <c r="HR273" s="1101">
        <v>1.6</v>
      </c>
      <c r="HS273" s="1101">
        <v>0.92</v>
      </c>
      <c r="HT273" s="1101">
        <v>0.3</v>
      </c>
      <c r="HU273" s="1101">
        <v>0.3</v>
      </c>
      <c r="HV273" s="1101">
        <v>93.310441999999981</v>
      </c>
      <c r="HW273" s="1101">
        <v>88</v>
      </c>
      <c r="HX273" s="1101">
        <v>186.62088399999996</v>
      </c>
      <c r="HY273" s="1101">
        <v>176</v>
      </c>
      <c r="HZ273" s="1101">
        <v>373.24176799999992</v>
      </c>
      <c r="IA273" s="1101">
        <v>352</v>
      </c>
      <c r="IB273" s="1062"/>
      <c r="ID273" s="1050"/>
      <c r="IE273" s="1050"/>
      <c r="IM273" s="1050"/>
      <c r="IN273" s="1050"/>
      <c r="IO273" s="1050"/>
      <c r="IP273" s="1050"/>
      <c r="JU273" s="1050"/>
      <c r="KC273" s="1050"/>
      <c r="KD273" s="1050"/>
      <c r="KE273" s="1050"/>
      <c r="KF273" s="1050"/>
      <c r="KN273" s="1103"/>
    </row>
    <row r="274" spans="2:300">
      <c r="B274" s="1048" t="str">
        <f t="shared" si="8"/>
        <v>H812</v>
      </c>
      <c r="C274" s="1046">
        <v>8</v>
      </c>
      <c r="D274" s="1092">
        <v>12</v>
      </c>
      <c r="E274" s="584">
        <v>0.56999999999999995</v>
      </c>
      <c r="F274" s="584">
        <v>0.56999999999999995</v>
      </c>
      <c r="G274" s="584">
        <v>1368</v>
      </c>
      <c r="H274" s="584">
        <v>30.21</v>
      </c>
      <c r="I274" s="584">
        <v>0</v>
      </c>
      <c r="J274" s="584">
        <v>0</v>
      </c>
      <c r="K274" s="584">
        <v>0</v>
      </c>
      <c r="L274" s="584">
        <v>0</v>
      </c>
      <c r="M274" s="584">
        <v>0</v>
      </c>
      <c r="N274" s="584">
        <v>0</v>
      </c>
      <c r="O274" s="584">
        <v>0</v>
      </c>
      <c r="P274" s="584">
        <v>0</v>
      </c>
      <c r="Q274" s="584">
        <v>0</v>
      </c>
      <c r="R274" s="584">
        <v>0</v>
      </c>
      <c r="S274" s="584">
        <v>0</v>
      </c>
      <c r="T274" s="584">
        <v>561.43543750000003</v>
      </c>
      <c r="U274" s="584">
        <v>96</v>
      </c>
      <c r="V274" s="584">
        <v>1053.2289375</v>
      </c>
      <c r="W274" s="584">
        <v>201.6</v>
      </c>
      <c r="X274" s="584">
        <v>1821.5919375000001</v>
      </c>
      <c r="Y274" s="584">
        <v>422.4</v>
      </c>
      <c r="Z274" s="584">
        <v>0.375</v>
      </c>
      <c r="AA274" s="584">
        <v>0.375</v>
      </c>
      <c r="AB274" s="584">
        <v>900</v>
      </c>
      <c r="AC274" s="584">
        <v>23</v>
      </c>
      <c r="AD274" s="584">
        <v>0</v>
      </c>
      <c r="AE274" s="584">
        <v>0</v>
      </c>
      <c r="AF274" s="584">
        <v>0</v>
      </c>
      <c r="AG274" s="584">
        <v>0</v>
      </c>
      <c r="AH274" s="584">
        <v>0</v>
      </c>
      <c r="AI274" s="584">
        <v>0</v>
      </c>
      <c r="AJ274" s="584">
        <v>0</v>
      </c>
      <c r="AK274" s="584">
        <v>0</v>
      </c>
      <c r="AL274" s="584">
        <v>0</v>
      </c>
      <c r="AM274" s="584">
        <v>0</v>
      </c>
      <c r="AN274" s="584">
        <v>0</v>
      </c>
      <c r="AO274" s="584">
        <v>434.49043749999998</v>
      </c>
      <c r="AP274" s="584">
        <v>96</v>
      </c>
      <c r="AQ274" s="584">
        <v>793.93275000000006</v>
      </c>
      <c r="AR274" s="584">
        <v>201.6</v>
      </c>
      <c r="AS274" s="584">
        <v>1305.231</v>
      </c>
      <c r="AT274" s="584">
        <v>422.4</v>
      </c>
      <c r="AU274" s="584">
        <v>0.97499999999999998</v>
      </c>
      <c r="AV274" s="584">
        <v>0.35</v>
      </c>
      <c r="AW274" s="584">
        <v>622.831564095673</v>
      </c>
      <c r="AX274" s="584">
        <v>35.521022574576698</v>
      </c>
      <c r="AY274" s="584">
        <v>0</v>
      </c>
      <c r="AZ274" s="584">
        <v>0</v>
      </c>
      <c r="BA274" s="584">
        <v>0</v>
      </c>
      <c r="BB274" s="584">
        <v>0</v>
      </c>
      <c r="BC274" s="584">
        <v>0</v>
      </c>
      <c r="BD274" s="584">
        <v>0</v>
      </c>
      <c r="BE274" s="584">
        <v>0</v>
      </c>
      <c r="BF274" s="584">
        <v>0</v>
      </c>
      <c r="BG274" s="584">
        <v>0.97499999999999998</v>
      </c>
      <c r="BH274" s="584">
        <v>0</v>
      </c>
      <c r="BI274" s="584">
        <v>0.45</v>
      </c>
      <c r="BJ274" s="584">
        <v>382.72904736629903</v>
      </c>
      <c r="BK274" s="584">
        <v>96</v>
      </c>
      <c r="BL274" s="584">
        <v>642.92816077667305</v>
      </c>
      <c r="BM274" s="584">
        <v>201.6</v>
      </c>
      <c r="BN274" s="584">
        <v>963.08698125503895</v>
      </c>
      <c r="BO274" s="584">
        <v>422.4</v>
      </c>
      <c r="BP274" s="584">
        <v>0.875</v>
      </c>
      <c r="BQ274" s="584">
        <v>0.215</v>
      </c>
      <c r="BR274" s="584">
        <v>683.45478366030602</v>
      </c>
      <c r="BS274" s="584">
        <v>56.931475409836096</v>
      </c>
      <c r="BT274" s="584">
        <v>0</v>
      </c>
      <c r="BU274" s="584">
        <v>0</v>
      </c>
      <c r="BV274" s="584">
        <v>0</v>
      </c>
      <c r="BW274" s="584">
        <v>0</v>
      </c>
      <c r="BX274" s="584">
        <v>0</v>
      </c>
      <c r="BY274" s="584">
        <v>0</v>
      </c>
      <c r="BZ274" s="584">
        <v>0</v>
      </c>
      <c r="CA274" s="584">
        <v>0.45</v>
      </c>
      <c r="CB274" s="584">
        <v>0.875</v>
      </c>
      <c r="CC274" s="584">
        <v>0.45</v>
      </c>
      <c r="CD274" s="584">
        <v>0.45</v>
      </c>
      <c r="CE274" s="584">
        <v>398.47269999999997</v>
      </c>
      <c r="CF274" s="584">
        <v>96</v>
      </c>
      <c r="CG274" s="584">
        <v>678.92557499999998</v>
      </c>
      <c r="CH274" s="584">
        <v>201.6</v>
      </c>
      <c r="CI274" s="584">
        <v>988.13594999999998</v>
      </c>
      <c r="CJ274" s="584">
        <v>422.4</v>
      </c>
      <c r="CK274" s="584">
        <v>1.0249999999999999</v>
      </c>
      <c r="CL274" s="584">
        <v>0.26</v>
      </c>
      <c r="CM274" s="584">
        <v>743.19709083579698</v>
      </c>
      <c r="CN274" s="584">
        <v>29.832176834184398</v>
      </c>
      <c r="CO274" s="584">
        <v>0</v>
      </c>
      <c r="CP274" s="584">
        <v>0</v>
      </c>
      <c r="CQ274" s="584">
        <v>0</v>
      </c>
      <c r="CR274" s="584">
        <v>0</v>
      </c>
      <c r="CS274" s="584">
        <v>0</v>
      </c>
      <c r="CT274" s="584">
        <v>0</v>
      </c>
      <c r="CU274" s="584">
        <v>0</v>
      </c>
      <c r="CV274" s="584">
        <v>0</v>
      </c>
      <c r="CW274" s="584">
        <v>1.0249999999999999</v>
      </c>
      <c r="CX274" s="584">
        <v>0</v>
      </c>
      <c r="CY274" s="584">
        <v>0.6</v>
      </c>
      <c r="CZ274" s="584">
        <v>422.45004999999998</v>
      </c>
      <c r="DA274" s="584">
        <v>96</v>
      </c>
      <c r="DB274" s="584">
        <v>715.57605000000001</v>
      </c>
      <c r="DC274" s="584">
        <v>201.6</v>
      </c>
      <c r="DD274" s="584">
        <v>1103.0470499999999</v>
      </c>
      <c r="DE274" s="584">
        <v>422.4</v>
      </c>
      <c r="DF274" s="584">
        <v>0.6</v>
      </c>
      <c r="DG274" s="584">
        <v>0.25</v>
      </c>
      <c r="DH274" s="584">
        <v>451.46079682880901</v>
      </c>
      <c r="DI274" s="584">
        <v>22.550520558989501</v>
      </c>
      <c r="DJ274" s="584">
        <v>340</v>
      </c>
      <c r="DK274" s="584">
        <v>0</v>
      </c>
      <c r="DL274" s="584">
        <v>0</v>
      </c>
      <c r="DM274" s="584">
        <v>0</v>
      </c>
      <c r="DN274" s="584">
        <v>0</v>
      </c>
      <c r="DO274" s="584">
        <v>0</v>
      </c>
      <c r="DP274" s="584">
        <v>0</v>
      </c>
      <c r="DQ274" s="584">
        <v>0</v>
      </c>
      <c r="DR274" s="584">
        <v>0.6</v>
      </c>
      <c r="DS274" s="584">
        <v>0</v>
      </c>
      <c r="DT274" s="584">
        <v>2.4</v>
      </c>
      <c r="DU274" s="584">
        <v>376.30525</v>
      </c>
      <c r="DV274" s="584">
        <v>96</v>
      </c>
      <c r="DW274" s="584">
        <v>711.58875</v>
      </c>
      <c r="DX274" s="584">
        <v>201.6</v>
      </c>
      <c r="DY274" s="584">
        <v>1154.8605</v>
      </c>
      <c r="DZ274" s="584">
        <v>422.4</v>
      </c>
      <c r="EA274" s="1062">
        <v>0.97709999999999997</v>
      </c>
      <c r="EB274" s="1046">
        <v>0.4</v>
      </c>
      <c r="EC274" s="1093">
        <v>132.51783893985737</v>
      </c>
      <c r="ED274" s="1046">
        <v>0</v>
      </c>
      <c r="EE274" s="1046">
        <v>519.87767584097855</v>
      </c>
      <c r="EF274" s="1046">
        <v>40.0625</v>
      </c>
      <c r="EG274" s="1046">
        <v>0</v>
      </c>
      <c r="EH274" s="1046">
        <v>0</v>
      </c>
      <c r="EI274" s="1046" t="s">
        <v>418</v>
      </c>
      <c r="EJ274" s="1046" t="s">
        <v>425</v>
      </c>
      <c r="EK274" s="1046">
        <v>0</v>
      </c>
      <c r="EL274" s="1046">
        <v>0</v>
      </c>
      <c r="EM274" s="1046">
        <v>0</v>
      </c>
      <c r="EN274" s="1046">
        <v>0</v>
      </c>
      <c r="EO274" s="1046">
        <v>0</v>
      </c>
      <c r="EP274" s="1094">
        <v>232.63231500000001</v>
      </c>
      <c r="EQ274" s="1094">
        <v>96</v>
      </c>
      <c r="ER274" s="1094">
        <v>465.26463000000001</v>
      </c>
      <c r="ES274" s="1095">
        <v>192</v>
      </c>
      <c r="ET274" s="1094">
        <v>930.52926000000002</v>
      </c>
      <c r="EU274" s="1094">
        <v>384</v>
      </c>
      <c r="EV274" s="1096">
        <v>0.83350000000000002</v>
      </c>
      <c r="EW274" s="1097">
        <v>0.15</v>
      </c>
      <c r="EX274" s="1096">
        <v>289.50050968399592</v>
      </c>
      <c r="EY274" s="1096">
        <v>1.5443934760448521</v>
      </c>
      <c r="EZ274" s="1096">
        <v>0</v>
      </c>
      <c r="FA274" s="1096">
        <v>32.225000000000001</v>
      </c>
      <c r="FB274" s="1098">
        <v>0</v>
      </c>
      <c r="FC274" s="1098">
        <v>0</v>
      </c>
      <c r="FD274" s="1098" t="s">
        <v>394</v>
      </c>
      <c r="FE274" s="1098" t="s">
        <v>432</v>
      </c>
      <c r="FF274" s="1098">
        <v>2</v>
      </c>
      <c r="FG274" s="1098">
        <v>0</v>
      </c>
      <c r="FH274" s="1098">
        <v>0</v>
      </c>
      <c r="FI274" s="1098">
        <v>0</v>
      </c>
      <c r="FJ274" s="1098">
        <v>0</v>
      </c>
      <c r="FK274" s="1096">
        <v>148.35066599999999</v>
      </c>
      <c r="FL274" s="1096">
        <v>96</v>
      </c>
      <c r="FM274" s="1096">
        <v>296.70133199999998</v>
      </c>
      <c r="FN274" s="1096">
        <v>192</v>
      </c>
      <c r="FO274" s="1096">
        <v>593.40266399999996</v>
      </c>
      <c r="FP274" s="1099">
        <v>384</v>
      </c>
      <c r="FQ274" s="1064">
        <v>1.2170799999999999</v>
      </c>
      <c r="FR274" s="1065">
        <v>0.15</v>
      </c>
      <c r="FS274" s="1066">
        <v>289.50050968399586</v>
      </c>
      <c r="FT274" s="1066">
        <v>3.1935353236673123</v>
      </c>
      <c r="FU274" s="1065"/>
      <c r="FV274" s="1066">
        <v>70.831286372652812</v>
      </c>
      <c r="FW274" s="1065"/>
      <c r="FX274" s="1065"/>
      <c r="FY274" s="1065" t="s">
        <v>385</v>
      </c>
      <c r="FZ274" s="1065" t="s">
        <v>436</v>
      </c>
      <c r="GA274" s="1065">
        <v>3</v>
      </c>
      <c r="GB274" s="1065"/>
      <c r="GC274" s="1065"/>
      <c r="GD274" s="1065"/>
      <c r="GE274" s="1065"/>
      <c r="GF274" s="1066">
        <v>155.18840402018162</v>
      </c>
      <c r="GG274" s="1066">
        <v>96</v>
      </c>
      <c r="GH274" s="1066">
        <v>310.37680804036324</v>
      </c>
      <c r="GI274" s="1066">
        <v>192</v>
      </c>
      <c r="GJ274" s="1066">
        <v>620.75361608072649</v>
      </c>
      <c r="GK274" s="1066">
        <v>384</v>
      </c>
      <c r="GL274" s="584">
        <v>0.97070000000000001</v>
      </c>
      <c r="GM274" s="584">
        <v>0.13</v>
      </c>
      <c r="GN274" s="584"/>
      <c r="GO274" s="584"/>
      <c r="GP274" s="584"/>
      <c r="GQ274" s="584">
        <v>59.608333333333299</v>
      </c>
      <c r="GR274" s="584"/>
      <c r="GS274" s="584">
        <v>66.2589194699286</v>
      </c>
      <c r="GT274" s="584" t="s">
        <v>389</v>
      </c>
      <c r="GU274" s="584" t="s">
        <v>379</v>
      </c>
      <c r="GV274" s="584">
        <v>1</v>
      </c>
      <c r="GW274" s="584"/>
      <c r="GX274" s="584"/>
      <c r="GY274" s="584"/>
      <c r="GZ274" s="584"/>
      <c r="HA274" s="584">
        <v>99.234185999999994</v>
      </c>
      <c r="HB274" s="584">
        <v>96</v>
      </c>
      <c r="HC274" s="584">
        <v>198.46837199999999</v>
      </c>
      <c r="HD274" s="584">
        <v>192</v>
      </c>
      <c r="HE274" s="584">
        <v>396.93674399999998</v>
      </c>
      <c r="HF274" s="584">
        <v>384</v>
      </c>
      <c r="HG274" s="1100">
        <v>1.83</v>
      </c>
      <c r="HH274" s="1100">
        <v>0.11</v>
      </c>
      <c r="HI274" s="1101">
        <v>0</v>
      </c>
      <c r="HJ274" s="1101">
        <v>0</v>
      </c>
      <c r="HK274" s="1101">
        <v>0</v>
      </c>
      <c r="HL274" s="1101">
        <v>0</v>
      </c>
      <c r="HM274" s="1101">
        <v>89.55</v>
      </c>
      <c r="HN274" s="1101">
        <v>54.999999999999993</v>
      </c>
      <c r="HO274" s="1101">
        <v>0</v>
      </c>
      <c r="HP274" s="1101">
        <v>0</v>
      </c>
      <c r="HQ274" s="1101">
        <v>3</v>
      </c>
      <c r="HR274" s="1101">
        <v>1.72</v>
      </c>
      <c r="HS274" s="1101">
        <v>1.04</v>
      </c>
      <c r="HT274" s="1101">
        <v>0.3</v>
      </c>
      <c r="HU274" s="1101">
        <v>0.3</v>
      </c>
      <c r="HV274" s="1101">
        <v>103.63285199999999</v>
      </c>
      <c r="HW274" s="1101">
        <v>96</v>
      </c>
      <c r="HX274" s="1101">
        <v>207.26570399999997</v>
      </c>
      <c r="HY274" s="1101">
        <v>192</v>
      </c>
      <c r="HZ274" s="1101">
        <v>414.53140799999994</v>
      </c>
      <c r="IA274" s="1101">
        <v>384</v>
      </c>
      <c r="IB274" s="1062"/>
      <c r="ID274" s="1050"/>
      <c r="IE274" s="1050"/>
      <c r="IM274" s="1050"/>
      <c r="IN274" s="1050"/>
      <c r="IO274" s="1050"/>
      <c r="IP274" s="1050"/>
      <c r="JU274" s="1050"/>
      <c r="KC274" s="1050"/>
      <c r="KD274" s="1050"/>
      <c r="KE274" s="1050"/>
      <c r="KF274" s="1050"/>
      <c r="KN274" s="1103"/>
    </row>
    <row r="275" spans="2:300">
      <c r="B275" s="1048" t="str">
        <f t="shared" si="8"/>
        <v>H813</v>
      </c>
      <c r="C275" s="1046">
        <v>8</v>
      </c>
      <c r="D275" s="1092">
        <v>13</v>
      </c>
      <c r="E275" s="584">
        <v>0.56999999999999995</v>
      </c>
      <c r="F275" s="584">
        <v>0.56999999999999995</v>
      </c>
      <c r="G275" s="584">
        <v>1368</v>
      </c>
      <c r="H275" s="584">
        <v>29.07</v>
      </c>
      <c r="I275" s="584">
        <v>0</v>
      </c>
      <c r="J275" s="584">
        <v>0</v>
      </c>
      <c r="K275" s="584">
        <v>0</v>
      </c>
      <c r="L275" s="584">
        <v>0</v>
      </c>
      <c r="M275" s="584">
        <v>0</v>
      </c>
      <c r="N275" s="584">
        <v>0</v>
      </c>
      <c r="O275" s="584">
        <v>0</v>
      </c>
      <c r="P275" s="584">
        <v>0</v>
      </c>
      <c r="Q275" s="584">
        <v>0</v>
      </c>
      <c r="R275" s="584">
        <v>0</v>
      </c>
      <c r="S275" s="584">
        <v>0</v>
      </c>
      <c r="T275" s="584">
        <v>602.93043750000004</v>
      </c>
      <c r="U275" s="584">
        <v>104</v>
      </c>
      <c r="V275" s="584">
        <v>1141.8045</v>
      </c>
      <c r="W275" s="584">
        <v>218.4</v>
      </c>
      <c r="X275" s="584">
        <v>1974.19775</v>
      </c>
      <c r="Y275" s="584">
        <v>457.6</v>
      </c>
      <c r="Z275" s="584">
        <v>0.41</v>
      </c>
      <c r="AA275" s="584">
        <v>0.41</v>
      </c>
      <c r="AB275" s="584">
        <v>984</v>
      </c>
      <c r="AC275" s="584">
        <v>26</v>
      </c>
      <c r="AD275" s="584">
        <v>0</v>
      </c>
      <c r="AE275" s="584">
        <v>0</v>
      </c>
      <c r="AF275" s="584">
        <v>0</v>
      </c>
      <c r="AG275" s="584">
        <v>0</v>
      </c>
      <c r="AH275" s="584">
        <v>0</v>
      </c>
      <c r="AI275" s="584">
        <v>0</v>
      </c>
      <c r="AJ275" s="584">
        <v>0</v>
      </c>
      <c r="AK275" s="584">
        <v>0</v>
      </c>
      <c r="AL275" s="584">
        <v>0</v>
      </c>
      <c r="AM275" s="584">
        <v>0</v>
      </c>
      <c r="AN275" s="584">
        <v>0</v>
      </c>
      <c r="AO275" s="584">
        <v>490.37043749999998</v>
      </c>
      <c r="AP275" s="584">
        <v>104</v>
      </c>
      <c r="AQ275" s="584">
        <v>911.04843749999998</v>
      </c>
      <c r="AR275" s="584">
        <v>218.4</v>
      </c>
      <c r="AS275" s="584">
        <v>1513.3510000000001</v>
      </c>
      <c r="AT275" s="584">
        <v>457.6</v>
      </c>
      <c r="AU275" s="584">
        <v>0</v>
      </c>
      <c r="AV275" s="584">
        <v>0</v>
      </c>
      <c r="AW275" s="584">
        <v>0</v>
      </c>
      <c r="AX275" s="584">
        <v>0</v>
      </c>
      <c r="AY275" s="584">
        <v>0</v>
      </c>
      <c r="AZ275" s="584">
        <v>0</v>
      </c>
      <c r="BA275" s="584">
        <v>0</v>
      </c>
      <c r="BB275" s="584">
        <v>0</v>
      </c>
      <c r="BC275" s="584">
        <v>0</v>
      </c>
      <c r="BD275" s="584">
        <v>0</v>
      </c>
      <c r="BE275" s="584">
        <v>0</v>
      </c>
      <c r="BF275" s="584">
        <v>0</v>
      </c>
      <c r="BG275" s="584">
        <v>0</v>
      </c>
      <c r="BH275" s="584">
        <v>0</v>
      </c>
      <c r="BI275" s="584">
        <v>0</v>
      </c>
      <c r="BJ275" s="584">
        <v>0</v>
      </c>
      <c r="BK275" s="584">
        <v>0</v>
      </c>
      <c r="BL275" s="584">
        <v>0</v>
      </c>
      <c r="BM275" s="584">
        <v>0</v>
      </c>
      <c r="BN275" s="584">
        <v>0</v>
      </c>
      <c r="BO275" s="584">
        <v>0</v>
      </c>
      <c r="BP275" s="584">
        <v>0.95</v>
      </c>
      <c r="BQ275" s="584">
        <v>0.22500000000000001</v>
      </c>
      <c r="BR275" s="584">
        <v>749.08345752608</v>
      </c>
      <c r="BS275" s="584">
        <v>64.316579731743701</v>
      </c>
      <c r="BT275" s="584">
        <v>0</v>
      </c>
      <c r="BU275" s="584">
        <v>0</v>
      </c>
      <c r="BV275" s="584">
        <v>0</v>
      </c>
      <c r="BW275" s="584">
        <v>0</v>
      </c>
      <c r="BX275" s="584">
        <v>0</v>
      </c>
      <c r="BY275" s="584">
        <v>0</v>
      </c>
      <c r="BZ275" s="584">
        <v>0</v>
      </c>
      <c r="CA275" s="584">
        <v>0.42499999999999999</v>
      </c>
      <c r="CB275" s="584">
        <v>0.95</v>
      </c>
      <c r="CC275" s="584">
        <v>0.6</v>
      </c>
      <c r="CD275" s="584">
        <v>0.6</v>
      </c>
      <c r="CE275" s="584">
        <v>445.08224999999999</v>
      </c>
      <c r="CF275" s="584">
        <v>104</v>
      </c>
      <c r="CG275" s="584">
        <v>759.14025000000004</v>
      </c>
      <c r="CH275" s="584">
        <v>218.4</v>
      </c>
      <c r="CI275" s="584">
        <v>1141.33925</v>
      </c>
      <c r="CJ275" s="584">
        <v>457.6</v>
      </c>
      <c r="CK275" s="584">
        <v>0</v>
      </c>
      <c r="CL275" s="584">
        <v>0</v>
      </c>
      <c r="CM275" s="584">
        <v>0</v>
      </c>
      <c r="CN275" s="584">
        <v>0</v>
      </c>
      <c r="CO275" s="584">
        <v>0</v>
      </c>
      <c r="CP275" s="584">
        <v>0</v>
      </c>
      <c r="CQ275" s="584">
        <v>0</v>
      </c>
      <c r="CR275" s="584">
        <v>0</v>
      </c>
      <c r="CS275" s="584">
        <v>0</v>
      </c>
      <c r="CT275" s="584">
        <v>0</v>
      </c>
      <c r="CU275" s="584">
        <v>0</v>
      </c>
      <c r="CV275" s="584">
        <v>0</v>
      </c>
      <c r="CW275" s="584">
        <v>0</v>
      </c>
      <c r="CX275" s="584">
        <v>0</v>
      </c>
      <c r="CY275" s="584">
        <v>0</v>
      </c>
      <c r="CZ275" s="584">
        <v>0</v>
      </c>
      <c r="DA275" s="584">
        <v>0</v>
      </c>
      <c r="DB275" s="584">
        <v>0</v>
      </c>
      <c r="DC275" s="584">
        <v>0</v>
      </c>
      <c r="DD275" s="584">
        <v>0</v>
      </c>
      <c r="DE275" s="584">
        <v>0</v>
      </c>
      <c r="DF275" s="584">
        <v>0.67500000000000004</v>
      </c>
      <c r="DG275" s="584">
        <v>0.25</v>
      </c>
      <c r="DH275" s="584">
        <v>517.28763040238402</v>
      </c>
      <c r="DI275" s="584">
        <v>25.159071535022399</v>
      </c>
      <c r="DJ275" s="584">
        <v>340</v>
      </c>
      <c r="DK275" s="584">
        <v>0</v>
      </c>
      <c r="DL275" s="584">
        <v>0</v>
      </c>
      <c r="DM275" s="584">
        <v>0</v>
      </c>
      <c r="DN275" s="584">
        <v>0</v>
      </c>
      <c r="DO275" s="584">
        <v>0</v>
      </c>
      <c r="DP275" s="584">
        <v>0</v>
      </c>
      <c r="DQ275" s="584">
        <v>0</v>
      </c>
      <c r="DR275" s="584">
        <v>0.67500000000000004</v>
      </c>
      <c r="DS275" s="584">
        <v>0</v>
      </c>
      <c r="DT275" s="584">
        <v>2.4</v>
      </c>
      <c r="DU275" s="584">
        <v>426.24374999999998</v>
      </c>
      <c r="DV275" s="584">
        <v>104</v>
      </c>
      <c r="DW275" s="584">
        <v>789.45725000000004</v>
      </c>
      <c r="DX275" s="584">
        <v>218.4</v>
      </c>
      <c r="DY275" s="584">
        <v>1308.7382500000001</v>
      </c>
      <c r="DZ275" s="584">
        <v>457.6</v>
      </c>
      <c r="EA275" s="1062">
        <v>1.2198</v>
      </c>
      <c r="EB275" s="1046">
        <v>0.45</v>
      </c>
      <c r="EC275" s="1093">
        <v>132.51783893985726</v>
      </c>
      <c r="ED275" s="1046">
        <v>0</v>
      </c>
      <c r="EE275" s="1046">
        <v>581.03975535168195</v>
      </c>
      <c r="EF275" s="1046">
        <v>42.488461538461543</v>
      </c>
      <c r="EG275" s="1046">
        <v>0</v>
      </c>
      <c r="EH275" s="1046">
        <v>0</v>
      </c>
      <c r="EI275" s="1046" t="s">
        <v>383</v>
      </c>
      <c r="EJ275" s="1046" t="s">
        <v>420</v>
      </c>
      <c r="EK275" s="1046">
        <v>0</v>
      </c>
      <c r="EL275" s="1046">
        <v>0</v>
      </c>
      <c r="EM275" s="1046">
        <v>0</v>
      </c>
      <c r="EN275" s="1046">
        <v>0</v>
      </c>
      <c r="EO275" s="1046">
        <v>0</v>
      </c>
      <c r="EP275" s="1094">
        <v>268.23710699999998</v>
      </c>
      <c r="EQ275" s="1094">
        <v>104</v>
      </c>
      <c r="ER275" s="1094">
        <v>536.47421399999996</v>
      </c>
      <c r="ES275" s="1095">
        <v>208</v>
      </c>
      <c r="ET275" s="1094">
        <v>1072.9484279999999</v>
      </c>
      <c r="EU275" s="1094">
        <v>416</v>
      </c>
      <c r="EV275" s="1096">
        <v>0.90400000000000003</v>
      </c>
      <c r="EW275" s="1097">
        <v>0.15</v>
      </c>
      <c r="EX275" s="1096">
        <v>289.50050968399592</v>
      </c>
      <c r="EY275" s="1096">
        <v>1.5443934760448521</v>
      </c>
      <c r="EZ275" s="1096">
        <v>0</v>
      </c>
      <c r="FA275" s="1096">
        <v>31.850000000000005</v>
      </c>
      <c r="FB275" s="1098">
        <v>0</v>
      </c>
      <c r="FC275" s="1098">
        <v>0</v>
      </c>
      <c r="FD275" s="1098" t="s">
        <v>387</v>
      </c>
      <c r="FE275" s="1098" t="s">
        <v>432</v>
      </c>
      <c r="FF275" s="1098">
        <v>2</v>
      </c>
      <c r="FG275" s="1098">
        <v>0</v>
      </c>
      <c r="FH275" s="1098">
        <v>0</v>
      </c>
      <c r="FI275" s="1098">
        <v>0</v>
      </c>
      <c r="FJ275" s="1098">
        <v>0</v>
      </c>
      <c r="FK275" s="1096">
        <v>160.61757400000002</v>
      </c>
      <c r="FL275" s="1096">
        <v>104</v>
      </c>
      <c r="FM275" s="1096">
        <v>321.23514800000004</v>
      </c>
      <c r="FN275" s="1096">
        <v>208</v>
      </c>
      <c r="FO275" s="1096">
        <v>642.47029600000008</v>
      </c>
      <c r="FP275" s="1099">
        <v>416</v>
      </c>
      <c r="FQ275" s="1064">
        <v>1.3188599999999999</v>
      </c>
      <c r="FR275" s="1065">
        <v>0.15</v>
      </c>
      <c r="FS275" s="1066">
        <v>289.50050968399586</v>
      </c>
      <c r="FT275" s="1066">
        <v>3.1935353236673123</v>
      </c>
      <c r="FU275" s="1065"/>
      <c r="FV275" s="1066">
        <v>73.614147259558536</v>
      </c>
      <c r="FW275" s="1065"/>
      <c r="FX275" s="1065"/>
      <c r="FY275" s="1065" t="s">
        <v>381</v>
      </c>
      <c r="FZ275" s="1065" t="s">
        <v>416</v>
      </c>
      <c r="GA275" s="1065">
        <v>3</v>
      </c>
      <c r="GB275" s="1065"/>
      <c r="GC275" s="1065"/>
      <c r="GD275" s="1065"/>
      <c r="GE275" s="1065"/>
      <c r="GF275" s="1066">
        <v>168.83056751967757</v>
      </c>
      <c r="GG275" s="1066">
        <v>104</v>
      </c>
      <c r="GH275" s="1066">
        <v>337.66113503935514</v>
      </c>
      <c r="GI275" s="1066">
        <v>208</v>
      </c>
      <c r="GJ275" s="1066">
        <v>675.32227007871029</v>
      </c>
      <c r="GK275" s="1066">
        <v>416</v>
      </c>
      <c r="GL275" s="584">
        <v>1.1003000000000001</v>
      </c>
      <c r="GM275" s="584">
        <v>0.13</v>
      </c>
      <c r="GN275" s="584"/>
      <c r="GO275" s="584"/>
      <c r="GP275" s="584"/>
      <c r="GQ275" s="584">
        <v>65.8</v>
      </c>
      <c r="GR275" s="584"/>
      <c r="GS275" s="584">
        <v>66.2589194699286</v>
      </c>
      <c r="GT275" s="584" t="s">
        <v>389</v>
      </c>
      <c r="GU275" s="584" t="s">
        <v>351</v>
      </c>
      <c r="GV275" s="584">
        <v>1</v>
      </c>
      <c r="GW275" s="584"/>
      <c r="GX275" s="584"/>
      <c r="GY275" s="584"/>
      <c r="GZ275" s="584"/>
      <c r="HA275" s="584">
        <v>109.082948</v>
      </c>
      <c r="HB275" s="584">
        <v>104</v>
      </c>
      <c r="HC275" s="584">
        <v>218.165896</v>
      </c>
      <c r="HD275" s="584">
        <v>208</v>
      </c>
      <c r="HE275" s="584">
        <v>436.33179200000001</v>
      </c>
      <c r="HF275" s="584">
        <v>416</v>
      </c>
      <c r="HG275" s="1100">
        <v>1.99</v>
      </c>
      <c r="HH275" s="1100">
        <v>0.11</v>
      </c>
      <c r="HI275" s="1101">
        <v>0</v>
      </c>
      <c r="HJ275" s="1101">
        <v>0</v>
      </c>
      <c r="HK275" s="1101">
        <v>0</v>
      </c>
      <c r="HL275" s="1101">
        <v>0</v>
      </c>
      <c r="HM275" s="1101">
        <v>97.823076923076911</v>
      </c>
      <c r="HN275" s="1101">
        <v>54.999999999999993</v>
      </c>
      <c r="HO275" s="1101">
        <v>0</v>
      </c>
      <c r="HP275" s="1101">
        <v>0</v>
      </c>
      <c r="HQ275" s="1101">
        <v>3</v>
      </c>
      <c r="HR275" s="1101">
        <v>1.88</v>
      </c>
      <c r="HS275" s="1101">
        <v>1.1599999999999999</v>
      </c>
      <c r="HT275" s="1101">
        <v>0.3</v>
      </c>
      <c r="HU275" s="1101">
        <v>0.3</v>
      </c>
      <c r="HV275" s="1101">
        <v>114.379054</v>
      </c>
      <c r="HW275" s="1101">
        <v>104</v>
      </c>
      <c r="HX275" s="1101">
        <v>228.75810799999999</v>
      </c>
      <c r="HY275" s="1101">
        <v>208</v>
      </c>
      <c r="HZ275" s="1101">
        <v>457.51621599999999</v>
      </c>
      <c r="IA275" s="1101">
        <v>416</v>
      </c>
      <c r="IB275" s="1062"/>
      <c r="ID275" s="1050"/>
      <c r="IE275" s="1050"/>
      <c r="IM275" s="1050"/>
      <c r="IN275" s="1050"/>
      <c r="IO275" s="1050"/>
      <c r="IP275" s="1050"/>
      <c r="JU275" s="1050"/>
      <c r="KC275" s="1050"/>
      <c r="KD275" s="1050"/>
      <c r="KE275" s="1050"/>
      <c r="KF275" s="1050"/>
      <c r="KN275" s="1103"/>
    </row>
    <row r="276" spans="2:300">
      <c r="B276" s="1048" t="str">
        <f t="shared" si="8"/>
        <v>H814</v>
      </c>
      <c r="C276" s="1046">
        <v>8</v>
      </c>
      <c r="D276" s="1092">
        <v>14</v>
      </c>
      <c r="E276" s="584">
        <v>0</v>
      </c>
      <c r="F276" s="584">
        <v>0</v>
      </c>
      <c r="G276" s="584">
        <v>0</v>
      </c>
      <c r="H276" s="584">
        <v>0</v>
      </c>
      <c r="I276" s="584">
        <v>0</v>
      </c>
      <c r="J276" s="584">
        <v>0</v>
      </c>
      <c r="K276" s="584">
        <v>0</v>
      </c>
      <c r="L276" s="584">
        <v>0</v>
      </c>
      <c r="M276" s="584">
        <v>0</v>
      </c>
      <c r="N276" s="584">
        <v>0</v>
      </c>
      <c r="O276" s="584">
        <v>0</v>
      </c>
      <c r="P276" s="584">
        <v>0</v>
      </c>
      <c r="Q276" s="584">
        <v>0</v>
      </c>
      <c r="R276" s="584">
        <v>0</v>
      </c>
      <c r="S276" s="584">
        <v>0</v>
      </c>
      <c r="T276" s="584">
        <v>0</v>
      </c>
      <c r="U276" s="584">
        <v>0</v>
      </c>
      <c r="V276" s="584">
        <v>0</v>
      </c>
      <c r="W276" s="584">
        <v>0</v>
      </c>
      <c r="X276" s="584">
        <v>0</v>
      </c>
      <c r="Y276" s="584">
        <v>0</v>
      </c>
      <c r="Z276" s="584">
        <v>0</v>
      </c>
      <c r="AA276" s="584">
        <v>0</v>
      </c>
      <c r="AB276" s="584">
        <v>0</v>
      </c>
      <c r="AC276" s="584">
        <v>0</v>
      </c>
      <c r="AD276" s="584">
        <v>0</v>
      </c>
      <c r="AE276" s="584">
        <v>0</v>
      </c>
      <c r="AF276" s="584">
        <v>0</v>
      </c>
      <c r="AG276" s="584">
        <v>0</v>
      </c>
      <c r="AH276" s="584">
        <v>0</v>
      </c>
      <c r="AI276" s="584">
        <v>0</v>
      </c>
      <c r="AJ276" s="584">
        <v>0</v>
      </c>
      <c r="AK276" s="584">
        <v>0</v>
      </c>
      <c r="AL276" s="584">
        <v>0</v>
      </c>
      <c r="AM276" s="584">
        <v>0</v>
      </c>
      <c r="AN276" s="584">
        <v>0</v>
      </c>
      <c r="AO276" s="584">
        <v>0</v>
      </c>
      <c r="AP276" s="584">
        <v>0</v>
      </c>
      <c r="AQ276" s="584">
        <v>0</v>
      </c>
      <c r="AR276" s="584">
        <v>0</v>
      </c>
      <c r="AS276" s="584">
        <v>0</v>
      </c>
      <c r="AT276" s="584">
        <v>0</v>
      </c>
      <c r="AU276" s="584">
        <v>0</v>
      </c>
      <c r="AV276" s="584">
        <v>0</v>
      </c>
      <c r="AW276" s="584">
        <v>0</v>
      </c>
      <c r="AX276" s="584">
        <v>0</v>
      </c>
      <c r="AY276" s="584">
        <v>0</v>
      </c>
      <c r="AZ276" s="584">
        <v>0</v>
      </c>
      <c r="BA276" s="584">
        <v>0</v>
      </c>
      <c r="BB276" s="584">
        <v>0</v>
      </c>
      <c r="BC276" s="584">
        <v>0</v>
      </c>
      <c r="BD276" s="584">
        <v>0</v>
      </c>
      <c r="BE276" s="584">
        <v>0</v>
      </c>
      <c r="BF276" s="584">
        <v>0</v>
      </c>
      <c r="BG276" s="584">
        <v>0</v>
      </c>
      <c r="BH276" s="584">
        <v>0</v>
      </c>
      <c r="BI276" s="584">
        <v>0</v>
      </c>
      <c r="BJ276" s="584">
        <v>0</v>
      </c>
      <c r="BK276" s="584">
        <v>0</v>
      </c>
      <c r="BL276" s="584">
        <v>0</v>
      </c>
      <c r="BM276" s="584">
        <v>0</v>
      </c>
      <c r="BN276" s="584">
        <v>0</v>
      </c>
      <c r="BO276" s="584">
        <v>0</v>
      </c>
      <c r="BP276" s="584">
        <v>0</v>
      </c>
      <c r="BQ276" s="584">
        <v>0</v>
      </c>
      <c r="BR276" s="584">
        <v>0</v>
      </c>
      <c r="BS276" s="584">
        <v>0</v>
      </c>
      <c r="BT276" s="584">
        <v>0</v>
      </c>
      <c r="BU276" s="584">
        <v>0</v>
      </c>
      <c r="BV276" s="584">
        <v>0</v>
      </c>
      <c r="BW276" s="584">
        <v>0</v>
      </c>
      <c r="BX276" s="584">
        <v>0</v>
      </c>
      <c r="BY276" s="584">
        <v>0</v>
      </c>
      <c r="BZ276" s="584">
        <v>0</v>
      </c>
      <c r="CA276" s="584">
        <v>0</v>
      </c>
      <c r="CB276" s="584">
        <v>0</v>
      </c>
      <c r="CC276" s="584">
        <v>0</v>
      </c>
      <c r="CD276" s="584">
        <v>0</v>
      </c>
      <c r="CE276" s="584">
        <v>0</v>
      </c>
      <c r="CF276" s="584">
        <v>0</v>
      </c>
      <c r="CG276" s="584">
        <v>0</v>
      </c>
      <c r="CH276" s="584">
        <v>0</v>
      </c>
      <c r="CI276" s="584">
        <v>0</v>
      </c>
      <c r="CJ276" s="584">
        <v>0</v>
      </c>
      <c r="CK276" s="584">
        <v>0</v>
      </c>
      <c r="CL276" s="584">
        <v>0</v>
      </c>
      <c r="CM276" s="584">
        <v>0</v>
      </c>
      <c r="CN276" s="584">
        <v>0</v>
      </c>
      <c r="CO276" s="584">
        <v>0</v>
      </c>
      <c r="CP276" s="584">
        <v>0</v>
      </c>
      <c r="CQ276" s="584">
        <v>0</v>
      </c>
      <c r="CR276" s="584">
        <v>0</v>
      </c>
      <c r="CS276" s="584">
        <v>0</v>
      </c>
      <c r="CT276" s="584">
        <v>0</v>
      </c>
      <c r="CU276" s="584">
        <v>0</v>
      </c>
      <c r="CV276" s="584">
        <v>0</v>
      </c>
      <c r="CW276" s="584">
        <v>0</v>
      </c>
      <c r="CX276" s="584">
        <v>0</v>
      </c>
      <c r="CY276" s="584">
        <v>0</v>
      </c>
      <c r="CZ276" s="584">
        <v>0</v>
      </c>
      <c r="DA276" s="584">
        <v>0</v>
      </c>
      <c r="DB276" s="584">
        <v>0</v>
      </c>
      <c r="DC276" s="584">
        <v>0</v>
      </c>
      <c r="DD276" s="584">
        <v>0</v>
      </c>
      <c r="DE276" s="584">
        <v>0</v>
      </c>
      <c r="DF276" s="584">
        <v>0</v>
      </c>
      <c r="DG276" s="584">
        <v>0</v>
      </c>
      <c r="DH276" s="584">
        <v>0</v>
      </c>
      <c r="DI276" s="584">
        <v>0</v>
      </c>
      <c r="DJ276" s="584">
        <v>0</v>
      </c>
      <c r="DK276" s="584">
        <v>0</v>
      </c>
      <c r="DL276" s="584">
        <v>0</v>
      </c>
      <c r="DM276" s="584">
        <v>0</v>
      </c>
      <c r="DN276" s="584">
        <v>0</v>
      </c>
      <c r="DO276" s="584">
        <v>0</v>
      </c>
      <c r="DP276" s="584">
        <v>0</v>
      </c>
      <c r="DQ276" s="584">
        <v>0</v>
      </c>
      <c r="DR276" s="584">
        <v>0</v>
      </c>
      <c r="DS276" s="584">
        <v>0</v>
      </c>
      <c r="DT276" s="584">
        <v>0</v>
      </c>
      <c r="DU276" s="584">
        <v>0</v>
      </c>
      <c r="DV276" s="584">
        <v>0</v>
      </c>
      <c r="DW276" s="584">
        <v>0</v>
      </c>
      <c r="DX276" s="584">
        <v>0</v>
      </c>
      <c r="DY276" s="584">
        <v>0</v>
      </c>
      <c r="DZ276" s="584">
        <v>0</v>
      </c>
      <c r="EA276" s="1062">
        <v>0</v>
      </c>
      <c r="EB276" s="1046">
        <v>0</v>
      </c>
      <c r="EC276" s="1093">
        <v>0</v>
      </c>
      <c r="ED276" s="1046">
        <v>0</v>
      </c>
      <c r="EE276" s="1046">
        <v>0</v>
      </c>
      <c r="EF276" s="1046">
        <v>0</v>
      </c>
      <c r="EG276" s="1046">
        <v>0</v>
      </c>
      <c r="EH276" s="1046">
        <v>0</v>
      </c>
      <c r="EI276" s="1046">
        <v>0</v>
      </c>
      <c r="EJ276" s="1046">
        <v>0</v>
      </c>
      <c r="EK276" s="1046">
        <v>0</v>
      </c>
      <c r="EL276" s="1046">
        <v>0</v>
      </c>
      <c r="EM276" s="1046">
        <v>0</v>
      </c>
      <c r="EN276" s="1046">
        <v>0</v>
      </c>
      <c r="EO276" s="1046">
        <v>0</v>
      </c>
      <c r="EP276" s="1094">
        <v>0</v>
      </c>
      <c r="EQ276" s="1094">
        <v>0</v>
      </c>
      <c r="ER276" s="1094">
        <v>0</v>
      </c>
      <c r="ES276" s="1095">
        <v>0</v>
      </c>
      <c r="ET276" s="1094">
        <v>0</v>
      </c>
      <c r="EU276" s="1094">
        <v>0</v>
      </c>
      <c r="EV276" s="1096">
        <v>0.90400000000000003</v>
      </c>
      <c r="EW276" s="1097">
        <v>0.15</v>
      </c>
      <c r="EX276" s="1096">
        <v>289.50050968399592</v>
      </c>
      <c r="EY276" s="1096">
        <v>1.5443934760448521</v>
      </c>
      <c r="EZ276" s="1096">
        <v>0</v>
      </c>
      <c r="FA276" s="1096">
        <v>35.792857142857144</v>
      </c>
      <c r="FB276" s="1098">
        <v>0</v>
      </c>
      <c r="FC276" s="1098">
        <v>0</v>
      </c>
      <c r="FD276" s="1098" t="s">
        <v>387</v>
      </c>
      <c r="FE276" s="1098" t="s">
        <v>410</v>
      </c>
      <c r="FF276" s="1098">
        <v>2</v>
      </c>
      <c r="FG276" s="1098">
        <v>0</v>
      </c>
      <c r="FH276" s="1098">
        <v>0</v>
      </c>
      <c r="FI276" s="1098">
        <v>0</v>
      </c>
      <c r="FJ276" s="1098">
        <v>0</v>
      </c>
      <c r="FK276" s="1096">
        <v>174.05579599999999</v>
      </c>
      <c r="FL276" s="1096">
        <v>112</v>
      </c>
      <c r="FM276" s="1096">
        <v>348.11159199999997</v>
      </c>
      <c r="FN276" s="1096">
        <v>224</v>
      </c>
      <c r="FO276" s="1096">
        <v>696.22318399999995</v>
      </c>
      <c r="FP276" s="1099">
        <v>448</v>
      </c>
      <c r="FQ276" s="1064">
        <v>1.32698</v>
      </c>
      <c r="FR276" s="1065">
        <v>0.15</v>
      </c>
      <c r="FS276" s="1066">
        <v>289.50050968399586</v>
      </c>
      <c r="FT276" s="1066">
        <v>3.1935353236673123</v>
      </c>
      <c r="FU276" s="1065"/>
      <c r="FV276" s="1066">
        <v>84.577991001076668</v>
      </c>
      <c r="FW276" s="1065"/>
      <c r="FX276" s="1065"/>
      <c r="FY276" s="1065" t="s">
        <v>379</v>
      </c>
      <c r="FZ276" s="1065" t="s">
        <v>410</v>
      </c>
      <c r="GA276" s="1065">
        <v>3</v>
      </c>
      <c r="GB276" s="1065"/>
      <c r="GC276" s="1065"/>
      <c r="GD276" s="1065"/>
      <c r="GE276" s="1065"/>
      <c r="GF276" s="1066">
        <v>184.82908285088067</v>
      </c>
      <c r="GG276" s="1066">
        <v>112</v>
      </c>
      <c r="GH276" s="1066">
        <v>369.65816570176133</v>
      </c>
      <c r="GI276" s="1066">
        <v>224</v>
      </c>
      <c r="GJ276" s="1066">
        <v>739.31633140352267</v>
      </c>
      <c r="GK276" s="1066">
        <v>448</v>
      </c>
      <c r="GL276" s="584">
        <v>1.1201000000000001</v>
      </c>
      <c r="GM276" s="584">
        <v>0.13</v>
      </c>
      <c r="GN276" s="584"/>
      <c r="GO276" s="584"/>
      <c r="GP276" s="584"/>
      <c r="GQ276" s="584">
        <v>77.639285714285705</v>
      </c>
      <c r="GR276" s="584"/>
      <c r="GS276" s="584">
        <v>66.2589194699286</v>
      </c>
      <c r="GT276" s="584" t="s">
        <v>389</v>
      </c>
      <c r="GU276" s="584" t="s">
        <v>347</v>
      </c>
      <c r="GV276" s="584">
        <v>1</v>
      </c>
      <c r="GW276" s="584"/>
      <c r="GX276" s="584"/>
      <c r="GY276" s="584"/>
      <c r="GZ276" s="584"/>
      <c r="HA276" s="584">
        <v>120.725959</v>
      </c>
      <c r="HB276" s="584">
        <v>112</v>
      </c>
      <c r="HC276" s="584">
        <v>241.45191800000001</v>
      </c>
      <c r="HD276" s="584">
        <v>224</v>
      </c>
      <c r="HE276" s="584">
        <v>482.90383600000001</v>
      </c>
      <c r="HF276" s="584">
        <v>448</v>
      </c>
      <c r="HG276" s="1100">
        <v>2.19</v>
      </c>
      <c r="HH276" s="1100">
        <v>0.11</v>
      </c>
      <c r="HI276" s="1101">
        <v>0</v>
      </c>
      <c r="HJ276" s="1101">
        <v>0</v>
      </c>
      <c r="HK276" s="1101">
        <v>0</v>
      </c>
      <c r="HL276" s="1101">
        <v>0</v>
      </c>
      <c r="HM276" s="1101">
        <v>106.45714285714286</v>
      </c>
      <c r="HN276" s="1101">
        <v>54.999999999999993</v>
      </c>
      <c r="HO276" s="1101">
        <v>0</v>
      </c>
      <c r="HP276" s="1101">
        <v>0</v>
      </c>
      <c r="HQ276" s="1101">
        <v>3</v>
      </c>
      <c r="HR276" s="1101">
        <v>2.08</v>
      </c>
      <c r="HS276" s="1101">
        <v>1.28</v>
      </c>
      <c r="HT276" s="1101">
        <v>0.3</v>
      </c>
      <c r="HU276" s="1101">
        <v>0.3</v>
      </c>
      <c r="HV276" s="1101">
        <v>125.549048</v>
      </c>
      <c r="HW276" s="1101">
        <v>112</v>
      </c>
      <c r="HX276" s="1101">
        <v>251.098096</v>
      </c>
      <c r="HY276" s="1101">
        <v>224</v>
      </c>
      <c r="HZ276" s="1101">
        <v>502.196192</v>
      </c>
      <c r="IA276" s="1101">
        <v>448</v>
      </c>
      <c r="IB276" s="1062"/>
      <c r="ID276" s="1050"/>
      <c r="IE276" s="1050"/>
      <c r="IM276" s="1050"/>
      <c r="IN276" s="1050"/>
      <c r="IO276" s="1050"/>
      <c r="IP276" s="1050"/>
      <c r="JU276" s="1050"/>
      <c r="KC276" s="1050"/>
      <c r="KD276" s="1050"/>
      <c r="KE276" s="1050"/>
      <c r="KF276" s="1050"/>
      <c r="KN276" s="1103"/>
    </row>
    <row r="277" spans="2:300">
      <c r="B277" s="1048" t="str">
        <f t="shared" si="8"/>
        <v>H815</v>
      </c>
      <c r="C277" s="1046">
        <v>8</v>
      </c>
      <c r="D277" s="1092">
        <v>15</v>
      </c>
      <c r="E277" s="584">
        <v>0</v>
      </c>
      <c r="F277" s="584">
        <v>0</v>
      </c>
      <c r="G277" s="584">
        <v>0</v>
      </c>
      <c r="H277" s="584">
        <v>0</v>
      </c>
      <c r="I277" s="584">
        <v>0</v>
      </c>
      <c r="J277" s="584">
        <v>0</v>
      </c>
      <c r="K277" s="584">
        <v>0</v>
      </c>
      <c r="L277" s="584">
        <v>0</v>
      </c>
      <c r="M277" s="584">
        <v>0</v>
      </c>
      <c r="N277" s="584">
        <v>0</v>
      </c>
      <c r="O277" s="584">
        <v>0</v>
      </c>
      <c r="P277" s="584">
        <v>0</v>
      </c>
      <c r="Q277" s="584">
        <v>0</v>
      </c>
      <c r="R277" s="584">
        <v>0</v>
      </c>
      <c r="S277" s="584">
        <v>0</v>
      </c>
      <c r="T277" s="584">
        <v>0</v>
      </c>
      <c r="U277" s="584">
        <v>0</v>
      </c>
      <c r="V277" s="584">
        <v>0</v>
      </c>
      <c r="W277" s="584">
        <v>0</v>
      </c>
      <c r="X277" s="584">
        <v>0</v>
      </c>
      <c r="Y277" s="584">
        <v>0</v>
      </c>
      <c r="Z277" s="584">
        <v>0</v>
      </c>
      <c r="AA277" s="584">
        <v>0</v>
      </c>
      <c r="AB277" s="584">
        <v>0</v>
      </c>
      <c r="AC277" s="584">
        <v>0</v>
      </c>
      <c r="AD277" s="584">
        <v>0</v>
      </c>
      <c r="AE277" s="584">
        <v>0</v>
      </c>
      <c r="AF277" s="584">
        <v>0</v>
      </c>
      <c r="AG277" s="584">
        <v>0</v>
      </c>
      <c r="AH277" s="584">
        <v>0</v>
      </c>
      <c r="AI277" s="584">
        <v>0</v>
      </c>
      <c r="AJ277" s="584">
        <v>0</v>
      </c>
      <c r="AK277" s="584">
        <v>0</v>
      </c>
      <c r="AL277" s="584">
        <v>0</v>
      </c>
      <c r="AM277" s="584">
        <v>0</v>
      </c>
      <c r="AN277" s="584">
        <v>0</v>
      </c>
      <c r="AO277" s="584">
        <v>0</v>
      </c>
      <c r="AP277" s="584">
        <v>0</v>
      </c>
      <c r="AQ277" s="584">
        <v>0</v>
      </c>
      <c r="AR277" s="584">
        <v>0</v>
      </c>
      <c r="AS277" s="584">
        <v>0</v>
      </c>
      <c r="AT277" s="584">
        <v>0</v>
      </c>
      <c r="AU277" s="584">
        <v>0</v>
      </c>
      <c r="AV277" s="584">
        <v>0</v>
      </c>
      <c r="AW277" s="584">
        <v>0</v>
      </c>
      <c r="AX277" s="584">
        <v>0</v>
      </c>
      <c r="AY277" s="584">
        <v>0</v>
      </c>
      <c r="AZ277" s="584">
        <v>0</v>
      </c>
      <c r="BA277" s="584">
        <v>0</v>
      </c>
      <c r="BB277" s="584">
        <v>0</v>
      </c>
      <c r="BC277" s="584">
        <v>0</v>
      </c>
      <c r="BD277" s="584">
        <v>0</v>
      </c>
      <c r="BE277" s="584">
        <v>0</v>
      </c>
      <c r="BF277" s="584">
        <v>0</v>
      </c>
      <c r="BG277" s="584">
        <v>0</v>
      </c>
      <c r="BH277" s="584">
        <v>0</v>
      </c>
      <c r="BI277" s="584">
        <v>0</v>
      </c>
      <c r="BJ277" s="584">
        <v>0</v>
      </c>
      <c r="BK277" s="584">
        <v>0</v>
      </c>
      <c r="BL277" s="584">
        <v>0</v>
      </c>
      <c r="BM277" s="584">
        <v>0</v>
      </c>
      <c r="BN277" s="584">
        <v>0</v>
      </c>
      <c r="BO277" s="584">
        <v>0</v>
      </c>
      <c r="BP277" s="584">
        <v>0</v>
      </c>
      <c r="BQ277" s="584">
        <v>0</v>
      </c>
      <c r="BR277" s="584">
        <v>0</v>
      </c>
      <c r="BS277" s="584">
        <v>0</v>
      </c>
      <c r="BT277" s="584">
        <v>0</v>
      </c>
      <c r="BU277" s="584">
        <v>0</v>
      </c>
      <c r="BV277" s="584">
        <v>0</v>
      </c>
      <c r="BW277" s="584">
        <v>0</v>
      </c>
      <c r="BX277" s="584">
        <v>0</v>
      </c>
      <c r="BY277" s="584">
        <v>0</v>
      </c>
      <c r="BZ277" s="584">
        <v>0</v>
      </c>
      <c r="CA277" s="584">
        <v>0</v>
      </c>
      <c r="CB277" s="584">
        <v>0</v>
      </c>
      <c r="CC277" s="584">
        <v>0</v>
      </c>
      <c r="CD277" s="584">
        <v>0</v>
      </c>
      <c r="CE277" s="584">
        <v>0</v>
      </c>
      <c r="CF277" s="584">
        <v>0</v>
      </c>
      <c r="CG277" s="584">
        <v>0</v>
      </c>
      <c r="CH277" s="584">
        <v>0</v>
      </c>
      <c r="CI277" s="584">
        <v>0</v>
      </c>
      <c r="CJ277" s="584">
        <v>0</v>
      </c>
      <c r="CK277" s="584">
        <v>0</v>
      </c>
      <c r="CL277" s="584">
        <v>0</v>
      </c>
      <c r="CM277" s="584">
        <v>0</v>
      </c>
      <c r="CN277" s="584">
        <v>0</v>
      </c>
      <c r="CO277" s="584">
        <v>0</v>
      </c>
      <c r="CP277" s="584">
        <v>0</v>
      </c>
      <c r="CQ277" s="584">
        <v>0</v>
      </c>
      <c r="CR277" s="584">
        <v>0</v>
      </c>
      <c r="CS277" s="584">
        <v>0</v>
      </c>
      <c r="CT277" s="584">
        <v>0</v>
      </c>
      <c r="CU277" s="584">
        <v>0</v>
      </c>
      <c r="CV277" s="584">
        <v>0</v>
      </c>
      <c r="CW277" s="584">
        <v>0</v>
      </c>
      <c r="CX277" s="584">
        <v>0</v>
      </c>
      <c r="CY277" s="584">
        <v>0</v>
      </c>
      <c r="CZ277" s="584">
        <v>0</v>
      </c>
      <c r="DA277" s="584">
        <v>0</v>
      </c>
      <c r="DB277" s="584">
        <v>0</v>
      </c>
      <c r="DC277" s="584">
        <v>0</v>
      </c>
      <c r="DD277" s="584">
        <v>0</v>
      </c>
      <c r="DE277" s="584">
        <v>0</v>
      </c>
      <c r="DF277" s="584">
        <v>0</v>
      </c>
      <c r="DG277" s="584">
        <v>0</v>
      </c>
      <c r="DH277" s="584">
        <v>0</v>
      </c>
      <c r="DI277" s="584">
        <v>0</v>
      </c>
      <c r="DJ277" s="584">
        <v>0</v>
      </c>
      <c r="DK277" s="584">
        <v>0</v>
      </c>
      <c r="DL277" s="584">
        <v>0</v>
      </c>
      <c r="DM277" s="584">
        <v>0</v>
      </c>
      <c r="DN277" s="584">
        <v>0</v>
      </c>
      <c r="DO277" s="584">
        <v>0</v>
      </c>
      <c r="DP277" s="584">
        <v>0</v>
      </c>
      <c r="DQ277" s="584">
        <v>0</v>
      </c>
      <c r="DR277" s="584">
        <v>0</v>
      </c>
      <c r="DS277" s="584">
        <v>0</v>
      </c>
      <c r="DT277" s="584">
        <v>0</v>
      </c>
      <c r="DU277" s="584">
        <v>0</v>
      </c>
      <c r="DV277" s="584">
        <v>0</v>
      </c>
      <c r="DW277" s="584">
        <v>0</v>
      </c>
      <c r="DX277" s="584">
        <v>0</v>
      </c>
      <c r="DY277" s="584">
        <v>0</v>
      </c>
      <c r="DZ277" s="584">
        <v>0</v>
      </c>
      <c r="EA277" s="1062">
        <v>0</v>
      </c>
      <c r="EB277" s="1046">
        <v>0</v>
      </c>
      <c r="EC277" s="1093">
        <v>0</v>
      </c>
      <c r="ED277" s="1046">
        <v>0</v>
      </c>
      <c r="EE277" s="1046">
        <v>0</v>
      </c>
      <c r="EF277" s="1046">
        <v>0</v>
      </c>
      <c r="EG277" s="1046">
        <v>0</v>
      </c>
      <c r="EH277" s="1046">
        <v>0</v>
      </c>
      <c r="EI277" s="1046">
        <v>0</v>
      </c>
      <c r="EJ277" s="1046">
        <v>0</v>
      </c>
      <c r="EK277" s="1046">
        <v>0</v>
      </c>
      <c r="EL277" s="1046">
        <v>0</v>
      </c>
      <c r="EM277" s="1046">
        <v>0</v>
      </c>
      <c r="EN277" s="1046">
        <v>0</v>
      </c>
      <c r="EO277" s="1046">
        <v>0</v>
      </c>
      <c r="EP277" s="1094">
        <v>0</v>
      </c>
      <c r="EQ277" s="1094">
        <v>0</v>
      </c>
      <c r="ER277" s="1094">
        <v>0</v>
      </c>
      <c r="ES277" s="1095">
        <v>0</v>
      </c>
      <c r="ET277" s="1094">
        <v>0</v>
      </c>
      <c r="EU277" s="1094">
        <v>0</v>
      </c>
      <c r="EV277" s="1096">
        <v>0.91220000000000001</v>
      </c>
      <c r="EW277" s="1097">
        <v>0.15</v>
      </c>
      <c r="EX277" s="1096">
        <v>289.50050968399592</v>
      </c>
      <c r="EY277" s="1096">
        <v>1.5443934760448521</v>
      </c>
      <c r="EZ277" s="1096">
        <v>0</v>
      </c>
      <c r="FA277" s="1096">
        <v>36.833333333333336</v>
      </c>
      <c r="FB277" s="1098">
        <v>0</v>
      </c>
      <c r="FC277" s="1098">
        <v>0</v>
      </c>
      <c r="FD277" s="1098" t="s">
        <v>385</v>
      </c>
      <c r="FE277" s="1098" t="s">
        <v>410</v>
      </c>
      <c r="FF277" s="1098">
        <v>2</v>
      </c>
      <c r="FG277" s="1098">
        <v>0</v>
      </c>
      <c r="FH277" s="1098">
        <v>0</v>
      </c>
      <c r="FI277" s="1098">
        <v>0</v>
      </c>
      <c r="FJ277" s="1098">
        <v>0</v>
      </c>
      <c r="FK277" s="1096">
        <v>186.79456500000001</v>
      </c>
      <c r="FL277" s="1096">
        <v>120</v>
      </c>
      <c r="FM277" s="1096">
        <v>373.58913000000001</v>
      </c>
      <c r="FN277" s="1096">
        <v>240</v>
      </c>
      <c r="FO277" s="1096">
        <v>747.17826000000002</v>
      </c>
      <c r="FP277" s="1099">
        <v>480</v>
      </c>
      <c r="FQ277" s="1064">
        <v>1.4141999999999999</v>
      </c>
      <c r="FR277" s="1065">
        <v>0.15</v>
      </c>
      <c r="FS277" s="1066">
        <v>289.50050968399586</v>
      </c>
      <c r="FT277" s="1066">
        <v>3.1935353236673123</v>
      </c>
      <c r="FU277" s="1065"/>
      <c r="FV277" s="1066">
        <v>98.619684446759678</v>
      </c>
      <c r="FW277" s="1065"/>
      <c r="FX277" s="1065"/>
      <c r="FY277" s="1065" t="s">
        <v>375</v>
      </c>
      <c r="FZ277" s="1065" t="s">
        <v>396</v>
      </c>
      <c r="GA277" s="1065">
        <v>3</v>
      </c>
      <c r="GB277" s="1065"/>
      <c r="GC277" s="1065"/>
      <c r="GD277" s="1065"/>
      <c r="GE277" s="1065"/>
      <c r="GF277" s="1066">
        <v>202.16363057843665</v>
      </c>
      <c r="GG277" s="1066">
        <v>120</v>
      </c>
      <c r="GH277" s="1066">
        <v>404.32726115687331</v>
      </c>
      <c r="GI277" s="1066">
        <v>240</v>
      </c>
      <c r="GJ277" s="1066">
        <v>808.65452231374661</v>
      </c>
      <c r="GK277" s="1066">
        <v>480</v>
      </c>
      <c r="GL277" s="584">
        <v>1.1458999999999999</v>
      </c>
      <c r="GM277" s="584">
        <v>0.13</v>
      </c>
      <c r="GN277" s="584"/>
      <c r="GO277" s="584"/>
      <c r="GP277" s="584"/>
      <c r="GQ277" s="584">
        <v>107.96833333333301</v>
      </c>
      <c r="GR277" s="584"/>
      <c r="GS277" s="584">
        <v>66.2589194699286</v>
      </c>
      <c r="GT277" s="584" t="s">
        <v>387</v>
      </c>
      <c r="GU277" s="584" t="s">
        <v>341</v>
      </c>
      <c r="GV277" s="584">
        <v>1</v>
      </c>
      <c r="GW277" s="584"/>
      <c r="GX277" s="584"/>
      <c r="GY277" s="584"/>
      <c r="GZ277" s="584"/>
      <c r="HA277" s="584">
        <v>138.2750805</v>
      </c>
      <c r="HB277" s="584">
        <v>120</v>
      </c>
      <c r="HC277" s="584">
        <v>276.550161</v>
      </c>
      <c r="HD277" s="584">
        <v>240</v>
      </c>
      <c r="HE277" s="584">
        <v>553.10032200000001</v>
      </c>
      <c r="HF277" s="584">
        <v>480</v>
      </c>
      <c r="HG277" s="1100">
        <v>2.35</v>
      </c>
      <c r="HH277" s="1100">
        <v>0.11</v>
      </c>
      <c r="HI277" s="1101">
        <v>0</v>
      </c>
      <c r="HJ277" s="1101">
        <v>0</v>
      </c>
      <c r="HK277" s="1101">
        <v>0</v>
      </c>
      <c r="HL277" s="1101">
        <v>0</v>
      </c>
      <c r="HM277" s="1101">
        <v>114.66</v>
      </c>
      <c r="HN277" s="1101">
        <v>54.999999999999993</v>
      </c>
      <c r="HO277" s="1101">
        <v>0</v>
      </c>
      <c r="HP277" s="1101">
        <v>0</v>
      </c>
      <c r="HQ277" s="1101">
        <v>3</v>
      </c>
      <c r="HR277" s="1101">
        <v>2.2400000000000002</v>
      </c>
      <c r="HS277" s="1101">
        <v>1.4</v>
      </c>
      <c r="HT277" s="1101">
        <v>0.3</v>
      </c>
      <c r="HU277" s="1101">
        <v>0.3</v>
      </c>
      <c r="HV277" s="1101">
        <v>136.93093799999997</v>
      </c>
      <c r="HW277" s="1101">
        <v>120</v>
      </c>
      <c r="HX277" s="1101">
        <v>273.86187599999994</v>
      </c>
      <c r="HY277" s="1101">
        <v>240</v>
      </c>
      <c r="HZ277" s="1101">
        <v>547.72375199999988</v>
      </c>
      <c r="IA277" s="1101">
        <v>480</v>
      </c>
      <c r="IB277" s="1062"/>
      <c r="ID277" s="1050"/>
      <c r="IE277" s="1050"/>
      <c r="IM277" s="1050"/>
      <c r="IN277" s="1050"/>
      <c r="IO277" s="1050"/>
      <c r="IP277" s="1050"/>
      <c r="JU277" s="1050"/>
      <c r="KC277" s="1050"/>
      <c r="KD277" s="1050"/>
      <c r="KE277" s="1050"/>
      <c r="KF277" s="1050"/>
      <c r="KN277" s="1103"/>
    </row>
    <row r="278" spans="2:300">
      <c r="B278" s="1048" t="str">
        <f t="shared" si="8"/>
        <v>H816</v>
      </c>
      <c r="C278" s="1046">
        <v>8</v>
      </c>
      <c r="D278" s="1092">
        <v>16</v>
      </c>
      <c r="E278" s="584">
        <v>0</v>
      </c>
      <c r="F278" s="584">
        <v>0</v>
      </c>
      <c r="G278" s="584">
        <v>0</v>
      </c>
      <c r="H278" s="584">
        <v>0</v>
      </c>
      <c r="I278" s="584">
        <v>0</v>
      </c>
      <c r="J278" s="584">
        <v>0</v>
      </c>
      <c r="K278" s="584">
        <v>0</v>
      </c>
      <c r="L278" s="584">
        <v>0</v>
      </c>
      <c r="M278" s="584">
        <v>0</v>
      </c>
      <c r="N278" s="584">
        <v>0</v>
      </c>
      <c r="O278" s="584">
        <v>0</v>
      </c>
      <c r="P278" s="584">
        <v>0</v>
      </c>
      <c r="Q278" s="584">
        <v>0</v>
      </c>
      <c r="R278" s="584">
        <v>0</v>
      </c>
      <c r="S278" s="584">
        <v>0</v>
      </c>
      <c r="T278" s="584">
        <v>0</v>
      </c>
      <c r="U278" s="584">
        <v>0</v>
      </c>
      <c r="V278" s="584">
        <v>0</v>
      </c>
      <c r="W278" s="584">
        <v>0</v>
      </c>
      <c r="X278" s="584">
        <v>0</v>
      </c>
      <c r="Y278" s="584">
        <v>0</v>
      </c>
      <c r="Z278" s="584">
        <v>0</v>
      </c>
      <c r="AA278" s="584">
        <v>0</v>
      </c>
      <c r="AB278" s="584">
        <v>0</v>
      </c>
      <c r="AC278" s="584">
        <v>0</v>
      </c>
      <c r="AD278" s="584">
        <v>0</v>
      </c>
      <c r="AE278" s="584">
        <v>0</v>
      </c>
      <c r="AF278" s="584">
        <v>0</v>
      </c>
      <c r="AG278" s="584">
        <v>0</v>
      </c>
      <c r="AH278" s="584">
        <v>0</v>
      </c>
      <c r="AI278" s="584">
        <v>0</v>
      </c>
      <c r="AJ278" s="584">
        <v>0</v>
      </c>
      <c r="AK278" s="584">
        <v>0</v>
      </c>
      <c r="AL278" s="584">
        <v>0</v>
      </c>
      <c r="AM278" s="584">
        <v>0</v>
      </c>
      <c r="AN278" s="584">
        <v>0</v>
      </c>
      <c r="AO278" s="584">
        <v>0</v>
      </c>
      <c r="AP278" s="584">
        <v>0</v>
      </c>
      <c r="AQ278" s="584">
        <v>0</v>
      </c>
      <c r="AR278" s="584">
        <v>0</v>
      </c>
      <c r="AS278" s="584">
        <v>0</v>
      </c>
      <c r="AT278" s="584">
        <v>0</v>
      </c>
      <c r="AU278" s="584">
        <v>0</v>
      </c>
      <c r="AV278" s="584">
        <v>0</v>
      </c>
      <c r="AW278" s="584">
        <v>0</v>
      </c>
      <c r="AX278" s="584">
        <v>0</v>
      </c>
      <c r="AY278" s="584">
        <v>0</v>
      </c>
      <c r="AZ278" s="584">
        <v>0</v>
      </c>
      <c r="BA278" s="584">
        <v>0</v>
      </c>
      <c r="BB278" s="584">
        <v>0</v>
      </c>
      <c r="BC278" s="584">
        <v>0</v>
      </c>
      <c r="BD278" s="584">
        <v>0</v>
      </c>
      <c r="BE278" s="584">
        <v>0</v>
      </c>
      <c r="BF278" s="584">
        <v>0</v>
      </c>
      <c r="BG278" s="584">
        <v>0</v>
      </c>
      <c r="BH278" s="584">
        <v>0</v>
      </c>
      <c r="BI278" s="584">
        <v>0</v>
      </c>
      <c r="BJ278" s="584">
        <v>0</v>
      </c>
      <c r="BK278" s="584">
        <v>0</v>
      </c>
      <c r="BL278" s="584">
        <v>0</v>
      </c>
      <c r="BM278" s="584">
        <v>0</v>
      </c>
      <c r="BN278" s="584">
        <v>0</v>
      </c>
      <c r="BO278" s="584">
        <v>0</v>
      </c>
      <c r="BP278" s="584">
        <v>0</v>
      </c>
      <c r="BQ278" s="584">
        <v>0</v>
      </c>
      <c r="BR278" s="584">
        <v>0</v>
      </c>
      <c r="BS278" s="584">
        <v>0</v>
      </c>
      <c r="BT278" s="584">
        <v>0</v>
      </c>
      <c r="BU278" s="584">
        <v>0</v>
      </c>
      <c r="BV278" s="584">
        <v>0</v>
      </c>
      <c r="BW278" s="584">
        <v>0</v>
      </c>
      <c r="BX278" s="584">
        <v>0</v>
      </c>
      <c r="BY278" s="584">
        <v>0</v>
      </c>
      <c r="BZ278" s="584">
        <v>0</v>
      </c>
      <c r="CA278" s="584">
        <v>0</v>
      </c>
      <c r="CB278" s="584">
        <v>0</v>
      </c>
      <c r="CC278" s="584">
        <v>0</v>
      </c>
      <c r="CD278" s="584">
        <v>0</v>
      </c>
      <c r="CE278" s="584">
        <v>0</v>
      </c>
      <c r="CF278" s="584">
        <v>0</v>
      </c>
      <c r="CG278" s="584">
        <v>0</v>
      </c>
      <c r="CH278" s="584">
        <v>0</v>
      </c>
      <c r="CI278" s="584">
        <v>0</v>
      </c>
      <c r="CJ278" s="584">
        <v>0</v>
      </c>
      <c r="CK278" s="584">
        <v>0</v>
      </c>
      <c r="CL278" s="584">
        <v>0</v>
      </c>
      <c r="CM278" s="584">
        <v>0</v>
      </c>
      <c r="CN278" s="584">
        <v>0</v>
      </c>
      <c r="CO278" s="584">
        <v>0</v>
      </c>
      <c r="CP278" s="584">
        <v>0</v>
      </c>
      <c r="CQ278" s="584">
        <v>0</v>
      </c>
      <c r="CR278" s="584">
        <v>0</v>
      </c>
      <c r="CS278" s="584">
        <v>0</v>
      </c>
      <c r="CT278" s="584">
        <v>0</v>
      </c>
      <c r="CU278" s="584">
        <v>0</v>
      </c>
      <c r="CV278" s="584">
        <v>0</v>
      </c>
      <c r="CW278" s="584">
        <v>0</v>
      </c>
      <c r="CX278" s="584">
        <v>0</v>
      </c>
      <c r="CY278" s="584">
        <v>0</v>
      </c>
      <c r="CZ278" s="584">
        <v>0</v>
      </c>
      <c r="DA278" s="584">
        <v>0</v>
      </c>
      <c r="DB278" s="584">
        <v>0</v>
      </c>
      <c r="DC278" s="584">
        <v>0</v>
      </c>
      <c r="DD278" s="584">
        <v>0</v>
      </c>
      <c r="DE278" s="584">
        <v>0</v>
      </c>
      <c r="DF278" s="584">
        <v>0</v>
      </c>
      <c r="DG278" s="584">
        <v>0</v>
      </c>
      <c r="DH278" s="584">
        <v>0</v>
      </c>
      <c r="DI278" s="584">
        <v>0</v>
      </c>
      <c r="DJ278" s="584">
        <v>0</v>
      </c>
      <c r="DK278" s="584">
        <v>0</v>
      </c>
      <c r="DL278" s="584">
        <v>0</v>
      </c>
      <c r="DM278" s="584">
        <v>0</v>
      </c>
      <c r="DN278" s="584">
        <v>0</v>
      </c>
      <c r="DO278" s="584">
        <v>0</v>
      </c>
      <c r="DP278" s="584">
        <v>0</v>
      </c>
      <c r="DQ278" s="584">
        <v>0</v>
      </c>
      <c r="DR278" s="584">
        <v>0</v>
      </c>
      <c r="DS278" s="584">
        <v>0</v>
      </c>
      <c r="DT278" s="584">
        <v>0</v>
      </c>
      <c r="DU278" s="584">
        <v>0</v>
      </c>
      <c r="DV278" s="584">
        <v>0</v>
      </c>
      <c r="DW278" s="584">
        <v>0</v>
      </c>
      <c r="DX278" s="584">
        <v>0</v>
      </c>
      <c r="DY278" s="584">
        <v>0</v>
      </c>
      <c r="DZ278" s="584">
        <v>0</v>
      </c>
      <c r="EA278" s="1062">
        <v>0</v>
      </c>
      <c r="EB278" s="1046">
        <v>0</v>
      </c>
      <c r="EC278" s="1093">
        <v>0</v>
      </c>
      <c r="ED278" s="1046">
        <v>0</v>
      </c>
      <c r="EE278" s="1046">
        <v>0</v>
      </c>
      <c r="EF278" s="1046">
        <v>0</v>
      </c>
      <c r="EG278" s="1046">
        <v>0</v>
      </c>
      <c r="EH278" s="1046">
        <v>0</v>
      </c>
      <c r="EI278" s="1046">
        <v>0</v>
      </c>
      <c r="EJ278" s="1046">
        <v>0</v>
      </c>
      <c r="EK278" s="1046">
        <v>0</v>
      </c>
      <c r="EL278" s="1046">
        <v>0</v>
      </c>
      <c r="EM278" s="1046">
        <v>0</v>
      </c>
      <c r="EN278" s="1046">
        <v>0</v>
      </c>
      <c r="EO278" s="1046">
        <v>0</v>
      </c>
      <c r="EP278" s="1094">
        <v>0</v>
      </c>
      <c r="EQ278" s="1094">
        <v>0</v>
      </c>
      <c r="ER278" s="1094">
        <v>0</v>
      </c>
      <c r="ES278" s="1095">
        <v>0</v>
      </c>
      <c r="ET278" s="1094">
        <v>0</v>
      </c>
      <c r="EU278" s="1094">
        <v>0</v>
      </c>
      <c r="EV278" s="1096">
        <v>0.91220000000000001</v>
      </c>
      <c r="EW278" s="1097">
        <v>0.15</v>
      </c>
      <c r="EX278" s="1096">
        <v>289.50050968399592</v>
      </c>
      <c r="EY278" s="1096">
        <v>1.5443934760448521</v>
      </c>
      <c r="EZ278" s="1096">
        <v>0</v>
      </c>
      <c r="FA278" s="1096">
        <v>42.112499999999997</v>
      </c>
      <c r="FB278" s="1098">
        <v>0</v>
      </c>
      <c r="FC278" s="1098">
        <v>0</v>
      </c>
      <c r="FD278" s="1098" t="s">
        <v>385</v>
      </c>
      <c r="FE278" s="1098" t="s">
        <v>396</v>
      </c>
      <c r="FF278" s="1098">
        <v>2</v>
      </c>
      <c r="FG278" s="1098">
        <v>0</v>
      </c>
      <c r="FH278" s="1098">
        <v>0</v>
      </c>
      <c r="FI278" s="1098">
        <v>0</v>
      </c>
      <c r="FJ278" s="1098">
        <v>0</v>
      </c>
      <c r="FK278" s="1096">
        <v>200.90477200000001</v>
      </c>
      <c r="FL278" s="1096">
        <v>128</v>
      </c>
      <c r="FM278" s="1096">
        <v>401.80954400000002</v>
      </c>
      <c r="FN278" s="1096">
        <v>256</v>
      </c>
      <c r="FO278" s="1096">
        <v>803.61908800000003</v>
      </c>
      <c r="FP278" s="1099">
        <v>512</v>
      </c>
      <c r="FQ278" s="1064">
        <v>1.5084199999999999</v>
      </c>
      <c r="FR278" s="1065">
        <v>0.15</v>
      </c>
      <c r="FS278" s="1066">
        <v>289.50050968399586</v>
      </c>
      <c r="FT278" s="1066">
        <v>3.1935353236673123</v>
      </c>
      <c r="FU278" s="1065"/>
      <c r="FV278" s="1066">
        <v>104.63192014599602</v>
      </c>
      <c r="FW278" s="1065"/>
      <c r="FX278" s="1065"/>
      <c r="FY278" s="1065" t="s">
        <v>1103</v>
      </c>
      <c r="FZ278" s="1065" t="s">
        <v>389</v>
      </c>
      <c r="GA278" s="1065">
        <v>3</v>
      </c>
      <c r="GB278" s="1065"/>
      <c r="GC278" s="1065"/>
      <c r="GD278" s="1065"/>
      <c r="GE278" s="1065"/>
      <c r="GF278" s="1066">
        <v>217.5285669810367</v>
      </c>
      <c r="GG278" s="1066">
        <v>128</v>
      </c>
      <c r="GH278" s="1066">
        <v>435.05713396207341</v>
      </c>
      <c r="GI278" s="1066">
        <v>256</v>
      </c>
      <c r="GJ278" s="1066">
        <v>870.11426792414682</v>
      </c>
      <c r="GK278" s="1066">
        <v>512</v>
      </c>
      <c r="GL278" s="584">
        <v>1.1659999999999999</v>
      </c>
      <c r="GM278" s="584">
        <v>0.13</v>
      </c>
      <c r="GN278" s="584"/>
      <c r="GO278" s="584"/>
      <c r="GP278" s="584"/>
      <c r="GQ278" s="584">
        <v>132.68125000000001</v>
      </c>
      <c r="GR278" s="584"/>
      <c r="GS278" s="584">
        <v>66.2589194699286</v>
      </c>
      <c r="GT278" s="584" t="s">
        <v>387</v>
      </c>
      <c r="GU278" s="584" t="s">
        <v>336</v>
      </c>
      <c r="GV278" s="584">
        <v>1</v>
      </c>
      <c r="GW278" s="584"/>
      <c r="GX278" s="584"/>
      <c r="GY278" s="584"/>
      <c r="GZ278" s="584"/>
      <c r="HA278" s="584">
        <v>155.25129799999999</v>
      </c>
      <c r="HB278" s="584">
        <v>128</v>
      </c>
      <c r="HC278" s="584">
        <v>310.50259599999998</v>
      </c>
      <c r="HD278" s="584">
        <v>256</v>
      </c>
      <c r="HE278" s="584">
        <v>621.00519199999997</v>
      </c>
      <c r="HF278" s="584">
        <v>512</v>
      </c>
      <c r="HG278" s="1100">
        <v>2.5099999999999998</v>
      </c>
      <c r="HH278" s="1100">
        <v>0.11</v>
      </c>
      <c r="HI278" s="1101">
        <v>0</v>
      </c>
      <c r="HJ278" s="1101">
        <v>0</v>
      </c>
      <c r="HK278" s="1101">
        <v>0</v>
      </c>
      <c r="HL278" s="1101">
        <v>0</v>
      </c>
      <c r="HM278" s="1101">
        <v>118.53</v>
      </c>
      <c r="HN278" s="1101">
        <v>54.999999999999993</v>
      </c>
      <c r="HO278" s="1101">
        <v>0</v>
      </c>
      <c r="HP278" s="1101">
        <v>0</v>
      </c>
      <c r="HQ278" s="1101">
        <v>3</v>
      </c>
      <c r="HR278" s="1101">
        <v>2.4</v>
      </c>
      <c r="HS278" s="1101">
        <v>1.56</v>
      </c>
      <c r="HT278" s="1101">
        <v>0.3</v>
      </c>
      <c r="HU278" s="1101">
        <v>0.28000000000000003</v>
      </c>
      <c r="HV278" s="1101">
        <v>147.27453759999997</v>
      </c>
      <c r="HW278" s="1101">
        <v>128</v>
      </c>
      <c r="HX278" s="1101">
        <v>294.54907519999995</v>
      </c>
      <c r="HY278" s="1101">
        <v>256</v>
      </c>
      <c r="HZ278" s="1101">
        <v>589.09815039999989</v>
      </c>
      <c r="IA278" s="1101">
        <v>512</v>
      </c>
      <c r="IB278" s="1062"/>
      <c r="ID278" s="1050"/>
      <c r="IE278" s="1050"/>
      <c r="IM278" s="1050"/>
      <c r="IN278" s="1050"/>
      <c r="IO278" s="1050"/>
      <c r="IP278" s="1050"/>
      <c r="JU278" s="1050"/>
      <c r="KC278" s="1050"/>
      <c r="KD278" s="1050"/>
      <c r="KE278" s="1050"/>
      <c r="KF278" s="1050"/>
      <c r="KN278" s="1103"/>
    </row>
    <row r="279" spans="2:300">
      <c r="B279" s="1048" t="str">
        <f t="shared" si="8"/>
        <v>H99</v>
      </c>
      <c r="C279" s="1046">
        <v>9</v>
      </c>
      <c r="D279" s="1046">
        <v>9</v>
      </c>
      <c r="E279" s="584">
        <v>0.35499999999999998</v>
      </c>
      <c r="F279" s="584">
        <v>0.35499999999999998</v>
      </c>
      <c r="G279" s="584">
        <v>852</v>
      </c>
      <c r="H279" s="584">
        <v>29.465</v>
      </c>
      <c r="I279" s="584">
        <v>0</v>
      </c>
      <c r="J279" s="584">
        <v>0</v>
      </c>
      <c r="K279" s="584">
        <v>0</v>
      </c>
      <c r="L279" s="584">
        <v>0</v>
      </c>
      <c r="M279" s="584">
        <v>0</v>
      </c>
      <c r="N279" s="584">
        <v>0</v>
      </c>
      <c r="O279" s="584">
        <v>0</v>
      </c>
      <c r="P279" s="584">
        <v>0</v>
      </c>
      <c r="Q279" s="584">
        <v>0</v>
      </c>
      <c r="R279" s="584">
        <v>0</v>
      </c>
      <c r="S279" s="584">
        <v>0</v>
      </c>
      <c r="T279" s="584">
        <v>363.99918750000001</v>
      </c>
      <c r="U279" s="584">
        <v>81</v>
      </c>
      <c r="V279" s="584">
        <v>631.6160625</v>
      </c>
      <c r="W279" s="584">
        <v>170.1</v>
      </c>
      <c r="X279" s="584">
        <v>1058.1434999999999</v>
      </c>
      <c r="Y279" s="584">
        <v>356.4</v>
      </c>
      <c r="Z279" s="584">
        <v>0.27500000000000002</v>
      </c>
      <c r="AA279" s="584">
        <v>0.27500000000000002</v>
      </c>
      <c r="AB279" s="584">
        <v>660</v>
      </c>
      <c r="AC279" s="584">
        <v>24</v>
      </c>
      <c r="AD279" s="584">
        <v>0</v>
      </c>
      <c r="AE279" s="584">
        <v>0</v>
      </c>
      <c r="AF279" s="584">
        <v>0</v>
      </c>
      <c r="AG279" s="584">
        <v>0</v>
      </c>
      <c r="AH279" s="584">
        <v>0</v>
      </c>
      <c r="AI279" s="584">
        <v>0</v>
      </c>
      <c r="AJ279" s="584">
        <v>0</v>
      </c>
      <c r="AK279" s="584">
        <v>0</v>
      </c>
      <c r="AL279" s="584">
        <v>0</v>
      </c>
      <c r="AM279" s="584">
        <v>0</v>
      </c>
      <c r="AN279" s="584">
        <v>0</v>
      </c>
      <c r="AO279" s="584">
        <v>319.8191875</v>
      </c>
      <c r="AP279" s="584">
        <v>81</v>
      </c>
      <c r="AQ279" s="584">
        <v>542.78606249999996</v>
      </c>
      <c r="AR279" s="584">
        <v>170.1</v>
      </c>
      <c r="AS279" s="584">
        <v>879.94349999999997</v>
      </c>
      <c r="AT279" s="584">
        <v>356.4</v>
      </c>
      <c r="AU279" s="584">
        <v>0.6</v>
      </c>
      <c r="AV279" s="584">
        <v>0.41499999999999998</v>
      </c>
      <c r="AW279" s="584">
        <v>630.21838543319598</v>
      </c>
      <c r="AX279" s="584">
        <v>39.820116431291602</v>
      </c>
      <c r="AY279" s="584">
        <v>0</v>
      </c>
      <c r="AZ279" s="584">
        <v>0</v>
      </c>
      <c r="BA279" s="584">
        <v>0</v>
      </c>
      <c r="BB279" s="584">
        <v>0</v>
      </c>
      <c r="BC279" s="584">
        <v>0</v>
      </c>
      <c r="BD279" s="584">
        <v>0</v>
      </c>
      <c r="BE279" s="584">
        <v>0</v>
      </c>
      <c r="BF279" s="584">
        <v>0</v>
      </c>
      <c r="BG279" s="584">
        <v>0.6</v>
      </c>
      <c r="BH279" s="584">
        <v>0</v>
      </c>
      <c r="BI279" s="584">
        <v>0.6</v>
      </c>
      <c r="BJ279" s="584">
        <v>318.42322143639899</v>
      </c>
      <c r="BK279" s="584">
        <v>81</v>
      </c>
      <c r="BL279" s="584">
        <v>525.20221916467494</v>
      </c>
      <c r="BM279" s="584">
        <v>170.1</v>
      </c>
      <c r="BN279" s="584">
        <v>839.86246109022898</v>
      </c>
      <c r="BO279" s="584">
        <v>356.4</v>
      </c>
      <c r="BP279" s="584">
        <v>0.55000000000000004</v>
      </c>
      <c r="BQ279" s="584">
        <v>0.215</v>
      </c>
      <c r="BR279" s="584">
        <v>603.19196286892998</v>
      </c>
      <c r="BS279" s="584">
        <v>28.962954419231998</v>
      </c>
      <c r="BT279" s="584">
        <v>0</v>
      </c>
      <c r="BU279" s="584">
        <v>0</v>
      </c>
      <c r="BV279" s="584">
        <v>0</v>
      </c>
      <c r="BW279" s="584">
        <v>0</v>
      </c>
      <c r="BX279" s="584">
        <v>0</v>
      </c>
      <c r="BY279" s="584">
        <v>0</v>
      </c>
      <c r="BZ279" s="584">
        <v>0</v>
      </c>
      <c r="CA279" s="584">
        <v>0.55000000000000004</v>
      </c>
      <c r="CB279" s="584">
        <v>0.55000000000000004</v>
      </c>
      <c r="CC279" s="584">
        <v>0.45</v>
      </c>
      <c r="CD279" s="584">
        <v>0.45</v>
      </c>
      <c r="CE279" s="584">
        <v>312.4162</v>
      </c>
      <c r="CF279" s="584">
        <v>81</v>
      </c>
      <c r="CG279" s="584">
        <v>512.63651249999998</v>
      </c>
      <c r="CH279" s="584">
        <v>170.1</v>
      </c>
      <c r="CI279" s="584">
        <v>811.62101250000001</v>
      </c>
      <c r="CJ279" s="584">
        <v>356.4</v>
      </c>
      <c r="CK279" s="584">
        <v>0.67500000000000004</v>
      </c>
      <c r="CL279" s="584">
        <v>0.30499999999999999</v>
      </c>
      <c r="CM279" s="584">
        <v>785.47516661377301</v>
      </c>
      <c r="CN279" s="584">
        <v>33.063275349095498</v>
      </c>
      <c r="CO279" s="584">
        <v>0</v>
      </c>
      <c r="CP279" s="584">
        <v>0</v>
      </c>
      <c r="CQ279" s="584">
        <v>0</v>
      </c>
      <c r="CR279" s="584">
        <v>0</v>
      </c>
      <c r="CS279" s="584">
        <v>0</v>
      </c>
      <c r="CT279" s="584">
        <v>0</v>
      </c>
      <c r="CU279" s="584">
        <v>0</v>
      </c>
      <c r="CV279" s="584">
        <v>0</v>
      </c>
      <c r="CW279" s="584">
        <v>0.67500000000000004</v>
      </c>
      <c r="CX279" s="584">
        <v>0</v>
      </c>
      <c r="CY279" s="584">
        <v>0.45</v>
      </c>
      <c r="CZ279" s="584">
        <v>361.69614999999999</v>
      </c>
      <c r="DA279" s="584">
        <v>81</v>
      </c>
      <c r="DB279" s="584">
        <v>601.40677500000004</v>
      </c>
      <c r="DC279" s="584">
        <v>170.1</v>
      </c>
      <c r="DD279" s="584">
        <v>983.33190000000002</v>
      </c>
      <c r="DE279" s="584">
        <v>356.4</v>
      </c>
      <c r="DF279" s="584">
        <v>0.4</v>
      </c>
      <c r="DG279" s="584">
        <v>0.25</v>
      </c>
      <c r="DH279" s="584">
        <v>309.18101396382099</v>
      </c>
      <c r="DI279" s="584">
        <v>17.969242938749598</v>
      </c>
      <c r="DJ279" s="584">
        <v>340</v>
      </c>
      <c r="DK279" s="584">
        <v>0</v>
      </c>
      <c r="DL279" s="584">
        <v>0</v>
      </c>
      <c r="DM279" s="584">
        <v>0</v>
      </c>
      <c r="DN279" s="584">
        <v>0</v>
      </c>
      <c r="DO279" s="584">
        <v>0</v>
      </c>
      <c r="DP279" s="584">
        <v>0</v>
      </c>
      <c r="DQ279" s="584">
        <v>0</v>
      </c>
      <c r="DR279" s="584">
        <v>0.4</v>
      </c>
      <c r="DS279" s="584">
        <v>0</v>
      </c>
      <c r="DT279" s="584">
        <v>2.4</v>
      </c>
      <c r="DU279" s="584">
        <v>305.32524999999998</v>
      </c>
      <c r="DV279" s="584">
        <v>81</v>
      </c>
      <c r="DW279" s="584">
        <v>569.17349999999999</v>
      </c>
      <c r="DX279" s="584">
        <v>170.1</v>
      </c>
      <c r="DY279" s="584">
        <v>837.39149999999995</v>
      </c>
      <c r="DZ279" s="584">
        <v>356.4</v>
      </c>
      <c r="EA279" s="1062">
        <v>0.87709999999999999</v>
      </c>
      <c r="EB279" s="1046">
        <v>0.3</v>
      </c>
      <c r="EC279" s="1093">
        <v>132.51783893985731</v>
      </c>
      <c r="ED279" s="1046">
        <v>0</v>
      </c>
      <c r="EE279" s="1046">
        <v>397.55351681957183</v>
      </c>
      <c r="EF279" s="1046">
        <v>37.82222222222223</v>
      </c>
      <c r="EG279" s="1046">
        <v>0</v>
      </c>
      <c r="EH279" s="1046">
        <v>0</v>
      </c>
      <c r="EI279" s="1046" t="s">
        <v>418</v>
      </c>
      <c r="EJ279" s="1046" t="s">
        <v>466</v>
      </c>
      <c r="EK279" s="1046">
        <v>0</v>
      </c>
      <c r="EL279" s="1046">
        <v>0</v>
      </c>
      <c r="EM279" s="1046">
        <v>0</v>
      </c>
      <c r="EN279" s="1046">
        <v>0</v>
      </c>
      <c r="EO279" s="1046">
        <v>0</v>
      </c>
      <c r="EP279" s="1094">
        <v>171.538479</v>
      </c>
      <c r="EQ279" s="1094">
        <v>81</v>
      </c>
      <c r="ER279" s="1094">
        <v>343.07695799999999</v>
      </c>
      <c r="ES279" s="1095">
        <v>162</v>
      </c>
      <c r="ET279" s="1094">
        <v>686.15391599999998</v>
      </c>
      <c r="EU279" s="1094">
        <v>324</v>
      </c>
      <c r="EV279" s="1096">
        <v>0.83350000000000002</v>
      </c>
      <c r="EW279" s="1097">
        <v>0.15</v>
      </c>
      <c r="EX279" s="1096">
        <v>289.50050968399592</v>
      </c>
      <c r="EY279" s="1096">
        <v>1.5443934760448521</v>
      </c>
      <c r="EZ279" s="1096">
        <v>0</v>
      </c>
      <c r="FA279" s="1096">
        <v>28.233333333333327</v>
      </c>
      <c r="FB279" s="1098">
        <v>0</v>
      </c>
      <c r="FC279" s="1098">
        <v>0</v>
      </c>
      <c r="FD279" s="1098" t="s">
        <v>394</v>
      </c>
      <c r="FE279" s="1098" t="s">
        <v>477</v>
      </c>
      <c r="FF279" s="1098">
        <v>2</v>
      </c>
      <c r="FG279" s="1098">
        <v>0</v>
      </c>
      <c r="FH279" s="1098">
        <v>0</v>
      </c>
      <c r="FI279" s="1098">
        <v>0</v>
      </c>
      <c r="FJ279" s="1098">
        <v>0</v>
      </c>
      <c r="FK279" s="1096">
        <v>124.37791987499999</v>
      </c>
      <c r="FL279" s="1096">
        <v>81</v>
      </c>
      <c r="FM279" s="1096">
        <v>248.75583974999998</v>
      </c>
      <c r="FN279" s="1096">
        <v>162</v>
      </c>
      <c r="FO279" s="1096">
        <v>497.51167949999996</v>
      </c>
      <c r="FP279" s="1099">
        <v>324</v>
      </c>
      <c r="FQ279" s="1064">
        <v>1.2</v>
      </c>
      <c r="FR279" s="1065">
        <v>0.15</v>
      </c>
      <c r="FS279" s="1066">
        <v>289.50050968399586</v>
      </c>
      <c r="FT279" s="1066">
        <v>3.2237153637237084</v>
      </c>
      <c r="FU279" s="1065"/>
      <c r="FV279" s="1066">
        <v>49.057954064734517</v>
      </c>
      <c r="FW279" s="1065"/>
      <c r="FX279" s="1065"/>
      <c r="FY279" s="1065" t="s">
        <v>389</v>
      </c>
      <c r="FZ279" s="1065" t="s">
        <v>479</v>
      </c>
      <c r="GA279" s="1065">
        <v>2</v>
      </c>
      <c r="GB279" s="1065"/>
      <c r="GC279" s="1065"/>
      <c r="GD279" s="1065"/>
      <c r="GE279" s="1065"/>
      <c r="GF279" s="1066">
        <v>126.62088433613678</v>
      </c>
      <c r="GG279" s="1066">
        <v>81</v>
      </c>
      <c r="GH279" s="1066">
        <v>253.24176867227357</v>
      </c>
      <c r="GI279" s="1066">
        <v>162</v>
      </c>
      <c r="GJ279" s="1066">
        <v>506.48353734454713</v>
      </c>
      <c r="GK279" s="1066">
        <v>324</v>
      </c>
      <c r="GL279" s="584">
        <v>0.91400000000000003</v>
      </c>
      <c r="GM279" s="584">
        <v>0.16</v>
      </c>
      <c r="GN279" s="584"/>
      <c r="GO279" s="584"/>
      <c r="GP279" s="584"/>
      <c r="GQ279" s="584">
        <v>44.122222222222199</v>
      </c>
      <c r="GR279" s="584"/>
      <c r="GS279" s="584">
        <v>81.549439347604505</v>
      </c>
      <c r="GT279" s="584" t="s">
        <v>387</v>
      </c>
      <c r="GU279" s="584" t="s">
        <v>406</v>
      </c>
      <c r="GV279" s="584">
        <v>1</v>
      </c>
      <c r="GW279" s="584"/>
      <c r="GX279" s="584"/>
      <c r="GY279" s="584"/>
      <c r="GZ279" s="584"/>
      <c r="HA279" s="584">
        <v>83.689989749999995</v>
      </c>
      <c r="HB279" s="584">
        <v>81</v>
      </c>
      <c r="HC279" s="584">
        <v>167.37997949999999</v>
      </c>
      <c r="HD279" s="584">
        <v>162</v>
      </c>
      <c r="HE279" s="584">
        <v>334.75995899999998</v>
      </c>
      <c r="HF279" s="584">
        <v>324</v>
      </c>
      <c r="HG279" s="1100">
        <v>1.3900000000000001</v>
      </c>
      <c r="HH279" s="1100">
        <v>0.11</v>
      </c>
      <c r="HI279" s="1101">
        <v>0</v>
      </c>
      <c r="HJ279" s="1101">
        <v>0</v>
      </c>
      <c r="HK279" s="1101">
        <v>0</v>
      </c>
      <c r="HL279" s="1101">
        <v>0</v>
      </c>
      <c r="HM279" s="1101">
        <v>58.8</v>
      </c>
      <c r="HN279" s="1101">
        <v>54.999999999999993</v>
      </c>
      <c r="HO279" s="1101">
        <v>0</v>
      </c>
      <c r="HP279" s="1101">
        <v>0</v>
      </c>
      <c r="HQ279" s="1101">
        <v>2</v>
      </c>
      <c r="HR279" s="1101">
        <v>1.28</v>
      </c>
      <c r="HS279" s="1101">
        <v>0.88</v>
      </c>
      <c r="HT279" s="1101">
        <v>0.3</v>
      </c>
      <c r="HU279" s="1101">
        <v>0.3</v>
      </c>
      <c r="HV279" s="1101">
        <v>81.331654499999985</v>
      </c>
      <c r="HW279" s="1101">
        <v>81</v>
      </c>
      <c r="HX279" s="1101">
        <v>162.66330899999997</v>
      </c>
      <c r="HY279" s="1101">
        <v>162</v>
      </c>
      <c r="HZ279" s="1101">
        <v>325.32661799999994</v>
      </c>
      <c r="IA279" s="1101">
        <v>324</v>
      </c>
      <c r="IB279" s="1062"/>
      <c r="ID279" s="1050"/>
      <c r="IE279" s="1050"/>
      <c r="IM279" s="1050"/>
      <c r="IN279" s="1050"/>
      <c r="IO279" s="1050"/>
      <c r="IP279" s="1050"/>
      <c r="JU279" s="1050"/>
      <c r="KC279" s="1050"/>
      <c r="KD279" s="1050"/>
      <c r="KE279" s="1050"/>
      <c r="KF279" s="1050"/>
      <c r="KN279" s="1103"/>
    </row>
    <row r="280" spans="2:300">
      <c r="B280" s="1048" t="str">
        <f t="shared" si="8"/>
        <v>H910</v>
      </c>
      <c r="C280" s="1046">
        <v>9</v>
      </c>
      <c r="D280" s="1092">
        <v>10</v>
      </c>
      <c r="E280" s="584">
        <v>0.43</v>
      </c>
      <c r="F280" s="584">
        <v>0.43</v>
      </c>
      <c r="G280" s="584">
        <v>1032</v>
      </c>
      <c r="H280" s="584">
        <v>30.1</v>
      </c>
      <c r="I280" s="584">
        <v>0</v>
      </c>
      <c r="J280" s="584">
        <v>0</v>
      </c>
      <c r="K280" s="584">
        <v>0</v>
      </c>
      <c r="L280" s="584">
        <v>0</v>
      </c>
      <c r="M280" s="584">
        <v>0</v>
      </c>
      <c r="N280" s="584">
        <v>0</v>
      </c>
      <c r="O280" s="584">
        <v>0</v>
      </c>
      <c r="P280" s="584">
        <v>0</v>
      </c>
      <c r="Q280" s="584">
        <v>0</v>
      </c>
      <c r="R280" s="584">
        <v>0</v>
      </c>
      <c r="S280" s="584">
        <v>0</v>
      </c>
      <c r="T280" s="584">
        <v>442.9754375</v>
      </c>
      <c r="U280" s="584">
        <v>90</v>
      </c>
      <c r="V280" s="584">
        <v>794.95124999999996</v>
      </c>
      <c r="W280" s="584">
        <v>189</v>
      </c>
      <c r="X280" s="584">
        <v>1360.3409999999999</v>
      </c>
      <c r="Y280" s="584">
        <v>396</v>
      </c>
      <c r="Z280" s="584">
        <v>0.30499999999999999</v>
      </c>
      <c r="AA280" s="584">
        <v>0.30499999999999999</v>
      </c>
      <c r="AB280" s="584">
        <v>732</v>
      </c>
      <c r="AC280" s="584">
        <v>23</v>
      </c>
      <c r="AD280" s="584">
        <v>0</v>
      </c>
      <c r="AE280" s="584">
        <v>0</v>
      </c>
      <c r="AF280" s="584">
        <v>0</v>
      </c>
      <c r="AG280" s="584">
        <v>0</v>
      </c>
      <c r="AH280" s="584">
        <v>0</v>
      </c>
      <c r="AI280" s="584">
        <v>0</v>
      </c>
      <c r="AJ280" s="584">
        <v>0</v>
      </c>
      <c r="AK280" s="584">
        <v>0</v>
      </c>
      <c r="AL280" s="584">
        <v>0</v>
      </c>
      <c r="AM280" s="584">
        <v>0</v>
      </c>
      <c r="AN280" s="584">
        <v>0</v>
      </c>
      <c r="AO280" s="584">
        <v>366.6004375</v>
      </c>
      <c r="AP280" s="584">
        <v>90</v>
      </c>
      <c r="AQ280" s="584">
        <v>639.54618749999997</v>
      </c>
      <c r="AR280" s="584">
        <v>189</v>
      </c>
      <c r="AS280" s="584">
        <v>1050.9659999999999</v>
      </c>
      <c r="AT280" s="584">
        <v>396</v>
      </c>
      <c r="AU280" s="584">
        <v>0.7</v>
      </c>
      <c r="AV280" s="584">
        <v>0.41499999999999998</v>
      </c>
      <c r="AW280" s="584">
        <v>652.352523078574</v>
      </c>
      <c r="AX280" s="584">
        <v>38.5184886217261</v>
      </c>
      <c r="AY280" s="584">
        <v>0</v>
      </c>
      <c r="AZ280" s="584">
        <v>0</v>
      </c>
      <c r="BA280" s="584">
        <v>0</v>
      </c>
      <c r="BB280" s="584">
        <v>0</v>
      </c>
      <c r="BC280" s="584">
        <v>0</v>
      </c>
      <c r="BD280" s="584">
        <v>0</v>
      </c>
      <c r="BE280" s="584">
        <v>0</v>
      </c>
      <c r="BF280" s="584">
        <v>0</v>
      </c>
      <c r="BG280" s="584">
        <v>0.7</v>
      </c>
      <c r="BH280" s="584">
        <v>0</v>
      </c>
      <c r="BI280" s="584">
        <v>0.6</v>
      </c>
      <c r="BJ280" s="584">
        <v>354.677174745733</v>
      </c>
      <c r="BK280" s="584">
        <v>90</v>
      </c>
      <c r="BL280" s="584">
        <v>594.2607788135</v>
      </c>
      <c r="BM280" s="584">
        <v>189</v>
      </c>
      <c r="BN280" s="584">
        <v>956.55707315170196</v>
      </c>
      <c r="BO280" s="584">
        <v>396</v>
      </c>
      <c r="BP280" s="584">
        <v>0.65</v>
      </c>
      <c r="BQ280" s="584">
        <v>0.23</v>
      </c>
      <c r="BR280" s="584">
        <v>653.82803778445702</v>
      </c>
      <c r="BS280" s="584">
        <v>35.143024903392003</v>
      </c>
      <c r="BT280" s="584">
        <v>0</v>
      </c>
      <c r="BU280" s="584">
        <v>0</v>
      </c>
      <c r="BV280" s="584">
        <v>0</v>
      </c>
      <c r="BW280" s="584">
        <v>0</v>
      </c>
      <c r="BX280" s="584">
        <v>0</v>
      </c>
      <c r="BY280" s="584">
        <v>0</v>
      </c>
      <c r="BZ280" s="584">
        <v>0</v>
      </c>
      <c r="CA280" s="584">
        <v>0.55000000000000004</v>
      </c>
      <c r="CB280" s="584">
        <v>0.65</v>
      </c>
      <c r="CC280" s="584">
        <v>0.45</v>
      </c>
      <c r="CD280" s="584">
        <v>0.45</v>
      </c>
      <c r="CE280" s="584">
        <v>355.39465000000001</v>
      </c>
      <c r="CF280" s="584">
        <v>90</v>
      </c>
      <c r="CG280" s="584">
        <v>595.00665000000004</v>
      </c>
      <c r="CH280" s="584">
        <v>189</v>
      </c>
      <c r="CI280" s="584">
        <v>941.84415000000001</v>
      </c>
      <c r="CJ280" s="584">
        <v>396</v>
      </c>
      <c r="CK280" s="584">
        <v>0.8</v>
      </c>
      <c r="CL280" s="584">
        <v>0.30499999999999999</v>
      </c>
      <c r="CM280" s="584">
        <v>802.18183769858297</v>
      </c>
      <c r="CN280" s="584">
        <v>32.862893409188501</v>
      </c>
      <c r="CO280" s="584">
        <v>0</v>
      </c>
      <c r="CP280" s="584">
        <v>0</v>
      </c>
      <c r="CQ280" s="584">
        <v>0</v>
      </c>
      <c r="CR280" s="584">
        <v>0</v>
      </c>
      <c r="CS280" s="584">
        <v>0</v>
      </c>
      <c r="CT280" s="584">
        <v>0</v>
      </c>
      <c r="CU280" s="584">
        <v>0</v>
      </c>
      <c r="CV280" s="584">
        <v>0</v>
      </c>
      <c r="CW280" s="584">
        <v>0.8</v>
      </c>
      <c r="CX280" s="584">
        <v>0</v>
      </c>
      <c r="CY280" s="584">
        <v>0.6</v>
      </c>
      <c r="CZ280" s="584">
        <v>403.53115000000003</v>
      </c>
      <c r="DA280" s="584">
        <v>90</v>
      </c>
      <c r="DB280" s="584">
        <v>678.27689999999996</v>
      </c>
      <c r="DC280" s="584">
        <v>189</v>
      </c>
      <c r="DD280" s="584">
        <v>1105.45065</v>
      </c>
      <c r="DE280" s="584">
        <v>396</v>
      </c>
      <c r="DF280" s="584">
        <v>0.47499999999999998</v>
      </c>
      <c r="DG280" s="584">
        <v>0.25</v>
      </c>
      <c r="DH280" s="584">
        <v>348.80635465865203</v>
      </c>
      <c r="DI280" s="584">
        <v>19.0683503649635</v>
      </c>
      <c r="DJ280" s="584">
        <v>340</v>
      </c>
      <c r="DK280" s="584">
        <v>0</v>
      </c>
      <c r="DL280" s="584">
        <v>0</v>
      </c>
      <c r="DM280" s="584">
        <v>0</v>
      </c>
      <c r="DN280" s="584">
        <v>0</v>
      </c>
      <c r="DO280" s="584">
        <v>0</v>
      </c>
      <c r="DP280" s="584">
        <v>0</v>
      </c>
      <c r="DQ280" s="584">
        <v>0</v>
      </c>
      <c r="DR280" s="584">
        <v>0.47499999999999998</v>
      </c>
      <c r="DS280" s="584">
        <v>0</v>
      </c>
      <c r="DT280" s="584">
        <v>2.4</v>
      </c>
      <c r="DU280" s="584">
        <v>338.029</v>
      </c>
      <c r="DV280" s="584">
        <v>90</v>
      </c>
      <c r="DW280" s="584">
        <v>638.49225000000001</v>
      </c>
      <c r="DX280" s="584">
        <v>189</v>
      </c>
      <c r="DY280" s="584">
        <v>974.29425000000003</v>
      </c>
      <c r="DZ280" s="584">
        <v>396</v>
      </c>
      <c r="EA280" s="1062">
        <v>1.1197999999999999</v>
      </c>
      <c r="EB280" s="1046">
        <v>0.35</v>
      </c>
      <c r="EC280" s="1093">
        <v>132.51783893985731</v>
      </c>
      <c r="ED280" s="1046">
        <v>0</v>
      </c>
      <c r="EE280" s="1046">
        <v>458.71559633027522</v>
      </c>
      <c r="EF280" s="1046">
        <v>29.60222222222222</v>
      </c>
      <c r="EG280" s="1046">
        <v>0</v>
      </c>
      <c r="EH280" s="1046">
        <v>0</v>
      </c>
      <c r="EI280" s="1046" t="s">
        <v>383</v>
      </c>
      <c r="EJ280" s="1046" t="s">
        <v>446</v>
      </c>
      <c r="EK280" s="1046">
        <v>0</v>
      </c>
      <c r="EL280" s="1046">
        <v>0</v>
      </c>
      <c r="EM280" s="1046">
        <v>0</v>
      </c>
      <c r="EN280" s="1046">
        <v>0</v>
      </c>
      <c r="EO280" s="1046">
        <v>0</v>
      </c>
      <c r="EP280" s="1094">
        <v>202.28395050000003</v>
      </c>
      <c r="EQ280" s="1094">
        <v>90</v>
      </c>
      <c r="ER280" s="1094">
        <v>404.56790100000006</v>
      </c>
      <c r="ES280" s="1095">
        <v>180</v>
      </c>
      <c r="ET280" s="1094">
        <v>809.13580200000013</v>
      </c>
      <c r="EU280" s="1094">
        <v>360</v>
      </c>
      <c r="EV280" s="1096">
        <v>0.83750000000000002</v>
      </c>
      <c r="EW280" s="1097">
        <v>0.15</v>
      </c>
      <c r="EX280" s="1096">
        <v>289.50050968399592</v>
      </c>
      <c r="EY280" s="1096">
        <v>1.5443934760448521</v>
      </c>
      <c r="EZ280" s="1096">
        <v>0</v>
      </c>
      <c r="FA280" s="1096">
        <v>27.262222222222228</v>
      </c>
      <c r="FB280" s="1098">
        <v>0</v>
      </c>
      <c r="FC280" s="1098">
        <v>0</v>
      </c>
      <c r="FD280" s="1098" t="s">
        <v>392</v>
      </c>
      <c r="FE280" s="1098" t="s">
        <v>468</v>
      </c>
      <c r="FF280" s="1098">
        <v>2</v>
      </c>
      <c r="FG280" s="1098">
        <v>0</v>
      </c>
      <c r="FH280" s="1098">
        <v>0</v>
      </c>
      <c r="FI280" s="1098">
        <v>0</v>
      </c>
      <c r="FJ280" s="1098">
        <v>0</v>
      </c>
      <c r="FK280" s="1096">
        <v>137.98334025</v>
      </c>
      <c r="FL280" s="1096">
        <v>90</v>
      </c>
      <c r="FM280" s="1096">
        <v>275.9666805</v>
      </c>
      <c r="FN280" s="1096">
        <v>180</v>
      </c>
      <c r="FO280" s="1096">
        <v>551.93336099999999</v>
      </c>
      <c r="FP280" s="1099">
        <v>360</v>
      </c>
      <c r="FQ280" s="1064">
        <v>1.2056</v>
      </c>
      <c r="FR280" s="1065">
        <v>0.15</v>
      </c>
      <c r="FS280" s="1066">
        <v>289.50050968399586</v>
      </c>
      <c r="FT280" s="1066">
        <v>3.2237153637237084</v>
      </c>
      <c r="FU280" s="1065"/>
      <c r="FV280" s="1066">
        <v>52.062125626177149</v>
      </c>
      <c r="FW280" s="1065"/>
      <c r="FX280" s="1065"/>
      <c r="FY280" s="1065" t="s">
        <v>387</v>
      </c>
      <c r="FZ280" s="1065" t="s">
        <v>459</v>
      </c>
      <c r="GA280" s="1065">
        <v>2</v>
      </c>
      <c r="GB280" s="1065"/>
      <c r="GC280" s="1065"/>
      <c r="GD280" s="1065"/>
      <c r="GE280" s="1065"/>
      <c r="GF280" s="1066">
        <v>141.35296725249586</v>
      </c>
      <c r="GG280" s="1066">
        <v>90</v>
      </c>
      <c r="GH280" s="1066">
        <v>282.70593450499172</v>
      </c>
      <c r="GI280" s="1066">
        <v>180</v>
      </c>
      <c r="GJ280" s="1066">
        <v>565.41186900998343</v>
      </c>
      <c r="GK280" s="1066">
        <v>360</v>
      </c>
      <c r="GL280" s="584">
        <v>0.92220000000000002</v>
      </c>
      <c r="GM280" s="584">
        <v>0.16</v>
      </c>
      <c r="GN280" s="584"/>
      <c r="GO280" s="584"/>
      <c r="GP280" s="584"/>
      <c r="GQ280" s="584">
        <v>49.9444444444444</v>
      </c>
      <c r="GR280" s="584"/>
      <c r="GS280" s="584">
        <v>81.549439347604505</v>
      </c>
      <c r="GT280" s="584" t="s">
        <v>385</v>
      </c>
      <c r="GU280" s="584" t="s">
        <v>387</v>
      </c>
      <c r="GV280" s="584">
        <v>1</v>
      </c>
      <c r="GW280" s="584"/>
      <c r="GX280" s="584"/>
      <c r="GY280" s="584"/>
      <c r="GZ280" s="584"/>
      <c r="HA280" s="584">
        <v>94.273987500000004</v>
      </c>
      <c r="HB280" s="584">
        <v>90</v>
      </c>
      <c r="HC280" s="584">
        <v>188.54797500000001</v>
      </c>
      <c r="HD280" s="584">
        <v>180</v>
      </c>
      <c r="HE280" s="584">
        <v>377.09595000000002</v>
      </c>
      <c r="HF280" s="584">
        <v>360</v>
      </c>
      <c r="HG280" s="1100">
        <v>1.51</v>
      </c>
      <c r="HH280" s="1100">
        <v>0.11</v>
      </c>
      <c r="HI280" s="1101">
        <v>0</v>
      </c>
      <c r="HJ280" s="1101">
        <v>0</v>
      </c>
      <c r="HK280" s="1101">
        <v>0</v>
      </c>
      <c r="HL280" s="1101">
        <v>0</v>
      </c>
      <c r="HM280" s="1101">
        <v>60.900000000000006</v>
      </c>
      <c r="HN280" s="1101">
        <v>54.999999999999993</v>
      </c>
      <c r="HO280" s="1101">
        <v>0</v>
      </c>
      <c r="HP280" s="1101">
        <v>0</v>
      </c>
      <c r="HQ280" s="1101">
        <v>2</v>
      </c>
      <c r="HR280" s="1101">
        <v>1.4</v>
      </c>
      <c r="HS280" s="1101">
        <v>1</v>
      </c>
      <c r="HT280" s="1101">
        <v>0.3</v>
      </c>
      <c r="HU280" s="1101">
        <v>0.28000000000000003</v>
      </c>
      <c r="HV280" s="1101">
        <v>90.832027499999995</v>
      </c>
      <c r="HW280" s="1101">
        <v>90</v>
      </c>
      <c r="HX280" s="1101">
        <v>181.66405499999999</v>
      </c>
      <c r="HY280" s="1101">
        <v>180</v>
      </c>
      <c r="HZ280" s="1101">
        <v>363.32810999999998</v>
      </c>
      <c r="IA280" s="1101">
        <v>360</v>
      </c>
      <c r="IB280" s="1062"/>
      <c r="ID280" s="1050"/>
      <c r="IE280" s="1050"/>
      <c r="IM280" s="1050"/>
      <c r="IN280" s="1050"/>
      <c r="IO280" s="1050"/>
      <c r="IP280" s="1050"/>
      <c r="JU280" s="1050"/>
      <c r="KC280" s="1050"/>
      <c r="KD280" s="1050"/>
      <c r="KE280" s="1050"/>
      <c r="KF280" s="1050"/>
      <c r="KN280" s="1103"/>
    </row>
    <row r="281" spans="2:300">
      <c r="B281" s="1048" t="str">
        <f t="shared" si="8"/>
        <v>H911</v>
      </c>
      <c r="C281" s="1046">
        <v>9</v>
      </c>
      <c r="D281" s="1092">
        <v>11</v>
      </c>
      <c r="E281" s="584">
        <v>0.48499999999999999</v>
      </c>
      <c r="F281" s="584">
        <v>0.48499999999999999</v>
      </c>
      <c r="G281" s="584">
        <v>1164</v>
      </c>
      <c r="H281" s="584">
        <v>31.04</v>
      </c>
      <c r="I281" s="584">
        <v>0</v>
      </c>
      <c r="J281" s="584">
        <v>0</v>
      </c>
      <c r="K281" s="584">
        <v>0</v>
      </c>
      <c r="L281" s="584">
        <v>0</v>
      </c>
      <c r="M281" s="584">
        <v>0</v>
      </c>
      <c r="N281" s="584">
        <v>0</v>
      </c>
      <c r="O281" s="584">
        <v>0</v>
      </c>
      <c r="P281" s="584">
        <v>0</v>
      </c>
      <c r="Q281" s="584">
        <v>0</v>
      </c>
      <c r="R281" s="584">
        <v>0</v>
      </c>
      <c r="S281" s="584">
        <v>0</v>
      </c>
      <c r="T281" s="584">
        <v>517.36918749999995</v>
      </c>
      <c r="U281" s="584">
        <v>99</v>
      </c>
      <c r="V281" s="584">
        <v>949.77506249999999</v>
      </c>
      <c r="W281" s="584">
        <v>207.9</v>
      </c>
      <c r="X281" s="584">
        <v>1646.7744375</v>
      </c>
      <c r="Y281" s="584">
        <v>435.6</v>
      </c>
      <c r="Z281" s="584">
        <v>0.33</v>
      </c>
      <c r="AA281" s="584">
        <v>0.33</v>
      </c>
      <c r="AB281" s="584">
        <v>792</v>
      </c>
      <c r="AC281" s="584">
        <v>25</v>
      </c>
      <c r="AD281" s="584">
        <v>0</v>
      </c>
      <c r="AE281" s="584">
        <v>0</v>
      </c>
      <c r="AF281" s="584">
        <v>0</v>
      </c>
      <c r="AG281" s="584">
        <v>0</v>
      </c>
      <c r="AH281" s="584">
        <v>0</v>
      </c>
      <c r="AI281" s="584">
        <v>0</v>
      </c>
      <c r="AJ281" s="584">
        <v>0</v>
      </c>
      <c r="AK281" s="584">
        <v>0</v>
      </c>
      <c r="AL281" s="584">
        <v>0</v>
      </c>
      <c r="AM281" s="584">
        <v>0</v>
      </c>
      <c r="AN281" s="584">
        <v>0</v>
      </c>
      <c r="AO281" s="584">
        <v>413.55793749999998</v>
      </c>
      <c r="AP281" s="584">
        <v>99</v>
      </c>
      <c r="AQ281" s="584">
        <v>738.10950000000003</v>
      </c>
      <c r="AR281" s="584">
        <v>207.9</v>
      </c>
      <c r="AS281" s="584">
        <v>1223.2260000000001</v>
      </c>
      <c r="AT281" s="584">
        <v>435.6</v>
      </c>
      <c r="AU281" s="584">
        <v>0.82499999999999996</v>
      </c>
      <c r="AV281" s="584">
        <v>0.41499999999999998</v>
      </c>
      <c r="AW281" s="584">
        <v>674.90802821949899</v>
      </c>
      <c r="AX281" s="584">
        <v>38.035708420229398</v>
      </c>
      <c r="AY281" s="584">
        <v>0</v>
      </c>
      <c r="AZ281" s="584">
        <v>0</v>
      </c>
      <c r="BA281" s="584">
        <v>0</v>
      </c>
      <c r="BB281" s="584">
        <v>0</v>
      </c>
      <c r="BC281" s="584">
        <v>0</v>
      </c>
      <c r="BD281" s="584">
        <v>0</v>
      </c>
      <c r="BE281" s="584">
        <v>0</v>
      </c>
      <c r="BF281" s="584">
        <v>0</v>
      </c>
      <c r="BG281" s="584">
        <v>0.82499999999999996</v>
      </c>
      <c r="BH281" s="584">
        <v>0</v>
      </c>
      <c r="BI281" s="584">
        <v>0.6</v>
      </c>
      <c r="BJ281" s="584">
        <v>391.94976613751697</v>
      </c>
      <c r="BK281" s="584">
        <v>99</v>
      </c>
      <c r="BL281" s="584">
        <v>665.11312348918</v>
      </c>
      <c r="BM281" s="584">
        <v>207.9</v>
      </c>
      <c r="BN281" s="584">
        <v>1080.3501088232799</v>
      </c>
      <c r="BO281" s="584">
        <v>435.6</v>
      </c>
      <c r="BP281" s="584">
        <v>0.77500000000000002</v>
      </c>
      <c r="BQ281" s="584">
        <v>0.24</v>
      </c>
      <c r="BR281" s="584">
        <v>695.23650938477601</v>
      </c>
      <c r="BS281" s="584">
        <v>42.828655174661101</v>
      </c>
      <c r="BT281" s="584">
        <v>0</v>
      </c>
      <c r="BU281" s="584">
        <v>0</v>
      </c>
      <c r="BV281" s="584">
        <v>0</v>
      </c>
      <c r="BW281" s="584">
        <v>0</v>
      </c>
      <c r="BX281" s="584">
        <v>0</v>
      </c>
      <c r="BY281" s="584">
        <v>0</v>
      </c>
      <c r="BZ281" s="584">
        <v>0</v>
      </c>
      <c r="CA281" s="584">
        <v>0.55000000000000004</v>
      </c>
      <c r="CB281" s="584">
        <v>0.77500000000000002</v>
      </c>
      <c r="CC281" s="584">
        <v>0.45</v>
      </c>
      <c r="CD281" s="584">
        <v>0.45</v>
      </c>
      <c r="CE281" s="584">
        <v>397.91395</v>
      </c>
      <c r="CF281" s="584">
        <v>99</v>
      </c>
      <c r="CG281" s="584">
        <v>676.38138749999996</v>
      </c>
      <c r="CH281" s="584">
        <v>207.9</v>
      </c>
      <c r="CI281" s="584">
        <v>1071.7862625</v>
      </c>
      <c r="CJ281" s="584">
        <v>435.6</v>
      </c>
      <c r="CK281" s="584">
        <v>0.95</v>
      </c>
      <c r="CL281" s="584">
        <v>0.30499999999999999</v>
      </c>
      <c r="CM281" s="584">
        <v>821.04333941605796</v>
      </c>
      <c r="CN281" s="584">
        <v>33.039445222888403</v>
      </c>
      <c r="CO281" s="584">
        <v>0</v>
      </c>
      <c r="CP281" s="584">
        <v>0</v>
      </c>
      <c r="CQ281" s="584">
        <v>0</v>
      </c>
      <c r="CR281" s="584">
        <v>0</v>
      </c>
      <c r="CS281" s="584">
        <v>0</v>
      </c>
      <c r="CT281" s="584">
        <v>0</v>
      </c>
      <c r="CU281" s="584">
        <v>0</v>
      </c>
      <c r="CV281" s="584">
        <v>0</v>
      </c>
      <c r="CW281" s="584">
        <v>0.95</v>
      </c>
      <c r="CX281" s="584">
        <v>0</v>
      </c>
      <c r="CY281" s="584">
        <v>0.6</v>
      </c>
      <c r="CZ281" s="584">
        <v>446.43040000000002</v>
      </c>
      <c r="DA281" s="584">
        <v>99</v>
      </c>
      <c r="DB281" s="584">
        <v>757.336275</v>
      </c>
      <c r="DC281" s="584">
        <v>207.9</v>
      </c>
      <c r="DD281" s="584">
        <v>1233.4149</v>
      </c>
      <c r="DE281" s="584">
        <v>435.6</v>
      </c>
      <c r="DF281" s="584">
        <v>0.55000000000000004</v>
      </c>
      <c r="DG281" s="584">
        <v>0.25</v>
      </c>
      <c r="DH281" s="584">
        <v>388.74625260688202</v>
      </c>
      <c r="DI281" s="584">
        <v>19.960679614181402</v>
      </c>
      <c r="DJ281" s="584">
        <v>340</v>
      </c>
      <c r="DK281" s="584">
        <v>0</v>
      </c>
      <c r="DL281" s="584">
        <v>0</v>
      </c>
      <c r="DM281" s="584">
        <v>0</v>
      </c>
      <c r="DN281" s="584">
        <v>0</v>
      </c>
      <c r="DO281" s="584">
        <v>0</v>
      </c>
      <c r="DP281" s="584">
        <v>0</v>
      </c>
      <c r="DQ281" s="584">
        <v>0</v>
      </c>
      <c r="DR281" s="584">
        <v>0.55000000000000004</v>
      </c>
      <c r="DS281" s="584">
        <v>0</v>
      </c>
      <c r="DT281" s="584">
        <v>2.4</v>
      </c>
      <c r="DU281" s="584">
        <v>372.13900000000001</v>
      </c>
      <c r="DV281" s="584">
        <v>99</v>
      </c>
      <c r="DW281" s="584">
        <v>712.31100000000004</v>
      </c>
      <c r="DX281" s="584">
        <v>207.9</v>
      </c>
      <c r="DY281" s="584">
        <v>1120.1969999999999</v>
      </c>
      <c r="DZ281" s="584">
        <v>435.6</v>
      </c>
      <c r="EA281" s="1062">
        <v>1.1907000000000001</v>
      </c>
      <c r="EB281" s="1046">
        <v>0.35</v>
      </c>
      <c r="EC281" s="1093">
        <v>132.51783893985731</v>
      </c>
      <c r="ED281" s="1046">
        <v>0</v>
      </c>
      <c r="EE281" s="1046">
        <v>458.71559633027522</v>
      </c>
      <c r="EF281" s="1046">
        <v>32.429292929292927</v>
      </c>
      <c r="EG281" s="1046">
        <v>0</v>
      </c>
      <c r="EH281" s="1046">
        <v>0</v>
      </c>
      <c r="EI281" s="1046" t="s">
        <v>379</v>
      </c>
      <c r="EJ281" s="1046" t="s">
        <v>442</v>
      </c>
      <c r="EK281" s="1046">
        <v>0</v>
      </c>
      <c r="EL281" s="1046">
        <v>0</v>
      </c>
      <c r="EM281" s="1046">
        <v>0</v>
      </c>
      <c r="EN281" s="1046">
        <v>0</v>
      </c>
      <c r="EO281" s="1046">
        <v>0</v>
      </c>
      <c r="EP281" s="1094">
        <v>223.19875124999999</v>
      </c>
      <c r="EQ281" s="1094">
        <v>99</v>
      </c>
      <c r="ER281" s="1094">
        <v>446.39750249999997</v>
      </c>
      <c r="ES281" s="1095">
        <v>198</v>
      </c>
      <c r="ET281" s="1094">
        <v>892.79500499999995</v>
      </c>
      <c r="EU281" s="1094">
        <v>396</v>
      </c>
      <c r="EV281" s="1096">
        <v>0.90400000000000003</v>
      </c>
      <c r="EW281" s="1097">
        <v>0.15</v>
      </c>
      <c r="EX281" s="1096">
        <v>289.50050968399592</v>
      </c>
      <c r="EY281" s="1096">
        <v>1.5443934760448521</v>
      </c>
      <c r="EZ281" s="1096">
        <v>0</v>
      </c>
      <c r="FA281" s="1096">
        <v>26.643434343434343</v>
      </c>
      <c r="FB281" s="1098">
        <v>0</v>
      </c>
      <c r="FC281" s="1098">
        <v>0</v>
      </c>
      <c r="FD281" s="1098" t="s">
        <v>387</v>
      </c>
      <c r="FE281" s="1098" t="s">
        <v>459</v>
      </c>
      <c r="FF281" s="1098">
        <v>2</v>
      </c>
      <c r="FG281" s="1098">
        <v>0</v>
      </c>
      <c r="FH281" s="1098">
        <v>0</v>
      </c>
      <c r="FI281" s="1098">
        <v>0</v>
      </c>
      <c r="FJ281" s="1098">
        <v>0</v>
      </c>
      <c r="FK281" s="1096">
        <v>151.631434125</v>
      </c>
      <c r="FL281" s="1096">
        <v>99</v>
      </c>
      <c r="FM281" s="1096">
        <v>303.26286825</v>
      </c>
      <c r="FN281" s="1096">
        <v>198</v>
      </c>
      <c r="FO281" s="1096">
        <v>606.52573649999999</v>
      </c>
      <c r="FP281" s="1099">
        <v>396</v>
      </c>
      <c r="FQ281" s="1064">
        <v>1.2170799999999999</v>
      </c>
      <c r="FR281" s="1065">
        <v>0.15</v>
      </c>
      <c r="FS281" s="1066">
        <v>289.50050968399586</v>
      </c>
      <c r="FT281" s="1066">
        <v>3.2237153637237084</v>
      </c>
      <c r="FU281" s="1065"/>
      <c r="FV281" s="1066">
        <v>58.640784961360275</v>
      </c>
      <c r="FW281" s="1065"/>
      <c r="FX281" s="1065"/>
      <c r="FY281" s="1065" t="s">
        <v>385</v>
      </c>
      <c r="FZ281" s="1065" t="s">
        <v>436</v>
      </c>
      <c r="GA281" s="1065">
        <v>2</v>
      </c>
      <c r="GB281" s="1065"/>
      <c r="GC281" s="1065"/>
      <c r="GD281" s="1065"/>
      <c r="GE281" s="1065"/>
      <c r="GF281" s="1066">
        <v>157.08554601767958</v>
      </c>
      <c r="GG281" s="1066">
        <v>99</v>
      </c>
      <c r="GH281" s="1066">
        <v>314.17109203535915</v>
      </c>
      <c r="GI281" s="1066">
        <v>198</v>
      </c>
      <c r="GJ281" s="1066">
        <v>628.3421840707183</v>
      </c>
      <c r="GK281" s="1066">
        <v>396</v>
      </c>
      <c r="GL281" s="584">
        <v>0.99490000000000001</v>
      </c>
      <c r="GM281" s="584">
        <v>0.16</v>
      </c>
      <c r="GN281" s="584"/>
      <c r="GO281" s="584"/>
      <c r="GP281" s="584"/>
      <c r="GQ281" s="584">
        <v>54.816161616161601</v>
      </c>
      <c r="GR281" s="584"/>
      <c r="GS281" s="584">
        <v>81.549439347604505</v>
      </c>
      <c r="GT281" s="584" t="s">
        <v>385</v>
      </c>
      <c r="GU281" s="584" t="s">
        <v>381</v>
      </c>
      <c r="GV281" s="584">
        <v>1</v>
      </c>
      <c r="GW281" s="584"/>
      <c r="GX281" s="584"/>
      <c r="GY281" s="584"/>
      <c r="GZ281" s="584"/>
      <c r="HA281" s="584">
        <v>104.884227</v>
      </c>
      <c r="HB281" s="584">
        <v>99</v>
      </c>
      <c r="HC281" s="584">
        <v>209.76845399999999</v>
      </c>
      <c r="HD281" s="584">
        <v>198</v>
      </c>
      <c r="HE281" s="584">
        <v>419.53690799999998</v>
      </c>
      <c r="HF281" s="584">
        <v>396</v>
      </c>
      <c r="HG281" s="1100">
        <v>1.6700000000000002</v>
      </c>
      <c r="HH281" s="1100">
        <v>0.11</v>
      </c>
      <c r="HI281" s="1101">
        <v>0</v>
      </c>
      <c r="HJ281" s="1101">
        <v>0</v>
      </c>
      <c r="HK281" s="1101">
        <v>0</v>
      </c>
      <c r="HL281" s="1101">
        <v>0</v>
      </c>
      <c r="HM281" s="1101">
        <v>65.945454545454552</v>
      </c>
      <c r="HN281" s="1101">
        <v>54.999999999999993</v>
      </c>
      <c r="HO281" s="1101">
        <v>0</v>
      </c>
      <c r="HP281" s="1101">
        <v>0</v>
      </c>
      <c r="HQ281" s="1101">
        <v>2</v>
      </c>
      <c r="HR281" s="1101">
        <v>1.56</v>
      </c>
      <c r="HS281" s="1101">
        <v>1.04</v>
      </c>
      <c r="HT281" s="1101">
        <v>0.3</v>
      </c>
      <c r="HU281" s="1101">
        <v>0.3</v>
      </c>
      <c r="HV281" s="1101">
        <v>101.14025399999998</v>
      </c>
      <c r="HW281" s="1101">
        <v>99</v>
      </c>
      <c r="HX281" s="1101">
        <v>202.28050799999997</v>
      </c>
      <c r="HY281" s="1101">
        <v>198</v>
      </c>
      <c r="HZ281" s="1101">
        <v>404.56101599999994</v>
      </c>
      <c r="IA281" s="1101">
        <v>396</v>
      </c>
      <c r="IB281" s="1062"/>
      <c r="ID281" s="1050"/>
      <c r="IE281" s="1050"/>
      <c r="IM281" s="1050"/>
      <c r="IN281" s="1050"/>
      <c r="IO281" s="1050"/>
      <c r="IP281" s="1050"/>
      <c r="JU281" s="1050"/>
      <c r="KC281" s="1050"/>
      <c r="KD281" s="1050"/>
      <c r="KE281" s="1050"/>
      <c r="KF281" s="1050"/>
      <c r="KN281" s="1103"/>
    </row>
    <row r="282" spans="2:300">
      <c r="B282" s="1048" t="str">
        <f t="shared" si="8"/>
        <v>H912</v>
      </c>
      <c r="C282" s="1046">
        <v>9</v>
      </c>
      <c r="D282" s="1092">
        <v>12</v>
      </c>
      <c r="E282" s="584">
        <v>0.56999999999999995</v>
      </c>
      <c r="F282" s="584">
        <v>0.56999999999999995</v>
      </c>
      <c r="G282" s="584">
        <v>1368</v>
      </c>
      <c r="H282" s="584">
        <v>32.49</v>
      </c>
      <c r="I282" s="584">
        <v>0</v>
      </c>
      <c r="J282" s="584">
        <v>0</v>
      </c>
      <c r="K282" s="584">
        <v>0</v>
      </c>
      <c r="L282" s="584">
        <v>0</v>
      </c>
      <c r="M282" s="584">
        <v>0</v>
      </c>
      <c r="N282" s="584">
        <v>0</v>
      </c>
      <c r="O282" s="584">
        <v>0</v>
      </c>
      <c r="P282" s="584">
        <v>0</v>
      </c>
      <c r="Q282" s="584">
        <v>0</v>
      </c>
      <c r="R282" s="584">
        <v>0</v>
      </c>
      <c r="S282" s="584">
        <v>0</v>
      </c>
      <c r="T282" s="584">
        <v>620.08043750000002</v>
      </c>
      <c r="U282" s="584">
        <v>108</v>
      </c>
      <c r="V282" s="584">
        <v>1162.71</v>
      </c>
      <c r="W282" s="584">
        <v>226.8</v>
      </c>
      <c r="X282" s="584">
        <v>2049.6577499999999</v>
      </c>
      <c r="Y282" s="584">
        <v>475.2</v>
      </c>
      <c r="Z282" s="584">
        <v>0.375</v>
      </c>
      <c r="AA282" s="584">
        <v>0.375</v>
      </c>
      <c r="AB282" s="584">
        <v>900</v>
      </c>
      <c r="AC282" s="584">
        <v>25</v>
      </c>
      <c r="AD282" s="584">
        <v>0</v>
      </c>
      <c r="AE282" s="584">
        <v>0</v>
      </c>
      <c r="AF282" s="584">
        <v>0</v>
      </c>
      <c r="AG282" s="584">
        <v>0</v>
      </c>
      <c r="AH282" s="584">
        <v>0</v>
      </c>
      <c r="AI282" s="584">
        <v>0</v>
      </c>
      <c r="AJ282" s="584">
        <v>0</v>
      </c>
      <c r="AK282" s="584">
        <v>0</v>
      </c>
      <c r="AL282" s="584">
        <v>0</v>
      </c>
      <c r="AM282" s="584">
        <v>0</v>
      </c>
      <c r="AN282" s="584">
        <v>0</v>
      </c>
      <c r="AO282" s="584">
        <v>478.02293750000001</v>
      </c>
      <c r="AP282" s="584">
        <v>108</v>
      </c>
      <c r="AQ282" s="584">
        <v>872.5764375</v>
      </c>
      <c r="AR282" s="584">
        <v>226.8</v>
      </c>
      <c r="AS282" s="584">
        <v>1467.261</v>
      </c>
      <c r="AT282" s="584">
        <v>475.2</v>
      </c>
      <c r="AU282" s="584">
        <v>0.92500000000000004</v>
      </c>
      <c r="AV282" s="584">
        <v>0.41499999999999998</v>
      </c>
      <c r="AW282" s="584">
        <v>685.99623309800199</v>
      </c>
      <c r="AX282" s="584">
        <v>39.099180926169701</v>
      </c>
      <c r="AY282" s="584">
        <v>0</v>
      </c>
      <c r="AZ282" s="584">
        <v>0</v>
      </c>
      <c r="BA282" s="584">
        <v>0</v>
      </c>
      <c r="BB282" s="584">
        <v>0</v>
      </c>
      <c r="BC282" s="584">
        <v>0</v>
      </c>
      <c r="BD282" s="584">
        <v>0</v>
      </c>
      <c r="BE282" s="584">
        <v>0</v>
      </c>
      <c r="BF282" s="584">
        <v>0</v>
      </c>
      <c r="BG282" s="584">
        <v>0.92500000000000004</v>
      </c>
      <c r="BH282" s="584">
        <v>0</v>
      </c>
      <c r="BI282" s="584">
        <v>0.6</v>
      </c>
      <c r="BJ282" s="584">
        <v>434.49622636861301</v>
      </c>
      <c r="BK282" s="584">
        <v>108</v>
      </c>
      <c r="BL282" s="584">
        <v>735.76545520073</v>
      </c>
      <c r="BM282" s="584">
        <v>226.8</v>
      </c>
      <c r="BN282" s="584">
        <v>1171.9368624087599</v>
      </c>
      <c r="BO282" s="584">
        <v>475.2</v>
      </c>
      <c r="BP282" s="584">
        <v>0.9</v>
      </c>
      <c r="BQ282" s="584">
        <v>0.245</v>
      </c>
      <c r="BR282" s="584">
        <v>745.72965777192803</v>
      </c>
      <c r="BS282" s="584">
        <v>54.161279167165297</v>
      </c>
      <c r="BT282" s="584">
        <v>0</v>
      </c>
      <c r="BU282" s="584">
        <v>0</v>
      </c>
      <c r="BV282" s="584">
        <v>0</v>
      </c>
      <c r="BW282" s="584">
        <v>0</v>
      </c>
      <c r="BX282" s="584">
        <v>0</v>
      </c>
      <c r="BY282" s="584">
        <v>0</v>
      </c>
      <c r="BZ282" s="584">
        <v>0</v>
      </c>
      <c r="CA282" s="584">
        <v>0.55000000000000004</v>
      </c>
      <c r="CB282" s="584">
        <v>0.9</v>
      </c>
      <c r="CC282" s="584">
        <v>0.45</v>
      </c>
      <c r="CD282" s="584">
        <v>0.45</v>
      </c>
      <c r="CE282" s="584">
        <v>454.17234999999999</v>
      </c>
      <c r="CF282" s="584">
        <v>108</v>
      </c>
      <c r="CG282" s="584">
        <v>781.23538125000005</v>
      </c>
      <c r="CH282" s="584">
        <v>226.8</v>
      </c>
      <c r="CI282" s="584">
        <v>1195.5596625000001</v>
      </c>
      <c r="CJ282" s="584">
        <v>475.2</v>
      </c>
      <c r="CK282" s="584">
        <v>1.1000000000000001</v>
      </c>
      <c r="CL282" s="584">
        <v>0.30499999999999999</v>
      </c>
      <c r="CM282" s="584">
        <v>841.94172549958103</v>
      </c>
      <c r="CN282" s="584">
        <v>33.028743717841301</v>
      </c>
      <c r="CO282" s="584">
        <v>0</v>
      </c>
      <c r="CP282" s="584">
        <v>0</v>
      </c>
      <c r="CQ282" s="584">
        <v>0</v>
      </c>
      <c r="CR282" s="584">
        <v>0</v>
      </c>
      <c r="CS282" s="584">
        <v>0</v>
      </c>
      <c r="CT282" s="584">
        <v>0</v>
      </c>
      <c r="CU282" s="584">
        <v>0</v>
      </c>
      <c r="CV282" s="584">
        <v>0</v>
      </c>
      <c r="CW282" s="584">
        <v>1.1000000000000001</v>
      </c>
      <c r="CX282" s="584">
        <v>0</v>
      </c>
      <c r="CY282" s="584">
        <v>0.6</v>
      </c>
      <c r="CZ282" s="584">
        <v>493.40777500000002</v>
      </c>
      <c r="DA282" s="584">
        <v>108</v>
      </c>
      <c r="DB282" s="584">
        <v>842.02065000000005</v>
      </c>
      <c r="DC282" s="584">
        <v>226.8</v>
      </c>
      <c r="DD282" s="584">
        <v>1364.75415</v>
      </c>
      <c r="DE282" s="584">
        <v>475.2</v>
      </c>
      <c r="DF282" s="584">
        <v>0.625</v>
      </c>
      <c r="DG282" s="584">
        <v>0.25</v>
      </c>
      <c r="DH282" s="584">
        <v>428.923357664234</v>
      </c>
      <c r="DI282" s="584">
        <v>21.442994375972201</v>
      </c>
      <c r="DJ282" s="584">
        <v>340</v>
      </c>
      <c r="DK282" s="584">
        <v>0</v>
      </c>
      <c r="DL282" s="584">
        <v>0</v>
      </c>
      <c r="DM282" s="584">
        <v>0</v>
      </c>
      <c r="DN282" s="584">
        <v>0</v>
      </c>
      <c r="DO282" s="584">
        <v>0</v>
      </c>
      <c r="DP282" s="584">
        <v>0</v>
      </c>
      <c r="DQ282" s="584">
        <v>0</v>
      </c>
      <c r="DR282" s="584">
        <v>0.625</v>
      </c>
      <c r="DS282" s="584">
        <v>0</v>
      </c>
      <c r="DT282" s="584">
        <v>2.4</v>
      </c>
      <c r="DU282" s="584">
        <v>407.65525000000002</v>
      </c>
      <c r="DV282" s="584">
        <v>108</v>
      </c>
      <c r="DW282" s="584">
        <v>790.62974999999994</v>
      </c>
      <c r="DX282" s="584">
        <v>226.8</v>
      </c>
      <c r="DY282" s="584">
        <v>1275.0997500000001</v>
      </c>
      <c r="DZ282" s="584">
        <v>475.2</v>
      </c>
      <c r="EA282" s="1062">
        <v>1.2509000000000001</v>
      </c>
      <c r="EB282" s="1046">
        <v>0.4</v>
      </c>
      <c r="EC282" s="1093">
        <v>132.51783893985737</v>
      </c>
      <c r="ED282" s="1046">
        <v>0</v>
      </c>
      <c r="EE282" s="1046">
        <v>519.87767584097855</v>
      </c>
      <c r="EF282" s="1046">
        <v>34.241666666666667</v>
      </c>
      <c r="EG282" s="1046">
        <v>0</v>
      </c>
      <c r="EH282" s="1046">
        <v>0</v>
      </c>
      <c r="EI282" s="1046" t="s">
        <v>377</v>
      </c>
      <c r="EJ282" s="1046" t="s">
        <v>425</v>
      </c>
      <c r="EK282" s="1046">
        <v>0</v>
      </c>
      <c r="EL282" s="1046">
        <v>0</v>
      </c>
      <c r="EM282" s="1046">
        <v>0</v>
      </c>
      <c r="EN282" s="1046">
        <v>0</v>
      </c>
      <c r="EO282" s="1046">
        <v>0</v>
      </c>
      <c r="EP282" s="1094">
        <v>260.16959025000006</v>
      </c>
      <c r="EQ282" s="1094">
        <v>108</v>
      </c>
      <c r="ER282" s="1094">
        <v>520.33918050000011</v>
      </c>
      <c r="ES282" s="1095">
        <v>216</v>
      </c>
      <c r="ET282" s="1094">
        <v>1040.6783610000002</v>
      </c>
      <c r="EU282" s="1094">
        <v>432</v>
      </c>
      <c r="EV282" s="1096">
        <v>0.91220000000000001</v>
      </c>
      <c r="EW282" s="1097">
        <v>0.15</v>
      </c>
      <c r="EX282" s="1096">
        <v>289.50050968399592</v>
      </c>
      <c r="EY282" s="1096">
        <v>1.5443934760448521</v>
      </c>
      <c r="EZ282" s="1096">
        <v>0</v>
      </c>
      <c r="FA282" s="1096">
        <v>32.683333333333337</v>
      </c>
      <c r="FB282" s="1098">
        <v>0</v>
      </c>
      <c r="FC282" s="1098">
        <v>0</v>
      </c>
      <c r="FD282" s="1098" t="s">
        <v>385</v>
      </c>
      <c r="FE282" s="1098" t="s">
        <v>432</v>
      </c>
      <c r="FF282" s="1098">
        <v>2</v>
      </c>
      <c r="FG282" s="1098">
        <v>0</v>
      </c>
      <c r="FH282" s="1098">
        <v>0</v>
      </c>
      <c r="FI282" s="1098">
        <v>0</v>
      </c>
      <c r="FJ282" s="1098">
        <v>0</v>
      </c>
      <c r="FK282" s="1096">
        <v>167.01589799999999</v>
      </c>
      <c r="FL282" s="1096">
        <v>108</v>
      </c>
      <c r="FM282" s="1096">
        <v>334.03179599999999</v>
      </c>
      <c r="FN282" s="1096">
        <v>216</v>
      </c>
      <c r="FO282" s="1096">
        <v>668.06359199999997</v>
      </c>
      <c r="FP282" s="1099">
        <v>432</v>
      </c>
      <c r="FQ282" s="1064">
        <v>1.3188599999999999</v>
      </c>
      <c r="FR282" s="1065">
        <v>0.15</v>
      </c>
      <c r="FS282" s="1066">
        <v>289.50050968399586</v>
      </c>
      <c r="FT282" s="1066">
        <v>3.2237153637237084</v>
      </c>
      <c r="FU282" s="1065"/>
      <c r="FV282" s="1066">
        <v>61.181677538035181</v>
      </c>
      <c r="FW282" s="1065"/>
      <c r="FX282" s="1065"/>
      <c r="FY282" s="1065" t="s">
        <v>381</v>
      </c>
      <c r="FZ282" s="1065" t="s">
        <v>416</v>
      </c>
      <c r="GA282" s="1065">
        <v>2</v>
      </c>
      <c r="GB282" s="1065"/>
      <c r="GC282" s="1065"/>
      <c r="GD282" s="1065"/>
      <c r="GE282" s="1065"/>
      <c r="GF282" s="1066">
        <v>172.03905641788884</v>
      </c>
      <c r="GG282" s="1066">
        <v>108</v>
      </c>
      <c r="GH282" s="1066">
        <v>344.07811283577769</v>
      </c>
      <c r="GI282" s="1066">
        <v>216</v>
      </c>
      <c r="GJ282" s="1066">
        <v>688.15622567155538</v>
      </c>
      <c r="GK282" s="1066">
        <v>432</v>
      </c>
      <c r="GL282" s="584">
        <v>1.0629999999999999</v>
      </c>
      <c r="GM282" s="584">
        <v>0.16</v>
      </c>
      <c r="GN282" s="584"/>
      <c r="GO282" s="584"/>
      <c r="GP282" s="584"/>
      <c r="GQ282" s="584">
        <v>59.061111111111103</v>
      </c>
      <c r="GR282" s="584"/>
      <c r="GS282" s="584">
        <v>81.549439347604505</v>
      </c>
      <c r="GT282" s="584" t="s">
        <v>385</v>
      </c>
      <c r="GU282" s="584" t="s">
        <v>375</v>
      </c>
      <c r="GV282" s="584">
        <v>1</v>
      </c>
      <c r="GW282" s="584"/>
      <c r="GX282" s="584"/>
      <c r="GY282" s="584"/>
      <c r="GZ282" s="584"/>
      <c r="HA282" s="584">
        <v>115.5435165</v>
      </c>
      <c r="HB282" s="584">
        <v>108</v>
      </c>
      <c r="HC282" s="584">
        <v>231.08703299999999</v>
      </c>
      <c r="HD282" s="584">
        <v>216</v>
      </c>
      <c r="HE282" s="584">
        <v>462.17406599999998</v>
      </c>
      <c r="HF282" s="584">
        <v>432</v>
      </c>
      <c r="HG282" s="1100">
        <v>1.83</v>
      </c>
      <c r="HH282" s="1100">
        <v>0.11</v>
      </c>
      <c r="HI282" s="1101">
        <v>0</v>
      </c>
      <c r="HJ282" s="1101">
        <v>0</v>
      </c>
      <c r="HK282" s="1101">
        <v>0</v>
      </c>
      <c r="HL282" s="1101">
        <v>0</v>
      </c>
      <c r="HM282" s="1101">
        <v>69.75</v>
      </c>
      <c r="HN282" s="1101">
        <v>54.999999999999993</v>
      </c>
      <c r="HO282" s="1101">
        <v>0</v>
      </c>
      <c r="HP282" s="1101">
        <v>0</v>
      </c>
      <c r="HQ282" s="1101">
        <v>2</v>
      </c>
      <c r="HR282" s="1101">
        <v>1.72</v>
      </c>
      <c r="HS282" s="1101">
        <v>1.2</v>
      </c>
      <c r="HT282" s="1101">
        <v>0.3</v>
      </c>
      <c r="HU282" s="1101">
        <v>0.28000000000000003</v>
      </c>
      <c r="HV282" s="1101">
        <v>111.34253249999998</v>
      </c>
      <c r="HW282" s="1101">
        <v>108</v>
      </c>
      <c r="HX282" s="1101">
        <v>222.68506499999995</v>
      </c>
      <c r="HY282" s="1101">
        <v>216</v>
      </c>
      <c r="HZ282" s="1101">
        <v>445.3701299999999</v>
      </c>
      <c r="IA282" s="1101">
        <v>432</v>
      </c>
      <c r="IB282" s="1062"/>
      <c r="ID282" s="1050"/>
      <c r="IE282" s="1050"/>
      <c r="IM282" s="1050"/>
      <c r="IN282" s="1050"/>
      <c r="IO282" s="1050"/>
      <c r="IP282" s="1050"/>
      <c r="JU282" s="1050"/>
      <c r="KC282" s="1050"/>
      <c r="KD282" s="1050"/>
      <c r="KE282" s="1050"/>
      <c r="KF282" s="1050"/>
      <c r="KN282" s="1103"/>
    </row>
    <row r="283" spans="2:300">
      <c r="B283" s="1048" t="str">
        <f t="shared" si="8"/>
        <v>H913</v>
      </c>
      <c r="C283" s="1046">
        <v>9</v>
      </c>
      <c r="D283" s="1092">
        <v>13</v>
      </c>
      <c r="E283" s="584">
        <v>0.56999999999999995</v>
      </c>
      <c r="F283" s="584">
        <v>0.56999999999999995</v>
      </c>
      <c r="G283" s="584">
        <v>1368</v>
      </c>
      <c r="H283" s="584">
        <v>30.78</v>
      </c>
      <c r="I283" s="584">
        <v>0</v>
      </c>
      <c r="J283" s="584">
        <v>0</v>
      </c>
      <c r="K283" s="584">
        <v>0</v>
      </c>
      <c r="L283" s="584">
        <v>0</v>
      </c>
      <c r="M283" s="584">
        <v>0</v>
      </c>
      <c r="N283" s="584">
        <v>0</v>
      </c>
      <c r="O283" s="584">
        <v>0</v>
      </c>
      <c r="P283" s="584">
        <v>0</v>
      </c>
      <c r="Q283" s="584">
        <v>0</v>
      </c>
      <c r="R283" s="584">
        <v>0</v>
      </c>
      <c r="S283" s="584">
        <v>0</v>
      </c>
      <c r="T283" s="584">
        <v>665.86293750000004</v>
      </c>
      <c r="U283" s="584">
        <v>117</v>
      </c>
      <c r="V283" s="584">
        <v>1258.8532499999999</v>
      </c>
      <c r="W283" s="584">
        <v>245.7</v>
      </c>
      <c r="X283" s="584">
        <v>2219.4427500000002</v>
      </c>
      <c r="Y283" s="584">
        <v>514.79999999999995</v>
      </c>
      <c r="Z283" s="584">
        <v>0.41</v>
      </c>
      <c r="AA283" s="584">
        <v>0.41</v>
      </c>
      <c r="AB283" s="584">
        <v>984</v>
      </c>
      <c r="AC283" s="584">
        <v>28</v>
      </c>
      <c r="AD283" s="584">
        <v>0</v>
      </c>
      <c r="AE283" s="584">
        <v>0</v>
      </c>
      <c r="AF283" s="584">
        <v>0</v>
      </c>
      <c r="AG283" s="584">
        <v>0</v>
      </c>
      <c r="AH283" s="584">
        <v>0</v>
      </c>
      <c r="AI283" s="584">
        <v>0</v>
      </c>
      <c r="AJ283" s="584">
        <v>0</v>
      </c>
      <c r="AK283" s="584">
        <v>0</v>
      </c>
      <c r="AL283" s="584">
        <v>0</v>
      </c>
      <c r="AM283" s="584">
        <v>0</v>
      </c>
      <c r="AN283" s="584">
        <v>0</v>
      </c>
      <c r="AO283" s="584">
        <v>539.90293750000001</v>
      </c>
      <c r="AP283" s="584">
        <v>117</v>
      </c>
      <c r="AQ283" s="584">
        <v>1000.7971874999999</v>
      </c>
      <c r="AR283" s="584">
        <v>245.7</v>
      </c>
      <c r="AS283" s="584">
        <v>1702.9569375000001</v>
      </c>
      <c r="AT283" s="584">
        <v>514.79999999999995</v>
      </c>
      <c r="AU283" s="584">
        <v>0</v>
      </c>
      <c r="AV283" s="584">
        <v>0</v>
      </c>
      <c r="AW283" s="584">
        <v>0</v>
      </c>
      <c r="AX283" s="584">
        <v>0</v>
      </c>
      <c r="AY283" s="584">
        <v>0</v>
      </c>
      <c r="AZ283" s="584">
        <v>0</v>
      </c>
      <c r="BA283" s="584">
        <v>0</v>
      </c>
      <c r="BB283" s="584">
        <v>0</v>
      </c>
      <c r="BC283" s="584">
        <v>0</v>
      </c>
      <c r="BD283" s="584">
        <v>0</v>
      </c>
      <c r="BE283" s="584">
        <v>0</v>
      </c>
      <c r="BF283" s="584">
        <v>0</v>
      </c>
      <c r="BG283" s="584">
        <v>0</v>
      </c>
      <c r="BH283" s="584">
        <v>0</v>
      </c>
      <c r="BI283" s="584">
        <v>0</v>
      </c>
      <c r="BJ283" s="584">
        <v>0</v>
      </c>
      <c r="BK283" s="584">
        <v>0</v>
      </c>
      <c r="BL283" s="584">
        <v>0</v>
      </c>
      <c r="BM283" s="584">
        <v>0</v>
      </c>
      <c r="BN283" s="584">
        <v>0</v>
      </c>
      <c r="BO283" s="584">
        <v>0</v>
      </c>
      <c r="BP283" s="584">
        <v>0</v>
      </c>
      <c r="BQ283" s="584">
        <v>0</v>
      </c>
      <c r="BR283" s="584">
        <v>0</v>
      </c>
      <c r="BS283" s="584">
        <v>0</v>
      </c>
      <c r="BT283" s="584">
        <v>0</v>
      </c>
      <c r="BU283" s="584">
        <v>0</v>
      </c>
      <c r="BV283" s="584">
        <v>0</v>
      </c>
      <c r="BW283" s="584">
        <v>0</v>
      </c>
      <c r="BX283" s="584">
        <v>0</v>
      </c>
      <c r="BY283" s="584">
        <v>0</v>
      </c>
      <c r="BZ283" s="584">
        <v>0</v>
      </c>
      <c r="CA283" s="584">
        <v>0</v>
      </c>
      <c r="CB283" s="584">
        <v>0</v>
      </c>
      <c r="CC283" s="584">
        <v>0</v>
      </c>
      <c r="CD283" s="584">
        <v>0</v>
      </c>
      <c r="CE283" s="584">
        <v>0</v>
      </c>
      <c r="CF283" s="584">
        <v>0</v>
      </c>
      <c r="CG283" s="584">
        <v>0</v>
      </c>
      <c r="CH283" s="584">
        <v>0</v>
      </c>
      <c r="CI283" s="584">
        <v>0</v>
      </c>
      <c r="CJ283" s="584">
        <v>0</v>
      </c>
      <c r="CK283" s="584">
        <v>0</v>
      </c>
      <c r="CL283" s="584">
        <v>0</v>
      </c>
      <c r="CM283" s="584">
        <v>0</v>
      </c>
      <c r="CN283" s="584">
        <v>0</v>
      </c>
      <c r="CO283" s="584">
        <v>0</v>
      </c>
      <c r="CP283" s="584">
        <v>0</v>
      </c>
      <c r="CQ283" s="584">
        <v>0</v>
      </c>
      <c r="CR283" s="584">
        <v>0</v>
      </c>
      <c r="CS283" s="584">
        <v>0</v>
      </c>
      <c r="CT283" s="584">
        <v>0</v>
      </c>
      <c r="CU283" s="584">
        <v>0</v>
      </c>
      <c r="CV283" s="584">
        <v>0</v>
      </c>
      <c r="CW283" s="584">
        <v>0</v>
      </c>
      <c r="CX283" s="584">
        <v>0</v>
      </c>
      <c r="CY283" s="584">
        <v>0</v>
      </c>
      <c r="CZ283" s="584">
        <v>0</v>
      </c>
      <c r="DA283" s="584">
        <v>0</v>
      </c>
      <c r="DB283" s="584">
        <v>0</v>
      </c>
      <c r="DC283" s="584">
        <v>0</v>
      </c>
      <c r="DD283" s="584">
        <v>0</v>
      </c>
      <c r="DE283" s="584">
        <v>0</v>
      </c>
      <c r="DF283" s="584">
        <v>0.7</v>
      </c>
      <c r="DG283" s="584">
        <v>0.25</v>
      </c>
      <c r="DH283" s="584">
        <v>487.28599867285999</v>
      </c>
      <c r="DI283" s="584">
        <v>23.688357000663601</v>
      </c>
      <c r="DJ283" s="584">
        <v>340</v>
      </c>
      <c r="DK283" s="584">
        <v>0</v>
      </c>
      <c r="DL283" s="584">
        <v>0</v>
      </c>
      <c r="DM283" s="584">
        <v>0</v>
      </c>
      <c r="DN283" s="584">
        <v>0</v>
      </c>
      <c r="DO283" s="584">
        <v>0</v>
      </c>
      <c r="DP283" s="584">
        <v>0</v>
      </c>
      <c r="DQ283" s="584">
        <v>0</v>
      </c>
      <c r="DR283" s="584">
        <v>0.7</v>
      </c>
      <c r="DS283" s="584">
        <v>0</v>
      </c>
      <c r="DT283" s="584">
        <v>2.4</v>
      </c>
      <c r="DU283" s="584">
        <v>459.53125</v>
      </c>
      <c r="DV283" s="584">
        <v>117</v>
      </c>
      <c r="DW283" s="584">
        <v>873.63075000000003</v>
      </c>
      <c r="DX283" s="584">
        <v>245.7</v>
      </c>
      <c r="DY283" s="584">
        <v>1439.0025000000001</v>
      </c>
      <c r="DZ283" s="584">
        <v>514.79999999999995</v>
      </c>
      <c r="EA283" s="1062">
        <v>1.3604000000000001</v>
      </c>
      <c r="EB283" s="1046">
        <v>0.45</v>
      </c>
      <c r="EC283" s="1093">
        <v>132.51783893985726</v>
      </c>
      <c r="ED283" s="1046">
        <v>0</v>
      </c>
      <c r="EE283" s="1046">
        <v>581.03975535168195</v>
      </c>
      <c r="EF283" s="1046">
        <v>41.557264957264955</v>
      </c>
      <c r="EG283" s="1046">
        <v>0</v>
      </c>
      <c r="EH283" s="1046">
        <v>0</v>
      </c>
      <c r="EI283" s="1046" t="s">
        <v>373</v>
      </c>
      <c r="EJ283" s="1046" t="s">
        <v>420</v>
      </c>
      <c r="EK283" s="1046">
        <v>0</v>
      </c>
      <c r="EL283" s="1046">
        <v>0</v>
      </c>
      <c r="EM283" s="1046">
        <v>0</v>
      </c>
      <c r="EN283" s="1046">
        <v>0</v>
      </c>
      <c r="EO283" s="1046">
        <v>0</v>
      </c>
      <c r="EP283" s="1094">
        <v>301.49954549999995</v>
      </c>
      <c r="EQ283" s="1094">
        <v>117</v>
      </c>
      <c r="ER283" s="1094">
        <v>602.99909099999991</v>
      </c>
      <c r="ES283" s="1095">
        <v>234</v>
      </c>
      <c r="ET283" s="1094">
        <v>1205.9981819999998</v>
      </c>
      <c r="EU283" s="1094">
        <v>468</v>
      </c>
      <c r="EV283" s="1096">
        <v>0.91220000000000001</v>
      </c>
      <c r="EW283" s="1097">
        <v>0.15</v>
      </c>
      <c r="EX283" s="1096">
        <v>289.50050968399592</v>
      </c>
      <c r="EY283" s="1096">
        <v>1.5443934760448521</v>
      </c>
      <c r="EZ283" s="1096">
        <v>0</v>
      </c>
      <c r="FA283" s="1096">
        <v>31.574358974358976</v>
      </c>
      <c r="FB283" s="1098">
        <v>0</v>
      </c>
      <c r="FC283" s="1098">
        <v>0</v>
      </c>
      <c r="FD283" s="1098" t="s">
        <v>385</v>
      </c>
      <c r="FE283" s="1098" t="s">
        <v>432</v>
      </c>
      <c r="FF283" s="1098">
        <v>2</v>
      </c>
      <c r="FG283" s="1098">
        <v>0</v>
      </c>
      <c r="FH283" s="1098">
        <v>0</v>
      </c>
      <c r="FI283" s="1098">
        <v>0</v>
      </c>
      <c r="FJ283" s="1098">
        <v>0</v>
      </c>
      <c r="FK283" s="1096">
        <v>180.61567762499999</v>
      </c>
      <c r="FL283" s="1096">
        <v>117</v>
      </c>
      <c r="FM283" s="1096">
        <v>361.23135524999998</v>
      </c>
      <c r="FN283" s="1096">
        <v>234</v>
      </c>
      <c r="FO283" s="1096">
        <v>722.46271049999996</v>
      </c>
      <c r="FP283" s="1099">
        <v>468</v>
      </c>
      <c r="FQ283" s="1064">
        <v>1.32698</v>
      </c>
      <c r="FR283" s="1065">
        <v>0.15</v>
      </c>
      <c r="FS283" s="1066">
        <v>289.50050968399586</v>
      </c>
      <c r="FT283" s="1066">
        <v>3.2237153637237084</v>
      </c>
      <c r="FU283" s="1065"/>
      <c r="FV283" s="1066">
        <v>67.86172302086942</v>
      </c>
      <c r="FW283" s="1065"/>
      <c r="FX283" s="1065"/>
      <c r="FY283" s="1065" t="s">
        <v>379</v>
      </c>
      <c r="FZ283" s="1065" t="s">
        <v>410</v>
      </c>
      <c r="GA283" s="1065">
        <v>2</v>
      </c>
      <c r="GB283" s="1065"/>
      <c r="GC283" s="1065"/>
      <c r="GD283" s="1065"/>
      <c r="GE283" s="1065"/>
      <c r="GF283" s="1066">
        <v>188.29243340367111</v>
      </c>
      <c r="GG283" s="1066">
        <v>117</v>
      </c>
      <c r="GH283" s="1066">
        <v>376.58486680734222</v>
      </c>
      <c r="GI283" s="1066">
        <v>234</v>
      </c>
      <c r="GJ283" s="1066">
        <v>753.16973361468445</v>
      </c>
      <c r="GK283" s="1066">
        <v>468</v>
      </c>
      <c r="GL283" s="584">
        <v>1.1400999999999999</v>
      </c>
      <c r="GM283" s="584">
        <v>0.16</v>
      </c>
      <c r="GN283" s="584"/>
      <c r="GO283" s="584"/>
      <c r="GP283" s="584"/>
      <c r="GQ283" s="584">
        <v>68.797435897435903</v>
      </c>
      <c r="GR283" s="584"/>
      <c r="GS283" s="584">
        <v>81.549439347604505</v>
      </c>
      <c r="GT283" s="584" t="s">
        <v>381</v>
      </c>
      <c r="GU283" s="584" t="s">
        <v>349</v>
      </c>
      <c r="GV283" s="584">
        <v>1</v>
      </c>
      <c r="GW283" s="584"/>
      <c r="GX283" s="584"/>
      <c r="GY283" s="584"/>
      <c r="GZ283" s="584"/>
      <c r="HA283" s="584">
        <v>127.96590825</v>
      </c>
      <c r="HB283" s="584">
        <v>117</v>
      </c>
      <c r="HC283" s="584">
        <v>255.9318165</v>
      </c>
      <c r="HD283" s="584">
        <v>234</v>
      </c>
      <c r="HE283" s="584">
        <v>511.86363299999999</v>
      </c>
      <c r="HF283" s="584">
        <v>468</v>
      </c>
      <c r="HG283" s="1100">
        <v>1.99</v>
      </c>
      <c r="HH283" s="1100">
        <v>0.11</v>
      </c>
      <c r="HI283" s="1101">
        <v>0</v>
      </c>
      <c r="HJ283" s="1101">
        <v>0</v>
      </c>
      <c r="HK283" s="1101">
        <v>0</v>
      </c>
      <c r="HL283" s="1101">
        <v>0</v>
      </c>
      <c r="HM283" s="1101">
        <v>78.923076923076934</v>
      </c>
      <c r="HN283" s="1101">
        <v>54.999999999999993</v>
      </c>
      <c r="HO283" s="1101">
        <v>0</v>
      </c>
      <c r="HP283" s="1101">
        <v>0</v>
      </c>
      <c r="HQ283" s="1101">
        <v>2</v>
      </c>
      <c r="HR283" s="1101">
        <v>1.88</v>
      </c>
      <c r="HS283" s="1101">
        <v>1.32</v>
      </c>
      <c r="HT283" s="1101">
        <v>0.3</v>
      </c>
      <c r="HU283" s="1101">
        <v>0.3</v>
      </c>
      <c r="HV283" s="1101">
        <v>123.25322249999999</v>
      </c>
      <c r="HW283" s="1101">
        <v>117</v>
      </c>
      <c r="HX283" s="1101">
        <v>246.50644499999999</v>
      </c>
      <c r="HY283" s="1101">
        <v>234</v>
      </c>
      <c r="HZ283" s="1101">
        <v>493.01288999999997</v>
      </c>
      <c r="IA283" s="1101">
        <v>468</v>
      </c>
      <c r="IB283" s="1062"/>
      <c r="ID283" s="1050"/>
      <c r="IE283" s="1050"/>
      <c r="IM283" s="1050"/>
      <c r="IN283" s="1050"/>
      <c r="IO283" s="1050"/>
      <c r="IP283" s="1050"/>
      <c r="JU283" s="1050"/>
      <c r="KC283" s="1050"/>
      <c r="KD283" s="1050"/>
      <c r="KE283" s="1050"/>
      <c r="KF283" s="1050"/>
      <c r="KN283" s="1103"/>
    </row>
    <row r="284" spans="2:300">
      <c r="B284" s="1048" t="str">
        <f t="shared" si="8"/>
        <v>H914</v>
      </c>
      <c r="C284" s="1046">
        <v>9</v>
      </c>
      <c r="D284" s="1092">
        <v>14</v>
      </c>
      <c r="E284" s="584">
        <v>0</v>
      </c>
      <c r="F284" s="584">
        <v>0</v>
      </c>
      <c r="G284" s="584">
        <v>0</v>
      </c>
      <c r="H284" s="584">
        <v>0</v>
      </c>
      <c r="I284" s="584">
        <v>0</v>
      </c>
      <c r="J284" s="584">
        <v>0</v>
      </c>
      <c r="K284" s="584">
        <v>0</v>
      </c>
      <c r="L284" s="584">
        <v>0</v>
      </c>
      <c r="M284" s="584">
        <v>0</v>
      </c>
      <c r="N284" s="584">
        <v>0</v>
      </c>
      <c r="O284" s="584">
        <v>0</v>
      </c>
      <c r="P284" s="584">
        <v>0</v>
      </c>
      <c r="Q284" s="584">
        <v>0</v>
      </c>
      <c r="R284" s="584">
        <v>0</v>
      </c>
      <c r="S284" s="584">
        <v>0</v>
      </c>
      <c r="T284" s="584">
        <v>0</v>
      </c>
      <c r="U284" s="584">
        <v>0</v>
      </c>
      <c r="V284" s="584">
        <v>0</v>
      </c>
      <c r="W284" s="584">
        <v>0</v>
      </c>
      <c r="X284" s="584">
        <v>0</v>
      </c>
      <c r="Y284" s="584">
        <v>0</v>
      </c>
      <c r="Z284" s="584">
        <v>0</v>
      </c>
      <c r="AA284" s="584">
        <v>0</v>
      </c>
      <c r="AB284" s="584">
        <v>0</v>
      </c>
      <c r="AC284" s="584">
        <v>0</v>
      </c>
      <c r="AD284" s="584">
        <v>0</v>
      </c>
      <c r="AE284" s="584">
        <v>0</v>
      </c>
      <c r="AF284" s="584">
        <v>0</v>
      </c>
      <c r="AG284" s="584">
        <v>0</v>
      </c>
      <c r="AH284" s="584">
        <v>0</v>
      </c>
      <c r="AI284" s="584">
        <v>0</v>
      </c>
      <c r="AJ284" s="584">
        <v>0</v>
      </c>
      <c r="AK284" s="584">
        <v>0</v>
      </c>
      <c r="AL284" s="584">
        <v>0</v>
      </c>
      <c r="AM284" s="584">
        <v>0</v>
      </c>
      <c r="AN284" s="584">
        <v>0</v>
      </c>
      <c r="AO284" s="584">
        <v>0</v>
      </c>
      <c r="AP284" s="584">
        <v>0</v>
      </c>
      <c r="AQ284" s="584">
        <v>0</v>
      </c>
      <c r="AR284" s="584">
        <v>0</v>
      </c>
      <c r="AS284" s="584">
        <v>0</v>
      </c>
      <c r="AT284" s="584">
        <v>0</v>
      </c>
      <c r="AU284" s="584">
        <v>0</v>
      </c>
      <c r="AV284" s="584">
        <v>0</v>
      </c>
      <c r="AW284" s="584">
        <v>0</v>
      </c>
      <c r="AX284" s="584">
        <v>0</v>
      </c>
      <c r="AY284" s="584">
        <v>0</v>
      </c>
      <c r="AZ284" s="584">
        <v>0</v>
      </c>
      <c r="BA284" s="584">
        <v>0</v>
      </c>
      <c r="BB284" s="584">
        <v>0</v>
      </c>
      <c r="BC284" s="584">
        <v>0</v>
      </c>
      <c r="BD284" s="584">
        <v>0</v>
      </c>
      <c r="BE284" s="584">
        <v>0</v>
      </c>
      <c r="BF284" s="584">
        <v>0</v>
      </c>
      <c r="BG284" s="584">
        <v>0</v>
      </c>
      <c r="BH284" s="584">
        <v>0</v>
      </c>
      <c r="BI284" s="584">
        <v>0</v>
      </c>
      <c r="BJ284" s="584">
        <v>0</v>
      </c>
      <c r="BK284" s="584">
        <v>0</v>
      </c>
      <c r="BL284" s="584">
        <v>0</v>
      </c>
      <c r="BM284" s="584">
        <v>0</v>
      </c>
      <c r="BN284" s="584">
        <v>0</v>
      </c>
      <c r="BO284" s="584">
        <v>0</v>
      </c>
      <c r="BP284" s="584">
        <v>0</v>
      </c>
      <c r="BQ284" s="584">
        <v>0</v>
      </c>
      <c r="BR284" s="584">
        <v>0</v>
      </c>
      <c r="BS284" s="584">
        <v>0</v>
      </c>
      <c r="BT284" s="584">
        <v>0</v>
      </c>
      <c r="BU284" s="584">
        <v>0</v>
      </c>
      <c r="BV284" s="584">
        <v>0</v>
      </c>
      <c r="BW284" s="584">
        <v>0</v>
      </c>
      <c r="BX284" s="584">
        <v>0</v>
      </c>
      <c r="BY284" s="584">
        <v>0</v>
      </c>
      <c r="BZ284" s="584">
        <v>0</v>
      </c>
      <c r="CA284" s="584">
        <v>0</v>
      </c>
      <c r="CB284" s="584">
        <v>0</v>
      </c>
      <c r="CC284" s="584">
        <v>0</v>
      </c>
      <c r="CD284" s="584">
        <v>0</v>
      </c>
      <c r="CE284" s="584">
        <v>0</v>
      </c>
      <c r="CF284" s="584">
        <v>0</v>
      </c>
      <c r="CG284" s="584">
        <v>0</v>
      </c>
      <c r="CH284" s="584">
        <v>0</v>
      </c>
      <c r="CI284" s="584">
        <v>0</v>
      </c>
      <c r="CJ284" s="584">
        <v>0</v>
      </c>
      <c r="CK284" s="584">
        <v>0</v>
      </c>
      <c r="CL284" s="584">
        <v>0</v>
      </c>
      <c r="CM284" s="584">
        <v>0</v>
      </c>
      <c r="CN284" s="584">
        <v>0</v>
      </c>
      <c r="CO284" s="584">
        <v>0</v>
      </c>
      <c r="CP284" s="584">
        <v>0</v>
      </c>
      <c r="CQ284" s="584">
        <v>0</v>
      </c>
      <c r="CR284" s="584">
        <v>0</v>
      </c>
      <c r="CS284" s="584">
        <v>0</v>
      </c>
      <c r="CT284" s="584">
        <v>0</v>
      </c>
      <c r="CU284" s="584">
        <v>0</v>
      </c>
      <c r="CV284" s="584">
        <v>0</v>
      </c>
      <c r="CW284" s="584">
        <v>0</v>
      </c>
      <c r="CX284" s="584">
        <v>0</v>
      </c>
      <c r="CY284" s="584">
        <v>0</v>
      </c>
      <c r="CZ284" s="584">
        <v>0</v>
      </c>
      <c r="DA284" s="584">
        <v>0</v>
      </c>
      <c r="DB284" s="584">
        <v>0</v>
      </c>
      <c r="DC284" s="584">
        <v>0</v>
      </c>
      <c r="DD284" s="584">
        <v>0</v>
      </c>
      <c r="DE284" s="584">
        <v>0</v>
      </c>
      <c r="DF284" s="584">
        <v>0</v>
      </c>
      <c r="DG284" s="584">
        <v>0</v>
      </c>
      <c r="DH284" s="584">
        <v>0</v>
      </c>
      <c r="DI284" s="584">
        <v>0</v>
      </c>
      <c r="DJ284" s="584">
        <v>0</v>
      </c>
      <c r="DK284" s="584">
        <v>0</v>
      </c>
      <c r="DL284" s="584">
        <v>0</v>
      </c>
      <c r="DM284" s="584">
        <v>0</v>
      </c>
      <c r="DN284" s="584">
        <v>0</v>
      </c>
      <c r="DO284" s="584">
        <v>0</v>
      </c>
      <c r="DP284" s="584">
        <v>0</v>
      </c>
      <c r="DQ284" s="584">
        <v>0</v>
      </c>
      <c r="DR284" s="584">
        <v>0</v>
      </c>
      <c r="DS284" s="584">
        <v>0</v>
      </c>
      <c r="DT284" s="584">
        <v>0</v>
      </c>
      <c r="DU284" s="584">
        <v>0</v>
      </c>
      <c r="DV284" s="584">
        <v>0</v>
      </c>
      <c r="DW284" s="584">
        <v>0</v>
      </c>
      <c r="DX284" s="584">
        <v>0</v>
      </c>
      <c r="DY284" s="584">
        <v>0</v>
      </c>
      <c r="DZ284" s="584">
        <v>0</v>
      </c>
      <c r="EA284" s="1062">
        <v>0</v>
      </c>
      <c r="EB284" s="1046">
        <v>0</v>
      </c>
      <c r="EC284" s="1093">
        <v>0</v>
      </c>
      <c r="ED284" s="1046">
        <v>0</v>
      </c>
      <c r="EE284" s="1046">
        <v>0</v>
      </c>
      <c r="EF284" s="1046">
        <v>0</v>
      </c>
      <c r="EG284" s="1046">
        <v>0</v>
      </c>
      <c r="EH284" s="1046">
        <v>0</v>
      </c>
      <c r="EI284" s="1046">
        <v>0</v>
      </c>
      <c r="EJ284" s="1046">
        <v>0</v>
      </c>
      <c r="EK284" s="1046">
        <v>0</v>
      </c>
      <c r="EL284" s="1046">
        <v>0</v>
      </c>
      <c r="EM284" s="1046">
        <v>0</v>
      </c>
      <c r="EN284" s="1046">
        <v>0</v>
      </c>
      <c r="EO284" s="1046">
        <v>0</v>
      </c>
      <c r="EP284" s="1094">
        <v>0</v>
      </c>
      <c r="EQ284" s="1094">
        <v>0</v>
      </c>
      <c r="ER284" s="1094">
        <v>0</v>
      </c>
      <c r="ES284" s="1095">
        <v>0</v>
      </c>
      <c r="ET284" s="1094">
        <v>0</v>
      </c>
      <c r="EU284" s="1094">
        <v>0</v>
      </c>
      <c r="EV284" s="1096">
        <v>0.91979999999999995</v>
      </c>
      <c r="EW284" s="1097">
        <v>0.15</v>
      </c>
      <c r="EX284" s="1096">
        <v>289.50050968399592</v>
      </c>
      <c r="EY284" s="1096">
        <v>1.5443934760448521</v>
      </c>
      <c r="EZ284" s="1096">
        <v>0</v>
      </c>
      <c r="FA284" s="1096">
        <v>36.546031746031744</v>
      </c>
      <c r="FB284" s="1098">
        <v>0</v>
      </c>
      <c r="FC284" s="1098">
        <v>0</v>
      </c>
      <c r="FD284" s="1098" t="s">
        <v>383</v>
      </c>
      <c r="FE284" s="1098" t="s">
        <v>410</v>
      </c>
      <c r="FF284" s="1098">
        <v>2</v>
      </c>
      <c r="FG284" s="1098">
        <v>0</v>
      </c>
      <c r="FH284" s="1098">
        <v>0</v>
      </c>
      <c r="FI284" s="1098">
        <v>0</v>
      </c>
      <c r="FJ284" s="1098">
        <v>0</v>
      </c>
      <c r="FK284" s="1096">
        <v>196.04551275</v>
      </c>
      <c r="FL284" s="1096">
        <v>126</v>
      </c>
      <c r="FM284" s="1096">
        <v>392.0910255</v>
      </c>
      <c r="FN284" s="1096">
        <v>252</v>
      </c>
      <c r="FO284" s="1096">
        <v>784.182051</v>
      </c>
      <c r="FP284" s="1099">
        <v>504</v>
      </c>
      <c r="FQ284" s="1064">
        <v>1.4141999999999999</v>
      </c>
      <c r="FR284" s="1065">
        <v>0.15</v>
      </c>
      <c r="FS284" s="1066">
        <v>289.50050968399586</v>
      </c>
      <c r="FT284" s="1066">
        <v>3.2237153637237084</v>
      </c>
      <c r="FU284" s="1065"/>
      <c r="FV284" s="1066">
        <v>77.427464709435952</v>
      </c>
      <c r="FW284" s="1065"/>
      <c r="FX284" s="1065"/>
      <c r="FY284" s="1065" t="s">
        <v>375</v>
      </c>
      <c r="FZ284" s="1065" t="s">
        <v>396</v>
      </c>
      <c r="GA284" s="1065">
        <v>2</v>
      </c>
      <c r="GB284" s="1065"/>
      <c r="GC284" s="1065"/>
      <c r="GD284" s="1065"/>
      <c r="GE284" s="1065"/>
      <c r="GF284" s="1066">
        <v>205.7324244103074</v>
      </c>
      <c r="GG284" s="1066">
        <v>126</v>
      </c>
      <c r="GH284" s="1066">
        <v>411.4648488206148</v>
      </c>
      <c r="GI284" s="1066">
        <v>252</v>
      </c>
      <c r="GJ284" s="1066">
        <v>822.92969764122961</v>
      </c>
      <c r="GK284" s="1066">
        <v>504</v>
      </c>
      <c r="GL284" s="584">
        <v>1.1598999999999999</v>
      </c>
      <c r="GM284" s="584">
        <v>0.16</v>
      </c>
      <c r="GN284" s="584"/>
      <c r="GO284" s="584"/>
      <c r="GP284" s="584"/>
      <c r="GQ284" s="584">
        <v>82.408730158730194</v>
      </c>
      <c r="GR284" s="584"/>
      <c r="GS284" s="584">
        <v>81.549439347604505</v>
      </c>
      <c r="GT284" s="584" t="s">
        <v>381</v>
      </c>
      <c r="GU284" s="584" t="s">
        <v>345</v>
      </c>
      <c r="GV284" s="584">
        <v>1</v>
      </c>
      <c r="GW284" s="584"/>
      <c r="GX284" s="584"/>
      <c r="GY284" s="584"/>
      <c r="GZ284" s="584"/>
      <c r="HA284" s="584">
        <v>142.01553375</v>
      </c>
      <c r="HB284" s="584">
        <v>126</v>
      </c>
      <c r="HC284" s="584">
        <v>284.03106750000001</v>
      </c>
      <c r="HD284" s="584">
        <v>252</v>
      </c>
      <c r="HE284" s="584">
        <v>568.06213500000001</v>
      </c>
      <c r="HF284" s="584">
        <v>504</v>
      </c>
      <c r="HG284" s="1100">
        <v>2.11</v>
      </c>
      <c r="HH284" s="1100">
        <v>0.11</v>
      </c>
      <c r="HI284" s="1101">
        <v>0</v>
      </c>
      <c r="HJ284" s="1101">
        <v>0</v>
      </c>
      <c r="HK284" s="1101">
        <v>0</v>
      </c>
      <c r="HL284" s="1101">
        <v>0</v>
      </c>
      <c r="HM284" s="1101">
        <v>84.085714285714261</v>
      </c>
      <c r="HN284" s="1101">
        <v>54.999999999999993</v>
      </c>
      <c r="HO284" s="1101">
        <v>0</v>
      </c>
      <c r="HP284" s="1101">
        <v>0</v>
      </c>
      <c r="HQ284" s="1101">
        <v>2</v>
      </c>
      <c r="HR284" s="1101">
        <v>2</v>
      </c>
      <c r="HS284" s="1101">
        <v>1.44</v>
      </c>
      <c r="HT284" s="1101">
        <v>0.3</v>
      </c>
      <c r="HU284" s="1101">
        <v>0.3</v>
      </c>
      <c r="HV284" s="1101">
        <v>134.32957199999996</v>
      </c>
      <c r="HW284" s="1101">
        <v>126</v>
      </c>
      <c r="HX284" s="1101">
        <v>268.65914399999991</v>
      </c>
      <c r="HY284" s="1101">
        <v>252</v>
      </c>
      <c r="HZ284" s="1101">
        <v>537.31828799999982</v>
      </c>
      <c r="IA284" s="1101">
        <v>504</v>
      </c>
      <c r="IB284" s="1062"/>
      <c r="ID284" s="1050"/>
      <c r="IE284" s="1050"/>
      <c r="IM284" s="1050"/>
      <c r="IN284" s="1050"/>
      <c r="IO284" s="1050"/>
      <c r="IP284" s="1050"/>
      <c r="JU284" s="1050"/>
      <c r="KC284" s="1050"/>
      <c r="KD284" s="1050"/>
      <c r="KE284" s="1050"/>
      <c r="KF284" s="1050"/>
      <c r="KN284" s="1103"/>
    </row>
    <row r="285" spans="2:300">
      <c r="B285" s="1048" t="str">
        <f t="shared" si="8"/>
        <v>H915</v>
      </c>
      <c r="C285" s="1046">
        <v>9</v>
      </c>
      <c r="D285" s="1092">
        <v>15</v>
      </c>
      <c r="E285" s="584">
        <v>0</v>
      </c>
      <c r="F285" s="584">
        <v>0</v>
      </c>
      <c r="G285" s="584">
        <v>0</v>
      </c>
      <c r="H285" s="584">
        <v>0</v>
      </c>
      <c r="I285" s="584">
        <v>0</v>
      </c>
      <c r="J285" s="584">
        <v>0</v>
      </c>
      <c r="K285" s="584">
        <v>0</v>
      </c>
      <c r="L285" s="584">
        <v>0</v>
      </c>
      <c r="M285" s="584">
        <v>0</v>
      </c>
      <c r="N285" s="584">
        <v>0</v>
      </c>
      <c r="O285" s="584">
        <v>0</v>
      </c>
      <c r="P285" s="584">
        <v>0</v>
      </c>
      <c r="Q285" s="584">
        <v>0</v>
      </c>
      <c r="R285" s="584">
        <v>0</v>
      </c>
      <c r="S285" s="584">
        <v>0</v>
      </c>
      <c r="T285" s="584">
        <v>0</v>
      </c>
      <c r="U285" s="584">
        <v>0</v>
      </c>
      <c r="V285" s="584">
        <v>0</v>
      </c>
      <c r="W285" s="584">
        <v>0</v>
      </c>
      <c r="X285" s="584">
        <v>0</v>
      </c>
      <c r="Y285" s="584">
        <v>0</v>
      </c>
      <c r="Z285" s="584">
        <v>0</v>
      </c>
      <c r="AA285" s="584">
        <v>0</v>
      </c>
      <c r="AB285" s="584">
        <v>0</v>
      </c>
      <c r="AC285" s="584">
        <v>0</v>
      </c>
      <c r="AD285" s="584">
        <v>0</v>
      </c>
      <c r="AE285" s="584">
        <v>0</v>
      </c>
      <c r="AF285" s="584">
        <v>0</v>
      </c>
      <c r="AG285" s="584">
        <v>0</v>
      </c>
      <c r="AH285" s="584">
        <v>0</v>
      </c>
      <c r="AI285" s="584">
        <v>0</v>
      </c>
      <c r="AJ285" s="584">
        <v>0</v>
      </c>
      <c r="AK285" s="584">
        <v>0</v>
      </c>
      <c r="AL285" s="584">
        <v>0</v>
      </c>
      <c r="AM285" s="584">
        <v>0</v>
      </c>
      <c r="AN285" s="584">
        <v>0</v>
      </c>
      <c r="AO285" s="584">
        <v>0</v>
      </c>
      <c r="AP285" s="584">
        <v>0</v>
      </c>
      <c r="AQ285" s="584">
        <v>0</v>
      </c>
      <c r="AR285" s="584">
        <v>0</v>
      </c>
      <c r="AS285" s="584">
        <v>0</v>
      </c>
      <c r="AT285" s="584">
        <v>0</v>
      </c>
      <c r="AU285" s="584">
        <v>0</v>
      </c>
      <c r="AV285" s="584">
        <v>0</v>
      </c>
      <c r="AW285" s="584">
        <v>0</v>
      </c>
      <c r="AX285" s="584">
        <v>0</v>
      </c>
      <c r="AY285" s="584">
        <v>0</v>
      </c>
      <c r="AZ285" s="584">
        <v>0</v>
      </c>
      <c r="BA285" s="584">
        <v>0</v>
      </c>
      <c r="BB285" s="584">
        <v>0</v>
      </c>
      <c r="BC285" s="584">
        <v>0</v>
      </c>
      <c r="BD285" s="584">
        <v>0</v>
      </c>
      <c r="BE285" s="584">
        <v>0</v>
      </c>
      <c r="BF285" s="584">
        <v>0</v>
      </c>
      <c r="BG285" s="584">
        <v>0</v>
      </c>
      <c r="BH285" s="584">
        <v>0</v>
      </c>
      <c r="BI285" s="584">
        <v>0</v>
      </c>
      <c r="BJ285" s="584">
        <v>0</v>
      </c>
      <c r="BK285" s="584">
        <v>0</v>
      </c>
      <c r="BL285" s="584">
        <v>0</v>
      </c>
      <c r="BM285" s="584">
        <v>0</v>
      </c>
      <c r="BN285" s="584">
        <v>0</v>
      </c>
      <c r="BO285" s="584">
        <v>0</v>
      </c>
      <c r="BP285" s="584">
        <v>0</v>
      </c>
      <c r="BQ285" s="584">
        <v>0</v>
      </c>
      <c r="BR285" s="584">
        <v>0</v>
      </c>
      <c r="BS285" s="584">
        <v>0</v>
      </c>
      <c r="BT285" s="584">
        <v>0</v>
      </c>
      <c r="BU285" s="584">
        <v>0</v>
      </c>
      <c r="BV285" s="584">
        <v>0</v>
      </c>
      <c r="BW285" s="584">
        <v>0</v>
      </c>
      <c r="BX285" s="584">
        <v>0</v>
      </c>
      <c r="BY285" s="584">
        <v>0</v>
      </c>
      <c r="BZ285" s="584">
        <v>0</v>
      </c>
      <c r="CA285" s="584">
        <v>0</v>
      </c>
      <c r="CB285" s="584">
        <v>0</v>
      </c>
      <c r="CC285" s="584">
        <v>0</v>
      </c>
      <c r="CD285" s="584">
        <v>0</v>
      </c>
      <c r="CE285" s="584">
        <v>0</v>
      </c>
      <c r="CF285" s="584">
        <v>0</v>
      </c>
      <c r="CG285" s="584">
        <v>0</v>
      </c>
      <c r="CH285" s="584">
        <v>0</v>
      </c>
      <c r="CI285" s="584">
        <v>0</v>
      </c>
      <c r="CJ285" s="584">
        <v>0</v>
      </c>
      <c r="CK285" s="584">
        <v>0</v>
      </c>
      <c r="CL285" s="584">
        <v>0</v>
      </c>
      <c r="CM285" s="584">
        <v>0</v>
      </c>
      <c r="CN285" s="584">
        <v>0</v>
      </c>
      <c r="CO285" s="584">
        <v>0</v>
      </c>
      <c r="CP285" s="584">
        <v>0</v>
      </c>
      <c r="CQ285" s="584">
        <v>0</v>
      </c>
      <c r="CR285" s="584">
        <v>0</v>
      </c>
      <c r="CS285" s="584">
        <v>0</v>
      </c>
      <c r="CT285" s="584">
        <v>0</v>
      </c>
      <c r="CU285" s="584">
        <v>0</v>
      </c>
      <c r="CV285" s="584">
        <v>0</v>
      </c>
      <c r="CW285" s="584">
        <v>0</v>
      </c>
      <c r="CX285" s="584">
        <v>0</v>
      </c>
      <c r="CY285" s="584">
        <v>0</v>
      </c>
      <c r="CZ285" s="584">
        <v>0</v>
      </c>
      <c r="DA285" s="584">
        <v>0</v>
      </c>
      <c r="DB285" s="584">
        <v>0</v>
      </c>
      <c r="DC285" s="584">
        <v>0</v>
      </c>
      <c r="DD285" s="584">
        <v>0</v>
      </c>
      <c r="DE285" s="584">
        <v>0</v>
      </c>
      <c r="DF285" s="584">
        <v>0</v>
      </c>
      <c r="DG285" s="584">
        <v>0</v>
      </c>
      <c r="DH285" s="584">
        <v>0</v>
      </c>
      <c r="DI285" s="584">
        <v>0</v>
      </c>
      <c r="DJ285" s="584">
        <v>0</v>
      </c>
      <c r="DK285" s="584">
        <v>0</v>
      </c>
      <c r="DL285" s="584">
        <v>0</v>
      </c>
      <c r="DM285" s="584">
        <v>0</v>
      </c>
      <c r="DN285" s="584">
        <v>0</v>
      </c>
      <c r="DO285" s="584">
        <v>0</v>
      </c>
      <c r="DP285" s="584">
        <v>0</v>
      </c>
      <c r="DQ285" s="584">
        <v>0</v>
      </c>
      <c r="DR285" s="584">
        <v>0</v>
      </c>
      <c r="DS285" s="584">
        <v>0</v>
      </c>
      <c r="DT285" s="584">
        <v>0</v>
      </c>
      <c r="DU285" s="584">
        <v>0</v>
      </c>
      <c r="DV285" s="584">
        <v>0</v>
      </c>
      <c r="DW285" s="584">
        <v>0</v>
      </c>
      <c r="DX285" s="584">
        <v>0</v>
      </c>
      <c r="DY285" s="584">
        <v>0</v>
      </c>
      <c r="DZ285" s="584">
        <v>0</v>
      </c>
      <c r="EA285" s="1062">
        <v>0</v>
      </c>
      <c r="EB285" s="1046">
        <v>0</v>
      </c>
      <c r="EC285" s="1093">
        <v>0</v>
      </c>
      <c r="ED285" s="1046">
        <v>0</v>
      </c>
      <c r="EE285" s="1046">
        <v>0</v>
      </c>
      <c r="EF285" s="1046">
        <v>0</v>
      </c>
      <c r="EG285" s="1046">
        <v>0</v>
      </c>
      <c r="EH285" s="1046">
        <v>0</v>
      </c>
      <c r="EI285" s="1046">
        <v>0</v>
      </c>
      <c r="EJ285" s="1046">
        <v>0</v>
      </c>
      <c r="EK285" s="1046">
        <v>0</v>
      </c>
      <c r="EL285" s="1046">
        <v>0</v>
      </c>
      <c r="EM285" s="1046">
        <v>0</v>
      </c>
      <c r="EN285" s="1046">
        <v>0</v>
      </c>
      <c r="EO285" s="1046">
        <v>0</v>
      </c>
      <c r="EP285" s="1094">
        <v>0</v>
      </c>
      <c r="EQ285" s="1094">
        <v>0</v>
      </c>
      <c r="ER285" s="1094">
        <v>0</v>
      </c>
      <c r="ES285" s="1095">
        <v>0</v>
      </c>
      <c r="ET285" s="1094">
        <v>0</v>
      </c>
      <c r="EU285" s="1094">
        <v>0</v>
      </c>
      <c r="EV285" s="1096">
        <v>0.99070000000000003</v>
      </c>
      <c r="EW285" s="1097">
        <v>0.15</v>
      </c>
      <c r="EX285" s="1096">
        <v>289.50050968399592</v>
      </c>
      <c r="EY285" s="1096">
        <v>1.5443934760448521</v>
      </c>
      <c r="EZ285" s="1096">
        <v>0</v>
      </c>
      <c r="FA285" s="1096">
        <v>35.408888888888889</v>
      </c>
      <c r="FB285" s="1098">
        <v>0</v>
      </c>
      <c r="FC285" s="1098">
        <v>0</v>
      </c>
      <c r="FD285" s="1098" t="s">
        <v>379</v>
      </c>
      <c r="FE285" s="1098" t="s">
        <v>410</v>
      </c>
      <c r="FF285" s="1098">
        <v>2</v>
      </c>
      <c r="FG285" s="1098">
        <v>0</v>
      </c>
      <c r="FH285" s="1098">
        <v>0</v>
      </c>
      <c r="FI285" s="1098">
        <v>0</v>
      </c>
      <c r="FJ285" s="1098">
        <v>0</v>
      </c>
      <c r="FK285" s="1096">
        <v>209.67226987500004</v>
      </c>
      <c r="FL285" s="1096">
        <v>135</v>
      </c>
      <c r="FM285" s="1096">
        <v>419.34453975000008</v>
      </c>
      <c r="FN285" s="1096">
        <v>270</v>
      </c>
      <c r="FO285" s="1096">
        <v>838.68907950000016</v>
      </c>
      <c r="FP285" s="1099">
        <v>540</v>
      </c>
      <c r="FQ285" s="1064">
        <v>1.5084199999999999</v>
      </c>
      <c r="FR285" s="1065">
        <v>0.15</v>
      </c>
      <c r="FS285" s="1066">
        <v>289.50050968399586</v>
      </c>
      <c r="FT285" s="1066">
        <v>3.2237153637237084</v>
      </c>
      <c r="FU285" s="1065"/>
      <c r="FV285" s="1066">
        <v>81.800944730542724</v>
      </c>
      <c r="FW285" s="1065"/>
      <c r="FX285" s="1065"/>
      <c r="FY285" s="1065" t="s">
        <v>1103</v>
      </c>
      <c r="FZ285" s="1065" t="s">
        <v>389</v>
      </c>
      <c r="GA285" s="1065">
        <v>2</v>
      </c>
      <c r="GB285" s="1065"/>
      <c r="GC285" s="1065"/>
      <c r="GD285" s="1065"/>
      <c r="GE285" s="1065"/>
      <c r="GF285" s="1066">
        <v>221.87560214896044</v>
      </c>
      <c r="GG285" s="1066">
        <v>135</v>
      </c>
      <c r="GH285" s="1066">
        <v>443.75120429792088</v>
      </c>
      <c r="GI285" s="1066">
        <v>270</v>
      </c>
      <c r="GJ285" s="1066">
        <v>887.50240859584176</v>
      </c>
      <c r="GK285" s="1066">
        <v>540</v>
      </c>
      <c r="GL285" s="584">
        <v>1.18</v>
      </c>
      <c r="GM285" s="584">
        <v>0.16</v>
      </c>
      <c r="GN285" s="584"/>
      <c r="GO285" s="584"/>
      <c r="GP285" s="584"/>
      <c r="GQ285" s="584">
        <v>105.142222222222</v>
      </c>
      <c r="GR285" s="584"/>
      <c r="GS285" s="584">
        <v>81.549439347604505</v>
      </c>
      <c r="GT285" s="584" t="s">
        <v>379</v>
      </c>
      <c r="GU285" s="584" t="s">
        <v>340</v>
      </c>
      <c r="GV285" s="584">
        <v>1</v>
      </c>
      <c r="GW285" s="584"/>
      <c r="GX285" s="584"/>
      <c r="GY285" s="584"/>
      <c r="GZ285" s="584"/>
      <c r="HA285" s="584">
        <v>159.68627549999999</v>
      </c>
      <c r="HB285" s="584">
        <v>135</v>
      </c>
      <c r="HC285" s="584">
        <v>319.37255099999999</v>
      </c>
      <c r="HD285" s="584">
        <v>270</v>
      </c>
      <c r="HE285" s="584">
        <v>638.74510199999997</v>
      </c>
      <c r="HF285" s="584">
        <v>540</v>
      </c>
      <c r="HG285" s="1100">
        <v>2.31</v>
      </c>
      <c r="HH285" s="1100">
        <v>0.11</v>
      </c>
      <c r="HI285" s="1101">
        <v>0</v>
      </c>
      <c r="HJ285" s="1101">
        <v>0</v>
      </c>
      <c r="HK285" s="1101">
        <v>0</v>
      </c>
      <c r="HL285" s="1101">
        <v>0</v>
      </c>
      <c r="HM285" s="1101">
        <v>91.8</v>
      </c>
      <c r="HN285" s="1101">
        <v>54.999999999999993</v>
      </c>
      <c r="HO285" s="1101">
        <v>0</v>
      </c>
      <c r="HP285" s="1101">
        <v>0</v>
      </c>
      <c r="HQ285" s="1101">
        <v>2</v>
      </c>
      <c r="HR285" s="1101">
        <v>2.2000000000000002</v>
      </c>
      <c r="HS285" s="1101">
        <v>1.6</v>
      </c>
      <c r="HT285" s="1101">
        <v>0.3</v>
      </c>
      <c r="HU285" s="1101">
        <v>0.3</v>
      </c>
      <c r="HV285" s="1101">
        <v>146.47864499999997</v>
      </c>
      <c r="HW285" s="1101">
        <v>135</v>
      </c>
      <c r="HX285" s="1101">
        <v>292.95728999999994</v>
      </c>
      <c r="HY285" s="1101">
        <v>270</v>
      </c>
      <c r="HZ285" s="1101">
        <v>585.91457999999989</v>
      </c>
      <c r="IA285" s="1101">
        <v>540</v>
      </c>
      <c r="IB285" s="1062"/>
      <c r="ID285" s="1050"/>
      <c r="IE285" s="1050"/>
      <c r="IM285" s="1050"/>
      <c r="IN285" s="1050"/>
      <c r="IO285" s="1050"/>
      <c r="IP285" s="1050"/>
      <c r="JU285" s="1050"/>
      <c r="KC285" s="1050"/>
      <c r="KD285" s="1050"/>
      <c r="KE285" s="1050"/>
      <c r="KF285" s="1050"/>
      <c r="KN285" s="1103"/>
    </row>
    <row r="286" spans="2:300">
      <c r="B286" s="1048" t="str">
        <f t="shared" si="8"/>
        <v>H916</v>
      </c>
      <c r="C286" s="1046">
        <v>9</v>
      </c>
      <c r="D286" s="1092">
        <v>16</v>
      </c>
      <c r="E286" s="584">
        <v>0</v>
      </c>
      <c r="F286" s="584">
        <v>0</v>
      </c>
      <c r="G286" s="584">
        <v>0</v>
      </c>
      <c r="H286" s="584">
        <v>0</v>
      </c>
      <c r="I286" s="584">
        <v>0</v>
      </c>
      <c r="J286" s="584">
        <v>0</v>
      </c>
      <c r="K286" s="584">
        <v>0</v>
      </c>
      <c r="L286" s="584">
        <v>0</v>
      </c>
      <c r="M286" s="584">
        <v>0</v>
      </c>
      <c r="N286" s="584">
        <v>0</v>
      </c>
      <c r="O286" s="584">
        <v>0</v>
      </c>
      <c r="P286" s="584">
        <v>0</v>
      </c>
      <c r="Q286" s="584">
        <v>0</v>
      </c>
      <c r="R286" s="584">
        <v>0</v>
      </c>
      <c r="S286" s="584">
        <v>0</v>
      </c>
      <c r="T286" s="584">
        <v>0</v>
      </c>
      <c r="U286" s="584">
        <v>0</v>
      </c>
      <c r="V286" s="584">
        <v>0</v>
      </c>
      <c r="W286" s="584">
        <v>0</v>
      </c>
      <c r="X286" s="584">
        <v>0</v>
      </c>
      <c r="Y286" s="584">
        <v>0</v>
      </c>
      <c r="Z286" s="584">
        <v>0</v>
      </c>
      <c r="AA286" s="584">
        <v>0</v>
      </c>
      <c r="AB286" s="584">
        <v>0</v>
      </c>
      <c r="AC286" s="584">
        <v>0</v>
      </c>
      <c r="AD286" s="584">
        <v>0</v>
      </c>
      <c r="AE286" s="584">
        <v>0</v>
      </c>
      <c r="AF286" s="584">
        <v>0</v>
      </c>
      <c r="AG286" s="584">
        <v>0</v>
      </c>
      <c r="AH286" s="584">
        <v>0</v>
      </c>
      <c r="AI286" s="584">
        <v>0</v>
      </c>
      <c r="AJ286" s="584">
        <v>0</v>
      </c>
      <c r="AK286" s="584">
        <v>0</v>
      </c>
      <c r="AL286" s="584">
        <v>0</v>
      </c>
      <c r="AM286" s="584">
        <v>0</v>
      </c>
      <c r="AN286" s="584">
        <v>0</v>
      </c>
      <c r="AO286" s="584">
        <v>0</v>
      </c>
      <c r="AP286" s="584">
        <v>0</v>
      </c>
      <c r="AQ286" s="584">
        <v>0</v>
      </c>
      <c r="AR286" s="584">
        <v>0</v>
      </c>
      <c r="AS286" s="584">
        <v>0</v>
      </c>
      <c r="AT286" s="584">
        <v>0</v>
      </c>
      <c r="AU286" s="584">
        <v>0</v>
      </c>
      <c r="AV286" s="584">
        <v>0</v>
      </c>
      <c r="AW286" s="584">
        <v>0</v>
      </c>
      <c r="AX286" s="584">
        <v>0</v>
      </c>
      <c r="AY286" s="584">
        <v>0</v>
      </c>
      <c r="AZ286" s="584">
        <v>0</v>
      </c>
      <c r="BA286" s="584">
        <v>0</v>
      </c>
      <c r="BB286" s="584">
        <v>0</v>
      </c>
      <c r="BC286" s="584">
        <v>0</v>
      </c>
      <c r="BD286" s="584">
        <v>0</v>
      </c>
      <c r="BE286" s="584">
        <v>0</v>
      </c>
      <c r="BF286" s="584">
        <v>0</v>
      </c>
      <c r="BG286" s="584">
        <v>0</v>
      </c>
      <c r="BH286" s="584">
        <v>0</v>
      </c>
      <c r="BI286" s="584">
        <v>0</v>
      </c>
      <c r="BJ286" s="584">
        <v>0</v>
      </c>
      <c r="BK286" s="584">
        <v>0</v>
      </c>
      <c r="BL286" s="584">
        <v>0</v>
      </c>
      <c r="BM286" s="584">
        <v>0</v>
      </c>
      <c r="BN286" s="584">
        <v>0</v>
      </c>
      <c r="BO286" s="584">
        <v>0</v>
      </c>
      <c r="BP286" s="584">
        <v>0</v>
      </c>
      <c r="BQ286" s="584">
        <v>0</v>
      </c>
      <c r="BR286" s="584">
        <v>0</v>
      </c>
      <c r="BS286" s="584">
        <v>0</v>
      </c>
      <c r="BT286" s="584">
        <v>0</v>
      </c>
      <c r="BU286" s="584">
        <v>0</v>
      </c>
      <c r="BV286" s="584">
        <v>0</v>
      </c>
      <c r="BW286" s="584">
        <v>0</v>
      </c>
      <c r="BX286" s="584">
        <v>0</v>
      </c>
      <c r="BY286" s="584">
        <v>0</v>
      </c>
      <c r="BZ286" s="584">
        <v>0</v>
      </c>
      <c r="CA286" s="584">
        <v>0</v>
      </c>
      <c r="CB286" s="584">
        <v>0</v>
      </c>
      <c r="CC286" s="584">
        <v>0</v>
      </c>
      <c r="CD286" s="584">
        <v>0</v>
      </c>
      <c r="CE286" s="584">
        <v>0</v>
      </c>
      <c r="CF286" s="584">
        <v>0</v>
      </c>
      <c r="CG286" s="584">
        <v>0</v>
      </c>
      <c r="CH286" s="584">
        <v>0</v>
      </c>
      <c r="CI286" s="584">
        <v>0</v>
      </c>
      <c r="CJ286" s="584">
        <v>0</v>
      </c>
      <c r="CK286" s="584">
        <v>0</v>
      </c>
      <c r="CL286" s="584">
        <v>0</v>
      </c>
      <c r="CM286" s="584">
        <v>0</v>
      </c>
      <c r="CN286" s="584">
        <v>0</v>
      </c>
      <c r="CO286" s="584">
        <v>0</v>
      </c>
      <c r="CP286" s="584">
        <v>0</v>
      </c>
      <c r="CQ286" s="584">
        <v>0</v>
      </c>
      <c r="CR286" s="584">
        <v>0</v>
      </c>
      <c r="CS286" s="584">
        <v>0</v>
      </c>
      <c r="CT286" s="584">
        <v>0</v>
      </c>
      <c r="CU286" s="584">
        <v>0</v>
      </c>
      <c r="CV286" s="584">
        <v>0</v>
      </c>
      <c r="CW286" s="584">
        <v>0</v>
      </c>
      <c r="CX286" s="584">
        <v>0</v>
      </c>
      <c r="CY286" s="584">
        <v>0</v>
      </c>
      <c r="CZ286" s="584">
        <v>0</v>
      </c>
      <c r="DA286" s="584">
        <v>0</v>
      </c>
      <c r="DB286" s="584">
        <v>0</v>
      </c>
      <c r="DC286" s="584">
        <v>0</v>
      </c>
      <c r="DD286" s="584">
        <v>0</v>
      </c>
      <c r="DE286" s="584">
        <v>0</v>
      </c>
      <c r="DF286" s="584">
        <v>0</v>
      </c>
      <c r="DG286" s="584">
        <v>0</v>
      </c>
      <c r="DH286" s="584">
        <v>0</v>
      </c>
      <c r="DI286" s="584">
        <v>0</v>
      </c>
      <c r="DJ286" s="584">
        <v>0</v>
      </c>
      <c r="DK286" s="584">
        <v>0</v>
      </c>
      <c r="DL286" s="584">
        <v>0</v>
      </c>
      <c r="DM286" s="584">
        <v>0</v>
      </c>
      <c r="DN286" s="584">
        <v>0</v>
      </c>
      <c r="DO286" s="584">
        <v>0</v>
      </c>
      <c r="DP286" s="584">
        <v>0</v>
      </c>
      <c r="DQ286" s="584">
        <v>0</v>
      </c>
      <c r="DR286" s="584">
        <v>0</v>
      </c>
      <c r="DS286" s="584">
        <v>0</v>
      </c>
      <c r="DT286" s="584">
        <v>0</v>
      </c>
      <c r="DU286" s="584">
        <v>0</v>
      </c>
      <c r="DV286" s="584">
        <v>0</v>
      </c>
      <c r="DW286" s="584">
        <v>0</v>
      </c>
      <c r="DX286" s="584">
        <v>0</v>
      </c>
      <c r="DY286" s="584">
        <v>0</v>
      </c>
      <c r="DZ286" s="584">
        <v>0</v>
      </c>
      <c r="EA286" s="1062">
        <v>0</v>
      </c>
      <c r="EB286" s="1046">
        <v>0</v>
      </c>
      <c r="EC286" s="1093">
        <v>0</v>
      </c>
      <c r="ED286" s="1046">
        <v>0</v>
      </c>
      <c r="EE286" s="1046">
        <v>0</v>
      </c>
      <c r="EF286" s="1046">
        <v>0</v>
      </c>
      <c r="EG286" s="1046">
        <v>0</v>
      </c>
      <c r="EH286" s="1046">
        <v>0</v>
      </c>
      <c r="EI286" s="1046">
        <v>0</v>
      </c>
      <c r="EJ286" s="1046">
        <v>0</v>
      </c>
      <c r="EK286" s="1046">
        <v>0</v>
      </c>
      <c r="EL286" s="1046">
        <v>0</v>
      </c>
      <c r="EM286" s="1046">
        <v>0</v>
      </c>
      <c r="EN286" s="1046">
        <v>0</v>
      </c>
      <c r="EO286" s="1046">
        <v>0</v>
      </c>
      <c r="EP286" s="1094">
        <v>0</v>
      </c>
      <c r="EQ286" s="1094">
        <v>0</v>
      </c>
      <c r="ER286" s="1094">
        <v>0</v>
      </c>
      <c r="ES286" s="1095">
        <v>0</v>
      </c>
      <c r="ET286" s="1094">
        <v>0</v>
      </c>
      <c r="EU286" s="1094">
        <v>0</v>
      </c>
      <c r="EV286" s="1096">
        <v>0.99070000000000003</v>
      </c>
      <c r="EW286" s="1097">
        <v>0.15</v>
      </c>
      <c r="EX286" s="1096">
        <v>289.50050968399592</v>
      </c>
      <c r="EY286" s="1096">
        <v>1.5443934760448521</v>
      </c>
      <c r="EZ286" s="1096">
        <v>0</v>
      </c>
      <c r="FA286" s="1096">
        <v>39.934722222222227</v>
      </c>
      <c r="FB286" s="1098">
        <v>0</v>
      </c>
      <c r="FC286" s="1098">
        <v>0</v>
      </c>
      <c r="FD286" s="1098" t="s">
        <v>379</v>
      </c>
      <c r="FE286" s="1098" t="s">
        <v>396</v>
      </c>
      <c r="FF286" s="1098">
        <v>2</v>
      </c>
      <c r="FG286" s="1098">
        <v>0</v>
      </c>
      <c r="FH286" s="1098">
        <v>0</v>
      </c>
      <c r="FI286" s="1098">
        <v>0</v>
      </c>
      <c r="FJ286" s="1098">
        <v>0</v>
      </c>
      <c r="FK286" s="1096">
        <v>225.24876449999996</v>
      </c>
      <c r="FL286" s="1096">
        <v>144</v>
      </c>
      <c r="FM286" s="1096">
        <v>450.49752899999993</v>
      </c>
      <c r="FN286" s="1096">
        <v>288</v>
      </c>
      <c r="FO286" s="1096">
        <v>900.99505799999986</v>
      </c>
      <c r="FP286" s="1099">
        <v>576</v>
      </c>
      <c r="FQ286" s="1064">
        <v>1.5084199999999999</v>
      </c>
      <c r="FR286" s="1065">
        <v>0.15</v>
      </c>
      <c r="FS286" s="1066">
        <v>289.50050968399586</v>
      </c>
      <c r="FT286" s="1066">
        <v>3.2237153637237084</v>
      </c>
      <c r="FU286" s="1065"/>
      <c r="FV286" s="1066">
        <v>94.585199815372363</v>
      </c>
      <c r="FW286" s="1065"/>
      <c r="FX286" s="1065"/>
      <c r="FY286" s="1065" t="s">
        <v>1103</v>
      </c>
      <c r="FZ286" s="1065" t="s">
        <v>385</v>
      </c>
      <c r="GA286" s="1065">
        <v>2</v>
      </c>
      <c r="GB286" s="1065"/>
      <c r="GC286" s="1065"/>
      <c r="GD286" s="1065"/>
      <c r="GE286" s="1065"/>
      <c r="GF286" s="1066">
        <v>241.18219648464955</v>
      </c>
      <c r="GG286" s="1066">
        <v>144</v>
      </c>
      <c r="GH286" s="1066">
        <v>482.3643929692991</v>
      </c>
      <c r="GI286" s="1066">
        <v>288</v>
      </c>
      <c r="GJ286" s="1066">
        <v>964.72878593859821</v>
      </c>
      <c r="GK286" s="1066">
        <v>576</v>
      </c>
      <c r="GL286" s="584">
        <v>1.153</v>
      </c>
      <c r="GM286" s="584">
        <v>0.16</v>
      </c>
      <c r="GN286" s="584"/>
      <c r="GO286" s="584"/>
      <c r="GP286" s="584"/>
      <c r="GQ286" s="584">
        <v>140.11250000000001</v>
      </c>
      <c r="GR286" s="584"/>
      <c r="GS286" s="584">
        <v>81.549439347604505</v>
      </c>
      <c r="GT286" s="584" t="s">
        <v>379</v>
      </c>
      <c r="GU286" s="584" t="s">
        <v>357</v>
      </c>
      <c r="GV286" s="584">
        <v>1</v>
      </c>
      <c r="GW286" s="584"/>
      <c r="GX286" s="584"/>
      <c r="GY286" s="584"/>
      <c r="GZ286" s="584"/>
      <c r="HA286" s="584">
        <v>182.6821305</v>
      </c>
      <c r="HB286" s="584">
        <v>144</v>
      </c>
      <c r="HC286" s="584">
        <v>365.364261</v>
      </c>
      <c r="HD286" s="584">
        <v>288</v>
      </c>
      <c r="HE286" s="584">
        <v>730.728522</v>
      </c>
      <c r="HF286" s="584">
        <v>576</v>
      </c>
      <c r="HG286" s="1100">
        <v>2.4699999999999998</v>
      </c>
      <c r="HH286" s="1100">
        <v>0.11</v>
      </c>
      <c r="HI286" s="1101">
        <v>0</v>
      </c>
      <c r="HJ286" s="1101">
        <v>0</v>
      </c>
      <c r="HK286" s="1101">
        <v>0</v>
      </c>
      <c r="HL286" s="1101">
        <v>0</v>
      </c>
      <c r="HM286" s="1101">
        <v>99.112499999999997</v>
      </c>
      <c r="HN286" s="1101">
        <v>54.999999999999993</v>
      </c>
      <c r="HO286" s="1101">
        <v>0</v>
      </c>
      <c r="HP286" s="1101">
        <v>0</v>
      </c>
      <c r="HQ286" s="1101">
        <v>2</v>
      </c>
      <c r="HR286" s="1101">
        <v>2.36</v>
      </c>
      <c r="HS286" s="1101">
        <v>1.76</v>
      </c>
      <c r="HT286" s="1101">
        <v>0.3</v>
      </c>
      <c r="HU286" s="1101">
        <v>0.3</v>
      </c>
      <c r="HV286" s="1101">
        <v>158.8263705</v>
      </c>
      <c r="HW286" s="1101">
        <v>144</v>
      </c>
      <c r="HX286" s="1101">
        <v>317.65274099999999</v>
      </c>
      <c r="HY286" s="1101">
        <v>288</v>
      </c>
      <c r="HZ286" s="1101">
        <v>635.30548199999998</v>
      </c>
      <c r="IA286" s="1101">
        <v>576</v>
      </c>
      <c r="IB286" s="1062"/>
      <c r="ID286" s="1050"/>
      <c r="IE286" s="1050"/>
      <c r="IM286" s="1050"/>
      <c r="IN286" s="1050"/>
      <c r="IO286" s="1050"/>
      <c r="IP286" s="1050"/>
      <c r="JU286" s="1050"/>
      <c r="KC286" s="1050"/>
      <c r="KD286" s="1050"/>
      <c r="KE286" s="1050"/>
      <c r="KF286" s="1050"/>
      <c r="KN286" s="1103"/>
    </row>
    <row r="287" spans="2:300">
      <c r="B287" s="1048" t="str">
        <f t="shared" si="8"/>
        <v>H1010</v>
      </c>
      <c r="C287" s="1046">
        <v>10</v>
      </c>
      <c r="D287" s="1092">
        <v>10</v>
      </c>
      <c r="E287" s="584">
        <v>0.43</v>
      </c>
      <c r="F287" s="584">
        <v>0.43</v>
      </c>
      <c r="G287" s="584">
        <v>1032</v>
      </c>
      <c r="H287" s="584">
        <v>33.11</v>
      </c>
      <c r="I287" s="584">
        <v>0</v>
      </c>
      <c r="J287" s="584">
        <v>0</v>
      </c>
      <c r="K287" s="584">
        <v>0</v>
      </c>
      <c r="L287" s="584">
        <v>0</v>
      </c>
      <c r="M287" s="584">
        <v>0</v>
      </c>
      <c r="N287" s="584">
        <v>0</v>
      </c>
      <c r="O287" s="584">
        <v>0</v>
      </c>
      <c r="P287" s="584">
        <v>0</v>
      </c>
      <c r="Q287" s="584">
        <v>0</v>
      </c>
      <c r="R287" s="584">
        <v>0</v>
      </c>
      <c r="S287" s="584">
        <v>0</v>
      </c>
      <c r="T287" s="584">
        <v>483.94543750000003</v>
      </c>
      <c r="U287" s="584">
        <v>100</v>
      </c>
      <c r="V287" s="584">
        <v>867.92493750000006</v>
      </c>
      <c r="W287" s="584">
        <v>210</v>
      </c>
      <c r="X287" s="584">
        <v>1510.491</v>
      </c>
      <c r="Y287" s="584">
        <v>440</v>
      </c>
      <c r="Z287" s="584">
        <v>0.30499999999999999</v>
      </c>
      <c r="AA287" s="584">
        <v>0.30499999999999999</v>
      </c>
      <c r="AB287" s="584">
        <v>732</v>
      </c>
      <c r="AC287" s="584">
        <v>26</v>
      </c>
      <c r="AD287" s="584">
        <v>0</v>
      </c>
      <c r="AE287" s="584">
        <v>0</v>
      </c>
      <c r="AF287" s="584">
        <v>0</v>
      </c>
      <c r="AG287" s="584">
        <v>0</v>
      </c>
      <c r="AH287" s="584">
        <v>0</v>
      </c>
      <c r="AI287" s="584">
        <v>0</v>
      </c>
      <c r="AJ287" s="584">
        <v>0</v>
      </c>
      <c r="AK287" s="584">
        <v>0</v>
      </c>
      <c r="AL287" s="584">
        <v>0</v>
      </c>
      <c r="AM287" s="584">
        <v>0</v>
      </c>
      <c r="AN287" s="584">
        <v>0</v>
      </c>
      <c r="AO287" s="584">
        <v>399.44543750000003</v>
      </c>
      <c r="AP287" s="584">
        <v>100</v>
      </c>
      <c r="AQ287" s="584">
        <v>695.98874999999998</v>
      </c>
      <c r="AR287" s="584">
        <v>210</v>
      </c>
      <c r="AS287" s="584">
        <v>1166.741</v>
      </c>
      <c r="AT287" s="584">
        <v>440</v>
      </c>
      <c r="AU287" s="584">
        <v>0.75</v>
      </c>
      <c r="AV287" s="584">
        <v>0.49</v>
      </c>
      <c r="AW287" s="584">
        <v>738.450005804954</v>
      </c>
      <c r="AX287" s="584">
        <v>42.617153637770897</v>
      </c>
      <c r="AY287" s="584">
        <v>0</v>
      </c>
      <c r="AZ287" s="584">
        <v>0</v>
      </c>
      <c r="BA287" s="584">
        <v>0</v>
      </c>
      <c r="BB287" s="584">
        <v>0</v>
      </c>
      <c r="BC287" s="584">
        <v>0</v>
      </c>
      <c r="BD287" s="584">
        <v>0</v>
      </c>
      <c r="BE287" s="584">
        <v>0</v>
      </c>
      <c r="BF287" s="584">
        <v>0</v>
      </c>
      <c r="BG287" s="584">
        <v>0.75</v>
      </c>
      <c r="BH287" s="584">
        <v>0</v>
      </c>
      <c r="BI287" s="584">
        <v>0.6</v>
      </c>
      <c r="BJ287" s="584">
        <v>406.42332615131602</v>
      </c>
      <c r="BK287" s="584">
        <v>100</v>
      </c>
      <c r="BL287" s="584">
        <v>690.04757972861796</v>
      </c>
      <c r="BM287" s="584">
        <v>210</v>
      </c>
      <c r="BN287" s="584">
        <v>1158.28038626645</v>
      </c>
      <c r="BO287" s="584">
        <v>440</v>
      </c>
      <c r="BP287" s="584">
        <v>0.67500000000000004</v>
      </c>
      <c r="BQ287" s="584">
        <v>0.245</v>
      </c>
      <c r="BR287" s="584">
        <v>689.21807275541801</v>
      </c>
      <c r="BS287" s="584">
        <v>34.738592298761603</v>
      </c>
      <c r="BT287" s="584">
        <v>0</v>
      </c>
      <c r="BU287" s="584">
        <v>0</v>
      </c>
      <c r="BV287" s="584">
        <v>0</v>
      </c>
      <c r="BW287" s="584">
        <v>0</v>
      </c>
      <c r="BX287" s="584">
        <v>0</v>
      </c>
      <c r="BY287" s="584">
        <v>0</v>
      </c>
      <c r="BZ287" s="584">
        <v>0</v>
      </c>
      <c r="CA287" s="584">
        <v>0.67500000000000004</v>
      </c>
      <c r="CB287" s="584">
        <v>0.67500000000000004</v>
      </c>
      <c r="CC287" s="584">
        <v>0.45</v>
      </c>
      <c r="CD287" s="584">
        <v>0.45</v>
      </c>
      <c r="CE287" s="584">
        <v>394.02409999999998</v>
      </c>
      <c r="CF287" s="584">
        <v>100</v>
      </c>
      <c r="CG287" s="584">
        <v>663.44047499999999</v>
      </c>
      <c r="CH287" s="584">
        <v>210</v>
      </c>
      <c r="CI287" s="584">
        <v>1095.269225</v>
      </c>
      <c r="CJ287" s="584">
        <v>440</v>
      </c>
      <c r="CK287" s="584">
        <v>0.77500000000000002</v>
      </c>
      <c r="CL287" s="584">
        <v>0.35499999999999998</v>
      </c>
      <c r="CM287" s="584">
        <v>918.834752321981</v>
      </c>
      <c r="CN287" s="584">
        <v>35.928757739938099</v>
      </c>
      <c r="CO287" s="584">
        <v>0</v>
      </c>
      <c r="CP287" s="584">
        <v>0</v>
      </c>
      <c r="CQ287" s="584">
        <v>0</v>
      </c>
      <c r="CR287" s="584">
        <v>0</v>
      </c>
      <c r="CS287" s="584">
        <v>0</v>
      </c>
      <c r="CT287" s="584">
        <v>0</v>
      </c>
      <c r="CU287" s="584">
        <v>0</v>
      </c>
      <c r="CV287" s="584">
        <v>0</v>
      </c>
      <c r="CW287" s="584">
        <v>0.77500000000000002</v>
      </c>
      <c r="CX287" s="584">
        <v>0</v>
      </c>
      <c r="CY287" s="584">
        <v>0.6</v>
      </c>
      <c r="CZ287" s="584">
        <v>469.34589999999997</v>
      </c>
      <c r="DA287" s="584">
        <v>100</v>
      </c>
      <c r="DB287" s="584">
        <v>799.15290000000005</v>
      </c>
      <c r="DC287" s="584">
        <v>210</v>
      </c>
      <c r="DD287" s="584">
        <v>1366.2203999999999</v>
      </c>
      <c r="DE287" s="584">
        <v>440</v>
      </c>
      <c r="DF287" s="584">
        <v>0.5</v>
      </c>
      <c r="DG287" s="584">
        <v>0.3</v>
      </c>
      <c r="DH287" s="584">
        <v>337.87514512383899</v>
      </c>
      <c r="DI287" s="584">
        <v>18.9042852167183</v>
      </c>
      <c r="DJ287" s="584">
        <v>390</v>
      </c>
      <c r="DK287" s="584">
        <v>0</v>
      </c>
      <c r="DL287" s="584">
        <v>0</v>
      </c>
      <c r="DM287" s="584">
        <v>0</v>
      </c>
      <c r="DN287" s="584">
        <v>0</v>
      </c>
      <c r="DO287" s="584">
        <v>0</v>
      </c>
      <c r="DP287" s="584">
        <v>0</v>
      </c>
      <c r="DQ287" s="584">
        <v>0</v>
      </c>
      <c r="DR287" s="584">
        <v>0.5</v>
      </c>
      <c r="DS287" s="584">
        <v>0</v>
      </c>
      <c r="DT287" s="584">
        <v>2.4</v>
      </c>
      <c r="DU287" s="584">
        <v>385.541875</v>
      </c>
      <c r="DV287" s="584">
        <v>100</v>
      </c>
      <c r="DW287" s="584">
        <v>743.71849999999995</v>
      </c>
      <c r="DX287" s="584">
        <v>210</v>
      </c>
      <c r="DY287" s="584">
        <v>1143.405</v>
      </c>
      <c r="DZ287" s="584">
        <v>440</v>
      </c>
      <c r="EA287" s="1062">
        <v>1.2604000000000002</v>
      </c>
      <c r="EB287" s="1046">
        <v>0.35</v>
      </c>
      <c r="EC287" s="1093">
        <v>132.51783893985731</v>
      </c>
      <c r="ED287" s="1046">
        <v>0</v>
      </c>
      <c r="EE287" s="1046">
        <v>458.71559633027522</v>
      </c>
      <c r="EF287" s="1046">
        <v>31.35</v>
      </c>
      <c r="EG287" s="1046">
        <v>0</v>
      </c>
      <c r="EH287" s="1046">
        <v>0</v>
      </c>
      <c r="EI287" s="1046" t="s">
        <v>373</v>
      </c>
      <c r="EJ287" s="1046" t="s">
        <v>446</v>
      </c>
      <c r="EK287" s="1046">
        <v>0</v>
      </c>
      <c r="EL287" s="1046">
        <v>0</v>
      </c>
      <c r="EM287" s="1046">
        <v>0</v>
      </c>
      <c r="EN287" s="1046">
        <v>0</v>
      </c>
      <c r="EO287" s="1046">
        <v>0</v>
      </c>
      <c r="EP287" s="1094">
        <v>225.18858750000004</v>
      </c>
      <c r="EQ287" s="1094">
        <v>100</v>
      </c>
      <c r="ER287" s="1094">
        <v>450.37717500000008</v>
      </c>
      <c r="ES287" s="1095">
        <v>200</v>
      </c>
      <c r="ET287" s="1094">
        <v>900.75435000000016</v>
      </c>
      <c r="EU287" s="1094">
        <v>400</v>
      </c>
      <c r="EV287" s="1096">
        <v>0.91979999999999995</v>
      </c>
      <c r="EW287" s="1097">
        <v>0.15</v>
      </c>
      <c r="EX287" s="1096">
        <v>289.50050968399592</v>
      </c>
      <c r="EY287" s="1096">
        <v>1.5443934760448521</v>
      </c>
      <c r="EZ287" s="1096">
        <v>0</v>
      </c>
      <c r="FA287" s="1096">
        <v>37.71</v>
      </c>
      <c r="FB287" s="1098">
        <v>0</v>
      </c>
      <c r="FC287" s="1098">
        <v>0</v>
      </c>
      <c r="FD287" s="1098" t="s">
        <v>383</v>
      </c>
      <c r="FE287" s="1098" t="s">
        <v>467</v>
      </c>
      <c r="FF287" s="1098">
        <v>3</v>
      </c>
      <c r="FG287" s="1098">
        <v>0</v>
      </c>
      <c r="FH287" s="1098">
        <v>0</v>
      </c>
      <c r="FI287" s="1098">
        <v>0</v>
      </c>
      <c r="FJ287" s="1098">
        <v>0</v>
      </c>
      <c r="FK287" s="1096">
        <v>155.87714</v>
      </c>
      <c r="FL287" s="1096">
        <v>100</v>
      </c>
      <c r="FM287" s="1096">
        <v>311.75427999999999</v>
      </c>
      <c r="FN287" s="1096">
        <v>200</v>
      </c>
      <c r="FO287" s="1096">
        <v>623.50855999999999</v>
      </c>
      <c r="FP287" s="1099">
        <v>400</v>
      </c>
      <c r="FQ287" s="1064">
        <v>1.32698</v>
      </c>
      <c r="FR287" s="1065">
        <v>0.15</v>
      </c>
      <c r="FS287" s="1066">
        <v>289.50050968399586</v>
      </c>
      <c r="FT287" s="1066">
        <v>3.1754272996334754</v>
      </c>
      <c r="FU287" s="1065"/>
      <c r="FV287" s="1066">
        <v>60.01609788412393</v>
      </c>
      <c r="FW287" s="1065"/>
      <c r="FX287" s="1065"/>
      <c r="FY287" s="1065" t="s">
        <v>379</v>
      </c>
      <c r="FZ287" s="1065" t="s">
        <v>461</v>
      </c>
      <c r="GA287" s="1065">
        <v>3</v>
      </c>
      <c r="GB287" s="1065"/>
      <c r="GC287" s="1065"/>
      <c r="GD287" s="1065"/>
      <c r="GE287" s="1065"/>
      <c r="GF287" s="1066">
        <v>158.99772155131649</v>
      </c>
      <c r="GG287" s="1066">
        <v>100</v>
      </c>
      <c r="GH287" s="1066">
        <v>317.99544310263298</v>
      </c>
      <c r="GI287" s="1066">
        <v>200</v>
      </c>
      <c r="GJ287" s="1066">
        <v>635.99088620526595</v>
      </c>
      <c r="GK287" s="1066">
        <v>400</v>
      </c>
      <c r="GL287" s="584">
        <v>1.0329999999999999</v>
      </c>
      <c r="GM287" s="584">
        <v>0.13</v>
      </c>
      <c r="GN287" s="584"/>
      <c r="GO287" s="584"/>
      <c r="GP287" s="584"/>
      <c r="GQ287" s="584">
        <v>57.65</v>
      </c>
      <c r="GR287" s="584"/>
      <c r="GS287" s="584">
        <v>66.2589194699286</v>
      </c>
      <c r="GT287" s="584" t="s">
        <v>375</v>
      </c>
      <c r="GU287" s="584" t="s">
        <v>396</v>
      </c>
      <c r="GV287" s="584">
        <v>2</v>
      </c>
      <c r="GW287" s="584"/>
      <c r="GX287" s="584"/>
      <c r="GY287" s="584"/>
      <c r="GZ287" s="584"/>
      <c r="HA287" s="584">
        <v>102.8886625</v>
      </c>
      <c r="HB287" s="584">
        <v>100</v>
      </c>
      <c r="HC287" s="584">
        <v>205.77732499999999</v>
      </c>
      <c r="HD287" s="584">
        <v>200</v>
      </c>
      <c r="HE287" s="584">
        <v>411.55464999999998</v>
      </c>
      <c r="HF287" s="584">
        <v>400</v>
      </c>
      <c r="HG287" s="1100">
        <v>1.87</v>
      </c>
      <c r="HH287" s="1100">
        <v>0.11</v>
      </c>
      <c r="HI287" s="1101">
        <v>0</v>
      </c>
      <c r="HJ287" s="1101">
        <v>0</v>
      </c>
      <c r="HK287" s="1101">
        <v>0</v>
      </c>
      <c r="HL287" s="1101">
        <v>0</v>
      </c>
      <c r="HM287" s="1101">
        <v>68.111999999999995</v>
      </c>
      <c r="HN287" s="1101">
        <v>54.999999999999993</v>
      </c>
      <c r="HO287" s="1101">
        <v>0</v>
      </c>
      <c r="HP287" s="1101">
        <v>0</v>
      </c>
      <c r="HQ287" s="1101">
        <v>3</v>
      </c>
      <c r="HR287" s="1101">
        <v>1.76</v>
      </c>
      <c r="HS287" s="1101">
        <v>0.88</v>
      </c>
      <c r="HT287" s="1101">
        <v>0.3</v>
      </c>
      <c r="HU287" s="1101">
        <v>0.28000000000000003</v>
      </c>
      <c r="HV287" s="1101">
        <v>102.69321799999997</v>
      </c>
      <c r="HW287" s="1101">
        <v>100</v>
      </c>
      <c r="HX287" s="1101">
        <v>205.38643599999995</v>
      </c>
      <c r="HY287" s="1101">
        <v>200</v>
      </c>
      <c r="HZ287" s="1101">
        <v>410.77287199999989</v>
      </c>
      <c r="IA287" s="1101">
        <v>400</v>
      </c>
      <c r="IB287" s="1062"/>
      <c r="ID287" s="1050"/>
      <c r="IE287" s="1050"/>
      <c r="IM287" s="1050"/>
      <c r="IN287" s="1050"/>
      <c r="IO287" s="1050"/>
      <c r="IP287" s="1050"/>
      <c r="JU287" s="1050"/>
      <c r="KC287" s="1050"/>
      <c r="KD287" s="1050"/>
      <c r="KE287" s="1050"/>
      <c r="KF287" s="1050"/>
      <c r="KN287" s="1103"/>
    </row>
    <row r="288" spans="2:300">
      <c r="B288" s="1048" t="str">
        <f t="shared" si="8"/>
        <v>H1011</v>
      </c>
      <c r="C288" s="1046">
        <v>10</v>
      </c>
      <c r="D288" s="1092">
        <v>11</v>
      </c>
      <c r="E288" s="584">
        <v>0.48499999999999999</v>
      </c>
      <c r="F288" s="584">
        <v>0.48499999999999999</v>
      </c>
      <c r="G288" s="584">
        <v>1164</v>
      </c>
      <c r="H288" s="584">
        <v>33.465000000000003</v>
      </c>
      <c r="I288" s="584">
        <v>0</v>
      </c>
      <c r="J288" s="584">
        <v>0</v>
      </c>
      <c r="K288" s="584">
        <v>0</v>
      </c>
      <c r="L288" s="584">
        <v>0</v>
      </c>
      <c r="M288" s="584">
        <v>0</v>
      </c>
      <c r="N288" s="584">
        <v>0</v>
      </c>
      <c r="O288" s="584">
        <v>0</v>
      </c>
      <c r="P288" s="584">
        <v>0</v>
      </c>
      <c r="Q288" s="584">
        <v>0</v>
      </c>
      <c r="R288" s="584">
        <v>0</v>
      </c>
      <c r="S288" s="584">
        <v>0</v>
      </c>
      <c r="T288" s="584">
        <v>565.67043750000005</v>
      </c>
      <c r="U288" s="584">
        <v>110</v>
      </c>
      <c r="V288" s="584">
        <v>1036.5444375</v>
      </c>
      <c r="W288" s="584">
        <v>231</v>
      </c>
      <c r="X288" s="584">
        <v>1828.5769375</v>
      </c>
      <c r="Y288" s="584">
        <v>484</v>
      </c>
      <c r="Z288" s="584">
        <v>0.33</v>
      </c>
      <c r="AA288" s="584">
        <v>0.33</v>
      </c>
      <c r="AB288" s="584">
        <v>792</v>
      </c>
      <c r="AC288" s="584">
        <v>26</v>
      </c>
      <c r="AD288" s="584">
        <v>0</v>
      </c>
      <c r="AE288" s="584">
        <v>0</v>
      </c>
      <c r="AF288" s="584">
        <v>0</v>
      </c>
      <c r="AG288" s="584">
        <v>0</v>
      </c>
      <c r="AH288" s="584">
        <v>0</v>
      </c>
      <c r="AI288" s="584">
        <v>0</v>
      </c>
      <c r="AJ288" s="584">
        <v>0</v>
      </c>
      <c r="AK288" s="584">
        <v>0</v>
      </c>
      <c r="AL288" s="584">
        <v>0</v>
      </c>
      <c r="AM288" s="584">
        <v>0</v>
      </c>
      <c r="AN288" s="584">
        <v>0</v>
      </c>
      <c r="AO288" s="584">
        <v>450.81543749999997</v>
      </c>
      <c r="AP288" s="584">
        <v>110</v>
      </c>
      <c r="AQ288" s="584">
        <v>802.50075000000004</v>
      </c>
      <c r="AR288" s="584">
        <v>231</v>
      </c>
      <c r="AS288" s="584">
        <v>1358.1410000000001</v>
      </c>
      <c r="AT288" s="584">
        <v>484</v>
      </c>
      <c r="AU288" s="584">
        <v>0.85</v>
      </c>
      <c r="AV288" s="584">
        <v>0.49</v>
      </c>
      <c r="AW288" s="584">
        <v>768.89769854323299</v>
      </c>
      <c r="AX288" s="584">
        <v>41.876768092105301</v>
      </c>
      <c r="AY288" s="584">
        <v>0</v>
      </c>
      <c r="AZ288" s="584">
        <v>0</v>
      </c>
      <c r="BA288" s="584">
        <v>0</v>
      </c>
      <c r="BB288" s="584">
        <v>0</v>
      </c>
      <c r="BC288" s="584">
        <v>0</v>
      </c>
      <c r="BD288" s="584">
        <v>0</v>
      </c>
      <c r="BE288" s="584">
        <v>0</v>
      </c>
      <c r="BF288" s="584">
        <v>0</v>
      </c>
      <c r="BG288" s="584">
        <v>0.85</v>
      </c>
      <c r="BH288" s="584">
        <v>0</v>
      </c>
      <c r="BI288" s="584">
        <v>0.6</v>
      </c>
      <c r="BJ288" s="584">
        <v>456.32237167968799</v>
      </c>
      <c r="BK288" s="584">
        <v>110</v>
      </c>
      <c r="BL288" s="584">
        <v>779.27574524568297</v>
      </c>
      <c r="BM288" s="584">
        <v>231</v>
      </c>
      <c r="BN288" s="584">
        <v>1301.28213364515</v>
      </c>
      <c r="BO288" s="584">
        <v>484</v>
      </c>
      <c r="BP288" s="584">
        <v>0.77500000000000002</v>
      </c>
      <c r="BQ288" s="584">
        <v>0.255</v>
      </c>
      <c r="BR288" s="584">
        <v>729.64920112781999</v>
      </c>
      <c r="BS288" s="584">
        <v>42.611235902255601</v>
      </c>
      <c r="BT288" s="584">
        <v>0</v>
      </c>
      <c r="BU288" s="584">
        <v>0</v>
      </c>
      <c r="BV288" s="584">
        <v>0</v>
      </c>
      <c r="BW288" s="584">
        <v>0</v>
      </c>
      <c r="BX288" s="584">
        <v>0</v>
      </c>
      <c r="BY288" s="584">
        <v>0</v>
      </c>
      <c r="BZ288" s="584">
        <v>0</v>
      </c>
      <c r="CA288" s="584">
        <v>0.67500000000000004</v>
      </c>
      <c r="CB288" s="584">
        <v>0.77500000000000002</v>
      </c>
      <c r="CC288" s="584">
        <v>0.45</v>
      </c>
      <c r="CD288" s="584">
        <v>0.45</v>
      </c>
      <c r="CE288" s="584">
        <v>442.79790000000003</v>
      </c>
      <c r="CF288" s="584">
        <v>110</v>
      </c>
      <c r="CG288" s="584">
        <v>754.69439999999997</v>
      </c>
      <c r="CH288" s="584">
        <v>231</v>
      </c>
      <c r="CI288" s="584">
        <v>1238.9699000000001</v>
      </c>
      <c r="CJ288" s="584">
        <v>484</v>
      </c>
      <c r="CK288" s="584">
        <v>0.9</v>
      </c>
      <c r="CL288" s="584">
        <v>0.35499999999999998</v>
      </c>
      <c r="CM288" s="584">
        <v>936.95335996240601</v>
      </c>
      <c r="CN288" s="584">
        <v>35.732965812969901</v>
      </c>
      <c r="CO288" s="584">
        <v>0</v>
      </c>
      <c r="CP288" s="584">
        <v>0</v>
      </c>
      <c r="CQ288" s="584">
        <v>0</v>
      </c>
      <c r="CR288" s="584">
        <v>0</v>
      </c>
      <c r="CS288" s="584">
        <v>0</v>
      </c>
      <c r="CT288" s="584">
        <v>0</v>
      </c>
      <c r="CU288" s="584">
        <v>0</v>
      </c>
      <c r="CV288" s="584">
        <v>0</v>
      </c>
      <c r="CW288" s="584">
        <v>0.9</v>
      </c>
      <c r="CX288" s="584">
        <v>0</v>
      </c>
      <c r="CY288" s="584">
        <v>0.6</v>
      </c>
      <c r="CZ288" s="584">
        <v>518.60902499999997</v>
      </c>
      <c r="DA288" s="584">
        <v>110</v>
      </c>
      <c r="DB288" s="584">
        <v>890.3424</v>
      </c>
      <c r="DC288" s="584">
        <v>231</v>
      </c>
      <c r="DD288" s="584">
        <v>1523.6976656249999</v>
      </c>
      <c r="DE288" s="584">
        <v>484</v>
      </c>
      <c r="DF288" s="584">
        <v>0.57499999999999996</v>
      </c>
      <c r="DG288" s="584">
        <v>0.3</v>
      </c>
      <c r="DH288" s="584">
        <v>373.41510514567699</v>
      </c>
      <c r="DI288" s="584">
        <v>19.7119142387218</v>
      </c>
      <c r="DJ288" s="584">
        <v>390</v>
      </c>
      <c r="DK288" s="584">
        <v>0</v>
      </c>
      <c r="DL288" s="584">
        <v>0</v>
      </c>
      <c r="DM288" s="584">
        <v>0</v>
      </c>
      <c r="DN288" s="584">
        <v>0</v>
      </c>
      <c r="DO288" s="584">
        <v>0</v>
      </c>
      <c r="DP288" s="584">
        <v>0</v>
      </c>
      <c r="DQ288" s="584">
        <v>0</v>
      </c>
      <c r="DR288" s="584">
        <v>0.57499999999999996</v>
      </c>
      <c r="DS288" s="584">
        <v>0</v>
      </c>
      <c r="DT288" s="584">
        <v>2.4</v>
      </c>
      <c r="DU288" s="584">
        <v>423.489375</v>
      </c>
      <c r="DV288" s="584">
        <v>110</v>
      </c>
      <c r="DW288" s="584">
        <v>826.10974999999996</v>
      </c>
      <c r="DX288" s="584">
        <v>231</v>
      </c>
      <c r="DY288" s="584">
        <v>1306.2127499999999</v>
      </c>
      <c r="DZ288" s="584">
        <v>484</v>
      </c>
      <c r="EA288" s="1062">
        <v>1.2649999999999999</v>
      </c>
      <c r="EB288" s="1046">
        <v>0.35</v>
      </c>
      <c r="EC288" s="1093">
        <v>132.51783893985731</v>
      </c>
      <c r="ED288" s="1046">
        <v>0</v>
      </c>
      <c r="EE288" s="1046">
        <v>458.71559633027522</v>
      </c>
      <c r="EF288" s="1046">
        <v>34.966363636363639</v>
      </c>
      <c r="EG288" s="1046">
        <v>0</v>
      </c>
      <c r="EH288" s="1046">
        <v>0</v>
      </c>
      <c r="EI288" s="1046" t="s">
        <v>372</v>
      </c>
      <c r="EJ288" s="1046" t="s">
        <v>442</v>
      </c>
      <c r="EK288" s="1046">
        <v>0</v>
      </c>
      <c r="EL288" s="1046">
        <v>0</v>
      </c>
      <c r="EM288" s="1046">
        <v>0</v>
      </c>
      <c r="EN288" s="1046">
        <v>0</v>
      </c>
      <c r="EO288" s="1046">
        <v>0</v>
      </c>
      <c r="EP288" s="1094">
        <v>248.68305075000001</v>
      </c>
      <c r="EQ288" s="1094">
        <v>110</v>
      </c>
      <c r="ER288" s="1094">
        <v>497.36610150000001</v>
      </c>
      <c r="ES288" s="1095">
        <v>220</v>
      </c>
      <c r="ET288" s="1094">
        <v>994.73220300000003</v>
      </c>
      <c r="EU288" s="1094">
        <v>440</v>
      </c>
      <c r="EV288" s="1096">
        <v>0.99070000000000003</v>
      </c>
      <c r="EW288" s="1097">
        <v>0.15</v>
      </c>
      <c r="EX288" s="1096">
        <v>289.50050968399592</v>
      </c>
      <c r="EY288" s="1096">
        <v>1.5443934760448521</v>
      </c>
      <c r="EZ288" s="1096">
        <v>0</v>
      </c>
      <c r="FA288" s="1096">
        <v>33.308181818181815</v>
      </c>
      <c r="FB288" s="1098">
        <v>0</v>
      </c>
      <c r="FC288" s="1098">
        <v>0</v>
      </c>
      <c r="FD288" s="1098" t="s">
        <v>379</v>
      </c>
      <c r="FE288" s="1098" t="s">
        <v>461</v>
      </c>
      <c r="FF288" s="1098">
        <v>3</v>
      </c>
      <c r="FG288" s="1098">
        <v>0</v>
      </c>
      <c r="FH288" s="1098">
        <v>0</v>
      </c>
      <c r="FI288" s="1098">
        <v>0</v>
      </c>
      <c r="FJ288" s="1098">
        <v>0</v>
      </c>
      <c r="FK288" s="1096">
        <v>170.27735349999998</v>
      </c>
      <c r="FL288" s="1096">
        <v>110</v>
      </c>
      <c r="FM288" s="1096">
        <v>340.55470699999995</v>
      </c>
      <c r="FN288" s="1096">
        <v>220</v>
      </c>
      <c r="FO288" s="1096">
        <v>681.1094139999999</v>
      </c>
      <c r="FP288" s="1099">
        <v>440</v>
      </c>
      <c r="FQ288" s="1064">
        <v>1.4141999999999999</v>
      </c>
      <c r="FR288" s="1065">
        <v>0.15</v>
      </c>
      <c r="FS288" s="1066">
        <v>289.50050968399586</v>
      </c>
      <c r="FT288" s="1066">
        <v>3.1754272996334754</v>
      </c>
      <c r="FU288" s="1065"/>
      <c r="FV288" s="1066">
        <v>64.594725890511896</v>
      </c>
      <c r="FW288" s="1065"/>
      <c r="FX288" s="1065"/>
      <c r="FY288" s="1065" t="s">
        <v>375</v>
      </c>
      <c r="FZ288" s="1065" t="s">
        <v>438</v>
      </c>
      <c r="GA288" s="1065">
        <v>3</v>
      </c>
      <c r="GB288" s="1065"/>
      <c r="GC288" s="1065"/>
      <c r="GD288" s="1065"/>
      <c r="GE288" s="1065"/>
      <c r="GF288" s="1066">
        <v>176.13269307687145</v>
      </c>
      <c r="GG288" s="1066">
        <v>110</v>
      </c>
      <c r="GH288" s="1066">
        <v>352.2653861537429</v>
      </c>
      <c r="GI288" s="1066">
        <v>220</v>
      </c>
      <c r="GJ288" s="1066">
        <v>704.53077230748579</v>
      </c>
      <c r="GK288" s="1066">
        <v>440</v>
      </c>
      <c r="GL288" s="584">
        <v>1.0329999999999999</v>
      </c>
      <c r="GM288" s="584">
        <v>0.13</v>
      </c>
      <c r="GN288" s="584"/>
      <c r="GO288" s="584"/>
      <c r="GP288" s="584"/>
      <c r="GQ288" s="584">
        <v>62.333636363636401</v>
      </c>
      <c r="GR288" s="584"/>
      <c r="GS288" s="584">
        <v>66.2589194699286</v>
      </c>
      <c r="GT288" s="584" t="s">
        <v>375</v>
      </c>
      <c r="GU288" s="584" t="s">
        <v>387</v>
      </c>
      <c r="GV288" s="584">
        <v>2</v>
      </c>
      <c r="GW288" s="584"/>
      <c r="GX288" s="584"/>
      <c r="GY288" s="584"/>
      <c r="GZ288" s="584"/>
      <c r="HA288" s="584">
        <v>114.44105675</v>
      </c>
      <c r="HB288" s="584">
        <v>110</v>
      </c>
      <c r="HC288" s="584">
        <v>228.8821135</v>
      </c>
      <c r="HD288" s="584">
        <v>220</v>
      </c>
      <c r="HE288" s="584">
        <v>457.76422700000001</v>
      </c>
      <c r="HF288" s="584">
        <v>440</v>
      </c>
      <c r="HG288" s="1100">
        <v>2.0699999999999998</v>
      </c>
      <c r="HH288" s="1100">
        <v>0.11</v>
      </c>
      <c r="HI288" s="1101">
        <v>0</v>
      </c>
      <c r="HJ288" s="1101">
        <v>0</v>
      </c>
      <c r="HK288" s="1101">
        <v>0</v>
      </c>
      <c r="HL288" s="1101">
        <v>0</v>
      </c>
      <c r="HM288" s="1101">
        <v>74.454545454545467</v>
      </c>
      <c r="HN288" s="1101">
        <v>54.999999999999993</v>
      </c>
      <c r="HO288" s="1101">
        <v>0</v>
      </c>
      <c r="HP288" s="1101">
        <v>0</v>
      </c>
      <c r="HQ288" s="1101">
        <v>3</v>
      </c>
      <c r="HR288" s="1101">
        <v>1.96</v>
      </c>
      <c r="HS288" s="1101">
        <v>1</v>
      </c>
      <c r="HT288" s="1101">
        <v>0.3</v>
      </c>
      <c r="HU288" s="1101">
        <v>0.28000000000000003</v>
      </c>
      <c r="HV288" s="1101">
        <v>114.67359999999999</v>
      </c>
      <c r="HW288" s="1101">
        <v>110</v>
      </c>
      <c r="HX288" s="1101">
        <v>229.34719999999999</v>
      </c>
      <c r="HY288" s="1101">
        <v>220</v>
      </c>
      <c r="HZ288" s="1101">
        <v>458.69439999999997</v>
      </c>
      <c r="IA288" s="1101">
        <v>440</v>
      </c>
      <c r="IB288" s="1062"/>
      <c r="ID288" s="1050"/>
      <c r="IE288" s="1050"/>
      <c r="IM288" s="1050"/>
      <c r="IN288" s="1050"/>
      <c r="IO288" s="1050"/>
      <c r="IP288" s="1050"/>
      <c r="JU288" s="1050"/>
      <c r="KC288" s="1050"/>
      <c r="KD288" s="1050"/>
      <c r="KE288" s="1050"/>
      <c r="KF288" s="1050"/>
      <c r="KN288" s="1103"/>
    </row>
    <row r="289" spans="2:300">
      <c r="B289" s="1048" t="str">
        <f t="shared" si="8"/>
        <v>H1012</v>
      </c>
      <c r="C289" s="1046">
        <v>10</v>
      </c>
      <c r="D289" s="1092">
        <v>12</v>
      </c>
      <c r="E289" s="584">
        <v>0.56999999999999995</v>
      </c>
      <c r="F289" s="584">
        <v>0.56999999999999995</v>
      </c>
      <c r="G289" s="584">
        <v>1368</v>
      </c>
      <c r="H289" s="584">
        <v>34.770000000000003</v>
      </c>
      <c r="I289" s="584">
        <v>0</v>
      </c>
      <c r="J289" s="584">
        <v>0</v>
      </c>
      <c r="K289" s="584">
        <v>0</v>
      </c>
      <c r="L289" s="584">
        <v>0</v>
      </c>
      <c r="M289" s="584">
        <v>0</v>
      </c>
      <c r="N289" s="584">
        <v>0</v>
      </c>
      <c r="O289" s="584">
        <v>0</v>
      </c>
      <c r="P289" s="584">
        <v>0</v>
      </c>
      <c r="Q289" s="584">
        <v>0</v>
      </c>
      <c r="R289" s="584">
        <v>0</v>
      </c>
      <c r="S289" s="584">
        <v>0</v>
      </c>
      <c r="T289" s="584">
        <v>678.7254375</v>
      </c>
      <c r="U289" s="584">
        <v>120</v>
      </c>
      <c r="V289" s="584">
        <v>1270.7550000000001</v>
      </c>
      <c r="W289" s="584">
        <v>252</v>
      </c>
      <c r="X289" s="584">
        <v>2277.8484374999998</v>
      </c>
      <c r="Y289" s="584">
        <v>528</v>
      </c>
      <c r="Z289" s="584">
        <v>0.375</v>
      </c>
      <c r="AA289" s="584">
        <v>0.375</v>
      </c>
      <c r="AB289" s="584">
        <v>900</v>
      </c>
      <c r="AC289" s="584">
        <v>28</v>
      </c>
      <c r="AD289" s="584">
        <v>0</v>
      </c>
      <c r="AE289" s="584">
        <v>0</v>
      </c>
      <c r="AF289" s="584">
        <v>0</v>
      </c>
      <c r="AG289" s="584">
        <v>0</v>
      </c>
      <c r="AH289" s="584">
        <v>0</v>
      </c>
      <c r="AI289" s="584">
        <v>0</v>
      </c>
      <c r="AJ289" s="584">
        <v>0</v>
      </c>
      <c r="AK289" s="584">
        <v>0</v>
      </c>
      <c r="AL289" s="584">
        <v>0</v>
      </c>
      <c r="AM289" s="584">
        <v>0</v>
      </c>
      <c r="AN289" s="584">
        <v>0</v>
      </c>
      <c r="AO289" s="584">
        <v>521.55543750000004</v>
      </c>
      <c r="AP289" s="584">
        <v>120</v>
      </c>
      <c r="AQ289" s="584">
        <v>949.90893749999998</v>
      </c>
      <c r="AR289" s="584">
        <v>252</v>
      </c>
      <c r="AS289" s="584">
        <v>1630.8519375000001</v>
      </c>
      <c r="AT289" s="584">
        <v>528</v>
      </c>
      <c r="AU289" s="584">
        <v>0</v>
      </c>
      <c r="AV289" s="584">
        <v>0</v>
      </c>
      <c r="AW289" s="584">
        <v>0</v>
      </c>
      <c r="AX289" s="584">
        <v>0</v>
      </c>
      <c r="AY289" s="584">
        <v>0</v>
      </c>
      <c r="AZ289" s="584">
        <v>0</v>
      </c>
      <c r="BA289" s="584">
        <v>0</v>
      </c>
      <c r="BB289" s="584">
        <v>0</v>
      </c>
      <c r="BC289" s="584">
        <v>0</v>
      </c>
      <c r="BD289" s="584">
        <v>0</v>
      </c>
      <c r="BE289" s="584">
        <v>0</v>
      </c>
      <c r="BF289" s="584">
        <v>0</v>
      </c>
      <c r="BG289" s="584">
        <v>0</v>
      </c>
      <c r="BH289" s="584">
        <v>0</v>
      </c>
      <c r="BI289" s="584">
        <v>0</v>
      </c>
      <c r="BJ289" s="584">
        <v>0</v>
      </c>
      <c r="BK289" s="584">
        <v>0</v>
      </c>
      <c r="BL289" s="584">
        <v>0</v>
      </c>
      <c r="BM289" s="584">
        <v>0</v>
      </c>
      <c r="BN289" s="584">
        <v>0</v>
      </c>
      <c r="BO289" s="584">
        <v>0</v>
      </c>
      <c r="BP289" s="584">
        <v>0.92500000000000004</v>
      </c>
      <c r="BQ289" s="584">
        <v>0.26</v>
      </c>
      <c r="BR289" s="584">
        <v>775.69882441760103</v>
      </c>
      <c r="BS289" s="584">
        <v>53.785995335418498</v>
      </c>
      <c r="BT289" s="584">
        <v>0</v>
      </c>
      <c r="BU289" s="584">
        <v>0</v>
      </c>
      <c r="BV289" s="584">
        <v>0</v>
      </c>
      <c r="BW289" s="584">
        <v>0</v>
      </c>
      <c r="BX289" s="584">
        <v>0</v>
      </c>
      <c r="BY289" s="584">
        <v>0</v>
      </c>
      <c r="BZ289" s="584">
        <v>0</v>
      </c>
      <c r="CA289" s="584">
        <v>0.67500000000000004</v>
      </c>
      <c r="CB289" s="584">
        <v>0.92500000000000004</v>
      </c>
      <c r="CC289" s="584">
        <v>0.45</v>
      </c>
      <c r="CD289" s="584">
        <v>0.45</v>
      </c>
      <c r="CE289" s="584">
        <v>501.10180000000003</v>
      </c>
      <c r="CF289" s="584">
        <v>120</v>
      </c>
      <c r="CG289" s="584">
        <v>868.12576875000002</v>
      </c>
      <c r="CH289" s="584">
        <v>252</v>
      </c>
      <c r="CI289" s="584">
        <v>1381.2709875</v>
      </c>
      <c r="CJ289" s="584">
        <v>528</v>
      </c>
      <c r="CK289" s="584">
        <v>0</v>
      </c>
      <c r="CL289" s="584">
        <v>0</v>
      </c>
      <c r="CM289" s="584">
        <v>0</v>
      </c>
      <c r="CN289" s="584">
        <v>0</v>
      </c>
      <c r="CO289" s="584">
        <v>0</v>
      </c>
      <c r="CP289" s="584">
        <v>0</v>
      </c>
      <c r="CQ289" s="584">
        <v>0</v>
      </c>
      <c r="CR289" s="584">
        <v>0</v>
      </c>
      <c r="CS289" s="584">
        <v>0</v>
      </c>
      <c r="CT289" s="584">
        <v>0</v>
      </c>
      <c r="CU289" s="584">
        <v>0</v>
      </c>
      <c r="CV289" s="584">
        <v>0</v>
      </c>
      <c r="CW289" s="584">
        <v>0</v>
      </c>
      <c r="CX289" s="584">
        <v>0</v>
      </c>
      <c r="CY289" s="584">
        <v>0</v>
      </c>
      <c r="CZ289" s="584">
        <v>0</v>
      </c>
      <c r="DA289" s="584">
        <v>0</v>
      </c>
      <c r="DB289" s="584">
        <v>0</v>
      </c>
      <c r="DC289" s="584">
        <v>0</v>
      </c>
      <c r="DD289" s="584">
        <v>0</v>
      </c>
      <c r="DE289" s="584">
        <v>0</v>
      </c>
      <c r="DF289" s="584">
        <v>0.65</v>
      </c>
      <c r="DG289" s="584">
        <v>0.3</v>
      </c>
      <c r="DH289" s="584">
        <v>410.98758358498702</v>
      </c>
      <c r="DI289" s="584">
        <v>20.875348792062098</v>
      </c>
      <c r="DJ289" s="584">
        <v>390</v>
      </c>
      <c r="DK289" s="584">
        <v>0</v>
      </c>
      <c r="DL289" s="584">
        <v>0</v>
      </c>
      <c r="DM289" s="584">
        <v>0</v>
      </c>
      <c r="DN289" s="584">
        <v>0</v>
      </c>
      <c r="DO289" s="584">
        <v>0</v>
      </c>
      <c r="DP289" s="584">
        <v>0</v>
      </c>
      <c r="DQ289" s="584">
        <v>0</v>
      </c>
      <c r="DR289" s="584">
        <v>0.65</v>
      </c>
      <c r="DS289" s="584">
        <v>0</v>
      </c>
      <c r="DT289" s="584">
        <v>2.4</v>
      </c>
      <c r="DU289" s="584">
        <v>464.469875</v>
      </c>
      <c r="DV289" s="584">
        <v>120</v>
      </c>
      <c r="DW289" s="584">
        <v>912.94024999999999</v>
      </c>
      <c r="DX289" s="584">
        <v>252</v>
      </c>
      <c r="DY289" s="584">
        <v>1479.43378125</v>
      </c>
      <c r="DZ289" s="584">
        <v>528</v>
      </c>
      <c r="EA289" s="1062">
        <v>1.323</v>
      </c>
      <c r="EB289" s="1046">
        <v>0.4</v>
      </c>
      <c r="EC289" s="1093">
        <v>132.51783893985737</v>
      </c>
      <c r="ED289" s="1046">
        <v>0</v>
      </c>
      <c r="EE289" s="1046">
        <v>519.87767584097855</v>
      </c>
      <c r="EF289" s="1046">
        <v>36.413333333333334</v>
      </c>
      <c r="EG289" s="1046">
        <v>0</v>
      </c>
      <c r="EH289" s="1046">
        <v>0</v>
      </c>
      <c r="EI289" s="1046" t="s">
        <v>369</v>
      </c>
      <c r="EJ289" s="1046" t="s">
        <v>425</v>
      </c>
      <c r="EK289" s="1046">
        <v>0</v>
      </c>
      <c r="EL289" s="1046">
        <v>0</v>
      </c>
      <c r="EM289" s="1046">
        <v>0</v>
      </c>
      <c r="EN289" s="1046">
        <v>0</v>
      </c>
      <c r="EO289" s="1046">
        <v>0</v>
      </c>
      <c r="EP289" s="1094">
        <v>289.71644400000002</v>
      </c>
      <c r="EQ289" s="1094">
        <v>120</v>
      </c>
      <c r="ER289" s="1094">
        <v>579.43288800000005</v>
      </c>
      <c r="ES289" s="1095">
        <v>240</v>
      </c>
      <c r="ET289" s="1094">
        <v>1158.8657760000001</v>
      </c>
      <c r="EU289" s="1094">
        <v>480</v>
      </c>
      <c r="EV289" s="1096">
        <v>0.99070000000000003</v>
      </c>
      <c r="EW289" s="1097">
        <v>0.15</v>
      </c>
      <c r="EX289" s="1096">
        <v>289.50050968399592</v>
      </c>
      <c r="EY289" s="1096">
        <v>1.5443934760448521</v>
      </c>
      <c r="EZ289" s="1096">
        <v>0</v>
      </c>
      <c r="FA289" s="1096">
        <v>40.810000000000009</v>
      </c>
      <c r="FB289" s="1098">
        <v>0</v>
      </c>
      <c r="FC289" s="1098">
        <v>0</v>
      </c>
      <c r="FD289" s="1098" t="s">
        <v>379</v>
      </c>
      <c r="FE289" s="1098" t="s">
        <v>432</v>
      </c>
      <c r="FF289" s="1098">
        <v>3</v>
      </c>
      <c r="FG289" s="1098">
        <v>0</v>
      </c>
      <c r="FH289" s="1098">
        <v>0</v>
      </c>
      <c r="FI289" s="1098">
        <v>0</v>
      </c>
      <c r="FJ289" s="1098">
        <v>0</v>
      </c>
      <c r="FK289" s="1096">
        <v>187.96489800000003</v>
      </c>
      <c r="FL289" s="1096">
        <v>120</v>
      </c>
      <c r="FM289" s="1096">
        <v>375.92979600000007</v>
      </c>
      <c r="FN289" s="1096">
        <v>240</v>
      </c>
      <c r="FO289" s="1096">
        <v>751.85959200000013</v>
      </c>
      <c r="FP289" s="1099">
        <v>480</v>
      </c>
      <c r="FQ289" s="1064">
        <v>1.5084199999999999</v>
      </c>
      <c r="FR289" s="1065">
        <v>0.15</v>
      </c>
      <c r="FS289" s="1066">
        <v>289.50050968399586</v>
      </c>
      <c r="FT289" s="1066">
        <v>3.1754272996334754</v>
      </c>
      <c r="FU289" s="1065"/>
      <c r="FV289" s="1066">
        <v>72.17090832896605</v>
      </c>
      <c r="FW289" s="1065"/>
      <c r="FX289" s="1065"/>
      <c r="FY289" s="1065" t="s">
        <v>1103</v>
      </c>
      <c r="FZ289" s="1065" t="s">
        <v>416</v>
      </c>
      <c r="GA289" s="1065">
        <v>3</v>
      </c>
      <c r="GB289" s="1065"/>
      <c r="GC289" s="1065"/>
      <c r="GD289" s="1065"/>
      <c r="GE289" s="1065"/>
      <c r="GF289" s="1066">
        <v>194.37442657549687</v>
      </c>
      <c r="GG289" s="1066">
        <v>120</v>
      </c>
      <c r="GH289" s="1066">
        <v>388.74885315099374</v>
      </c>
      <c r="GI289" s="1066">
        <v>240</v>
      </c>
      <c r="GJ289" s="1066">
        <v>777.49770630198748</v>
      </c>
      <c r="GK289" s="1066">
        <v>480</v>
      </c>
      <c r="GL289" s="584">
        <v>1.1003000000000001</v>
      </c>
      <c r="GM289" s="584">
        <v>0.13</v>
      </c>
      <c r="GN289" s="584"/>
      <c r="GO289" s="584"/>
      <c r="GP289" s="584"/>
      <c r="GQ289" s="584">
        <v>71.27</v>
      </c>
      <c r="GR289" s="584"/>
      <c r="GS289" s="584">
        <v>66.2589194699286</v>
      </c>
      <c r="GT289" s="584" t="s">
        <v>351</v>
      </c>
      <c r="GU289" s="584" t="s">
        <v>381</v>
      </c>
      <c r="GV289" s="584">
        <v>2</v>
      </c>
      <c r="GW289" s="584"/>
      <c r="GX289" s="584"/>
      <c r="GY289" s="584"/>
      <c r="GZ289" s="584"/>
      <c r="HA289" s="584">
        <v>127.474761</v>
      </c>
      <c r="HB289" s="584">
        <v>120</v>
      </c>
      <c r="HC289" s="584">
        <v>254.949522</v>
      </c>
      <c r="HD289" s="584">
        <v>240</v>
      </c>
      <c r="HE289" s="584">
        <v>509.899044</v>
      </c>
      <c r="HF289" s="584">
        <v>480</v>
      </c>
      <c r="HG289" s="1100">
        <v>2.27</v>
      </c>
      <c r="HH289" s="1100">
        <v>0.11</v>
      </c>
      <c r="HI289" s="1101">
        <v>0</v>
      </c>
      <c r="HJ289" s="1101">
        <v>0</v>
      </c>
      <c r="HK289" s="1101">
        <v>0</v>
      </c>
      <c r="HL289" s="1101">
        <v>0</v>
      </c>
      <c r="HM289" s="1101">
        <v>84.78</v>
      </c>
      <c r="HN289" s="1101">
        <v>54.999999999999993</v>
      </c>
      <c r="HO289" s="1101">
        <v>0</v>
      </c>
      <c r="HP289" s="1101">
        <v>0</v>
      </c>
      <c r="HQ289" s="1101">
        <v>3</v>
      </c>
      <c r="HR289" s="1101">
        <v>2.16</v>
      </c>
      <c r="HS289" s="1101">
        <v>1.1200000000000001</v>
      </c>
      <c r="HT289" s="1101">
        <v>0.3</v>
      </c>
      <c r="HU289" s="1101">
        <v>0.3</v>
      </c>
      <c r="HV289" s="1101">
        <v>128.13725399999998</v>
      </c>
      <c r="HW289" s="1101">
        <v>120</v>
      </c>
      <c r="HX289" s="1101">
        <v>256.27450799999997</v>
      </c>
      <c r="HY289" s="1101">
        <v>240</v>
      </c>
      <c r="HZ289" s="1101">
        <v>512.54901599999994</v>
      </c>
      <c r="IA289" s="1101">
        <v>480</v>
      </c>
      <c r="IB289" s="1062"/>
      <c r="ID289" s="1050"/>
      <c r="IE289" s="1050"/>
      <c r="IM289" s="1050"/>
      <c r="IN289" s="1050"/>
      <c r="IO289" s="1050"/>
      <c r="IP289" s="1050"/>
      <c r="JU289" s="1050"/>
      <c r="KC289" s="1050"/>
      <c r="KD289" s="1050"/>
      <c r="KE289" s="1050"/>
      <c r="KF289" s="1050"/>
      <c r="KN289" s="1103"/>
    </row>
    <row r="290" spans="2:300">
      <c r="B290" s="1048" t="str">
        <f t="shared" si="8"/>
        <v>H1013</v>
      </c>
      <c r="C290" s="1046">
        <v>10</v>
      </c>
      <c r="D290" s="1092">
        <v>13</v>
      </c>
      <c r="E290" s="584">
        <v>0.56999999999999995</v>
      </c>
      <c r="F290" s="584">
        <v>0.56999999999999995</v>
      </c>
      <c r="G290" s="584">
        <v>1368</v>
      </c>
      <c r="H290" s="584">
        <v>33.06</v>
      </c>
      <c r="I290" s="584">
        <v>0</v>
      </c>
      <c r="J290" s="584">
        <v>0</v>
      </c>
      <c r="K290" s="584">
        <v>0</v>
      </c>
      <c r="L290" s="584">
        <v>0</v>
      </c>
      <c r="M290" s="584">
        <v>0</v>
      </c>
      <c r="N290" s="584">
        <v>0</v>
      </c>
      <c r="O290" s="584">
        <v>0</v>
      </c>
      <c r="P290" s="584">
        <v>0</v>
      </c>
      <c r="Q290" s="584">
        <v>0</v>
      </c>
      <c r="R290" s="584">
        <v>0</v>
      </c>
      <c r="S290" s="584">
        <v>0</v>
      </c>
      <c r="T290" s="584">
        <v>729.98175000000003</v>
      </c>
      <c r="U290" s="584">
        <v>130</v>
      </c>
      <c r="V290" s="584">
        <v>1377.4629375</v>
      </c>
      <c r="W290" s="584">
        <v>273</v>
      </c>
      <c r="X290" s="584">
        <v>2466.4984374999999</v>
      </c>
      <c r="Y290" s="584">
        <v>572</v>
      </c>
      <c r="Z290" s="584">
        <v>0.41</v>
      </c>
      <c r="AA290" s="584">
        <v>0.41</v>
      </c>
      <c r="AB290" s="584">
        <v>984</v>
      </c>
      <c r="AC290" s="584">
        <v>30</v>
      </c>
      <c r="AD290" s="584">
        <v>0</v>
      </c>
      <c r="AE290" s="584">
        <v>0</v>
      </c>
      <c r="AF290" s="584">
        <v>0</v>
      </c>
      <c r="AG290" s="584">
        <v>0</v>
      </c>
      <c r="AH290" s="584">
        <v>0</v>
      </c>
      <c r="AI290" s="584">
        <v>0</v>
      </c>
      <c r="AJ290" s="584">
        <v>0</v>
      </c>
      <c r="AK290" s="584">
        <v>0</v>
      </c>
      <c r="AL290" s="584">
        <v>0</v>
      </c>
      <c r="AM290" s="584">
        <v>0</v>
      </c>
      <c r="AN290" s="584">
        <v>0</v>
      </c>
      <c r="AO290" s="584">
        <v>589.43543750000003</v>
      </c>
      <c r="AP290" s="584">
        <v>130</v>
      </c>
      <c r="AQ290" s="584">
        <v>1091.982</v>
      </c>
      <c r="AR290" s="584">
        <v>273</v>
      </c>
      <c r="AS290" s="584">
        <v>1892.6877500000001</v>
      </c>
      <c r="AT290" s="584">
        <v>572</v>
      </c>
      <c r="AU290" s="584">
        <v>0</v>
      </c>
      <c r="AV290" s="584">
        <v>0</v>
      </c>
      <c r="AW290" s="584">
        <v>0</v>
      </c>
      <c r="AX290" s="584">
        <v>0</v>
      </c>
      <c r="AY290" s="584">
        <v>0</v>
      </c>
      <c r="AZ290" s="584">
        <v>0</v>
      </c>
      <c r="BA290" s="584">
        <v>0</v>
      </c>
      <c r="BB290" s="584">
        <v>0</v>
      </c>
      <c r="BC290" s="584">
        <v>0</v>
      </c>
      <c r="BD290" s="584">
        <v>0</v>
      </c>
      <c r="BE290" s="584">
        <v>0</v>
      </c>
      <c r="BF290" s="584">
        <v>0</v>
      </c>
      <c r="BG290" s="584">
        <v>0</v>
      </c>
      <c r="BH290" s="584">
        <v>0</v>
      </c>
      <c r="BI290" s="584">
        <v>0</v>
      </c>
      <c r="BJ290" s="584">
        <v>0</v>
      </c>
      <c r="BK290" s="584">
        <v>0</v>
      </c>
      <c r="BL290" s="584">
        <v>0</v>
      </c>
      <c r="BM290" s="584">
        <v>0</v>
      </c>
      <c r="BN290" s="584">
        <v>0</v>
      </c>
      <c r="BO290" s="584">
        <v>0</v>
      </c>
      <c r="BP290" s="584">
        <v>0</v>
      </c>
      <c r="BQ290" s="584">
        <v>0</v>
      </c>
      <c r="BR290" s="584">
        <v>0</v>
      </c>
      <c r="BS290" s="584">
        <v>0</v>
      </c>
      <c r="BT290" s="584">
        <v>0</v>
      </c>
      <c r="BU290" s="584">
        <v>0</v>
      </c>
      <c r="BV290" s="584">
        <v>0</v>
      </c>
      <c r="BW290" s="584">
        <v>0</v>
      </c>
      <c r="BX290" s="584">
        <v>0</v>
      </c>
      <c r="BY290" s="584">
        <v>0</v>
      </c>
      <c r="BZ290" s="584">
        <v>0</v>
      </c>
      <c r="CA290" s="584">
        <v>0</v>
      </c>
      <c r="CB290" s="584">
        <v>0</v>
      </c>
      <c r="CC290" s="584">
        <v>0</v>
      </c>
      <c r="CD290" s="584">
        <v>0</v>
      </c>
      <c r="CE290" s="584">
        <v>0</v>
      </c>
      <c r="CF290" s="584">
        <v>0</v>
      </c>
      <c r="CG290" s="584">
        <v>0</v>
      </c>
      <c r="CH290" s="584">
        <v>0</v>
      </c>
      <c r="CI290" s="584">
        <v>0</v>
      </c>
      <c r="CJ290" s="584">
        <v>0</v>
      </c>
      <c r="CK290" s="584">
        <v>0</v>
      </c>
      <c r="CL290" s="584">
        <v>0</v>
      </c>
      <c r="CM290" s="584">
        <v>0</v>
      </c>
      <c r="CN290" s="584">
        <v>0</v>
      </c>
      <c r="CO290" s="584">
        <v>0</v>
      </c>
      <c r="CP290" s="584">
        <v>0</v>
      </c>
      <c r="CQ290" s="584">
        <v>0</v>
      </c>
      <c r="CR290" s="584">
        <v>0</v>
      </c>
      <c r="CS290" s="584">
        <v>0</v>
      </c>
      <c r="CT290" s="584">
        <v>0</v>
      </c>
      <c r="CU290" s="584">
        <v>0</v>
      </c>
      <c r="CV290" s="584">
        <v>0</v>
      </c>
      <c r="CW290" s="584">
        <v>0</v>
      </c>
      <c r="CX290" s="584">
        <v>0</v>
      </c>
      <c r="CY290" s="584">
        <v>0</v>
      </c>
      <c r="CZ290" s="584">
        <v>0</v>
      </c>
      <c r="DA290" s="584">
        <v>0</v>
      </c>
      <c r="DB290" s="584">
        <v>0</v>
      </c>
      <c r="DC290" s="584">
        <v>0</v>
      </c>
      <c r="DD290" s="584">
        <v>0</v>
      </c>
      <c r="DE290" s="584">
        <v>0</v>
      </c>
      <c r="DF290" s="584">
        <v>0.72499999999999998</v>
      </c>
      <c r="DG290" s="584">
        <v>0.3</v>
      </c>
      <c r="DH290" s="584">
        <v>463.83485346890001</v>
      </c>
      <c r="DI290" s="584">
        <v>22.937864234449801</v>
      </c>
      <c r="DJ290" s="584">
        <v>390</v>
      </c>
      <c r="DK290" s="584">
        <v>0</v>
      </c>
      <c r="DL290" s="584">
        <v>0</v>
      </c>
      <c r="DM290" s="584">
        <v>0</v>
      </c>
      <c r="DN290" s="584">
        <v>0</v>
      </c>
      <c r="DO290" s="584">
        <v>0</v>
      </c>
      <c r="DP290" s="584">
        <v>0</v>
      </c>
      <c r="DQ290" s="584">
        <v>0</v>
      </c>
      <c r="DR290" s="584">
        <v>0.72499999999999998</v>
      </c>
      <c r="DS290" s="584">
        <v>0</v>
      </c>
      <c r="DT290" s="584">
        <v>2.4</v>
      </c>
      <c r="DU290" s="584">
        <v>520.15337499999998</v>
      </c>
      <c r="DV290" s="584">
        <v>130</v>
      </c>
      <c r="DW290" s="584">
        <v>1004.51375</v>
      </c>
      <c r="DX290" s="584">
        <v>273</v>
      </c>
      <c r="DY290" s="584">
        <v>1660.2098906250001</v>
      </c>
      <c r="DZ290" s="584">
        <v>572</v>
      </c>
      <c r="EA290" s="1062">
        <v>1.3819999999999999</v>
      </c>
      <c r="EB290" s="1046">
        <v>0.45</v>
      </c>
      <c r="EC290" s="1093">
        <v>132.51783893985726</v>
      </c>
      <c r="ED290" s="1046">
        <v>0</v>
      </c>
      <c r="EE290" s="1046">
        <v>581.03975535168195</v>
      </c>
      <c r="EF290" s="1046">
        <v>45.956923076923076</v>
      </c>
      <c r="EG290" s="1046">
        <v>0</v>
      </c>
      <c r="EH290" s="1046">
        <v>0</v>
      </c>
      <c r="EI290" s="1046" t="s">
        <v>1104</v>
      </c>
      <c r="EJ290" s="1046" t="s">
        <v>420</v>
      </c>
      <c r="EK290" s="1046">
        <v>0</v>
      </c>
      <c r="EL290" s="1046">
        <v>0</v>
      </c>
      <c r="EM290" s="1046">
        <v>0</v>
      </c>
      <c r="EN290" s="1046">
        <v>0</v>
      </c>
      <c r="EO290" s="1046">
        <v>0</v>
      </c>
      <c r="EP290" s="1094">
        <v>336.40221600000001</v>
      </c>
      <c r="EQ290" s="1094">
        <v>130</v>
      </c>
      <c r="ER290" s="1094">
        <v>672.80443200000002</v>
      </c>
      <c r="ES290" s="1095">
        <v>260</v>
      </c>
      <c r="ET290" s="1094">
        <v>1345.608864</v>
      </c>
      <c r="EU290" s="1094">
        <v>520</v>
      </c>
      <c r="EV290" s="1096">
        <v>1.0008999999999999</v>
      </c>
      <c r="EW290" s="1097">
        <v>0.15</v>
      </c>
      <c r="EX290" s="1096">
        <v>289.50050968399592</v>
      </c>
      <c r="EY290" s="1096">
        <v>1.5443934760448521</v>
      </c>
      <c r="EZ290" s="1096">
        <v>0</v>
      </c>
      <c r="FA290" s="1096">
        <v>42.083076923076923</v>
      </c>
      <c r="FB290" s="1098">
        <v>0</v>
      </c>
      <c r="FC290" s="1098">
        <v>0</v>
      </c>
      <c r="FD290" s="1098" t="s">
        <v>377</v>
      </c>
      <c r="FE290" s="1098" t="s">
        <v>432</v>
      </c>
      <c r="FF290" s="1098">
        <v>3</v>
      </c>
      <c r="FG290" s="1098">
        <v>0</v>
      </c>
      <c r="FH290" s="1098">
        <v>0</v>
      </c>
      <c r="FI290" s="1098">
        <v>0</v>
      </c>
      <c r="FJ290" s="1098">
        <v>0</v>
      </c>
      <c r="FK290" s="1096">
        <v>204.03452825000002</v>
      </c>
      <c r="FL290" s="1096">
        <v>130</v>
      </c>
      <c r="FM290" s="1096">
        <v>408.06905650000004</v>
      </c>
      <c r="FN290" s="1096">
        <v>260</v>
      </c>
      <c r="FO290" s="1096">
        <v>816.13811300000009</v>
      </c>
      <c r="FP290" s="1099">
        <v>520</v>
      </c>
      <c r="FQ290" s="1064">
        <v>1.5221399999999998</v>
      </c>
      <c r="FR290" s="1065">
        <v>0.15</v>
      </c>
      <c r="FS290" s="1066">
        <v>289.50050968399586</v>
      </c>
      <c r="FT290" s="1066">
        <v>3.1754272996334754</v>
      </c>
      <c r="FU290" s="1065"/>
      <c r="FV290" s="1066">
        <v>76.485545461386693</v>
      </c>
      <c r="FW290" s="1065"/>
      <c r="FX290" s="1065"/>
      <c r="FY290" s="1065" t="s">
        <v>349</v>
      </c>
      <c r="FZ290" s="1065" t="s">
        <v>1102</v>
      </c>
      <c r="GA290" s="1065">
        <v>3</v>
      </c>
      <c r="GB290" s="1065"/>
      <c r="GC290" s="1065"/>
      <c r="GD290" s="1065"/>
      <c r="GE290" s="1065"/>
      <c r="GF290" s="1066">
        <v>211.94790964053226</v>
      </c>
      <c r="GG290" s="1066">
        <v>130</v>
      </c>
      <c r="GH290" s="1066">
        <v>423.89581928106452</v>
      </c>
      <c r="GI290" s="1066">
        <v>260</v>
      </c>
      <c r="GJ290" s="1066">
        <v>847.79163856212904</v>
      </c>
      <c r="GK290" s="1066">
        <v>520</v>
      </c>
      <c r="GL290" s="584">
        <v>1.1003000000000001</v>
      </c>
      <c r="GM290" s="584">
        <v>0.13</v>
      </c>
      <c r="GN290" s="584"/>
      <c r="GO290" s="584"/>
      <c r="GP290" s="584"/>
      <c r="GQ290" s="584">
        <v>77.346923076923105</v>
      </c>
      <c r="GR290" s="584"/>
      <c r="GS290" s="584">
        <v>66.2589194699286</v>
      </c>
      <c r="GT290" s="584" t="s">
        <v>351</v>
      </c>
      <c r="GU290" s="584" t="s">
        <v>375</v>
      </c>
      <c r="GV290" s="584">
        <v>2</v>
      </c>
      <c r="GW290" s="584"/>
      <c r="GX290" s="584"/>
      <c r="GY290" s="584"/>
      <c r="GZ290" s="584"/>
      <c r="HA290" s="584">
        <v>140.03513275</v>
      </c>
      <c r="HB290" s="584">
        <v>130</v>
      </c>
      <c r="HC290" s="584">
        <v>280.0702655</v>
      </c>
      <c r="HD290" s="584">
        <v>260</v>
      </c>
      <c r="HE290" s="584">
        <v>560.14053100000001</v>
      </c>
      <c r="HF290" s="584">
        <v>520</v>
      </c>
      <c r="HG290" s="1100">
        <v>2.4699999999999998</v>
      </c>
      <c r="HH290" s="1100">
        <v>0.11</v>
      </c>
      <c r="HI290" s="1101">
        <v>0</v>
      </c>
      <c r="HJ290" s="1101">
        <v>0</v>
      </c>
      <c r="HK290" s="1101">
        <v>0</v>
      </c>
      <c r="HL290" s="1101">
        <v>0</v>
      </c>
      <c r="HM290" s="1101">
        <v>91.467692307692317</v>
      </c>
      <c r="HN290" s="1101">
        <v>54.999999999999993</v>
      </c>
      <c r="HO290" s="1101">
        <v>0</v>
      </c>
      <c r="HP290" s="1101">
        <v>0</v>
      </c>
      <c r="HQ290" s="1101">
        <v>3</v>
      </c>
      <c r="HR290" s="1101">
        <v>2.36</v>
      </c>
      <c r="HS290" s="1101">
        <v>1.24</v>
      </c>
      <c r="HT290" s="1101">
        <v>0.3</v>
      </c>
      <c r="HU290" s="1101">
        <v>0.3</v>
      </c>
      <c r="HV290" s="1101">
        <v>140.947562</v>
      </c>
      <c r="HW290" s="1101">
        <v>130</v>
      </c>
      <c r="HX290" s="1101">
        <v>281.89512400000001</v>
      </c>
      <c r="HY290" s="1101">
        <v>260</v>
      </c>
      <c r="HZ290" s="1101">
        <v>563.79024800000002</v>
      </c>
      <c r="IA290" s="1101">
        <v>520</v>
      </c>
      <c r="IB290" s="1062"/>
      <c r="ID290" s="1050"/>
      <c r="IE290" s="1050"/>
      <c r="IM290" s="1050"/>
      <c r="IN290" s="1050"/>
      <c r="IO290" s="1050"/>
      <c r="IP290" s="1050"/>
      <c r="JU290" s="1050"/>
      <c r="KC290" s="1050"/>
      <c r="KD290" s="1050"/>
      <c r="KE290" s="1050"/>
      <c r="KF290" s="1050"/>
      <c r="KN290" s="1103"/>
    </row>
    <row r="291" spans="2:300">
      <c r="B291" s="1048" t="str">
        <f t="shared" si="8"/>
        <v>H1014</v>
      </c>
      <c r="C291" s="1046">
        <v>10</v>
      </c>
      <c r="D291" s="1092">
        <v>14</v>
      </c>
      <c r="E291" s="584">
        <v>0</v>
      </c>
      <c r="F291" s="584">
        <v>0</v>
      </c>
      <c r="G291" s="584">
        <v>0</v>
      </c>
      <c r="H291" s="584">
        <v>0</v>
      </c>
      <c r="I291" s="584">
        <v>0</v>
      </c>
      <c r="J291" s="584">
        <v>0</v>
      </c>
      <c r="K291" s="584">
        <v>0</v>
      </c>
      <c r="L291" s="584">
        <v>0</v>
      </c>
      <c r="M291" s="584">
        <v>0</v>
      </c>
      <c r="N291" s="584">
        <v>0</v>
      </c>
      <c r="O291" s="584">
        <v>0</v>
      </c>
      <c r="P291" s="584">
        <v>0</v>
      </c>
      <c r="Q291" s="584">
        <v>0</v>
      </c>
      <c r="R291" s="584">
        <v>0</v>
      </c>
      <c r="S291" s="584">
        <v>0</v>
      </c>
      <c r="T291" s="584">
        <v>0</v>
      </c>
      <c r="U291" s="584">
        <v>0</v>
      </c>
      <c r="V291" s="584">
        <v>0</v>
      </c>
      <c r="W291" s="584">
        <v>0</v>
      </c>
      <c r="X291" s="584">
        <v>0</v>
      </c>
      <c r="Y291" s="584">
        <v>0</v>
      </c>
      <c r="Z291" s="584">
        <v>0</v>
      </c>
      <c r="AA291" s="584">
        <v>0</v>
      </c>
      <c r="AB291" s="584">
        <v>0</v>
      </c>
      <c r="AC291" s="584">
        <v>0</v>
      </c>
      <c r="AD291" s="584">
        <v>0</v>
      </c>
      <c r="AE291" s="584">
        <v>0</v>
      </c>
      <c r="AF291" s="584">
        <v>0</v>
      </c>
      <c r="AG291" s="584">
        <v>0</v>
      </c>
      <c r="AH291" s="584">
        <v>0</v>
      </c>
      <c r="AI291" s="584">
        <v>0</v>
      </c>
      <c r="AJ291" s="584">
        <v>0</v>
      </c>
      <c r="AK291" s="584">
        <v>0</v>
      </c>
      <c r="AL291" s="584">
        <v>0</v>
      </c>
      <c r="AM291" s="584">
        <v>0</v>
      </c>
      <c r="AN291" s="584">
        <v>0</v>
      </c>
      <c r="AO291" s="584">
        <v>0</v>
      </c>
      <c r="AP291" s="584">
        <v>0</v>
      </c>
      <c r="AQ291" s="584">
        <v>0</v>
      </c>
      <c r="AR291" s="584">
        <v>0</v>
      </c>
      <c r="AS291" s="584">
        <v>0</v>
      </c>
      <c r="AT291" s="584">
        <v>0</v>
      </c>
      <c r="AU291" s="584">
        <v>0</v>
      </c>
      <c r="AV291" s="584">
        <v>0</v>
      </c>
      <c r="AW291" s="584">
        <v>0</v>
      </c>
      <c r="AX291" s="584">
        <v>0</v>
      </c>
      <c r="AY291" s="584">
        <v>0</v>
      </c>
      <c r="AZ291" s="584">
        <v>0</v>
      </c>
      <c r="BA291" s="584">
        <v>0</v>
      </c>
      <c r="BB291" s="584">
        <v>0</v>
      </c>
      <c r="BC291" s="584">
        <v>0</v>
      </c>
      <c r="BD291" s="584">
        <v>0</v>
      </c>
      <c r="BE291" s="584">
        <v>0</v>
      </c>
      <c r="BF291" s="584">
        <v>0</v>
      </c>
      <c r="BG291" s="584">
        <v>0</v>
      </c>
      <c r="BH291" s="584">
        <v>0</v>
      </c>
      <c r="BI291" s="584">
        <v>0</v>
      </c>
      <c r="BJ291" s="584">
        <v>0</v>
      </c>
      <c r="BK291" s="584">
        <v>0</v>
      </c>
      <c r="BL291" s="584">
        <v>0</v>
      </c>
      <c r="BM291" s="584">
        <v>0</v>
      </c>
      <c r="BN291" s="584">
        <v>0</v>
      </c>
      <c r="BO291" s="584">
        <v>0</v>
      </c>
      <c r="BP291" s="584">
        <v>0</v>
      </c>
      <c r="BQ291" s="584">
        <v>0</v>
      </c>
      <c r="BR291" s="584">
        <v>0</v>
      </c>
      <c r="BS291" s="584">
        <v>0</v>
      </c>
      <c r="BT291" s="584">
        <v>0</v>
      </c>
      <c r="BU291" s="584">
        <v>0</v>
      </c>
      <c r="BV291" s="584">
        <v>0</v>
      </c>
      <c r="BW291" s="584">
        <v>0</v>
      </c>
      <c r="BX291" s="584">
        <v>0</v>
      </c>
      <c r="BY291" s="584">
        <v>0</v>
      </c>
      <c r="BZ291" s="584">
        <v>0</v>
      </c>
      <c r="CA291" s="584">
        <v>0</v>
      </c>
      <c r="CB291" s="584">
        <v>0</v>
      </c>
      <c r="CC291" s="584">
        <v>0</v>
      </c>
      <c r="CD291" s="584">
        <v>0</v>
      </c>
      <c r="CE291" s="584">
        <v>0</v>
      </c>
      <c r="CF291" s="584">
        <v>0</v>
      </c>
      <c r="CG291" s="584">
        <v>0</v>
      </c>
      <c r="CH291" s="584">
        <v>0</v>
      </c>
      <c r="CI291" s="584">
        <v>0</v>
      </c>
      <c r="CJ291" s="584">
        <v>0</v>
      </c>
      <c r="CK291" s="584">
        <v>0</v>
      </c>
      <c r="CL291" s="584">
        <v>0</v>
      </c>
      <c r="CM291" s="584">
        <v>0</v>
      </c>
      <c r="CN291" s="584">
        <v>0</v>
      </c>
      <c r="CO291" s="584">
        <v>0</v>
      </c>
      <c r="CP291" s="584">
        <v>0</v>
      </c>
      <c r="CQ291" s="584">
        <v>0</v>
      </c>
      <c r="CR291" s="584">
        <v>0</v>
      </c>
      <c r="CS291" s="584">
        <v>0</v>
      </c>
      <c r="CT291" s="584">
        <v>0</v>
      </c>
      <c r="CU291" s="584">
        <v>0</v>
      </c>
      <c r="CV291" s="584">
        <v>0</v>
      </c>
      <c r="CW291" s="584">
        <v>0</v>
      </c>
      <c r="CX291" s="584">
        <v>0</v>
      </c>
      <c r="CY291" s="584">
        <v>0</v>
      </c>
      <c r="CZ291" s="584">
        <v>0</v>
      </c>
      <c r="DA291" s="584">
        <v>0</v>
      </c>
      <c r="DB291" s="584">
        <v>0</v>
      </c>
      <c r="DC291" s="584">
        <v>0</v>
      </c>
      <c r="DD291" s="584">
        <v>0</v>
      </c>
      <c r="DE291" s="584">
        <v>0</v>
      </c>
      <c r="DF291" s="584">
        <v>0</v>
      </c>
      <c r="DG291" s="584">
        <v>0</v>
      </c>
      <c r="DH291" s="584">
        <v>0</v>
      </c>
      <c r="DI291" s="584">
        <v>0</v>
      </c>
      <c r="DJ291" s="584">
        <v>0</v>
      </c>
      <c r="DK291" s="584">
        <v>0</v>
      </c>
      <c r="DL291" s="584">
        <v>0</v>
      </c>
      <c r="DM291" s="584">
        <v>0</v>
      </c>
      <c r="DN291" s="584">
        <v>0</v>
      </c>
      <c r="DO291" s="584">
        <v>0</v>
      </c>
      <c r="DP291" s="584">
        <v>0</v>
      </c>
      <c r="DQ291" s="584">
        <v>0</v>
      </c>
      <c r="DR291" s="584">
        <v>0</v>
      </c>
      <c r="DS291" s="584">
        <v>0</v>
      </c>
      <c r="DT291" s="584">
        <v>0</v>
      </c>
      <c r="DU291" s="584">
        <v>0</v>
      </c>
      <c r="DV291" s="584">
        <v>0</v>
      </c>
      <c r="DW291" s="584">
        <v>0</v>
      </c>
      <c r="DX291" s="584">
        <v>0</v>
      </c>
      <c r="DY291" s="584">
        <v>0</v>
      </c>
      <c r="DZ291" s="584">
        <v>0</v>
      </c>
      <c r="EA291" s="1062">
        <v>0</v>
      </c>
      <c r="EB291" s="1046">
        <v>0</v>
      </c>
      <c r="EC291" s="1093">
        <v>0</v>
      </c>
      <c r="ED291" s="1046">
        <v>0</v>
      </c>
      <c r="EE291" s="1046">
        <v>0</v>
      </c>
      <c r="EF291" s="1046">
        <v>0</v>
      </c>
      <c r="EG291" s="1046">
        <v>0</v>
      </c>
      <c r="EH291" s="1046">
        <v>0</v>
      </c>
      <c r="EI291" s="1046">
        <v>0</v>
      </c>
      <c r="EJ291" s="1046">
        <v>0</v>
      </c>
      <c r="EK291" s="1046">
        <v>0</v>
      </c>
      <c r="EL291" s="1046">
        <v>0</v>
      </c>
      <c r="EM291" s="1046">
        <v>0</v>
      </c>
      <c r="EN291" s="1046">
        <v>0</v>
      </c>
      <c r="EO291" s="1046">
        <v>0</v>
      </c>
      <c r="EP291" s="1094">
        <v>0</v>
      </c>
      <c r="EQ291" s="1094">
        <v>0</v>
      </c>
      <c r="ER291" s="1094">
        <v>0</v>
      </c>
      <c r="ES291" s="1095">
        <v>0</v>
      </c>
      <c r="ET291" s="1094">
        <v>0</v>
      </c>
      <c r="EU291" s="1094">
        <v>0</v>
      </c>
      <c r="EV291" s="1096">
        <v>1.0604</v>
      </c>
      <c r="EW291" s="1097">
        <v>0.15</v>
      </c>
      <c r="EX291" s="1096">
        <v>289.50050968399592</v>
      </c>
      <c r="EY291" s="1096">
        <v>1.5443934760448521</v>
      </c>
      <c r="EZ291" s="1096">
        <v>0</v>
      </c>
      <c r="FA291" s="1096">
        <v>46.374285714285712</v>
      </c>
      <c r="FB291" s="1098">
        <v>0</v>
      </c>
      <c r="FC291" s="1098">
        <v>0</v>
      </c>
      <c r="FD291" s="1098" t="s">
        <v>373</v>
      </c>
      <c r="FE291" s="1098" t="s">
        <v>410</v>
      </c>
      <c r="FF291" s="1098">
        <v>3</v>
      </c>
      <c r="FG291" s="1098">
        <v>0</v>
      </c>
      <c r="FH291" s="1098">
        <v>0</v>
      </c>
      <c r="FI291" s="1098">
        <v>0</v>
      </c>
      <c r="FJ291" s="1098">
        <v>0</v>
      </c>
      <c r="FK291" s="1096">
        <v>221.2028785</v>
      </c>
      <c r="FL291" s="1096">
        <v>140</v>
      </c>
      <c r="FM291" s="1096">
        <v>442.40575699999999</v>
      </c>
      <c r="FN291" s="1096">
        <v>280</v>
      </c>
      <c r="FO291" s="1096">
        <v>884.81151399999999</v>
      </c>
      <c r="FP291" s="1099">
        <v>560</v>
      </c>
      <c r="FQ291" s="1064">
        <v>1.4547999999999999</v>
      </c>
      <c r="FR291" s="1065">
        <v>0.15</v>
      </c>
      <c r="FS291" s="1066">
        <v>289.50050968399586</v>
      </c>
      <c r="FT291" s="1066">
        <v>3.1754272996334754</v>
      </c>
      <c r="FU291" s="1065"/>
      <c r="FV291" s="1066">
        <v>94.957406092862797</v>
      </c>
      <c r="FW291" s="1065"/>
      <c r="FX291" s="1065"/>
      <c r="FY291" s="1065" t="s">
        <v>1104</v>
      </c>
      <c r="FZ291" s="1065" t="s">
        <v>406</v>
      </c>
      <c r="GA291" s="1065">
        <v>3</v>
      </c>
      <c r="GB291" s="1065"/>
      <c r="GC291" s="1065"/>
      <c r="GD291" s="1065"/>
      <c r="GE291" s="1065"/>
      <c r="GF291" s="1066">
        <v>234.59390834531359</v>
      </c>
      <c r="GG291" s="1066">
        <v>140</v>
      </c>
      <c r="GH291" s="1066">
        <v>469.18781669062719</v>
      </c>
      <c r="GI291" s="1066">
        <v>280</v>
      </c>
      <c r="GJ291" s="1066">
        <v>938.37563338125437</v>
      </c>
      <c r="GK291" s="1066">
        <v>560</v>
      </c>
      <c r="GL291" s="584">
        <v>1.1101000000000001</v>
      </c>
      <c r="GM291" s="584">
        <v>0.13</v>
      </c>
      <c r="GN291" s="584"/>
      <c r="GO291" s="584"/>
      <c r="GP291" s="584"/>
      <c r="GQ291" s="584">
        <v>90.467142857142903</v>
      </c>
      <c r="GR291" s="584"/>
      <c r="GS291" s="584">
        <v>66.2589194699286</v>
      </c>
      <c r="GT291" s="584" t="s">
        <v>351</v>
      </c>
      <c r="GU291" s="584" t="s">
        <v>349</v>
      </c>
      <c r="GV291" s="584">
        <v>2</v>
      </c>
      <c r="GW291" s="584"/>
      <c r="GX291" s="584"/>
      <c r="GY291" s="584"/>
      <c r="GZ291" s="584"/>
      <c r="HA291" s="584">
        <v>155.3118935</v>
      </c>
      <c r="HB291" s="584">
        <v>140</v>
      </c>
      <c r="HC291" s="584">
        <v>310.62378699999999</v>
      </c>
      <c r="HD291" s="584">
        <v>280</v>
      </c>
      <c r="HE291" s="584">
        <v>621.24757399999999</v>
      </c>
      <c r="HF291" s="584">
        <v>560</v>
      </c>
      <c r="HG291" s="1100">
        <v>0</v>
      </c>
      <c r="HH291" s="1100">
        <v>0</v>
      </c>
      <c r="HI291" s="1101">
        <v>0</v>
      </c>
      <c r="HJ291" s="1101">
        <v>0</v>
      </c>
      <c r="HK291" s="1101">
        <v>0</v>
      </c>
      <c r="HL291" s="1101">
        <v>0</v>
      </c>
      <c r="HM291" s="1101">
        <v>0</v>
      </c>
      <c r="HN291" s="1101">
        <v>0</v>
      </c>
      <c r="HO291" s="1101">
        <v>0</v>
      </c>
      <c r="HP291" s="1101">
        <v>0</v>
      </c>
      <c r="HQ291" s="1101">
        <v>0</v>
      </c>
      <c r="HR291" s="1101">
        <v>0</v>
      </c>
      <c r="HS291" s="1101">
        <v>0</v>
      </c>
      <c r="HT291" s="1101">
        <v>0</v>
      </c>
      <c r="HU291" s="1101">
        <v>0</v>
      </c>
      <c r="HV291" s="1101">
        <v>0</v>
      </c>
      <c r="HW291" s="1101">
        <v>0</v>
      </c>
      <c r="HX291" s="1101">
        <v>0</v>
      </c>
      <c r="HY291" s="1101">
        <v>0</v>
      </c>
      <c r="HZ291" s="1101">
        <v>0</v>
      </c>
      <c r="IA291" s="1101">
        <v>0</v>
      </c>
      <c r="IB291" s="1062"/>
      <c r="ID291" s="1050"/>
      <c r="IE291" s="1050"/>
      <c r="IM291" s="1050"/>
      <c r="IN291" s="1050"/>
      <c r="IO291" s="1050"/>
      <c r="IP291" s="1050"/>
      <c r="JU291" s="1050"/>
      <c r="KC291" s="1050"/>
      <c r="KD291" s="1050"/>
      <c r="KE291" s="1050"/>
      <c r="KF291" s="1050"/>
      <c r="KN291" s="1103"/>
    </row>
    <row r="292" spans="2:300">
      <c r="B292" s="1048" t="str">
        <f t="shared" si="8"/>
        <v>H1015</v>
      </c>
      <c r="C292" s="1046">
        <v>10</v>
      </c>
      <c r="D292" s="1092">
        <v>15</v>
      </c>
      <c r="E292" s="584">
        <v>0</v>
      </c>
      <c r="F292" s="584">
        <v>0</v>
      </c>
      <c r="G292" s="584">
        <v>0</v>
      </c>
      <c r="H292" s="584">
        <v>0</v>
      </c>
      <c r="I292" s="584">
        <v>0</v>
      </c>
      <c r="J292" s="584">
        <v>0</v>
      </c>
      <c r="K292" s="584">
        <v>0</v>
      </c>
      <c r="L292" s="584">
        <v>0</v>
      </c>
      <c r="M292" s="584">
        <v>0</v>
      </c>
      <c r="N292" s="584">
        <v>0</v>
      </c>
      <c r="O292" s="584">
        <v>0</v>
      </c>
      <c r="P292" s="584">
        <v>0</v>
      </c>
      <c r="Q292" s="584">
        <v>0</v>
      </c>
      <c r="R292" s="584">
        <v>0</v>
      </c>
      <c r="S292" s="584">
        <v>0</v>
      </c>
      <c r="T292" s="584">
        <v>0</v>
      </c>
      <c r="U292" s="584">
        <v>0</v>
      </c>
      <c r="V292" s="584">
        <v>0</v>
      </c>
      <c r="W292" s="584">
        <v>0</v>
      </c>
      <c r="X292" s="584">
        <v>0</v>
      </c>
      <c r="Y292" s="584">
        <v>0</v>
      </c>
      <c r="Z292" s="584">
        <v>0</v>
      </c>
      <c r="AA292" s="584">
        <v>0</v>
      </c>
      <c r="AB292" s="584">
        <v>0</v>
      </c>
      <c r="AC292" s="584">
        <v>0</v>
      </c>
      <c r="AD292" s="584">
        <v>0</v>
      </c>
      <c r="AE292" s="584">
        <v>0</v>
      </c>
      <c r="AF292" s="584">
        <v>0</v>
      </c>
      <c r="AG292" s="584">
        <v>0</v>
      </c>
      <c r="AH292" s="584">
        <v>0</v>
      </c>
      <c r="AI292" s="584">
        <v>0</v>
      </c>
      <c r="AJ292" s="584">
        <v>0</v>
      </c>
      <c r="AK292" s="584">
        <v>0</v>
      </c>
      <c r="AL292" s="584">
        <v>0</v>
      </c>
      <c r="AM292" s="584">
        <v>0</v>
      </c>
      <c r="AN292" s="584">
        <v>0</v>
      </c>
      <c r="AO292" s="584">
        <v>0</v>
      </c>
      <c r="AP292" s="584">
        <v>0</v>
      </c>
      <c r="AQ292" s="584">
        <v>0</v>
      </c>
      <c r="AR292" s="584">
        <v>0</v>
      </c>
      <c r="AS292" s="584">
        <v>0</v>
      </c>
      <c r="AT292" s="584">
        <v>0</v>
      </c>
      <c r="AU292" s="584">
        <v>0</v>
      </c>
      <c r="AV292" s="584">
        <v>0</v>
      </c>
      <c r="AW292" s="584">
        <v>0</v>
      </c>
      <c r="AX292" s="584">
        <v>0</v>
      </c>
      <c r="AY292" s="584">
        <v>0</v>
      </c>
      <c r="AZ292" s="584">
        <v>0</v>
      </c>
      <c r="BA292" s="584">
        <v>0</v>
      </c>
      <c r="BB292" s="584">
        <v>0</v>
      </c>
      <c r="BC292" s="584">
        <v>0</v>
      </c>
      <c r="BD292" s="584">
        <v>0</v>
      </c>
      <c r="BE292" s="584">
        <v>0</v>
      </c>
      <c r="BF292" s="584">
        <v>0</v>
      </c>
      <c r="BG292" s="584">
        <v>0</v>
      </c>
      <c r="BH292" s="584">
        <v>0</v>
      </c>
      <c r="BI292" s="584">
        <v>0</v>
      </c>
      <c r="BJ292" s="584">
        <v>0</v>
      </c>
      <c r="BK292" s="584">
        <v>0</v>
      </c>
      <c r="BL292" s="584">
        <v>0</v>
      </c>
      <c r="BM292" s="584">
        <v>0</v>
      </c>
      <c r="BN292" s="584">
        <v>0</v>
      </c>
      <c r="BO292" s="584">
        <v>0</v>
      </c>
      <c r="BP292" s="584">
        <v>0</v>
      </c>
      <c r="BQ292" s="584">
        <v>0</v>
      </c>
      <c r="BR292" s="584">
        <v>0</v>
      </c>
      <c r="BS292" s="584">
        <v>0</v>
      </c>
      <c r="BT292" s="584">
        <v>0</v>
      </c>
      <c r="BU292" s="584">
        <v>0</v>
      </c>
      <c r="BV292" s="584">
        <v>0</v>
      </c>
      <c r="BW292" s="584">
        <v>0</v>
      </c>
      <c r="BX292" s="584">
        <v>0</v>
      </c>
      <c r="BY292" s="584">
        <v>0</v>
      </c>
      <c r="BZ292" s="584">
        <v>0</v>
      </c>
      <c r="CA292" s="584">
        <v>0</v>
      </c>
      <c r="CB292" s="584">
        <v>0</v>
      </c>
      <c r="CC292" s="584">
        <v>0</v>
      </c>
      <c r="CD292" s="584">
        <v>0</v>
      </c>
      <c r="CE292" s="584">
        <v>0</v>
      </c>
      <c r="CF292" s="584">
        <v>0</v>
      </c>
      <c r="CG292" s="584">
        <v>0</v>
      </c>
      <c r="CH292" s="584">
        <v>0</v>
      </c>
      <c r="CI292" s="584">
        <v>0</v>
      </c>
      <c r="CJ292" s="584">
        <v>0</v>
      </c>
      <c r="CK292" s="584">
        <v>0</v>
      </c>
      <c r="CL292" s="584">
        <v>0</v>
      </c>
      <c r="CM292" s="584">
        <v>0</v>
      </c>
      <c r="CN292" s="584">
        <v>0</v>
      </c>
      <c r="CO292" s="584">
        <v>0</v>
      </c>
      <c r="CP292" s="584">
        <v>0</v>
      </c>
      <c r="CQ292" s="584">
        <v>0</v>
      </c>
      <c r="CR292" s="584">
        <v>0</v>
      </c>
      <c r="CS292" s="584">
        <v>0</v>
      </c>
      <c r="CT292" s="584">
        <v>0</v>
      </c>
      <c r="CU292" s="584">
        <v>0</v>
      </c>
      <c r="CV292" s="584">
        <v>0</v>
      </c>
      <c r="CW292" s="584">
        <v>0</v>
      </c>
      <c r="CX292" s="584">
        <v>0</v>
      </c>
      <c r="CY292" s="584">
        <v>0</v>
      </c>
      <c r="CZ292" s="584">
        <v>0</v>
      </c>
      <c r="DA292" s="584">
        <v>0</v>
      </c>
      <c r="DB292" s="584">
        <v>0</v>
      </c>
      <c r="DC292" s="584">
        <v>0</v>
      </c>
      <c r="DD292" s="584">
        <v>0</v>
      </c>
      <c r="DE292" s="584">
        <v>0</v>
      </c>
      <c r="DF292" s="584">
        <v>0</v>
      </c>
      <c r="DG292" s="584">
        <v>0</v>
      </c>
      <c r="DH292" s="584">
        <v>0</v>
      </c>
      <c r="DI292" s="584">
        <v>0</v>
      </c>
      <c r="DJ292" s="584">
        <v>0</v>
      </c>
      <c r="DK292" s="584">
        <v>0</v>
      </c>
      <c r="DL292" s="584">
        <v>0</v>
      </c>
      <c r="DM292" s="584">
        <v>0</v>
      </c>
      <c r="DN292" s="584">
        <v>0</v>
      </c>
      <c r="DO292" s="584">
        <v>0</v>
      </c>
      <c r="DP292" s="584">
        <v>0</v>
      </c>
      <c r="DQ292" s="584">
        <v>0</v>
      </c>
      <c r="DR292" s="584">
        <v>0</v>
      </c>
      <c r="DS292" s="584">
        <v>0</v>
      </c>
      <c r="DT292" s="584">
        <v>0</v>
      </c>
      <c r="DU292" s="584">
        <v>0</v>
      </c>
      <c r="DV292" s="584">
        <v>0</v>
      </c>
      <c r="DW292" s="584">
        <v>0</v>
      </c>
      <c r="DX292" s="584">
        <v>0</v>
      </c>
      <c r="DY292" s="584">
        <v>0</v>
      </c>
      <c r="DZ292" s="584">
        <v>0</v>
      </c>
      <c r="EA292" s="1062">
        <v>0</v>
      </c>
      <c r="EB292" s="1046">
        <v>0</v>
      </c>
      <c r="EC292" s="1093">
        <v>0</v>
      </c>
      <c r="ED292" s="1046">
        <v>0</v>
      </c>
      <c r="EE292" s="1046">
        <v>0</v>
      </c>
      <c r="EF292" s="1046">
        <v>0</v>
      </c>
      <c r="EG292" s="1046">
        <v>0</v>
      </c>
      <c r="EH292" s="1046">
        <v>0</v>
      </c>
      <c r="EI292" s="1046">
        <v>0</v>
      </c>
      <c r="EJ292" s="1046">
        <v>0</v>
      </c>
      <c r="EK292" s="1046">
        <v>0</v>
      </c>
      <c r="EL292" s="1046">
        <v>0</v>
      </c>
      <c r="EM292" s="1046">
        <v>0</v>
      </c>
      <c r="EN292" s="1046">
        <v>0</v>
      </c>
      <c r="EO292" s="1046">
        <v>0</v>
      </c>
      <c r="EP292" s="1094">
        <v>0</v>
      </c>
      <c r="EQ292" s="1094">
        <v>0</v>
      </c>
      <c r="ER292" s="1094">
        <v>0</v>
      </c>
      <c r="ES292" s="1095">
        <v>0</v>
      </c>
      <c r="ET292" s="1094">
        <v>0</v>
      </c>
      <c r="EU292" s="1094">
        <v>0</v>
      </c>
      <c r="EV292" s="1096">
        <v>1.0649999999999999</v>
      </c>
      <c r="EW292" s="1097">
        <v>0.15</v>
      </c>
      <c r="EX292" s="1096">
        <v>289.50050968399592</v>
      </c>
      <c r="EY292" s="1096">
        <v>1.5443934760448521</v>
      </c>
      <c r="EZ292" s="1096">
        <v>0</v>
      </c>
      <c r="FA292" s="1096">
        <v>46.226666666666667</v>
      </c>
      <c r="FB292" s="1098">
        <v>0</v>
      </c>
      <c r="FC292" s="1098">
        <v>0</v>
      </c>
      <c r="FD292" s="1098" t="s">
        <v>372</v>
      </c>
      <c r="FE292" s="1098" t="s">
        <v>410</v>
      </c>
      <c r="FF292" s="1098">
        <v>3</v>
      </c>
      <c r="FG292" s="1098">
        <v>0</v>
      </c>
      <c r="FH292" s="1098">
        <v>0</v>
      </c>
      <c r="FI292" s="1098">
        <v>0</v>
      </c>
      <c r="FJ292" s="1098">
        <v>0</v>
      </c>
      <c r="FK292" s="1096">
        <v>236.94877875000003</v>
      </c>
      <c r="FL292" s="1096">
        <v>150</v>
      </c>
      <c r="FM292" s="1096">
        <v>473.89755750000006</v>
      </c>
      <c r="FN292" s="1096">
        <v>300</v>
      </c>
      <c r="FO292" s="1096">
        <v>947.79511500000012</v>
      </c>
      <c r="FP292" s="1099">
        <v>600</v>
      </c>
      <c r="FQ292" s="1064">
        <v>1.5498599999999998</v>
      </c>
      <c r="FR292" s="1065">
        <v>0.15</v>
      </c>
      <c r="FS292" s="1066">
        <v>289.50050968399586</v>
      </c>
      <c r="FT292" s="1066">
        <v>3.1754272996334754</v>
      </c>
      <c r="FU292" s="1065"/>
      <c r="FV292" s="1066">
        <v>97.536990552561946</v>
      </c>
      <c r="FW292" s="1065"/>
      <c r="FX292" s="1065"/>
      <c r="FY292" s="1065" t="s">
        <v>345</v>
      </c>
      <c r="FZ292" s="1065" t="s">
        <v>389</v>
      </c>
      <c r="GA292" s="1065">
        <v>3</v>
      </c>
      <c r="GB292" s="1065"/>
      <c r="GC292" s="1065"/>
      <c r="GD292" s="1065"/>
      <c r="GE292" s="1065"/>
      <c r="GF292" s="1066">
        <v>252.29958071737633</v>
      </c>
      <c r="GG292" s="1066">
        <v>150</v>
      </c>
      <c r="GH292" s="1066">
        <v>504.59916143475266</v>
      </c>
      <c r="GI292" s="1066">
        <v>300</v>
      </c>
      <c r="GJ292" s="1066">
        <v>1009.1983228695053</v>
      </c>
      <c r="GK292" s="1066">
        <v>600</v>
      </c>
      <c r="GL292" s="584">
        <v>1.1298999999999999</v>
      </c>
      <c r="GM292" s="584">
        <v>0.13</v>
      </c>
      <c r="GN292" s="584"/>
      <c r="GO292" s="584"/>
      <c r="GP292" s="584"/>
      <c r="GQ292" s="584">
        <v>110.87</v>
      </c>
      <c r="GR292" s="584"/>
      <c r="GS292" s="584">
        <v>66.2589194699286</v>
      </c>
      <c r="GT292" s="584" t="s">
        <v>349</v>
      </c>
      <c r="GU292" s="584" t="s">
        <v>345</v>
      </c>
      <c r="GV292" s="584">
        <v>2</v>
      </c>
      <c r="GW292" s="584"/>
      <c r="GX292" s="584"/>
      <c r="GY292" s="584"/>
      <c r="GZ292" s="584"/>
      <c r="HA292" s="584">
        <v>173.91130125000001</v>
      </c>
      <c r="HB292" s="584">
        <v>150</v>
      </c>
      <c r="HC292" s="584">
        <v>347.82260250000002</v>
      </c>
      <c r="HD292" s="584">
        <v>300</v>
      </c>
      <c r="HE292" s="584">
        <v>695.64520500000003</v>
      </c>
      <c r="HF292" s="584">
        <v>600</v>
      </c>
      <c r="HG292" s="1100">
        <v>0</v>
      </c>
      <c r="HH292" s="1100">
        <v>0</v>
      </c>
      <c r="HI292" s="1101">
        <v>0</v>
      </c>
      <c r="HJ292" s="1101">
        <v>0</v>
      </c>
      <c r="HK292" s="1101">
        <v>0</v>
      </c>
      <c r="HL292" s="1101">
        <v>0</v>
      </c>
      <c r="HM292" s="1101">
        <v>0</v>
      </c>
      <c r="HN292" s="1101">
        <v>0</v>
      </c>
      <c r="HO292" s="1101">
        <v>0</v>
      </c>
      <c r="HP292" s="1101">
        <v>0</v>
      </c>
      <c r="HQ292" s="1101">
        <v>0</v>
      </c>
      <c r="HR292" s="1101">
        <v>0</v>
      </c>
      <c r="HS292" s="1101">
        <v>0</v>
      </c>
      <c r="HT292" s="1101">
        <v>0</v>
      </c>
      <c r="HU292" s="1101">
        <v>0</v>
      </c>
      <c r="HV292" s="1101">
        <v>0</v>
      </c>
      <c r="HW292" s="1101">
        <v>0</v>
      </c>
      <c r="HX292" s="1101">
        <v>0</v>
      </c>
      <c r="HY292" s="1101">
        <v>0</v>
      </c>
      <c r="HZ292" s="1101">
        <v>0</v>
      </c>
      <c r="IA292" s="1101">
        <v>0</v>
      </c>
      <c r="IB292" s="1062"/>
      <c r="ID292" s="1050"/>
      <c r="IE292" s="1050"/>
      <c r="IM292" s="1050"/>
      <c r="IN292" s="1050"/>
      <c r="IO292" s="1050"/>
      <c r="IP292" s="1050"/>
      <c r="JU292" s="1050"/>
      <c r="KC292" s="1050"/>
      <c r="KD292" s="1050"/>
      <c r="KE292" s="1050"/>
      <c r="KF292" s="1050"/>
      <c r="KN292" s="1103"/>
    </row>
    <row r="293" spans="2:300">
      <c r="B293" s="1048" t="str">
        <f t="shared" si="8"/>
        <v>H1016</v>
      </c>
      <c r="C293" s="1046">
        <v>10</v>
      </c>
      <c r="D293" s="1092">
        <v>16</v>
      </c>
      <c r="E293" s="584">
        <v>0</v>
      </c>
      <c r="F293" s="584">
        <v>0</v>
      </c>
      <c r="G293" s="584">
        <v>0</v>
      </c>
      <c r="H293" s="584">
        <v>0</v>
      </c>
      <c r="I293" s="584">
        <v>0</v>
      </c>
      <c r="J293" s="584">
        <v>0</v>
      </c>
      <c r="K293" s="584">
        <v>0</v>
      </c>
      <c r="L293" s="584">
        <v>0</v>
      </c>
      <c r="M293" s="584">
        <v>0</v>
      </c>
      <c r="N293" s="584">
        <v>0</v>
      </c>
      <c r="O293" s="584">
        <v>0</v>
      </c>
      <c r="P293" s="584">
        <v>0</v>
      </c>
      <c r="Q293" s="584">
        <v>0</v>
      </c>
      <c r="R293" s="584">
        <v>0</v>
      </c>
      <c r="S293" s="584">
        <v>0</v>
      </c>
      <c r="T293" s="584">
        <v>0</v>
      </c>
      <c r="U293" s="584">
        <v>0</v>
      </c>
      <c r="V293" s="584">
        <v>0</v>
      </c>
      <c r="W293" s="584">
        <v>0</v>
      </c>
      <c r="X293" s="584">
        <v>0</v>
      </c>
      <c r="Y293" s="584">
        <v>0</v>
      </c>
      <c r="Z293" s="584">
        <v>0</v>
      </c>
      <c r="AA293" s="584">
        <v>0</v>
      </c>
      <c r="AB293" s="584">
        <v>0</v>
      </c>
      <c r="AC293" s="584">
        <v>0</v>
      </c>
      <c r="AD293" s="584">
        <v>0</v>
      </c>
      <c r="AE293" s="584">
        <v>0</v>
      </c>
      <c r="AF293" s="584">
        <v>0</v>
      </c>
      <c r="AG293" s="584">
        <v>0</v>
      </c>
      <c r="AH293" s="584">
        <v>0</v>
      </c>
      <c r="AI293" s="584">
        <v>0</v>
      </c>
      <c r="AJ293" s="584">
        <v>0</v>
      </c>
      <c r="AK293" s="584">
        <v>0</v>
      </c>
      <c r="AL293" s="584">
        <v>0</v>
      </c>
      <c r="AM293" s="584">
        <v>0</v>
      </c>
      <c r="AN293" s="584">
        <v>0</v>
      </c>
      <c r="AO293" s="584">
        <v>0</v>
      </c>
      <c r="AP293" s="584">
        <v>0</v>
      </c>
      <c r="AQ293" s="584">
        <v>0</v>
      </c>
      <c r="AR293" s="584">
        <v>0</v>
      </c>
      <c r="AS293" s="584">
        <v>0</v>
      </c>
      <c r="AT293" s="584">
        <v>0</v>
      </c>
      <c r="AU293" s="584">
        <v>0</v>
      </c>
      <c r="AV293" s="584">
        <v>0</v>
      </c>
      <c r="AW293" s="584">
        <v>0</v>
      </c>
      <c r="AX293" s="584">
        <v>0</v>
      </c>
      <c r="AY293" s="584">
        <v>0</v>
      </c>
      <c r="AZ293" s="584">
        <v>0</v>
      </c>
      <c r="BA293" s="584">
        <v>0</v>
      </c>
      <c r="BB293" s="584">
        <v>0</v>
      </c>
      <c r="BC293" s="584">
        <v>0</v>
      </c>
      <c r="BD293" s="584">
        <v>0</v>
      </c>
      <c r="BE293" s="584">
        <v>0</v>
      </c>
      <c r="BF293" s="584">
        <v>0</v>
      </c>
      <c r="BG293" s="584">
        <v>0</v>
      </c>
      <c r="BH293" s="584">
        <v>0</v>
      </c>
      <c r="BI293" s="584">
        <v>0</v>
      </c>
      <c r="BJ293" s="584">
        <v>0</v>
      </c>
      <c r="BK293" s="584">
        <v>0</v>
      </c>
      <c r="BL293" s="584">
        <v>0</v>
      </c>
      <c r="BM293" s="584">
        <v>0</v>
      </c>
      <c r="BN293" s="584">
        <v>0</v>
      </c>
      <c r="BO293" s="584">
        <v>0</v>
      </c>
      <c r="BP293" s="584">
        <v>0</v>
      </c>
      <c r="BQ293" s="584">
        <v>0</v>
      </c>
      <c r="BR293" s="584">
        <v>0</v>
      </c>
      <c r="BS293" s="584">
        <v>0</v>
      </c>
      <c r="BT293" s="584">
        <v>0</v>
      </c>
      <c r="BU293" s="584">
        <v>0</v>
      </c>
      <c r="BV293" s="584">
        <v>0</v>
      </c>
      <c r="BW293" s="584">
        <v>0</v>
      </c>
      <c r="BX293" s="584">
        <v>0</v>
      </c>
      <c r="BY293" s="584">
        <v>0</v>
      </c>
      <c r="BZ293" s="584">
        <v>0</v>
      </c>
      <c r="CA293" s="584">
        <v>0</v>
      </c>
      <c r="CB293" s="584">
        <v>0</v>
      </c>
      <c r="CC293" s="584">
        <v>0</v>
      </c>
      <c r="CD293" s="584">
        <v>0</v>
      </c>
      <c r="CE293" s="584">
        <v>0</v>
      </c>
      <c r="CF293" s="584">
        <v>0</v>
      </c>
      <c r="CG293" s="584">
        <v>0</v>
      </c>
      <c r="CH293" s="584">
        <v>0</v>
      </c>
      <c r="CI293" s="584">
        <v>0</v>
      </c>
      <c r="CJ293" s="584">
        <v>0</v>
      </c>
      <c r="CK293" s="584">
        <v>0</v>
      </c>
      <c r="CL293" s="584">
        <v>0</v>
      </c>
      <c r="CM293" s="584">
        <v>0</v>
      </c>
      <c r="CN293" s="584">
        <v>0</v>
      </c>
      <c r="CO293" s="584">
        <v>0</v>
      </c>
      <c r="CP293" s="584">
        <v>0</v>
      </c>
      <c r="CQ293" s="584">
        <v>0</v>
      </c>
      <c r="CR293" s="584">
        <v>0</v>
      </c>
      <c r="CS293" s="584">
        <v>0</v>
      </c>
      <c r="CT293" s="584">
        <v>0</v>
      </c>
      <c r="CU293" s="584">
        <v>0</v>
      </c>
      <c r="CV293" s="584">
        <v>0</v>
      </c>
      <c r="CW293" s="584">
        <v>0</v>
      </c>
      <c r="CX293" s="584">
        <v>0</v>
      </c>
      <c r="CY293" s="584">
        <v>0</v>
      </c>
      <c r="CZ293" s="584">
        <v>0</v>
      </c>
      <c r="DA293" s="584">
        <v>0</v>
      </c>
      <c r="DB293" s="584">
        <v>0</v>
      </c>
      <c r="DC293" s="584">
        <v>0</v>
      </c>
      <c r="DD293" s="584">
        <v>0</v>
      </c>
      <c r="DE293" s="584">
        <v>0</v>
      </c>
      <c r="DF293" s="584">
        <v>0</v>
      </c>
      <c r="DG293" s="584">
        <v>0</v>
      </c>
      <c r="DH293" s="584">
        <v>0</v>
      </c>
      <c r="DI293" s="584">
        <v>0</v>
      </c>
      <c r="DJ293" s="584">
        <v>0</v>
      </c>
      <c r="DK293" s="584">
        <v>0</v>
      </c>
      <c r="DL293" s="584">
        <v>0</v>
      </c>
      <c r="DM293" s="584">
        <v>0</v>
      </c>
      <c r="DN293" s="584">
        <v>0</v>
      </c>
      <c r="DO293" s="584">
        <v>0</v>
      </c>
      <c r="DP293" s="584">
        <v>0</v>
      </c>
      <c r="DQ293" s="584">
        <v>0</v>
      </c>
      <c r="DR293" s="584">
        <v>0</v>
      </c>
      <c r="DS293" s="584">
        <v>0</v>
      </c>
      <c r="DT293" s="584">
        <v>0</v>
      </c>
      <c r="DU293" s="584">
        <v>0</v>
      </c>
      <c r="DV293" s="584">
        <v>0</v>
      </c>
      <c r="DW293" s="584">
        <v>0</v>
      </c>
      <c r="DX293" s="584">
        <v>0</v>
      </c>
      <c r="DY293" s="584">
        <v>0</v>
      </c>
      <c r="DZ293" s="584">
        <v>0</v>
      </c>
      <c r="EA293" s="1062">
        <v>0</v>
      </c>
      <c r="EB293" s="1046">
        <v>0</v>
      </c>
      <c r="EC293" s="1093">
        <v>0</v>
      </c>
      <c r="ED293" s="1046">
        <v>0</v>
      </c>
      <c r="EE293" s="1046">
        <v>0</v>
      </c>
      <c r="EF293" s="1046">
        <v>0</v>
      </c>
      <c r="EG293" s="1046">
        <v>0</v>
      </c>
      <c r="EH293" s="1046">
        <v>0</v>
      </c>
      <c r="EI293" s="1046">
        <v>0</v>
      </c>
      <c r="EJ293" s="1046">
        <v>0</v>
      </c>
      <c r="EK293" s="1046">
        <v>0</v>
      </c>
      <c r="EL293" s="1046">
        <v>0</v>
      </c>
      <c r="EM293" s="1046">
        <v>0</v>
      </c>
      <c r="EN293" s="1046">
        <v>0</v>
      </c>
      <c r="EO293" s="1046">
        <v>0</v>
      </c>
      <c r="EP293" s="1094">
        <v>0</v>
      </c>
      <c r="EQ293" s="1094">
        <v>0</v>
      </c>
      <c r="ER293" s="1094">
        <v>0</v>
      </c>
      <c r="ES293" s="1095">
        <v>0</v>
      </c>
      <c r="ET293" s="1094">
        <v>0</v>
      </c>
      <c r="EU293" s="1094">
        <v>0</v>
      </c>
      <c r="EV293" s="1096">
        <v>1.1300999999999999</v>
      </c>
      <c r="EW293" s="1097">
        <v>0.15</v>
      </c>
      <c r="EX293" s="1096">
        <v>289.50050968399592</v>
      </c>
      <c r="EY293" s="1096">
        <v>1.5443934760448521</v>
      </c>
      <c r="EZ293" s="1096">
        <v>0</v>
      </c>
      <c r="FA293" s="1096">
        <v>53.103750000000005</v>
      </c>
      <c r="FB293" s="1098">
        <v>0</v>
      </c>
      <c r="FC293" s="1098">
        <v>0</v>
      </c>
      <c r="FD293" s="1098" t="s">
        <v>349</v>
      </c>
      <c r="FE293" s="1098" t="s">
        <v>396</v>
      </c>
      <c r="FF293" s="1098">
        <v>3</v>
      </c>
      <c r="FG293" s="1098">
        <v>0</v>
      </c>
      <c r="FH293" s="1098">
        <v>0</v>
      </c>
      <c r="FI293" s="1098">
        <v>0</v>
      </c>
      <c r="FJ293" s="1098">
        <v>0</v>
      </c>
      <c r="FK293" s="1096">
        <v>255.44393149999996</v>
      </c>
      <c r="FL293" s="1096">
        <v>160</v>
      </c>
      <c r="FM293" s="1096">
        <v>510.88786299999992</v>
      </c>
      <c r="FN293" s="1096">
        <v>320</v>
      </c>
      <c r="FO293" s="1096">
        <v>1021.7757259999998</v>
      </c>
      <c r="FP293" s="1099">
        <v>640</v>
      </c>
      <c r="FQ293" s="1064">
        <v>1.57226</v>
      </c>
      <c r="FR293" s="1065">
        <v>0.15</v>
      </c>
      <c r="FS293" s="1066">
        <v>289.50050968399586</v>
      </c>
      <c r="FT293" s="1066">
        <v>3.1754272996334754</v>
      </c>
      <c r="FU293" s="1065"/>
      <c r="FV293" s="1066">
        <v>107.57916416338941</v>
      </c>
      <c r="FW293" s="1065"/>
      <c r="FX293" s="1065"/>
      <c r="FY293" s="1065" t="s">
        <v>341</v>
      </c>
      <c r="FZ293" s="1065" t="s">
        <v>387</v>
      </c>
      <c r="GA293" s="1065">
        <v>3</v>
      </c>
      <c r="GB293" s="1065"/>
      <c r="GC293" s="1065"/>
      <c r="GD293" s="1065"/>
      <c r="GE293" s="1065"/>
      <c r="GF293" s="1066">
        <v>273.06010169009016</v>
      </c>
      <c r="GG293" s="1066">
        <v>160</v>
      </c>
      <c r="GH293" s="1066">
        <v>546.12020338018033</v>
      </c>
      <c r="GI293" s="1066">
        <v>320</v>
      </c>
      <c r="GJ293" s="1066">
        <v>1092.2404067603607</v>
      </c>
      <c r="GK293" s="1066">
        <v>640</v>
      </c>
      <c r="GL293" s="584">
        <v>1.1458999999999999</v>
      </c>
      <c r="GM293" s="584">
        <v>0.13</v>
      </c>
      <c r="GN293" s="584"/>
      <c r="GO293" s="584"/>
      <c r="GP293" s="584"/>
      <c r="GQ293" s="584">
        <v>133.35374999999999</v>
      </c>
      <c r="GR293" s="584"/>
      <c r="GS293" s="584">
        <v>66.2589194699286</v>
      </c>
      <c r="GT293" s="584" t="s">
        <v>349</v>
      </c>
      <c r="GU293" s="584" t="s">
        <v>341</v>
      </c>
      <c r="GV293" s="584">
        <v>2</v>
      </c>
      <c r="GW293" s="584"/>
      <c r="GX293" s="584"/>
      <c r="GY293" s="584"/>
      <c r="GZ293" s="584"/>
      <c r="HA293" s="584">
        <v>194.3280115</v>
      </c>
      <c r="HB293" s="584">
        <v>160</v>
      </c>
      <c r="HC293" s="584">
        <v>388.656023</v>
      </c>
      <c r="HD293" s="584">
        <v>320</v>
      </c>
      <c r="HE293" s="584">
        <v>777.31204600000001</v>
      </c>
      <c r="HF293" s="584">
        <v>640</v>
      </c>
      <c r="HG293" s="1100">
        <v>0</v>
      </c>
      <c r="HH293" s="1100">
        <v>0</v>
      </c>
      <c r="HI293" s="1101">
        <v>0</v>
      </c>
      <c r="HJ293" s="1101">
        <v>0</v>
      </c>
      <c r="HK293" s="1101">
        <v>0</v>
      </c>
      <c r="HL293" s="1101">
        <v>0</v>
      </c>
      <c r="HM293" s="1101">
        <v>0</v>
      </c>
      <c r="HN293" s="1101">
        <v>0</v>
      </c>
      <c r="HO293" s="1101">
        <v>0</v>
      </c>
      <c r="HP293" s="1101">
        <v>0</v>
      </c>
      <c r="HQ293" s="1101">
        <v>0</v>
      </c>
      <c r="HR293" s="1101">
        <v>0</v>
      </c>
      <c r="HS293" s="1101">
        <v>0</v>
      </c>
      <c r="HT293" s="1101">
        <v>0</v>
      </c>
      <c r="HU293" s="1101">
        <v>0</v>
      </c>
      <c r="HV293" s="1101">
        <v>0</v>
      </c>
      <c r="HW293" s="1101">
        <v>0</v>
      </c>
      <c r="HX293" s="1101">
        <v>0</v>
      </c>
      <c r="HY293" s="1101">
        <v>0</v>
      </c>
      <c r="HZ293" s="1101">
        <v>0</v>
      </c>
      <c r="IA293" s="1101">
        <v>0</v>
      </c>
      <c r="IB293" s="1062"/>
      <c r="ID293" s="1050"/>
      <c r="IE293" s="1050"/>
      <c r="IM293" s="1050"/>
      <c r="IN293" s="1050"/>
      <c r="IO293" s="1050"/>
      <c r="IP293" s="1050"/>
      <c r="JU293" s="1050"/>
      <c r="KC293" s="1050"/>
      <c r="KD293" s="1050"/>
      <c r="KE293" s="1050"/>
      <c r="KF293" s="1050"/>
      <c r="KN293" s="1103"/>
    </row>
    <row r="294" spans="2:300">
      <c r="B294" s="1048" t="str">
        <f t="shared" si="8"/>
        <v>H1111</v>
      </c>
      <c r="C294" s="1046">
        <v>11</v>
      </c>
      <c r="D294" s="1092">
        <v>11</v>
      </c>
      <c r="E294" s="584">
        <v>0.48499999999999999</v>
      </c>
      <c r="F294" s="584">
        <v>0.48499999999999999</v>
      </c>
      <c r="G294" s="584">
        <v>1164</v>
      </c>
      <c r="H294" s="584">
        <v>36.375</v>
      </c>
      <c r="I294" s="584">
        <v>0</v>
      </c>
      <c r="J294" s="584">
        <v>0</v>
      </c>
      <c r="K294" s="584">
        <v>0</v>
      </c>
      <c r="L294" s="584">
        <v>0</v>
      </c>
      <c r="M294" s="584">
        <v>0</v>
      </c>
      <c r="N294" s="584">
        <v>0</v>
      </c>
      <c r="O294" s="584">
        <v>0</v>
      </c>
      <c r="P294" s="584">
        <v>0</v>
      </c>
      <c r="Q294" s="584">
        <v>0</v>
      </c>
      <c r="R294" s="584">
        <v>0</v>
      </c>
      <c r="S294" s="584">
        <v>0</v>
      </c>
      <c r="T294" s="584">
        <v>613.97168750000003</v>
      </c>
      <c r="U294" s="584">
        <v>121</v>
      </c>
      <c r="V294" s="584">
        <v>1124.749875</v>
      </c>
      <c r="W294" s="584">
        <v>254.1</v>
      </c>
      <c r="X294" s="584">
        <v>2012.0652500000001</v>
      </c>
      <c r="Y294" s="584">
        <v>532.4</v>
      </c>
      <c r="Z294" s="584">
        <v>0.33</v>
      </c>
      <c r="AA294" s="584">
        <v>0.33</v>
      </c>
      <c r="AB294" s="584">
        <v>792</v>
      </c>
      <c r="AC294" s="584">
        <v>29</v>
      </c>
      <c r="AD294" s="584">
        <v>0</v>
      </c>
      <c r="AE294" s="584">
        <v>0</v>
      </c>
      <c r="AF294" s="584">
        <v>0</v>
      </c>
      <c r="AG294" s="584">
        <v>0</v>
      </c>
      <c r="AH294" s="584">
        <v>0</v>
      </c>
      <c r="AI294" s="584">
        <v>0</v>
      </c>
      <c r="AJ294" s="584">
        <v>0</v>
      </c>
      <c r="AK294" s="584">
        <v>0</v>
      </c>
      <c r="AL294" s="584">
        <v>0</v>
      </c>
      <c r="AM294" s="584">
        <v>0</v>
      </c>
      <c r="AN294" s="584">
        <v>0</v>
      </c>
      <c r="AO294" s="584">
        <v>488.07293750000002</v>
      </c>
      <c r="AP294" s="584">
        <v>121</v>
      </c>
      <c r="AQ294" s="584">
        <v>868.20318750000001</v>
      </c>
      <c r="AR294" s="584">
        <v>254.1</v>
      </c>
      <c r="AS294" s="584">
        <v>1494.6169374999999</v>
      </c>
      <c r="AT294" s="584">
        <v>532.4</v>
      </c>
      <c r="AU294" s="584">
        <v>0.92500000000000004</v>
      </c>
      <c r="AV294" s="584">
        <v>0.57499999999999996</v>
      </c>
      <c r="AW294" s="584">
        <v>863.30136601796403</v>
      </c>
      <c r="AX294" s="584">
        <v>44.598107356715097</v>
      </c>
      <c r="AY294" s="584">
        <v>0</v>
      </c>
      <c r="AZ294" s="584">
        <v>0</v>
      </c>
      <c r="BA294" s="584">
        <v>0</v>
      </c>
      <c r="BB294" s="584">
        <v>0</v>
      </c>
      <c r="BC294" s="584">
        <v>0</v>
      </c>
      <c r="BD294" s="584">
        <v>0</v>
      </c>
      <c r="BE294" s="584">
        <v>0</v>
      </c>
      <c r="BF294" s="584">
        <v>0</v>
      </c>
      <c r="BG294" s="584">
        <v>0.92500000000000004</v>
      </c>
      <c r="BH294" s="584">
        <v>0</v>
      </c>
      <c r="BI294" s="584">
        <v>0.6</v>
      </c>
      <c r="BJ294" s="584">
        <v>518.35362575435101</v>
      </c>
      <c r="BK294" s="584">
        <v>121</v>
      </c>
      <c r="BL294" s="584">
        <v>901.67357718644701</v>
      </c>
      <c r="BM294" s="584">
        <v>254.1</v>
      </c>
      <c r="BN294" s="584">
        <v>1574.0698312008799</v>
      </c>
      <c r="BO294" s="584">
        <v>532.4</v>
      </c>
      <c r="BP294" s="584">
        <v>0.8</v>
      </c>
      <c r="BQ294" s="584">
        <v>0.315</v>
      </c>
      <c r="BR294" s="584">
        <v>865.36390611633897</v>
      </c>
      <c r="BS294" s="584">
        <v>38.810979469632201</v>
      </c>
      <c r="BT294" s="584">
        <v>0</v>
      </c>
      <c r="BU294" s="584">
        <v>0</v>
      </c>
      <c r="BV294" s="584">
        <v>0</v>
      </c>
      <c r="BW294" s="584">
        <v>0</v>
      </c>
      <c r="BX294" s="584">
        <v>0</v>
      </c>
      <c r="BY294" s="584">
        <v>0</v>
      </c>
      <c r="BZ294" s="584">
        <v>0</v>
      </c>
      <c r="CA294" s="584">
        <v>0.8</v>
      </c>
      <c r="CB294" s="584">
        <v>0.8</v>
      </c>
      <c r="CC294" s="584">
        <v>0.45</v>
      </c>
      <c r="CD294" s="584">
        <v>0.45</v>
      </c>
      <c r="CE294" s="584">
        <v>522.7817</v>
      </c>
      <c r="CF294" s="584">
        <v>121</v>
      </c>
      <c r="CG294" s="584">
        <v>907.09788749999996</v>
      </c>
      <c r="CH294" s="584">
        <v>254.1</v>
      </c>
      <c r="CI294" s="584">
        <v>1560.9034656250001</v>
      </c>
      <c r="CJ294" s="584">
        <v>532.4</v>
      </c>
      <c r="CK294" s="584">
        <v>0.95</v>
      </c>
      <c r="CL294" s="584">
        <v>0.41</v>
      </c>
      <c r="CM294" s="584">
        <v>1059.1774754063299</v>
      </c>
      <c r="CN294" s="584">
        <v>40.040812125748502</v>
      </c>
      <c r="CO294" s="584">
        <v>0</v>
      </c>
      <c r="CP294" s="584">
        <v>0</v>
      </c>
      <c r="CQ294" s="584">
        <v>0</v>
      </c>
      <c r="CR294" s="584">
        <v>0</v>
      </c>
      <c r="CS294" s="584">
        <v>0</v>
      </c>
      <c r="CT294" s="584">
        <v>0</v>
      </c>
      <c r="CU294" s="584">
        <v>0</v>
      </c>
      <c r="CV294" s="584">
        <v>0</v>
      </c>
      <c r="CW294" s="584">
        <v>0.95</v>
      </c>
      <c r="CX294" s="584">
        <v>0</v>
      </c>
      <c r="CY294" s="584">
        <v>0.6</v>
      </c>
      <c r="CZ294" s="584">
        <v>600.84304999999995</v>
      </c>
      <c r="DA294" s="584">
        <v>121</v>
      </c>
      <c r="DB294" s="584">
        <v>1045.1658</v>
      </c>
      <c r="DC294" s="584">
        <v>254.1</v>
      </c>
      <c r="DD294" s="584">
        <v>1849.8167000000001</v>
      </c>
      <c r="DE294" s="584">
        <v>532.4</v>
      </c>
      <c r="DF294" s="584">
        <v>0.6</v>
      </c>
      <c r="DG294" s="584">
        <v>0.35</v>
      </c>
      <c r="DH294" s="584">
        <v>363.07193648417501</v>
      </c>
      <c r="DI294" s="584">
        <v>19.6404726529085</v>
      </c>
      <c r="DJ294" s="584">
        <v>450</v>
      </c>
      <c r="DK294" s="584">
        <v>0</v>
      </c>
      <c r="DL294" s="584">
        <v>0</v>
      </c>
      <c r="DM294" s="584">
        <v>0</v>
      </c>
      <c r="DN294" s="584">
        <v>0</v>
      </c>
      <c r="DO294" s="584">
        <v>0</v>
      </c>
      <c r="DP294" s="584">
        <v>0</v>
      </c>
      <c r="DQ294" s="584">
        <v>0</v>
      </c>
      <c r="DR294" s="584">
        <v>0.6</v>
      </c>
      <c r="DS294" s="584">
        <v>0</v>
      </c>
      <c r="DT294" s="584">
        <v>2.4</v>
      </c>
      <c r="DU294" s="584">
        <v>478.25</v>
      </c>
      <c r="DV294" s="584">
        <v>121</v>
      </c>
      <c r="DW294" s="584">
        <v>945.03399999999999</v>
      </c>
      <c r="DX294" s="584">
        <v>254.1</v>
      </c>
      <c r="DY294" s="584">
        <v>1502.3739687499999</v>
      </c>
      <c r="DZ294" s="584">
        <v>532.4</v>
      </c>
      <c r="EA294" s="1062">
        <v>1.2929999999999999</v>
      </c>
      <c r="EB294" s="1046">
        <v>0.35</v>
      </c>
      <c r="EC294" s="1093">
        <v>132.51783893985731</v>
      </c>
      <c r="ED294" s="1046">
        <v>0</v>
      </c>
      <c r="EE294" s="1046">
        <v>458.71559633027522</v>
      </c>
      <c r="EF294" s="1046">
        <v>43.481818181818184</v>
      </c>
      <c r="EG294" s="1046">
        <v>0</v>
      </c>
      <c r="EH294" s="1046">
        <v>0</v>
      </c>
      <c r="EI294" s="1046" t="s">
        <v>364</v>
      </c>
      <c r="EJ294" s="1046" t="s">
        <v>442</v>
      </c>
      <c r="EK294" s="1046">
        <v>0</v>
      </c>
      <c r="EL294" s="1046">
        <v>0</v>
      </c>
      <c r="EM294" s="1046">
        <v>0</v>
      </c>
      <c r="EN294" s="1046">
        <v>0</v>
      </c>
      <c r="EO294" s="1046">
        <v>0</v>
      </c>
      <c r="EP294" s="1094">
        <v>276.07833825</v>
      </c>
      <c r="EQ294" s="1094">
        <v>121</v>
      </c>
      <c r="ER294" s="1094">
        <v>552.1566765</v>
      </c>
      <c r="ES294" s="1095">
        <v>242</v>
      </c>
      <c r="ET294" s="1094">
        <v>1104.313353</v>
      </c>
      <c r="EU294" s="1094">
        <v>484</v>
      </c>
      <c r="EV294" s="1096">
        <v>1.0604</v>
      </c>
      <c r="EW294" s="1097">
        <v>0.15</v>
      </c>
      <c r="EX294" s="1096">
        <v>289.50050968399592</v>
      </c>
      <c r="EY294" s="1096">
        <v>1.5443934760448521</v>
      </c>
      <c r="EZ294" s="1096">
        <v>0</v>
      </c>
      <c r="FA294" s="1096">
        <v>42.772727272727273</v>
      </c>
      <c r="FB294" s="1098">
        <v>0</v>
      </c>
      <c r="FC294" s="1098">
        <v>0</v>
      </c>
      <c r="FD294" s="1098" t="s">
        <v>373</v>
      </c>
      <c r="FE294" s="1098" t="s">
        <v>454</v>
      </c>
      <c r="FF294" s="1098">
        <v>3</v>
      </c>
      <c r="FG294" s="1098">
        <v>0</v>
      </c>
      <c r="FH294" s="1098">
        <v>0</v>
      </c>
      <c r="FI294" s="1098">
        <v>0</v>
      </c>
      <c r="FJ294" s="1098">
        <v>0</v>
      </c>
      <c r="FK294" s="1096">
        <v>190.113716375</v>
      </c>
      <c r="FL294" s="1096">
        <v>121</v>
      </c>
      <c r="FM294" s="1096">
        <v>380.22743274999999</v>
      </c>
      <c r="FN294" s="1096">
        <v>242</v>
      </c>
      <c r="FO294" s="1096">
        <v>760.45486549999998</v>
      </c>
      <c r="FP294" s="1099">
        <v>484</v>
      </c>
      <c r="FQ294" s="1064">
        <v>1.5221399999999998</v>
      </c>
      <c r="FR294" s="1065">
        <v>0.15</v>
      </c>
      <c r="FS294" s="1066">
        <v>289.50050968399586</v>
      </c>
      <c r="FT294" s="1066">
        <v>3.2017662436826937</v>
      </c>
      <c r="FU294" s="1065"/>
      <c r="FV294" s="1066">
        <v>67.429355467985928</v>
      </c>
      <c r="FW294" s="1065"/>
      <c r="FX294" s="1065"/>
      <c r="FY294" s="1065" t="s">
        <v>349</v>
      </c>
      <c r="FZ294" s="1065" t="s">
        <v>438</v>
      </c>
      <c r="GA294" s="1065">
        <v>3</v>
      </c>
      <c r="GB294" s="1065"/>
      <c r="GC294" s="1065"/>
      <c r="GD294" s="1065"/>
      <c r="GE294" s="1065"/>
      <c r="GF294" s="1066">
        <v>194.59496194574191</v>
      </c>
      <c r="GG294" s="1066">
        <v>121</v>
      </c>
      <c r="GH294" s="1066">
        <v>389.18992389148383</v>
      </c>
      <c r="GI294" s="1066">
        <v>242</v>
      </c>
      <c r="GJ294" s="1066">
        <v>778.37984778296766</v>
      </c>
      <c r="GK294" s="1066">
        <v>484</v>
      </c>
      <c r="GL294" s="584">
        <v>1.1101000000000001</v>
      </c>
      <c r="GM294" s="584">
        <v>0.13</v>
      </c>
      <c r="GN294" s="584"/>
      <c r="GO294" s="584"/>
      <c r="GP294" s="584"/>
      <c r="GQ294" s="584">
        <v>69.790909090909096</v>
      </c>
      <c r="GR294" s="584"/>
      <c r="GS294" s="584">
        <v>66.2589194699286</v>
      </c>
      <c r="GT294" s="584" t="s">
        <v>349</v>
      </c>
      <c r="GU294" s="584" t="s">
        <v>385</v>
      </c>
      <c r="GV294" s="584">
        <v>2</v>
      </c>
      <c r="GW294" s="584"/>
      <c r="GX294" s="584"/>
      <c r="GY294" s="584"/>
      <c r="GZ294" s="584"/>
      <c r="HA294" s="584">
        <v>128.09812675000001</v>
      </c>
      <c r="HB294" s="584">
        <v>121</v>
      </c>
      <c r="HC294" s="584">
        <v>256.19625350000001</v>
      </c>
      <c r="HD294" s="584">
        <v>242</v>
      </c>
      <c r="HE294" s="584">
        <v>512.39250700000002</v>
      </c>
      <c r="HF294" s="584">
        <v>484</v>
      </c>
      <c r="HG294" s="1100">
        <v>2.27</v>
      </c>
      <c r="HH294" s="1100">
        <v>0.11</v>
      </c>
      <c r="HI294" s="1101">
        <v>0</v>
      </c>
      <c r="HJ294" s="1101">
        <v>0</v>
      </c>
      <c r="HK294" s="1101">
        <v>0</v>
      </c>
      <c r="HL294" s="1101">
        <v>0</v>
      </c>
      <c r="HM294" s="1101">
        <v>74.16</v>
      </c>
      <c r="HN294" s="1101">
        <v>54.999999999999993</v>
      </c>
      <c r="HO294" s="1101">
        <v>0</v>
      </c>
      <c r="HP294" s="1101">
        <v>0</v>
      </c>
      <c r="HQ294" s="1101">
        <v>3</v>
      </c>
      <c r="HR294" s="1101">
        <v>2.16</v>
      </c>
      <c r="HS294" s="1101">
        <v>1.04</v>
      </c>
      <c r="HT294" s="1101">
        <v>0.3</v>
      </c>
      <c r="HU294" s="1101">
        <v>0.28000000000000003</v>
      </c>
      <c r="HV294" s="1101">
        <v>126.0535529</v>
      </c>
      <c r="HW294" s="1101">
        <v>121</v>
      </c>
      <c r="HX294" s="1101">
        <v>252.1071058</v>
      </c>
      <c r="HY294" s="1101">
        <v>242</v>
      </c>
      <c r="HZ294" s="1101">
        <v>504.2142116</v>
      </c>
      <c r="IA294" s="1101">
        <v>484</v>
      </c>
      <c r="IB294" s="1062"/>
      <c r="ID294" s="1050"/>
      <c r="IE294" s="1050"/>
      <c r="IM294" s="1050"/>
      <c r="IN294" s="1050"/>
      <c r="IO294" s="1050"/>
      <c r="IP294" s="1050"/>
      <c r="JU294" s="1050"/>
      <c r="KC294" s="1050"/>
      <c r="KD294" s="1050"/>
      <c r="KE294" s="1050"/>
      <c r="KF294" s="1050"/>
      <c r="KN294" s="1103"/>
    </row>
    <row r="295" spans="2:300">
      <c r="B295" s="1048" t="str">
        <f t="shared" si="8"/>
        <v>H1112</v>
      </c>
      <c r="C295" s="1046">
        <v>11</v>
      </c>
      <c r="D295" s="1092">
        <v>12</v>
      </c>
      <c r="E295" s="584">
        <v>0.56999999999999995</v>
      </c>
      <c r="F295" s="584">
        <v>0.56999999999999995</v>
      </c>
      <c r="G295" s="584">
        <v>1368</v>
      </c>
      <c r="H295" s="584">
        <v>37.619999999999997</v>
      </c>
      <c r="I295" s="584">
        <v>0</v>
      </c>
      <c r="J295" s="584">
        <v>0</v>
      </c>
      <c r="K295" s="584">
        <v>0</v>
      </c>
      <c r="L295" s="584">
        <v>0</v>
      </c>
      <c r="M295" s="584">
        <v>0</v>
      </c>
      <c r="N295" s="584">
        <v>0</v>
      </c>
      <c r="O295" s="584">
        <v>0</v>
      </c>
      <c r="P295" s="584">
        <v>0</v>
      </c>
      <c r="Q295" s="584">
        <v>0</v>
      </c>
      <c r="R295" s="584">
        <v>0</v>
      </c>
      <c r="S295" s="584">
        <v>0</v>
      </c>
      <c r="T295" s="584">
        <v>738.55674999999997</v>
      </c>
      <c r="U295" s="584">
        <v>132</v>
      </c>
      <c r="V295" s="584">
        <v>1380.3609375000001</v>
      </c>
      <c r="W295" s="584">
        <v>277.2</v>
      </c>
      <c r="X295" s="584">
        <v>2504.2284374999999</v>
      </c>
      <c r="Y295" s="584">
        <v>580.79999999999995</v>
      </c>
      <c r="Z295" s="584">
        <v>0.375</v>
      </c>
      <c r="AA295" s="584">
        <v>0.375</v>
      </c>
      <c r="AB295" s="584">
        <v>900</v>
      </c>
      <c r="AC295" s="584">
        <v>29</v>
      </c>
      <c r="AD295" s="584">
        <v>0</v>
      </c>
      <c r="AE295" s="584">
        <v>0</v>
      </c>
      <c r="AF295" s="584">
        <v>0</v>
      </c>
      <c r="AG295" s="584">
        <v>0</v>
      </c>
      <c r="AH295" s="584">
        <v>0</v>
      </c>
      <c r="AI295" s="584">
        <v>0</v>
      </c>
      <c r="AJ295" s="584">
        <v>0</v>
      </c>
      <c r="AK295" s="584">
        <v>0</v>
      </c>
      <c r="AL295" s="584">
        <v>0</v>
      </c>
      <c r="AM295" s="584">
        <v>0</v>
      </c>
      <c r="AN295" s="584">
        <v>0</v>
      </c>
      <c r="AO295" s="584">
        <v>565.08793749999995</v>
      </c>
      <c r="AP295" s="584">
        <v>132</v>
      </c>
      <c r="AQ295" s="584">
        <v>1028.6775</v>
      </c>
      <c r="AR295" s="584">
        <v>277.2</v>
      </c>
      <c r="AS295" s="584">
        <v>1794.5677499999999</v>
      </c>
      <c r="AT295" s="584">
        <v>580.79999999999995</v>
      </c>
      <c r="AU295" s="584">
        <v>0</v>
      </c>
      <c r="AV295" s="584">
        <v>0</v>
      </c>
      <c r="AW295" s="584">
        <v>0</v>
      </c>
      <c r="AX295" s="584">
        <v>0</v>
      </c>
      <c r="AY295" s="584">
        <v>0</v>
      </c>
      <c r="AZ295" s="584">
        <v>0</v>
      </c>
      <c r="BA295" s="584">
        <v>0</v>
      </c>
      <c r="BB295" s="584">
        <v>0</v>
      </c>
      <c r="BC295" s="584">
        <v>0</v>
      </c>
      <c r="BD295" s="584">
        <v>0</v>
      </c>
      <c r="BE295" s="584">
        <v>0</v>
      </c>
      <c r="BF295" s="584">
        <v>0</v>
      </c>
      <c r="BG295" s="584">
        <v>0</v>
      </c>
      <c r="BH295" s="584">
        <v>0</v>
      </c>
      <c r="BI295" s="584">
        <v>0</v>
      </c>
      <c r="BJ295" s="584">
        <v>0</v>
      </c>
      <c r="BK295" s="584">
        <v>0</v>
      </c>
      <c r="BL295" s="584">
        <v>0</v>
      </c>
      <c r="BM295" s="584">
        <v>0</v>
      </c>
      <c r="BN295" s="584">
        <v>0</v>
      </c>
      <c r="BO295" s="584">
        <v>0</v>
      </c>
      <c r="BP295" s="584">
        <v>0.95</v>
      </c>
      <c r="BQ295" s="584">
        <v>0.315</v>
      </c>
      <c r="BR295" s="584">
        <v>896.86541670756799</v>
      </c>
      <c r="BS295" s="584">
        <v>49.766269510160001</v>
      </c>
      <c r="BT295" s="584">
        <v>0</v>
      </c>
      <c r="BU295" s="584">
        <v>0</v>
      </c>
      <c r="BV295" s="584">
        <v>0</v>
      </c>
      <c r="BW295" s="584">
        <v>0</v>
      </c>
      <c r="BX295" s="584">
        <v>0</v>
      </c>
      <c r="BY295" s="584">
        <v>0</v>
      </c>
      <c r="BZ295" s="584">
        <v>0</v>
      </c>
      <c r="CA295" s="584">
        <v>0.8</v>
      </c>
      <c r="CB295" s="584">
        <v>0.95</v>
      </c>
      <c r="CC295" s="584">
        <v>0.45</v>
      </c>
      <c r="CD295" s="584">
        <v>0.45</v>
      </c>
      <c r="CE295" s="584">
        <v>583.68407500000001</v>
      </c>
      <c r="CF295" s="584">
        <v>132</v>
      </c>
      <c r="CG295" s="584">
        <v>1026.86585625</v>
      </c>
      <c r="CH295" s="584">
        <v>277.2</v>
      </c>
      <c r="CI295" s="584">
        <v>1715.800059375</v>
      </c>
      <c r="CJ295" s="584">
        <v>580.79999999999995</v>
      </c>
      <c r="CK295" s="584">
        <v>0</v>
      </c>
      <c r="CL295" s="584">
        <v>0</v>
      </c>
      <c r="CM295" s="584">
        <v>0</v>
      </c>
      <c r="CN295" s="584">
        <v>0</v>
      </c>
      <c r="CO295" s="584">
        <v>0</v>
      </c>
      <c r="CP295" s="584">
        <v>0</v>
      </c>
      <c r="CQ295" s="584">
        <v>0</v>
      </c>
      <c r="CR295" s="584">
        <v>0</v>
      </c>
      <c r="CS295" s="584">
        <v>0</v>
      </c>
      <c r="CT295" s="584">
        <v>0</v>
      </c>
      <c r="CU295" s="584">
        <v>0</v>
      </c>
      <c r="CV295" s="584">
        <v>0</v>
      </c>
      <c r="CW295" s="584">
        <v>0</v>
      </c>
      <c r="CX295" s="584">
        <v>0</v>
      </c>
      <c r="CY295" s="584">
        <v>0</v>
      </c>
      <c r="CZ295" s="584">
        <v>0</v>
      </c>
      <c r="DA295" s="584">
        <v>0</v>
      </c>
      <c r="DB295" s="584">
        <v>0</v>
      </c>
      <c r="DC295" s="584">
        <v>0</v>
      </c>
      <c r="DD295" s="584">
        <v>0</v>
      </c>
      <c r="DE295" s="584">
        <v>0</v>
      </c>
      <c r="DF295" s="584">
        <v>0.67500000000000004</v>
      </c>
      <c r="DG295" s="584">
        <v>0.35</v>
      </c>
      <c r="DH295" s="584">
        <v>395.28320408363601</v>
      </c>
      <c r="DI295" s="584">
        <v>20.591368435260598</v>
      </c>
      <c r="DJ295" s="584">
        <v>450</v>
      </c>
      <c r="DK295" s="584">
        <v>0</v>
      </c>
      <c r="DL295" s="584">
        <v>0</v>
      </c>
      <c r="DM295" s="584">
        <v>0</v>
      </c>
      <c r="DN295" s="584">
        <v>0</v>
      </c>
      <c r="DO295" s="584">
        <v>0</v>
      </c>
      <c r="DP295" s="584">
        <v>0</v>
      </c>
      <c r="DQ295" s="584">
        <v>0</v>
      </c>
      <c r="DR295" s="584">
        <v>0.67500000000000004</v>
      </c>
      <c r="DS295" s="584">
        <v>0</v>
      </c>
      <c r="DT295" s="584">
        <v>2.4</v>
      </c>
      <c r="DU295" s="584">
        <v>521.71937500000001</v>
      </c>
      <c r="DV295" s="584">
        <v>132</v>
      </c>
      <c r="DW295" s="584">
        <v>1040.89275</v>
      </c>
      <c r="DX295" s="584">
        <v>277.2</v>
      </c>
      <c r="DY295" s="584">
        <v>1691.8450781250001</v>
      </c>
      <c r="DZ295" s="584">
        <v>580.79999999999995</v>
      </c>
      <c r="EA295" s="1062">
        <v>1.351</v>
      </c>
      <c r="EB295" s="1046">
        <v>0.4</v>
      </c>
      <c r="EC295" s="1093">
        <v>132.51783893985737</v>
      </c>
      <c r="ED295" s="1046">
        <v>0</v>
      </c>
      <c r="EE295" s="1046">
        <v>519.87767584097855</v>
      </c>
      <c r="EF295" s="1046">
        <v>44.322727272727278</v>
      </c>
      <c r="EG295" s="1046">
        <v>0</v>
      </c>
      <c r="EH295" s="1046">
        <v>0</v>
      </c>
      <c r="EI295" s="1046" t="s">
        <v>362</v>
      </c>
      <c r="EJ295" s="1046" t="s">
        <v>425</v>
      </c>
      <c r="EK295" s="1046">
        <v>0</v>
      </c>
      <c r="EL295" s="1046">
        <v>0</v>
      </c>
      <c r="EM295" s="1046">
        <v>0</v>
      </c>
      <c r="EN295" s="1046">
        <v>0</v>
      </c>
      <c r="EO295" s="1046">
        <v>0</v>
      </c>
      <c r="EP295" s="1094">
        <v>321.24859649999996</v>
      </c>
      <c r="EQ295" s="1094">
        <v>132</v>
      </c>
      <c r="ER295" s="1094">
        <v>642.49719299999992</v>
      </c>
      <c r="ES295" s="1095">
        <v>264</v>
      </c>
      <c r="ET295" s="1094">
        <v>1284.9943859999998</v>
      </c>
      <c r="EU295" s="1094">
        <v>528</v>
      </c>
      <c r="EV295" s="1096">
        <v>1.0604</v>
      </c>
      <c r="EW295" s="1097">
        <v>0.15</v>
      </c>
      <c r="EX295" s="1096">
        <v>289.50050968399592</v>
      </c>
      <c r="EY295" s="1096">
        <v>1.5443934760448521</v>
      </c>
      <c r="EZ295" s="1096">
        <v>0</v>
      </c>
      <c r="FA295" s="1096">
        <v>41.101515151515152</v>
      </c>
      <c r="FB295" s="1098">
        <v>0</v>
      </c>
      <c r="FC295" s="1098">
        <v>0</v>
      </c>
      <c r="FD295" s="1098" t="s">
        <v>373</v>
      </c>
      <c r="FE295" s="1098" t="s">
        <v>432</v>
      </c>
      <c r="FF295" s="1098">
        <v>3</v>
      </c>
      <c r="FG295" s="1098">
        <v>0</v>
      </c>
      <c r="FH295" s="1098">
        <v>0</v>
      </c>
      <c r="FI295" s="1098">
        <v>0</v>
      </c>
      <c r="FJ295" s="1098">
        <v>0</v>
      </c>
      <c r="FK295" s="1096">
        <v>206.85576000000003</v>
      </c>
      <c r="FL295" s="1096">
        <v>132</v>
      </c>
      <c r="FM295" s="1096">
        <v>413.71152000000006</v>
      </c>
      <c r="FN295" s="1096">
        <v>264</v>
      </c>
      <c r="FO295" s="1096">
        <v>827.42304000000013</v>
      </c>
      <c r="FP295" s="1099">
        <v>528</v>
      </c>
      <c r="FQ295" s="1064">
        <v>1.5361399999999998</v>
      </c>
      <c r="FR295" s="1065">
        <v>0.15</v>
      </c>
      <c r="FS295" s="1066">
        <v>289.50050968399586</v>
      </c>
      <c r="FT295" s="1066">
        <v>3.2017662436826937</v>
      </c>
      <c r="FU295" s="1065"/>
      <c r="FV295" s="1066">
        <v>73.795095465754414</v>
      </c>
      <c r="FW295" s="1065"/>
      <c r="FX295" s="1065"/>
      <c r="FY295" s="1065" t="s">
        <v>347</v>
      </c>
      <c r="FZ295" s="1065" t="s">
        <v>416</v>
      </c>
      <c r="GA295" s="1065">
        <v>3</v>
      </c>
      <c r="GB295" s="1065"/>
      <c r="GC295" s="1065"/>
      <c r="GD295" s="1065"/>
      <c r="GE295" s="1065"/>
      <c r="GF295" s="1066">
        <v>214.34619404119604</v>
      </c>
      <c r="GG295" s="1066">
        <v>132</v>
      </c>
      <c r="GH295" s="1066">
        <v>428.69238808239209</v>
      </c>
      <c r="GI295" s="1066">
        <v>264</v>
      </c>
      <c r="GJ295" s="1066">
        <v>857.38477616478417</v>
      </c>
      <c r="GK295" s="1066">
        <v>528</v>
      </c>
      <c r="GL295" s="584">
        <v>1.1201000000000001</v>
      </c>
      <c r="GM295" s="584">
        <v>0.13</v>
      </c>
      <c r="GN295" s="584"/>
      <c r="GO295" s="584"/>
      <c r="GP295" s="584"/>
      <c r="GQ295" s="584">
        <v>75.546212121212093</v>
      </c>
      <c r="GR295" s="584"/>
      <c r="GS295" s="584">
        <v>66.2589194699286</v>
      </c>
      <c r="GT295" s="584" t="s">
        <v>347</v>
      </c>
      <c r="GU295" s="584" t="s">
        <v>379</v>
      </c>
      <c r="GV295" s="584">
        <v>2</v>
      </c>
      <c r="GW295" s="584"/>
      <c r="GX295" s="584"/>
      <c r="GY295" s="584"/>
      <c r="GZ295" s="584"/>
      <c r="HA295" s="584">
        <v>141.60657524999999</v>
      </c>
      <c r="HB295" s="584">
        <v>132</v>
      </c>
      <c r="HC295" s="584">
        <v>283.21315049999998</v>
      </c>
      <c r="HD295" s="584">
        <v>264</v>
      </c>
      <c r="HE295" s="584">
        <v>566.42630099999997</v>
      </c>
      <c r="HF295" s="584">
        <v>528</v>
      </c>
      <c r="HG295" s="1100">
        <v>2.4699999999999998</v>
      </c>
      <c r="HH295" s="1100">
        <v>0.11</v>
      </c>
      <c r="HI295" s="1101">
        <v>0</v>
      </c>
      <c r="HJ295" s="1101">
        <v>0</v>
      </c>
      <c r="HK295" s="1101">
        <v>0</v>
      </c>
      <c r="HL295" s="1101">
        <v>0</v>
      </c>
      <c r="HM295" s="1101">
        <v>79.699090909090899</v>
      </c>
      <c r="HN295" s="1101">
        <v>54.999999999999993</v>
      </c>
      <c r="HO295" s="1101">
        <v>0</v>
      </c>
      <c r="HP295" s="1101">
        <v>0</v>
      </c>
      <c r="HQ295" s="1101">
        <v>3</v>
      </c>
      <c r="HR295" s="1101">
        <v>2.36</v>
      </c>
      <c r="HS295" s="1101">
        <v>1.1599999999999999</v>
      </c>
      <c r="HT295" s="1101">
        <v>0.3</v>
      </c>
      <c r="HU295" s="1101">
        <v>0.28000000000000003</v>
      </c>
      <c r="HV295" s="1101">
        <v>139.3061367</v>
      </c>
      <c r="HW295" s="1101">
        <v>132</v>
      </c>
      <c r="HX295" s="1101">
        <v>278.61227339999999</v>
      </c>
      <c r="HY295" s="1101">
        <v>264</v>
      </c>
      <c r="HZ295" s="1101">
        <v>557.22454679999998</v>
      </c>
      <c r="IA295" s="1101">
        <v>528</v>
      </c>
      <c r="IB295" s="1062"/>
      <c r="ID295" s="1050"/>
      <c r="IE295" s="1050"/>
      <c r="IM295" s="1050"/>
      <c r="IN295" s="1050"/>
      <c r="IO295" s="1050"/>
      <c r="IP295" s="1050"/>
      <c r="JU295" s="1050"/>
      <c r="KC295" s="1050"/>
      <c r="KD295" s="1050"/>
      <c r="KE295" s="1050"/>
      <c r="KF295" s="1050"/>
      <c r="KN295" s="1103"/>
    </row>
    <row r="296" spans="2:300">
      <c r="B296" s="1048" t="str">
        <f t="shared" si="8"/>
        <v>H1113</v>
      </c>
      <c r="C296" s="1046">
        <v>11</v>
      </c>
      <c r="D296" s="1092">
        <v>13</v>
      </c>
      <c r="E296" s="584">
        <v>0.56999999999999995</v>
      </c>
      <c r="F296" s="584">
        <v>0.56999999999999995</v>
      </c>
      <c r="G296" s="584">
        <v>1368</v>
      </c>
      <c r="H296" s="584">
        <v>35.340000000000003</v>
      </c>
      <c r="I296" s="584">
        <v>0</v>
      </c>
      <c r="J296" s="584">
        <v>0</v>
      </c>
      <c r="K296" s="584">
        <v>0</v>
      </c>
      <c r="L296" s="584">
        <v>0</v>
      </c>
      <c r="M296" s="584">
        <v>0</v>
      </c>
      <c r="N296" s="584">
        <v>0</v>
      </c>
      <c r="O296" s="584">
        <v>0</v>
      </c>
      <c r="P296" s="584">
        <v>0</v>
      </c>
      <c r="Q296" s="584">
        <v>0</v>
      </c>
      <c r="R296" s="584">
        <v>0</v>
      </c>
      <c r="S296" s="584">
        <v>0</v>
      </c>
      <c r="T296" s="584">
        <v>792.91425000000004</v>
      </c>
      <c r="U296" s="584">
        <v>143</v>
      </c>
      <c r="V296" s="584">
        <v>1494.5116875000001</v>
      </c>
      <c r="W296" s="584">
        <v>300.3</v>
      </c>
      <c r="X296" s="584">
        <v>2713.6790000000001</v>
      </c>
      <c r="Y296" s="584">
        <v>629.20000000000005</v>
      </c>
      <c r="Z296" s="584">
        <v>0.41</v>
      </c>
      <c r="AA296" s="584">
        <v>0.41</v>
      </c>
      <c r="AB296" s="584">
        <v>984</v>
      </c>
      <c r="AC296" s="584">
        <v>32</v>
      </c>
      <c r="AD296" s="584">
        <v>0</v>
      </c>
      <c r="AE296" s="584">
        <v>0</v>
      </c>
      <c r="AF296" s="584">
        <v>0</v>
      </c>
      <c r="AG296" s="584">
        <v>0</v>
      </c>
      <c r="AH296" s="584">
        <v>0</v>
      </c>
      <c r="AI296" s="584">
        <v>0</v>
      </c>
      <c r="AJ296" s="584">
        <v>0</v>
      </c>
      <c r="AK296" s="584">
        <v>0</v>
      </c>
      <c r="AL296" s="584">
        <v>0</v>
      </c>
      <c r="AM296" s="584">
        <v>0</v>
      </c>
      <c r="AN296" s="584">
        <v>0</v>
      </c>
      <c r="AO296" s="584">
        <v>638.96793749999995</v>
      </c>
      <c r="AP296" s="584">
        <v>143</v>
      </c>
      <c r="AQ296" s="584">
        <v>1181.7307499999999</v>
      </c>
      <c r="AR296" s="584">
        <v>300.3</v>
      </c>
      <c r="AS296" s="584">
        <v>2080.7327500000001</v>
      </c>
      <c r="AT296" s="584">
        <v>629.20000000000005</v>
      </c>
      <c r="AU296" s="584">
        <v>0</v>
      </c>
      <c r="AV296" s="584">
        <v>0</v>
      </c>
      <c r="AW296" s="584">
        <v>0</v>
      </c>
      <c r="AX296" s="584">
        <v>0</v>
      </c>
      <c r="AY296" s="584">
        <v>0</v>
      </c>
      <c r="AZ296" s="584">
        <v>0</v>
      </c>
      <c r="BA296" s="584">
        <v>0</v>
      </c>
      <c r="BB296" s="584">
        <v>0</v>
      </c>
      <c r="BC296" s="584">
        <v>0</v>
      </c>
      <c r="BD296" s="584">
        <v>0</v>
      </c>
      <c r="BE296" s="584">
        <v>0</v>
      </c>
      <c r="BF296" s="584">
        <v>0</v>
      </c>
      <c r="BG296" s="584">
        <v>0</v>
      </c>
      <c r="BH296" s="584">
        <v>0</v>
      </c>
      <c r="BI296" s="584">
        <v>0</v>
      </c>
      <c r="BJ296" s="584">
        <v>0</v>
      </c>
      <c r="BK296" s="584">
        <v>0</v>
      </c>
      <c r="BL296" s="584">
        <v>0</v>
      </c>
      <c r="BM296" s="584">
        <v>0</v>
      </c>
      <c r="BN296" s="584">
        <v>0</v>
      </c>
      <c r="BO296" s="584">
        <v>0</v>
      </c>
      <c r="BP296" s="584">
        <v>0</v>
      </c>
      <c r="BQ296" s="584">
        <v>0</v>
      </c>
      <c r="BR296" s="584">
        <v>0</v>
      </c>
      <c r="BS296" s="584">
        <v>0</v>
      </c>
      <c r="BT296" s="584">
        <v>0</v>
      </c>
      <c r="BU296" s="584">
        <v>0</v>
      </c>
      <c r="BV296" s="584">
        <v>0</v>
      </c>
      <c r="BW296" s="584">
        <v>0</v>
      </c>
      <c r="BX296" s="584">
        <v>0</v>
      </c>
      <c r="BY296" s="584">
        <v>0</v>
      </c>
      <c r="BZ296" s="584">
        <v>0</v>
      </c>
      <c r="CA296" s="584">
        <v>0</v>
      </c>
      <c r="CB296" s="584">
        <v>0</v>
      </c>
      <c r="CC296" s="584">
        <v>0</v>
      </c>
      <c r="CD296" s="584">
        <v>0</v>
      </c>
      <c r="CE296" s="584">
        <v>0</v>
      </c>
      <c r="CF296" s="584">
        <v>0</v>
      </c>
      <c r="CG296" s="584">
        <v>0</v>
      </c>
      <c r="CH296" s="584">
        <v>0</v>
      </c>
      <c r="CI296" s="584">
        <v>0</v>
      </c>
      <c r="CJ296" s="584">
        <v>0</v>
      </c>
      <c r="CK296" s="584">
        <v>0</v>
      </c>
      <c r="CL296" s="584">
        <v>0</v>
      </c>
      <c r="CM296" s="584">
        <v>0</v>
      </c>
      <c r="CN296" s="584">
        <v>0</v>
      </c>
      <c r="CO296" s="584">
        <v>0</v>
      </c>
      <c r="CP296" s="584">
        <v>0</v>
      </c>
      <c r="CQ296" s="584">
        <v>0</v>
      </c>
      <c r="CR296" s="584">
        <v>0</v>
      </c>
      <c r="CS296" s="584">
        <v>0</v>
      </c>
      <c r="CT296" s="584">
        <v>0</v>
      </c>
      <c r="CU296" s="584">
        <v>0</v>
      </c>
      <c r="CV296" s="584">
        <v>0</v>
      </c>
      <c r="CW296" s="584">
        <v>0</v>
      </c>
      <c r="CX296" s="584">
        <v>0</v>
      </c>
      <c r="CY296" s="584">
        <v>0</v>
      </c>
      <c r="CZ296" s="584">
        <v>0</v>
      </c>
      <c r="DA296" s="584">
        <v>0</v>
      </c>
      <c r="DB296" s="584">
        <v>0</v>
      </c>
      <c r="DC296" s="584">
        <v>0</v>
      </c>
      <c r="DD296" s="584">
        <v>0</v>
      </c>
      <c r="DE296" s="584">
        <v>0</v>
      </c>
      <c r="DF296" s="584">
        <v>0.77500000000000002</v>
      </c>
      <c r="DG296" s="584">
        <v>0.35</v>
      </c>
      <c r="DH296" s="584">
        <v>451.65146978769701</v>
      </c>
      <c r="DI296" s="584">
        <v>22.7080693385955</v>
      </c>
      <c r="DJ296" s="584">
        <v>450</v>
      </c>
      <c r="DK296" s="584">
        <v>0</v>
      </c>
      <c r="DL296" s="584">
        <v>0</v>
      </c>
      <c r="DM296" s="584">
        <v>0</v>
      </c>
      <c r="DN296" s="584">
        <v>0</v>
      </c>
      <c r="DO296" s="584">
        <v>0</v>
      </c>
      <c r="DP296" s="584">
        <v>0</v>
      </c>
      <c r="DQ296" s="584">
        <v>0</v>
      </c>
      <c r="DR296" s="584">
        <v>0.77500000000000002</v>
      </c>
      <c r="DS296" s="584">
        <v>0</v>
      </c>
      <c r="DT296" s="584">
        <v>2.4</v>
      </c>
      <c r="DU296" s="584">
        <v>580.69537500000001</v>
      </c>
      <c r="DV296" s="584">
        <v>143</v>
      </c>
      <c r="DW296" s="584">
        <v>1151.1837499999999</v>
      </c>
      <c r="DX296" s="584">
        <v>300.3</v>
      </c>
      <c r="DY296" s="584">
        <v>1911.2370625000001</v>
      </c>
      <c r="DZ296" s="584">
        <v>629.20000000000005</v>
      </c>
      <c r="EA296" s="1062">
        <v>1.411</v>
      </c>
      <c r="EB296" s="1046">
        <v>0.45</v>
      </c>
      <c r="EC296" s="1093">
        <v>132.51783893985726</v>
      </c>
      <c r="ED296" s="1046">
        <v>0</v>
      </c>
      <c r="EE296" s="1046">
        <v>581.03975535168195</v>
      </c>
      <c r="EF296" s="1046">
        <v>52.583216783216784</v>
      </c>
      <c r="EG296" s="1046">
        <v>0</v>
      </c>
      <c r="EH296" s="1046">
        <v>0</v>
      </c>
      <c r="EI296" s="1046" t="s">
        <v>361</v>
      </c>
      <c r="EJ296" s="1046" t="s">
        <v>420</v>
      </c>
      <c r="EK296" s="1046">
        <v>0</v>
      </c>
      <c r="EL296" s="1046">
        <v>0</v>
      </c>
      <c r="EM296" s="1046">
        <v>0</v>
      </c>
      <c r="EN296" s="1046">
        <v>0</v>
      </c>
      <c r="EO296" s="1046">
        <v>0</v>
      </c>
      <c r="EP296" s="1094">
        <v>372.36632850000001</v>
      </c>
      <c r="EQ296" s="1094">
        <v>143</v>
      </c>
      <c r="ER296" s="1094">
        <v>744.73265700000002</v>
      </c>
      <c r="ES296" s="1095">
        <v>286</v>
      </c>
      <c r="ET296" s="1094">
        <v>1489.465314</v>
      </c>
      <c r="EU296" s="1094">
        <v>572</v>
      </c>
      <c r="EV296" s="1096">
        <v>1.1300999999999999</v>
      </c>
      <c r="EW296" s="1097">
        <v>0.15</v>
      </c>
      <c r="EX296" s="1096">
        <v>289.50050968399592</v>
      </c>
      <c r="EY296" s="1096">
        <v>1.5443934760448521</v>
      </c>
      <c r="EZ296" s="1096">
        <v>0</v>
      </c>
      <c r="FA296" s="1096">
        <v>41.548951048951047</v>
      </c>
      <c r="FB296" s="1098">
        <v>0</v>
      </c>
      <c r="FC296" s="1098">
        <v>0</v>
      </c>
      <c r="FD296" s="1098" t="s">
        <v>349</v>
      </c>
      <c r="FE296" s="1098" t="s">
        <v>432</v>
      </c>
      <c r="FF296" s="1098">
        <v>3</v>
      </c>
      <c r="FG296" s="1098">
        <v>0</v>
      </c>
      <c r="FH296" s="1098">
        <v>0</v>
      </c>
      <c r="FI296" s="1098">
        <v>0</v>
      </c>
      <c r="FJ296" s="1098">
        <v>0</v>
      </c>
      <c r="FK296" s="1096">
        <v>224.25065912499997</v>
      </c>
      <c r="FL296" s="1096">
        <v>143</v>
      </c>
      <c r="FM296" s="1096">
        <v>448.50131824999994</v>
      </c>
      <c r="FN296" s="1096">
        <v>286</v>
      </c>
      <c r="FO296" s="1096">
        <v>897.00263649999988</v>
      </c>
      <c r="FP296" s="1099">
        <v>572</v>
      </c>
      <c r="FQ296" s="1064">
        <v>1.5611999999999999</v>
      </c>
      <c r="FR296" s="1065">
        <v>0.15</v>
      </c>
      <c r="FS296" s="1066">
        <v>289.50050968399586</v>
      </c>
      <c r="FT296" s="1066">
        <v>3.2017662436826937</v>
      </c>
      <c r="FU296" s="1065"/>
      <c r="FV296" s="1066">
        <v>85.799843534862774</v>
      </c>
      <c r="FW296" s="1065"/>
      <c r="FX296" s="1065"/>
      <c r="FY296" s="1065" t="s">
        <v>343</v>
      </c>
      <c r="FZ296" s="1065" t="s">
        <v>412</v>
      </c>
      <c r="GA296" s="1065">
        <v>3</v>
      </c>
      <c r="GB296" s="1065"/>
      <c r="GC296" s="1065"/>
      <c r="GD296" s="1065"/>
      <c r="GE296" s="1065"/>
      <c r="GF296" s="1066">
        <v>236.41853206140925</v>
      </c>
      <c r="GG296" s="1066">
        <v>143</v>
      </c>
      <c r="GH296" s="1066">
        <v>472.8370641228185</v>
      </c>
      <c r="GI296" s="1066">
        <v>286</v>
      </c>
      <c r="GJ296" s="1066">
        <v>945.67412824563701</v>
      </c>
      <c r="GK296" s="1066">
        <v>572</v>
      </c>
      <c r="GL296" s="584">
        <v>1.1201000000000001</v>
      </c>
      <c r="GM296" s="584">
        <v>0.13</v>
      </c>
      <c r="GN296" s="584"/>
      <c r="GO296" s="584"/>
      <c r="GP296" s="584"/>
      <c r="GQ296" s="584">
        <v>81.491608391608395</v>
      </c>
      <c r="GR296" s="584"/>
      <c r="GS296" s="584">
        <v>66.2589194699286</v>
      </c>
      <c r="GT296" s="584" t="s">
        <v>347</v>
      </c>
      <c r="GU296" s="584" t="s">
        <v>351</v>
      </c>
      <c r="GV296" s="584">
        <v>2</v>
      </c>
      <c r="GW296" s="584"/>
      <c r="GX296" s="584"/>
      <c r="GY296" s="584"/>
      <c r="GZ296" s="584"/>
      <c r="HA296" s="584">
        <v>155.49221825000001</v>
      </c>
      <c r="HB296" s="584">
        <v>143</v>
      </c>
      <c r="HC296" s="584">
        <v>310.98443650000002</v>
      </c>
      <c r="HD296" s="584">
        <v>286</v>
      </c>
      <c r="HE296" s="584">
        <v>621.96887300000003</v>
      </c>
      <c r="HF296" s="584">
        <v>572</v>
      </c>
      <c r="HG296" s="1100">
        <v>0</v>
      </c>
      <c r="HH296" s="1100">
        <v>0</v>
      </c>
      <c r="HI296" s="1101">
        <v>0</v>
      </c>
      <c r="HJ296" s="1101">
        <v>0</v>
      </c>
      <c r="HK296" s="1101">
        <v>0</v>
      </c>
      <c r="HL296" s="1101">
        <v>0</v>
      </c>
      <c r="HM296" s="1101">
        <v>0</v>
      </c>
      <c r="HN296" s="1101">
        <v>0</v>
      </c>
      <c r="HO296" s="1101">
        <v>0</v>
      </c>
      <c r="HP296" s="1101">
        <v>0</v>
      </c>
      <c r="HQ296" s="1101">
        <v>0</v>
      </c>
      <c r="HR296" s="1101">
        <v>0</v>
      </c>
      <c r="HS296" s="1101">
        <v>0</v>
      </c>
      <c r="HT296" s="1101">
        <v>0</v>
      </c>
      <c r="HU296" s="1101">
        <v>0</v>
      </c>
      <c r="HV296" s="1101">
        <v>0</v>
      </c>
      <c r="HW296" s="1101">
        <v>0</v>
      </c>
      <c r="HX296" s="1101">
        <v>0</v>
      </c>
      <c r="HY296" s="1101">
        <v>0</v>
      </c>
      <c r="HZ296" s="1101">
        <v>0</v>
      </c>
      <c r="IA296" s="1101">
        <v>0</v>
      </c>
      <c r="IB296" s="1062"/>
      <c r="ID296" s="1050"/>
      <c r="IE296" s="1050"/>
      <c r="IM296" s="1050"/>
      <c r="IN296" s="1050"/>
      <c r="IO296" s="1050"/>
      <c r="IP296" s="1050"/>
      <c r="JU296" s="1050"/>
      <c r="KC296" s="1050"/>
      <c r="KD296" s="1050"/>
      <c r="KE296" s="1050"/>
      <c r="KF296" s="1050"/>
      <c r="KN296" s="1103"/>
    </row>
    <row r="297" spans="2:300">
      <c r="B297" s="1048" t="str">
        <f t="shared" si="8"/>
        <v>H1114</v>
      </c>
      <c r="C297" s="1046">
        <v>11</v>
      </c>
      <c r="D297" s="1092">
        <v>14</v>
      </c>
      <c r="E297" s="584">
        <v>0</v>
      </c>
      <c r="F297" s="584">
        <v>0</v>
      </c>
      <c r="G297" s="584">
        <v>0</v>
      </c>
      <c r="H297" s="584">
        <v>0</v>
      </c>
      <c r="I297" s="584">
        <v>0</v>
      </c>
      <c r="J297" s="584">
        <v>0</v>
      </c>
      <c r="K297" s="584">
        <v>0</v>
      </c>
      <c r="L297" s="584">
        <v>0</v>
      </c>
      <c r="M297" s="584">
        <v>0</v>
      </c>
      <c r="N297" s="584">
        <v>0</v>
      </c>
      <c r="O297" s="584">
        <v>0</v>
      </c>
      <c r="P297" s="584">
        <v>0</v>
      </c>
      <c r="Q297" s="584">
        <v>0</v>
      </c>
      <c r="R297" s="584">
        <v>0</v>
      </c>
      <c r="S297" s="584">
        <v>0</v>
      </c>
      <c r="T297" s="584">
        <v>0</v>
      </c>
      <c r="U297" s="584">
        <v>0</v>
      </c>
      <c r="V297" s="584">
        <v>0</v>
      </c>
      <c r="W297" s="584">
        <v>0</v>
      </c>
      <c r="X297" s="584">
        <v>0</v>
      </c>
      <c r="Y297" s="584">
        <v>0</v>
      </c>
      <c r="Z297" s="584">
        <v>0</v>
      </c>
      <c r="AA297" s="584">
        <v>0</v>
      </c>
      <c r="AB297" s="584">
        <v>0</v>
      </c>
      <c r="AC297" s="584">
        <v>0</v>
      </c>
      <c r="AD297" s="584">
        <v>0</v>
      </c>
      <c r="AE297" s="584">
        <v>0</v>
      </c>
      <c r="AF297" s="584">
        <v>0</v>
      </c>
      <c r="AG297" s="584">
        <v>0</v>
      </c>
      <c r="AH297" s="584">
        <v>0</v>
      </c>
      <c r="AI297" s="584">
        <v>0</v>
      </c>
      <c r="AJ297" s="584">
        <v>0</v>
      </c>
      <c r="AK297" s="584">
        <v>0</v>
      </c>
      <c r="AL297" s="584">
        <v>0</v>
      </c>
      <c r="AM297" s="584">
        <v>0</v>
      </c>
      <c r="AN297" s="584">
        <v>0</v>
      </c>
      <c r="AO297" s="584">
        <v>0</v>
      </c>
      <c r="AP297" s="584">
        <v>0</v>
      </c>
      <c r="AQ297" s="584">
        <v>0</v>
      </c>
      <c r="AR297" s="584">
        <v>0</v>
      </c>
      <c r="AS297" s="584">
        <v>0</v>
      </c>
      <c r="AT297" s="584">
        <v>0</v>
      </c>
      <c r="AU297" s="584">
        <v>0</v>
      </c>
      <c r="AV297" s="584">
        <v>0</v>
      </c>
      <c r="AW297" s="584">
        <v>0</v>
      </c>
      <c r="AX297" s="584">
        <v>0</v>
      </c>
      <c r="AY297" s="584">
        <v>0</v>
      </c>
      <c r="AZ297" s="584">
        <v>0</v>
      </c>
      <c r="BA297" s="584">
        <v>0</v>
      </c>
      <c r="BB297" s="584">
        <v>0</v>
      </c>
      <c r="BC297" s="584">
        <v>0</v>
      </c>
      <c r="BD297" s="584">
        <v>0</v>
      </c>
      <c r="BE297" s="584">
        <v>0</v>
      </c>
      <c r="BF297" s="584">
        <v>0</v>
      </c>
      <c r="BG297" s="584">
        <v>0</v>
      </c>
      <c r="BH297" s="584">
        <v>0</v>
      </c>
      <c r="BI297" s="584">
        <v>0</v>
      </c>
      <c r="BJ297" s="584">
        <v>0</v>
      </c>
      <c r="BK297" s="584">
        <v>0</v>
      </c>
      <c r="BL297" s="584">
        <v>0</v>
      </c>
      <c r="BM297" s="584">
        <v>0</v>
      </c>
      <c r="BN297" s="584">
        <v>0</v>
      </c>
      <c r="BO297" s="584">
        <v>0</v>
      </c>
      <c r="BP297" s="584">
        <v>0</v>
      </c>
      <c r="BQ297" s="584">
        <v>0</v>
      </c>
      <c r="BR297" s="584">
        <v>0</v>
      </c>
      <c r="BS297" s="584">
        <v>0</v>
      </c>
      <c r="BT297" s="584">
        <v>0</v>
      </c>
      <c r="BU297" s="584">
        <v>0</v>
      </c>
      <c r="BV297" s="584">
        <v>0</v>
      </c>
      <c r="BW297" s="584">
        <v>0</v>
      </c>
      <c r="BX297" s="584">
        <v>0</v>
      </c>
      <c r="BY297" s="584">
        <v>0</v>
      </c>
      <c r="BZ297" s="584">
        <v>0</v>
      </c>
      <c r="CA297" s="584">
        <v>0</v>
      </c>
      <c r="CB297" s="584">
        <v>0</v>
      </c>
      <c r="CC297" s="584">
        <v>0</v>
      </c>
      <c r="CD297" s="584">
        <v>0</v>
      </c>
      <c r="CE297" s="584">
        <v>0</v>
      </c>
      <c r="CF297" s="584">
        <v>0</v>
      </c>
      <c r="CG297" s="584">
        <v>0</v>
      </c>
      <c r="CH297" s="584">
        <v>0</v>
      </c>
      <c r="CI297" s="584">
        <v>0</v>
      </c>
      <c r="CJ297" s="584">
        <v>0</v>
      </c>
      <c r="CK297" s="584">
        <v>0</v>
      </c>
      <c r="CL297" s="584">
        <v>0</v>
      </c>
      <c r="CM297" s="584">
        <v>0</v>
      </c>
      <c r="CN297" s="584">
        <v>0</v>
      </c>
      <c r="CO297" s="584">
        <v>0</v>
      </c>
      <c r="CP297" s="584">
        <v>0</v>
      </c>
      <c r="CQ297" s="584">
        <v>0</v>
      </c>
      <c r="CR297" s="584">
        <v>0</v>
      </c>
      <c r="CS297" s="584">
        <v>0</v>
      </c>
      <c r="CT297" s="584">
        <v>0</v>
      </c>
      <c r="CU297" s="584">
        <v>0</v>
      </c>
      <c r="CV297" s="584">
        <v>0</v>
      </c>
      <c r="CW297" s="584">
        <v>0</v>
      </c>
      <c r="CX297" s="584">
        <v>0</v>
      </c>
      <c r="CY297" s="584">
        <v>0</v>
      </c>
      <c r="CZ297" s="584">
        <v>0</v>
      </c>
      <c r="DA297" s="584">
        <v>0</v>
      </c>
      <c r="DB297" s="584">
        <v>0</v>
      </c>
      <c r="DC297" s="584">
        <v>0</v>
      </c>
      <c r="DD297" s="584">
        <v>0</v>
      </c>
      <c r="DE297" s="584">
        <v>0</v>
      </c>
      <c r="DF297" s="584">
        <v>0</v>
      </c>
      <c r="DG297" s="584">
        <v>0</v>
      </c>
      <c r="DH297" s="584">
        <v>0</v>
      </c>
      <c r="DI297" s="584">
        <v>0</v>
      </c>
      <c r="DJ297" s="584">
        <v>0</v>
      </c>
      <c r="DK297" s="584">
        <v>0</v>
      </c>
      <c r="DL297" s="584">
        <v>0</v>
      </c>
      <c r="DM297" s="584">
        <v>0</v>
      </c>
      <c r="DN297" s="584">
        <v>0</v>
      </c>
      <c r="DO297" s="584">
        <v>0</v>
      </c>
      <c r="DP297" s="584">
        <v>0</v>
      </c>
      <c r="DQ297" s="584">
        <v>0</v>
      </c>
      <c r="DR297" s="584">
        <v>0</v>
      </c>
      <c r="DS297" s="584">
        <v>0</v>
      </c>
      <c r="DT297" s="584">
        <v>0</v>
      </c>
      <c r="DU297" s="584">
        <v>0</v>
      </c>
      <c r="DV297" s="584">
        <v>0</v>
      </c>
      <c r="DW297" s="584">
        <v>0</v>
      </c>
      <c r="DX297" s="584">
        <v>0</v>
      </c>
      <c r="DY297" s="584">
        <v>0</v>
      </c>
      <c r="DZ297" s="584">
        <v>0</v>
      </c>
      <c r="EA297" s="1062">
        <v>0</v>
      </c>
      <c r="EB297" s="1046">
        <v>0</v>
      </c>
      <c r="EC297" s="1093">
        <v>0</v>
      </c>
      <c r="ED297" s="1046">
        <v>0</v>
      </c>
      <c r="EE297" s="1046">
        <v>0</v>
      </c>
      <c r="EF297" s="1046">
        <v>0</v>
      </c>
      <c r="EG297" s="1046">
        <v>0</v>
      </c>
      <c r="EH297" s="1046">
        <v>0</v>
      </c>
      <c r="EI297" s="1046">
        <v>0</v>
      </c>
      <c r="EJ297" s="1046">
        <v>0</v>
      </c>
      <c r="EK297" s="1046">
        <v>0</v>
      </c>
      <c r="EL297" s="1046">
        <v>0</v>
      </c>
      <c r="EM297" s="1046">
        <v>0</v>
      </c>
      <c r="EN297" s="1046">
        <v>0</v>
      </c>
      <c r="EO297" s="1046">
        <v>0</v>
      </c>
      <c r="EP297" s="1094">
        <v>0</v>
      </c>
      <c r="EQ297" s="1094">
        <v>0</v>
      </c>
      <c r="ER297" s="1094">
        <v>0</v>
      </c>
      <c r="ES297" s="1095">
        <v>0</v>
      </c>
      <c r="ET297" s="1094">
        <v>0</v>
      </c>
      <c r="EU297" s="1094">
        <v>0</v>
      </c>
      <c r="EV297" s="1096">
        <v>1.1300999999999999</v>
      </c>
      <c r="EW297" s="1097">
        <v>0.15</v>
      </c>
      <c r="EX297" s="1096">
        <v>289.50050968399592</v>
      </c>
      <c r="EY297" s="1096">
        <v>1.5443934760448521</v>
      </c>
      <c r="EZ297" s="1096">
        <v>0</v>
      </c>
      <c r="FA297" s="1096">
        <v>45.364285714285714</v>
      </c>
      <c r="FB297" s="1098">
        <v>0</v>
      </c>
      <c r="FC297" s="1098">
        <v>0</v>
      </c>
      <c r="FD297" s="1098" t="s">
        <v>349</v>
      </c>
      <c r="FE297" s="1098" t="s">
        <v>410</v>
      </c>
      <c r="FF297" s="1098">
        <v>3</v>
      </c>
      <c r="FG297" s="1098">
        <v>0</v>
      </c>
      <c r="FH297" s="1098">
        <v>0</v>
      </c>
      <c r="FI297" s="1098">
        <v>0</v>
      </c>
      <c r="FJ297" s="1098">
        <v>0</v>
      </c>
      <c r="FK297" s="1096">
        <v>242.94170450000001</v>
      </c>
      <c r="FL297" s="1096">
        <v>154</v>
      </c>
      <c r="FM297" s="1096">
        <v>485.88340900000003</v>
      </c>
      <c r="FN297" s="1096">
        <v>308</v>
      </c>
      <c r="FO297" s="1096">
        <v>971.76681800000006</v>
      </c>
      <c r="FP297" s="1099">
        <v>616</v>
      </c>
      <c r="FQ297" s="1064">
        <v>1.57226</v>
      </c>
      <c r="FR297" s="1065">
        <v>0.15</v>
      </c>
      <c r="FS297" s="1066">
        <v>289.50050968399586</v>
      </c>
      <c r="FT297" s="1066">
        <v>3.2017662436826937</v>
      </c>
      <c r="FU297" s="1065"/>
      <c r="FV297" s="1066">
        <v>97.278672765701927</v>
      </c>
      <c r="FW297" s="1065"/>
      <c r="FX297" s="1065"/>
      <c r="FY297" s="1065" t="s">
        <v>341</v>
      </c>
      <c r="FZ297" s="1065" t="s">
        <v>406</v>
      </c>
      <c r="GA297" s="1065">
        <v>3</v>
      </c>
      <c r="GB297" s="1065"/>
      <c r="GC297" s="1065"/>
      <c r="GD297" s="1065"/>
      <c r="GE297" s="1065"/>
      <c r="GF297" s="1066">
        <v>258.93995460725944</v>
      </c>
      <c r="GG297" s="1066">
        <v>154</v>
      </c>
      <c r="GH297" s="1066">
        <v>517.87990921451888</v>
      </c>
      <c r="GI297" s="1066">
        <v>308</v>
      </c>
      <c r="GJ297" s="1066">
        <v>1035.7598184290378</v>
      </c>
      <c r="GK297" s="1066">
        <v>616</v>
      </c>
      <c r="GL297" s="584">
        <v>1.1298999999999999</v>
      </c>
      <c r="GM297" s="584">
        <v>0.13</v>
      </c>
      <c r="GN297" s="584"/>
      <c r="GO297" s="584"/>
      <c r="GP297" s="584"/>
      <c r="GQ297" s="584">
        <v>96.713636363636397</v>
      </c>
      <c r="GR297" s="584"/>
      <c r="GS297" s="584">
        <v>66.2589194699286</v>
      </c>
      <c r="GT297" s="584" t="s">
        <v>345</v>
      </c>
      <c r="GU297" s="584" t="s">
        <v>347</v>
      </c>
      <c r="GV297" s="584">
        <v>2</v>
      </c>
      <c r="GW297" s="584"/>
      <c r="GX297" s="584"/>
      <c r="GY297" s="584"/>
      <c r="GZ297" s="584"/>
      <c r="HA297" s="584">
        <v>173.20228975000001</v>
      </c>
      <c r="HB297" s="584">
        <v>154</v>
      </c>
      <c r="HC297" s="584">
        <v>346.40457950000001</v>
      </c>
      <c r="HD297" s="584">
        <v>308</v>
      </c>
      <c r="HE297" s="584">
        <v>692.80915900000002</v>
      </c>
      <c r="HF297" s="584">
        <v>616</v>
      </c>
      <c r="HG297" s="1100">
        <v>0</v>
      </c>
      <c r="HH297" s="1100">
        <v>0</v>
      </c>
      <c r="HI297" s="1101">
        <v>0</v>
      </c>
      <c r="HJ297" s="1101">
        <v>0</v>
      </c>
      <c r="HK297" s="1101">
        <v>0</v>
      </c>
      <c r="HL297" s="1101">
        <v>0</v>
      </c>
      <c r="HM297" s="1101">
        <v>0</v>
      </c>
      <c r="HN297" s="1101">
        <v>0</v>
      </c>
      <c r="HO297" s="1101">
        <v>0</v>
      </c>
      <c r="HP297" s="1101">
        <v>0</v>
      </c>
      <c r="HQ297" s="1101">
        <v>0</v>
      </c>
      <c r="HR297" s="1101">
        <v>0</v>
      </c>
      <c r="HS297" s="1101">
        <v>0</v>
      </c>
      <c r="HT297" s="1101">
        <v>0</v>
      </c>
      <c r="HU297" s="1101">
        <v>0</v>
      </c>
      <c r="HV297" s="1101">
        <v>0</v>
      </c>
      <c r="HW297" s="1101">
        <v>0</v>
      </c>
      <c r="HX297" s="1101">
        <v>0</v>
      </c>
      <c r="HY297" s="1101">
        <v>0</v>
      </c>
      <c r="HZ297" s="1101">
        <v>0</v>
      </c>
      <c r="IA297" s="1101">
        <v>0</v>
      </c>
      <c r="IB297" s="1062"/>
      <c r="ID297" s="1050"/>
      <c r="IE297" s="1050"/>
      <c r="IM297" s="1050"/>
      <c r="IN297" s="1050"/>
      <c r="IO297" s="1050"/>
      <c r="IP297" s="1050"/>
      <c r="JU297" s="1050"/>
      <c r="KC297" s="1050"/>
      <c r="KD297" s="1050"/>
      <c r="KE297" s="1050"/>
      <c r="KF297" s="1050"/>
      <c r="KN297" s="1103"/>
    </row>
    <row r="298" spans="2:300">
      <c r="B298" s="1048" t="str">
        <f t="shared" si="8"/>
        <v>H1115</v>
      </c>
      <c r="C298" s="1046">
        <v>11</v>
      </c>
      <c r="D298" s="1092">
        <v>15</v>
      </c>
      <c r="E298" s="584">
        <v>0</v>
      </c>
      <c r="F298" s="584">
        <v>0</v>
      </c>
      <c r="G298" s="584">
        <v>0</v>
      </c>
      <c r="H298" s="584">
        <v>0</v>
      </c>
      <c r="I298" s="584">
        <v>0</v>
      </c>
      <c r="J298" s="584">
        <v>0</v>
      </c>
      <c r="K298" s="584">
        <v>0</v>
      </c>
      <c r="L298" s="584">
        <v>0</v>
      </c>
      <c r="M298" s="584">
        <v>0</v>
      </c>
      <c r="N298" s="584">
        <v>0</v>
      </c>
      <c r="O298" s="584">
        <v>0</v>
      </c>
      <c r="P298" s="584">
        <v>0</v>
      </c>
      <c r="Q298" s="584">
        <v>0</v>
      </c>
      <c r="R298" s="584">
        <v>0</v>
      </c>
      <c r="S298" s="584">
        <v>0</v>
      </c>
      <c r="T298" s="584">
        <v>0</v>
      </c>
      <c r="U298" s="584">
        <v>0</v>
      </c>
      <c r="V298" s="584">
        <v>0</v>
      </c>
      <c r="W298" s="584">
        <v>0</v>
      </c>
      <c r="X298" s="584">
        <v>0</v>
      </c>
      <c r="Y298" s="584">
        <v>0</v>
      </c>
      <c r="Z298" s="584">
        <v>0</v>
      </c>
      <c r="AA298" s="584">
        <v>0</v>
      </c>
      <c r="AB298" s="584">
        <v>0</v>
      </c>
      <c r="AC298" s="584">
        <v>0</v>
      </c>
      <c r="AD298" s="584">
        <v>0</v>
      </c>
      <c r="AE298" s="584">
        <v>0</v>
      </c>
      <c r="AF298" s="584">
        <v>0</v>
      </c>
      <c r="AG298" s="584">
        <v>0</v>
      </c>
      <c r="AH298" s="584">
        <v>0</v>
      </c>
      <c r="AI298" s="584">
        <v>0</v>
      </c>
      <c r="AJ298" s="584">
        <v>0</v>
      </c>
      <c r="AK298" s="584">
        <v>0</v>
      </c>
      <c r="AL298" s="584">
        <v>0</v>
      </c>
      <c r="AM298" s="584">
        <v>0</v>
      </c>
      <c r="AN298" s="584">
        <v>0</v>
      </c>
      <c r="AO298" s="584">
        <v>0</v>
      </c>
      <c r="AP298" s="584">
        <v>0</v>
      </c>
      <c r="AQ298" s="584">
        <v>0</v>
      </c>
      <c r="AR298" s="584">
        <v>0</v>
      </c>
      <c r="AS298" s="584">
        <v>0</v>
      </c>
      <c r="AT298" s="584">
        <v>0</v>
      </c>
      <c r="AU298" s="584">
        <v>0</v>
      </c>
      <c r="AV298" s="584">
        <v>0</v>
      </c>
      <c r="AW298" s="584">
        <v>0</v>
      </c>
      <c r="AX298" s="584">
        <v>0</v>
      </c>
      <c r="AY298" s="584">
        <v>0</v>
      </c>
      <c r="AZ298" s="584">
        <v>0</v>
      </c>
      <c r="BA298" s="584">
        <v>0</v>
      </c>
      <c r="BB298" s="584">
        <v>0</v>
      </c>
      <c r="BC298" s="584">
        <v>0</v>
      </c>
      <c r="BD298" s="584">
        <v>0</v>
      </c>
      <c r="BE298" s="584">
        <v>0</v>
      </c>
      <c r="BF298" s="584">
        <v>0</v>
      </c>
      <c r="BG298" s="584">
        <v>0</v>
      </c>
      <c r="BH298" s="584">
        <v>0</v>
      </c>
      <c r="BI298" s="584">
        <v>0</v>
      </c>
      <c r="BJ298" s="584">
        <v>0</v>
      </c>
      <c r="BK298" s="584">
        <v>0</v>
      </c>
      <c r="BL298" s="584">
        <v>0</v>
      </c>
      <c r="BM298" s="584">
        <v>0</v>
      </c>
      <c r="BN298" s="584">
        <v>0</v>
      </c>
      <c r="BO298" s="584">
        <v>0</v>
      </c>
      <c r="BP298" s="584">
        <v>0</v>
      </c>
      <c r="BQ298" s="584">
        <v>0</v>
      </c>
      <c r="BR298" s="584">
        <v>0</v>
      </c>
      <c r="BS298" s="584">
        <v>0</v>
      </c>
      <c r="BT298" s="584">
        <v>0</v>
      </c>
      <c r="BU298" s="584">
        <v>0</v>
      </c>
      <c r="BV298" s="584">
        <v>0</v>
      </c>
      <c r="BW298" s="584">
        <v>0</v>
      </c>
      <c r="BX298" s="584">
        <v>0</v>
      </c>
      <c r="BY298" s="584">
        <v>0</v>
      </c>
      <c r="BZ298" s="584">
        <v>0</v>
      </c>
      <c r="CA298" s="584">
        <v>0</v>
      </c>
      <c r="CB298" s="584">
        <v>0</v>
      </c>
      <c r="CC298" s="584">
        <v>0</v>
      </c>
      <c r="CD298" s="584">
        <v>0</v>
      </c>
      <c r="CE298" s="584">
        <v>0</v>
      </c>
      <c r="CF298" s="584">
        <v>0</v>
      </c>
      <c r="CG298" s="584">
        <v>0</v>
      </c>
      <c r="CH298" s="584">
        <v>0</v>
      </c>
      <c r="CI298" s="584">
        <v>0</v>
      </c>
      <c r="CJ298" s="584">
        <v>0</v>
      </c>
      <c r="CK298" s="584">
        <v>0</v>
      </c>
      <c r="CL298" s="584">
        <v>0</v>
      </c>
      <c r="CM298" s="584">
        <v>0</v>
      </c>
      <c r="CN298" s="584">
        <v>0</v>
      </c>
      <c r="CO298" s="584">
        <v>0</v>
      </c>
      <c r="CP298" s="584">
        <v>0</v>
      </c>
      <c r="CQ298" s="584">
        <v>0</v>
      </c>
      <c r="CR298" s="584">
        <v>0</v>
      </c>
      <c r="CS298" s="584">
        <v>0</v>
      </c>
      <c r="CT298" s="584">
        <v>0</v>
      </c>
      <c r="CU298" s="584">
        <v>0</v>
      </c>
      <c r="CV298" s="584">
        <v>0</v>
      </c>
      <c r="CW298" s="584">
        <v>0</v>
      </c>
      <c r="CX298" s="584">
        <v>0</v>
      </c>
      <c r="CY298" s="584">
        <v>0</v>
      </c>
      <c r="CZ298" s="584">
        <v>0</v>
      </c>
      <c r="DA298" s="584">
        <v>0</v>
      </c>
      <c r="DB298" s="584">
        <v>0</v>
      </c>
      <c r="DC298" s="584">
        <v>0</v>
      </c>
      <c r="DD298" s="584">
        <v>0</v>
      </c>
      <c r="DE298" s="584">
        <v>0</v>
      </c>
      <c r="DF298" s="584">
        <v>0</v>
      </c>
      <c r="DG298" s="584">
        <v>0</v>
      </c>
      <c r="DH298" s="584">
        <v>0</v>
      </c>
      <c r="DI298" s="584">
        <v>0</v>
      </c>
      <c r="DJ298" s="584">
        <v>0</v>
      </c>
      <c r="DK298" s="584">
        <v>0</v>
      </c>
      <c r="DL298" s="584">
        <v>0</v>
      </c>
      <c r="DM298" s="584">
        <v>0</v>
      </c>
      <c r="DN298" s="584">
        <v>0</v>
      </c>
      <c r="DO298" s="584">
        <v>0</v>
      </c>
      <c r="DP298" s="584">
        <v>0</v>
      </c>
      <c r="DQ298" s="584">
        <v>0</v>
      </c>
      <c r="DR298" s="584">
        <v>0</v>
      </c>
      <c r="DS298" s="584">
        <v>0</v>
      </c>
      <c r="DT298" s="584">
        <v>0</v>
      </c>
      <c r="DU298" s="584">
        <v>0</v>
      </c>
      <c r="DV298" s="584">
        <v>0</v>
      </c>
      <c r="DW298" s="584">
        <v>0</v>
      </c>
      <c r="DX298" s="584">
        <v>0</v>
      </c>
      <c r="DY298" s="584">
        <v>0</v>
      </c>
      <c r="DZ298" s="584">
        <v>0</v>
      </c>
      <c r="EA298" s="1062">
        <v>0</v>
      </c>
      <c r="EB298" s="1046">
        <v>0</v>
      </c>
      <c r="EC298" s="1093">
        <v>0</v>
      </c>
      <c r="ED298" s="1046">
        <v>0</v>
      </c>
      <c r="EE298" s="1046">
        <v>0</v>
      </c>
      <c r="EF298" s="1046">
        <v>0</v>
      </c>
      <c r="EG298" s="1046">
        <v>0</v>
      </c>
      <c r="EH298" s="1046">
        <v>0</v>
      </c>
      <c r="EI298" s="1046">
        <v>0</v>
      </c>
      <c r="EJ298" s="1046">
        <v>0</v>
      </c>
      <c r="EK298" s="1046">
        <v>0</v>
      </c>
      <c r="EL298" s="1046">
        <v>0</v>
      </c>
      <c r="EM298" s="1046">
        <v>0</v>
      </c>
      <c r="EN298" s="1046">
        <v>0</v>
      </c>
      <c r="EO298" s="1046">
        <v>0</v>
      </c>
      <c r="EP298" s="1094">
        <v>0</v>
      </c>
      <c r="EQ298" s="1094">
        <v>0</v>
      </c>
      <c r="ER298" s="1094">
        <v>0</v>
      </c>
      <c r="ES298" s="1095">
        <v>0</v>
      </c>
      <c r="ET298" s="1094">
        <v>0</v>
      </c>
      <c r="EU298" s="1094">
        <v>0</v>
      </c>
      <c r="EV298" s="1096">
        <v>1.1400999999999999</v>
      </c>
      <c r="EW298" s="1097">
        <v>0.15</v>
      </c>
      <c r="EX298" s="1096">
        <v>289.50050968399592</v>
      </c>
      <c r="EY298" s="1096">
        <v>1.5443934760448521</v>
      </c>
      <c r="EZ298" s="1096">
        <v>0</v>
      </c>
      <c r="FA298" s="1096">
        <v>45.753333333333337</v>
      </c>
      <c r="FB298" s="1098">
        <v>0</v>
      </c>
      <c r="FC298" s="1098">
        <v>0</v>
      </c>
      <c r="FD298" s="1098" t="s">
        <v>347</v>
      </c>
      <c r="FE298" s="1098" t="s">
        <v>410</v>
      </c>
      <c r="FF298" s="1098">
        <v>3</v>
      </c>
      <c r="FG298" s="1098">
        <v>0</v>
      </c>
      <c r="FH298" s="1098">
        <v>0</v>
      </c>
      <c r="FI298" s="1098">
        <v>0</v>
      </c>
      <c r="FJ298" s="1098">
        <v>0</v>
      </c>
      <c r="FK298" s="1096">
        <v>260.45211637499995</v>
      </c>
      <c r="FL298" s="1096">
        <v>165</v>
      </c>
      <c r="FM298" s="1096">
        <v>520.90423274999989</v>
      </c>
      <c r="FN298" s="1096">
        <v>330</v>
      </c>
      <c r="FO298" s="1096">
        <v>1041.8084654999998</v>
      </c>
      <c r="FP298" s="1099">
        <v>660</v>
      </c>
      <c r="FQ298" s="1064">
        <v>1.5863999999999998</v>
      </c>
      <c r="FR298" s="1065">
        <v>0.15</v>
      </c>
      <c r="FS298" s="1066">
        <v>289.50050968399586</v>
      </c>
      <c r="FT298" s="1066">
        <v>3.2017662436826937</v>
      </c>
      <c r="FU298" s="1065"/>
      <c r="FV298" s="1066">
        <v>102.88534756184201</v>
      </c>
      <c r="FW298" s="1065"/>
      <c r="FX298" s="1065"/>
      <c r="FY298" s="1065" t="s">
        <v>338</v>
      </c>
      <c r="FZ298" s="1065" t="s">
        <v>389</v>
      </c>
      <c r="GA298" s="1065">
        <v>3</v>
      </c>
      <c r="GB298" s="1065"/>
      <c r="GC298" s="1065"/>
      <c r="GD298" s="1065"/>
      <c r="GE298" s="1065"/>
      <c r="GF298" s="1066">
        <v>279.70447669032814</v>
      </c>
      <c r="GG298" s="1066">
        <v>165</v>
      </c>
      <c r="GH298" s="1066">
        <v>559.40895338065627</v>
      </c>
      <c r="GI298" s="1066">
        <v>330</v>
      </c>
      <c r="GJ298" s="1066">
        <v>1118.8179067613125</v>
      </c>
      <c r="GK298" s="1066">
        <v>660</v>
      </c>
      <c r="GL298" s="584">
        <v>1.1379999999999999</v>
      </c>
      <c r="GM298" s="584">
        <v>0.13</v>
      </c>
      <c r="GN298" s="584"/>
      <c r="GO298" s="584"/>
      <c r="GP298" s="584"/>
      <c r="GQ298" s="584">
        <v>116.407878787879</v>
      </c>
      <c r="GR298" s="584"/>
      <c r="GS298" s="584">
        <v>66.2589194699286</v>
      </c>
      <c r="GT298" s="584" t="s">
        <v>345</v>
      </c>
      <c r="GU298" s="584" t="s">
        <v>343</v>
      </c>
      <c r="GV298" s="584">
        <v>2</v>
      </c>
      <c r="GW298" s="584"/>
      <c r="GX298" s="584"/>
      <c r="GY298" s="584"/>
      <c r="GZ298" s="584"/>
      <c r="HA298" s="584">
        <v>193.54340325000001</v>
      </c>
      <c r="HB298" s="584">
        <v>165</v>
      </c>
      <c r="HC298" s="584">
        <v>387.08680650000002</v>
      </c>
      <c r="HD298" s="584">
        <v>330</v>
      </c>
      <c r="HE298" s="584">
        <v>774.17361300000005</v>
      </c>
      <c r="HF298" s="584">
        <v>660</v>
      </c>
      <c r="HG298" s="1100">
        <v>0</v>
      </c>
      <c r="HH298" s="1100">
        <v>0</v>
      </c>
      <c r="HI298" s="1101">
        <v>0</v>
      </c>
      <c r="HJ298" s="1101">
        <v>0</v>
      </c>
      <c r="HK298" s="1101">
        <v>0</v>
      </c>
      <c r="HL298" s="1101">
        <v>0</v>
      </c>
      <c r="HM298" s="1101">
        <v>0</v>
      </c>
      <c r="HN298" s="1101">
        <v>0</v>
      </c>
      <c r="HO298" s="1101">
        <v>0</v>
      </c>
      <c r="HP298" s="1101">
        <v>0</v>
      </c>
      <c r="HQ298" s="1101">
        <v>0</v>
      </c>
      <c r="HR298" s="1101">
        <v>0</v>
      </c>
      <c r="HS298" s="1101">
        <v>0</v>
      </c>
      <c r="HT298" s="1101">
        <v>0</v>
      </c>
      <c r="HU298" s="1101">
        <v>0</v>
      </c>
      <c r="HV298" s="1101">
        <v>0</v>
      </c>
      <c r="HW298" s="1101">
        <v>0</v>
      </c>
      <c r="HX298" s="1101">
        <v>0</v>
      </c>
      <c r="HY298" s="1101">
        <v>0</v>
      </c>
      <c r="HZ298" s="1101">
        <v>0</v>
      </c>
      <c r="IA298" s="1101">
        <v>0</v>
      </c>
      <c r="IB298" s="1062"/>
      <c r="ID298" s="1050"/>
      <c r="IE298" s="1050"/>
      <c r="IM298" s="1050"/>
      <c r="IN298" s="1050"/>
      <c r="IO298" s="1050"/>
      <c r="IP298" s="1050"/>
      <c r="JU298" s="1050"/>
      <c r="KC298" s="1050"/>
      <c r="KD298" s="1050"/>
      <c r="KE298" s="1050"/>
      <c r="KF298" s="1050"/>
      <c r="KN298" s="1103"/>
    </row>
    <row r="299" spans="2:300">
      <c r="B299" s="1048" t="str">
        <f t="shared" si="8"/>
        <v>H1116</v>
      </c>
      <c r="C299" s="1046">
        <v>11</v>
      </c>
      <c r="D299" s="1092">
        <v>16</v>
      </c>
      <c r="E299" s="584">
        <v>0</v>
      </c>
      <c r="F299" s="584">
        <v>0</v>
      </c>
      <c r="G299" s="584">
        <v>0</v>
      </c>
      <c r="H299" s="584">
        <v>0</v>
      </c>
      <c r="I299" s="584">
        <v>0</v>
      </c>
      <c r="J299" s="584">
        <v>0</v>
      </c>
      <c r="K299" s="584">
        <v>0</v>
      </c>
      <c r="L299" s="584">
        <v>0</v>
      </c>
      <c r="M299" s="584">
        <v>0</v>
      </c>
      <c r="N299" s="584">
        <v>0</v>
      </c>
      <c r="O299" s="584">
        <v>0</v>
      </c>
      <c r="P299" s="584">
        <v>0</v>
      </c>
      <c r="Q299" s="584">
        <v>0</v>
      </c>
      <c r="R299" s="584">
        <v>0</v>
      </c>
      <c r="S299" s="584">
        <v>0</v>
      </c>
      <c r="T299" s="584">
        <v>0</v>
      </c>
      <c r="U299" s="584">
        <v>0</v>
      </c>
      <c r="V299" s="584">
        <v>0</v>
      </c>
      <c r="W299" s="584">
        <v>0</v>
      </c>
      <c r="X299" s="584">
        <v>0</v>
      </c>
      <c r="Y299" s="584">
        <v>0</v>
      </c>
      <c r="Z299" s="584">
        <v>0</v>
      </c>
      <c r="AA299" s="584">
        <v>0</v>
      </c>
      <c r="AB299" s="584">
        <v>0</v>
      </c>
      <c r="AC299" s="584">
        <v>0</v>
      </c>
      <c r="AD299" s="584">
        <v>0</v>
      </c>
      <c r="AE299" s="584">
        <v>0</v>
      </c>
      <c r="AF299" s="584">
        <v>0</v>
      </c>
      <c r="AG299" s="584">
        <v>0</v>
      </c>
      <c r="AH299" s="584">
        <v>0</v>
      </c>
      <c r="AI299" s="584">
        <v>0</v>
      </c>
      <c r="AJ299" s="584">
        <v>0</v>
      </c>
      <c r="AK299" s="584">
        <v>0</v>
      </c>
      <c r="AL299" s="584">
        <v>0</v>
      </c>
      <c r="AM299" s="584">
        <v>0</v>
      </c>
      <c r="AN299" s="584">
        <v>0</v>
      </c>
      <c r="AO299" s="584">
        <v>0</v>
      </c>
      <c r="AP299" s="584">
        <v>0</v>
      </c>
      <c r="AQ299" s="584">
        <v>0</v>
      </c>
      <c r="AR299" s="584">
        <v>0</v>
      </c>
      <c r="AS299" s="584">
        <v>0</v>
      </c>
      <c r="AT299" s="584">
        <v>0</v>
      </c>
      <c r="AU299" s="584">
        <v>0</v>
      </c>
      <c r="AV299" s="584">
        <v>0</v>
      </c>
      <c r="AW299" s="584">
        <v>0</v>
      </c>
      <c r="AX299" s="584">
        <v>0</v>
      </c>
      <c r="AY299" s="584">
        <v>0</v>
      </c>
      <c r="AZ299" s="584">
        <v>0</v>
      </c>
      <c r="BA299" s="584">
        <v>0</v>
      </c>
      <c r="BB299" s="584">
        <v>0</v>
      </c>
      <c r="BC299" s="584">
        <v>0</v>
      </c>
      <c r="BD299" s="584">
        <v>0</v>
      </c>
      <c r="BE299" s="584">
        <v>0</v>
      </c>
      <c r="BF299" s="584">
        <v>0</v>
      </c>
      <c r="BG299" s="584">
        <v>0</v>
      </c>
      <c r="BH299" s="584">
        <v>0</v>
      </c>
      <c r="BI299" s="584">
        <v>0</v>
      </c>
      <c r="BJ299" s="584">
        <v>0</v>
      </c>
      <c r="BK299" s="584">
        <v>0</v>
      </c>
      <c r="BL299" s="584">
        <v>0</v>
      </c>
      <c r="BM299" s="584">
        <v>0</v>
      </c>
      <c r="BN299" s="584">
        <v>0</v>
      </c>
      <c r="BO299" s="584">
        <v>0</v>
      </c>
      <c r="BP299" s="584">
        <v>0</v>
      </c>
      <c r="BQ299" s="584">
        <v>0</v>
      </c>
      <c r="BR299" s="584">
        <v>0</v>
      </c>
      <c r="BS299" s="584">
        <v>0</v>
      </c>
      <c r="BT299" s="584">
        <v>0</v>
      </c>
      <c r="BU299" s="584">
        <v>0</v>
      </c>
      <c r="BV299" s="584">
        <v>0</v>
      </c>
      <c r="BW299" s="584">
        <v>0</v>
      </c>
      <c r="BX299" s="584">
        <v>0</v>
      </c>
      <c r="BY299" s="584">
        <v>0</v>
      </c>
      <c r="BZ299" s="584">
        <v>0</v>
      </c>
      <c r="CA299" s="584">
        <v>0</v>
      </c>
      <c r="CB299" s="584">
        <v>0</v>
      </c>
      <c r="CC299" s="584">
        <v>0</v>
      </c>
      <c r="CD299" s="584">
        <v>0</v>
      </c>
      <c r="CE299" s="584">
        <v>0</v>
      </c>
      <c r="CF299" s="584">
        <v>0</v>
      </c>
      <c r="CG299" s="584">
        <v>0</v>
      </c>
      <c r="CH299" s="584">
        <v>0</v>
      </c>
      <c r="CI299" s="584">
        <v>0</v>
      </c>
      <c r="CJ299" s="584">
        <v>0</v>
      </c>
      <c r="CK299" s="584">
        <v>0</v>
      </c>
      <c r="CL299" s="584">
        <v>0</v>
      </c>
      <c r="CM299" s="584">
        <v>0</v>
      </c>
      <c r="CN299" s="584">
        <v>0</v>
      </c>
      <c r="CO299" s="584">
        <v>0</v>
      </c>
      <c r="CP299" s="584">
        <v>0</v>
      </c>
      <c r="CQ299" s="584">
        <v>0</v>
      </c>
      <c r="CR299" s="584">
        <v>0</v>
      </c>
      <c r="CS299" s="584">
        <v>0</v>
      </c>
      <c r="CT299" s="584">
        <v>0</v>
      </c>
      <c r="CU299" s="584">
        <v>0</v>
      </c>
      <c r="CV299" s="584">
        <v>0</v>
      </c>
      <c r="CW299" s="584">
        <v>0</v>
      </c>
      <c r="CX299" s="584">
        <v>0</v>
      </c>
      <c r="CY299" s="584">
        <v>0</v>
      </c>
      <c r="CZ299" s="584">
        <v>0</v>
      </c>
      <c r="DA299" s="584">
        <v>0</v>
      </c>
      <c r="DB299" s="584">
        <v>0</v>
      </c>
      <c r="DC299" s="584">
        <v>0</v>
      </c>
      <c r="DD299" s="584">
        <v>0</v>
      </c>
      <c r="DE299" s="584">
        <v>0</v>
      </c>
      <c r="DF299" s="584">
        <v>0</v>
      </c>
      <c r="DG299" s="584">
        <v>0</v>
      </c>
      <c r="DH299" s="584">
        <v>0</v>
      </c>
      <c r="DI299" s="584">
        <v>0</v>
      </c>
      <c r="DJ299" s="584">
        <v>0</v>
      </c>
      <c r="DK299" s="584">
        <v>0</v>
      </c>
      <c r="DL299" s="584">
        <v>0</v>
      </c>
      <c r="DM299" s="584">
        <v>0</v>
      </c>
      <c r="DN299" s="584">
        <v>0</v>
      </c>
      <c r="DO299" s="584">
        <v>0</v>
      </c>
      <c r="DP299" s="584">
        <v>0</v>
      </c>
      <c r="DQ299" s="584">
        <v>0</v>
      </c>
      <c r="DR299" s="584">
        <v>0</v>
      </c>
      <c r="DS299" s="584">
        <v>0</v>
      </c>
      <c r="DT299" s="584">
        <v>0</v>
      </c>
      <c r="DU299" s="584">
        <v>0</v>
      </c>
      <c r="DV299" s="584">
        <v>0</v>
      </c>
      <c r="DW299" s="584">
        <v>0</v>
      </c>
      <c r="DX299" s="584">
        <v>0</v>
      </c>
      <c r="DY299" s="584">
        <v>0</v>
      </c>
      <c r="DZ299" s="584">
        <v>0</v>
      </c>
      <c r="EA299" s="1062">
        <v>0</v>
      </c>
      <c r="EB299" s="1046">
        <v>0</v>
      </c>
      <c r="EC299" s="1093">
        <v>0</v>
      </c>
      <c r="ED299" s="1046">
        <v>0</v>
      </c>
      <c r="EE299" s="1046">
        <v>0</v>
      </c>
      <c r="EF299" s="1046">
        <v>0</v>
      </c>
      <c r="EG299" s="1046">
        <v>0</v>
      </c>
      <c r="EH299" s="1046">
        <v>0</v>
      </c>
      <c r="EI299" s="1046">
        <v>0</v>
      </c>
      <c r="EJ299" s="1046">
        <v>0</v>
      </c>
      <c r="EK299" s="1046">
        <v>0</v>
      </c>
      <c r="EL299" s="1046">
        <v>0</v>
      </c>
      <c r="EM299" s="1046">
        <v>0</v>
      </c>
      <c r="EN299" s="1046">
        <v>0</v>
      </c>
      <c r="EO299" s="1046">
        <v>0</v>
      </c>
      <c r="EP299" s="1094">
        <v>0</v>
      </c>
      <c r="EQ299" s="1094">
        <v>0</v>
      </c>
      <c r="ER299" s="1094">
        <v>0</v>
      </c>
      <c r="ES299" s="1095">
        <v>0</v>
      </c>
      <c r="ET299" s="1094">
        <v>0</v>
      </c>
      <c r="EU299" s="1094">
        <v>0</v>
      </c>
      <c r="EV299" s="1096">
        <v>1.1400999999999999</v>
      </c>
      <c r="EW299" s="1097">
        <v>0.15</v>
      </c>
      <c r="EX299" s="1096">
        <v>289.50050968399592</v>
      </c>
      <c r="EY299" s="1096">
        <v>1.5443934760448521</v>
      </c>
      <c r="EZ299" s="1096">
        <v>0</v>
      </c>
      <c r="FA299" s="1096">
        <v>51.164204545454552</v>
      </c>
      <c r="FB299" s="1098">
        <v>0</v>
      </c>
      <c r="FC299" s="1098">
        <v>0</v>
      </c>
      <c r="FD299" s="1098" t="s">
        <v>347</v>
      </c>
      <c r="FE299" s="1098" t="s">
        <v>396</v>
      </c>
      <c r="FF299" s="1098">
        <v>3</v>
      </c>
      <c r="FG299" s="1098">
        <v>0</v>
      </c>
      <c r="FH299" s="1098">
        <v>0</v>
      </c>
      <c r="FI299" s="1098">
        <v>0</v>
      </c>
      <c r="FJ299" s="1098">
        <v>0</v>
      </c>
      <c r="FK299" s="1096">
        <v>280.15113925000003</v>
      </c>
      <c r="FL299" s="1096">
        <v>176</v>
      </c>
      <c r="FM299" s="1096">
        <v>560.30227850000006</v>
      </c>
      <c r="FN299" s="1096">
        <v>352</v>
      </c>
      <c r="FO299" s="1096">
        <v>1120.6045570000001</v>
      </c>
      <c r="FP299" s="1099">
        <v>704</v>
      </c>
      <c r="FQ299" s="1064">
        <v>1.6003999999999998</v>
      </c>
      <c r="FR299" s="1065">
        <v>0.15</v>
      </c>
      <c r="FS299" s="1066">
        <v>289.50050968399586</v>
      </c>
      <c r="FT299" s="1066">
        <v>3.2017662436826937</v>
      </c>
      <c r="FU299" s="1065"/>
      <c r="FV299" s="1066">
        <v>120.44300763462434</v>
      </c>
      <c r="FW299" s="1065"/>
      <c r="FX299" s="1065"/>
      <c r="FY299" s="1065" t="s">
        <v>336</v>
      </c>
      <c r="FZ299" s="1065" t="s">
        <v>385</v>
      </c>
      <c r="GA299" s="1065">
        <v>3</v>
      </c>
      <c r="GB299" s="1065"/>
      <c r="GC299" s="1065"/>
      <c r="GD299" s="1065"/>
      <c r="GE299" s="1065"/>
      <c r="GF299" s="1066">
        <v>305.93003019683243</v>
      </c>
      <c r="GG299" s="1066">
        <v>176</v>
      </c>
      <c r="GH299" s="1066">
        <v>611.86006039366487</v>
      </c>
      <c r="GI299" s="1066">
        <v>352</v>
      </c>
      <c r="GJ299" s="1066">
        <v>1223.7201207873297</v>
      </c>
      <c r="GK299" s="1066">
        <v>704</v>
      </c>
      <c r="GL299" s="584">
        <v>1.1559999999999999</v>
      </c>
      <c r="GM299" s="584">
        <v>0.13</v>
      </c>
      <c r="GN299" s="584"/>
      <c r="GO299" s="584"/>
      <c r="GP299" s="584"/>
      <c r="GQ299" s="584">
        <v>141.32954545454501</v>
      </c>
      <c r="GR299" s="584"/>
      <c r="GS299" s="584">
        <v>66.2589194699286</v>
      </c>
      <c r="GT299" s="584" t="s">
        <v>343</v>
      </c>
      <c r="GU299" s="584" t="s">
        <v>338</v>
      </c>
      <c r="GV299" s="584">
        <v>2</v>
      </c>
      <c r="GW299" s="584"/>
      <c r="GX299" s="584"/>
      <c r="GY299" s="584"/>
      <c r="GZ299" s="584"/>
      <c r="HA299" s="584">
        <v>217.203485</v>
      </c>
      <c r="HB299" s="584">
        <v>176</v>
      </c>
      <c r="HC299" s="584">
        <v>434.40697</v>
      </c>
      <c r="HD299" s="584">
        <v>352</v>
      </c>
      <c r="HE299" s="584">
        <v>868.81394</v>
      </c>
      <c r="HF299" s="584">
        <v>704</v>
      </c>
      <c r="HG299" s="1100">
        <v>0</v>
      </c>
      <c r="HH299" s="1100">
        <v>0</v>
      </c>
      <c r="HI299" s="1101">
        <v>0</v>
      </c>
      <c r="HJ299" s="1101">
        <v>0</v>
      </c>
      <c r="HK299" s="1101">
        <v>0</v>
      </c>
      <c r="HL299" s="1101">
        <v>0</v>
      </c>
      <c r="HM299" s="1101">
        <v>0</v>
      </c>
      <c r="HN299" s="1101">
        <v>0</v>
      </c>
      <c r="HO299" s="1101">
        <v>0</v>
      </c>
      <c r="HP299" s="1101">
        <v>0</v>
      </c>
      <c r="HQ299" s="1101">
        <v>0</v>
      </c>
      <c r="HR299" s="1101">
        <v>0</v>
      </c>
      <c r="HS299" s="1101">
        <v>0</v>
      </c>
      <c r="HT299" s="1101">
        <v>0</v>
      </c>
      <c r="HU299" s="1101">
        <v>0</v>
      </c>
      <c r="HV299" s="1101">
        <v>0</v>
      </c>
      <c r="HW299" s="1101">
        <v>0</v>
      </c>
      <c r="HX299" s="1101">
        <v>0</v>
      </c>
      <c r="HY299" s="1101">
        <v>0</v>
      </c>
      <c r="HZ299" s="1101">
        <v>0</v>
      </c>
      <c r="IA299" s="1101">
        <v>0</v>
      </c>
      <c r="IB299" s="1062"/>
      <c r="ID299" s="1050"/>
      <c r="IE299" s="1050"/>
      <c r="IM299" s="1050"/>
      <c r="IN299" s="1050"/>
      <c r="IO299" s="1050"/>
      <c r="IP299" s="1050"/>
      <c r="JU299" s="1050"/>
      <c r="KC299" s="1050"/>
      <c r="KD299" s="1050"/>
      <c r="KE299" s="1050"/>
      <c r="KF299" s="1050"/>
      <c r="KN299" s="1103"/>
    </row>
    <row r="300" spans="2:300">
      <c r="B300" s="1048" t="str">
        <f t="shared" si="8"/>
        <v>H1212</v>
      </c>
      <c r="C300" s="1046">
        <v>12</v>
      </c>
      <c r="D300" s="1092">
        <v>12</v>
      </c>
      <c r="E300" s="584">
        <v>0.56999999999999995</v>
      </c>
      <c r="F300" s="584">
        <v>0.56999999999999995</v>
      </c>
      <c r="G300" s="584">
        <v>1368</v>
      </c>
      <c r="H300" s="584">
        <v>41.04</v>
      </c>
      <c r="I300" s="584">
        <v>0</v>
      </c>
      <c r="J300" s="584">
        <v>0</v>
      </c>
      <c r="K300" s="584">
        <v>0</v>
      </c>
      <c r="L300" s="584">
        <v>0</v>
      </c>
      <c r="M300" s="584">
        <v>0</v>
      </c>
      <c r="N300" s="584">
        <v>0</v>
      </c>
      <c r="O300" s="584">
        <v>0</v>
      </c>
      <c r="P300" s="584">
        <v>0</v>
      </c>
      <c r="Q300" s="584">
        <v>0</v>
      </c>
      <c r="R300" s="584">
        <v>0</v>
      </c>
      <c r="S300" s="584">
        <v>0</v>
      </c>
      <c r="T300" s="584">
        <v>797.20174999999995</v>
      </c>
      <c r="U300" s="584">
        <v>144</v>
      </c>
      <c r="V300" s="584">
        <v>1488.4059374999999</v>
      </c>
      <c r="W300" s="584">
        <v>302.39999999999998</v>
      </c>
      <c r="X300" s="584">
        <v>2732.5439999999999</v>
      </c>
      <c r="Y300" s="584">
        <v>633.6</v>
      </c>
      <c r="Z300" s="584">
        <v>0.375</v>
      </c>
      <c r="AA300" s="584">
        <v>0.375</v>
      </c>
      <c r="AB300" s="584">
        <v>900</v>
      </c>
      <c r="AC300" s="584">
        <v>32</v>
      </c>
      <c r="AD300" s="584">
        <v>0</v>
      </c>
      <c r="AE300" s="584">
        <v>0</v>
      </c>
      <c r="AF300" s="584">
        <v>0</v>
      </c>
      <c r="AG300" s="584">
        <v>0</v>
      </c>
      <c r="AH300" s="584">
        <v>0</v>
      </c>
      <c r="AI300" s="584">
        <v>0</v>
      </c>
      <c r="AJ300" s="584">
        <v>0</v>
      </c>
      <c r="AK300" s="584">
        <v>0</v>
      </c>
      <c r="AL300" s="584">
        <v>0</v>
      </c>
      <c r="AM300" s="584">
        <v>0</v>
      </c>
      <c r="AN300" s="584">
        <v>0</v>
      </c>
      <c r="AO300" s="584">
        <v>608.62043749999998</v>
      </c>
      <c r="AP300" s="584">
        <v>144</v>
      </c>
      <c r="AQ300" s="584">
        <v>1106.01</v>
      </c>
      <c r="AR300" s="584">
        <v>302.39999999999998</v>
      </c>
      <c r="AS300" s="584">
        <v>1956.5977499999999</v>
      </c>
      <c r="AT300" s="584">
        <v>633.6</v>
      </c>
      <c r="AU300" s="584">
        <v>0</v>
      </c>
      <c r="AV300" s="584">
        <v>0</v>
      </c>
      <c r="AW300" s="584">
        <v>0</v>
      </c>
      <c r="AX300" s="584">
        <v>0</v>
      </c>
      <c r="AY300" s="584">
        <v>0</v>
      </c>
      <c r="AZ300" s="584">
        <v>0</v>
      </c>
      <c r="BA300" s="584">
        <v>0</v>
      </c>
      <c r="BB300" s="584">
        <v>0</v>
      </c>
      <c r="BC300" s="584">
        <v>0</v>
      </c>
      <c r="BD300" s="584">
        <v>0</v>
      </c>
      <c r="BE300" s="584">
        <v>0</v>
      </c>
      <c r="BF300" s="584">
        <v>0</v>
      </c>
      <c r="BG300" s="584">
        <v>0</v>
      </c>
      <c r="BH300" s="584">
        <v>0</v>
      </c>
      <c r="BI300" s="584">
        <v>0</v>
      </c>
      <c r="BJ300" s="584">
        <v>0</v>
      </c>
      <c r="BK300" s="584">
        <v>0</v>
      </c>
      <c r="BL300" s="584">
        <v>0</v>
      </c>
      <c r="BM300" s="584">
        <v>0</v>
      </c>
      <c r="BN300" s="584">
        <v>0</v>
      </c>
      <c r="BO300" s="584">
        <v>0</v>
      </c>
      <c r="BP300" s="584">
        <v>0.95</v>
      </c>
      <c r="BQ300" s="584">
        <v>0.315</v>
      </c>
      <c r="BR300" s="584">
        <v>897.40344082147396</v>
      </c>
      <c r="BS300" s="584">
        <v>51.563397135651201</v>
      </c>
      <c r="BT300" s="584">
        <v>0</v>
      </c>
      <c r="BU300" s="584">
        <v>0</v>
      </c>
      <c r="BV300" s="584">
        <v>0</v>
      </c>
      <c r="BW300" s="584">
        <v>0</v>
      </c>
      <c r="BX300" s="584">
        <v>0</v>
      </c>
      <c r="BY300" s="584">
        <v>0</v>
      </c>
      <c r="BZ300" s="584">
        <v>0</v>
      </c>
      <c r="CA300" s="584">
        <v>0.95</v>
      </c>
      <c r="CB300" s="584">
        <v>0.95</v>
      </c>
      <c r="CC300" s="584">
        <v>0.45</v>
      </c>
      <c r="CD300" s="584">
        <v>0.45</v>
      </c>
      <c r="CE300" s="584">
        <v>625.57595000000003</v>
      </c>
      <c r="CF300" s="584">
        <v>144</v>
      </c>
      <c r="CG300" s="584">
        <v>1100.7671062500001</v>
      </c>
      <c r="CH300" s="584">
        <v>302.39999999999998</v>
      </c>
      <c r="CI300" s="584">
        <v>1885.1328000000001</v>
      </c>
      <c r="CJ300" s="584">
        <v>633.6</v>
      </c>
      <c r="CK300" s="584">
        <v>0</v>
      </c>
      <c r="CL300" s="584">
        <v>0</v>
      </c>
      <c r="CM300" s="584">
        <v>0</v>
      </c>
      <c r="CN300" s="584">
        <v>0</v>
      </c>
      <c r="CO300" s="584">
        <v>0</v>
      </c>
      <c r="CP300" s="584">
        <v>0</v>
      </c>
      <c r="CQ300" s="584">
        <v>0</v>
      </c>
      <c r="CR300" s="584">
        <v>0</v>
      </c>
      <c r="CS300" s="584">
        <v>0</v>
      </c>
      <c r="CT300" s="584">
        <v>0</v>
      </c>
      <c r="CU300" s="584">
        <v>0</v>
      </c>
      <c r="CV300" s="584">
        <v>0</v>
      </c>
      <c r="CW300" s="584">
        <v>0</v>
      </c>
      <c r="CX300" s="584">
        <v>0</v>
      </c>
      <c r="CY300" s="584">
        <v>0</v>
      </c>
      <c r="CZ300" s="584">
        <v>0</v>
      </c>
      <c r="DA300" s="584">
        <v>0</v>
      </c>
      <c r="DB300" s="584">
        <v>0</v>
      </c>
      <c r="DC300" s="584">
        <v>0</v>
      </c>
      <c r="DD300" s="584">
        <v>0</v>
      </c>
      <c r="DE300" s="584">
        <v>0</v>
      </c>
      <c r="DF300" s="584">
        <v>0.7</v>
      </c>
      <c r="DG300" s="584">
        <v>0.35</v>
      </c>
      <c r="DH300" s="584">
        <v>386.11894253287699</v>
      </c>
      <c r="DI300" s="584">
        <v>20.0477160871915</v>
      </c>
      <c r="DJ300" s="584">
        <v>450</v>
      </c>
      <c r="DK300" s="584">
        <v>0</v>
      </c>
      <c r="DL300" s="584">
        <v>0</v>
      </c>
      <c r="DM300" s="584">
        <v>0</v>
      </c>
      <c r="DN300" s="584">
        <v>0</v>
      </c>
      <c r="DO300" s="584">
        <v>0</v>
      </c>
      <c r="DP300" s="584">
        <v>0</v>
      </c>
      <c r="DQ300" s="584">
        <v>0</v>
      </c>
      <c r="DR300" s="584">
        <v>0.7</v>
      </c>
      <c r="DS300" s="584">
        <v>0</v>
      </c>
      <c r="DT300" s="584">
        <v>2.4</v>
      </c>
      <c r="DU300" s="584">
        <v>560.22249999999997</v>
      </c>
      <c r="DV300" s="584">
        <v>144</v>
      </c>
      <c r="DW300" s="584">
        <v>1135.17</v>
      </c>
      <c r="DX300" s="584">
        <v>302.39999999999998</v>
      </c>
      <c r="DY300" s="584">
        <v>1833.4001249999999</v>
      </c>
      <c r="DZ300" s="584">
        <v>633.6</v>
      </c>
      <c r="EA300" s="1062">
        <v>1.381</v>
      </c>
      <c r="EB300" s="1046">
        <v>0.4</v>
      </c>
      <c r="EC300" s="1093">
        <v>132.51783893985737</v>
      </c>
      <c r="ED300" s="1046">
        <v>0</v>
      </c>
      <c r="EE300" s="1046">
        <v>519.87767584097855</v>
      </c>
      <c r="EF300" s="1046">
        <v>54.94166666666667</v>
      </c>
      <c r="EG300" s="1046">
        <v>0</v>
      </c>
      <c r="EH300" s="1046">
        <v>0</v>
      </c>
      <c r="EI300" s="1046" t="s">
        <v>359</v>
      </c>
      <c r="EJ300" s="1046" t="s">
        <v>425</v>
      </c>
      <c r="EK300" s="1046">
        <v>0</v>
      </c>
      <c r="EL300" s="1046">
        <v>0</v>
      </c>
      <c r="EM300" s="1046">
        <v>0</v>
      </c>
      <c r="EN300" s="1046">
        <v>0</v>
      </c>
      <c r="EO300" s="1046">
        <v>0</v>
      </c>
      <c r="EP300" s="1094">
        <v>354.20319899999998</v>
      </c>
      <c r="EQ300" s="1094">
        <v>144</v>
      </c>
      <c r="ER300" s="1094">
        <v>708.40639799999997</v>
      </c>
      <c r="ES300" s="1095">
        <v>288</v>
      </c>
      <c r="ET300" s="1094">
        <v>1416.8127959999999</v>
      </c>
      <c r="EU300" s="1094">
        <v>576</v>
      </c>
      <c r="EV300" s="1096">
        <v>1.1300999999999999</v>
      </c>
      <c r="EW300" s="1097">
        <v>0.15</v>
      </c>
      <c r="EX300" s="1096">
        <v>289.50050968399592</v>
      </c>
      <c r="EY300" s="1096">
        <v>1.5443934760448521</v>
      </c>
      <c r="EZ300" s="1096">
        <v>0</v>
      </c>
      <c r="FA300" s="1096">
        <v>43.749999999999993</v>
      </c>
      <c r="FB300" s="1098">
        <v>0</v>
      </c>
      <c r="FC300" s="1098">
        <v>0</v>
      </c>
      <c r="FD300" s="1098" t="s">
        <v>349</v>
      </c>
      <c r="FE300" s="1098" t="s">
        <v>430</v>
      </c>
      <c r="FF300" s="1098">
        <v>3</v>
      </c>
      <c r="FG300" s="1098">
        <v>0</v>
      </c>
      <c r="FH300" s="1098">
        <v>0</v>
      </c>
      <c r="FI300" s="1098">
        <v>0</v>
      </c>
      <c r="FJ300" s="1098">
        <v>0</v>
      </c>
      <c r="FK300" s="1096">
        <v>226.59616799999998</v>
      </c>
      <c r="FL300" s="1096">
        <v>144</v>
      </c>
      <c r="FM300" s="1096">
        <v>453.19233599999995</v>
      </c>
      <c r="FN300" s="1096">
        <v>288</v>
      </c>
      <c r="FO300" s="1096">
        <v>906.38467199999991</v>
      </c>
      <c r="FP300" s="1099">
        <v>576</v>
      </c>
      <c r="FQ300" s="1064">
        <v>1.57226</v>
      </c>
      <c r="FR300" s="1065">
        <v>0.15</v>
      </c>
      <c r="FS300" s="1066">
        <v>289.50050968399586</v>
      </c>
      <c r="FT300" s="1066">
        <v>3.2237153637237084</v>
      </c>
      <c r="FU300" s="1065"/>
      <c r="FV300" s="1066">
        <v>84.124207226466595</v>
      </c>
      <c r="FW300" s="1065"/>
      <c r="FX300" s="1065"/>
      <c r="FY300" s="1065" t="s">
        <v>341</v>
      </c>
      <c r="FZ300" s="1065" t="s">
        <v>416</v>
      </c>
      <c r="GA300" s="1065">
        <v>3</v>
      </c>
      <c r="GB300" s="1065"/>
      <c r="GC300" s="1065"/>
      <c r="GD300" s="1065"/>
      <c r="GE300" s="1065"/>
      <c r="GF300" s="1066">
        <v>237.4877923419516</v>
      </c>
      <c r="GG300" s="1066">
        <v>144</v>
      </c>
      <c r="GH300" s="1066">
        <v>474.97558468390321</v>
      </c>
      <c r="GI300" s="1066">
        <v>288</v>
      </c>
      <c r="GJ300" s="1066">
        <v>949.95116936780641</v>
      </c>
      <c r="GK300" s="1066">
        <v>576</v>
      </c>
      <c r="GL300" s="584">
        <v>1.1379999999999999</v>
      </c>
      <c r="GM300" s="584">
        <v>0.13</v>
      </c>
      <c r="GN300" s="584"/>
      <c r="GO300" s="584"/>
      <c r="GP300" s="584"/>
      <c r="GQ300" s="584">
        <v>77.616666666666703</v>
      </c>
      <c r="GR300" s="584"/>
      <c r="GS300" s="584">
        <v>66.2589194699286</v>
      </c>
      <c r="GT300" s="584" t="s">
        <v>343</v>
      </c>
      <c r="GU300" s="584" t="s">
        <v>379</v>
      </c>
      <c r="GV300" s="584">
        <v>2</v>
      </c>
      <c r="GW300" s="584"/>
      <c r="GX300" s="584"/>
      <c r="GY300" s="584"/>
      <c r="GZ300" s="584"/>
      <c r="HA300" s="584">
        <v>155.21110200000001</v>
      </c>
      <c r="HB300" s="584">
        <v>144</v>
      </c>
      <c r="HC300" s="584">
        <v>310.42220400000002</v>
      </c>
      <c r="HD300" s="584">
        <v>288</v>
      </c>
      <c r="HE300" s="584">
        <v>620.84440800000004</v>
      </c>
      <c r="HF300" s="584">
        <v>576</v>
      </c>
      <c r="HG300" s="1100">
        <v>0</v>
      </c>
      <c r="HH300" s="1100">
        <v>0</v>
      </c>
      <c r="HI300" s="1101">
        <v>0</v>
      </c>
      <c r="HJ300" s="1101">
        <v>0</v>
      </c>
      <c r="HK300" s="1101">
        <v>0</v>
      </c>
      <c r="HL300" s="1101">
        <v>0</v>
      </c>
      <c r="HM300" s="1101">
        <v>0</v>
      </c>
      <c r="HN300" s="1101">
        <v>0</v>
      </c>
      <c r="HO300" s="1101">
        <v>0</v>
      </c>
      <c r="HP300" s="1101">
        <v>0</v>
      </c>
      <c r="HQ300" s="1101">
        <v>0</v>
      </c>
      <c r="HR300" s="1101">
        <v>0</v>
      </c>
      <c r="HS300" s="1101">
        <v>0</v>
      </c>
      <c r="HT300" s="1101">
        <v>0</v>
      </c>
      <c r="HU300" s="1101">
        <v>0</v>
      </c>
      <c r="HV300" s="1101">
        <v>0</v>
      </c>
      <c r="HW300" s="1101">
        <v>0</v>
      </c>
      <c r="HX300" s="1101">
        <v>0</v>
      </c>
      <c r="HY300" s="1101">
        <v>0</v>
      </c>
      <c r="HZ300" s="1101">
        <v>0</v>
      </c>
      <c r="IA300" s="1101">
        <v>0</v>
      </c>
      <c r="IB300" s="1062"/>
      <c r="ID300" s="1050"/>
      <c r="IE300" s="1050"/>
      <c r="IM300" s="1050"/>
      <c r="IN300" s="1050"/>
      <c r="IO300" s="1050"/>
      <c r="IP300" s="1050"/>
      <c r="JU300" s="1050"/>
      <c r="KC300" s="1050"/>
      <c r="KD300" s="1050"/>
      <c r="KE300" s="1050"/>
      <c r="KF300" s="1050"/>
      <c r="KN300" s="1103"/>
    </row>
    <row r="301" spans="2:300">
      <c r="B301" s="1048" t="str">
        <f t="shared" si="8"/>
        <v>H1213</v>
      </c>
      <c r="C301" s="1046">
        <v>12</v>
      </c>
      <c r="D301" s="1092">
        <v>13</v>
      </c>
      <c r="E301" s="584">
        <v>0.56999999999999995</v>
      </c>
      <c r="F301" s="584">
        <v>0.56999999999999995</v>
      </c>
      <c r="G301" s="584">
        <v>1368</v>
      </c>
      <c r="H301" s="584">
        <v>38.19</v>
      </c>
      <c r="I301" s="584">
        <v>0</v>
      </c>
      <c r="J301" s="584">
        <v>0</v>
      </c>
      <c r="K301" s="584">
        <v>0</v>
      </c>
      <c r="L301" s="584">
        <v>0</v>
      </c>
      <c r="M301" s="584">
        <v>0</v>
      </c>
      <c r="N301" s="584">
        <v>0</v>
      </c>
      <c r="O301" s="584">
        <v>0</v>
      </c>
      <c r="P301" s="584">
        <v>0</v>
      </c>
      <c r="Q301" s="584">
        <v>0</v>
      </c>
      <c r="R301" s="584">
        <v>0</v>
      </c>
      <c r="S301" s="584">
        <v>0</v>
      </c>
      <c r="T301" s="584">
        <v>855.84675000000004</v>
      </c>
      <c r="U301" s="584">
        <v>156</v>
      </c>
      <c r="V301" s="584">
        <v>1613.2462499999999</v>
      </c>
      <c r="W301" s="584">
        <v>327.60000000000002</v>
      </c>
      <c r="X301" s="584">
        <v>2960.9844374999998</v>
      </c>
      <c r="Y301" s="584">
        <v>686.4</v>
      </c>
      <c r="Z301" s="584">
        <v>0.41</v>
      </c>
      <c r="AA301" s="584">
        <v>0.41</v>
      </c>
      <c r="AB301" s="584">
        <v>984</v>
      </c>
      <c r="AC301" s="584">
        <v>35</v>
      </c>
      <c r="AD301" s="584">
        <v>0</v>
      </c>
      <c r="AE301" s="584">
        <v>0</v>
      </c>
      <c r="AF301" s="584">
        <v>0</v>
      </c>
      <c r="AG301" s="584">
        <v>0</v>
      </c>
      <c r="AH301" s="584">
        <v>0</v>
      </c>
      <c r="AI301" s="584">
        <v>0</v>
      </c>
      <c r="AJ301" s="584">
        <v>0</v>
      </c>
      <c r="AK301" s="584">
        <v>0</v>
      </c>
      <c r="AL301" s="584">
        <v>0</v>
      </c>
      <c r="AM301" s="584">
        <v>0</v>
      </c>
      <c r="AN301" s="584">
        <v>0</v>
      </c>
      <c r="AO301" s="584">
        <v>688.50043749999998</v>
      </c>
      <c r="AP301" s="584">
        <v>156</v>
      </c>
      <c r="AQ301" s="584">
        <v>1273.0404375000001</v>
      </c>
      <c r="AR301" s="584">
        <v>327.60000000000002</v>
      </c>
      <c r="AS301" s="584">
        <v>2270.5884375000001</v>
      </c>
      <c r="AT301" s="584">
        <v>686.4</v>
      </c>
      <c r="AU301" s="584">
        <v>0</v>
      </c>
      <c r="AV301" s="584">
        <v>0</v>
      </c>
      <c r="AW301" s="584">
        <v>0</v>
      </c>
      <c r="AX301" s="584">
        <v>0</v>
      </c>
      <c r="AY301" s="584">
        <v>0</v>
      </c>
      <c r="AZ301" s="584">
        <v>0</v>
      </c>
      <c r="BA301" s="584">
        <v>0</v>
      </c>
      <c r="BB301" s="584">
        <v>0</v>
      </c>
      <c r="BC301" s="584">
        <v>0</v>
      </c>
      <c r="BD301" s="584">
        <v>0</v>
      </c>
      <c r="BE301" s="584">
        <v>0</v>
      </c>
      <c r="BF301" s="584">
        <v>0</v>
      </c>
      <c r="BG301" s="584">
        <v>0</v>
      </c>
      <c r="BH301" s="584">
        <v>0</v>
      </c>
      <c r="BI301" s="584">
        <v>0</v>
      </c>
      <c r="BJ301" s="584">
        <v>0</v>
      </c>
      <c r="BK301" s="584">
        <v>0</v>
      </c>
      <c r="BL301" s="584">
        <v>0</v>
      </c>
      <c r="BM301" s="584">
        <v>0</v>
      </c>
      <c r="BN301" s="584">
        <v>0</v>
      </c>
      <c r="BO301" s="584">
        <v>0</v>
      </c>
      <c r="BP301" s="584">
        <v>0</v>
      </c>
      <c r="BQ301" s="584">
        <v>0</v>
      </c>
      <c r="BR301" s="584">
        <v>0</v>
      </c>
      <c r="BS301" s="584">
        <v>0</v>
      </c>
      <c r="BT301" s="584">
        <v>0</v>
      </c>
      <c r="BU301" s="584">
        <v>0</v>
      </c>
      <c r="BV301" s="584">
        <v>0</v>
      </c>
      <c r="BW301" s="584">
        <v>0</v>
      </c>
      <c r="BX301" s="584">
        <v>0</v>
      </c>
      <c r="BY301" s="584">
        <v>0</v>
      </c>
      <c r="BZ301" s="584">
        <v>0</v>
      </c>
      <c r="CA301" s="584">
        <v>0</v>
      </c>
      <c r="CB301" s="584">
        <v>0</v>
      </c>
      <c r="CC301" s="584">
        <v>0</v>
      </c>
      <c r="CD301" s="584">
        <v>0</v>
      </c>
      <c r="CE301" s="584">
        <v>0</v>
      </c>
      <c r="CF301" s="584">
        <v>0</v>
      </c>
      <c r="CG301" s="584">
        <v>0</v>
      </c>
      <c r="CH301" s="584">
        <v>0</v>
      </c>
      <c r="CI301" s="584">
        <v>0</v>
      </c>
      <c r="CJ301" s="584">
        <v>0</v>
      </c>
      <c r="CK301" s="584">
        <v>0</v>
      </c>
      <c r="CL301" s="584">
        <v>0</v>
      </c>
      <c r="CM301" s="584">
        <v>0</v>
      </c>
      <c r="CN301" s="584">
        <v>0</v>
      </c>
      <c r="CO301" s="584">
        <v>0</v>
      </c>
      <c r="CP301" s="584">
        <v>0</v>
      </c>
      <c r="CQ301" s="584">
        <v>0</v>
      </c>
      <c r="CR301" s="584">
        <v>0</v>
      </c>
      <c r="CS301" s="584">
        <v>0</v>
      </c>
      <c r="CT301" s="584">
        <v>0</v>
      </c>
      <c r="CU301" s="584">
        <v>0</v>
      </c>
      <c r="CV301" s="584">
        <v>0</v>
      </c>
      <c r="CW301" s="584">
        <v>0</v>
      </c>
      <c r="CX301" s="584">
        <v>0</v>
      </c>
      <c r="CY301" s="584">
        <v>0</v>
      </c>
      <c r="CZ301" s="584">
        <v>0</v>
      </c>
      <c r="DA301" s="584">
        <v>0</v>
      </c>
      <c r="DB301" s="584">
        <v>0</v>
      </c>
      <c r="DC301" s="584">
        <v>0</v>
      </c>
      <c r="DD301" s="584">
        <v>0</v>
      </c>
      <c r="DE301" s="584">
        <v>0</v>
      </c>
      <c r="DF301" s="584">
        <v>0.8</v>
      </c>
      <c r="DG301" s="584">
        <v>0.35</v>
      </c>
      <c r="DH301" s="584">
        <v>437.39947552447501</v>
      </c>
      <c r="DI301" s="584">
        <v>21.912584415584401</v>
      </c>
      <c r="DJ301" s="584">
        <v>450</v>
      </c>
      <c r="DK301" s="584">
        <v>0</v>
      </c>
      <c r="DL301" s="584">
        <v>0</v>
      </c>
      <c r="DM301" s="584">
        <v>0</v>
      </c>
      <c r="DN301" s="584">
        <v>0</v>
      </c>
      <c r="DO301" s="584">
        <v>0</v>
      </c>
      <c r="DP301" s="584">
        <v>0</v>
      </c>
      <c r="DQ301" s="584">
        <v>0</v>
      </c>
      <c r="DR301" s="584">
        <v>0.8</v>
      </c>
      <c r="DS301" s="584">
        <v>0</v>
      </c>
      <c r="DT301" s="584">
        <v>2.4</v>
      </c>
      <c r="DU301" s="584">
        <v>621.51099999999997</v>
      </c>
      <c r="DV301" s="584">
        <v>156</v>
      </c>
      <c r="DW301" s="584">
        <v>1252.7052187500001</v>
      </c>
      <c r="DX301" s="584">
        <v>327.60000000000002</v>
      </c>
      <c r="DY301" s="584">
        <v>2064.5198437499998</v>
      </c>
      <c r="DZ301" s="584">
        <v>686.4</v>
      </c>
      <c r="EA301" s="1062">
        <v>1.4430000000000001</v>
      </c>
      <c r="EB301" s="1046">
        <v>0.45</v>
      </c>
      <c r="EC301" s="1093">
        <v>132.51783893985726</v>
      </c>
      <c r="ED301" s="1046">
        <v>0</v>
      </c>
      <c r="EE301" s="1046">
        <v>581.03975535168195</v>
      </c>
      <c r="EF301" s="1046">
        <v>62.541025641025641</v>
      </c>
      <c r="EG301" s="1046">
        <v>0</v>
      </c>
      <c r="EH301" s="1046">
        <v>0</v>
      </c>
      <c r="EI301" s="1046" t="s">
        <v>357</v>
      </c>
      <c r="EJ301" s="1046" t="s">
        <v>420</v>
      </c>
      <c r="EK301" s="1046">
        <v>0</v>
      </c>
      <c r="EL301" s="1046">
        <v>0</v>
      </c>
      <c r="EM301" s="1046">
        <v>0</v>
      </c>
      <c r="EN301" s="1046">
        <v>0</v>
      </c>
      <c r="EO301" s="1046">
        <v>0</v>
      </c>
      <c r="EP301" s="1094">
        <v>410.02757099999997</v>
      </c>
      <c r="EQ301" s="1094">
        <v>156</v>
      </c>
      <c r="ER301" s="1094">
        <v>820.05514199999993</v>
      </c>
      <c r="ES301" s="1095">
        <v>312</v>
      </c>
      <c r="ET301" s="1094">
        <v>1640.1102839999999</v>
      </c>
      <c r="EU301" s="1094">
        <v>624</v>
      </c>
      <c r="EV301" s="1096">
        <v>1.1400999999999999</v>
      </c>
      <c r="EW301" s="1097">
        <v>0.15</v>
      </c>
      <c r="EX301" s="1096">
        <v>289.50050968399592</v>
      </c>
      <c r="EY301" s="1096">
        <v>1.5443934760448521</v>
      </c>
      <c r="EZ301" s="1096">
        <v>0</v>
      </c>
      <c r="FA301" s="1096">
        <v>43.971153846153847</v>
      </c>
      <c r="FB301" s="1098">
        <v>0</v>
      </c>
      <c r="FC301" s="1098">
        <v>0</v>
      </c>
      <c r="FD301" s="1098" t="s">
        <v>347</v>
      </c>
      <c r="FE301" s="1098" t="s">
        <v>430</v>
      </c>
      <c r="FF301" s="1098">
        <v>3</v>
      </c>
      <c r="FG301" s="1098">
        <v>0</v>
      </c>
      <c r="FH301" s="1098">
        <v>0</v>
      </c>
      <c r="FI301" s="1098">
        <v>0</v>
      </c>
      <c r="FJ301" s="1098">
        <v>0</v>
      </c>
      <c r="FK301" s="1096">
        <v>245.56379325000003</v>
      </c>
      <c r="FL301" s="1096">
        <v>156</v>
      </c>
      <c r="FM301" s="1096">
        <v>491.12758650000006</v>
      </c>
      <c r="FN301" s="1096">
        <v>312</v>
      </c>
      <c r="FO301" s="1096">
        <v>982.25517300000013</v>
      </c>
      <c r="FP301" s="1099">
        <v>624</v>
      </c>
      <c r="FQ301" s="1064">
        <v>1.5863999999999998</v>
      </c>
      <c r="FR301" s="1065">
        <v>0.15</v>
      </c>
      <c r="FS301" s="1066">
        <v>289.50050968399586</v>
      </c>
      <c r="FT301" s="1066">
        <v>3.2237153637237084</v>
      </c>
      <c r="FU301" s="1065"/>
      <c r="FV301" s="1066">
        <v>91.858053752215724</v>
      </c>
      <c r="FW301" s="1065"/>
      <c r="FX301" s="1065"/>
      <c r="FY301" s="1065" t="s">
        <v>338</v>
      </c>
      <c r="FZ301" s="1065" t="s">
        <v>410</v>
      </c>
      <c r="GA301" s="1065">
        <v>3</v>
      </c>
      <c r="GB301" s="1065"/>
      <c r="GC301" s="1065"/>
      <c r="GD301" s="1065"/>
      <c r="GE301" s="1065"/>
      <c r="GF301" s="1066">
        <v>260.23733404606725</v>
      </c>
      <c r="GG301" s="1066">
        <v>156</v>
      </c>
      <c r="GH301" s="1066">
        <v>520.47466809213449</v>
      </c>
      <c r="GI301" s="1066">
        <v>312</v>
      </c>
      <c r="GJ301" s="1066">
        <v>1040.949336184269</v>
      </c>
      <c r="GK301" s="1066">
        <v>624</v>
      </c>
      <c r="GL301" s="584">
        <v>1.1458999999999999</v>
      </c>
      <c r="GM301" s="584">
        <v>0.13</v>
      </c>
      <c r="GN301" s="584"/>
      <c r="GO301" s="584"/>
      <c r="GP301" s="584"/>
      <c r="GQ301" s="584">
        <v>85.707692307692298</v>
      </c>
      <c r="GR301" s="584"/>
      <c r="GS301" s="584">
        <v>66.2589194699286</v>
      </c>
      <c r="GT301" s="584" t="s">
        <v>341</v>
      </c>
      <c r="GU301" s="584" t="s">
        <v>351</v>
      </c>
      <c r="GV301" s="584">
        <v>2</v>
      </c>
      <c r="GW301" s="584"/>
      <c r="GX301" s="584"/>
      <c r="GY301" s="584"/>
      <c r="GZ301" s="584"/>
      <c r="HA301" s="584">
        <v>171.240906</v>
      </c>
      <c r="HB301" s="584">
        <v>156</v>
      </c>
      <c r="HC301" s="584">
        <v>342.48181199999999</v>
      </c>
      <c r="HD301" s="584">
        <v>312</v>
      </c>
      <c r="HE301" s="584">
        <v>684.96362399999998</v>
      </c>
      <c r="HF301" s="584">
        <v>624</v>
      </c>
      <c r="HG301" s="1100">
        <v>0</v>
      </c>
      <c r="HH301" s="1100">
        <v>0</v>
      </c>
      <c r="HI301" s="1101">
        <v>0</v>
      </c>
      <c r="HJ301" s="1101">
        <v>0</v>
      </c>
      <c r="HK301" s="1101">
        <v>0</v>
      </c>
      <c r="HL301" s="1101">
        <v>0</v>
      </c>
      <c r="HM301" s="1101">
        <v>0</v>
      </c>
      <c r="HN301" s="1101">
        <v>0</v>
      </c>
      <c r="HO301" s="1101">
        <v>0</v>
      </c>
      <c r="HP301" s="1101">
        <v>0</v>
      </c>
      <c r="HQ301" s="1101">
        <v>0</v>
      </c>
      <c r="HR301" s="1101">
        <v>0</v>
      </c>
      <c r="HS301" s="1101">
        <v>0</v>
      </c>
      <c r="HT301" s="1101">
        <v>0</v>
      </c>
      <c r="HU301" s="1101">
        <v>0</v>
      </c>
      <c r="HV301" s="1101">
        <v>0</v>
      </c>
      <c r="HW301" s="1101">
        <v>0</v>
      </c>
      <c r="HX301" s="1101">
        <v>0</v>
      </c>
      <c r="HY301" s="1101">
        <v>0</v>
      </c>
      <c r="HZ301" s="1101">
        <v>0</v>
      </c>
      <c r="IA301" s="1101">
        <v>0</v>
      </c>
      <c r="IB301" s="1062"/>
      <c r="ID301" s="1050"/>
      <c r="IE301" s="1050"/>
      <c r="IM301" s="1050"/>
      <c r="IN301" s="1050"/>
      <c r="IO301" s="1050"/>
      <c r="IP301" s="1050"/>
      <c r="JU301" s="1050"/>
      <c r="KC301" s="1050"/>
      <c r="KD301" s="1050"/>
      <c r="KE301" s="1050"/>
      <c r="KF301" s="1050"/>
      <c r="KN301" s="1103"/>
    </row>
    <row r="302" spans="2:300">
      <c r="B302" s="1048" t="str">
        <f t="shared" ref="B302:B304" si="9">"H"&amp;C302&amp;D302</f>
        <v>H1214</v>
      </c>
      <c r="C302" s="1046">
        <v>12</v>
      </c>
      <c r="D302" s="1092">
        <v>14</v>
      </c>
      <c r="E302" s="584">
        <v>0</v>
      </c>
      <c r="F302" s="584">
        <v>0</v>
      </c>
      <c r="G302" s="584">
        <v>0</v>
      </c>
      <c r="H302" s="584">
        <v>0</v>
      </c>
      <c r="I302" s="584">
        <v>0</v>
      </c>
      <c r="J302" s="584">
        <v>0</v>
      </c>
      <c r="K302" s="584">
        <v>0</v>
      </c>
      <c r="L302" s="584">
        <v>0</v>
      </c>
      <c r="M302" s="584">
        <v>0</v>
      </c>
      <c r="N302" s="584">
        <v>0</v>
      </c>
      <c r="O302" s="584">
        <v>0</v>
      </c>
      <c r="P302" s="584">
        <v>0</v>
      </c>
      <c r="Q302" s="584">
        <v>0</v>
      </c>
      <c r="R302" s="584">
        <v>0</v>
      </c>
      <c r="S302" s="584">
        <v>0</v>
      </c>
      <c r="T302" s="584">
        <v>0</v>
      </c>
      <c r="U302" s="584">
        <v>0</v>
      </c>
      <c r="V302" s="584">
        <v>0</v>
      </c>
      <c r="W302" s="584">
        <v>0</v>
      </c>
      <c r="X302" s="584">
        <v>0</v>
      </c>
      <c r="Y302" s="584">
        <v>0</v>
      </c>
      <c r="Z302" s="584">
        <v>0</v>
      </c>
      <c r="AA302" s="584">
        <v>0</v>
      </c>
      <c r="AB302" s="584">
        <v>0</v>
      </c>
      <c r="AC302" s="584">
        <v>0</v>
      </c>
      <c r="AD302" s="584">
        <v>0</v>
      </c>
      <c r="AE302" s="584">
        <v>0</v>
      </c>
      <c r="AF302" s="584">
        <v>0</v>
      </c>
      <c r="AG302" s="584">
        <v>0</v>
      </c>
      <c r="AH302" s="584">
        <v>0</v>
      </c>
      <c r="AI302" s="584">
        <v>0</v>
      </c>
      <c r="AJ302" s="584">
        <v>0</v>
      </c>
      <c r="AK302" s="584">
        <v>0</v>
      </c>
      <c r="AL302" s="584">
        <v>0</v>
      </c>
      <c r="AM302" s="584">
        <v>0</v>
      </c>
      <c r="AN302" s="584">
        <v>0</v>
      </c>
      <c r="AO302" s="584">
        <v>0</v>
      </c>
      <c r="AP302" s="584">
        <v>0</v>
      </c>
      <c r="AQ302" s="584">
        <v>0</v>
      </c>
      <c r="AR302" s="584">
        <v>0</v>
      </c>
      <c r="AS302" s="584">
        <v>0</v>
      </c>
      <c r="AT302" s="584">
        <v>0</v>
      </c>
      <c r="AU302" s="584">
        <v>0</v>
      </c>
      <c r="AV302" s="584">
        <v>0</v>
      </c>
      <c r="AW302" s="584">
        <v>0</v>
      </c>
      <c r="AX302" s="584">
        <v>0</v>
      </c>
      <c r="AY302" s="584">
        <v>0</v>
      </c>
      <c r="AZ302" s="584">
        <v>0</v>
      </c>
      <c r="BA302" s="584">
        <v>0</v>
      </c>
      <c r="BB302" s="584">
        <v>0</v>
      </c>
      <c r="BC302" s="584">
        <v>0</v>
      </c>
      <c r="BD302" s="584">
        <v>0</v>
      </c>
      <c r="BE302" s="584">
        <v>0</v>
      </c>
      <c r="BF302" s="584">
        <v>0</v>
      </c>
      <c r="BG302" s="584">
        <v>0</v>
      </c>
      <c r="BH302" s="584">
        <v>0</v>
      </c>
      <c r="BI302" s="584">
        <v>0</v>
      </c>
      <c r="BJ302" s="584">
        <v>0</v>
      </c>
      <c r="BK302" s="584">
        <v>0</v>
      </c>
      <c r="BL302" s="584">
        <v>0</v>
      </c>
      <c r="BM302" s="584">
        <v>0</v>
      </c>
      <c r="BN302" s="584">
        <v>0</v>
      </c>
      <c r="BO302" s="584">
        <v>0</v>
      </c>
      <c r="BP302" s="584">
        <v>0</v>
      </c>
      <c r="BQ302" s="584">
        <v>0</v>
      </c>
      <c r="BR302" s="584">
        <v>0</v>
      </c>
      <c r="BS302" s="584">
        <v>0</v>
      </c>
      <c r="BT302" s="584">
        <v>0</v>
      </c>
      <c r="BU302" s="584">
        <v>0</v>
      </c>
      <c r="BV302" s="584">
        <v>0</v>
      </c>
      <c r="BW302" s="584">
        <v>0</v>
      </c>
      <c r="BX302" s="584">
        <v>0</v>
      </c>
      <c r="BY302" s="584">
        <v>0</v>
      </c>
      <c r="BZ302" s="584">
        <v>0</v>
      </c>
      <c r="CA302" s="584">
        <v>0</v>
      </c>
      <c r="CB302" s="584">
        <v>0</v>
      </c>
      <c r="CC302" s="584">
        <v>0</v>
      </c>
      <c r="CD302" s="584">
        <v>0</v>
      </c>
      <c r="CE302" s="584">
        <v>0</v>
      </c>
      <c r="CF302" s="584">
        <v>0</v>
      </c>
      <c r="CG302" s="584">
        <v>0</v>
      </c>
      <c r="CH302" s="584">
        <v>0</v>
      </c>
      <c r="CI302" s="584">
        <v>0</v>
      </c>
      <c r="CJ302" s="584">
        <v>0</v>
      </c>
      <c r="CK302" s="584">
        <v>0</v>
      </c>
      <c r="CL302" s="584">
        <v>0</v>
      </c>
      <c r="CM302" s="584">
        <v>0</v>
      </c>
      <c r="CN302" s="584">
        <v>0</v>
      </c>
      <c r="CO302" s="584">
        <v>0</v>
      </c>
      <c r="CP302" s="584">
        <v>0</v>
      </c>
      <c r="CQ302" s="584">
        <v>0</v>
      </c>
      <c r="CR302" s="584">
        <v>0</v>
      </c>
      <c r="CS302" s="584">
        <v>0</v>
      </c>
      <c r="CT302" s="584">
        <v>0</v>
      </c>
      <c r="CU302" s="584">
        <v>0</v>
      </c>
      <c r="CV302" s="584">
        <v>0</v>
      </c>
      <c r="CW302" s="584">
        <v>0</v>
      </c>
      <c r="CX302" s="584">
        <v>0</v>
      </c>
      <c r="CY302" s="584">
        <v>0</v>
      </c>
      <c r="CZ302" s="584">
        <v>0</v>
      </c>
      <c r="DA302" s="584">
        <v>0</v>
      </c>
      <c r="DB302" s="584">
        <v>0</v>
      </c>
      <c r="DC302" s="584">
        <v>0</v>
      </c>
      <c r="DD302" s="584">
        <v>0</v>
      </c>
      <c r="DE302" s="584">
        <v>0</v>
      </c>
      <c r="DF302" s="584">
        <v>0</v>
      </c>
      <c r="DG302" s="584">
        <v>0</v>
      </c>
      <c r="DH302" s="584">
        <v>0</v>
      </c>
      <c r="DI302" s="584">
        <v>0</v>
      </c>
      <c r="DJ302" s="584">
        <v>0</v>
      </c>
      <c r="DK302" s="584">
        <v>0</v>
      </c>
      <c r="DL302" s="584">
        <v>0</v>
      </c>
      <c r="DM302" s="584">
        <v>0</v>
      </c>
      <c r="DN302" s="584">
        <v>0</v>
      </c>
      <c r="DO302" s="584">
        <v>0</v>
      </c>
      <c r="DP302" s="584">
        <v>0</v>
      </c>
      <c r="DQ302" s="584">
        <v>0</v>
      </c>
      <c r="DR302" s="584">
        <v>0</v>
      </c>
      <c r="DS302" s="584">
        <v>0</v>
      </c>
      <c r="DT302" s="584">
        <v>0</v>
      </c>
      <c r="DU302" s="584">
        <v>0</v>
      </c>
      <c r="DV302" s="584">
        <v>0</v>
      </c>
      <c r="DW302" s="584">
        <v>0</v>
      </c>
      <c r="DX302" s="584">
        <v>0</v>
      </c>
      <c r="DY302" s="584">
        <v>0</v>
      </c>
      <c r="DZ302" s="584">
        <v>0</v>
      </c>
      <c r="EA302" s="1062">
        <v>0</v>
      </c>
      <c r="EB302" s="1046">
        <v>0</v>
      </c>
      <c r="EC302" s="1093">
        <v>0</v>
      </c>
      <c r="ED302" s="1046">
        <v>0</v>
      </c>
      <c r="EE302" s="1046">
        <v>0</v>
      </c>
      <c r="EF302" s="1046">
        <v>0</v>
      </c>
      <c r="EG302" s="1046">
        <v>0</v>
      </c>
      <c r="EH302" s="1046">
        <v>0</v>
      </c>
      <c r="EI302" s="1046">
        <v>0</v>
      </c>
      <c r="EJ302" s="1046">
        <v>0</v>
      </c>
      <c r="EK302" s="1046">
        <v>0</v>
      </c>
      <c r="EL302" s="1046">
        <v>0</v>
      </c>
      <c r="EM302" s="1046">
        <v>0</v>
      </c>
      <c r="EN302" s="1046">
        <v>0</v>
      </c>
      <c r="EO302" s="1046">
        <v>0</v>
      </c>
      <c r="EP302" s="1094">
        <v>0</v>
      </c>
      <c r="EQ302" s="1094">
        <v>0</v>
      </c>
      <c r="ER302" s="1094">
        <v>0</v>
      </c>
      <c r="ES302" s="1095">
        <v>0</v>
      </c>
      <c r="ET302" s="1094">
        <v>0</v>
      </c>
      <c r="EU302" s="1094">
        <v>0</v>
      </c>
      <c r="EV302" s="1096">
        <v>1.1499000000000001</v>
      </c>
      <c r="EW302" s="1097">
        <v>0.15</v>
      </c>
      <c r="EX302" s="1096">
        <v>289.50050968399592</v>
      </c>
      <c r="EY302" s="1096">
        <v>1.5443934760448521</v>
      </c>
      <c r="EZ302" s="1096">
        <v>0</v>
      </c>
      <c r="FA302" s="1096">
        <v>47.75</v>
      </c>
      <c r="FB302" s="1098">
        <v>0</v>
      </c>
      <c r="FC302" s="1098">
        <v>0</v>
      </c>
      <c r="FD302" s="1098" t="s">
        <v>345</v>
      </c>
      <c r="FE302" s="1098" t="s">
        <v>410</v>
      </c>
      <c r="FF302" s="1098">
        <v>3</v>
      </c>
      <c r="FG302" s="1098">
        <v>0</v>
      </c>
      <c r="FH302" s="1098">
        <v>0</v>
      </c>
      <c r="FI302" s="1098">
        <v>0</v>
      </c>
      <c r="FJ302" s="1098">
        <v>0</v>
      </c>
      <c r="FK302" s="1096">
        <v>266.01027599999998</v>
      </c>
      <c r="FL302" s="1096">
        <v>168</v>
      </c>
      <c r="FM302" s="1096">
        <v>532.02055199999995</v>
      </c>
      <c r="FN302" s="1096">
        <v>336</v>
      </c>
      <c r="FO302" s="1096">
        <v>1064.0411039999999</v>
      </c>
      <c r="FP302" s="1099">
        <v>672</v>
      </c>
      <c r="FQ302" s="1064">
        <v>1.6003999999999998</v>
      </c>
      <c r="FR302" s="1065">
        <v>0.15</v>
      </c>
      <c r="FS302" s="1066">
        <v>289.50050968399586</v>
      </c>
      <c r="FT302" s="1066">
        <v>3.2237153637237084</v>
      </c>
      <c r="FU302" s="1065"/>
      <c r="FV302" s="1066">
        <v>102.91316995502163</v>
      </c>
      <c r="FW302" s="1065"/>
      <c r="FX302" s="1065"/>
      <c r="FY302" s="1065" t="s">
        <v>336</v>
      </c>
      <c r="FZ302" s="1065" t="s">
        <v>396</v>
      </c>
      <c r="GA302" s="1065">
        <v>3</v>
      </c>
      <c r="GB302" s="1065"/>
      <c r="GC302" s="1065"/>
      <c r="GD302" s="1065"/>
      <c r="GE302" s="1065"/>
      <c r="GF302" s="1066">
        <v>284.81051948902945</v>
      </c>
      <c r="GG302" s="1066">
        <v>168</v>
      </c>
      <c r="GH302" s="1066">
        <v>569.62103897805889</v>
      </c>
      <c r="GI302" s="1066">
        <v>336</v>
      </c>
      <c r="GJ302" s="1066">
        <v>1139.2420779561178</v>
      </c>
      <c r="GK302" s="1066">
        <v>672</v>
      </c>
      <c r="GL302" s="584">
        <v>1.1499999999999999</v>
      </c>
      <c r="GM302" s="584">
        <v>0.13</v>
      </c>
      <c r="GN302" s="584"/>
      <c r="GO302" s="584"/>
      <c r="GP302" s="584"/>
      <c r="GQ302" s="584">
        <v>97.717857142857099</v>
      </c>
      <c r="GR302" s="584"/>
      <c r="GS302" s="584">
        <v>66.2589194699286</v>
      </c>
      <c r="GT302" s="584" t="s">
        <v>340</v>
      </c>
      <c r="GU302" s="584" t="s">
        <v>347</v>
      </c>
      <c r="GV302" s="584">
        <v>2</v>
      </c>
      <c r="GW302" s="584"/>
      <c r="GX302" s="584"/>
      <c r="GY302" s="584"/>
      <c r="GZ302" s="584"/>
      <c r="HA302" s="584">
        <v>189.36171150000001</v>
      </c>
      <c r="HB302" s="584">
        <v>168</v>
      </c>
      <c r="HC302" s="584">
        <v>378.72342300000003</v>
      </c>
      <c r="HD302" s="584">
        <v>336</v>
      </c>
      <c r="HE302" s="584">
        <v>757.44684600000005</v>
      </c>
      <c r="HF302" s="584">
        <v>672</v>
      </c>
      <c r="HG302" s="1100">
        <v>0</v>
      </c>
      <c r="HH302" s="1100">
        <v>0</v>
      </c>
      <c r="HI302" s="1101">
        <v>0</v>
      </c>
      <c r="HJ302" s="1101">
        <v>0</v>
      </c>
      <c r="HK302" s="1101">
        <v>0</v>
      </c>
      <c r="HL302" s="1101">
        <v>0</v>
      </c>
      <c r="HM302" s="1101">
        <v>0</v>
      </c>
      <c r="HN302" s="1101">
        <v>0</v>
      </c>
      <c r="HO302" s="1101">
        <v>0</v>
      </c>
      <c r="HP302" s="1101">
        <v>0</v>
      </c>
      <c r="HQ302" s="1101">
        <v>0</v>
      </c>
      <c r="HR302" s="1101">
        <v>0</v>
      </c>
      <c r="HS302" s="1101">
        <v>0</v>
      </c>
      <c r="HT302" s="1101">
        <v>0</v>
      </c>
      <c r="HU302" s="1101">
        <v>0</v>
      </c>
      <c r="HV302" s="1101">
        <v>0</v>
      </c>
      <c r="HW302" s="1101">
        <v>0</v>
      </c>
      <c r="HX302" s="1101">
        <v>0</v>
      </c>
      <c r="HY302" s="1101">
        <v>0</v>
      </c>
      <c r="HZ302" s="1101">
        <v>0</v>
      </c>
      <c r="IA302" s="1101">
        <v>0</v>
      </c>
      <c r="IB302" s="1062"/>
      <c r="ID302" s="1050"/>
      <c r="IE302" s="1050"/>
      <c r="IM302" s="1050"/>
      <c r="IN302" s="1050"/>
      <c r="IO302" s="1050"/>
      <c r="IP302" s="1050"/>
      <c r="JU302" s="1050"/>
      <c r="KC302" s="1050"/>
      <c r="KD302" s="1050"/>
      <c r="KE302" s="1050"/>
      <c r="KF302" s="1050"/>
      <c r="KN302" s="1103"/>
    </row>
    <row r="303" spans="2:300">
      <c r="B303" s="1048" t="str">
        <f t="shared" si="9"/>
        <v>H1215</v>
      </c>
      <c r="C303" s="1046">
        <v>12</v>
      </c>
      <c r="D303" s="1092">
        <v>15</v>
      </c>
      <c r="E303" s="584">
        <v>0</v>
      </c>
      <c r="F303" s="584">
        <v>0</v>
      </c>
      <c r="G303" s="584">
        <v>0</v>
      </c>
      <c r="H303" s="584">
        <v>0</v>
      </c>
      <c r="I303" s="584">
        <v>0</v>
      </c>
      <c r="J303" s="584">
        <v>0</v>
      </c>
      <c r="K303" s="584">
        <v>0</v>
      </c>
      <c r="L303" s="584">
        <v>0</v>
      </c>
      <c r="M303" s="584">
        <v>0</v>
      </c>
      <c r="N303" s="584">
        <v>0</v>
      </c>
      <c r="O303" s="584">
        <v>0</v>
      </c>
      <c r="P303" s="584">
        <v>0</v>
      </c>
      <c r="Q303" s="584">
        <v>0</v>
      </c>
      <c r="R303" s="584">
        <v>0</v>
      </c>
      <c r="S303" s="584">
        <v>0</v>
      </c>
      <c r="T303" s="584">
        <v>0</v>
      </c>
      <c r="U303" s="584">
        <v>0</v>
      </c>
      <c r="V303" s="584">
        <v>0</v>
      </c>
      <c r="W303" s="584">
        <v>0</v>
      </c>
      <c r="X303" s="584">
        <v>0</v>
      </c>
      <c r="Y303" s="584">
        <v>0</v>
      </c>
      <c r="Z303" s="584">
        <v>0</v>
      </c>
      <c r="AA303" s="584">
        <v>0</v>
      </c>
      <c r="AB303" s="584">
        <v>0</v>
      </c>
      <c r="AC303" s="584">
        <v>0</v>
      </c>
      <c r="AD303" s="584">
        <v>0</v>
      </c>
      <c r="AE303" s="584">
        <v>0</v>
      </c>
      <c r="AF303" s="584">
        <v>0</v>
      </c>
      <c r="AG303" s="584">
        <v>0</v>
      </c>
      <c r="AH303" s="584">
        <v>0</v>
      </c>
      <c r="AI303" s="584">
        <v>0</v>
      </c>
      <c r="AJ303" s="584">
        <v>0</v>
      </c>
      <c r="AK303" s="584">
        <v>0</v>
      </c>
      <c r="AL303" s="584">
        <v>0</v>
      </c>
      <c r="AM303" s="584">
        <v>0</v>
      </c>
      <c r="AN303" s="584">
        <v>0</v>
      </c>
      <c r="AO303" s="584">
        <v>0</v>
      </c>
      <c r="AP303" s="584">
        <v>0</v>
      </c>
      <c r="AQ303" s="584">
        <v>0</v>
      </c>
      <c r="AR303" s="584">
        <v>0</v>
      </c>
      <c r="AS303" s="584">
        <v>0</v>
      </c>
      <c r="AT303" s="584">
        <v>0</v>
      </c>
      <c r="AU303" s="584">
        <v>0</v>
      </c>
      <c r="AV303" s="584">
        <v>0</v>
      </c>
      <c r="AW303" s="584">
        <v>0</v>
      </c>
      <c r="AX303" s="584">
        <v>0</v>
      </c>
      <c r="AY303" s="584">
        <v>0</v>
      </c>
      <c r="AZ303" s="584">
        <v>0</v>
      </c>
      <c r="BA303" s="584">
        <v>0</v>
      </c>
      <c r="BB303" s="584">
        <v>0</v>
      </c>
      <c r="BC303" s="584">
        <v>0</v>
      </c>
      <c r="BD303" s="584">
        <v>0</v>
      </c>
      <c r="BE303" s="584">
        <v>0</v>
      </c>
      <c r="BF303" s="584">
        <v>0</v>
      </c>
      <c r="BG303" s="584">
        <v>0</v>
      </c>
      <c r="BH303" s="584">
        <v>0</v>
      </c>
      <c r="BI303" s="584">
        <v>0</v>
      </c>
      <c r="BJ303" s="584">
        <v>0</v>
      </c>
      <c r="BK303" s="584">
        <v>0</v>
      </c>
      <c r="BL303" s="584">
        <v>0</v>
      </c>
      <c r="BM303" s="584">
        <v>0</v>
      </c>
      <c r="BN303" s="584">
        <v>0</v>
      </c>
      <c r="BO303" s="584">
        <v>0</v>
      </c>
      <c r="BP303" s="584">
        <v>0</v>
      </c>
      <c r="BQ303" s="584">
        <v>0</v>
      </c>
      <c r="BR303" s="584">
        <v>0</v>
      </c>
      <c r="BS303" s="584">
        <v>0</v>
      </c>
      <c r="BT303" s="584">
        <v>0</v>
      </c>
      <c r="BU303" s="584">
        <v>0</v>
      </c>
      <c r="BV303" s="584">
        <v>0</v>
      </c>
      <c r="BW303" s="584">
        <v>0</v>
      </c>
      <c r="BX303" s="584">
        <v>0</v>
      </c>
      <c r="BY303" s="584">
        <v>0</v>
      </c>
      <c r="BZ303" s="584">
        <v>0</v>
      </c>
      <c r="CA303" s="584">
        <v>0</v>
      </c>
      <c r="CB303" s="584">
        <v>0</v>
      </c>
      <c r="CC303" s="584">
        <v>0</v>
      </c>
      <c r="CD303" s="584">
        <v>0</v>
      </c>
      <c r="CE303" s="584">
        <v>0</v>
      </c>
      <c r="CF303" s="584">
        <v>0</v>
      </c>
      <c r="CG303" s="584">
        <v>0</v>
      </c>
      <c r="CH303" s="584">
        <v>0</v>
      </c>
      <c r="CI303" s="584">
        <v>0</v>
      </c>
      <c r="CJ303" s="584">
        <v>0</v>
      </c>
      <c r="CK303" s="584">
        <v>0</v>
      </c>
      <c r="CL303" s="584">
        <v>0</v>
      </c>
      <c r="CM303" s="584">
        <v>0</v>
      </c>
      <c r="CN303" s="584">
        <v>0</v>
      </c>
      <c r="CO303" s="584">
        <v>0</v>
      </c>
      <c r="CP303" s="584">
        <v>0</v>
      </c>
      <c r="CQ303" s="584">
        <v>0</v>
      </c>
      <c r="CR303" s="584">
        <v>0</v>
      </c>
      <c r="CS303" s="584">
        <v>0</v>
      </c>
      <c r="CT303" s="584">
        <v>0</v>
      </c>
      <c r="CU303" s="584">
        <v>0</v>
      </c>
      <c r="CV303" s="584">
        <v>0</v>
      </c>
      <c r="CW303" s="584">
        <v>0</v>
      </c>
      <c r="CX303" s="584">
        <v>0</v>
      </c>
      <c r="CY303" s="584">
        <v>0</v>
      </c>
      <c r="CZ303" s="584">
        <v>0</v>
      </c>
      <c r="DA303" s="584">
        <v>0</v>
      </c>
      <c r="DB303" s="584">
        <v>0</v>
      </c>
      <c r="DC303" s="584">
        <v>0</v>
      </c>
      <c r="DD303" s="584">
        <v>0</v>
      </c>
      <c r="DE303" s="584">
        <v>0</v>
      </c>
      <c r="DF303" s="584">
        <v>0</v>
      </c>
      <c r="DG303" s="584">
        <v>0</v>
      </c>
      <c r="DH303" s="584">
        <v>0</v>
      </c>
      <c r="DI303" s="584">
        <v>0</v>
      </c>
      <c r="DJ303" s="584">
        <v>0</v>
      </c>
      <c r="DK303" s="584">
        <v>0</v>
      </c>
      <c r="DL303" s="584">
        <v>0</v>
      </c>
      <c r="DM303" s="584">
        <v>0</v>
      </c>
      <c r="DN303" s="584">
        <v>0</v>
      </c>
      <c r="DO303" s="584">
        <v>0</v>
      </c>
      <c r="DP303" s="584">
        <v>0</v>
      </c>
      <c r="DQ303" s="584">
        <v>0</v>
      </c>
      <c r="DR303" s="584">
        <v>0</v>
      </c>
      <c r="DS303" s="584">
        <v>0</v>
      </c>
      <c r="DT303" s="584">
        <v>0</v>
      </c>
      <c r="DU303" s="584">
        <v>0</v>
      </c>
      <c r="DV303" s="584">
        <v>0</v>
      </c>
      <c r="DW303" s="584">
        <v>0</v>
      </c>
      <c r="DX303" s="584">
        <v>0</v>
      </c>
      <c r="DY303" s="584">
        <v>0</v>
      </c>
      <c r="DZ303" s="584">
        <v>0</v>
      </c>
      <c r="EA303" s="1062">
        <v>0</v>
      </c>
      <c r="EB303" s="1046">
        <v>0</v>
      </c>
      <c r="EC303" s="1093">
        <v>0</v>
      </c>
      <c r="ED303" s="1046">
        <v>0</v>
      </c>
      <c r="EE303" s="1046">
        <v>0</v>
      </c>
      <c r="EF303" s="1046">
        <v>0</v>
      </c>
      <c r="EG303" s="1046">
        <v>0</v>
      </c>
      <c r="EH303" s="1046">
        <v>0</v>
      </c>
      <c r="EI303" s="1046">
        <v>0</v>
      </c>
      <c r="EJ303" s="1046">
        <v>0</v>
      </c>
      <c r="EK303" s="1046">
        <v>0</v>
      </c>
      <c r="EL303" s="1046">
        <v>0</v>
      </c>
      <c r="EM303" s="1046">
        <v>0</v>
      </c>
      <c r="EN303" s="1046">
        <v>0</v>
      </c>
      <c r="EO303" s="1046">
        <v>0</v>
      </c>
      <c r="EP303" s="1094">
        <v>0</v>
      </c>
      <c r="EQ303" s="1094">
        <v>0</v>
      </c>
      <c r="ER303" s="1094">
        <v>0</v>
      </c>
      <c r="ES303" s="1095">
        <v>0</v>
      </c>
      <c r="ET303" s="1094">
        <v>0</v>
      </c>
      <c r="EU303" s="1094">
        <v>0</v>
      </c>
      <c r="EV303" s="1096">
        <v>1.1499000000000001</v>
      </c>
      <c r="EW303" s="1097">
        <v>0.15</v>
      </c>
      <c r="EX303" s="1096">
        <v>289.50050968399592</v>
      </c>
      <c r="EY303" s="1096">
        <v>1.5443934760448521</v>
      </c>
      <c r="EZ303" s="1096">
        <v>0</v>
      </c>
      <c r="FA303" s="1096">
        <v>46.253333333333337</v>
      </c>
      <c r="FB303" s="1098">
        <v>0</v>
      </c>
      <c r="FC303" s="1098">
        <v>0</v>
      </c>
      <c r="FD303" s="1098" t="s">
        <v>345</v>
      </c>
      <c r="FE303" s="1098" t="s">
        <v>410</v>
      </c>
      <c r="FF303" s="1098">
        <v>3</v>
      </c>
      <c r="FG303" s="1098">
        <v>0</v>
      </c>
      <c r="FH303" s="1098">
        <v>0</v>
      </c>
      <c r="FI303" s="1098">
        <v>0</v>
      </c>
      <c r="FJ303" s="1098">
        <v>0</v>
      </c>
      <c r="FK303" s="1096">
        <v>284.35030650000004</v>
      </c>
      <c r="FL303" s="1096">
        <v>180</v>
      </c>
      <c r="FM303" s="1096">
        <v>568.70061300000009</v>
      </c>
      <c r="FN303" s="1096">
        <v>360</v>
      </c>
      <c r="FO303" s="1096">
        <v>1137.4012260000002</v>
      </c>
      <c r="FP303" s="1099">
        <v>720</v>
      </c>
      <c r="FQ303" s="1064">
        <v>1.6283999999999998</v>
      </c>
      <c r="FR303" s="1065">
        <v>0.15</v>
      </c>
      <c r="FS303" s="1066">
        <v>289.50050968399586</v>
      </c>
      <c r="FT303" s="1066">
        <v>3.2237153637237084</v>
      </c>
      <c r="FU303" s="1065"/>
      <c r="FV303" s="1066">
        <v>111.14083373317916</v>
      </c>
      <c r="FW303" s="1065"/>
      <c r="FX303" s="1065"/>
      <c r="FY303" s="1065" t="s">
        <v>334</v>
      </c>
      <c r="FZ303" s="1065" t="s">
        <v>389</v>
      </c>
      <c r="GA303" s="1065">
        <v>3</v>
      </c>
      <c r="GB303" s="1065"/>
      <c r="GC303" s="1065"/>
      <c r="GD303" s="1065"/>
      <c r="GE303" s="1065"/>
      <c r="GF303" s="1066">
        <v>308.78623019882775</v>
      </c>
      <c r="GG303" s="1066">
        <v>180</v>
      </c>
      <c r="GH303" s="1066">
        <v>617.5724603976555</v>
      </c>
      <c r="GI303" s="1066">
        <v>360</v>
      </c>
      <c r="GJ303" s="1066">
        <v>1235.144920795311</v>
      </c>
      <c r="GK303" s="1066">
        <v>720</v>
      </c>
      <c r="GL303" s="584">
        <v>1.1559999999999999</v>
      </c>
      <c r="GM303" s="584">
        <v>0.13</v>
      </c>
      <c r="GN303" s="584"/>
      <c r="GO303" s="584"/>
      <c r="GP303" s="584"/>
      <c r="GQ303" s="584">
        <v>127.375</v>
      </c>
      <c r="GR303" s="584"/>
      <c r="GS303" s="584">
        <v>66.2589194699286</v>
      </c>
      <c r="GT303" s="584" t="s">
        <v>338</v>
      </c>
      <c r="GU303" s="584" t="s">
        <v>341</v>
      </c>
      <c r="GV303" s="584">
        <v>2</v>
      </c>
      <c r="GW303" s="584"/>
      <c r="GX303" s="584"/>
      <c r="GY303" s="584"/>
      <c r="GZ303" s="584"/>
      <c r="HA303" s="584">
        <v>215.97969375</v>
      </c>
      <c r="HB303" s="584">
        <v>180</v>
      </c>
      <c r="HC303" s="584">
        <v>431.95938749999999</v>
      </c>
      <c r="HD303" s="584">
        <v>360</v>
      </c>
      <c r="HE303" s="584">
        <v>863.91877499999998</v>
      </c>
      <c r="HF303" s="584">
        <v>720</v>
      </c>
      <c r="HG303" s="1100">
        <v>0</v>
      </c>
      <c r="HH303" s="1100">
        <v>0</v>
      </c>
      <c r="HI303" s="1101">
        <v>0</v>
      </c>
      <c r="HJ303" s="1101">
        <v>0</v>
      </c>
      <c r="HK303" s="1101">
        <v>0</v>
      </c>
      <c r="HL303" s="1101">
        <v>0</v>
      </c>
      <c r="HM303" s="1101">
        <v>0</v>
      </c>
      <c r="HN303" s="1101">
        <v>0</v>
      </c>
      <c r="HO303" s="1101">
        <v>0</v>
      </c>
      <c r="HP303" s="1101">
        <v>0</v>
      </c>
      <c r="HQ303" s="1101">
        <v>0</v>
      </c>
      <c r="HR303" s="1101">
        <v>0</v>
      </c>
      <c r="HS303" s="1101">
        <v>0</v>
      </c>
      <c r="HT303" s="1101">
        <v>0</v>
      </c>
      <c r="HU303" s="1101">
        <v>0</v>
      </c>
      <c r="HV303" s="1101">
        <v>0</v>
      </c>
      <c r="HW303" s="1101">
        <v>0</v>
      </c>
      <c r="HX303" s="1101">
        <v>0</v>
      </c>
      <c r="HY303" s="1101">
        <v>0</v>
      </c>
      <c r="HZ303" s="1101">
        <v>0</v>
      </c>
      <c r="IA303" s="1101">
        <v>0</v>
      </c>
      <c r="IB303" s="1062"/>
      <c r="ID303" s="1050"/>
      <c r="IE303" s="1050"/>
      <c r="IM303" s="1050"/>
      <c r="IN303" s="1050"/>
      <c r="IO303" s="1050"/>
      <c r="IP303" s="1050"/>
      <c r="JU303" s="1050"/>
      <c r="KC303" s="1050"/>
      <c r="KD303" s="1050"/>
      <c r="KE303" s="1050"/>
      <c r="KF303" s="1050"/>
      <c r="KN303" s="1103"/>
    </row>
    <row r="304" spans="2:300">
      <c r="B304" s="1048" t="str">
        <f t="shared" si="9"/>
        <v>H1216</v>
      </c>
      <c r="C304" s="1046">
        <v>12</v>
      </c>
      <c r="D304" s="1092">
        <v>16</v>
      </c>
      <c r="E304" s="584">
        <v>0</v>
      </c>
      <c r="F304" s="584">
        <v>0</v>
      </c>
      <c r="G304" s="584">
        <v>0</v>
      </c>
      <c r="H304" s="584">
        <v>0</v>
      </c>
      <c r="I304" s="584">
        <v>0</v>
      </c>
      <c r="J304" s="584">
        <v>0</v>
      </c>
      <c r="K304" s="584">
        <v>0</v>
      </c>
      <c r="L304" s="584">
        <v>0</v>
      </c>
      <c r="M304" s="584">
        <v>0</v>
      </c>
      <c r="N304" s="584">
        <v>0</v>
      </c>
      <c r="O304" s="584">
        <v>0</v>
      </c>
      <c r="P304" s="584">
        <v>0</v>
      </c>
      <c r="Q304" s="584">
        <v>0</v>
      </c>
      <c r="R304" s="584">
        <v>0</v>
      </c>
      <c r="S304" s="584">
        <v>0</v>
      </c>
      <c r="T304" s="584">
        <v>0</v>
      </c>
      <c r="U304" s="584">
        <v>0</v>
      </c>
      <c r="V304" s="584">
        <v>0</v>
      </c>
      <c r="W304" s="584">
        <v>0</v>
      </c>
      <c r="X304" s="584">
        <v>0</v>
      </c>
      <c r="Y304" s="584">
        <v>0</v>
      </c>
      <c r="Z304" s="584">
        <v>0</v>
      </c>
      <c r="AA304" s="584">
        <v>0</v>
      </c>
      <c r="AB304" s="584">
        <v>0</v>
      </c>
      <c r="AC304" s="584">
        <v>0</v>
      </c>
      <c r="AD304" s="584">
        <v>0</v>
      </c>
      <c r="AE304" s="584">
        <v>0</v>
      </c>
      <c r="AF304" s="584">
        <v>0</v>
      </c>
      <c r="AG304" s="584">
        <v>0</v>
      </c>
      <c r="AH304" s="584">
        <v>0</v>
      </c>
      <c r="AI304" s="584">
        <v>0</v>
      </c>
      <c r="AJ304" s="584">
        <v>0</v>
      </c>
      <c r="AK304" s="584">
        <v>0</v>
      </c>
      <c r="AL304" s="584">
        <v>0</v>
      </c>
      <c r="AM304" s="584">
        <v>0</v>
      </c>
      <c r="AN304" s="584">
        <v>0</v>
      </c>
      <c r="AO304" s="584">
        <v>0</v>
      </c>
      <c r="AP304" s="584">
        <v>0</v>
      </c>
      <c r="AQ304" s="584">
        <v>0</v>
      </c>
      <c r="AR304" s="584">
        <v>0</v>
      </c>
      <c r="AS304" s="584">
        <v>0</v>
      </c>
      <c r="AT304" s="584">
        <v>0</v>
      </c>
      <c r="AU304" s="584">
        <v>0</v>
      </c>
      <c r="AV304" s="584">
        <v>0</v>
      </c>
      <c r="AW304" s="584">
        <v>0</v>
      </c>
      <c r="AX304" s="584">
        <v>0</v>
      </c>
      <c r="AY304" s="584">
        <v>0</v>
      </c>
      <c r="AZ304" s="584">
        <v>0</v>
      </c>
      <c r="BA304" s="584">
        <v>0</v>
      </c>
      <c r="BB304" s="584">
        <v>0</v>
      </c>
      <c r="BC304" s="584">
        <v>0</v>
      </c>
      <c r="BD304" s="584">
        <v>0</v>
      </c>
      <c r="BE304" s="584">
        <v>0</v>
      </c>
      <c r="BF304" s="584">
        <v>0</v>
      </c>
      <c r="BG304" s="584">
        <v>0</v>
      </c>
      <c r="BH304" s="584">
        <v>0</v>
      </c>
      <c r="BI304" s="584">
        <v>0</v>
      </c>
      <c r="BJ304" s="584">
        <v>0</v>
      </c>
      <c r="BK304" s="584">
        <v>0</v>
      </c>
      <c r="BL304" s="584">
        <v>0</v>
      </c>
      <c r="BM304" s="584">
        <v>0</v>
      </c>
      <c r="BN304" s="584">
        <v>0</v>
      </c>
      <c r="BO304" s="584">
        <v>0</v>
      </c>
      <c r="BP304" s="584">
        <v>0</v>
      </c>
      <c r="BQ304" s="584">
        <v>0</v>
      </c>
      <c r="BR304" s="584">
        <v>0</v>
      </c>
      <c r="BS304" s="584">
        <v>0</v>
      </c>
      <c r="BT304" s="584">
        <v>0</v>
      </c>
      <c r="BU304" s="584">
        <v>0</v>
      </c>
      <c r="BV304" s="584">
        <v>0</v>
      </c>
      <c r="BW304" s="584">
        <v>0</v>
      </c>
      <c r="BX304" s="584">
        <v>0</v>
      </c>
      <c r="BY304" s="584">
        <v>0</v>
      </c>
      <c r="BZ304" s="584">
        <v>0</v>
      </c>
      <c r="CA304" s="584">
        <v>0</v>
      </c>
      <c r="CB304" s="584">
        <v>0</v>
      </c>
      <c r="CC304" s="584">
        <v>0</v>
      </c>
      <c r="CD304" s="584">
        <v>0</v>
      </c>
      <c r="CE304" s="584">
        <v>0</v>
      </c>
      <c r="CF304" s="584">
        <v>0</v>
      </c>
      <c r="CG304" s="584">
        <v>0</v>
      </c>
      <c r="CH304" s="584">
        <v>0</v>
      </c>
      <c r="CI304" s="584">
        <v>0</v>
      </c>
      <c r="CJ304" s="584">
        <v>0</v>
      </c>
      <c r="CK304" s="584">
        <v>0</v>
      </c>
      <c r="CL304" s="584">
        <v>0</v>
      </c>
      <c r="CM304" s="584">
        <v>0</v>
      </c>
      <c r="CN304" s="584">
        <v>0</v>
      </c>
      <c r="CO304" s="584">
        <v>0</v>
      </c>
      <c r="CP304" s="584">
        <v>0</v>
      </c>
      <c r="CQ304" s="584">
        <v>0</v>
      </c>
      <c r="CR304" s="584">
        <v>0</v>
      </c>
      <c r="CS304" s="584">
        <v>0</v>
      </c>
      <c r="CT304" s="584">
        <v>0</v>
      </c>
      <c r="CU304" s="584">
        <v>0</v>
      </c>
      <c r="CV304" s="584">
        <v>0</v>
      </c>
      <c r="CW304" s="584">
        <v>0</v>
      </c>
      <c r="CX304" s="584">
        <v>0</v>
      </c>
      <c r="CY304" s="584">
        <v>0</v>
      </c>
      <c r="CZ304" s="584">
        <v>0</v>
      </c>
      <c r="DA304" s="584">
        <v>0</v>
      </c>
      <c r="DB304" s="584">
        <v>0</v>
      </c>
      <c r="DC304" s="584">
        <v>0</v>
      </c>
      <c r="DD304" s="584">
        <v>0</v>
      </c>
      <c r="DE304" s="584">
        <v>0</v>
      </c>
      <c r="DF304" s="584">
        <v>0</v>
      </c>
      <c r="DG304" s="584">
        <v>0</v>
      </c>
      <c r="DH304" s="584">
        <v>0</v>
      </c>
      <c r="DI304" s="584">
        <v>0</v>
      </c>
      <c r="DJ304" s="584">
        <v>0</v>
      </c>
      <c r="DK304" s="584">
        <v>0</v>
      </c>
      <c r="DL304" s="584">
        <v>0</v>
      </c>
      <c r="DM304" s="584">
        <v>0</v>
      </c>
      <c r="DN304" s="584">
        <v>0</v>
      </c>
      <c r="DO304" s="584">
        <v>0</v>
      </c>
      <c r="DP304" s="584">
        <v>0</v>
      </c>
      <c r="DQ304" s="584">
        <v>0</v>
      </c>
      <c r="DR304" s="584">
        <v>0</v>
      </c>
      <c r="DS304" s="584">
        <v>0</v>
      </c>
      <c r="DT304" s="584">
        <v>0</v>
      </c>
      <c r="DU304" s="584">
        <v>0</v>
      </c>
      <c r="DV304" s="584">
        <v>0</v>
      </c>
      <c r="DW304" s="584">
        <v>0</v>
      </c>
      <c r="DX304" s="584">
        <v>0</v>
      </c>
      <c r="DY304" s="584">
        <v>0</v>
      </c>
      <c r="DZ304" s="584">
        <v>0</v>
      </c>
      <c r="EA304" s="1062">
        <v>0</v>
      </c>
      <c r="EB304" s="1046">
        <v>0</v>
      </c>
      <c r="EC304" s="1093">
        <v>0</v>
      </c>
      <c r="ED304" s="1046">
        <v>0</v>
      </c>
      <c r="EE304" s="1046">
        <v>0</v>
      </c>
      <c r="EF304" s="1046">
        <v>0</v>
      </c>
      <c r="EG304" s="1046">
        <v>0</v>
      </c>
      <c r="EH304" s="1046">
        <v>0</v>
      </c>
      <c r="EI304" s="1046">
        <v>0</v>
      </c>
      <c r="EJ304" s="1046">
        <v>0</v>
      </c>
      <c r="EK304" s="1046">
        <v>0</v>
      </c>
      <c r="EL304" s="1046">
        <v>0</v>
      </c>
      <c r="EM304" s="1046">
        <v>0</v>
      </c>
      <c r="EN304" s="1046">
        <v>0</v>
      </c>
      <c r="EO304" s="1046">
        <v>0</v>
      </c>
      <c r="EP304" s="1094">
        <v>0</v>
      </c>
      <c r="EQ304" s="1094">
        <v>0</v>
      </c>
      <c r="ER304" s="1094">
        <v>0</v>
      </c>
      <c r="ES304" s="1095">
        <v>0</v>
      </c>
      <c r="ET304" s="1094">
        <v>0</v>
      </c>
      <c r="EU304" s="1094">
        <v>0</v>
      </c>
      <c r="EV304" s="1096">
        <v>1.1499000000000001</v>
      </c>
      <c r="EW304" s="1097">
        <v>0.15</v>
      </c>
      <c r="EX304" s="1096">
        <v>289.50050968399592</v>
      </c>
      <c r="EY304" s="1096">
        <v>1.5443934760448521</v>
      </c>
      <c r="EZ304" s="1096">
        <v>0</v>
      </c>
      <c r="FA304" s="1096">
        <v>50.943750000000001</v>
      </c>
      <c r="FB304" s="1098">
        <v>0</v>
      </c>
      <c r="FC304" s="1098">
        <v>0</v>
      </c>
      <c r="FD304" s="1098" t="s">
        <v>345</v>
      </c>
      <c r="FE304" s="1098" t="s">
        <v>396</v>
      </c>
      <c r="FF304" s="1098">
        <v>3</v>
      </c>
      <c r="FG304" s="1098">
        <v>0</v>
      </c>
      <c r="FH304" s="1098">
        <v>0</v>
      </c>
      <c r="FI304" s="1098">
        <v>0</v>
      </c>
      <c r="FJ304" s="1098">
        <v>0</v>
      </c>
      <c r="FK304" s="1096">
        <v>305.51561700000002</v>
      </c>
      <c r="FL304" s="1096">
        <v>192</v>
      </c>
      <c r="FM304" s="1096">
        <v>611.03123400000004</v>
      </c>
      <c r="FN304" s="1096">
        <v>384</v>
      </c>
      <c r="FO304" s="1096">
        <v>1222.0624680000001</v>
      </c>
      <c r="FP304" s="1099">
        <v>768</v>
      </c>
      <c r="FQ304" s="1064">
        <v>1.6283999999999998</v>
      </c>
      <c r="FR304" s="1065">
        <v>0.15</v>
      </c>
      <c r="FS304" s="1066">
        <v>289.50050968399586</v>
      </c>
      <c r="FT304" s="1066">
        <v>3.2237153637237084</v>
      </c>
      <c r="FU304" s="1065"/>
      <c r="FV304" s="1066">
        <v>122.09134575534404</v>
      </c>
      <c r="FW304" s="1065"/>
      <c r="FX304" s="1065"/>
      <c r="FY304" s="1065" t="s">
        <v>334</v>
      </c>
      <c r="FZ304" s="1065" t="s">
        <v>385</v>
      </c>
      <c r="GA304" s="1065">
        <v>3</v>
      </c>
      <c r="GB304" s="1065"/>
      <c r="GC304" s="1065"/>
      <c r="GD304" s="1065"/>
      <c r="GE304" s="1065"/>
      <c r="GF304" s="1066">
        <v>334.52835597974661</v>
      </c>
      <c r="GG304" s="1066">
        <v>192</v>
      </c>
      <c r="GH304" s="1066">
        <v>669.05671195949321</v>
      </c>
      <c r="GI304" s="1066">
        <v>384</v>
      </c>
      <c r="GJ304" s="1066">
        <v>1338.1134239189864</v>
      </c>
      <c r="GK304" s="1066">
        <v>768</v>
      </c>
      <c r="GL304" s="584">
        <v>1.1659999999999999</v>
      </c>
      <c r="GM304" s="584">
        <v>0.13</v>
      </c>
      <c r="GN304" s="584"/>
      <c r="GO304" s="584"/>
      <c r="GP304" s="584"/>
      <c r="GQ304" s="584">
        <v>154.375</v>
      </c>
      <c r="GR304" s="584"/>
      <c r="GS304" s="584">
        <v>66.2589194699286</v>
      </c>
      <c r="GT304" s="584" t="s">
        <v>336</v>
      </c>
      <c r="GU304" s="584" t="s">
        <v>336</v>
      </c>
      <c r="GV304" s="584">
        <v>2</v>
      </c>
      <c r="GW304" s="584"/>
      <c r="GX304" s="584"/>
      <c r="GY304" s="584"/>
      <c r="GZ304" s="584"/>
      <c r="HA304" s="584">
        <v>243.09209999999999</v>
      </c>
      <c r="HB304" s="584">
        <v>192</v>
      </c>
      <c r="HC304" s="584">
        <v>486.18419999999998</v>
      </c>
      <c r="HD304" s="584">
        <v>384</v>
      </c>
      <c r="HE304" s="584">
        <v>972.36839999999995</v>
      </c>
      <c r="HF304" s="584">
        <v>768</v>
      </c>
      <c r="HG304" s="1100">
        <v>0</v>
      </c>
      <c r="HH304" s="1100">
        <v>0</v>
      </c>
      <c r="HI304" s="1101">
        <v>0</v>
      </c>
      <c r="HJ304" s="1101">
        <v>0</v>
      </c>
      <c r="HK304" s="1101">
        <v>0</v>
      </c>
      <c r="HL304" s="1101">
        <v>0</v>
      </c>
      <c r="HM304" s="1101">
        <v>0</v>
      </c>
      <c r="HN304" s="1101">
        <v>0</v>
      </c>
      <c r="HO304" s="1101">
        <v>0</v>
      </c>
      <c r="HP304" s="1101">
        <v>0</v>
      </c>
      <c r="HQ304" s="1101">
        <v>0</v>
      </c>
      <c r="HR304" s="1101">
        <v>0</v>
      </c>
      <c r="HS304" s="1101">
        <v>0</v>
      </c>
      <c r="HT304" s="1101">
        <v>0</v>
      </c>
      <c r="HU304" s="1101">
        <v>0</v>
      </c>
      <c r="HV304" s="1101">
        <v>0</v>
      </c>
      <c r="HW304" s="1101">
        <v>0</v>
      </c>
      <c r="HX304" s="1101">
        <v>0</v>
      </c>
      <c r="HY304" s="1101">
        <v>0</v>
      </c>
      <c r="HZ304" s="1101">
        <v>0</v>
      </c>
      <c r="IA304" s="1101">
        <v>0</v>
      </c>
      <c r="IB304" s="1062"/>
      <c r="ID304" s="1050"/>
      <c r="IE304" s="1050"/>
      <c r="IM304" s="1050"/>
      <c r="IN304" s="1050"/>
      <c r="IO304" s="1050"/>
      <c r="IP304" s="1050"/>
      <c r="JU304" s="1050"/>
      <c r="KC304" s="1050"/>
      <c r="KD304" s="1050"/>
      <c r="KE304" s="1050"/>
      <c r="KF304" s="1050"/>
      <c r="KN304" s="1103"/>
    </row>
    <row r="305" spans="89:193" ht="15">
      <c r="CK305" s="1062"/>
      <c r="CM305" s="1093"/>
      <c r="DC305" s="1093"/>
      <c r="FQ305" s="308">
        <v>0.6</v>
      </c>
      <c r="FR305" s="308"/>
      <c r="FS305" s="308">
        <v>289.50050968399597</v>
      </c>
      <c r="FT305" s="308">
        <v>3.1754272996334798</v>
      </c>
      <c r="FU305" s="308"/>
      <c r="FV305" s="308">
        <v>36.773429618122996</v>
      </c>
      <c r="FW305" s="308"/>
      <c r="FX305" s="308"/>
      <c r="FY305" s="308" t="s">
        <v>1106</v>
      </c>
      <c r="FZ305" s="308" t="s">
        <v>1106</v>
      </c>
      <c r="GA305" s="308">
        <v>2</v>
      </c>
      <c r="GB305" s="308"/>
      <c r="GC305" s="308"/>
      <c r="GD305" s="308"/>
      <c r="GE305" s="308"/>
      <c r="GF305" s="308">
        <v>25.1993642897699</v>
      </c>
      <c r="GG305" s="308">
        <v>21.875</v>
      </c>
      <c r="GH305" s="308">
        <v>50.398728579539899</v>
      </c>
      <c r="GI305" s="308">
        <v>43.75</v>
      </c>
      <c r="GJ305" s="308">
        <v>100.79745715908</v>
      </c>
      <c r="GK305" s="308">
        <v>87.5</v>
      </c>
    </row>
  </sheetData>
  <mergeCells count="61">
    <mergeCell ref="AL14:AT14"/>
    <mergeCell ref="T14:Y14"/>
    <mergeCell ref="AC14:AG14"/>
    <mergeCell ref="AH15:AK15"/>
    <mergeCell ref="AC15:AG15"/>
    <mergeCell ref="AO15:AP15"/>
    <mergeCell ref="AQ15:AR15"/>
    <mergeCell ref="AS15:AT15"/>
    <mergeCell ref="T15:U15"/>
    <mergeCell ref="V15:W15"/>
    <mergeCell ref="X15:Y15"/>
    <mergeCell ref="BD15:BI15"/>
    <mergeCell ref="EA30:EU30"/>
    <mergeCell ref="GL30:HF30"/>
    <mergeCell ref="JR30:KL30"/>
    <mergeCell ref="EV30:FP30"/>
    <mergeCell ref="FQ30:GK30"/>
    <mergeCell ref="CK30:DE30"/>
    <mergeCell ref="DF30:DZ30"/>
    <mergeCell ref="AU30:BO30"/>
    <mergeCell ref="BP30:CJ30"/>
    <mergeCell ref="JR29:KL29"/>
    <mergeCell ref="BK15:BM15"/>
    <mergeCell ref="KK31:KL31"/>
    <mergeCell ref="IU31:IV31"/>
    <mergeCell ref="HG30:IA30"/>
    <mergeCell ref="HV31:HW31"/>
    <mergeCell ref="HX31:HY31"/>
    <mergeCell ref="HZ31:IA31"/>
    <mergeCell ref="IQ31:IR31"/>
    <mergeCell ref="IS31:IT31"/>
    <mergeCell ref="JL31:JM31"/>
    <mergeCell ref="JN31:JO31"/>
    <mergeCell ref="JP31:JQ31"/>
    <mergeCell ref="KG31:KH31"/>
    <mergeCell ref="KI31:KJ31"/>
    <mergeCell ref="IW30:JQ30"/>
    <mergeCell ref="IB30:IV30"/>
    <mergeCell ref="EP31:EQ31"/>
    <mergeCell ref="ER31:ES31"/>
    <mergeCell ref="ET31:EU31"/>
    <mergeCell ref="DU31:DV31"/>
    <mergeCell ref="DW31:DX31"/>
    <mergeCell ref="CZ31:DA31"/>
    <mergeCell ref="DB31:DC31"/>
    <mergeCell ref="DD31:DE31"/>
    <mergeCell ref="DY31:DZ31"/>
    <mergeCell ref="CE31:CF31"/>
    <mergeCell ref="CG31:CH31"/>
    <mergeCell ref="BJ31:BK31"/>
    <mergeCell ref="BL31:BM31"/>
    <mergeCell ref="BN31:BO31"/>
    <mergeCell ref="CI31:CJ31"/>
    <mergeCell ref="T31:U31"/>
    <mergeCell ref="V31:W31"/>
    <mergeCell ref="X31:Y31"/>
    <mergeCell ref="E30:Y30"/>
    <mergeCell ref="Z30:AT30"/>
    <mergeCell ref="AO31:AP31"/>
    <mergeCell ref="AQ31:AR31"/>
    <mergeCell ref="AS31:AT31"/>
  </mergeCells>
  <dataValidations disablePrompts="1" count="1">
    <dataValidation type="list" allowBlank="1" showInputMessage="1" showErrorMessage="1" sqref="E4" xr:uid="{D06C7435-C2C6-4958-B545-829231269917}">
      <formula1>$A$2:$A$5</formula1>
    </dataValidation>
  </dataValidations>
  <pageMargins left="0.7" right="0.7" top="0.75" bottom="0.75" header="0.3" footer="0.3"/>
  <pageSetup paperSize="9" orientation="portrait" horizontalDpi="300" verticalDpi="300" r:id="rId1"/>
  <ignoredErrors>
    <ignoredError sqref="X17:X22" formula="1"/>
  </ignoredErrors>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55790-A460-47FE-B9FD-5516685B5019}">
  <sheetPr codeName="Sheet5">
    <pageSetUpPr fitToPage="1"/>
  </sheetPr>
  <dimension ref="A1:AA48"/>
  <sheetViews>
    <sheetView workbookViewId="0">
      <selection activeCell="A5" sqref="A5:XFD5"/>
    </sheetView>
  </sheetViews>
  <sheetFormatPr defaultColWidth="0" defaultRowHeight="12" zeroHeight="1"/>
  <cols>
    <col min="1" max="1" width="3" style="743" customWidth="1"/>
    <col min="2" max="2" width="57.42578125" style="743" bestFit="1" customWidth="1"/>
    <col min="3" max="12" width="12.5703125" style="744" customWidth="1"/>
    <col min="13" max="13" width="57" style="743" customWidth="1"/>
    <col min="14" max="14" width="2.5703125" style="745" customWidth="1"/>
    <col min="15" max="15" width="24.42578125" style="745" hidden="1" customWidth="1"/>
    <col min="16" max="25" width="10.5703125" style="745" hidden="1" customWidth="1"/>
    <col min="26" max="27" width="9.140625" style="745" hidden="1" customWidth="1"/>
    <col min="28" max="16384" width="9.140625" style="743" hidden="1"/>
  </cols>
  <sheetData>
    <row r="1" spans="2:27"/>
    <row r="2" spans="2:27" s="139" customFormat="1" ht="14.25" customHeight="1">
      <c r="B2" s="128" t="s">
        <v>1107</v>
      </c>
      <c r="C2" s="140"/>
      <c r="D2" s="140"/>
      <c r="E2" s="140"/>
      <c r="F2" s="140"/>
      <c r="G2" s="140"/>
      <c r="H2" s="140"/>
      <c r="I2" s="140"/>
      <c r="J2" s="140"/>
      <c r="K2" s="140"/>
      <c r="L2" s="140"/>
      <c r="N2" s="746"/>
      <c r="O2" s="746"/>
      <c r="P2" s="746"/>
      <c r="Q2" s="746"/>
      <c r="R2" s="746"/>
      <c r="S2" s="746"/>
      <c r="T2" s="746"/>
      <c r="U2" s="746"/>
      <c r="V2" s="746"/>
      <c r="W2" s="746"/>
      <c r="X2" s="746"/>
      <c r="Y2" s="746"/>
      <c r="Z2" s="746"/>
      <c r="AA2" s="746"/>
    </row>
    <row r="3" spans="2:27" s="139" customFormat="1" ht="14.25" customHeight="1">
      <c r="C3" s="140"/>
      <c r="D3" s="140"/>
      <c r="E3" s="140"/>
      <c r="F3" s="140"/>
      <c r="G3" s="140"/>
      <c r="H3" s="140"/>
      <c r="I3" s="140"/>
      <c r="J3" s="140"/>
      <c r="K3" s="140"/>
      <c r="L3" s="140"/>
      <c r="N3" s="746"/>
      <c r="O3" s="746"/>
      <c r="P3" s="746"/>
      <c r="Q3" s="746"/>
      <c r="R3" s="746"/>
      <c r="S3" s="746"/>
      <c r="T3" s="746"/>
      <c r="U3" s="746"/>
      <c r="V3" s="746"/>
      <c r="W3" s="746"/>
      <c r="X3" s="746"/>
      <c r="Y3" s="746"/>
      <c r="Z3" s="746"/>
      <c r="AA3" s="746"/>
    </row>
    <row r="4" spans="2:27" s="748" customFormat="1" ht="24.75" thickBot="1">
      <c r="B4" s="747" t="s">
        <v>1108</v>
      </c>
      <c r="C4" s="176" t="s">
        <v>1109</v>
      </c>
      <c r="D4" s="176" t="s">
        <v>1110</v>
      </c>
      <c r="E4" s="176" t="s">
        <v>1111</v>
      </c>
      <c r="F4" s="176" t="s">
        <v>1112</v>
      </c>
      <c r="G4" s="176" t="s">
        <v>1113</v>
      </c>
      <c r="H4" s="176" t="s">
        <v>1114</v>
      </c>
      <c r="I4" s="176" t="s">
        <v>1115</v>
      </c>
      <c r="J4" s="176" t="s">
        <v>1116</v>
      </c>
      <c r="K4" s="176" t="s">
        <v>1117</v>
      </c>
      <c r="L4" s="176" t="s">
        <v>1118</v>
      </c>
      <c r="M4" s="747" t="s">
        <v>0</v>
      </c>
      <c r="AA4" s="749"/>
    </row>
    <row r="5" spans="2:27">
      <c r="B5" s="81" t="s">
        <v>235</v>
      </c>
      <c r="C5" s="750">
        <v>0.14899999999999999</v>
      </c>
      <c r="D5" s="750">
        <v>5.0000000000000001E-3</v>
      </c>
      <c r="E5" s="750">
        <v>5.2999999999999999E-2</v>
      </c>
      <c r="F5" s="750">
        <v>5.0325000000000005E-3</v>
      </c>
      <c r="G5" s="750">
        <v>1.2999999999999999E-2</v>
      </c>
      <c r="H5" s="751">
        <f t="shared" ref="H5:H40" si="0">SUM(F5:G5)</f>
        <v>1.80325E-2</v>
      </c>
      <c r="I5" s="750">
        <v>4.4000000000000003E-3</v>
      </c>
      <c r="J5" s="751">
        <f t="shared" ref="J5:J40" si="1">C5+D5+E5*SUM(C5,D5,F5,G5)</f>
        <v>0.16311772250000001</v>
      </c>
      <c r="K5" s="751">
        <f t="shared" ref="K5:K40" si="2">J5+F5+G5+L5</f>
        <v>0.18115022250000001</v>
      </c>
      <c r="L5" s="752"/>
      <c r="M5" s="753" t="s">
        <v>1119</v>
      </c>
      <c r="AA5" s="164"/>
    </row>
    <row r="6" spans="2:27">
      <c r="B6" s="81" t="s">
        <v>32</v>
      </c>
      <c r="C6" s="750">
        <v>0.12</v>
      </c>
      <c r="D6" s="750">
        <v>5.0000000000000001E-3</v>
      </c>
      <c r="E6" s="750">
        <v>5.2999999999999999E-2</v>
      </c>
      <c r="F6" s="750">
        <v>5.0325000000000005E-3</v>
      </c>
      <c r="G6" s="750">
        <v>1.2999999999999999E-2</v>
      </c>
      <c r="H6" s="751">
        <f t="shared" si="0"/>
        <v>1.80325E-2</v>
      </c>
      <c r="I6" s="750">
        <v>4.4000000000000003E-3</v>
      </c>
      <c r="J6" s="751">
        <f t="shared" si="1"/>
        <v>0.1325807225</v>
      </c>
      <c r="K6" s="751">
        <f t="shared" si="2"/>
        <v>0.1506132225</v>
      </c>
      <c r="L6" s="752"/>
      <c r="M6" s="753" t="s">
        <v>1120</v>
      </c>
      <c r="AA6" s="164"/>
    </row>
    <row r="7" spans="2:27">
      <c r="B7" s="81" t="s">
        <v>125</v>
      </c>
      <c r="C7" s="750">
        <v>8.8999999999999996E-2</v>
      </c>
      <c r="D7" s="750">
        <v>5.0000000000000001E-3</v>
      </c>
      <c r="E7" s="750">
        <v>5.2999999999999999E-2</v>
      </c>
      <c r="F7" s="750">
        <v>5.0325000000000005E-3</v>
      </c>
      <c r="G7" s="750">
        <v>1.2999999999999999E-2</v>
      </c>
      <c r="H7" s="751">
        <f t="shared" si="0"/>
        <v>1.80325E-2</v>
      </c>
      <c r="I7" s="750">
        <v>4.4000000000000003E-3</v>
      </c>
      <c r="J7" s="751">
        <f t="shared" si="1"/>
        <v>9.9937722499999992E-2</v>
      </c>
      <c r="K7" s="751">
        <f t="shared" si="2"/>
        <v>0.11797022249999999</v>
      </c>
      <c r="L7" s="752"/>
      <c r="M7" s="753" t="s">
        <v>1120</v>
      </c>
      <c r="AA7" s="164"/>
    </row>
    <row r="8" spans="2:27">
      <c r="B8" s="150" t="s">
        <v>133</v>
      </c>
      <c r="C8" s="750">
        <v>6.3E-2</v>
      </c>
      <c r="D8" s="750">
        <v>5.0000000000000001E-3</v>
      </c>
      <c r="E8" s="750">
        <v>5.2999999999999999E-2</v>
      </c>
      <c r="F8" s="750">
        <v>5.0325000000000005E-3</v>
      </c>
      <c r="G8" s="750">
        <v>1.2999999999999999E-2</v>
      </c>
      <c r="H8" s="751">
        <f t="shared" si="0"/>
        <v>1.80325E-2</v>
      </c>
      <c r="I8" s="750">
        <v>4.4000000000000003E-3</v>
      </c>
      <c r="J8" s="751">
        <f t="shared" si="1"/>
        <v>7.2559722500000007E-2</v>
      </c>
      <c r="K8" s="751">
        <f t="shared" si="2"/>
        <v>9.05922225E-2</v>
      </c>
      <c r="L8" s="752"/>
      <c r="M8" s="753" t="s">
        <v>1120</v>
      </c>
      <c r="AA8" s="164"/>
    </row>
    <row r="9" spans="2:27">
      <c r="B9" s="150" t="s">
        <v>1121</v>
      </c>
      <c r="C9" s="750">
        <v>0.113</v>
      </c>
      <c r="D9" s="750">
        <v>5.0000000000000001E-3</v>
      </c>
      <c r="E9" s="750">
        <v>5.2999999999999999E-2</v>
      </c>
      <c r="F9" s="750">
        <v>5.0325000000000005E-3</v>
      </c>
      <c r="G9" s="750">
        <v>1.2999999999999999E-2</v>
      </c>
      <c r="H9" s="751">
        <f t="shared" si="0"/>
        <v>1.80325E-2</v>
      </c>
      <c r="I9" s="750">
        <v>4.4000000000000003E-3</v>
      </c>
      <c r="J9" s="751">
        <f t="shared" si="1"/>
        <v>0.12520972250000001</v>
      </c>
      <c r="K9" s="751">
        <f t="shared" si="2"/>
        <v>0.14324222250000002</v>
      </c>
      <c r="L9" s="752"/>
      <c r="M9" s="753" t="s">
        <v>1120</v>
      </c>
      <c r="AA9" s="164"/>
    </row>
    <row r="10" spans="2:27">
      <c r="B10" s="81" t="s">
        <v>1122</v>
      </c>
      <c r="C10" s="750">
        <v>0.16300000000000001</v>
      </c>
      <c r="D10" s="750">
        <v>5.0000000000000001E-3</v>
      </c>
      <c r="E10" s="750">
        <v>5.2999999999999999E-2</v>
      </c>
      <c r="F10" s="750">
        <v>5.0325000000000005E-3</v>
      </c>
      <c r="G10" s="750">
        <v>1.2999999999999999E-2</v>
      </c>
      <c r="H10" s="751">
        <f t="shared" si="0"/>
        <v>1.80325E-2</v>
      </c>
      <c r="I10" s="750">
        <v>4.4000000000000003E-3</v>
      </c>
      <c r="J10" s="751">
        <f t="shared" si="1"/>
        <v>0.17785972250000001</v>
      </c>
      <c r="K10" s="751">
        <f t="shared" si="2"/>
        <v>0.19589222250000002</v>
      </c>
      <c r="L10" s="752"/>
      <c r="M10" s="753" t="s">
        <v>1120</v>
      </c>
      <c r="AA10" s="164"/>
    </row>
    <row r="11" spans="2:27">
      <c r="B11" s="81" t="s">
        <v>127</v>
      </c>
      <c r="C11" s="750">
        <v>0.14899999999999999</v>
      </c>
      <c r="D11" s="750">
        <v>5.0000000000000001E-3</v>
      </c>
      <c r="E11" s="750">
        <v>5.2999999999999999E-2</v>
      </c>
      <c r="F11" s="750">
        <v>5.0325000000000005E-3</v>
      </c>
      <c r="G11" s="750">
        <v>1.2999999999999999E-2</v>
      </c>
      <c r="H11" s="751">
        <f t="shared" si="0"/>
        <v>1.80325E-2</v>
      </c>
      <c r="I11" s="750">
        <v>4.4000000000000003E-3</v>
      </c>
      <c r="J11" s="751">
        <f t="shared" si="1"/>
        <v>0.16311772250000001</v>
      </c>
      <c r="K11" s="751">
        <f t="shared" si="2"/>
        <v>0.18115022250000001</v>
      </c>
      <c r="L11" s="752"/>
      <c r="M11" s="753" t="s">
        <v>1120</v>
      </c>
      <c r="AA11" s="164"/>
    </row>
    <row r="12" spans="2:27">
      <c r="B12" s="81" t="s">
        <v>1123</v>
      </c>
      <c r="C12" s="750">
        <v>0.17799999999999999</v>
      </c>
      <c r="D12" s="750">
        <v>5.0000000000000001E-3</v>
      </c>
      <c r="E12" s="750">
        <v>0.01</v>
      </c>
      <c r="F12" s="750">
        <v>5.0325000000000005E-3</v>
      </c>
      <c r="G12" s="750">
        <v>1.2999999999999999E-2</v>
      </c>
      <c r="H12" s="751">
        <f t="shared" si="0"/>
        <v>1.80325E-2</v>
      </c>
      <c r="I12" s="750">
        <v>4.4000000000000003E-3</v>
      </c>
      <c r="J12" s="751">
        <f t="shared" si="1"/>
        <v>0.185010325</v>
      </c>
      <c r="K12" s="751">
        <f t="shared" si="2"/>
        <v>0.20304282500000001</v>
      </c>
      <c r="L12" s="752"/>
      <c r="M12" s="753" t="s">
        <v>1120</v>
      </c>
      <c r="AA12" s="164"/>
    </row>
    <row r="13" spans="2:27">
      <c r="B13" s="81" t="s">
        <v>142</v>
      </c>
      <c r="C13" s="750">
        <v>0.16600000000000001</v>
      </c>
      <c r="D13" s="750">
        <v>5.0000000000000001E-3</v>
      </c>
      <c r="E13" s="750">
        <v>0.01</v>
      </c>
      <c r="F13" s="750">
        <v>5.0325000000000005E-3</v>
      </c>
      <c r="G13" s="750">
        <v>1.2999999999999999E-2</v>
      </c>
      <c r="H13" s="751">
        <f t="shared" si="0"/>
        <v>1.80325E-2</v>
      </c>
      <c r="I13" s="750">
        <v>4.4000000000000003E-3</v>
      </c>
      <c r="J13" s="751">
        <f t="shared" si="1"/>
        <v>0.17289032500000001</v>
      </c>
      <c r="K13" s="751">
        <f t="shared" si="2"/>
        <v>0.19092282500000002</v>
      </c>
      <c r="L13" s="752"/>
      <c r="M13" s="753" t="s">
        <v>1124</v>
      </c>
      <c r="AA13" s="164"/>
    </row>
    <row r="14" spans="2:27">
      <c r="B14" s="81" t="s">
        <v>118</v>
      </c>
      <c r="C14" s="750">
        <v>0.76</v>
      </c>
      <c r="D14" s="750">
        <v>3.2000000000000001E-2</v>
      </c>
      <c r="E14" s="750">
        <v>5.2999999999999999E-2</v>
      </c>
      <c r="F14" s="750">
        <v>5.0325000000000005E-3</v>
      </c>
      <c r="G14" s="750">
        <v>1.2999999999999999E-2</v>
      </c>
      <c r="H14" s="751">
        <f t="shared" si="0"/>
        <v>1.80325E-2</v>
      </c>
      <c r="I14" s="750">
        <v>0.35099999999999998</v>
      </c>
      <c r="J14" s="751">
        <f t="shared" si="1"/>
        <v>0.83493172250000003</v>
      </c>
      <c r="K14" s="751">
        <f t="shared" si="2"/>
        <v>0.85296422250000004</v>
      </c>
      <c r="L14" s="752"/>
      <c r="M14" s="753" t="s">
        <v>1120</v>
      </c>
      <c r="AA14" s="164"/>
    </row>
    <row r="15" spans="2:27">
      <c r="B15" s="81" t="s">
        <v>1125</v>
      </c>
      <c r="C15" s="750">
        <v>1.99</v>
      </c>
      <c r="D15" s="750">
        <v>0.183</v>
      </c>
      <c r="E15" s="750">
        <v>5.2999999999999999E-2</v>
      </c>
      <c r="F15" s="750">
        <v>5.0325000000000005E-3</v>
      </c>
      <c r="G15" s="750">
        <v>1.2999999999999999E-2</v>
      </c>
      <c r="H15" s="751">
        <f t="shared" si="0"/>
        <v>1.80325E-2</v>
      </c>
      <c r="I15" s="750">
        <v>-0.79</v>
      </c>
      <c r="J15" s="751">
        <f t="shared" si="1"/>
        <v>2.2891247225</v>
      </c>
      <c r="K15" s="751">
        <f t="shared" si="2"/>
        <v>2.3071572224999999</v>
      </c>
      <c r="L15" s="752"/>
      <c r="M15" s="753" t="s">
        <v>1120</v>
      </c>
      <c r="AA15" s="164"/>
    </row>
    <row r="16" spans="2:27">
      <c r="B16" s="81" t="s">
        <v>1126</v>
      </c>
      <c r="C16" s="750">
        <v>0.76</v>
      </c>
      <c r="D16" s="750">
        <v>3.2000000000000001E-2</v>
      </c>
      <c r="E16" s="750">
        <v>5.2999999999999999E-2</v>
      </c>
      <c r="F16" s="750">
        <v>5.0325000000000005E-3</v>
      </c>
      <c r="G16" s="750">
        <v>1.2999999999999999E-2</v>
      </c>
      <c r="H16" s="751">
        <f t="shared" si="0"/>
        <v>1.80325E-2</v>
      </c>
      <c r="I16" s="750">
        <v>0.35099999999999998</v>
      </c>
      <c r="J16" s="751">
        <f t="shared" si="1"/>
        <v>0.83493172250000003</v>
      </c>
      <c r="K16" s="751">
        <f t="shared" si="2"/>
        <v>0.85296422250000004</v>
      </c>
      <c r="L16" s="752"/>
      <c r="M16" s="753" t="s">
        <v>1120</v>
      </c>
      <c r="AA16" s="164"/>
    </row>
    <row r="17" spans="2:27">
      <c r="B17" s="81" t="s">
        <v>1127</v>
      </c>
      <c r="C17" s="750">
        <v>1.99</v>
      </c>
      <c r="D17" s="750">
        <v>0.183</v>
      </c>
      <c r="E17" s="750">
        <v>5.2999999999999999E-2</v>
      </c>
      <c r="F17" s="750">
        <v>5.0325000000000005E-3</v>
      </c>
      <c r="G17" s="750">
        <v>1.2999999999999999E-2</v>
      </c>
      <c r="H17" s="751">
        <f t="shared" si="0"/>
        <v>1.80325E-2</v>
      </c>
      <c r="I17" s="750">
        <v>-0.79</v>
      </c>
      <c r="J17" s="751">
        <f t="shared" si="1"/>
        <v>2.2891247225</v>
      </c>
      <c r="K17" s="751">
        <f t="shared" si="2"/>
        <v>2.3071572224999999</v>
      </c>
      <c r="L17" s="752"/>
      <c r="M17" s="753" t="s">
        <v>1120</v>
      </c>
      <c r="AA17" s="164"/>
    </row>
    <row r="18" spans="2:27">
      <c r="B18" s="81" t="s">
        <v>1128</v>
      </c>
      <c r="C18" s="750">
        <v>2.4500000000000002</v>
      </c>
      <c r="D18" s="750">
        <v>3.2000000000000001E-2</v>
      </c>
      <c r="E18" s="750">
        <v>0.01</v>
      </c>
      <c r="F18" s="750">
        <v>5.0129999999999992E-3</v>
      </c>
      <c r="G18" s="750">
        <v>1.2999999999999999E-2</v>
      </c>
      <c r="H18" s="751">
        <f t="shared" si="0"/>
        <v>1.8012999999999998E-2</v>
      </c>
      <c r="I18" s="750">
        <v>-1.6</v>
      </c>
      <c r="J18" s="751">
        <f t="shared" si="1"/>
        <v>2.5070001300000002</v>
      </c>
      <c r="K18" s="751">
        <f t="shared" si="2"/>
        <v>2.5250131300000001</v>
      </c>
      <c r="L18" s="752"/>
      <c r="M18" s="753" t="s">
        <v>1120</v>
      </c>
      <c r="AA18" s="164"/>
    </row>
    <row r="19" spans="2:27">
      <c r="B19" s="81" t="s">
        <v>1129</v>
      </c>
      <c r="C19" s="750">
        <v>2.5</v>
      </c>
      <c r="D19" s="750">
        <v>3.2000000000000001E-2</v>
      </c>
      <c r="E19" s="750">
        <v>0.01</v>
      </c>
      <c r="F19" s="750">
        <v>5.0129999999999992E-3</v>
      </c>
      <c r="G19" s="750">
        <v>1.2999999999999999E-2</v>
      </c>
      <c r="H19" s="751">
        <f t="shared" si="0"/>
        <v>1.8012999999999998E-2</v>
      </c>
      <c r="I19" s="750">
        <v>-1.53</v>
      </c>
      <c r="J19" s="751">
        <f t="shared" si="1"/>
        <v>2.5575001300000002</v>
      </c>
      <c r="K19" s="751">
        <f t="shared" si="2"/>
        <v>2.57551313</v>
      </c>
      <c r="L19" s="752"/>
      <c r="M19" s="753" t="s">
        <v>1120</v>
      </c>
      <c r="AA19" s="164"/>
    </row>
    <row r="20" spans="2:27">
      <c r="B20" s="81" t="s">
        <v>1130</v>
      </c>
      <c r="C20" s="750">
        <v>1.1299999999999999</v>
      </c>
      <c r="D20" s="750">
        <v>0.16</v>
      </c>
      <c r="E20" s="750">
        <v>0.01</v>
      </c>
      <c r="F20" s="750">
        <v>5.0129999999999992E-3</v>
      </c>
      <c r="G20" s="750">
        <v>1.2999999999999999E-2</v>
      </c>
      <c r="H20" s="751">
        <f t="shared" si="0"/>
        <v>1.8012999999999998E-2</v>
      </c>
      <c r="I20" s="750">
        <v>-0.41299999999999998</v>
      </c>
      <c r="J20" s="751">
        <f t="shared" si="1"/>
        <v>1.3030801299999999</v>
      </c>
      <c r="K20" s="751">
        <f t="shared" si="2"/>
        <v>1.3210931299999997</v>
      </c>
      <c r="L20" s="752"/>
      <c r="M20" s="753" t="s">
        <v>1120</v>
      </c>
      <c r="AA20" s="164"/>
    </row>
    <row r="21" spans="2:27">
      <c r="B21" s="150" t="s">
        <v>1131</v>
      </c>
      <c r="C21" s="750">
        <v>1.55</v>
      </c>
      <c r="D21" s="750">
        <v>0.183</v>
      </c>
      <c r="E21" s="750">
        <v>0.01</v>
      </c>
      <c r="F21" s="750">
        <v>5.0129999999999992E-3</v>
      </c>
      <c r="G21" s="750">
        <v>1.2999999999999999E-2</v>
      </c>
      <c r="H21" s="751">
        <f t="shared" si="0"/>
        <v>1.8012999999999998E-2</v>
      </c>
      <c r="I21" s="750">
        <v>-0.34</v>
      </c>
      <c r="J21" s="751">
        <f t="shared" si="1"/>
        <v>1.7505101300000001</v>
      </c>
      <c r="K21" s="751">
        <f t="shared" si="2"/>
        <v>1.7685231299999999</v>
      </c>
      <c r="L21" s="752"/>
      <c r="M21" s="753" t="s">
        <v>1120</v>
      </c>
      <c r="AA21" s="164"/>
    </row>
    <row r="22" spans="2:27">
      <c r="B22" s="150" t="s">
        <v>1132</v>
      </c>
      <c r="C22" s="750">
        <v>2.4500000000000002</v>
      </c>
      <c r="D22" s="750">
        <v>3.2000000000000001E-2</v>
      </c>
      <c r="E22" s="750">
        <v>0.01</v>
      </c>
      <c r="F22" s="750">
        <v>5.0129999999999992E-3</v>
      </c>
      <c r="G22" s="750">
        <v>1.2999999999999999E-2</v>
      </c>
      <c r="H22" s="751">
        <f t="shared" si="0"/>
        <v>1.8012999999999998E-2</v>
      </c>
      <c r="I22" s="750">
        <v>-1.6</v>
      </c>
      <c r="J22" s="751">
        <f t="shared" si="1"/>
        <v>2.5070001300000002</v>
      </c>
      <c r="K22" s="751">
        <f t="shared" si="2"/>
        <v>2.5250131300000001</v>
      </c>
      <c r="L22" s="752"/>
      <c r="M22" s="753" t="s">
        <v>1120</v>
      </c>
      <c r="AA22" s="164"/>
    </row>
    <row r="23" spans="2:27">
      <c r="B23" s="150" t="s">
        <v>148</v>
      </c>
      <c r="C23" s="750">
        <v>2.74</v>
      </c>
      <c r="D23" s="750">
        <v>3.2000000000000001E-2</v>
      </c>
      <c r="E23" s="750">
        <v>0.01</v>
      </c>
      <c r="F23" s="750">
        <v>5.0129999999999992E-3</v>
      </c>
      <c r="G23" s="750">
        <v>1.2999999999999999E-2</v>
      </c>
      <c r="H23" s="751">
        <f t="shared" si="0"/>
        <v>1.8012999999999998E-2</v>
      </c>
      <c r="I23" s="750">
        <v>-1.1499999999999999</v>
      </c>
      <c r="J23" s="751">
        <f t="shared" si="1"/>
        <v>2.7999001300000002</v>
      </c>
      <c r="K23" s="751">
        <f t="shared" si="2"/>
        <v>2.81791313</v>
      </c>
      <c r="L23" s="752"/>
      <c r="M23" s="753" t="s">
        <v>1120</v>
      </c>
      <c r="AA23" s="164"/>
    </row>
    <row r="24" spans="2:27">
      <c r="B24" s="150" t="s">
        <v>1133</v>
      </c>
      <c r="C24" s="750">
        <v>2.76</v>
      </c>
      <c r="D24" s="750">
        <v>3.2000000000000001E-2</v>
      </c>
      <c r="E24" s="750">
        <v>0.01</v>
      </c>
      <c r="F24" s="750">
        <v>5.0129999999999992E-3</v>
      </c>
      <c r="G24" s="750">
        <v>1.2999999999999999E-2</v>
      </c>
      <c r="H24" s="751">
        <f t="shared" si="0"/>
        <v>1.8012999999999998E-2</v>
      </c>
      <c r="I24" s="750">
        <v>-1.32</v>
      </c>
      <c r="J24" s="751">
        <f t="shared" si="1"/>
        <v>2.8201001299999997</v>
      </c>
      <c r="K24" s="751">
        <f t="shared" si="2"/>
        <v>2.8381131299999995</v>
      </c>
      <c r="L24" s="752"/>
      <c r="M24" s="753" t="s">
        <v>1120</v>
      </c>
      <c r="AA24" s="164"/>
    </row>
    <row r="25" spans="2:27">
      <c r="B25" s="150" t="s">
        <v>150</v>
      </c>
      <c r="C25" s="750">
        <v>0.25</v>
      </c>
      <c r="D25" s="750">
        <v>0.161</v>
      </c>
      <c r="E25" s="750">
        <v>0.01</v>
      </c>
      <c r="F25" s="750">
        <v>5.0000000000000001E-3</v>
      </c>
      <c r="G25" s="750">
        <v>1.6619999999999999</v>
      </c>
      <c r="H25" s="751">
        <f t="shared" si="0"/>
        <v>1.6669999999999998</v>
      </c>
      <c r="I25" s="750">
        <v>-0.52400000000000002</v>
      </c>
      <c r="J25" s="751">
        <f t="shared" si="1"/>
        <v>0.43178000000000005</v>
      </c>
      <c r="K25" s="751">
        <f t="shared" si="2"/>
        <v>0.45878000000000019</v>
      </c>
      <c r="L25" s="752">
        <v>-1.64</v>
      </c>
      <c r="M25" s="753" t="s">
        <v>1134</v>
      </c>
      <c r="AA25" s="164"/>
    </row>
    <row r="26" spans="2:27">
      <c r="B26" s="81" t="s">
        <v>152</v>
      </c>
      <c r="C26" s="750">
        <v>0.28000000000000003</v>
      </c>
      <c r="D26" s="750">
        <v>0.161</v>
      </c>
      <c r="E26" s="750">
        <v>0.01</v>
      </c>
      <c r="F26" s="750">
        <v>5.0000000000000001E-3</v>
      </c>
      <c r="G26" s="750">
        <v>1.6619999999999999</v>
      </c>
      <c r="H26" s="751">
        <f t="shared" si="0"/>
        <v>1.6669999999999998</v>
      </c>
      <c r="I26" s="750">
        <v>-0.52400000000000002</v>
      </c>
      <c r="J26" s="751">
        <f t="shared" si="1"/>
        <v>0.46208000000000005</v>
      </c>
      <c r="K26" s="751">
        <f t="shared" si="2"/>
        <v>0.48908000000000018</v>
      </c>
      <c r="L26" s="752">
        <v>-1.64</v>
      </c>
      <c r="M26" s="753" t="s">
        <v>1134</v>
      </c>
      <c r="AA26" s="164"/>
    </row>
    <row r="27" spans="2:27">
      <c r="B27" s="81" t="s">
        <v>1135</v>
      </c>
      <c r="C27" s="750">
        <v>0.26300000000000001</v>
      </c>
      <c r="D27" s="750">
        <v>0.16</v>
      </c>
      <c r="E27" s="750">
        <v>0.111</v>
      </c>
      <c r="F27" s="750">
        <v>5.0000000000000001E-3</v>
      </c>
      <c r="G27" s="750">
        <v>1.6619999999999999</v>
      </c>
      <c r="H27" s="751">
        <f t="shared" si="0"/>
        <v>1.6669999999999998</v>
      </c>
      <c r="I27" s="750">
        <v>-0.52400000000000002</v>
      </c>
      <c r="J27" s="751">
        <f t="shared" si="1"/>
        <v>0.65498999999999996</v>
      </c>
      <c r="K27" s="751">
        <f>J27+F27+G27+L27</f>
        <v>0.6819900000000001</v>
      </c>
      <c r="L27" s="752">
        <v>-1.64</v>
      </c>
      <c r="M27" s="753" t="s">
        <v>1120</v>
      </c>
      <c r="AA27" s="164"/>
    </row>
    <row r="28" spans="2:27">
      <c r="B28" s="81" t="s">
        <v>1136</v>
      </c>
      <c r="C28" s="750">
        <v>0.30599999999999999</v>
      </c>
      <c r="D28" s="750">
        <v>0.16</v>
      </c>
      <c r="E28" s="750">
        <v>0.111</v>
      </c>
      <c r="F28" s="750">
        <v>5.0000000000000001E-3</v>
      </c>
      <c r="G28" s="750">
        <v>1.6619999999999999</v>
      </c>
      <c r="H28" s="751">
        <f t="shared" si="0"/>
        <v>1.6669999999999998</v>
      </c>
      <c r="I28" s="750">
        <v>-0.52400000000000002</v>
      </c>
      <c r="J28" s="751">
        <f t="shared" si="1"/>
        <v>0.70276300000000003</v>
      </c>
      <c r="K28" s="751">
        <f>J28+F28+G28+L28</f>
        <v>0.77976299999999976</v>
      </c>
      <c r="L28" s="752">
        <v>-1.59</v>
      </c>
      <c r="M28" s="753" t="s">
        <v>1119</v>
      </c>
      <c r="AA28" s="164"/>
    </row>
    <row r="29" spans="2:27">
      <c r="B29" s="81" t="s">
        <v>1137</v>
      </c>
      <c r="C29" s="750">
        <v>0.68100000000000005</v>
      </c>
      <c r="D29" s="750">
        <v>0.16</v>
      </c>
      <c r="E29" s="750">
        <v>0.111</v>
      </c>
      <c r="F29" s="750">
        <v>5.0000000000000001E-3</v>
      </c>
      <c r="G29" s="750">
        <v>1.6619999999999999</v>
      </c>
      <c r="H29" s="751">
        <f t="shared" si="0"/>
        <v>1.6669999999999998</v>
      </c>
      <c r="I29" s="750">
        <v>-0.52400000000000002</v>
      </c>
      <c r="J29" s="751">
        <f t="shared" si="1"/>
        <v>1.119388</v>
      </c>
      <c r="K29" s="751">
        <f t="shared" si="2"/>
        <v>1.1463879999999997</v>
      </c>
      <c r="L29" s="752">
        <v>-1.64</v>
      </c>
      <c r="M29" s="753" t="s">
        <v>1120</v>
      </c>
      <c r="AA29" s="164"/>
    </row>
    <row r="30" spans="2:27">
      <c r="B30" s="81" t="s">
        <v>1138</v>
      </c>
      <c r="C30" s="750">
        <v>0.21299999999999999</v>
      </c>
      <c r="D30" s="750">
        <v>3.2000000000000001E-2</v>
      </c>
      <c r="E30" s="750">
        <v>0.25</v>
      </c>
      <c r="F30" s="750">
        <v>5.0325000000000005E-3</v>
      </c>
      <c r="G30" s="750">
        <v>1.2999999999999999E-2</v>
      </c>
      <c r="H30" s="751">
        <f t="shared" si="0"/>
        <v>1.80325E-2</v>
      </c>
      <c r="I30" s="750">
        <v>0</v>
      </c>
      <c r="J30" s="751">
        <f t="shared" si="1"/>
        <v>0.310758125</v>
      </c>
      <c r="K30" s="751">
        <f t="shared" si="2"/>
        <v>0.328790625</v>
      </c>
      <c r="L30" s="752"/>
      <c r="M30" s="753" t="s">
        <v>1120</v>
      </c>
      <c r="AA30" s="164"/>
    </row>
    <row r="31" spans="2:27">
      <c r="B31" s="81" t="s">
        <v>1139</v>
      </c>
      <c r="C31" s="750">
        <v>0.2</v>
      </c>
      <c r="D31" s="750">
        <v>3.2000000000000001E-2</v>
      </c>
      <c r="E31" s="750">
        <v>0.25</v>
      </c>
      <c r="F31" s="750">
        <v>5.0325000000000005E-3</v>
      </c>
      <c r="G31" s="750">
        <v>1.2999999999999999E-2</v>
      </c>
      <c r="H31" s="751">
        <f t="shared" si="0"/>
        <v>1.80325E-2</v>
      </c>
      <c r="I31" s="750">
        <v>0</v>
      </c>
      <c r="J31" s="751">
        <f t="shared" si="1"/>
        <v>0.29450812500000001</v>
      </c>
      <c r="K31" s="751">
        <f t="shared" si="2"/>
        <v>0.31254062500000002</v>
      </c>
      <c r="L31" s="752"/>
      <c r="M31" s="753" t="s">
        <v>1120</v>
      </c>
      <c r="AA31" s="164"/>
    </row>
    <row r="32" spans="2:27">
      <c r="B32" s="81" t="s">
        <v>1140</v>
      </c>
      <c r="C32" s="750">
        <v>0.28000000000000003</v>
      </c>
      <c r="D32" s="750">
        <v>3.2000000000000001E-2</v>
      </c>
      <c r="E32" s="750">
        <v>0.25</v>
      </c>
      <c r="F32" s="750">
        <v>5.0325000000000005E-3</v>
      </c>
      <c r="G32" s="750">
        <v>1.2999999999999999E-2</v>
      </c>
      <c r="H32" s="751">
        <f t="shared" si="0"/>
        <v>1.80325E-2</v>
      </c>
      <c r="I32" s="750">
        <v>0</v>
      </c>
      <c r="J32" s="751">
        <f t="shared" si="1"/>
        <v>0.3945081250000001</v>
      </c>
      <c r="K32" s="751">
        <f t="shared" si="2"/>
        <v>0.41254062500000011</v>
      </c>
      <c r="L32" s="752"/>
      <c r="M32" s="753" t="s">
        <v>1120</v>
      </c>
      <c r="AA32" s="164"/>
    </row>
    <row r="33" spans="2:27">
      <c r="B33" s="81" t="s">
        <v>1141</v>
      </c>
      <c r="C33" s="750">
        <v>9.2999999999999999E-2</v>
      </c>
      <c r="D33" s="750">
        <v>3.2000000000000001E-2</v>
      </c>
      <c r="E33" s="750">
        <v>0.25</v>
      </c>
      <c r="F33" s="750">
        <v>5.0325000000000005E-3</v>
      </c>
      <c r="G33" s="750">
        <v>1.2999999999999999E-2</v>
      </c>
      <c r="H33" s="751">
        <f t="shared" si="0"/>
        <v>1.80325E-2</v>
      </c>
      <c r="I33" s="750">
        <v>0</v>
      </c>
      <c r="J33" s="751">
        <f t="shared" si="1"/>
        <v>0.160758125</v>
      </c>
      <c r="K33" s="751">
        <f t="shared" si="2"/>
        <v>0.17879062500000001</v>
      </c>
      <c r="L33" s="752"/>
      <c r="M33" s="753" t="s">
        <v>1120</v>
      </c>
      <c r="AA33" s="164"/>
    </row>
    <row r="34" spans="2:27">
      <c r="B34" s="81" t="s">
        <v>1142</v>
      </c>
      <c r="C34" s="750">
        <v>0.7</v>
      </c>
      <c r="D34" s="750">
        <v>3.2000000000000001E-2</v>
      </c>
      <c r="E34" s="750">
        <v>0.111</v>
      </c>
      <c r="F34" s="750">
        <v>5.0325000000000005E-3</v>
      </c>
      <c r="G34" s="750">
        <v>1.2999999999999999E-2</v>
      </c>
      <c r="H34" s="751">
        <f t="shared" si="0"/>
        <v>1.80325E-2</v>
      </c>
      <c r="I34" s="750">
        <v>0</v>
      </c>
      <c r="J34" s="751">
        <f t="shared" si="1"/>
        <v>0.81525360749999998</v>
      </c>
      <c r="K34" s="751">
        <f t="shared" si="2"/>
        <v>0.83328610749999998</v>
      </c>
      <c r="L34" s="752"/>
      <c r="M34" s="753" t="s">
        <v>1120</v>
      </c>
      <c r="AA34" s="164"/>
    </row>
    <row r="35" spans="2:27">
      <c r="B35" s="150" t="s">
        <v>1143</v>
      </c>
      <c r="C35" s="750">
        <v>0.09</v>
      </c>
      <c r="D35" s="750">
        <v>3.2000000000000001E-2</v>
      </c>
      <c r="E35" s="750">
        <v>0.111</v>
      </c>
      <c r="F35" s="750">
        <v>5.0325000000000005E-3</v>
      </c>
      <c r="G35" s="750">
        <v>1.2999999999999999E-2</v>
      </c>
      <c r="H35" s="751">
        <f t="shared" si="0"/>
        <v>1.80325E-2</v>
      </c>
      <c r="I35" s="750">
        <v>0</v>
      </c>
      <c r="J35" s="751">
        <f t="shared" si="1"/>
        <v>0.1375436075</v>
      </c>
      <c r="K35" s="751">
        <f t="shared" si="2"/>
        <v>0.1555761075</v>
      </c>
      <c r="L35" s="752"/>
      <c r="M35" s="753" t="s">
        <v>1120</v>
      </c>
      <c r="AA35" s="164"/>
    </row>
    <row r="36" spans="2:27">
      <c r="B36" s="150" t="s">
        <v>1144</v>
      </c>
      <c r="C36" s="750">
        <v>0.06</v>
      </c>
      <c r="D36" s="750">
        <v>3.2000000000000001E-2</v>
      </c>
      <c r="E36" s="750">
        <v>0.111</v>
      </c>
      <c r="F36" s="750">
        <v>5.0325000000000005E-3</v>
      </c>
      <c r="G36" s="750">
        <v>1.2999999999999999E-2</v>
      </c>
      <c r="H36" s="751">
        <f t="shared" si="0"/>
        <v>1.80325E-2</v>
      </c>
      <c r="I36" s="750">
        <v>0</v>
      </c>
      <c r="J36" s="751">
        <f t="shared" si="1"/>
        <v>0.1042136075</v>
      </c>
      <c r="K36" s="751">
        <f t="shared" si="2"/>
        <v>0.12224610749999999</v>
      </c>
      <c r="L36" s="752"/>
      <c r="M36" s="753" t="s">
        <v>1120</v>
      </c>
      <c r="AA36" s="164"/>
    </row>
    <row r="37" spans="2:27">
      <c r="B37" s="150" t="s">
        <v>1145</v>
      </c>
      <c r="C37" s="750">
        <v>1.44</v>
      </c>
      <c r="D37" s="750">
        <v>3.2000000000000001E-2</v>
      </c>
      <c r="E37" s="750">
        <v>5.2999999999999999E-2</v>
      </c>
      <c r="F37" s="750">
        <v>5.0325000000000005E-3</v>
      </c>
      <c r="G37" s="750">
        <v>1.2999999999999999E-2</v>
      </c>
      <c r="H37" s="751">
        <f t="shared" si="0"/>
        <v>1.80325E-2</v>
      </c>
      <c r="I37" s="750">
        <v>0</v>
      </c>
      <c r="J37" s="751">
        <f t="shared" si="1"/>
        <v>1.5509717224999999</v>
      </c>
      <c r="K37" s="751">
        <f t="shared" si="2"/>
        <v>1.5690042224999998</v>
      </c>
      <c r="L37" s="752"/>
      <c r="M37" s="753" t="s">
        <v>1120</v>
      </c>
      <c r="AA37" s="164"/>
    </row>
    <row r="38" spans="2:27">
      <c r="B38" s="150" t="s">
        <v>1146</v>
      </c>
      <c r="C38" s="750">
        <v>1.67</v>
      </c>
      <c r="D38" s="750">
        <v>3.2000000000000001E-2</v>
      </c>
      <c r="E38" s="750">
        <v>5.2999999999999999E-2</v>
      </c>
      <c r="F38" s="750">
        <v>5.0325000000000005E-3</v>
      </c>
      <c r="G38" s="750">
        <v>1.2999999999999999E-2</v>
      </c>
      <c r="H38" s="751">
        <f t="shared" si="0"/>
        <v>1.80325E-2</v>
      </c>
      <c r="I38" s="750">
        <v>0</v>
      </c>
      <c r="J38" s="751">
        <f t="shared" si="1"/>
        <v>1.7931617224999998</v>
      </c>
      <c r="K38" s="751">
        <f t="shared" si="2"/>
        <v>1.8111942224999997</v>
      </c>
      <c r="L38" s="752"/>
      <c r="M38" s="753" t="s">
        <v>1120</v>
      </c>
      <c r="AA38" s="164"/>
    </row>
    <row r="39" spans="2:27">
      <c r="B39" s="150" t="s">
        <v>130</v>
      </c>
      <c r="C39" s="750">
        <v>7.4700000000000001E-3</v>
      </c>
      <c r="D39" s="750">
        <v>5.0000000000000001E-3</v>
      </c>
      <c r="E39" s="750">
        <v>5.2999999999999999E-2</v>
      </c>
      <c r="F39" s="750">
        <v>5.0000000000000001E-3</v>
      </c>
      <c r="G39" s="750">
        <v>1.2999999999999999E-2</v>
      </c>
      <c r="H39" s="751">
        <f t="shared" si="0"/>
        <v>1.7999999999999999E-2</v>
      </c>
      <c r="I39" s="750">
        <v>0</v>
      </c>
      <c r="J39" s="751">
        <f t="shared" si="1"/>
        <v>1.4084909999999999E-2</v>
      </c>
      <c r="K39" s="751">
        <f t="shared" si="2"/>
        <v>3.2084910000000001E-2</v>
      </c>
      <c r="L39" s="752"/>
      <c r="M39" s="753" t="s">
        <v>1147</v>
      </c>
      <c r="AA39" s="164"/>
    </row>
    <row r="40" spans="2:27">
      <c r="B40" s="150" t="s">
        <v>1148</v>
      </c>
      <c r="C40" s="750">
        <v>6.58</v>
      </c>
      <c r="D40" s="750">
        <v>0.16</v>
      </c>
      <c r="E40" s="750">
        <v>0.01</v>
      </c>
      <c r="F40" s="750">
        <v>5.0325000000000005E-3</v>
      </c>
      <c r="G40" s="750">
        <v>1.2999999999999999E-2</v>
      </c>
      <c r="H40" s="751">
        <f t="shared" si="0"/>
        <v>1.80325E-2</v>
      </c>
      <c r="I40" s="750">
        <v>0</v>
      </c>
      <c r="J40" s="751">
        <f t="shared" si="1"/>
        <v>6.807580325</v>
      </c>
      <c r="K40" s="751">
        <f t="shared" si="2"/>
        <v>6.8256128250000003</v>
      </c>
      <c r="L40" s="752"/>
      <c r="M40" s="753" t="s">
        <v>1120</v>
      </c>
      <c r="AA40" s="164"/>
    </row>
    <row r="41" spans="2:27">
      <c r="B41" s="150" t="s">
        <v>146</v>
      </c>
      <c r="C41" s="754">
        <v>2.31</v>
      </c>
      <c r="D41" s="755">
        <v>0.16</v>
      </c>
      <c r="E41" s="755">
        <v>5.2999999999999999E-2</v>
      </c>
      <c r="F41" s="755">
        <v>5.0325000000000005E-3</v>
      </c>
      <c r="G41" s="755">
        <v>1.2999999999999999E-2</v>
      </c>
      <c r="H41" s="755">
        <v>1.80325E-2</v>
      </c>
      <c r="I41" s="755">
        <v>0</v>
      </c>
      <c r="J41" s="755">
        <v>2.6018657225000004</v>
      </c>
      <c r="K41" s="755">
        <v>2.6198982225000003</v>
      </c>
      <c r="M41" s="756" t="s">
        <v>1149</v>
      </c>
      <c r="AA41" s="164"/>
    </row>
    <row r="42" spans="2:27"/>
    <row r="43" spans="2:27"/>
    <row r="44" spans="2:27" ht="15.75" customHeight="1"/>
    <row r="45" spans="2:27" hidden="1">
      <c r="B45" s="757" t="s">
        <v>1150</v>
      </c>
      <c r="C45" s="744">
        <v>6.8497043294614762E-3</v>
      </c>
      <c r="N45" s="177" t="s">
        <v>1151</v>
      </c>
      <c r="O45" s="758" t="s">
        <v>1152</v>
      </c>
      <c r="P45" s="759">
        <v>6.83</v>
      </c>
      <c r="Q45" s="759">
        <v>0.16</v>
      </c>
      <c r="R45" s="759">
        <v>0.01</v>
      </c>
      <c r="S45" s="759">
        <v>5.0325000000000005E-3</v>
      </c>
      <c r="T45" s="759">
        <v>1.2999999999999999E-2</v>
      </c>
      <c r="U45" s="760">
        <f t="shared" ref="U45:U48" si="3">SUM(S45:T45)</f>
        <v>1.80325E-2</v>
      </c>
      <c r="V45" s="759">
        <v>0</v>
      </c>
      <c r="W45" s="760">
        <f t="shared" ref="W45:W48" si="4">P45+Q45+R45*SUM(P45,Q45,S45,T45)</f>
        <v>7.0600803250000004</v>
      </c>
      <c r="X45" s="760">
        <f>W45+S45+T45+Y45</f>
        <v>7.0781128250000007</v>
      </c>
      <c r="Y45" s="761"/>
      <c r="Z45" s="762" t="s">
        <v>1120</v>
      </c>
    </row>
    <row r="46" spans="2:27" hidden="1">
      <c r="B46" s="743" t="s">
        <v>1153</v>
      </c>
      <c r="C46" s="744">
        <v>7.8011298838437399E-3</v>
      </c>
      <c r="N46" s="177" t="s">
        <v>1154</v>
      </c>
      <c r="O46" s="758" t="s">
        <v>1152</v>
      </c>
      <c r="P46" s="759">
        <v>13.2</v>
      </c>
      <c r="Q46" s="759">
        <v>0.183</v>
      </c>
      <c r="R46" s="759">
        <v>0.01</v>
      </c>
      <c r="S46" s="759">
        <v>5.0325000000000005E-3</v>
      </c>
      <c r="T46" s="759">
        <v>1.2999999999999999E-2</v>
      </c>
      <c r="U46" s="760">
        <f t="shared" si="3"/>
        <v>1.80325E-2</v>
      </c>
      <c r="V46" s="759">
        <v>0</v>
      </c>
      <c r="W46" s="760">
        <f t="shared" si="4"/>
        <v>13.517010324999999</v>
      </c>
      <c r="X46" s="760">
        <f>W46+S46+T46+Y46</f>
        <v>13.535042825</v>
      </c>
      <c r="Y46" s="761"/>
      <c r="Z46" s="762" t="s">
        <v>1120</v>
      </c>
    </row>
    <row r="47" spans="2:27" hidden="1">
      <c r="B47" s="743" t="s">
        <v>1155</v>
      </c>
      <c r="C47" s="744">
        <v>6.0661774023231425E-3</v>
      </c>
      <c r="N47" s="177" t="s">
        <v>1156</v>
      </c>
      <c r="O47" s="758" t="s">
        <v>1157</v>
      </c>
      <c r="P47" s="759">
        <v>0.39</v>
      </c>
      <c r="Q47" s="759">
        <v>3.2000000000000001E-2</v>
      </c>
      <c r="R47" s="759">
        <v>0.28999999999999998</v>
      </c>
      <c r="S47" s="759">
        <v>5.0325000000000005E-3</v>
      </c>
      <c r="T47" s="759">
        <v>1.2999999999999999E-2</v>
      </c>
      <c r="U47" s="760">
        <f t="shared" si="3"/>
        <v>1.80325E-2</v>
      </c>
      <c r="V47" s="759">
        <v>0</v>
      </c>
      <c r="W47" s="760">
        <f t="shared" si="4"/>
        <v>0.5496094250000001</v>
      </c>
      <c r="X47" s="760">
        <f>W47+S47+T47+Y47</f>
        <v>0.5676419250000001</v>
      </c>
      <c r="Y47" s="761"/>
      <c r="Z47" s="762" t="s">
        <v>1120</v>
      </c>
    </row>
    <row r="48" spans="2:27" hidden="1">
      <c r="B48" s="743" t="s">
        <v>1158</v>
      </c>
      <c r="C48" s="744">
        <v>4.6110559662090938E-3</v>
      </c>
      <c r="N48" s="177" t="s">
        <v>1159</v>
      </c>
      <c r="O48" s="758" t="s">
        <v>145</v>
      </c>
      <c r="P48" s="759">
        <v>2.31</v>
      </c>
      <c r="Q48" s="759">
        <v>0.16</v>
      </c>
      <c r="R48" s="759">
        <v>5.2999999999999999E-2</v>
      </c>
      <c r="S48" s="759">
        <v>5.0325000000000005E-3</v>
      </c>
      <c r="T48" s="759">
        <v>1.2999999999999999E-2</v>
      </c>
      <c r="U48" s="760">
        <f t="shared" si="3"/>
        <v>1.80325E-2</v>
      </c>
      <c r="V48" s="759">
        <v>0</v>
      </c>
      <c r="W48" s="760">
        <f t="shared" si="4"/>
        <v>2.6018657225000004</v>
      </c>
      <c r="X48" s="760">
        <f>W48+S48+T48+Y48</f>
        <v>2.6198982225000003</v>
      </c>
      <c r="Y48" s="761"/>
      <c r="Z48" s="762" t="s">
        <v>1149</v>
      </c>
    </row>
  </sheetData>
  <conditionalFormatting sqref="N45:Z48 B5:K40 M5:M40">
    <cfRule type="expression" dxfId="5" priority="3">
      <formula>"F5"="'LIFECYCLE MATERIAL DATA Master'F5)"</formula>
    </cfRule>
  </conditionalFormatting>
  <conditionalFormatting sqref="Y45:Y48">
    <cfRule type="expression" dxfId="4" priority="2">
      <formula>ISERROR(FIND("Timber",N45))</formula>
    </cfRule>
  </conditionalFormatting>
  <conditionalFormatting sqref="B41">
    <cfRule type="expression" dxfId="3" priority="1">
      <formula>"F5"="'LIFECYCLE MATERIAL DATA Master'F5)"</formula>
    </cfRule>
  </conditionalFormatting>
  <dataValidations count="4">
    <dataValidation type="decimal" allowBlank="1" showInputMessage="1" showErrorMessage="1" sqref="V45:V48 I5:I40" xr:uid="{663AD2EF-F4B4-4C4D-A58F-E97AD401ECF4}">
      <formula1>-10</formula1>
      <formula2>10</formula2>
    </dataValidation>
    <dataValidation type="decimal" allowBlank="1" showInputMessage="1" showErrorMessage="1" sqref="Q45:T48 D5:G40" xr:uid="{2688683D-4716-46A8-8F63-624B7348DD2C}">
      <formula1>0</formula1>
      <formula2>5</formula2>
    </dataValidation>
    <dataValidation type="decimal" allowBlank="1" showInputMessage="1" showErrorMessage="1" sqref="Y45:Y48 L5:L40" xr:uid="{A29F659E-6BA7-490A-8BFE-BB7F76E45FBF}">
      <formula1>-10</formula1>
      <formula2>0</formula2>
    </dataValidation>
    <dataValidation type="decimal" allowBlank="1" showInputMessage="1" showErrorMessage="1" sqref="P45:P48 C5:C40" xr:uid="{A1E6A2E9-B633-45F4-87E0-5F0F102DBFAF}">
      <formula1>0</formula1>
      <formula2>20</formula2>
    </dataValidation>
  </dataValidations>
  <pageMargins left="0.25" right="0.25" top="0.75" bottom="0.75" header="0.3" footer="0.3"/>
  <pageSetup paperSize="8" scale="82" orientation="landscape" horizont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ACE52-D2DB-42FC-B7DD-E75755022E40}">
  <sheetPr codeName="Sheet7"/>
  <dimension ref="A1:U79"/>
  <sheetViews>
    <sheetView workbookViewId="0">
      <selection activeCell="F9" sqref="F9"/>
    </sheetView>
  </sheetViews>
  <sheetFormatPr defaultColWidth="0" defaultRowHeight="12" zeroHeight="1"/>
  <cols>
    <col min="1" max="1" width="2.5703125" style="150" customWidth="1"/>
    <col min="2" max="2" width="12" style="150" customWidth="1"/>
    <col min="3" max="3" width="6.140625" style="150" customWidth="1"/>
    <col min="4" max="4" width="9.85546875" style="150" customWidth="1"/>
    <col min="5" max="5" width="9.5703125" style="150" customWidth="1"/>
    <col min="6" max="6" width="10.5703125" style="150" customWidth="1"/>
    <col min="7" max="7" width="16.5703125" style="150" customWidth="1"/>
    <col min="8" max="8" width="8.5703125" style="150" customWidth="1"/>
    <col min="9" max="18" width="10.5703125" style="150" customWidth="1"/>
    <col min="19" max="19" width="2.5703125" style="150" customWidth="1"/>
    <col min="20" max="21" width="0" style="150" hidden="1" customWidth="1"/>
    <col min="22" max="16384" width="9.140625" style="150" hidden="1"/>
  </cols>
  <sheetData>
    <row r="1" spans="2:18"/>
    <row r="2" spans="2:18" ht="34.5">
      <c r="B2" s="170" t="s">
        <v>1208</v>
      </c>
    </row>
    <row r="3" spans="2:18" ht="12" customHeight="1" thickBot="1">
      <c r="B3" s="171"/>
      <c r="C3" s="172"/>
      <c r="D3" s="172"/>
      <c r="E3" s="172"/>
      <c r="F3" s="172"/>
      <c r="G3" s="172"/>
      <c r="H3" s="172"/>
      <c r="I3" s="172"/>
      <c r="J3" s="172"/>
      <c r="K3" s="172"/>
      <c r="L3" s="172"/>
      <c r="M3" s="172"/>
      <c r="N3" s="172"/>
      <c r="O3" s="172"/>
      <c r="P3" s="172"/>
      <c r="Q3" s="172"/>
      <c r="R3" s="172"/>
    </row>
    <row r="4" spans="2:18" ht="12" customHeight="1">
      <c r="B4" s="170"/>
    </row>
    <row r="5" spans="2:18" ht="18">
      <c r="B5" s="128" t="s">
        <v>1209</v>
      </c>
      <c r="H5" s="128"/>
      <c r="J5" s="128" t="s">
        <v>1210</v>
      </c>
    </row>
    <row r="6" spans="2:18"/>
    <row r="7" spans="2:18">
      <c r="B7" s="246"/>
      <c r="C7" s="246"/>
      <c r="D7" s="246"/>
      <c r="E7" s="246"/>
      <c r="F7" s="247" t="s">
        <v>188</v>
      </c>
      <c r="G7" s="247" t="s">
        <v>187</v>
      </c>
      <c r="H7" s="247" t="s">
        <v>183</v>
      </c>
      <c r="J7" s="1331" t="s">
        <v>183</v>
      </c>
      <c r="K7" s="1331"/>
      <c r="L7" s="1331"/>
      <c r="M7" s="1331" t="s">
        <v>187</v>
      </c>
      <c r="N7" s="1331"/>
      <c r="O7" s="1331"/>
      <c r="P7" s="1331" t="s">
        <v>188</v>
      </c>
      <c r="Q7" s="1331"/>
      <c r="R7" s="1331"/>
    </row>
    <row r="8" spans="2:18" ht="24" customHeight="1">
      <c r="B8" s="248"/>
      <c r="C8" s="248"/>
      <c r="D8" s="248"/>
      <c r="E8" s="249" t="s">
        <v>22</v>
      </c>
      <c r="F8" s="250" t="s">
        <v>1211</v>
      </c>
      <c r="G8" s="250" t="s">
        <v>1211</v>
      </c>
      <c r="H8" s="250" t="s">
        <v>1211</v>
      </c>
      <c r="J8" s="251" t="s">
        <v>696</v>
      </c>
      <c r="K8" s="251" t="s">
        <v>697</v>
      </c>
      <c r="L8" s="251" t="s">
        <v>698</v>
      </c>
      <c r="M8" s="251" t="s">
        <v>696</v>
      </c>
      <c r="N8" s="251" t="s">
        <v>697</v>
      </c>
      <c r="O8" s="251" t="s">
        <v>699</v>
      </c>
      <c r="P8" s="251" t="s">
        <v>696</v>
      </c>
      <c r="Q8" s="251" t="s">
        <v>697</v>
      </c>
      <c r="R8" s="251" t="s">
        <v>700</v>
      </c>
    </row>
    <row r="9" spans="2:18">
      <c r="E9" s="252" t="str">
        <f>Database!D23</f>
        <v>Non-Composite Rolled Steel with PCC Planks</v>
      </c>
      <c r="F9" s="253">
        <f>Database!E$12*(1.35*Database!T23+1.5*Database!U23)</f>
        <v>255.63655350000002</v>
      </c>
      <c r="G9" s="253">
        <f>Database!E$12*(1.35*Database!V23+1.5*Database!W23)</f>
        <v>438.373107</v>
      </c>
      <c r="H9" s="253">
        <f>Database!E$12*(1.35*Database!X23+1.5*Database!Y23)</f>
        <v>730.94621400000005</v>
      </c>
      <c r="J9" s="253">
        <f>IF(Database!E23=0,0,Database!X23*Database!E$12+Database!AS23+'Steel Column'!J32)</f>
        <v>344.97324000000003</v>
      </c>
      <c r="K9" s="253">
        <f>Database!Y23*Database!E$12+Database!AT23</f>
        <v>180</v>
      </c>
      <c r="L9" s="254">
        <f>Database!E$10</f>
        <v>63</v>
      </c>
      <c r="M9" s="253">
        <f>IF(Database!E23=0,0,(Database!$E$12*Database!V23+Database!AQ23+'Steel Column'!J41))</f>
        <v>227.72268</v>
      </c>
      <c r="N9" s="253">
        <f>Database!$E$12*Database!W23+Database!AR23</f>
        <v>90</v>
      </c>
      <c r="O9" s="73">
        <f>Database!E$9</f>
        <v>32</v>
      </c>
      <c r="P9" s="253">
        <f>IF(Database!E23=0,0,Database!E$12*Database!T23+Database!AO23+'Steel Column'!J50)</f>
        <v>141.12621000000001</v>
      </c>
      <c r="Q9" s="253">
        <f>(Database!$E$12*Database!U23+Database!AP23)</f>
        <v>45</v>
      </c>
      <c r="R9" s="254">
        <f>Database!E$8</f>
        <v>4</v>
      </c>
    </row>
    <row r="10" spans="2:18">
      <c r="E10" s="252" t="str">
        <f>Database!D24</f>
        <v>Composite Rolled Steel with Metal Decking</v>
      </c>
      <c r="F10" s="253">
        <f>Database!E$12*(1.35*Database!T24+1.5*Database!U24)</f>
        <v>228.2305518</v>
      </c>
      <c r="G10" s="253">
        <f>Database!E$12*(1.35*Database!V24+1.5*Database!W24)</f>
        <v>383.56110360000002</v>
      </c>
      <c r="H10" s="253">
        <f>Database!E$12*(1.35*Database!X24+1.5*Database!Y24)</f>
        <v>621.32220720000009</v>
      </c>
      <c r="J10" s="253">
        <f>IF(Database!E24=0,0,Database!X24*Database!E$12+Database!AS24+'Steel Column'!J33)</f>
        <v>262.94623200000001</v>
      </c>
      <c r="K10" s="253">
        <f>Database!Y24*Database!E$12+Database!AT24</f>
        <v>180</v>
      </c>
      <c r="L10" s="73">
        <f>Database!E$10</f>
        <v>63</v>
      </c>
      <c r="M10" s="253">
        <f>IF(Database!E24=0,0,(Database!$E$12*Database!V24+Database!AQ24+'Steel Column'!J42))</f>
        <v>186.70917600000001</v>
      </c>
      <c r="N10" s="253">
        <f>Database!$E$12*Database!W24+Database!AR24</f>
        <v>90</v>
      </c>
      <c r="O10" s="73">
        <f>Database!E$9</f>
        <v>32</v>
      </c>
      <c r="P10" s="253">
        <f>IF(Database!E24=0,0,Database!E$12*Database!T24+Database!AO24+'Steel Column'!J51)</f>
        <v>120.825468</v>
      </c>
      <c r="Q10" s="253">
        <f>(Database!$E$12*Database!U24+Database!AP24)</f>
        <v>45</v>
      </c>
      <c r="R10" s="73">
        <f>Database!E$8</f>
        <v>4</v>
      </c>
    </row>
    <row r="11" spans="2:18">
      <c r="E11" s="252" t="str">
        <f>Database!D25</f>
        <v>Composite Cell Beams with Metal Decking</v>
      </c>
      <c r="F11" s="253">
        <f>Database!E$12*(1.35*Database!T25+1.5*Database!U25)</f>
        <v>230.68132770990005</v>
      </c>
      <c r="G11" s="253">
        <f>Database!E$12*(1.35*Database!V25+1.5*Database!W25)</f>
        <v>388.46265541980006</v>
      </c>
      <c r="H11" s="253">
        <f>Database!E$12*(1.35*Database!X25+1.5*Database!Y25)</f>
        <v>631.12531083960016</v>
      </c>
      <c r="J11" s="253">
        <f>IF(Database!E25=0,0,Database!X25*Database!E$12+Database!AS25+'Steel Column'!J34)</f>
        <v>270.56095025155565</v>
      </c>
      <c r="K11" s="253">
        <f>Database!Y25*Database!E$12+Database!AT25</f>
        <v>180</v>
      </c>
      <c r="L11" s="73">
        <f>Database!E$10</f>
        <v>63</v>
      </c>
      <c r="M11" s="253">
        <f>IF(Database!E25=0,0,(Database!$E$12*Database!V25+Database!AQ25+'Steel Column'!J43))</f>
        <v>190.33995512577783</v>
      </c>
      <c r="N11" s="253">
        <f>Database!$E$12*Database!W25+Database!AR25</f>
        <v>90</v>
      </c>
      <c r="O11" s="73">
        <f>Database!E$9</f>
        <v>32</v>
      </c>
      <c r="P11" s="253">
        <f>IF(Database!E25=0,0,Database!E$12*Database!T25+Database!AO25+'Steel Column'!J52)</f>
        <v>122.64085756288891</v>
      </c>
      <c r="Q11" s="253">
        <f>(Database!$E$12*Database!U25+Database!AP25)</f>
        <v>45</v>
      </c>
      <c r="R11" s="73">
        <f>Database!E$8</f>
        <v>4</v>
      </c>
    </row>
    <row r="12" spans="2:18">
      <c r="E12" s="252" t="str">
        <f>Database!D26</f>
        <v>Steel Frame with CLT Slabs</v>
      </c>
      <c r="F12" s="253">
        <f>Database!E$12*(1.35*Database!T26+1.5*Database!U26)</f>
        <v>169.47087974999999</v>
      </c>
      <c r="G12" s="253">
        <f>Database!E$12*(1.35*Database!V26+1.5*Database!W26)</f>
        <v>266.04175950000001</v>
      </c>
      <c r="H12" s="253">
        <f>Database!E$12*(1.35*Database!X26+1.5*Database!Y26)</f>
        <v>386.28351900000001</v>
      </c>
      <c r="J12" s="253">
        <f>IF(Database!E26=0,0,Database!X26*Database!E$12+Database!AS26+'Steel Column'!J35)</f>
        <v>88.72578</v>
      </c>
      <c r="K12" s="253">
        <f>Database!Y26*Database!E$12+Database!AT26</f>
        <v>180</v>
      </c>
      <c r="L12" s="73">
        <f>Database!E$10</f>
        <v>63</v>
      </c>
      <c r="M12" s="253">
        <f>IF(Database!E26=0,0,(Database!$E$12*Database!V26+Database!AQ26+'Steel Column'!J44))</f>
        <v>98.833770000000001</v>
      </c>
      <c r="N12" s="253">
        <f>Database!$E$12*Database!W26+Database!AR26</f>
        <v>90</v>
      </c>
      <c r="O12" s="73">
        <f>Database!E$9</f>
        <v>32</v>
      </c>
      <c r="P12" s="253">
        <f>IF(Database!E26=0,0,Database!E$12*Database!T26+Database!AO26+'Steel Column'!J53)</f>
        <v>76.887765000000002</v>
      </c>
      <c r="Q12" s="253">
        <f>(Database!$E$12*Database!U26+Database!AP26)</f>
        <v>45</v>
      </c>
      <c r="R12" s="73">
        <f>Database!E$8</f>
        <v>4</v>
      </c>
    </row>
    <row r="13" spans="2:18">
      <c r="E13" s="252" t="str">
        <f>Database!D27</f>
        <v>CLT, Glulam and Steel Column Hybrid</v>
      </c>
      <c r="F13" s="253">
        <f>Database!E$12*(1.35*Database!T27+1.5*Database!U27)</f>
        <v>171.62540766000001</v>
      </c>
      <c r="G13" s="253">
        <f>Database!E$12*(1.35*Database!V27+1.5*Database!W27)</f>
        <v>270.35081531999998</v>
      </c>
      <c r="H13" s="253">
        <f>Database!E$12*(1.35*Database!X27+1.5*Database!Y27)</f>
        <v>394.90163064000001</v>
      </c>
      <c r="J13" s="253">
        <f>IF(Database!E27=0,0,Database!X27*Database!E$12+Database!AS27+'Steel Column'!J36)</f>
        <v>95.109566399999977</v>
      </c>
      <c r="K13" s="253">
        <f>Database!Y27*Database!E$12+Database!AT27</f>
        <v>180</v>
      </c>
      <c r="L13" s="73">
        <f>Database!E$10</f>
        <v>63</v>
      </c>
      <c r="M13" s="253">
        <f>IF(Database!E27=0,0,(Database!$E$12*Database!V27+Database!AQ27+'Steel Column'!J45))</f>
        <v>102.02566319999998</v>
      </c>
      <c r="N13" s="253">
        <f>Database!$E$12*Database!W27+Database!AR27</f>
        <v>90</v>
      </c>
      <c r="O13" s="73">
        <f>Database!E$9</f>
        <v>32</v>
      </c>
      <c r="P13" s="253">
        <f>IF(Database!E27=0,0,Database!E$12*Database!T27+Database!AO27+'Steel Column'!J54)</f>
        <v>78.483711599999992</v>
      </c>
      <c r="Q13" s="253">
        <f>(Database!$E$12*Database!U27+Database!AP27)</f>
        <v>45</v>
      </c>
      <c r="R13" s="73">
        <f>Database!E$8</f>
        <v>4</v>
      </c>
    </row>
    <row r="14" spans="2:18" ht="12.75" thickBot="1">
      <c r="B14" s="172"/>
      <c r="C14" s="172"/>
      <c r="D14" s="172"/>
      <c r="E14" s="172"/>
      <c r="F14" s="172"/>
      <c r="G14" s="172"/>
      <c r="H14" s="172"/>
      <c r="I14" s="172"/>
      <c r="J14" s="172"/>
      <c r="K14" s="172"/>
      <c r="L14" s="172"/>
      <c r="M14" s="172"/>
      <c r="N14" s="172"/>
      <c r="O14" s="172"/>
      <c r="P14" s="172"/>
      <c r="Q14" s="172"/>
      <c r="R14" s="172"/>
    </row>
    <row r="15" spans="2:18"/>
    <row r="16" spans="2:18" ht="18">
      <c r="B16" s="128" t="s">
        <v>1212</v>
      </c>
      <c r="I16" s="219"/>
      <c r="L16" s="219"/>
    </row>
    <row r="17" spans="1:18"/>
    <row r="18" spans="1:18">
      <c r="B18" s="150" t="s">
        <v>1213</v>
      </c>
      <c r="C18" s="255">
        <f>Summary!C17</f>
        <v>2</v>
      </c>
    </row>
    <row r="19" spans="1:18">
      <c r="B19" s="150" t="s">
        <v>637</v>
      </c>
      <c r="C19" s="255">
        <f>Summary!C18</f>
        <v>3</v>
      </c>
      <c r="D19" s="150" t="s">
        <v>15</v>
      </c>
      <c r="N19" s="187"/>
      <c r="O19" s="187"/>
      <c r="P19" s="187"/>
      <c r="Q19" s="187"/>
      <c r="R19" s="187"/>
    </row>
    <row r="20" spans="1:18">
      <c r="N20" s="187"/>
      <c r="O20" s="187"/>
      <c r="P20" s="187"/>
      <c r="Q20" s="187"/>
      <c r="R20" s="187"/>
    </row>
    <row r="21" spans="1:18">
      <c r="B21" s="150" t="s">
        <v>14</v>
      </c>
      <c r="C21" s="255">
        <f>Summary!C13</f>
        <v>6</v>
      </c>
      <c r="D21" s="150" t="s">
        <v>15</v>
      </c>
      <c r="N21" s="187"/>
      <c r="O21" s="187"/>
      <c r="P21" s="187"/>
      <c r="Q21" s="187"/>
      <c r="R21" s="187"/>
    </row>
    <row r="22" spans="1:18">
      <c r="B22" s="150" t="s">
        <v>16</v>
      </c>
      <c r="C22" s="255">
        <f>Summary!C14</f>
        <v>6</v>
      </c>
      <c r="D22" s="150" t="s">
        <v>15</v>
      </c>
      <c r="N22" s="187"/>
      <c r="O22" s="187"/>
      <c r="P22" s="187"/>
      <c r="Q22" s="187"/>
      <c r="R22" s="187"/>
    </row>
    <row r="23" spans="1:18">
      <c r="B23" s="150" t="s">
        <v>50</v>
      </c>
      <c r="C23" s="255">
        <f>Summary!C15</f>
        <v>10</v>
      </c>
      <c r="N23" s="187"/>
      <c r="O23" s="187"/>
      <c r="P23" s="187"/>
      <c r="Q23" s="187"/>
      <c r="R23" s="187"/>
    </row>
    <row r="24" spans="1:18">
      <c r="B24" s="150" t="s">
        <v>54</v>
      </c>
      <c r="C24" s="255">
        <f>Summary!C16</f>
        <v>8</v>
      </c>
      <c r="N24" s="187"/>
      <c r="O24" s="187"/>
      <c r="P24" s="187"/>
      <c r="Q24" s="187"/>
      <c r="R24" s="187"/>
    </row>
    <row r="25" spans="1:18">
      <c r="B25" s="150" t="s">
        <v>638</v>
      </c>
      <c r="C25" s="255">
        <f>Database!E8</f>
        <v>4</v>
      </c>
      <c r="L25" s="219"/>
      <c r="N25" s="187"/>
      <c r="O25" s="187"/>
      <c r="P25" s="187"/>
      <c r="Q25" s="187"/>
      <c r="R25" s="187"/>
    </row>
    <row r="26" spans="1:18">
      <c r="B26" s="150" t="s">
        <v>639</v>
      </c>
      <c r="C26" s="255">
        <f>Database!E9</f>
        <v>32</v>
      </c>
      <c r="L26" s="219"/>
      <c r="N26" s="187"/>
      <c r="O26" s="187"/>
      <c r="P26" s="187"/>
      <c r="Q26" s="187"/>
      <c r="R26" s="187"/>
    </row>
    <row r="27" spans="1:18">
      <c r="B27" s="150" t="s">
        <v>640</v>
      </c>
      <c r="C27" s="255">
        <f>Database!E10</f>
        <v>63</v>
      </c>
      <c r="L27" s="219"/>
      <c r="N27" s="187"/>
      <c r="O27" s="187"/>
      <c r="P27" s="187"/>
      <c r="Q27" s="187"/>
      <c r="R27" s="187"/>
    </row>
    <row r="28" spans="1:18">
      <c r="B28" s="150" t="s">
        <v>641</v>
      </c>
      <c r="C28" s="256">
        <f>C21*C22*C23*C24</f>
        <v>2880</v>
      </c>
      <c r="D28" s="150" t="s">
        <v>642</v>
      </c>
      <c r="N28" s="187"/>
      <c r="O28" s="187"/>
      <c r="P28" s="187"/>
      <c r="Q28" s="187"/>
      <c r="R28" s="187"/>
    </row>
    <row r="29" spans="1:18">
      <c r="N29" s="187"/>
      <c r="O29" s="187"/>
      <c r="P29" s="187"/>
      <c r="Q29" s="187"/>
      <c r="R29" s="187"/>
    </row>
    <row r="30" spans="1:18">
      <c r="B30" s="150" t="s">
        <v>1214</v>
      </c>
      <c r="D30" s="150">
        <f>IFERROR(MATCH(C19,'UC - Axial'!E13:U13,0),MATCH(C19,'UC - Axial'!E13:U13,1)+1)</f>
        <v>5</v>
      </c>
      <c r="N30" s="187"/>
      <c r="O30" s="187"/>
      <c r="P30" s="187"/>
      <c r="Q30" s="187"/>
      <c r="R30" s="187"/>
    </row>
    <row r="31" spans="1:18" s="217" customFormat="1" ht="24">
      <c r="B31" s="257" t="s">
        <v>183</v>
      </c>
      <c r="C31" s="257"/>
      <c r="E31" s="258" t="s">
        <v>22</v>
      </c>
      <c r="F31" s="259" t="s">
        <v>1215</v>
      </c>
      <c r="G31" s="259" t="s">
        <v>328</v>
      </c>
      <c r="H31" s="260" t="s">
        <v>1216</v>
      </c>
      <c r="I31" s="260" t="s">
        <v>1217</v>
      </c>
      <c r="J31" s="260" t="s">
        <v>1218</v>
      </c>
      <c r="K31" s="260" t="s">
        <v>1219</v>
      </c>
      <c r="L31" s="259" t="s">
        <v>1220</v>
      </c>
      <c r="M31" s="260" t="s">
        <v>1221</v>
      </c>
      <c r="N31" s="261"/>
      <c r="O31" s="261"/>
      <c r="P31" s="261"/>
      <c r="Q31" s="261"/>
      <c r="R31" s="261"/>
    </row>
    <row r="32" spans="1:18" s="217" customFormat="1">
      <c r="A32" s="1383"/>
      <c r="D32" s="150"/>
      <c r="E32" s="252" t="str">
        <f>Database!D23</f>
        <v>Non-Composite Rolled Steel with PCC Planks</v>
      </c>
      <c r="F32" s="178">
        <f>'Steel Column'!H9</f>
        <v>730.94621400000005</v>
      </c>
      <c r="G32" s="152" t="str">
        <f>N32&amp;" "&amp;O32&amp;" UC"</f>
        <v>203 x 203 x 60 UC</v>
      </c>
      <c r="H32" s="152" t="str">
        <f>RIGHT(O32,LEN(O32)-FIND("x",O32)-1)</f>
        <v>60</v>
      </c>
      <c r="I32" s="178">
        <f>C$27*H32*C$19/C$28</f>
        <v>3.9375</v>
      </c>
      <c r="J32" s="178">
        <f>(H32*9.81/1000)*C$18*C$19</f>
        <v>3.5316000000000001</v>
      </c>
      <c r="K32" s="178">
        <f>1.1*(H32*C$27*C$18*C$19)/1000</f>
        <v>24.948000000000004</v>
      </c>
      <c r="L32" s="152">
        <f>'UC - Axial'!Z60</f>
        <v>39</v>
      </c>
      <c r="M32" s="185" cm="1">
        <f t="array" ref="M32">INDEX('UC - Axial'!V$14:V$59,L32)*K32</f>
        <v>503.94960000000009</v>
      </c>
      <c r="N32" s="188" t="str" cm="1">
        <f t="array" ref="N32">INDEX('UC - Axial'!A$14:A$59,'Steel Column'!L32)</f>
        <v>203 x 203</v>
      </c>
      <c r="O32" s="188" t="str" cm="1">
        <f t="array" ref="O32">INDEX('UC - Axial'!B$14:B$59,'Steel Column'!L32)</f>
        <v>x 60</v>
      </c>
      <c r="P32" s="261"/>
      <c r="Q32" s="261"/>
      <c r="R32" s="261"/>
    </row>
    <row r="33" spans="1:18" s="217" customFormat="1">
      <c r="A33" s="1383"/>
      <c r="B33" s="150"/>
      <c r="C33" s="150"/>
      <c r="D33" s="150"/>
      <c r="E33" s="252" t="str">
        <f>Database!D24</f>
        <v>Composite Rolled Steel with Metal Decking</v>
      </c>
      <c r="F33" s="178">
        <f>'Steel Column'!H10</f>
        <v>621.32220720000009</v>
      </c>
      <c r="G33" s="152" t="str">
        <f>N33&amp;" "&amp;O33&amp;" UC"</f>
        <v>203 x 203 x 46 UC</v>
      </c>
      <c r="H33" s="152" t="str">
        <f>RIGHT(O33,LEN(O33)-FIND("x",O33)-1)</f>
        <v>46</v>
      </c>
      <c r="I33" s="178">
        <f>C$27*H33*C$19/C$28</f>
        <v>3.0187499999999998</v>
      </c>
      <c r="J33" s="178">
        <f>(H33*9.81/1000)*C$18*C$19</f>
        <v>2.7075600000000004</v>
      </c>
      <c r="K33" s="178">
        <f>1.1*(H33*C$27*C$18*C$19)/1000</f>
        <v>19.126800000000003</v>
      </c>
      <c r="L33" s="152">
        <f>'UC - Axial'!AE60</f>
        <v>41</v>
      </c>
      <c r="M33" s="185" cm="1">
        <f t="array" ref="M33">INDEX('UC - Axial'!V$14:V$59,L33)*K33</f>
        <v>493.47144000000009</v>
      </c>
      <c r="N33" s="188" t="str" cm="1">
        <f t="array" ref="N33">INDEX('UC - Axial'!A$14:A$59,'Steel Column'!L33)</f>
        <v>203 x 203</v>
      </c>
      <c r="O33" s="188" t="str" cm="1">
        <f t="array" ref="O33">INDEX('UC - Axial'!B$14:B$59,'Steel Column'!L33)</f>
        <v>x 46</v>
      </c>
      <c r="P33" s="261"/>
      <c r="Q33" s="261"/>
      <c r="R33" s="261"/>
    </row>
    <row r="34" spans="1:18" s="217" customFormat="1">
      <c r="A34" s="1383"/>
      <c r="B34" s="150"/>
      <c r="C34" s="150"/>
      <c r="D34" s="150"/>
      <c r="E34" s="252" t="str">
        <f>Database!D25</f>
        <v>Composite Cell Beams with Metal Decking</v>
      </c>
      <c r="F34" s="178">
        <f>'Steel Column'!H11</f>
        <v>631.12531083960016</v>
      </c>
      <c r="G34" s="152" t="str">
        <f>N34&amp;" "&amp;O34&amp;" UC"</f>
        <v>203 x 203 x 52 UC</v>
      </c>
      <c r="H34" s="152" t="str">
        <f>RIGHT(O34,LEN(O34)-FIND("x",O34)-1)</f>
        <v>52</v>
      </c>
      <c r="I34" s="178">
        <f>C$27*H34*C$19/C$28</f>
        <v>3.4125000000000001</v>
      </c>
      <c r="J34" s="178">
        <f>(H34*9.81/1000)*C$18*C$19</f>
        <v>3.0607199999999999</v>
      </c>
      <c r="K34" s="178">
        <f>1.1*(H34*C$27*C$18*C$19)/1000</f>
        <v>21.621600000000001</v>
      </c>
      <c r="L34" s="152">
        <f>'UC - Axial'!AJ60</f>
        <v>40</v>
      </c>
      <c r="M34" s="185" cm="1">
        <f t="array" ref="M34">INDEX('UC - Axial'!V$14:V$59,L34)*K34</f>
        <v>499.45896000000005</v>
      </c>
      <c r="N34" s="188" t="str" cm="1">
        <f t="array" ref="N34">INDEX('UC - Axial'!A$14:A$59,'Steel Column'!L34)</f>
        <v>203 x 203</v>
      </c>
      <c r="O34" s="188" t="str" cm="1">
        <f t="array" ref="O34">INDEX('UC - Axial'!B$14:B$59,'Steel Column'!L34)</f>
        <v>x 52</v>
      </c>
      <c r="P34" s="261"/>
      <c r="Q34" s="261"/>
      <c r="R34" s="261"/>
    </row>
    <row r="35" spans="1:18" s="217" customFormat="1">
      <c r="A35" s="1383"/>
      <c r="B35" s="150"/>
      <c r="C35" s="150"/>
      <c r="D35" s="150"/>
      <c r="E35" s="252" t="str">
        <f>Database!D26</f>
        <v>Steel Frame with CLT Slabs</v>
      </c>
      <c r="F35" s="178">
        <f>'Steel Column'!H12</f>
        <v>386.28351900000001</v>
      </c>
      <c r="G35" s="152" t="str">
        <f>N35&amp;" "&amp;O35&amp;" UC"</f>
        <v>152 x 152 x 44 UC</v>
      </c>
      <c r="H35" s="152" t="str">
        <f>RIGHT(O35,LEN(O35)-FIND("x",O35)-1)</f>
        <v>44</v>
      </c>
      <c r="I35" s="178">
        <f>C$27*H35*C$19/C$28</f>
        <v>2.8875000000000002</v>
      </c>
      <c r="J35" s="178">
        <f>(H35*9.81/1000)*C$18*C$19</f>
        <v>2.5898400000000001</v>
      </c>
      <c r="K35" s="178">
        <f>1.1*(H35*C$27*C$18*C$19)/1000</f>
        <v>18.295200000000001</v>
      </c>
      <c r="L35" s="152">
        <f>'UC - Axial'!AO60</f>
        <v>43</v>
      </c>
      <c r="M35" s="185" cm="1">
        <f t="array" ref="M35">INDEX('UC - Axial'!V$14:V$59,L35)*K35</f>
        <v>384.19920000000002</v>
      </c>
      <c r="N35" s="188" t="str" cm="1">
        <f t="array" ref="N35">INDEX('UC - Axial'!A$14:A$59,'Steel Column'!L35)</f>
        <v>152 x 152</v>
      </c>
      <c r="O35" s="188" t="str" cm="1">
        <f t="array" ref="O35">INDEX('UC - Axial'!B$14:B$59,'Steel Column'!L35)</f>
        <v>x 44</v>
      </c>
      <c r="P35" s="261"/>
      <c r="Q35" s="261"/>
      <c r="R35" s="261"/>
    </row>
    <row r="36" spans="1:18" s="217" customFormat="1">
      <c r="A36" s="1383"/>
      <c r="B36" s="150"/>
      <c r="C36" s="150"/>
      <c r="D36" s="150"/>
      <c r="E36" s="252" t="str">
        <f>Database!D27</f>
        <v>CLT, Glulam and Steel Column Hybrid</v>
      </c>
      <c r="F36" s="178">
        <f>'Steel Column'!H13</f>
        <v>394.90163064000001</v>
      </c>
      <c r="G36" s="152" t="str">
        <f>N36&amp;" "&amp;O36&amp;" UC"</f>
        <v>152 x 152 x 44 UC</v>
      </c>
      <c r="H36" s="152" t="str">
        <f>RIGHT(O36,LEN(O36)-FIND("x",O36)-1)</f>
        <v>44</v>
      </c>
      <c r="I36" s="178">
        <f>C$27*H36*C$19/C$28</f>
        <v>2.8875000000000002</v>
      </c>
      <c r="J36" s="178">
        <f>(H36*9.81/1000)*C$18*C$19</f>
        <v>2.5898400000000001</v>
      </c>
      <c r="K36" s="178">
        <f>1.1*(H36*C$27*C$18*C$19)/1000</f>
        <v>18.295200000000001</v>
      </c>
      <c r="L36" s="152">
        <f>'UC - Axial'!AT60</f>
        <v>43</v>
      </c>
      <c r="M36" s="185" cm="1">
        <f t="array" ref="M36">INDEX('UC - Axial'!V$14:V$59,L36)*K36</f>
        <v>384.19920000000002</v>
      </c>
      <c r="N36" s="188" t="str" cm="1">
        <f t="array" ref="N36">INDEX('UC - Axial'!A$14:A$59,'Steel Column'!L36)</f>
        <v>152 x 152</v>
      </c>
      <c r="O36" s="188" t="str" cm="1">
        <f t="array" ref="O36">INDEX('UC - Axial'!B$14:B$59,'Steel Column'!L36)</f>
        <v>x 44</v>
      </c>
      <c r="P36" s="261"/>
      <c r="Q36" s="261"/>
      <c r="R36" s="261"/>
    </row>
    <row r="37" spans="1:18" s="217" customFormat="1" ht="12" customHeight="1">
      <c r="B37" s="262"/>
      <c r="C37" s="262"/>
      <c r="D37" s="262"/>
      <c r="E37" s="262"/>
      <c r="F37" s="263"/>
      <c r="G37" s="263"/>
      <c r="H37" s="264"/>
      <c r="I37" s="264"/>
      <c r="J37" s="264"/>
      <c r="K37" s="264"/>
      <c r="L37" s="263"/>
      <c r="M37" s="265"/>
      <c r="N37" s="261"/>
      <c r="O37" s="261"/>
      <c r="P37" s="261"/>
      <c r="Q37" s="261"/>
      <c r="R37" s="261"/>
    </row>
    <row r="38" spans="1:18" s="217" customFormat="1" ht="3.95" customHeight="1">
      <c r="F38" s="265"/>
      <c r="G38" s="265"/>
      <c r="H38" s="266"/>
      <c r="I38" s="266"/>
      <c r="J38" s="266"/>
      <c r="K38" s="266"/>
      <c r="L38" s="265"/>
      <c r="M38" s="265"/>
      <c r="N38" s="261"/>
      <c r="O38" s="261"/>
      <c r="P38" s="261"/>
      <c r="Q38" s="261"/>
      <c r="R38" s="261"/>
    </row>
    <row r="39" spans="1:18" s="217" customFormat="1" ht="15">
      <c r="A39" s="267"/>
      <c r="B39" s="257" t="s">
        <v>187</v>
      </c>
      <c r="C39" s="257"/>
      <c r="D39" s="150"/>
      <c r="E39" s="252"/>
      <c r="F39" s="178"/>
      <c r="G39" s="152"/>
      <c r="H39" s="152"/>
      <c r="I39" s="178"/>
      <c r="J39" s="178"/>
      <c r="K39" s="178"/>
      <c r="L39" s="152"/>
      <c r="M39" s="265"/>
      <c r="N39" s="261"/>
      <c r="O39" s="261"/>
      <c r="P39" s="261"/>
      <c r="Q39" s="261"/>
      <c r="R39" s="261"/>
    </row>
    <row r="40" spans="1:18" s="217" customFormat="1" ht="3.95" customHeight="1">
      <c r="A40" s="267"/>
      <c r="B40" s="257"/>
      <c r="C40" s="257"/>
      <c r="D40" s="150"/>
      <c r="E40" s="252"/>
      <c r="F40" s="178"/>
      <c r="G40" s="152"/>
      <c r="H40" s="152"/>
      <c r="I40" s="178"/>
      <c r="J40" s="178"/>
      <c r="K40" s="178"/>
      <c r="L40" s="152"/>
      <c r="M40" s="265"/>
      <c r="N40" s="261"/>
      <c r="O40" s="261"/>
      <c r="P40" s="261"/>
      <c r="Q40" s="261"/>
      <c r="R40" s="261"/>
    </row>
    <row r="41" spans="1:18" s="217" customFormat="1">
      <c r="A41" s="1383"/>
      <c r="B41" s="150"/>
      <c r="C41" s="150"/>
      <c r="D41" s="150"/>
      <c r="E41" s="252" t="str">
        <f>Database!D23</f>
        <v>Non-Composite Rolled Steel with PCC Planks</v>
      </c>
      <c r="F41" s="178">
        <f>'Steel Column'!G9</f>
        <v>438.373107</v>
      </c>
      <c r="G41" s="152" t="str">
        <f>N41&amp;" "&amp;O41&amp;" UC"</f>
        <v>152 x 152 x 51 UC</v>
      </c>
      <c r="H41" s="152" t="str">
        <f>RIGHT(O41,LEN(O41)-FIND("x",O41)-1)</f>
        <v>51</v>
      </c>
      <c r="I41" s="178">
        <f>C$26*H41*C$19/C$28</f>
        <v>1.7</v>
      </c>
      <c r="J41" s="178">
        <f>(H41*9.81/1000)*C$18*C$19</f>
        <v>3.0018600000000002</v>
      </c>
      <c r="K41" s="178">
        <f>1.1*(H41*C$26*C$18*C$19)/1000</f>
        <v>10.7712</v>
      </c>
      <c r="L41" s="152">
        <f>'UC - Axial'!AW60</f>
        <v>42</v>
      </c>
      <c r="M41" s="185" cm="1">
        <f t="array" ref="M41">INDEX('UC - Axial'!V$14:V$59,L41)*K41</f>
        <v>197.11296000000002</v>
      </c>
      <c r="N41" s="188" t="str" cm="1">
        <f t="array" ref="N41">INDEX('UC - Axial'!A$14:A$59,'Steel Column'!L41)</f>
        <v>152 x 152</v>
      </c>
      <c r="O41" s="188" t="str" cm="1">
        <f t="array" ref="O41">INDEX('UC - Axial'!B$14:B$59,'Steel Column'!L41)</f>
        <v>x 51</v>
      </c>
      <c r="P41" s="261"/>
      <c r="Q41" s="261"/>
      <c r="R41" s="261"/>
    </row>
    <row r="42" spans="1:18" s="217" customFormat="1">
      <c r="A42" s="1383"/>
      <c r="B42" s="150"/>
      <c r="C42" s="150"/>
      <c r="D42" s="150"/>
      <c r="E42" s="252" t="str">
        <f>Database!D24</f>
        <v>Composite Rolled Steel with Metal Decking</v>
      </c>
      <c r="F42" s="178">
        <f>'Steel Column'!G10</f>
        <v>383.56110360000002</v>
      </c>
      <c r="G42" s="152" t="str">
        <f>N42&amp;" "&amp;O42&amp;" UC"</f>
        <v>152 x 152 x 44 UC</v>
      </c>
      <c r="H42" s="152" t="str">
        <f>RIGHT(O42,LEN(O42)-FIND("x",O42)-1)</f>
        <v>44</v>
      </c>
      <c r="I42" s="178">
        <f>C$26*H42*C$19/C$28</f>
        <v>1.4666666666666666</v>
      </c>
      <c r="J42" s="178">
        <f>(H42*9.81/1000)*C$18*C$19</f>
        <v>2.5898400000000001</v>
      </c>
      <c r="K42" s="178">
        <f>1.1*(H42*C$26*C$18*C$19)/1000</f>
        <v>9.2928000000000015</v>
      </c>
      <c r="L42" s="152">
        <f>'UC - Axial'!AZ60</f>
        <v>43</v>
      </c>
      <c r="M42" s="185" cm="1">
        <f t="array" ref="M42">INDEX('UC - Axial'!V$14:V$59,L42)*K42</f>
        <v>195.14880000000002</v>
      </c>
      <c r="N42" s="188" t="str" cm="1">
        <f t="array" ref="N42">INDEX('UC - Axial'!A$14:A$59,'Steel Column'!L42)</f>
        <v>152 x 152</v>
      </c>
      <c r="O42" s="188" t="str" cm="1">
        <f t="array" ref="O42">INDEX('UC - Axial'!B$14:B$59,'Steel Column'!L42)</f>
        <v>x 44</v>
      </c>
      <c r="P42" s="261"/>
      <c r="Q42" s="261"/>
      <c r="R42" s="261"/>
    </row>
    <row r="43" spans="1:18" s="217" customFormat="1">
      <c r="A43" s="1383"/>
      <c r="B43" s="150"/>
      <c r="C43" s="150"/>
      <c r="D43" s="150"/>
      <c r="E43" s="252" t="str">
        <f>Database!D25</f>
        <v>Composite Cell Beams with Metal Decking</v>
      </c>
      <c r="F43" s="178">
        <f>'Steel Column'!G11</f>
        <v>388.46265541980006</v>
      </c>
      <c r="G43" s="152" t="str">
        <f>N43&amp;" "&amp;O43&amp;" UC"</f>
        <v>152 x 152 x 44 UC</v>
      </c>
      <c r="H43" s="152" t="str">
        <f>RIGHT(O43,LEN(O43)-FIND("x",O43)-1)</f>
        <v>44</v>
      </c>
      <c r="I43" s="178">
        <f>C$26*H43*C$19/C$28</f>
        <v>1.4666666666666666</v>
      </c>
      <c r="J43" s="178">
        <f>(H43*9.81/1000)*C$18*C$19</f>
        <v>2.5898400000000001</v>
      </c>
      <c r="K43" s="178">
        <f>1.1*(H43*C$26*C$18*C$19)/1000</f>
        <v>9.2928000000000015</v>
      </c>
      <c r="L43" s="152">
        <f>'UC - Axial'!BC60</f>
        <v>43</v>
      </c>
      <c r="M43" s="185" cm="1">
        <f t="array" ref="M43">INDEX('UC - Axial'!V$14:V$59,L43)*K43</f>
        <v>195.14880000000002</v>
      </c>
      <c r="N43" s="188" t="str" cm="1">
        <f t="array" ref="N43">INDEX('UC - Axial'!A$14:A$59,'Steel Column'!L43)</f>
        <v>152 x 152</v>
      </c>
      <c r="O43" s="188" t="str" cm="1">
        <f t="array" ref="O43">INDEX('UC - Axial'!B$14:B$59,'Steel Column'!L43)</f>
        <v>x 44</v>
      </c>
      <c r="P43" s="261"/>
      <c r="Q43" s="261"/>
      <c r="R43" s="261"/>
    </row>
    <row r="44" spans="1:18" s="217" customFormat="1">
      <c r="A44" s="1383"/>
      <c r="B44" s="150"/>
      <c r="C44" s="150"/>
      <c r="D44" s="150"/>
      <c r="E44" s="252" t="str">
        <f>Database!D26</f>
        <v>Steel Frame with CLT Slabs</v>
      </c>
      <c r="F44" s="178">
        <f>'Steel Column'!G12</f>
        <v>266.04175950000001</v>
      </c>
      <c r="G44" s="152" t="str">
        <f>N44&amp;" "&amp;O44&amp;" UC"</f>
        <v>152 x 152 x 30 UC</v>
      </c>
      <c r="H44" s="152" t="str">
        <f>RIGHT(O44,LEN(O44)-FIND("x",O44)-1)</f>
        <v>30</v>
      </c>
      <c r="I44" s="178">
        <f>C$26*H44*C$19/C$28</f>
        <v>1</v>
      </c>
      <c r="J44" s="178">
        <f>(H44*9.81/1000)*C$18*C$19</f>
        <v>1.7658</v>
      </c>
      <c r="K44" s="178">
        <f>1.1*(H44*C$26*C$18*C$19)/1000</f>
        <v>6.3360000000000012</v>
      </c>
      <c r="L44" s="152">
        <f>'UC - Axial'!BF60</f>
        <v>45</v>
      </c>
      <c r="M44" s="185" cm="1">
        <f t="array" ref="M44">INDEX('UC - Axial'!V$14:V$59,L44)*K44</f>
        <v>190.08000000000004</v>
      </c>
      <c r="N44" s="188" t="str" cm="1">
        <f t="array" ref="N44">INDEX('UC - Axial'!A$14:A$59,'Steel Column'!L44)</f>
        <v>152 x 152</v>
      </c>
      <c r="O44" s="188" t="str" cm="1">
        <f t="array" ref="O44">INDEX('UC - Axial'!B$14:B$59,'Steel Column'!L44)</f>
        <v>x 30</v>
      </c>
      <c r="P44" s="261"/>
      <c r="Q44" s="261"/>
      <c r="R44" s="261"/>
    </row>
    <row r="45" spans="1:18" s="217" customFormat="1">
      <c r="A45" s="1383"/>
      <c r="B45" s="150"/>
      <c r="C45" s="150"/>
      <c r="D45" s="150"/>
      <c r="E45" s="252" t="str">
        <f>Database!D27</f>
        <v>CLT, Glulam and Steel Column Hybrid</v>
      </c>
      <c r="F45" s="178">
        <f>'Steel Column'!G13</f>
        <v>270.35081531999998</v>
      </c>
      <c r="G45" s="152" t="str">
        <f>N45&amp;" "&amp;O45&amp;" UC"</f>
        <v>152 x 152 x 30 UC</v>
      </c>
      <c r="H45" s="152" t="str">
        <f>RIGHT(O45,LEN(O45)-FIND("x",O45)-1)</f>
        <v>30</v>
      </c>
      <c r="I45" s="178">
        <f>C$26*H45*C$19/C$28</f>
        <v>1</v>
      </c>
      <c r="J45" s="178">
        <f>(H45*9.81/1000)*C$18*C$19</f>
        <v>1.7658</v>
      </c>
      <c r="K45" s="178">
        <f>1.1*(H45*C$26*C$18*C$19)/1000</f>
        <v>6.3360000000000012</v>
      </c>
      <c r="L45" s="152">
        <f>'UC - Axial'!BI60</f>
        <v>45</v>
      </c>
      <c r="M45" s="185" cm="1">
        <f t="array" ref="M45">INDEX('UC - Axial'!V$14:V$59,L45)*K45</f>
        <v>190.08000000000004</v>
      </c>
      <c r="N45" s="188" t="str" cm="1">
        <f t="array" ref="N45">INDEX('UC - Axial'!A$14:A$59,'Steel Column'!L45)</f>
        <v>152 x 152</v>
      </c>
      <c r="O45" s="188" t="str" cm="1">
        <f t="array" ref="O45">INDEX('UC - Axial'!B$14:B$59,'Steel Column'!L45)</f>
        <v>x 30</v>
      </c>
      <c r="P45" s="261"/>
      <c r="Q45" s="261"/>
      <c r="R45" s="261"/>
    </row>
    <row r="46" spans="1:18" s="217" customFormat="1" ht="12" customHeight="1">
      <c r="B46" s="262"/>
      <c r="C46" s="262"/>
      <c r="D46" s="262"/>
      <c r="E46" s="262"/>
      <c r="F46" s="263"/>
      <c r="G46" s="263"/>
      <c r="H46" s="264"/>
      <c r="I46" s="264"/>
      <c r="J46" s="264"/>
      <c r="K46" s="264"/>
      <c r="L46" s="263"/>
      <c r="M46" s="265"/>
      <c r="N46" s="261"/>
      <c r="O46" s="261"/>
      <c r="P46" s="261"/>
      <c r="Q46" s="261"/>
      <c r="R46" s="261"/>
    </row>
    <row r="47" spans="1:18" s="217" customFormat="1" ht="3.95" customHeight="1">
      <c r="F47" s="265"/>
      <c r="G47" s="265"/>
      <c r="H47" s="266"/>
      <c r="I47" s="266"/>
      <c r="J47" s="266"/>
      <c r="K47" s="266"/>
      <c r="L47" s="265"/>
      <c r="M47" s="265"/>
      <c r="N47" s="261"/>
      <c r="O47" s="261"/>
      <c r="P47" s="261"/>
      <c r="Q47" s="261"/>
      <c r="R47" s="261"/>
    </row>
    <row r="48" spans="1:18" s="217" customFormat="1" ht="15">
      <c r="A48" s="268"/>
      <c r="B48" s="257" t="s">
        <v>188</v>
      </c>
      <c r="C48" s="257"/>
      <c r="D48" s="150"/>
      <c r="E48" s="252"/>
      <c r="F48" s="178"/>
      <c r="G48" s="152"/>
      <c r="H48" s="152"/>
      <c r="I48" s="178"/>
      <c r="J48" s="178"/>
      <c r="K48" s="178"/>
      <c r="L48" s="152"/>
      <c r="M48" s="265"/>
      <c r="N48" s="261"/>
      <c r="O48" s="261"/>
      <c r="P48" s="261"/>
      <c r="Q48" s="261"/>
      <c r="R48" s="261"/>
    </row>
    <row r="49" spans="1:18" s="217" customFormat="1" ht="3.95" customHeight="1">
      <c r="A49" s="268"/>
      <c r="B49" s="257"/>
      <c r="C49" s="257"/>
      <c r="D49" s="150"/>
      <c r="E49" s="252"/>
      <c r="F49" s="178"/>
      <c r="G49" s="152"/>
      <c r="H49" s="152"/>
      <c r="I49" s="178"/>
      <c r="J49" s="178"/>
      <c r="K49" s="178"/>
      <c r="L49" s="152"/>
      <c r="M49" s="265"/>
      <c r="N49" s="261"/>
      <c r="O49" s="261"/>
      <c r="P49" s="261"/>
      <c r="Q49" s="261"/>
      <c r="R49" s="261"/>
    </row>
    <row r="50" spans="1:18" ht="12" customHeight="1">
      <c r="A50" s="1383"/>
      <c r="E50" s="252" t="str">
        <f>Database!D23</f>
        <v>Non-Composite Rolled Steel with PCC Planks</v>
      </c>
      <c r="F50" s="178">
        <f>'Steel Column'!F9</f>
        <v>255.63655350000002</v>
      </c>
      <c r="G50" s="152" t="str">
        <f>N50&amp;" "&amp;O50&amp;" UC"</f>
        <v>152 x 152 x 30 UC</v>
      </c>
      <c r="H50" s="152" t="str">
        <f>RIGHT(O50,LEN(O50)-FIND("x",O50)-1)</f>
        <v>30</v>
      </c>
      <c r="I50" s="178">
        <f>C$25*H50*C$19/C$28</f>
        <v>0.125</v>
      </c>
      <c r="J50" s="178">
        <f>(H50*9.81/1000)*C$18*C$19</f>
        <v>1.7658</v>
      </c>
      <c r="K50" s="178">
        <f>1.1*(H50*C$25*C$18*C$19)/1000</f>
        <v>0.79200000000000015</v>
      </c>
      <c r="L50" s="152">
        <f>'UC - Axial'!BL60</f>
        <v>45</v>
      </c>
      <c r="M50" s="185" cm="1">
        <f t="array" ref="M50">INDEX('UC - Axial'!V$14:V$59,L50)*K50</f>
        <v>23.760000000000005</v>
      </c>
      <c r="N50" s="188" t="str" cm="1">
        <f t="array" ref="N50">INDEX('UC - Axial'!A$14:A$59,'Steel Column'!L50)</f>
        <v>152 x 152</v>
      </c>
      <c r="O50" s="188" t="str" cm="1">
        <f t="array" ref="O50">INDEX('UC - Axial'!B$14:B$59,'Steel Column'!L50)</f>
        <v>x 30</v>
      </c>
      <c r="P50" s="187"/>
      <c r="Q50" s="187"/>
      <c r="R50" s="187"/>
    </row>
    <row r="51" spans="1:18">
      <c r="A51" s="1383"/>
      <c r="E51" s="252" t="str">
        <f>Database!D24</f>
        <v>Composite Rolled Steel with Metal Decking</v>
      </c>
      <c r="F51" s="178">
        <f>'Steel Column'!F10</f>
        <v>228.2305518</v>
      </c>
      <c r="G51" s="152" t="str">
        <f>N51&amp;" "&amp;O51&amp;" UC"</f>
        <v>152 x 152 x 30 UC</v>
      </c>
      <c r="H51" s="152" t="str">
        <f>RIGHT(O51,LEN(O51)-FIND("x",O51)-1)</f>
        <v>30</v>
      </c>
      <c r="I51" s="178">
        <f>C$25*H51*C$19/C$28</f>
        <v>0.125</v>
      </c>
      <c r="J51" s="178">
        <f>(H51*9.81/1000)*C$18*C$19</f>
        <v>1.7658</v>
      </c>
      <c r="K51" s="178">
        <f>1.1*(H51*C$25*C$18*C$19)/1000</f>
        <v>0.79200000000000015</v>
      </c>
      <c r="L51" s="152">
        <f>'UC - Axial'!BO60</f>
        <v>45</v>
      </c>
      <c r="M51" s="185" cm="1">
        <f t="array" ref="M51">INDEX('UC - Axial'!V$14:V$59,L51)*K51</f>
        <v>23.760000000000005</v>
      </c>
      <c r="N51" s="188" t="str" cm="1">
        <f t="array" ref="N51">INDEX('UC - Axial'!A$14:A$59,'Steel Column'!L51)</f>
        <v>152 x 152</v>
      </c>
      <c r="O51" s="188" t="str" cm="1">
        <f t="array" ref="O51">INDEX('UC - Axial'!B$14:B$59,'Steel Column'!L51)</f>
        <v>x 30</v>
      </c>
      <c r="P51" s="187"/>
      <c r="Q51" s="187"/>
      <c r="R51" s="187"/>
    </row>
    <row r="52" spans="1:18">
      <c r="A52" s="1383"/>
      <c r="E52" s="252" t="str">
        <f>Database!D25</f>
        <v>Composite Cell Beams with Metal Decking</v>
      </c>
      <c r="F52" s="178">
        <f>'Steel Column'!F11</f>
        <v>230.68132770990005</v>
      </c>
      <c r="G52" s="152" t="str">
        <f>N52&amp;" "&amp;O52&amp;" UC"</f>
        <v>152 x 152 x 30 UC</v>
      </c>
      <c r="H52" s="152" t="str">
        <f>RIGHT(O52,LEN(O52)-FIND("x",O52)-1)</f>
        <v>30</v>
      </c>
      <c r="I52" s="178">
        <f>C$25*H52*C$19/C$28</f>
        <v>0.125</v>
      </c>
      <c r="J52" s="178">
        <f>(H52*9.81/1000)*C$18*C$19</f>
        <v>1.7658</v>
      </c>
      <c r="K52" s="178">
        <f>1.1*(H52*C$25*C$18*C$19)/1000</f>
        <v>0.79200000000000015</v>
      </c>
      <c r="L52" s="152">
        <f>'UC - Axial'!BR60</f>
        <v>45</v>
      </c>
      <c r="M52" s="185" cm="1">
        <f t="array" ref="M52">INDEX('UC - Axial'!V$14:V$59,L52)*K52</f>
        <v>23.760000000000005</v>
      </c>
      <c r="N52" s="188" t="str" cm="1">
        <f t="array" ref="N52">INDEX('UC - Axial'!A$14:A$59,'Steel Column'!L52)</f>
        <v>152 x 152</v>
      </c>
      <c r="O52" s="188" t="str" cm="1">
        <f t="array" ref="O52">INDEX('UC - Axial'!B$14:B$59,'Steel Column'!L52)</f>
        <v>x 30</v>
      </c>
      <c r="P52" s="187"/>
      <c r="Q52" s="187"/>
      <c r="R52" s="187"/>
    </row>
    <row r="53" spans="1:18">
      <c r="A53" s="1383"/>
      <c r="E53" s="252" t="str">
        <f>Database!D26</f>
        <v>Steel Frame with CLT Slabs</v>
      </c>
      <c r="F53" s="178">
        <f>'Steel Column'!F12</f>
        <v>169.47087974999999</v>
      </c>
      <c r="G53" s="152" t="str">
        <f>N53&amp;" "&amp;O53&amp;" UC"</f>
        <v>152 x 152 x 23 UC</v>
      </c>
      <c r="H53" s="152" t="str">
        <f>RIGHT(O53,LEN(O53)-FIND("x",O53)-1)</f>
        <v>23</v>
      </c>
      <c r="I53" s="178">
        <f>C$25*H53*C$19/C$28</f>
        <v>9.583333333333334E-2</v>
      </c>
      <c r="J53" s="178">
        <f>(H53*9.81/1000)*C$18*C$19</f>
        <v>1.3537800000000002</v>
      </c>
      <c r="K53" s="178">
        <f>1.1*(H53*C$25*C$18*C$19)/1000</f>
        <v>0.60720000000000007</v>
      </c>
      <c r="L53" s="152">
        <f>'UC - Axial'!BU60</f>
        <v>46</v>
      </c>
      <c r="M53" s="185" cm="1">
        <f t="array" ref="M53">INDEX('UC - Axial'!V$14:V$59,L53)*K53</f>
        <v>23.498640000000005</v>
      </c>
      <c r="N53" s="188" t="str" cm="1">
        <f t="array" ref="N53">INDEX('UC - Axial'!A$14:A$59,'Steel Column'!L53)</f>
        <v>152 x 152</v>
      </c>
      <c r="O53" s="188" t="str" cm="1">
        <f t="array" ref="O53">INDEX('UC - Axial'!B$14:B$59,'Steel Column'!L53)</f>
        <v>x 23</v>
      </c>
      <c r="P53" s="187"/>
      <c r="Q53" s="187"/>
      <c r="R53" s="187"/>
    </row>
    <row r="54" spans="1:18">
      <c r="A54" s="1383"/>
      <c r="E54" s="252" t="str">
        <f>Database!D27</f>
        <v>CLT, Glulam and Steel Column Hybrid</v>
      </c>
      <c r="F54" s="178">
        <f>'Steel Column'!F13</f>
        <v>171.62540766000001</v>
      </c>
      <c r="G54" s="152" t="str">
        <f>N54&amp;" "&amp;O54&amp;" UC"</f>
        <v>152 x 152 x 23 UC</v>
      </c>
      <c r="H54" s="152" t="str">
        <f>RIGHT(O54,LEN(O54)-FIND("x",O54)-1)</f>
        <v>23</v>
      </c>
      <c r="I54" s="178">
        <f>C$25*H54*C$19/C$28</f>
        <v>9.583333333333334E-2</v>
      </c>
      <c r="J54" s="178">
        <f>(H54*9.81/1000)*C$18*C$19</f>
        <v>1.3537800000000002</v>
      </c>
      <c r="K54" s="178">
        <f>1.1*(H54*C$25*C$18*C$19)/1000</f>
        <v>0.60720000000000007</v>
      </c>
      <c r="L54" s="152">
        <f>'UC - Axial'!BX60</f>
        <v>46</v>
      </c>
      <c r="M54" s="185" cm="1">
        <f t="array" ref="M54">INDEX('UC - Axial'!V$14:V$59,L54)*K54</f>
        <v>23.498640000000005</v>
      </c>
      <c r="N54" s="188" t="str" cm="1">
        <f t="array" ref="N54">INDEX('UC - Axial'!A$14:A$59,'Steel Column'!L54)</f>
        <v>152 x 152</v>
      </c>
      <c r="O54" s="188" t="str" cm="1">
        <f t="array" ref="O54">INDEX('UC - Axial'!B$14:B$59,'Steel Column'!L54)</f>
        <v>x 23</v>
      </c>
      <c r="P54" s="187"/>
      <c r="Q54" s="187"/>
      <c r="R54" s="187"/>
    </row>
    <row r="55" spans="1:18" s="217" customFormat="1" ht="12" customHeight="1">
      <c r="B55" s="262"/>
      <c r="C55" s="262"/>
      <c r="D55" s="262"/>
      <c r="E55" s="262"/>
      <c r="F55" s="263"/>
      <c r="G55" s="263"/>
      <c r="H55" s="264"/>
      <c r="I55" s="264"/>
      <c r="J55" s="264"/>
      <c r="K55" s="264"/>
      <c r="L55" s="263"/>
      <c r="M55" s="265"/>
      <c r="N55" s="261"/>
      <c r="O55" s="261"/>
      <c r="P55" s="261"/>
      <c r="Q55" s="261"/>
      <c r="R55" s="261"/>
    </row>
    <row r="56" spans="1:18" s="217" customFormat="1" ht="3.95" customHeight="1">
      <c r="F56" s="265"/>
      <c r="G56" s="265"/>
      <c r="H56" s="266"/>
      <c r="I56" s="266"/>
      <c r="J56" s="266"/>
      <c r="K56" s="266"/>
      <c r="L56" s="265"/>
      <c r="M56" s="265"/>
      <c r="N56" s="261"/>
      <c r="O56" s="261"/>
      <c r="P56" s="261"/>
      <c r="Q56" s="261"/>
      <c r="R56" s="261"/>
    </row>
    <row r="57" spans="1:18" s="217" customFormat="1" ht="15">
      <c r="A57" s="268"/>
      <c r="B57" s="257" t="s">
        <v>302</v>
      </c>
      <c r="C57" s="257"/>
      <c r="D57" s="150"/>
      <c r="E57" s="252"/>
      <c r="F57" s="178"/>
      <c r="G57" s="152"/>
      <c r="H57" s="152"/>
      <c r="I57" s="178"/>
      <c r="J57" s="178"/>
      <c r="K57" s="178"/>
      <c r="L57" s="152"/>
      <c r="M57" s="265"/>
      <c r="N57" s="261"/>
      <c r="O57" s="261"/>
      <c r="P57" s="261"/>
      <c r="Q57" s="261"/>
      <c r="R57" s="261"/>
    </row>
    <row r="58" spans="1:18" s="246" customFormat="1">
      <c r="C58" s="150"/>
      <c r="D58" s="150"/>
      <c r="E58" s="150"/>
      <c r="F58" s="252" t="str">
        <f>Database!D23</f>
        <v>Non-Composite Rolled Steel with PCC Planks</v>
      </c>
      <c r="G58" s="152"/>
      <c r="H58" s="152"/>
      <c r="I58" s="178">
        <f t="shared" ref="I58:K62" si="0">SUM(I50,I41,I32)</f>
        <v>5.7625000000000002</v>
      </c>
      <c r="J58" s="178">
        <f t="shared" si="0"/>
        <v>8.2992600000000003</v>
      </c>
      <c r="K58" s="178">
        <f t="shared" si="0"/>
        <v>36.511200000000002</v>
      </c>
      <c r="M58" s="151">
        <f>M32+M41+M50</f>
        <v>724.82256000000007</v>
      </c>
      <c r="N58" s="188"/>
      <c r="O58" s="188"/>
      <c r="P58" s="187"/>
      <c r="Q58" s="187"/>
      <c r="R58" s="187"/>
    </row>
    <row r="59" spans="1:18" s="246" customFormat="1" ht="12" customHeight="1">
      <c r="C59" s="150"/>
      <c r="D59" s="150"/>
      <c r="E59" s="150"/>
      <c r="F59" s="252" t="str">
        <f>Database!D24</f>
        <v>Composite Rolled Steel with Metal Decking</v>
      </c>
      <c r="G59" s="152"/>
      <c r="H59" s="152"/>
      <c r="I59" s="178">
        <f t="shared" si="0"/>
        <v>4.6104166666666666</v>
      </c>
      <c r="J59" s="178">
        <f t="shared" si="0"/>
        <v>7.0632000000000001</v>
      </c>
      <c r="K59" s="178">
        <f t="shared" si="0"/>
        <v>29.211600000000004</v>
      </c>
      <c r="M59" s="151">
        <f t="shared" ref="M59:M62" si="1">M33+M42+M51</f>
        <v>712.38024000000007</v>
      </c>
      <c r="N59" s="187"/>
      <c r="O59" s="187"/>
      <c r="P59" s="187"/>
      <c r="Q59" s="187"/>
      <c r="R59" s="187"/>
    </row>
    <row r="60" spans="1:18" s="246" customFormat="1">
      <c r="C60" s="150"/>
      <c r="D60" s="150"/>
      <c r="E60" s="150"/>
      <c r="F60" s="252" t="str">
        <f>Database!D25</f>
        <v>Composite Cell Beams with Metal Decking</v>
      </c>
      <c r="G60" s="152"/>
      <c r="H60" s="152"/>
      <c r="I60" s="178">
        <f t="shared" si="0"/>
        <v>5.0041666666666664</v>
      </c>
      <c r="J60" s="178">
        <f t="shared" si="0"/>
        <v>7.4163600000000001</v>
      </c>
      <c r="K60" s="178">
        <f t="shared" si="0"/>
        <v>31.706400000000002</v>
      </c>
      <c r="M60" s="151">
        <f t="shared" si="1"/>
        <v>718.36776000000009</v>
      </c>
      <c r="N60" s="187"/>
      <c r="O60" s="187"/>
      <c r="P60" s="187"/>
      <c r="Q60" s="187"/>
      <c r="R60" s="187"/>
    </row>
    <row r="61" spans="1:18" s="246" customFormat="1">
      <c r="C61" s="150"/>
      <c r="D61" s="150"/>
      <c r="E61" s="150"/>
      <c r="F61" s="252" t="str">
        <f>Database!D26</f>
        <v>Steel Frame with CLT Slabs</v>
      </c>
      <c r="G61" s="152"/>
      <c r="H61" s="152"/>
      <c r="I61" s="178">
        <f t="shared" si="0"/>
        <v>3.9833333333333334</v>
      </c>
      <c r="J61" s="178">
        <f t="shared" si="0"/>
        <v>5.7094199999999997</v>
      </c>
      <c r="K61" s="178">
        <f t="shared" si="0"/>
        <v>25.238400000000002</v>
      </c>
      <c r="M61" s="151">
        <f t="shared" si="1"/>
        <v>597.77784000000008</v>
      </c>
      <c r="N61" s="187"/>
      <c r="O61" s="187"/>
      <c r="P61" s="187"/>
      <c r="Q61" s="187"/>
      <c r="R61" s="187"/>
    </row>
    <row r="62" spans="1:18" s="246" customFormat="1">
      <c r="C62" s="150"/>
      <c r="D62" s="150"/>
      <c r="E62" s="150"/>
      <c r="F62" s="252" t="str">
        <f>Database!D27</f>
        <v>CLT, Glulam and Steel Column Hybrid</v>
      </c>
      <c r="G62" s="152"/>
      <c r="H62" s="152"/>
      <c r="I62" s="178">
        <f t="shared" si="0"/>
        <v>3.9833333333333334</v>
      </c>
      <c r="J62" s="178">
        <f t="shared" si="0"/>
        <v>5.7094199999999997</v>
      </c>
      <c r="K62" s="178">
        <f t="shared" si="0"/>
        <v>25.238400000000002</v>
      </c>
      <c r="M62" s="151">
        <f t="shared" si="1"/>
        <v>597.77784000000008</v>
      </c>
      <c r="N62" s="187"/>
      <c r="O62" s="187"/>
      <c r="P62" s="187"/>
      <c r="Q62" s="187"/>
      <c r="R62" s="187"/>
    </row>
    <row r="63" spans="1:18" s="246" customFormat="1">
      <c r="M63" s="269"/>
      <c r="N63" s="187"/>
      <c r="O63" s="187"/>
      <c r="P63" s="187"/>
      <c r="Q63" s="187"/>
      <c r="R63" s="187"/>
    </row>
    <row r="64" spans="1:18" s="246" customFormat="1">
      <c r="M64" s="269"/>
      <c r="N64" s="187"/>
      <c r="O64" s="187"/>
      <c r="P64" s="187"/>
      <c r="Q64" s="187"/>
      <c r="R64" s="187"/>
    </row>
    <row r="65" spans="1:18">
      <c r="A65" s="267"/>
      <c r="E65" s="252"/>
      <c r="F65" s="178"/>
      <c r="G65" s="152"/>
      <c r="H65" s="152"/>
      <c r="I65" s="178"/>
      <c r="J65" s="178"/>
      <c r="K65" s="178"/>
      <c r="L65" s="152"/>
      <c r="M65" s="152"/>
      <c r="N65" s="188"/>
      <c r="O65" s="188"/>
      <c r="P65" s="187"/>
      <c r="Q65" s="187"/>
      <c r="R65" s="187"/>
    </row>
    <row r="66" spans="1:18" hidden="1">
      <c r="A66" s="267"/>
      <c r="E66" s="252"/>
      <c r="F66" s="178"/>
      <c r="G66" s="152"/>
      <c r="H66" s="152"/>
      <c r="I66" s="178"/>
      <c r="J66" s="178"/>
      <c r="K66" s="178"/>
      <c r="L66" s="152"/>
      <c r="M66" s="152"/>
      <c r="N66" s="152"/>
      <c r="O66" s="152"/>
    </row>
    <row r="67" spans="1:18" ht="12" hidden="1" customHeight="1">
      <c r="M67" s="152"/>
    </row>
    <row r="68" spans="1:18" hidden="1">
      <c r="M68" s="152"/>
    </row>
    <row r="69" spans="1:18" hidden="1">
      <c r="M69" s="152"/>
    </row>
    <row r="70" spans="1:18" hidden="1">
      <c r="M70" s="152"/>
    </row>
    <row r="71" spans="1:18" hidden="1">
      <c r="M71" s="152"/>
    </row>
    <row r="72" spans="1:18" hidden="1">
      <c r="A72" s="267"/>
      <c r="E72" s="252"/>
      <c r="F72" s="152"/>
      <c r="G72" s="152"/>
      <c r="H72" s="152"/>
      <c r="I72" s="178"/>
      <c r="J72" s="178"/>
      <c r="K72" s="178"/>
    </row>
    <row r="73" spans="1:18" hidden="1">
      <c r="A73" s="267"/>
      <c r="E73" s="252"/>
      <c r="F73" s="152"/>
      <c r="G73" s="152"/>
      <c r="H73" s="152"/>
      <c r="I73" s="178"/>
      <c r="J73" s="178"/>
      <c r="K73" s="178"/>
    </row>
    <row r="74" spans="1:18" hidden="1">
      <c r="A74" s="1383"/>
    </row>
    <row r="75" spans="1:18" hidden="1">
      <c r="A75" s="1383"/>
    </row>
    <row r="76" spans="1:18" hidden="1">
      <c r="A76" s="1383"/>
    </row>
    <row r="77" spans="1:18" hidden="1">
      <c r="A77" s="1383"/>
    </row>
    <row r="78" spans="1:18" hidden="1">
      <c r="A78" s="1383"/>
    </row>
    <row r="79" spans="1:18" hidden="1">
      <c r="B79" s="182"/>
      <c r="C79" s="182"/>
      <c r="D79" s="152"/>
      <c r="E79" s="152"/>
      <c r="F79" s="152"/>
      <c r="G79" s="152"/>
      <c r="H79" s="152"/>
      <c r="I79" s="152"/>
      <c r="J79" s="152"/>
      <c r="K79" s="152"/>
      <c r="L79" s="152"/>
      <c r="M79" s="152"/>
      <c r="N79" s="152"/>
    </row>
  </sheetData>
  <mergeCells count="7">
    <mergeCell ref="J7:L7"/>
    <mergeCell ref="M7:O7"/>
    <mergeCell ref="P7:R7"/>
    <mergeCell ref="A74:A78"/>
    <mergeCell ref="A50:A54"/>
    <mergeCell ref="A41:A45"/>
    <mergeCell ref="A32:A36"/>
  </mergeCells>
  <pageMargins left="0.7" right="0.7" top="0.75" bottom="0.75" header="0.3" footer="0.3"/>
  <pageSetup paperSize="9" orientation="portrait" horizont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3562D-FEA1-49FF-9590-6F62DAA4D190}">
  <sheetPr codeName="Sheet6"/>
  <dimension ref="A1:U90"/>
  <sheetViews>
    <sheetView topLeftCell="A26" workbookViewId="0">
      <selection activeCell="E48" sqref="E48"/>
    </sheetView>
  </sheetViews>
  <sheetFormatPr defaultColWidth="0" defaultRowHeight="12" zeroHeight="1"/>
  <cols>
    <col min="1" max="1" width="2.5703125" style="150" customWidth="1"/>
    <col min="2" max="2" width="20.85546875" style="150" bestFit="1" customWidth="1"/>
    <col min="3" max="8" width="10.5703125" style="150" customWidth="1"/>
    <col min="9" max="9" width="10.5703125" style="219" customWidth="1"/>
    <col min="10" max="11" width="10.5703125" style="150" customWidth="1"/>
    <col min="12" max="12" width="10.5703125" style="219" customWidth="1"/>
    <col min="13" max="15" width="10.5703125" style="150" customWidth="1"/>
    <col min="16" max="16" width="2.5703125" style="150" customWidth="1"/>
    <col min="17" max="17" width="13.140625" style="150" hidden="1" customWidth="1"/>
    <col min="18" max="21" width="9.42578125" style="150" hidden="1" customWidth="1"/>
    <col min="22" max="16384" width="9.140625" style="150" hidden="1"/>
  </cols>
  <sheetData>
    <row r="1" spans="2:15"/>
    <row r="2" spans="2:15" ht="34.5">
      <c r="B2" s="170" t="s">
        <v>1222</v>
      </c>
    </row>
    <row r="3" spans="2:15" ht="12" customHeight="1" thickBot="1">
      <c r="B3" s="171"/>
      <c r="C3" s="172"/>
      <c r="D3" s="172"/>
      <c r="E3" s="172"/>
      <c r="F3" s="172"/>
      <c r="G3" s="172"/>
      <c r="H3" s="172"/>
      <c r="I3" s="270"/>
      <c r="J3" s="172"/>
      <c r="K3" s="172"/>
      <c r="L3" s="270"/>
      <c r="M3" s="172"/>
      <c r="N3" s="172"/>
      <c r="O3" s="172"/>
    </row>
    <row r="4" spans="2:15" ht="12" customHeight="1">
      <c r="B4" s="170"/>
    </row>
    <row r="5" spans="2:15" ht="18">
      <c r="B5" s="128" t="s">
        <v>1209</v>
      </c>
      <c r="G5" s="128" t="s">
        <v>1223</v>
      </c>
      <c r="H5" s="128"/>
      <c r="I5" s="128"/>
      <c r="J5" s="128"/>
      <c r="K5" s="128"/>
      <c r="L5" s="128"/>
      <c r="M5" s="128"/>
      <c r="N5" s="128"/>
      <c r="O5" s="128"/>
    </row>
    <row r="6" spans="2:15" ht="12" customHeight="1">
      <c r="B6" s="128"/>
      <c r="G6" s="128"/>
      <c r="H6" s="128"/>
      <c r="I6" s="128"/>
      <c r="J6" s="128"/>
      <c r="K6" s="128"/>
      <c r="L6" s="128"/>
    </row>
    <row r="7" spans="2:15">
      <c r="B7" s="246"/>
      <c r="C7" s="259" t="s">
        <v>188</v>
      </c>
      <c r="D7" s="259" t="s">
        <v>187</v>
      </c>
      <c r="E7" s="259" t="s">
        <v>183</v>
      </c>
      <c r="F7" s="246"/>
      <c r="G7" s="1331" t="s">
        <v>183</v>
      </c>
      <c r="H7" s="1331"/>
      <c r="I7" s="1331"/>
      <c r="J7" s="1331" t="s">
        <v>187</v>
      </c>
      <c r="K7" s="1331"/>
      <c r="L7" s="1331"/>
      <c r="M7" s="1331" t="s">
        <v>188</v>
      </c>
      <c r="N7" s="1331"/>
      <c r="O7" s="1331"/>
    </row>
    <row r="8" spans="2:15" ht="24" customHeight="1">
      <c r="B8" s="271" t="s">
        <v>22</v>
      </c>
      <c r="C8" s="251" t="s">
        <v>645</v>
      </c>
      <c r="D8" s="251" t="s">
        <v>645</v>
      </c>
      <c r="E8" s="251" t="s">
        <v>645</v>
      </c>
      <c r="F8" s="246"/>
      <c r="G8" s="251" t="s">
        <v>696</v>
      </c>
      <c r="H8" s="251" t="s">
        <v>697</v>
      </c>
      <c r="I8" s="251" t="s">
        <v>698</v>
      </c>
      <c r="J8" s="251" t="s">
        <v>696</v>
      </c>
      <c r="K8" s="251" t="s">
        <v>697</v>
      </c>
      <c r="L8" s="251" t="s">
        <v>699</v>
      </c>
      <c r="M8" s="251" t="s">
        <v>696</v>
      </c>
      <c r="N8" s="251" t="s">
        <v>697</v>
      </c>
      <c r="O8" s="251" t="s">
        <v>700</v>
      </c>
    </row>
    <row r="9" spans="2:15">
      <c r="B9" s="182" t="str">
        <f>Database!D17</f>
        <v>RC Flat Slab</v>
      </c>
      <c r="C9" s="253">
        <f>Database!E$12*(1.35*Database!T17+1.5*Database!U17)</f>
        <v>412.17508125000001</v>
      </c>
      <c r="D9" s="253">
        <f>Database!E$12*(1.35*Database!V17+1.5*Database!W17)</f>
        <v>641.94508125000004</v>
      </c>
      <c r="E9" s="253">
        <f>Database!E$12*(1.35*Database!X17+1.5*Database!Y17)</f>
        <v>909.06569999999999</v>
      </c>
      <c r="G9" s="253">
        <f>IF(Database!E17=0,0,Database!X17*Database!E$12+Database!AS17+'RC Column'!L36)</f>
        <v>482.75700000000001</v>
      </c>
      <c r="H9" s="253">
        <f>Database!Y17*Database!E$12+Database!AT17</f>
        <v>180</v>
      </c>
      <c r="I9" s="73">
        <f>Database!E$10</f>
        <v>63</v>
      </c>
      <c r="J9" s="253">
        <f>IF(Database!E17=0,0,(Database!$E$12*Database!V17+Database!AQ17+'RC Column'!L44))</f>
        <v>384.88987500000002</v>
      </c>
      <c r="K9" s="253">
        <f>Database!$E$12*Database!W17+Database!AR17</f>
        <v>90</v>
      </c>
      <c r="L9" s="73">
        <f>Database!E$9</f>
        <v>32</v>
      </c>
      <c r="M9" s="253">
        <f>IF(Database!E17=0,0,Database!$E$12*Database!T17+Database!AO17+'RC Column'!L52)</f>
        <v>264.68987500000003</v>
      </c>
      <c r="N9" s="253">
        <f>(Database!$E$12*Database!U17+Database!AP17)</f>
        <v>45</v>
      </c>
      <c r="O9" s="73">
        <f>Database!E$8</f>
        <v>4</v>
      </c>
    </row>
    <row r="10" spans="2:15">
      <c r="B10" s="182" t="str">
        <f>Database!D18</f>
        <v>PT RC Flat Slab</v>
      </c>
      <c r="C10" s="253">
        <f>Database!E$12*(1.35*Database!T18+1.5*Database!U18)</f>
        <v>405.26308125000003</v>
      </c>
      <c r="D10" s="253">
        <f>Database!E$12*(1.35*Database!V18+1.5*Database!W18)</f>
        <v>628.33708124999998</v>
      </c>
      <c r="E10" s="253">
        <f>Database!E$12*(1.35*Database!X18+1.5*Database!Y18)</f>
        <v>882.33570000000009</v>
      </c>
      <c r="G10" s="253">
        <f>IF(Database!E18=0,0,Database!X18*Database!E$12+Database!AS18+'RC Column'!L37)</f>
        <v>462.95699999999999</v>
      </c>
      <c r="H10" s="253">
        <f>Database!Y18*Database!E$12+Database!AT18</f>
        <v>180</v>
      </c>
      <c r="I10" s="73">
        <f>Database!E$10</f>
        <v>63</v>
      </c>
      <c r="J10" s="253">
        <f>IF(Database!E18=0,0,(Database!$E$12*Database!V18+Database!AQ18+'RC Column'!L45))</f>
        <v>374.80987499999998</v>
      </c>
      <c r="K10" s="253">
        <f>Database!$E$12*Database!W18+Database!AR18</f>
        <v>90</v>
      </c>
      <c r="L10" s="73">
        <f>Database!E$9</f>
        <v>32</v>
      </c>
      <c r="M10" s="253">
        <f>IF(Database!E18=0,0,Database!$E$12*Database!T18+Database!AO18+'RC Column'!L53)</f>
        <v>259.56987500000002</v>
      </c>
      <c r="N10" s="253">
        <f>(Database!$E$12*Database!U18+Database!AP18)</f>
        <v>45</v>
      </c>
      <c r="O10" s="73">
        <f>Database!E$8</f>
        <v>4</v>
      </c>
    </row>
    <row r="11" spans="2:15">
      <c r="B11" s="182" t="str">
        <f>Database!D19</f>
        <v>RC Rib Slab</v>
      </c>
      <c r="C11" s="253">
        <f>Database!E$12*(1.35*Database!T19+1.5*Database!U19)</f>
        <v>402.97756935483812</v>
      </c>
      <c r="D11" s="253">
        <f>Database!E$12*(1.35*Database!V19+1.5*Database!W19)</f>
        <v>605.0388193548381</v>
      </c>
      <c r="E11" s="253">
        <f>Database!E$12*(1.35*Database!X19+1.5*Database!Y19)</f>
        <v>810.27610766128987</v>
      </c>
      <c r="G11" s="253">
        <f>IF(Database!E19=0,0,Database!X19*Database!E$12+Database!AS19+'RC Column'!L38)</f>
        <v>409.57952419354802</v>
      </c>
      <c r="H11" s="253">
        <f>Database!Y19*Database!E$12+Database!AT19</f>
        <v>180</v>
      </c>
      <c r="I11" s="73">
        <f>Database!E$10</f>
        <v>63</v>
      </c>
      <c r="J11" s="253">
        <f>IF(Database!E19=0,0,(Database!$E$12*Database!V19+Database!AQ19+'RC Column'!L46))</f>
        <v>357.55190322580597</v>
      </c>
      <c r="K11" s="253">
        <f>Database!$E$12*Database!W19+Database!AR19</f>
        <v>90</v>
      </c>
      <c r="L11" s="73">
        <f>Database!E$9</f>
        <v>32</v>
      </c>
      <c r="M11" s="253">
        <f>IF(Database!E19=0,0,Database!$E$12*Database!T19+Database!AO19+'RC Column'!L54)</f>
        <v>257.87690322580602</v>
      </c>
      <c r="N11" s="253">
        <f>(Database!$E$12*Database!U19+Database!AP19)</f>
        <v>45</v>
      </c>
      <c r="O11" s="73">
        <f>Database!E$8</f>
        <v>4</v>
      </c>
    </row>
    <row r="12" spans="2:15">
      <c r="B12" s="182" t="str">
        <f>Database!D20</f>
        <v>Two-way RC Slab</v>
      </c>
      <c r="C12" s="253">
        <f>Database!E$12*(1.35*Database!T20+1.5*Database!U20)</f>
        <v>399.50954999999999</v>
      </c>
      <c r="D12" s="253">
        <f>Database!E$12*(1.35*Database!V20+1.5*Database!W20)</f>
        <v>589.67730000000006</v>
      </c>
      <c r="E12" s="253">
        <f>Database!E$12*(1.35*Database!X20+1.5*Database!Y20)</f>
        <v>716.4153</v>
      </c>
      <c r="G12" s="253">
        <f>IF(Database!E20=0,0,Database!X20*Database!E$12+Database!AS20+'RC Column'!L39)</f>
        <v>340.053</v>
      </c>
      <c r="H12" s="253">
        <f>Database!Y20*Database!E$12+Database!AT20</f>
        <v>180</v>
      </c>
      <c r="I12" s="73">
        <f>Database!E$10</f>
        <v>63</v>
      </c>
      <c r="J12" s="253">
        <f>IF(Database!E20=0,0,(Database!$E$12*Database!V20+Database!AQ20+'RC Column'!L47))</f>
        <v>346.173</v>
      </c>
      <c r="K12" s="253">
        <f>Database!$E$12*Database!W20+Database!AR20</f>
        <v>90</v>
      </c>
      <c r="L12" s="73">
        <f>Database!E$9</f>
        <v>32</v>
      </c>
      <c r="M12" s="253">
        <f>IF(Database!E20=0,0,Database!$E$12*Database!T20+Database!AO20+'RC Column'!L55)</f>
        <v>255.30799999999999</v>
      </c>
      <c r="N12" s="253">
        <f>(Database!$E$12*Database!U20+Database!AP20)</f>
        <v>45</v>
      </c>
      <c r="O12" s="73">
        <f>Database!E$8</f>
        <v>4</v>
      </c>
    </row>
    <row r="13" spans="2:15">
      <c r="B13" s="182" t="str">
        <f>Database!D21</f>
        <v>One-Way Spanning RC</v>
      </c>
      <c r="C13" s="253">
        <f>Database!E$12*(1.35*Database!T21+1.5*Database!U21)</f>
        <v>405.81297000000006</v>
      </c>
      <c r="D13" s="253">
        <f>Database!E$12*(1.35*Database!V21+1.5*Database!W21)</f>
        <v>608.79897000000005</v>
      </c>
      <c r="E13" s="253">
        <f>Database!E$12*(1.35*Database!X21+1.5*Database!Y21)</f>
        <v>822.83472000000006</v>
      </c>
      <c r="G13" s="253">
        <f>IF(Database!E21=0,0,Database!X21*Database!E$12+Database!AS21+'RC Column'!L40)</f>
        <v>418.88220000000001</v>
      </c>
      <c r="H13" s="253">
        <f>Database!Y21*Database!E$12+Database!AT21</f>
        <v>180</v>
      </c>
      <c r="I13" s="73">
        <f>Database!E$10</f>
        <v>63</v>
      </c>
      <c r="J13" s="253">
        <f>IF(Database!E21=0,0,(Database!$E$12*Database!V21+Database!AQ21+'RC Column'!L48))</f>
        <v>360.3372</v>
      </c>
      <c r="K13" s="253">
        <f>Database!$E$12*Database!W21+Database!AR21</f>
        <v>90</v>
      </c>
      <c r="L13" s="73">
        <f>Database!E$9</f>
        <v>32</v>
      </c>
      <c r="M13" s="253">
        <f>IF(Database!E21=0,0,Database!$E$12*Database!T21+Database!AO21+'RC Column'!L56)</f>
        <v>259.97720000000004</v>
      </c>
      <c r="N13" s="253">
        <f>(Database!$E$12*Database!U21+Database!AP21)</f>
        <v>45</v>
      </c>
      <c r="O13" s="73">
        <f>Database!E$8</f>
        <v>4</v>
      </c>
    </row>
    <row r="14" spans="2:15">
      <c r="B14" s="182" t="str">
        <f>Database!D22</f>
        <v>Precast Hollowcore with In-situ RC Beams</v>
      </c>
      <c r="C14" s="253">
        <f>Database!E$12*(1.35*Database!T22+1.5*Database!U22)</f>
        <v>408.21030000000002</v>
      </c>
      <c r="D14" s="253">
        <f>Database!E$12*(1.35*Database!V22+1.5*Database!W22)</f>
        <v>740.47905000000003</v>
      </c>
      <c r="E14" s="253">
        <f>Database!E$12*(1.35*Database!X22+1.5*Database!Y22)</f>
        <v>1007.71155</v>
      </c>
      <c r="G14" s="253">
        <f>IF(Database!E22=0,0,Database!X22*Database!E$12+Database!AS22+'RC Column'!L41)</f>
        <v>555.82799999999997</v>
      </c>
      <c r="H14" s="253">
        <f>Database!Y22*Database!E$12+Database!AT22</f>
        <v>180</v>
      </c>
      <c r="I14" s="73">
        <f>Database!E$10</f>
        <v>63</v>
      </c>
      <c r="J14" s="253">
        <f>IF(Database!E22=0,0,(Database!$E$12*Database!V22+Database!AQ22+'RC Column'!L49))</f>
        <v>457.87799999999999</v>
      </c>
      <c r="K14" s="253">
        <f>Database!$E$12*Database!W22+Database!AR22</f>
        <v>90</v>
      </c>
      <c r="L14" s="73">
        <f>Database!E$9</f>
        <v>32</v>
      </c>
      <c r="M14" s="253">
        <f>IF(Database!E22=0,0,Database!$E$12*Database!T22+Database!AO22+'RC Column'!L57)</f>
        <v>261.75299999999999</v>
      </c>
      <c r="N14" s="253">
        <f>(Database!$E$12*Database!U22+Database!AP22)</f>
        <v>45</v>
      </c>
      <c r="O14" s="73">
        <f>Database!E$8</f>
        <v>4</v>
      </c>
    </row>
    <row r="15" spans="2:15" ht="12.75" thickBot="1">
      <c r="B15" s="172"/>
      <c r="C15" s="172"/>
      <c r="D15" s="172"/>
      <c r="E15" s="172"/>
      <c r="F15" s="172"/>
      <c r="G15" s="172"/>
      <c r="H15" s="172"/>
      <c r="I15" s="270"/>
      <c r="J15" s="172"/>
      <c r="K15" s="172"/>
      <c r="L15" s="270"/>
      <c r="M15" s="172"/>
      <c r="N15" s="172"/>
      <c r="O15" s="172"/>
    </row>
    <row r="16" spans="2:15"/>
    <row r="17" spans="2:12" ht="18">
      <c r="B17" s="128" t="s">
        <v>1212</v>
      </c>
    </row>
    <row r="18" spans="2:12"/>
    <row r="19" spans="2:12" ht="18">
      <c r="B19" s="150" t="s">
        <v>634</v>
      </c>
      <c r="C19" s="272" t="s">
        <v>635</v>
      </c>
      <c r="F19" s="128"/>
      <c r="L19" s="150"/>
    </row>
    <row r="20" spans="2:12">
      <c r="C20" s="182" t="str">
        <f>RIGHT(C19,2)</f>
        <v>40</v>
      </c>
      <c r="L20" s="150"/>
    </row>
    <row r="21" spans="2:12">
      <c r="B21" s="150" t="s">
        <v>636</v>
      </c>
      <c r="C21" s="273">
        <v>0.04</v>
      </c>
      <c r="L21" s="150"/>
    </row>
    <row r="22" spans="2:12">
      <c r="C22" s="182"/>
      <c r="L22" s="150"/>
    </row>
    <row r="23" spans="2:12">
      <c r="B23" s="150" t="s">
        <v>1213</v>
      </c>
      <c r="C23" s="272">
        <f>Summary!C17</f>
        <v>2</v>
      </c>
      <c r="L23" s="150"/>
    </row>
    <row r="24" spans="2:12">
      <c r="B24" s="150" t="s">
        <v>637</v>
      </c>
      <c r="C24" s="272">
        <f>Summary!C18</f>
        <v>3</v>
      </c>
      <c r="D24" s="150" t="s">
        <v>15</v>
      </c>
      <c r="L24" s="150"/>
    </row>
    <row r="25" spans="2:12">
      <c r="C25" s="182"/>
      <c r="L25" s="150"/>
    </row>
    <row r="26" spans="2:12">
      <c r="B26" s="150" t="s">
        <v>14</v>
      </c>
      <c r="C26" s="274">
        <f>Summary!C13</f>
        <v>6</v>
      </c>
      <c r="D26" s="150" t="s">
        <v>15</v>
      </c>
      <c r="L26" s="150"/>
    </row>
    <row r="27" spans="2:12">
      <c r="B27" s="150" t="s">
        <v>16</v>
      </c>
      <c r="C27" s="274">
        <f>Summary!C14</f>
        <v>6</v>
      </c>
      <c r="D27" s="150" t="s">
        <v>15</v>
      </c>
    </row>
    <row r="28" spans="2:12">
      <c r="B28" s="150" t="s">
        <v>50</v>
      </c>
      <c r="C28" s="274">
        <f>Summary!C15</f>
        <v>10</v>
      </c>
    </row>
    <row r="29" spans="2:12">
      <c r="B29" s="150" t="s">
        <v>54</v>
      </c>
      <c r="C29" s="274">
        <f>Summary!C16</f>
        <v>8</v>
      </c>
    </row>
    <row r="30" spans="2:12" ht="15">
      <c r="B30" s="150" t="s">
        <v>638</v>
      </c>
      <c r="C30" s="274">
        <f>Database!E8</f>
        <v>4</v>
      </c>
      <c r="G30" s="257"/>
    </row>
    <row r="31" spans="2:12">
      <c r="B31" s="150" t="s">
        <v>639</v>
      </c>
      <c r="C31" s="274">
        <f>Database!E9</f>
        <v>32</v>
      </c>
    </row>
    <row r="32" spans="2:12">
      <c r="B32" s="150" t="s">
        <v>640</v>
      </c>
      <c r="C32" s="182">
        <f>Database!E10</f>
        <v>63</v>
      </c>
    </row>
    <row r="33" spans="2:15">
      <c r="B33" s="150" t="s">
        <v>641</v>
      </c>
      <c r="C33" s="182">
        <f>C26*C27*C28*C29</f>
        <v>2880</v>
      </c>
    </row>
    <row r="34" spans="2:15">
      <c r="B34" s="150" t="s">
        <v>643</v>
      </c>
      <c r="C34" s="275">
        <f>IF(Summary!C9="Healthcare",120,60)</f>
        <v>60</v>
      </c>
      <c r="D34" s="150" t="s">
        <v>644</v>
      </c>
    </row>
    <row r="35" spans="2:15" s="265" customFormat="1" ht="36">
      <c r="D35" s="258" t="s">
        <v>22</v>
      </c>
      <c r="E35" s="260" t="s">
        <v>645</v>
      </c>
      <c r="F35" s="260" t="s">
        <v>646</v>
      </c>
      <c r="G35" s="259"/>
      <c r="H35" s="260" t="s">
        <v>647</v>
      </c>
      <c r="I35" s="260" t="s">
        <v>648</v>
      </c>
      <c r="J35" s="260" t="s">
        <v>649</v>
      </c>
      <c r="K35" s="260" t="s">
        <v>650</v>
      </c>
      <c r="L35" s="260" t="s">
        <v>651</v>
      </c>
      <c r="M35" s="260" t="s">
        <v>652</v>
      </c>
      <c r="N35" s="276" t="s">
        <v>653</v>
      </c>
      <c r="O35" s="260" t="s">
        <v>654</v>
      </c>
    </row>
    <row r="36" spans="2:15" ht="12.95" customHeight="1">
      <c r="B36" s="257" t="s">
        <v>183</v>
      </c>
      <c r="D36" s="252" t="str">
        <f>Database!D17</f>
        <v>RC Flat Slab</v>
      </c>
      <c r="E36" s="178">
        <f t="shared" ref="E36:E41" si="0">E9</f>
        <v>909.06569999999999</v>
      </c>
      <c r="F36" s="152">
        <f>IF(C34=60,250,IF(C34=120,350,600))</f>
        <v>250</v>
      </c>
      <c r="G36" s="277">
        <f t="shared" ref="G36:G41" si="1">E36/((0.4*(C$20)+0.75*500*C$21)/1000)</f>
        <v>29324.7</v>
      </c>
      <c r="H36" s="152">
        <f>MAX(F36,IF((SQRT(G36))&lt;MROUND(SQRT(G36),25),MROUND((SQRT(G36)),25),MROUND((SQRT(G36)),25)+25))</f>
        <v>250</v>
      </c>
      <c r="I36" s="152">
        <f>H36^2</f>
        <v>62500</v>
      </c>
      <c r="J36" s="178">
        <f t="shared" ref="J36:J41" si="2">(C$32*(H36^2/1000000*23*C$24*1000/9.81))/C$33</f>
        <v>9.6163035168195723</v>
      </c>
      <c r="K36" s="178">
        <f t="shared" ref="K36:K41" si="3">(C$31*7850*(H36^2/1000000)*C$21*C$24)/(C$33)</f>
        <v>0.65416666666666667</v>
      </c>
      <c r="L36" s="178">
        <f t="shared" ref="L36:L41" si="4">((H36/1000)^2*25)*C$23*C$24</f>
        <v>9.375</v>
      </c>
      <c r="M36" s="178">
        <f t="shared" ref="M36:M41" si="5">(I36/10^6)*C$23*C$24*C$32</f>
        <v>23.625</v>
      </c>
      <c r="N36" s="178">
        <f>M36*C$21*7850*0.001</f>
        <v>7.4182500000000013</v>
      </c>
      <c r="O36" s="178">
        <f t="shared" ref="O36:O41" si="6">C$32*C$23*C$24*4*H36/1000</f>
        <v>378</v>
      </c>
    </row>
    <row r="37" spans="2:15" ht="12.95" customHeight="1">
      <c r="C37" s="268"/>
      <c r="D37" s="252" t="str">
        <f>Database!D18</f>
        <v>PT RC Flat Slab</v>
      </c>
      <c r="E37" s="178">
        <f t="shared" si="0"/>
        <v>882.33570000000009</v>
      </c>
      <c r="F37" s="152">
        <f>F36</f>
        <v>250</v>
      </c>
      <c r="G37" s="277">
        <f t="shared" si="1"/>
        <v>28462.441935483876</v>
      </c>
      <c r="H37" s="152">
        <f t="shared" ref="H37:H41" si="7">MAX(F37,IF((SQRT(G37))&lt;MROUND(SQRT(G37),25),MROUND((SQRT(G37)),25),MROUND((SQRT(G37)),25)+25))</f>
        <v>250</v>
      </c>
      <c r="I37" s="152">
        <f t="shared" ref="I37:I41" si="8">H37^2</f>
        <v>62500</v>
      </c>
      <c r="J37" s="178">
        <f t="shared" si="2"/>
        <v>9.6163035168195723</v>
      </c>
      <c r="K37" s="178">
        <f t="shared" si="3"/>
        <v>0.65416666666666667</v>
      </c>
      <c r="L37" s="178">
        <f t="shared" si="4"/>
        <v>9.375</v>
      </c>
      <c r="M37" s="178">
        <f t="shared" si="5"/>
        <v>23.625</v>
      </c>
      <c r="N37" s="178">
        <f t="shared" ref="N37:N41" si="9">M37*C$21*7850*0.001</f>
        <v>7.4182500000000013</v>
      </c>
      <c r="O37" s="178">
        <f t="shared" si="6"/>
        <v>378</v>
      </c>
    </row>
    <row r="38" spans="2:15" ht="12.95" customHeight="1">
      <c r="C38" s="268"/>
      <c r="D38" s="252" t="str">
        <f>Database!D19</f>
        <v>RC Rib Slab</v>
      </c>
      <c r="E38" s="178">
        <f t="shared" si="0"/>
        <v>810.27610766128987</v>
      </c>
      <c r="F38" s="152">
        <f t="shared" ref="F38:F41" si="10">F37</f>
        <v>250</v>
      </c>
      <c r="G38" s="277">
        <f t="shared" si="1"/>
        <v>26137.938956815804</v>
      </c>
      <c r="H38" s="152">
        <f t="shared" si="7"/>
        <v>250</v>
      </c>
      <c r="I38" s="152">
        <f t="shared" si="8"/>
        <v>62500</v>
      </c>
      <c r="J38" s="178">
        <f t="shared" si="2"/>
        <v>9.6163035168195723</v>
      </c>
      <c r="K38" s="178">
        <f t="shared" si="3"/>
        <v>0.65416666666666667</v>
      </c>
      <c r="L38" s="178">
        <f t="shared" si="4"/>
        <v>9.375</v>
      </c>
      <c r="M38" s="178">
        <f t="shared" si="5"/>
        <v>23.625</v>
      </c>
      <c r="N38" s="178">
        <f t="shared" si="9"/>
        <v>7.4182500000000013</v>
      </c>
      <c r="O38" s="178">
        <f t="shared" si="6"/>
        <v>378</v>
      </c>
    </row>
    <row r="39" spans="2:15" ht="12.95" customHeight="1">
      <c r="C39" s="268"/>
      <c r="D39" s="252" t="str">
        <f>Database!D20</f>
        <v>Two-way RC Slab</v>
      </c>
      <c r="E39" s="178">
        <f t="shared" si="0"/>
        <v>716.4153</v>
      </c>
      <c r="F39" s="152">
        <f t="shared" si="10"/>
        <v>250</v>
      </c>
      <c r="G39" s="277">
        <f t="shared" si="1"/>
        <v>23110.170967741935</v>
      </c>
      <c r="H39" s="152">
        <f t="shared" si="7"/>
        <v>250</v>
      </c>
      <c r="I39" s="152">
        <f t="shared" si="8"/>
        <v>62500</v>
      </c>
      <c r="J39" s="178">
        <f t="shared" si="2"/>
        <v>9.6163035168195723</v>
      </c>
      <c r="K39" s="178">
        <f t="shared" si="3"/>
        <v>0.65416666666666667</v>
      </c>
      <c r="L39" s="178">
        <f t="shared" si="4"/>
        <v>9.375</v>
      </c>
      <c r="M39" s="178">
        <f t="shared" si="5"/>
        <v>23.625</v>
      </c>
      <c r="N39" s="178">
        <f t="shared" si="9"/>
        <v>7.4182500000000013</v>
      </c>
      <c r="O39" s="178">
        <f t="shared" si="6"/>
        <v>378</v>
      </c>
    </row>
    <row r="40" spans="2:15" ht="12.95" customHeight="1">
      <c r="C40" s="268"/>
      <c r="D40" s="252" t="str">
        <f>Database!D21</f>
        <v>One-Way Spanning RC</v>
      </c>
      <c r="E40" s="178">
        <f t="shared" si="0"/>
        <v>822.83472000000006</v>
      </c>
      <c r="F40" s="152">
        <f t="shared" si="10"/>
        <v>250</v>
      </c>
      <c r="G40" s="277">
        <f t="shared" si="1"/>
        <v>26543.055483870969</v>
      </c>
      <c r="H40" s="152">
        <f t="shared" si="7"/>
        <v>250</v>
      </c>
      <c r="I40" s="152">
        <f t="shared" si="8"/>
        <v>62500</v>
      </c>
      <c r="J40" s="178">
        <f t="shared" si="2"/>
        <v>9.6163035168195723</v>
      </c>
      <c r="K40" s="178">
        <f t="shared" si="3"/>
        <v>0.65416666666666667</v>
      </c>
      <c r="L40" s="178">
        <f t="shared" si="4"/>
        <v>9.375</v>
      </c>
      <c r="M40" s="178">
        <f t="shared" si="5"/>
        <v>23.625</v>
      </c>
      <c r="N40" s="178">
        <f t="shared" si="9"/>
        <v>7.4182500000000013</v>
      </c>
      <c r="O40" s="178">
        <f t="shared" si="6"/>
        <v>378</v>
      </c>
    </row>
    <row r="41" spans="2:15" ht="12.95" customHeight="1">
      <c r="C41" s="268"/>
      <c r="D41" s="252" t="str">
        <f>Database!D22</f>
        <v>Precast Hollowcore with In-situ RC Beams</v>
      </c>
      <c r="E41" s="178">
        <f t="shared" si="0"/>
        <v>1007.71155</v>
      </c>
      <c r="F41" s="152">
        <f t="shared" si="10"/>
        <v>250</v>
      </c>
      <c r="G41" s="277">
        <f t="shared" si="1"/>
        <v>32506.824193548386</v>
      </c>
      <c r="H41" s="152">
        <f t="shared" si="7"/>
        <v>250</v>
      </c>
      <c r="I41" s="152">
        <f t="shared" si="8"/>
        <v>62500</v>
      </c>
      <c r="J41" s="178">
        <f t="shared" si="2"/>
        <v>9.6163035168195723</v>
      </c>
      <c r="K41" s="178">
        <f t="shared" si="3"/>
        <v>0.65416666666666667</v>
      </c>
      <c r="L41" s="178">
        <f t="shared" si="4"/>
        <v>9.375</v>
      </c>
      <c r="M41" s="178">
        <f t="shared" si="5"/>
        <v>23.625</v>
      </c>
      <c r="N41" s="178">
        <f t="shared" si="9"/>
        <v>7.4182500000000013</v>
      </c>
      <c r="O41" s="178">
        <f t="shared" si="6"/>
        <v>378</v>
      </c>
    </row>
    <row r="42" spans="2:15" ht="12.95" customHeight="1">
      <c r="B42" s="179"/>
      <c r="C42" s="278"/>
      <c r="D42" s="279"/>
      <c r="E42" s="181"/>
      <c r="F42" s="184"/>
      <c r="G42" s="280"/>
      <c r="H42" s="184"/>
      <c r="I42" s="184"/>
      <c r="J42" s="181"/>
      <c r="K42" s="181"/>
      <c r="L42" s="181"/>
      <c r="M42" s="181"/>
      <c r="N42" s="181"/>
      <c r="O42" s="181"/>
    </row>
    <row r="43" spans="2:15" ht="12.95" customHeight="1">
      <c r="D43" s="252"/>
      <c r="E43" s="281"/>
      <c r="F43" s="281"/>
      <c r="G43" s="277"/>
      <c r="H43" s="152"/>
      <c r="I43" s="152"/>
      <c r="J43" s="178"/>
      <c r="K43" s="178"/>
      <c r="L43" s="178"/>
      <c r="M43" s="178"/>
      <c r="N43" s="178"/>
      <c r="O43" s="178"/>
    </row>
    <row r="44" spans="2:15" ht="12.95" customHeight="1">
      <c r="B44" s="257" t="s">
        <v>187</v>
      </c>
      <c r="D44" s="252" t="str">
        <f>Database!D17</f>
        <v>RC Flat Slab</v>
      </c>
      <c r="E44" s="178">
        <f t="shared" ref="E44:E49" si="11">D9</f>
        <v>641.94508125000004</v>
      </c>
      <c r="F44" s="152">
        <f>IF(C34=60,250,IF(C34=120,350,600))</f>
        <v>250</v>
      </c>
      <c r="G44" s="277">
        <f t="shared" ref="G44:G49" si="12">E44/((0.4*(C$20)+0.75*500*C$21)/1000)</f>
        <v>20707.905846774196</v>
      </c>
      <c r="H44" s="152">
        <f t="shared" ref="H44:H49" si="13">MAX(F44,IF((SQRT(G44))&lt;MROUND(SQRT(G44),25),MROUND((SQRT(G44)),25),MROUND((SQRT(G44)),25)+25))</f>
        <v>250</v>
      </c>
      <c r="I44" s="152">
        <f t="shared" ref="I44:I49" si="14">H44^2</f>
        <v>62500</v>
      </c>
      <c r="J44" s="178">
        <f t="shared" ref="J44:J49" si="15">(C$31*(H44^2/1000000*23*C$24*1000/9.81))/C$33</f>
        <v>4.8844716275908935</v>
      </c>
      <c r="K44" s="178">
        <f t="shared" ref="K44:K49" si="16">(C$31*7850*(H44^2/1000000)*C$21*C$24)/C$33</f>
        <v>0.65416666666666667</v>
      </c>
      <c r="L44" s="178">
        <f t="shared" ref="L44:L49" si="17">((H44/1000)^2*25)*C$23*C$24</f>
        <v>9.375</v>
      </c>
      <c r="M44" s="178">
        <f t="shared" ref="M44:M49" si="18">(I44/10^6)*C$23*C$24*C$31</f>
        <v>12</v>
      </c>
      <c r="N44" s="178">
        <f t="shared" ref="N44:N49" si="19">M44*C$21*7850*0.001</f>
        <v>3.7680000000000002</v>
      </c>
      <c r="O44" s="178">
        <f t="shared" ref="O44:O49" si="20">C$31*C$23*C$24*4*H44/1000</f>
        <v>192</v>
      </c>
    </row>
    <row r="45" spans="2:15" ht="12.95" customHeight="1">
      <c r="C45" s="268"/>
      <c r="D45" s="252" t="str">
        <f>Database!D18</f>
        <v>PT RC Flat Slab</v>
      </c>
      <c r="E45" s="178">
        <f t="shared" si="11"/>
        <v>628.33708124999998</v>
      </c>
      <c r="F45" s="152">
        <f>F44</f>
        <v>250</v>
      </c>
      <c r="G45" s="277">
        <f t="shared" si="12"/>
        <v>20268.938104838708</v>
      </c>
      <c r="H45" s="152">
        <f t="shared" si="13"/>
        <v>250</v>
      </c>
      <c r="I45" s="152">
        <f t="shared" si="14"/>
        <v>62500</v>
      </c>
      <c r="J45" s="178">
        <f t="shared" si="15"/>
        <v>4.8844716275908935</v>
      </c>
      <c r="K45" s="178">
        <f t="shared" si="16"/>
        <v>0.65416666666666667</v>
      </c>
      <c r="L45" s="178">
        <f t="shared" si="17"/>
        <v>9.375</v>
      </c>
      <c r="M45" s="178">
        <f t="shared" si="18"/>
        <v>12</v>
      </c>
      <c r="N45" s="178">
        <f t="shared" si="19"/>
        <v>3.7680000000000002</v>
      </c>
      <c r="O45" s="178">
        <f t="shared" si="20"/>
        <v>192</v>
      </c>
    </row>
    <row r="46" spans="2:15" ht="12.95" customHeight="1">
      <c r="C46" s="268"/>
      <c r="D46" s="252" t="str">
        <f>Database!D19</f>
        <v>RC Rib Slab</v>
      </c>
      <c r="E46" s="178">
        <f t="shared" si="11"/>
        <v>605.0388193548381</v>
      </c>
      <c r="F46" s="152">
        <f>F45</f>
        <v>250</v>
      </c>
      <c r="G46" s="277">
        <f t="shared" si="12"/>
        <v>19517.381269510908</v>
      </c>
      <c r="H46" s="152">
        <f t="shared" si="13"/>
        <v>250</v>
      </c>
      <c r="I46" s="152">
        <f t="shared" si="14"/>
        <v>62500</v>
      </c>
      <c r="J46" s="178">
        <f t="shared" si="15"/>
        <v>4.8844716275908935</v>
      </c>
      <c r="K46" s="178">
        <f t="shared" si="16"/>
        <v>0.65416666666666667</v>
      </c>
      <c r="L46" s="178">
        <f t="shared" si="17"/>
        <v>9.375</v>
      </c>
      <c r="M46" s="178">
        <f t="shared" si="18"/>
        <v>12</v>
      </c>
      <c r="N46" s="178">
        <f t="shared" si="19"/>
        <v>3.7680000000000002</v>
      </c>
      <c r="O46" s="178">
        <f t="shared" si="20"/>
        <v>192</v>
      </c>
    </row>
    <row r="47" spans="2:15" ht="12.95" customHeight="1">
      <c r="C47" s="268"/>
      <c r="D47" s="252" t="str">
        <f>Database!D20</f>
        <v>Two-way RC Slab</v>
      </c>
      <c r="E47" s="178">
        <f t="shared" si="11"/>
        <v>589.67730000000006</v>
      </c>
      <c r="F47" s="152">
        <f>F46</f>
        <v>250</v>
      </c>
      <c r="G47" s="277">
        <f t="shared" si="12"/>
        <v>19021.848387096776</v>
      </c>
      <c r="H47" s="152">
        <f t="shared" si="13"/>
        <v>250</v>
      </c>
      <c r="I47" s="152">
        <f t="shared" si="14"/>
        <v>62500</v>
      </c>
      <c r="J47" s="178">
        <f t="shared" si="15"/>
        <v>4.8844716275908935</v>
      </c>
      <c r="K47" s="178">
        <f t="shared" si="16"/>
        <v>0.65416666666666667</v>
      </c>
      <c r="L47" s="178">
        <f t="shared" si="17"/>
        <v>9.375</v>
      </c>
      <c r="M47" s="178">
        <f t="shared" si="18"/>
        <v>12</v>
      </c>
      <c r="N47" s="178">
        <f t="shared" si="19"/>
        <v>3.7680000000000002</v>
      </c>
      <c r="O47" s="178">
        <f t="shared" si="20"/>
        <v>192</v>
      </c>
    </row>
    <row r="48" spans="2:15" ht="12.95" customHeight="1">
      <c r="C48" s="268"/>
      <c r="D48" s="252" t="str">
        <f>Database!D21</f>
        <v>One-Way Spanning RC</v>
      </c>
      <c r="E48" s="178">
        <f t="shared" si="11"/>
        <v>608.79897000000005</v>
      </c>
      <c r="F48" s="152">
        <f>F47</f>
        <v>250</v>
      </c>
      <c r="G48" s="277">
        <f t="shared" si="12"/>
        <v>19638.676451612904</v>
      </c>
      <c r="H48" s="152">
        <f t="shared" si="13"/>
        <v>250</v>
      </c>
      <c r="I48" s="152">
        <f t="shared" si="14"/>
        <v>62500</v>
      </c>
      <c r="J48" s="178">
        <f t="shared" si="15"/>
        <v>4.8844716275908935</v>
      </c>
      <c r="K48" s="178">
        <f t="shared" si="16"/>
        <v>0.65416666666666667</v>
      </c>
      <c r="L48" s="178">
        <f t="shared" si="17"/>
        <v>9.375</v>
      </c>
      <c r="M48" s="178">
        <f t="shared" si="18"/>
        <v>12</v>
      </c>
      <c r="N48" s="178">
        <f t="shared" si="19"/>
        <v>3.7680000000000002</v>
      </c>
      <c r="O48" s="178">
        <f t="shared" si="20"/>
        <v>192</v>
      </c>
    </row>
    <row r="49" spans="1:15" ht="12.95" customHeight="1">
      <c r="C49" s="268"/>
      <c r="D49" s="252" t="str">
        <f>Database!D22</f>
        <v>Precast Hollowcore with In-situ RC Beams</v>
      </c>
      <c r="E49" s="178">
        <f t="shared" si="11"/>
        <v>740.47905000000003</v>
      </c>
      <c r="F49" s="152">
        <f>F48</f>
        <v>250</v>
      </c>
      <c r="G49" s="277">
        <f t="shared" si="12"/>
        <v>23886.420967741935</v>
      </c>
      <c r="H49" s="152">
        <f t="shared" si="13"/>
        <v>250</v>
      </c>
      <c r="I49" s="152">
        <f t="shared" si="14"/>
        <v>62500</v>
      </c>
      <c r="J49" s="178">
        <f t="shared" si="15"/>
        <v>4.8844716275908935</v>
      </c>
      <c r="K49" s="178">
        <f t="shared" si="16"/>
        <v>0.65416666666666667</v>
      </c>
      <c r="L49" s="178">
        <f t="shared" si="17"/>
        <v>9.375</v>
      </c>
      <c r="M49" s="178">
        <f t="shared" si="18"/>
        <v>12</v>
      </c>
      <c r="N49" s="178">
        <f t="shared" si="19"/>
        <v>3.7680000000000002</v>
      </c>
      <c r="O49" s="178">
        <f t="shared" si="20"/>
        <v>192</v>
      </c>
    </row>
    <row r="50" spans="1:15" ht="12.95" customHeight="1">
      <c r="B50" s="179"/>
      <c r="C50" s="179"/>
      <c r="D50" s="279"/>
      <c r="E50" s="282"/>
      <c r="F50" s="282"/>
      <c r="G50" s="280"/>
      <c r="H50" s="184"/>
      <c r="I50" s="184"/>
      <c r="J50" s="181"/>
      <c r="K50" s="181"/>
      <c r="L50" s="181"/>
      <c r="M50" s="181"/>
      <c r="N50" s="181"/>
      <c r="O50" s="181"/>
    </row>
    <row r="51" spans="1:15" ht="12.95" customHeight="1">
      <c r="D51" s="252"/>
      <c r="E51" s="281"/>
      <c r="F51" s="281"/>
      <c r="G51" s="277"/>
      <c r="H51" s="152"/>
      <c r="I51" s="152"/>
      <c r="J51" s="178"/>
      <c r="K51" s="178"/>
      <c r="L51" s="178"/>
      <c r="M51" s="178"/>
      <c r="N51" s="178"/>
      <c r="O51" s="178"/>
    </row>
    <row r="52" spans="1:15" ht="12.95" customHeight="1">
      <c r="B52" s="257" t="s">
        <v>188</v>
      </c>
      <c r="D52" s="252" t="str">
        <f>Database!D17</f>
        <v>RC Flat Slab</v>
      </c>
      <c r="E52" s="178">
        <f t="shared" ref="E52:E57" si="21">C9</f>
        <v>412.17508125000001</v>
      </c>
      <c r="F52" s="152">
        <f>IF(C34=60,250,IF(C34=120,350,600))</f>
        <v>250</v>
      </c>
      <c r="G52" s="277">
        <f t="shared" ref="G52:G57" si="22">E52/((0.4*(C$20)+0.75*500*C$21)/1000)</f>
        <v>13295.970362903226</v>
      </c>
      <c r="H52" s="152">
        <f>MAX(F52,IF((SQRT(G52))&lt;MROUND(SQRT(G52),25),MROUND((SQRT(G52)),25),MROUND((SQRT(G52)),25)+25))</f>
        <v>250</v>
      </c>
      <c r="I52" s="152">
        <f>H52^2</f>
        <v>62500</v>
      </c>
      <c r="J52" s="178">
        <f t="shared" ref="J52:J57" si="23">(C$30*(H52^2/1000000*23*C$24*1000/9.81))/C$33</f>
        <v>0.61055895344886169</v>
      </c>
      <c r="K52" s="178">
        <f t="shared" ref="K52:K57" si="24">(C$30*7850*(H52^2/1000000)*C$21*C$24)/C$33</f>
        <v>8.1770833333333334E-2</v>
      </c>
      <c r="L52" s="178">
        <f t="shared" ref="L52:L57" si="25">((H52/1000)^2*25)*C$23*C$24</f>
        <v>9.375</v>
      </c>
      <c r="M52" s="178">
        <f t="shared" ref="M52:M57" si="26">(I52/10^6)*C$23*C$24*C$30</f>
        <v>1.5</v>
      </c>
      <c r="N52" s="178">
        <f t="shared" ref="N52:N57" si="27">M52*C$21*7850*0.001</f>
        <v>0.47100000000000003</v>
      </c>
      <c r="O52" s="178">
        <f t="shared" ref="O52:O57" si="28">C$30*C$23*C$24*4*H52/1000</f>
        <v>24</v>
      </c>
    </row>
    <row r="53" spans="1:15" ht="12.95" customHeight="1">
      <c r="C53" s="268"/>
      <c r="D53" s="252" t="str">
        <f>Database!D18</f>
        <v>PT RC Flat Slab</v>
      </c>
      <c r="E53" s="178">
        <f t="shared" si="21"/>
        <v>405.26308125000003</v>
      </c>
      <c r="F53" s="152">
        <f>F52</f>
        <v>250</v>
      </c>
      <c r="G53" s="277">
        <f t="shared" si="22"/>
        <v>13073.002620967743</v>
      </c>
      <c r="H53" s="152">
        <f t="shared" ref="H53:H57" si="29">MAX(F53,IF((SQRT(G53))&lt;MROUND(SQRT(G53),25),MROUND((SQRT(G53)),25),MROUND((SQRT(G53)),25)+25))</f>
        <v>250</v>
      </c>
      <c r="I53" s="152">
        <f t="shared" ref="I53:I57" si="30">H53^2</f>
        <v>62500</v>
      </c>
      <c r="J53" s="178">
        <f t="shared" si="23"/>
        <v>0.61055895344886169</v>
      </c>
      <c r="K53" s="178">
        <f t="shared" si="24"/>
        <v>8.1770833333333334E-2</v>
      </c>
      <c r="L53" s="178">
        <f t="shared" si="25"/>
        <v>9.375</v>
      </c>
      <c r="M53" s="178">
        <f t="shared" si="26"/>
        <v>1.5</v>
      </c>
      <c r="N53" s="178">
        <f t="shared" si="27"/>
        <v>0.47100000000000003</v>
      </c>
      <c r="O53" s="178">
        <f t="shared" si="28"/>
        <v>24</v>
      </c>
    </row>
    <row r="54" spans="1:15" ht="12.95" customHeight="1">
      <c r="C54" s="268"/>
      <c r="D54" s="252" t="str">
        <f>Database!D19</f>
        <v>RC Rib Slab</v>
      </c>
      <c r="E54" s="178">
        <f t="shared" si="21"/>
        <v>402.97756935483812</v>
      </c>
      <c r="F54" s="152">
        <f>F53</f>
        <v>250</v>
      </c>
      <c r="G54" s="277">
        <f t="shared" si="22"/>
        <v>12999.27643080123</v>
      </c>
      <c r="H54" s="152">
        <f t="shared" si="29"/>
        <v>250</v>
      </c>
      <c r="I54" s="152">
        <f t="shared" si="30"/>
        <v>62500</v>
      </c>
      <c r="J54" s="178">
        <f t="shared" si="23"/>
        <v>0.61055895344886169</v>
      </c>
      <c r="K54" s="178">
        <f t="shared" si="24"/>
        <v>8.1770833333333334E-2</v>
      </c>
      <c r="L54" s="178">
        <f t="shared" si="25"/>
        <v>9.375</v>
      </c>
      <c r="M54" s="178">
        <f t="shared" si="26"/>
        <v>1.5</v>
      </c>
      <c r="N54" s="178">
        <f t="shared" si="27"/>
        <v>0.47100000000000003</v>
      </c>
      <c r="O54" s="178">
        <f t="shared" si="28"/>
        <v>24</v>
      </c>
    </row>
    <row r="55" spans="1:15" ht="12.95" customHeight="1">
      <c r="C55" s="268"/>
      <c r="D55" s="252" t="str">
        <f>Database!D20</f>
        <v>Two-way RC Slab</v>
      </c>
      <c r="E55" s="178">
        <f t="shared" si="21"/>
        <v>399.50954999999999</v>
      </c>
      <c r="F55" s="152">
        <f>F54</f>
        <v>250</v>
      </c>
      <c r="G55" s="277">
        <f t="shared" si="22"/>
        <v>12887.404838709677</v>
      </c>
      <c r="H55" s="152">
        <f t="shared" si="29"/>
        <v>250</v>
      </c>
      <c r="I55" s="152">
        <f t="shared" si="30"/>
        <v>62500</v>
      </c>
      <c r="J55" s="178">
        <f t="shared" si="23"/>
        <v>0.61055895344886169</v>
      </c>
      <c r="K55" s="178">
        <f t="shared" si="24"/>
        <v>8.1770833333333334E-2</v>
      </c>
      <c r="L55" s="178">
        <f t="shared" si="25"/>
        <v>9.375</v>
      </c>
      <c r="M55" s="178">
        <f t="shared" si="26"/>
        <v>1.5</v>
      </c>
      <c r="N55" s="178">
        <f t="shared" si="27"/>
        <v>0.47100000000000003</v>
      </c>
      <c r="O55" s="178">
        <f t="shared" si="28"/>
        <v>24</v>
      </c>
    </row>
    <row r="56" spans="1:15" ht="12.95" customHeight="1">
      <c r="C56" s="268"/>
      <c r="D56" s="252" t="str">
        <f>Database!D21</f>
        <v>One-Way Spanning RC</v>
      </c>
      <c r="E56" s="178">
        <f t="shared" si="21"/>
        <v>405.81297000000006</v>
      </c>
      <c r="F56" s="152">
        <f>F55</f>
        <v>250</v>
      </c>
      <c r="G56" s="277">
        <f t="shared" si="22"/>
        <v>13090.740967741938</v>
      </c>
      <c r="H56" s="152">
        <f t="shared" si="29"/>
        <v>250</v>
      </c>
      <c r="I56" s="152">
        <f t="shared" si="30"/>
        <v>62500</v>
      </c>
      <c r="J56" s="178">
        <f t="shared" si="23"/>
        <v>0.61055895344886169</v>
      </c>
      <c r="K56" s="178">
        <f t="shared" si="24"/>
        <v>8.1770833333333334E-2</v>
      </c>
      <c r="L56" s="178">
        <f t="shared" si="25"/>
        <v>9.375</v>
      </c>
      <c r="M56" s="178">
        <f t="shared" si="26"/>
        <v>1.5</v>
      </c>
      <c r="N56" s="178">
        <f t="shared" si="27"/>
        <v>0.47100000000000003</v>
      </c>
      <c r="O56" s="178">
        <f t="shared" si="28"/>
        <v>24</v>
      </c>
    </row>
    <row r="57" spans="1:15" ht="12.95" customHeight="1">
      <c r="C57" s="268"/>
      <c r="D57" s="252" t="str">
        <f>Database!D22</f>
        <v>Precast Hollowcore with In-situ RC Beams</v>
      </c>
      <c r="E57" s="178">
        <f t="shared" si="21"/>
        <v>408.21030000000002</v>
      </c>
      <c r="F57" s="152">
        <f>F56</f>
        <v>250</v>
      </c>
      <c r="G57" s="277">
        <f t="shared" si="22"/>
        <v>13168.074193548387</v>
      </c>
      <c r="H57" s="152">
        <f t="shared" si="29"/>
        <v>250</v>
      </c>
      <c r="I57" s="152">
        <f t="shared" si="30"/>
        <v>62500</v>
      </c>
      <c r="J57" s="178">
        <f t="shared" si="23"/>
        <v>0.61055895344886169</v>
      </c>
      <c r="K57" s="178">
        <f t="shared" si="24"/>
        <v>8.1770833333333334E-2</v>
      </c>
      <c r="L57" s="178">
        <f t="shared" si="25"/>
        <v>9.375</v>
      </c>
      <c r="M57" s="178">
        <f t="shared" si="26"/>
        <v>1.5</v>
      </c>
      <c r="N57" s="178">
        <f t="shared" si="27"/>
        <v>0.47100000000000003</v>
      </c>
      <c r="O57" s="178">
        <f t="shared" si="28"/>
        <v>24</v>
      </c>
    </row>
    <row r="58" spans="1:15">
      <c r="A58" s="267"/>
      <c r="B58" s="179"/>
      <c r="C58" s="179"/>
      <c r="D58" s="279"/>
      <c r="E58" s="282"/>
      <c r="F58" s="282"/>
      <c r="G58" s="280"/>
      <c r="H58" s="184"/>
      <c r="I58" s="184"/>
      <c r="J58" s="181"/>
      <c r="K58" s="181"/>
      <c r="L58" s="181"/>
      <c r="M58" s="181"/>
      <c r="N58" s="181"/>
      <c r="O58" s="181"/>
    </row>
    <row r="59" spans="1:15">
      <c r="A59" s="267"/>
      <c r="D59" s="252"/>
      <c r="E59" s="281"/>
      <c r="F59" s="281"/>
      <c r="G59" s="277"/>
      <c r="H59" s="152"/>
      <c r="I59" s="152"/>
      <c r="J59" s="178"/>
      <c r="K59" s="178"/>
      <c r="L59" s="178"/>
      <c r="M59" s="178"/>
      <c r="N59" s="178"/>
      <c r="O59" s="178"/>
    </row>
    <row r="60" spans="1:15" ht="12" customHeight="1">
      <c r="B60" s="257" t="s">
        <v>302</v>
      </c>
      <c r="D60" s="252" t="s">
        <v>86</v>
      </c>
      <c r="I60" s="150"/>
      <c r="J60" s="178">
        <f t="shared" ref="J60:K65" si="31">SUM(J52,J44,J36)</f>
        <v>15.111334097859327</v>
      </c>
      <c r="K60" s="178">
        <f t="shared" si="31"/>
        <v>1.3901041666666667</v>
      </c>
      <c r="L60" s="178"/>
      <c r="M60" s="178">
        <f t="shared" ref="M60:O65" si="32">SUM(M52,M44,M36)</f>
        <v>37.125</v>
      </c>
      <c r="N60" s="178">
        <f t="shared" si="32"/>
        <v>11.657250000000001</v>
      </c>
      <c r="O60" s="178">
        <f t="shared" si="32"/>
        <v>594</v>
      </c>
    </row>
    <row r="61" spans="1:15">
      <c r="D61" s="252" t="s">
        <v>876</v>
      </c>
      <c r="I61" s="150"/>
      <c r="J61" s="178">
        <f t="shared" si="31"/>
        <v>15.111334097859327</v>
      </c>
      <c r="K61" s="178">
        <f t="shared" si="31"/>
        <v>1.3901041666666667</v>
      </c>
      <c r="L61" s="178"/>
      <c r="M61" s="178">
        <f t="shared" si="32"/>
        <v>37.125</v>
      </c>
      <c r="N61" s="178">
        <f t="shared" si="32"/>
        <v>11.657250000000001</v>
      </c>
      <c r="O61" s="178">
        <f t="shared" si="32"/>
        <v>594</v>
      </c>
    </row>
    <row r="62" spans="1:15">
      <c r="D62" s="252" t="s">
        <v>158</v>
      </c>
      <c r="I62" s="150"/>
      <c r="J62" s="178">
        <f t="shared" si="31"/>
        <v>15.111334097859327</v>
      </c>
      <c r="K62" s="178">
        <f t="shared" si="31"/>
        <v>1.3901041666666667</v>
      </c>
      <c r="L62" s="178"/>
      <c r="M62" s="178">
        <f t="shared" si="32"/>
        <v>37.125</v>
      </c>
      <c r="N62" s="178">
        <f t="shared" si="32"/>
        <v>11.657250000000001</v>
      </c>
      <c r="O62" s="178">
        <f t="shared" si="32"/>
        <v>594</v>
      </c>
    </row>
    <row r="63" spans="1:15">
      <c r="D63" s="252" t="s">
        <v>877</v>
      </c>
      <c r="I63" s="150"/>
      <c r="J63" s="178">
        <f t="shared" si="31"/>
        <v>15.111334097859327</v>
      </c>
      <c r="K63" s="178">
        <f t="shared" si="31"/>
        <v>1.3901041666666667</v>
      </c>
      <c r="L63" s="178"/>
      <c r="M63" s="178">
        <f t="shared" si="32"/>
        <v>37.125</v>
      </c>
      <c r="N63" s="178">
        <f t="shared" si="32"/>
        <v>11.657250000000001</v>
      </c>
      <c r="O63" s="178">
        <f t="shared" si="32"/>
        <v>594</v>
      </c>
    </row>
    <row r="64" spans="1:15">
      <c r="D64" s="252" t="s">
        <v>878</v>
      </c>
      <c r="I64" s="150"/>
      <c r="J64" s="178">
        <f t="shared" si="31"/>
        <v>15.111334097859327</v>
      </c>
      <c r="K64" s="178">
        <f t="shared" si="31"/>
        <v>1.3901041666666667</v>
      </c>
      <c r="L64" s="178"/>
      <c r="M64" s="178">
        <f t="shared" si="32"/>
        <v>37.125</v>
      </c>
      <c r="N64" s="178">
        <f t="shared" si="32"/>
        <v>11.657250000000001</v>
      </c>
      <c r="O64" s="178">
        <f t="shared" si="32"/>
        <v>594</v>
      </c>
    </row>
    <row r="65" spans="1:15">
      <c r="D65" s="252" t="s">
        <v>1224</v>
      </c>
      <c r="E65" s="152"/>
      <c r="F65" s="152"/>
      <c r="G65" s="152"/>
      <c r="I65" s="150"/>
      <c r="J65" s="178">
        <f t="shared" si="31"/>
        <v>15.111334097859327</v>
      </c>
      <c r="K65" s="178">
        <f t="shared" si="31"/>
        <v>1.3901041666666667</v>
      </c>
      <c r="L65" s="178"/>
      <c r="M65" s="178">
        <f t="shared" si="32"/>
        <v>37.125</v>
      </c>
      <c r="N65" s="178">
        <f t="shared" si="32"/>
        <v>11.657250000000001</v>
      </c>
      <c r="O65" s="178">
        <f t="shared" si="32"/>
        <v>594</v>
      </c>
    </row>
    <row r="66" spans="1:15">
      <c r="A66" s="267"/>
      <c r="C66" s="152"/>
      <c r="I66" s="150"/>
      <c r="L66" s="150"/>
    </row>
    <row r="67" spans="1:15">
      <c r="A67" s="267"/>
      <c r="C67" s="152"/>
      <c r="D67" s="252"/>
      <c r="E67" s="152"/>
      <c r="F67" s="152"/>
      <c r="G67" s="152"/>
      <c r="I67" s="150"/>
      <c r="J67" s="178"/>
      <c r="K67" s="178"/>
      <c r="L67" s="178"/>
      <c r="M67" s="178"/>
      <c r="N67" s="178"/>
      <c r="O67" s="178"/>
    </row>
    <row r="68" spans="1:15">
      <c r="A68" s="267"/>
      <c r="C68" s="152"/>
      <c r="D68" s="152"/>
      <c r="E68" s="152"/>
      <c r="F68" s="152"/>
      <c r="G68" s="152"/>
      <c r="H68" s="283"/>
      <c r="I68" s="283"/>
      <c r="J68" s="152"/>
      <c r="K68" s="152"/>
      <c r="L68" s="283"/>
      <c r="M68" s="152"/>
    </row>
    <row r="69" spans="1:15" ht="12" hidden="1" customHeight="1">
      <c r="I69" s="150"/>
      <c r="L69" s="150"/>
    </row>
    <row r="70" spans="1:15" hidden="1">
      <c r="I70" s="150"/>
      <c r="L70" s="150"/>
    </row>
    <row r="71" spans="1:15" hidden="1">
      <c r="I71" s="150"/>
      <c r="L71" s="150"/>
    </row>
    <row r="72" spans="1:15" hidden="1">
      <c r="I72" s="150"/>
      <c r="L72" s="150"/>
    </row>
    <row r="73" spans="1:15" hidden="1">
      <c r="I73" s="150"/>
      <c r="L73" s="150"/>
    </row>
    <row r="74" spans="1:15" hidden="1">
      <c r="I74" s="150"/>
      <c r="L74" s="150"/>
    </row>
    <row r="75" spans="1:15" hidden="1">
      <c r="A75" s="267"/>
    </row>
    <row r="76" spans="1:15" hidden="1">
      <c r="A76" s="267"/>
    </row>
    <row r="77" spans="1:15" ht="12" hidden="1" customHeight="1">
      <c r="A77" s="1383"/>
      <c r="I77" s="150"/>
      <c r="L77" s="150"/>
    </row>
    <row r="78" spans="1:15" ht="12" hidden="1" customHeight="1">
      <c r="A78" s="1383"/>
      <c r="I78" s="150"/>
      <c r="L78" s="150"/>
    </row>
    <row r="79" spans="1:15" ht="12" hidden="1" customHeight="1">
      <c r="A79" s="1383"/>
      <c r="I79" s="150"/>
      <c r="L79" s="150"/>
    </row>
    <row r="80" spans="1:15" ht="12" hidden="1" customHeight="1">
      <c r="A80" s="1383"/>
      <c r="I80" s="150"/>
      <c r="L80" s="150"/>
    </row>
    <row r="81" spans="1:12" ht="12" hidden="1" customHeight="1">
      <c r="A81" s="1383"/>
      <c r="I81" s="150"/>
      <c r="L81" s="150"/>
    </row>
    <row r="82" spans="1:12" ht="12" hidden="1" customHeight="1">
      <c r="A82" s="1383"/>
      <c r="I82" s="150"/>
      <c r="L82" s="150"/>
    </row>
    <row r="90" spans="1:12"/>
  </sheetData>
  <mergeCells count="4">
    <mergeCell ref="G7:I7"/>
    <mergeCell ref="M7:O7"/>
    <mergeCell ref="J7:L7"/>
    <mergeCell ref="A77:A82"/>
  </mergeCells>
  <dataValidations count="3">
    <dataValidation type="list" allowBlank="1" showInputMessage="1" showErrorMessage="1" sqref="C34:D34" xr:uid="{6B9D3756-6A10-47A9-89E1-2AB18CB22B8B}">
      <formula1>"60, 120, 240"</formula1>
    </dataValidation>
    <dataValidation type="list" allowBlank="1" showInputMessage="1" showErrorMessage="1" sqref="C21:D21" xr:uid="{0319875A-FB5F-4991-BD0C-AC7B1FF830E0}">
      <formula1>"2%, 3%, 4%"</formula1>
    </dataValidation>
    <dataValidation type="list" allowBlank="1" showInputMessage="1" showErrorMessage="1" sqref="C19:D19" xr:uid="{54B5A341-7D4F-4710-9418-2EA31B5F4833}">
      <formula1>"C32/40, C40/50, C50/60"</formula1>
    </dataValidation>
  </dataValidations>
  <pageMargins left="0.7" right="0.7" top="0.75" bottom="0.75" header="0.3" footer="0.3"/>
  <pageSetup paperSize="9" orientation="portrait" horizont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C2FDB-0647-4E4C-B122-7848E1BA1853}">
  <sheetPr codeName="Sheet8"/>
  <dimension ref="A1:CF120"/>
  <sheetViews>
    <sheetView workbookViewId="0">
      <selection activeCell="J15" sqref="J15"/>
    </sheetView>
  </sheetViews>
  <sheetFormatPr defaultColWidth="9.140625" defaultRowHeight="14.25"/>
  <cols>
    <col min="1" max="22" width="9.140625" style="284"/>
    <col min="23" max="23" width="12.5703125" style="284" bestFit="1" customWidth="1"/>
    <col min="24" max="24" width="13.5703125" style="284" bestFit="1" customWidth="1"/>
    <col min="25" max="25" width="13.42578125" style="284" bestFit="1" customWidth="1"/>
    <col min="26" max="26" width="15" style="284" bestFit="1" customWidth="1"/>
    <col min="27" max="27" width="9.140625" style="284"/>
    <col min="28" max="28" width="12.42578125" style="284" bestFit="1" customWidth="1"/>
    <col min="29" max="29" width="13.42578125" style="284" bestFit="1" customWidth="1"/>
    <col min="30" max="30" width="13.7109375" style="284" bestFit="1" customWidth="1"/>
    <col min="31" max="31" width="15.5703125" style="284" bestFit="1" customWidth="1"/>
    <col min="32" max="32" width="9.140625" style="284"/>
    <col min="33" max="33" width="12.42578125" style="284" bestFit="1" customWidth="1"/>
    <col min="34" max="34" width="13.5703125" style="284" bestFit="1" customWidth="1"/>
    <col min="35" max="35" width="13.85546875" style="284" bestFit="1" customWidth="1"/>
    <col min="36" max="36" width="15.7109375" style="284" bestFit="1" customWidth="1"/>
    <col min="37" max="37" width="9.140625" style="284"/>
    <col min="38" max="38" width="12.42578125" style="284" bestFit="1" customWidth="1"/>
    <col min="39" max="40" width="13.5703125" style="284" bestFit="1" customWidth="1"/>
    <col min="41" max="41" width="15.85546875" style="284" bestFit="1" customWidth="1"/>
    <col min="42" max="44" width="9.140625" style="284"/>
    <col min="45" max="45" width="13.85546875" style="284" bestFit="1" customWidth="1"/>
    <col min="46" max="46" width="15.5703125" style="284" bestFit="1" customWidth="1"/>
    <col min="47" max="47" width="9.140625" style="284"/>
    <col min="48" max="48" width="13.42578125" style="284" bestFit="1" customWidth="1"/>
    <col min="49" max="49" width="15" style="284" bestFit="1" customWidth="1"/>
    <col min="50" max="50" width="9.140625" style="284"/>
    <col min="51" max="51" width="13.7109375" style="284" bestFit="1" customWidth="1"/>
    <col min="52" max="52" width="15.5703125" style="284" bestFit="1" customWidth="1"/>
    <col min="53" max="53" width="9.140625" style="284"/>
    <col min="54" max="54" width="13.85546875" style="284" bestFit="1" customWidth="1"/>
    <col min="55" max="55" width="15.7109375" style="284" bestFit="1" customWidth="1"/>
    <col min="56" max="56" width="9.140625" style="284"/>
    <col min="57" max="57" width="13.5703125" style="284" bestFit="1" customWidth="1"/>
    <col min="58" max="58" width="15.85546875" style="284" bestFit="1" customWidth="1"/>
    <col min="59" max="59" width="9.140625" style="284"/>
    <col min="60" max="60" width="13.85546875" style="284" bestFit="1" customWidth="1"/>
    <col min="61" max="61" width="15.5703125" style="284" bestFit="1" customWidth="1"/>
    <col min="62" max="62" width="9.140625" style="284"/>
    <col min="63" max="63" width="15.7109375" style="284" bestFit="1" customWidth="1"/>
    <col min="64" max="64" width="17" style="284" bestFit="1" customWidth="1"/>
    <col min="65" max="65" width="9.140625" style="284"/>
    <col min="66" max="66" width="16.140625" style="284" bestFit="1" customWidth="1"/>
    <col min="67" max="67" width="17.7109375" style="284" bestFit="1" customWidth="1"/>
    <col min="68" max="68" width="9.140625" style="284"/>
    <col min="69" max="69" width="16.42578125" style="284" bestFit="1" customWidth="1"/>
    <col min="70" max="70" width="17.85546875" style="284" bestFit="1" customWidth="1"/>
    <col min="71" max="71" width="9.140625" style="284"/>
    <col min="72" max="72" width="16.140625" style="284" bestFit="1" customWidth="1"/>
    <col min="73" max="73" width="18.28515625" style="284" bestFit="1" customWidth="1"/>
    <col min="74" max="74" width="9.140625" style="284"/>
    <col min="75" max="75" width="16.42578125" style="284" bestFit="1" customWidth="1"/>
    <col min="76" max="76" width="17.85546875" style="284" bestFit="1" customWidth="1"/>
    <col min="77" max="16384" width="9.140625" style="284"/>
  </cols>
  <sheetData>
    <row r="1" spans="1:84">
      <c r="A1" s="284" t="s">
        <v>949</v>
      </c>
      <c r="B1" s="284" t="s">
        <v>22</v>
      </c>
      <c r="G1" s="284" t="s">
        <v>1225</v>
      </c>
      <c r="J1" s="284">
        <f>'Steel Column'!D30</f>
        <v>5</v>
      </c>
      <c r="CB1" s="284">
        <f>ROUND('Shear Walls'!AM20,1)</f>
        <v>3.9</v>
      </c>
      <c r="CC1" s="284">
        <f>ROUND('Shear Walls'!AS20,1)</f>
        <v>3.8</v>
      </c>
      <c r="CD1" s="284">
        <f>ROUND('Shear Walls'!AY20,1)</f>
        <v>3.7</v>
      </c>
      <c r="CE1" s="284">
        <f>ROUND('Shear Walls'!BE20,1)</f>
        <v>3.8</v>
      </c>
      <c r="CF1" s="284">
        <f>ROUND('Shear Walls'!BK20,1)</f>
        <v>3.9</v>
      </c>
    </row>
    <row r="2" spans="1:84">
      <c r="A2" s="284">
        <v>7</v>
      </c>
      <c r="B2" s="284" t="s">
        <v>162</v>
      </c>
      <c r="CA2" s="284">
        <v>1</v>
      </c>
      <c r="CB2" s="284">
        <f>$CA2/CB$1</f>
        <v>0.25641025641025644</v>
      </c>
      <c r="CC2" s="284">
        <f t="shared" ref="CC2:CF2" si="0">$CA2/CC$1</f>
        <v>0.26315789473684209</v>
      </c>
      <c r="CD2" s="284">
        <f t="shared" si="0"/>
        <v>0.27027027027027023</v>
      </c>
      <c r="CE2" s="284">
        <f t="shared" si="0"/>
        <v>0.26315789473684209</v>
      </c>
      <c r="CF2" s="284">
        <f t="shared" si="0"/>
        <v>0.25641025641025644</v>
      </c>
    </row>
    <row r="3" spans="1:84">
      <c r="A3" s="284">
        <v>8</v>
      </c>
      <c r="B3" s="284" t="s">
        <v>163</v>
      </c>
      <c r="CA3" s="284">
        <v>1.5</v>
      </c>
      <c r="CB3" s="284">
        <f t="shared" ref="CB3:CF18" si="1">$CA3/CB$1</f>
        <v>0.38461538461538464</v>
      </c>
      <c r="CC3" s="284">
        <f t="shared" si="1"/>
        <v>0.39473684210526316</v>
      </c>
      <c r="CD3" s="284">
        <f t="shared" si="1"/>
        <v>0.40540540540540537</v>
      </c>
      <c r="CE3" s="284">
        <f t="shared" si="1"/>
        <v>0.39473684210526316</v>
      </c>
      <c r="CF3" s="284">
        <f t="shared" si="1"/>
        <v>0.38461538461538464</v>
      </c>
    </row>
    <row r="4" spans="1:84">
      <c r="A4" s="284">
        <v>9</v>
      </c>
      <c r="B4" s="284" t="s">
        <v>164</v>
      </c>
      <c r="CA4" s="284">
        <v>2</v>
      </c>
      <c r="CB4" s="284">
        <f t="shared" si="1"/>
        <v>0.51282051282051289</v>
      </c>
      <c r="CC4" s="284">
        <f t="shared" si="1"/>
        <v>0.52631578947368418</v>
      </c>
      <c r="CD4" s="284">
        <f t="shared" si="1"/>
        <v>0.54054054054054046</v>
      </c>
      <c r="CE4" s="284">
        <f t="shared" si="1"/>
        <v>0.52631578947368418</v>
      </c>
      <c r="CF4" s="284">
        <f t="shared" si="1"/>
        <v>0.51282051282051289</v>
      </c>
    </row>
    <row r="5" spans="1:84">
      <c r="A5" s="284">
        <v>10</v>
      </c>
      <c r="B5" s="284" t="s">
        <v>165</v>
      </c>
      <c r="CA5" s="284">
        <v>2.5</v>
      </c>
      <c r="CB5" s="284">
        <f t="shared" si="1"/>
        <v>0.64102564102564108</v>
      </c>
      <c r="CC5" s="284">
        <f t="shared" si="1"/>
        <v>0.65789473684210531</v>
      </c>
      <c r="CD5" s="284">
        <f t="shared" si="1"/>
        <v>0.67567567567567566</v>
      </c>
      <c r="CE5" s="284">
        <f t="shared" si="1"/>
        <v>0.65789473684210531</v>
      </c>
      <c r="CF5" s="284">
        <f t="shared" si="1"/>
        <v>0.64102564102564108</v>
      </c>
    </row>
    <row r="6" spans="1:84">
      <c r="A6" s="284">
        <v>11</v>
      </c>
      <c r="B6" s="284" t="s">
        <v>166</v>
      </c>
      <c r="CA6" s="284">
        <v>3</v>
      </c>
      <c r="CB6" s="284">
        <f t="shared" si="1"/>
        <v>0.76923076923076927</v>
      </c>
      <c r="CC6" s="284">
        <f t="shared" si="1"/>
        <v>0.78947368421052633</v>
      </c>
      <c r="CD6" s="284">
        <f t="shared" si="1"/>
        <v>0.81081081081081074</v>
      </c>
      <c r="CE6" s="284">
        <f t="shared" si="1"/>
        <v>0.78947368421052633</v>
      </c>
      <c r="CF6" s="284">
        <f t="shared" si="1"/>
        <v>0.76923076923076927</v>
      </c>
    </row>
    <row r="7" spans="1:84">
      <c r="CA7" s="284">
        <v>3.5</v>
      </c>
      <c r="CB7" s="284">
        <f t="shared" si="1"/>
        <v>0.89743589743589747</v>
      </c>
      <c r="CC7" s="284">
        <f t="shared" si="1"/>
        <v>0.92105263157894746</v>
      </c>
      <c r="CD7" s="284">
        <f t="shared" si="1"/>
        <v>0.94594594594594594</v>
      </c>
      <c r="CE7" s="284">
        <f t="shared" si="1"/>
        <v>0.92105263157894746</v>
      </c>
      <c r="CF7" s="284">
        <f t="shared" si="1"/>
        <v>0.89743589743589747</v>
      </c>
    </row>
    <row r="8" spans="1:84">
      <c r="A8" s="284" t="s">
        <v>1226</v>
      </c>
      <c r="CA8" s="284">
        <v>4</v>
      </c>
      <c r="CB8" s="284">
        <f t="shared" si="1"/>
        <v>1.0256410256410258</v>
      </c>
      <c r="CC8" s="284">
        <f t="shared" si="1"/>
        <v>1.0526315789473684</v>
      </c>
      <c r="CD8" s="284">
        <f t="shared" si="1"/>
        <v>1.0810810810810809</v>
      </c>
      <c r="CE8" s="284">
        <f t="shared" si="1"/>
        <v>1.0526315789473684</v>
      </c>
      <c r="CF8" s="284">
        <f t="shared" si="1"/>
        <v>1.0256410256410258</v>
      </c>
    </row>
    <row r="9" spans="1:84" ht="15" thickBot="1">
      <c r="CA9" s="284">
        <v>5</v>
      </c>
      <c r="CB9" s="284">
        <f t="shared" si="1"/>
        <v>1.2820512820512822</v>
      </c>
      <c r="CC9" s="284">
        <f t="shared" si="1"/>
        <v>1.3157894736842106</v>
      </c>
      <c r="CD9" s="284">
        <f t="shared" si="1"/>
        <v>1.3513513513513513</v>
      </c>
      <c r="CE9" s="284">
        <f t="shared" si="1"/>
        <v>1.3157894736842106</v>
      </c>
      <c r="CF9" s="284">
        <f t="shared" si="1"/>
        <v>1.2820512820512822</v>
      </c>
    </row>
    <row r="10" spans="1:84" ht="15.75" thickBot="1">
      <c r="A10" s="284" t="s">
        <v>1227</v>
      </c>
      <c r="W10" s="1387" t="s">
        <v>183</v>
      </c>
      <c r="X10" s="1388"/>
      <c r="Y10" s="1388"/>
      <c r="Z10" s="1388"/>
      <c r="AA10" s="1388"/>
      <c r="AB10" s="1388"/>
      <c r="AC10" s="1388"/>
      <c r="AD10" s="1388"/>
      <c r="AE10" s="1388"/>
      <c r="AF10" s="1388"/>
      <c r="AG10" s="1388"/>
      <c r="AH10" s="1388"/>
      <c r="AI10" s="1388"/>
      <c r="AJ10" s="1388"/>
      <c r="AK10" s="1388"/>
      <c r="AL10" s="1388"/>
      <c r="AM10" s="1388"/>
      <c r="AN10" s="1388"/>
      <c r="AO10" s="1388"/>
      <c r="AP10" s="1388"/>
      <c r="AQ10" s="1388"/>
      <c r="AR10" s="1388"/>
      <c r="AS10" s="1388"/>
      <c r="AT10" s="1388"/>
      <c r="AU10" s="1389"/>
      <c r="AV10" s="1387" t="s">
        <v>187</v>
      </c>
      <c r="AW10" s="1388"/>
      <c r="AX10" s="1388"/>
      <c r="AY10" s="1388"/>
      <c r="AZ10" s="1388"/>
      <c r="BA10" s="1388"/>
      <c r="BB10" s="1388"/>
      <c r="BC10" s="1388"/>
      <c r="BD10" s="1388"/>
      <c r="BE10" s="1388"/>
      <c r="BF10" s="1388"/>
      <c r="BG10" s="1388"/>
      <c r="BH10" s="1388"/>
      <c r="BI10" s="1388"/>
      <c r="BJ10" s="1389"/>
      <c r="BK10" s="1387" t="s">
        <v>188</v>
      </c>
      <c r="BL10" s="1388"/>
      <c r="BM10" s="1388"/>
      <c r="BN10" s="1388"/>
      <c r="BO10" s="1388"/>
      <c r="BP10" s="1388"/>
      <c r="BQ10" s="1388"/>
      <c r="BR10" s="1388"/>
      <c r="BS10" s="1388"/>
      <c r="BT10" s="1388"/>
      <c r="BU10" s="1388"/>
      <c r="BV10" s="1388"/>
      <c r="BW10" s="1388"/>
      <c r="BX10" s="1388"/>
      <c r="BY10" s="1389"/>
      <c r="CA10" s="284">
        <v>6</v>
      </c>
      <c r="CB10" s="284">
        <f t="shared" si="1"/>
        <v>1.5384615384615385</v>
      </c>
      <c r="CC10" s="284">
        <f t="shared" si="1"/>
        <v>1.5789473684210527</v>
      </c>
      <c r="CD10" s="284">
        <f t="shared" si="1"/>
        <v>1.6216216216216215</v>
      </c>
      <c r="CE10" s="284">
        <f t="shared" si="1"/>
        <v>1.5789473684210527</v>
      </c>
      <c r="CF10" s="284">
        <f t="shared" si="1"/>
        <v>1.5384615384615385</v>
      </c>
    </row>
    <row r="11" spans="1:84" ht="15.75" thickBot="1">
      <c r="W11" s="1384" t="s">
        <v>858</v>
      </c>
      <c r="X11" s="1385"/>
      <c r="Y11" s="1385"/>
      <c r="Z11" s="1385"/>
      <c r="AA11" s="1386"/>
      <c r="AB11" s="1384" t="s">
        <v>859</v>
      </c>
      <c r="AC11" s="1385"/>
      <c r="AD11" s="1385"/>
      <c r="AE11" s="1385"/>
      <c r="AF11" s="1386"/>
      <c r="AG11" s="1384" t="s">
        <v>860</v>
      </c>
      <c r="AH11" s="1385"/>
      <c r="AI11" s="1385"/>
      <c r="AJ11" s="1385"/>
      <c r="AK11" s="1386"/>
      <c r="AL11" s="1384" t="s">
        <v>861</v>
      </c>
      <c r="AM11" s="1385"/>
      <c r="AN11" s="1385"/>
      <c r="AO11" s="1385"/>
      <c r="AP11" s="1386"/>
      <c r="AQ11" s="1384" t="s">
        <v>862</v>
      </c>
      <c r="AR11" s="1385"/>
      <c r="AS11" s="1385"/>
      <c r="AT11" s="1385"/>
      <c r="AU11" s="1386"/>
      <c r="AV11" s="1387" t="s">
        <v>858</v>
      </c>
      <c r="AW11" s="1388"/>
      <c r="AX11" s="1389"/>
      <c r="AY11" s="1387" t="s">
        <v>859</v>
      </c>
      <c r="AZ11" s="1388"/>
      <c r="BA11" s="1389"/>
      <c r="BB11" s="1387" t="s">
        <v>860</v>
      </c>
      <c r="BC11" s="1388"/>
      <c r="BD11" s="1389"/>
      <c r="BE11" s="1387" t="s">
        <v>861</v>
      </c>
      <c r="BF11" s="1388"/>
      <c r="BG11" s="1389"/>
      <c r="BH11" s="1387" t="s">
        <v>862</v>
      </c>
      <c r="BI11" s="1388"/>
      <c r="BJ11" s="1389"/>
      <c r="BK11" s="1387" t="s">
        <v>858</v>
      </c>
      <c r="BL11" s="1388"/>
      <c r="BM11" s="1389"/>
      <c r="BN11" s="1387" t="s">
        <v>859</v>
      </c>
      <c r="BO11" s="1388"/>
      <c r="BP11" s="1389"/>
      <c r="BQ11" s="1387" t="s">
        <v>860</v>
      </c>
      <c r="BR11" s="1388"/>
      <c r="BS11" s="1389"/>
      <c r="BT11" s="1387" t="s">
        <v>861</v>
      </c>
      <c r="BU11" s="1388"/>
      <c r="BV11" s="1388"/>
      <c r="BW11" s="1387" t="s">
        <v>862</v>
      </c>
      <c r="BX11" s="1388"/>
      <c r="BY11" s="1389"/>
      <c r="CA11" s="284">
        <v>7</v>
      </c>
      <c r="CB11" s="284">
        <f t="shared" si="1"/>
        <v>1.7948717948717949</v>
      </c>
      <c r="CC11" s="284">
        <f t="shared" si="1"/>
        <v>1.8421052631578949</v>
      </c>
      <c r="CD11" s="284">
        <f t="shared" si="1"/>
        <v>1.8918918918918919</v>
      </c>
      <c r="CE11" s="284">
        <f t="shared" si="1"/>
        <v>1.8421052631578949</v>
      </c>
      <c r="CF11" s="284">
        <f t="shared" si="1"/>
        <v>1.7948717948717949</v>
      </c>
    </row>
    <row r="12" spans="1:84" ht="15">
      <c r="A12" s="284" t="s">
        <v>1228</v>
      </c>
      <c r="D12" s="284" t="s">
        <v>1229</v>
      </c>
      <c r="E12" s="284" t="s">
        <v>1230</v>
      </c>
      <c r="W12" s="285" t="s">
        <v>1231</v>
      </c>
      <c r="X12" s="286" t="s">
        <v>1232</v>
      </c>
      <c r="Y12" s="286" t="s">
        <v>1233</v>
      </c>
      <c r="Z12" s="286">
        <f>ROUND('Shear Walls'!AM20,1)</f>
        <v>3.9</v>
      </c>
      <c r="AA12" s="287">
        <f>MATCH(Z12,$E$13:$U$13,1)+1</f>
        <v>7</v>
      </c>
      <c r="AB12" s="285" t="s">
        <v>1231</v>
      </c>
      <c r="AC12" s="286" t="s">
        <v>1232</v>
      </c>
      <c r="AD12" s="286" t="s">
        <v>1234</v>
      </c>
      <c r="AE12" s="286">
        <f>ROUND('Shear Walls'!AS20,1)</f>
        <v>3.8</v>
      </c>
      <c r="AF12" s="287">
        <f>MATCH(AE12,$E$13:$U$13,1)+1</f>
        <v>7</v>
      </c>
      <c r="AG12" s="285" t="s">
        <v>1231</v>
      </c>
      <c r="AH12" s="286" t="s">
        <v>1232</v>
      </c>
      <c r="AI12" s="286" t="s">
        <v>1235</v>
      </c>
      <c r="AJ12" s="286">
        <f>ROUND('Shear Walls'!AY20,1)</f>
        <v>3.7</v>
      </c>
      <c r="AK12" s="287">
        <f>MATCH(AJ12,$E$13:$U$13,1)+1</f>
        <v>7</v>
      </c>
      <c r="AL12" s="285" t="s">
        <v>1231</v>
      </c>
      <c r="AM12" s="286" t="s">
        <v>1232</v>
      </c>
      <c r="AN12" s="286" t="s">
        <v>1236</v>
      </c>
      <c r="AO12" s="286">
        <f>ROUND('Shear Walls'!BE20,1)</f>
        <v>3.8</v>
      </c>
      <c r="AP12" s="287">
        <f>MATCH(AO12,$E$13:$U$13,1)+1</f>
        <v>7</v>
      </c>
      <c r="AQ12" s="288" t="s">
        <v>1231</v>
      </c>
      <c r="AR12" s="286" t="s">
        <v>1232</v>
      </c>
      <c r="AS12" s="286" t="s">
        <v>1237</v>
      </c>
      <c r="AT12" s="286">
        <f>ROUND('Shear Walls'!BK20,1)</f>
        <v>3.9</v>
      </c>
      <c r="AU12" s="287">
        <f>MATCH(AT12,$E$13:$U$13,1)+1</f>
        <v>7</v>
      </c>
      <c r="AV12" s="285" t="s">
        <v>1233</v>
      </c>
      <c r="AW12" s="286">
        <f>Z12</f>
        <v>3.9</v>
      </c>
      <c r="AX12" s="286">
        <f>MATCH(AW12,$E$13:$U$13,1)+1</f>
        <v>7</v>
      </c>
      <c r="AY12" s="286" t="s">
        <v>1234</v>
      </c>
      <c r="AZ12" s="286">
        <f>AE12</f>
        <v>3.8</v>
      </c>
      <c r="BA12" s="289">
        <f>MATCH(AZ12,$E$13:$U$13,1)+1</f>
        <v>7</v>
      </c>
      <c r="BB12" s="285" t="s">
        <v>1235</v>
      </c>
      <c r="BC12" s="286">
        <f>AJ12</f>
        <v>3.7</v>
      </c>
      <c r="BD12" s="287">
        <f>MATCH(BC12,$E$13:$U$13,1)+1</f>
        <v>7</v>
      </c>
      <c r="BE12" s="288" t="s">
        <v>1236</v>
      </c>
      <c r="BF12" s="286">
        <f>AO12</f>
        <v>3.8</v>
      </c>
      <c r="BG12" s="289">
        <f>MATCH(BF12,$E$13:$U$13,1)+1</f>
        <v>7</v>
      </c>
      <c r="BH12" s="285" t="s">
        <v>1237</v>
      </c>
      <c r="BI12" s="286">
        <f>AT12</f>
        <v>3.9</v>
      </c>
      <c r="BJ12" s="287">
        <f>MATCH(BI12,$E$13:$U$13,1)+1</f>
        <v>7</v>
      </c>
      <c r="BK12" s="285" t="s">
        <v>1233</v>
      </c>
      <c r="BL12" s="286">
        <f>AW12</f>
        <v>3.9</v>
      </c>
      <c r="BM12" s="289">
        <f>MATCH(BL12,$E$13:$U$13,1)+1</f>
        <v>7</v>
      </c>
      <c r="BN12" s="285" t="s">
        <v>1234</v>
      </c>
      <c r="BO12" s="286">
        <f>AZ12</f>
        <v>3.8</v>
      </c>
      <c r="BP12" s="287">
        <f>MATCH(BO12,$E$13:$U$13,1)+1</f>
        <v>7</v>
      </c>
      <c r="BQ12" s="285" t="s">
        <v>1235</v>
      </c>
      <c r="BR12" s="286">
        <f>BC12</f>
        <v>3.7</v>
      </c>
      <c r="BS12" s="287">
        <f>MATCH(BR12,$E$13:$U$13,1)+1</f>
        <v>7</v>
      </c>
      <c r="BT12" s="288" t="s">
        <v>1236</v>
      </c>
      <c r="BU12" s="286">
        <f>BF12</f>
        <v>3.8</v>
      </c>
      <c r="BV12" s="289">
        <f>MATCH(BU12,$E$13:$U$13,1)+1</f>
        <v>7</v>
      </c>
      <c r="BW12" s="285" t="s">
        <v>1237</v>
      </c>
      <c r="BX12" s="286">
        <f>BI12</f>
        <v>3.9</v>
      </c>
      <c r="BY12" s="287">
        <f>MATCH(BX12,$E$13:$U$13,1)+1</f>
        <v>7</v>
      </c>
      <c r="CA12" s="284">
        <v>8</v>
      </c>
      <c r="CB12" s="284">
        <f t="shared" si="1"/>
        <v>2.0512820512820515</v>
      </c>
      <c r="CC12" s="284">
        <f t="shared" si="1"/>
        <v>2.1052631578947367</v>
      </c>
      <c r="CD12" s="284">
        <f t="shared" si="1"/>
        <v>2.1621621621621618</v>
      </c>
      <c r="CE12" s="284">
        <f t="shared" si="1"/>
        <v>2.1052631578947367</v>
      </c>
      <c r="CF12" s="284">
        <f t="shared" si="1"/>
        <v>2.0512820512820515</v>
      </c>
    </row>
    <row r="13" spans="1:84" ht="30.75" thickBot="1">
      <c r="A13" s="284" t="s">
        <v>1229</v>
      </c>
      <c r="B13" s="284" t="s">
        <v>1229</v>
      </c>
      <c r="C13" s="284" t="s">
        <v>1229</v>
      </c>
      <c r="D13" s="284" t="s">
        <v>1238</v>
      </c>
      <c r="E13" s="284">
        <v>1</v>
      </c>
      <c r="F13" s="284">
        <v>1.5</v>
      </c>
      <c r="G13" s="284">
        <v>2</v>
      </c>
      <c r="H13" s="284">
        <v>2.5</v>
      </c>
      <c r="I13" s="284">
        <v>3</v>
      </c>
      <c r="J13" s="284">
        <v>3.5</v>
      </c>
      <c r="K13" s="284">
        <v>4</v>
      </c>
      <c r="L13" s="284">
        <v>5</v>
      </c>
      <c r="M13" s="284">
        <v>6</v>
      </c>
      <c r="N13" s="284">
        <v>7</v>
      </c>
      <c r="O13" s="284">
        <v>8</v>
      </c>
      <c r="P13" s="284">
        <v>9</v>
      </c>
      <c r="Q13" s="284">
        <v>10</v>
      </c>
      <c r="R13" s="284">
        <v>11</v>
      </c>
      <c r="S13" s="284">
        <v>12</v>
      </c>
      <c r="T13" s="284">
        <v>13</v>
      </c>
      <c r="U13" s="284">
        <v>14</v>
      </c>
      <c r="V13" s="284" t="s">
        <v>208</v>
      </c>
      <c r="W13" s="290" t="s">
        <v>1239</v>
      </c>
      <c r="X13" s="291" t="s">
        <v>592</v>
      </c>
      <c r="Y13" s="292" t="s">
        <v>1240</v>
      </c>
      <c r="Z13" s="292" t="s">
        <v>1241</v>
      </c>
      <c r="AA13" s="293" t="s">
        <v>1242</v>
      </c>
      <c r="AB13" s="290" t="s">
        <v>1239</v>
      </c>
      <c r="AC13" s="291" t="s">
        <v>592</v>
      </c>
      <c r="AD13" s="292" t="s">
        <v>1240</v>
      </c>
      <c r="AE13" s="292" t="s">
        <v>1241</v>
      </c>
      <c r="AF13" s="293" t="s">
        <v>1242</v>
      </c>
      <c r="AG13" s="290" t="s">
        <v>1239</v>
      </c>
      <c r="AH13" s="291" t="s">
        <v>592</v>
      </c>
      <c r="AI13" s="292" t="s">
        <v>1240</v>
      </c>
      <c r="AJ13" s="292" t="s">
        <v>1241</v>
      </c>
      <c r="AK13" s="293" t="s">
        <v>1242</v>
      </c>
      <c r="AL13" s="290" t="s">
        <v>1239</v>
      </c>
      <c r="AM13" s="291" t="s">
        <v>592</v>
      </c>
      <c r="AN13" s="292" t="s">
        <v>1240</v>
      </c>
      <c r="AO13" s="292" t="s">
        <v>1241</v>
      </c>
      <c r="AP13" s="293" t="s">
        <v>1242</v>
      </c>
      <c r="AQ13" s="294" t="s">
        <v>1239</v>
      </c>
      <c r="AR13" s="291" t="s">
        <v>592</v>
      </c>
      <c r="AS13" s="292" t="s">
        <v>1240</v>
      </c>
      <c r="AT13" s="292" t="s">
        <v>1241</v>
      </c>
      <c r="AU13" s="293" t="s">
        <v>1242</v>
      </c>
      <c r="AV13" s="295" t="s">
        <v>1240</v>
      </c>
      <c r="AW13" s="292" t="s">
        <v>1241</v>
      </c>
      <c r="AX13" s="291" t="s">
        <v>1242</v>
      </c>
      <c r="AY13" s="292" t="s">
        <v>1240</v>
      </c>
      <c r="AZ13" s="292" t="s">
        <v>1241</v>
      </c>
      <c r="BA13" s="296" t="s">
        <v>1242</v>
      </c>
      <c r="BB13" s="295" t="s">
        <v>1240</v>
      </c>
      <c r="BC13" s="292" t="s">
        <v>1241</v>
      </c>
      <c r="BD13" s="293" t="s">
        <v>1242</v>
      </c>
      <c r="BE13" s="297" t="s">
        <v>1240</v>
      </c>
      <c r="BF13" s="292" t="s">
        <v>1241</v>
      </c>
      <c r="BG13" s="296" t="s">
        <v>1242</v>
      </c>
      <c r="BH13" s="295" t="s">
        <v>1240</v>
      </c>
      <c r="BI13" s="292" t="s">
        <v>1241</v>
      </c>
      <c r="BJ13" s="293" t="s">
        <v>1242</v>
      </c>
      <c r="BK13" s="295" t="s">
        <v>1240</v>
      </c>
      <c r="BL13" s="292" t="s">
        <v>1241</v>
      </c>
      <c r="BM13" s="296" t="s">
        <v>1242</v>
      </c>
      <c r="BN13" s="295" t="s">
        <v>1240</v>
      </c>
      <c r="BO13" s="292" t="s">
        <v>1241</v>
      </c>
      <c r="BP13" s="293" t="s">
        <v>1242</v>
      </c>
      <c r="BQ13" s="295" t="s">
        <v>1240</v>
      </c>
      <c r="BR13" s="292" t="s">
        <v>1241</v>
      </c>
      <c r="BS13" s="293" t="s">
        <v>1242</v>
      </c>
      <c r="BT13" s="297" t="s">
        <v>1240</v>
      </c>
      <c r="BU13" s="292" t="s">
        <v>1241</v>
      </c>
      <c r="BV13" s="296" t="s">
        <v>1242</v>
      </c>
      <c r="BW13" s="295" t="s">
        <v>1240</v>
      </c>
      <c r="BX13" s="292" t="s">
        <v>1241</v>
      </c>
      <c r="BY13" s="293" t="s">
        <v>1242</v>
      </c>
      <c r="CA13" s="284">
        <v>9</v>
      </c>
      <c r="CB13" s="284">
        <f t="shared" si="1"/>
        <v>2.3076923076923079</v>
      </c>
      <c r="CC13" s="284">
        <f t="shared" si="1"/>
        <v>2.3684210526315792</v>
      </c>
      <c r="CD13" s="284">
        <f t="shared" si="1"/>
        <v>2.4324324324324325</v>
      </c>
      <c r="CE13" s="284">
        <f t="shared" si="1"/>
        <v>2.3684210526315792</v>
      </c>
      <c r="CF13" s="284">
        <f t="shared" si="1"/>
        <v>2.3076923076923079</v>
      </c>
    </row>
    <row r="14" spans="1:84">
      <c r="A14" s="284" t="s">
        <v>1243</v>
      </c>
      <c r="B14" s="284" t="s">
        <v>1244</v>
      </c>
      <c r="C14" s="298">
        <v>1299</v>
      </c>
      <c r="D14" s="284" t="s">
        <v>1245</v>
      </c>
      <c r="E14" s="284">
        <v>48800</v>
      </c>
      <c r="F14" s="284">
        <v>48800</v>
      </c>
      <c r="G14" s="284">
        <v>48800</v>
      </c>
      <c r="H14" s="284">
        <v>47800</v>
      </c>
      <c r="I14" s="284">
        <v>46600</v>
      </c>
      <c r="J14" s="284">
        <v>45400</v>
      </c>
      <c r="K14" s="284">
        <v>44200</v>
      </c>
      <c r="L14" s="284">
        <v>41700</v>
      </c>
      <c r="M14" s="284">
        <v>39000</v>
      </c>
      <c r="N14" s="284">
        <v>36200</v>
      </c>
      <c r="O14" s="284">
        <v>33200</v>
      </c>
      <c r="P14" s="284">
        <v>30300</v>
      </c>
      <c r="Q14" s="284">
        <v>27400</v>
      </c>
      <c r="R14" s="284">
        <v>24700</v>
      </c>
      <c r="S14" s="284">
        <v>22300</v>
      </c>
      <c r="T14" s="284">
        <v>20000</v>
      </c>
      <c r="U14" s="284">
        <v>18000</v>
      </c>
      <c r="V14" s="284" t="s">
        <v>1246</v>
      </c>
      <c r="W14" s="299" cm="1">
        <f t="array" ref="W14">INDEX($E14:$U14,,AA$12)</f>
        <v>44200</v>
      </c>
      <c r="X14" s="300" t="str" cm="1">
        <f t="array" ref="X14">INDEX($E75:$U75,,AA$12)</f>
        <v>9810</v>
      </c>
      <c r="Y14" s="300">
        <f>'Steel Column'!$F$32/$W14</f>
        <v>1.6537244660633485E-2</v>
      </c>
      <c r="Z14" s="300">
        <f>0.1*'Steel Column'!$F$32/$X14</f>
        <v>7.451031743119267E-3</v>
      </c>
      <c r="AA14" s="301">
        <f>Y14+Z14</f>
        <v>2.3988276403752753E-2</v>
      </c>
      <c r="AB14" s="299" cm="1">
        <f t="array" ref="AB14">INDEX($E14:$U14,,AF$12)</f>
        <v>44200</v>
      </c>
      <c r="AC14" s="300" t="str" cm="1">
        <f t="array" ref="AC14">INDEX($E75:$U75,,AF$12)</f>
        <v>9810</v>
      </c>
      <c r="AD14" s="300">
        <f>'Steel Column'!$F$33/$AB14</f>
        <v>1.405706351131222E-2</v>
      </c>
      <c r="AE14" s="300">
        <f>0.1*'Steel Column'!$F$33/$AC14</f>
        <v>6.3335597064220197E-3</v>
      </c>
      <c r="AF14" s="301">
        <f>AD14+AE14</f>
        <v>2.039062321773424E-2</v>
      </c>
      <c r="AG14" s="299" cm="1">
        <f t="array" ref="AG14">INDEX($E14:$U14,,AK$12)</f>
        <v>44200</v>
      </c>
      <c r="AH14" s="300" t="str" cm="1">
        <f t="array" ref="AH14">INDEX($E75:$U75,,AK$12)</f>
        <v>9810</v>
      </c>
      <c r="AI14" s="300">
        <f>'Steel Column'!$F$34/$AG14</f>
        <v>1.4278853186416293E-2</v>
      </c>
      <c r="AJ14" s="300">
        <f>0.1*'Steel Column'!$F$34/$AH14</f>
        <v>6.433489407131501E-3</v>
      </c>
      <c r="AK14" s="301">
        <f t="shared" ref="AK14" si="2">AI14+AJ14</f>
        <v>2.0712342593547796E-2</v>
      </c>
      <c r="AL14" s="299" cm="1">
        <f t="array" ref="AL14">INDEX($E14:$U14,,AP$12)</f>
        <v>44200</v>
      </c>
      <c r="AM14" s="300" t="str" cm="1">
        <f t="array" ref="AM14">INDEX($E75:$U75,,AP$12)</f>
        <v>9810</v>
      </c>
      <c r="AN14" s="300">
        <f>'Steel Column'!$F$35/$AL14</f>
        <v>8.7394461312217189E-3</v>
      </c>
      <c r="AO14" s="300">
        <f>0.1*'Steel Column'!$F$35/$AM14</f>
        <v>3.9376505504587159E-3</v>
      </c>
      <c r="AP14" s="301">
        <f t="shared" ref="AP14" si="3">AN14+AO14</f>
        <v>1.2677096681680435E-2</v>
      </c>
      <c r="AQ14" s="300" cm="1">
        <f t="array" ref="AQ14">INDEX($E14:$U14,,AU$12)</f>
        <v>44200</v>
      </c>
      <c r="AR14" s="300" t="str" cm="1">
        <f t="array" ref="AR14">INDEX($E75:$U75,,AU$12)</f>
        <v>9810</v>
      </c>
      <c r="AS14" s="300">
        <f>'Steel Column'!$F$36/$AQ14</f>
        <v>8.9344260325791864E-3</v>
      </c>
      <c r="AT14" s="300">
        <f>0.1*'Steel Column'!$F$36/$AR14</f>
        <v>4.0255008220183488E-3</v>
      </c>
      <c r="AU14" s="301">
        <f t="shared" ref="AU14" si="4">AS14+AT14</f>
        <v>1.2959926854597535E-2</v>
      </c>
      <c r="AV14" s="299">
        <f>'Steel Column'!$F$41/$W14</f>
        <v>9.9179435972850671E-3</v>
      </c>
      <c r="AW14" s="300">
        <f>0.1*'Steel Column'!$F$41/$X14</f>
        <v>4.4686351376146795E-3</v>
      </c>
      <c r="AX14" s="302">
        <f>AV14+AW14</f>
        <v>1.4386578734899746E-2</v>
      </c>
      <c r="AY14" s="300">
        <f>'Steel Column'!$F$42/$AB14</f>
        <v>8.6778530226244346E-3</v>
      </c>
      <c r="AZ14" s="300">
        <f>0.1*'Steel Column'!$F$42/$AC14</f>
        <v>3.909899119266055E-3</v>
      </c>
      <c r="BA14" s="300">
        <f>AY14+AZ14</f>
        <v>1.258775214189049E-2</v>
      </c>
      <c r="BB14" s="299">
        <f>'Steel Column'!$F$43/$AG14</f>
        <v>8.7887478601764712E-3</v>
      </c>
      <c r="BC14" s="300">
        <f>0.1*'Steel Column'!$F$43/$AH14</f>
        <v>3.9598639696207961E-3</v>
      </c>
      <c r="BD14" s="301">
        <f t="shared" ref="BD14:BD59" si="5">BB14+BC14</f>
        <v>1.2748611829797267E-2</v>
      </c>
      <c r="BE14" s="300">
        <f>'Steel Column'!$F$44/$AL14</f>
        <v>6.0190443325791858E-3</v>
      </c>
      <c r="BF14" s="300">
        <f>0.1*'Steel Column'!$F$44/$AM14</f>
        <v>2.711944541284404E-3</v>
      </c>
      <c r="BG14" s="300">
        <f t="shared" ref="BG14:BG59" si="6">BE14+BF14</f>
        <v>8.7309888738635894E-3</v>
      </c>
      <c r="BH14" s="299">
        <f>'Steel Column'!$F$45/$AQ14</f>
        <v>6.1165342832579178E-3</v>
      </c>
      <c r="BI14" s="300">
        <f>0.1*'Steel Column'!$F$45/$AR14</f>
        <v>2.75586967706422E-3</v>
      </c>
      <c r="BJ14" s="301">
        <f t="shared" ref="BJ14:BJ59" si="7">BH14+BI14</f>
        <v>8.8724039603221387E-3</v>
      </c>
      <c r="BK14" s="299">
        <f>'Steel Column'!$F$50/$W14</f>
        <v>5.7836324321266976E-3</v>
      </c>
      <c r="BL14" s="300">
        <f>0.1*'Steel Column'!$F$50/$X14</f>
        <v>2.605877201834863E-3</v>
      </c>
      <c r="BM14" s="300">
        <f>BK14+BL14</f>
        <v>8.3895096339615602E-3</v>
      </c>
      <c r="BN14" s="299">
        <f>'Steel Column'!$F$51/$AB14</f>
        <v>5.1635871447963805E-3</v>
      </c>
      <c r="BO14" s="300">
        <f>0.1*'Steel Column'!$F$51/$AC14</f>
        <v>2.3265091926605507E-3</v>
      </c>
      <c r="BP14" s="301">
        <f>BN14+BO14</f>
        <v>7.4900963374569312E-3</v>
      </c>
      <c r="BQ14" s="299">
        <f>'Steel Column'!$F$52/$AG14</f>
        <v>5.2190345635723988E-3</v>
      </c>
      <c r="BR14" s="300">
        <f>0.1*'Steel Column'!$F$52/$AH14</f>
        <v>2.3514916178379208E-3</v>
      </c>
      <c r="BS14" s="301">
        <f t="shared" ref="BS14:BS59" si="8">BQ14+BR14</f>
        <v>7.5705261814103201E-3</v>
      </c>
      <c r="BT14" s="300">
        <f>'Steel Column'!$F$53/$AL14</f>
        <v>3.8341827997737557E-3</v>
      </c>
      <c r="BU14" s="300">
        <f>0.1*'Steel Column'!$F$53/$AM14</f>
        <v>1.7275319036697246E-3</v>
      </c>
      <c r="BV14" s="300">
        <f t="shared" ref="BV14:BV59" si="9">BT14+BU14</f>
        <v>5.5617147034434803E-3</v>
      </c>
      <c r="BW14" s="299">
        <f>'Steel Column'!$F$54/$AQ14</f>
        <v>3.8829277751131226E-3</v>
      </c>
      <c r="BX14" s="300">
        <f>0.1*'Steel Column'!$F$54/$AR14</f>
        <v>1.7494944715596332E-3</v>
      </c>
      <c r="BY14" s="301">
        <f t="shared" ref="BY14:BY59" si="10">BW14+BX14</f>
        <v>5.6324222466727558E-3</v>
      </c>
      <c r="CA14" s="284">
        <v>10</v>
      </c>
      <c r="CB14" s="284">
        <f t="shared" si="1"/>
        <v>2.5641025641025643</v>
      </c>
      <c r="CC14" s="284">
        <f t="shared" si="1"/>
        <v>2.6315789473684212</v>
      </c>
      <c r="CD14" s="284">
        <f t="shared" si="1"/>
        <v>2.7027027027027026</v>
      </c>
      <c r="CE14" s="284">
        <f t="shared" si="1"/>
        <v>2.6315789473684212</v>
      </c>
      <c r="CF14" s="284">
        <f t="shared" si="1"/>
        <v>2.5641025641025643</v>
      </c>
    </row>
    <row r="15" spans="1:84">
      <c r="A15" s="284" t="s">
        <v>1243</v>
      </c>
      <c r="B15" s="284" t="s">
        <v>1247</v>
      </c>
      <c r="C15" s="298">
        <v>1202</v>
      </c>
      <c r="D15" s="284" t="s">
        <v>1245</v>
      </c>
      <c r="E15" s="284">
        <v>45200</v>
      </c>
      <c r="F15" s="284">
        <v>45200</v>
      </c>
      <c r="G15" s="284">
        <v>45200</v>
      </c>
      <c r="H15" s="284">
        <v>44100</v>
      </c>
      <c r="I15" s="284">
        <v>43000</v>
      </c>
      <c r="J15" s="284">
        <v>41900</v>
      </c>
      <c r="K15" s="284">
        <v>40700</v>
      </c>
      <c r="L15" s="284">
        <v>38400</v>
      </c>
      <c r="M15" s="284">
        <v>35800</v>
      </c>
      <c r="N15" s="284">
        <v>33200</v>
      </c>
      <c r="O15" s="284">
        <v>30400</v>
      </c>
      <c r="P15" s="284">
        <v>27700</v>
      </c>
      <c r="Q15" s="284">
        <v>25000</v>
      </c>
      <c r="R15" s="284">
        <v>22500</v>
      </c>
      <c r="S15" s="284">
        <v>20200</v>
      </c>
      <c r="T15" s="284">
        <v>18200</v>
      </c>
      <c r="U15" s="284">
        <v>16300</v>
      </c>
      <c r="V15" s="284" t="s">
        <v>1248</v>
      </c>
      <c r="W15" s="299" cm="1">
        <f t="array" ref="W15">INDEX($E15:$U15,,AA$12)</f>
        <v>40700</v>
      </c>
      <c r="X15" s="300" t="str" cm="1">
        <f t="array" ref="X15">INDEX($E76:$U76,,AA$12)</f>
        <v>8860</v>
      </c>
      <c r="Y15" s="300">
        <f>'Steel Column'!$F$32/W15</f>
        <v>1.7959366437346438E-2</v>
      </c>
      <c r="Z15" s="300">
        <f>0.1*'Steel Column'!$F$32/X15</f>
        <v>8.2499572686230253E-3</v>
      </c>
      <c r="AA15" s="301">
        <f t="shared" ref="AA15:AA59" si="11">Y15+Z15</f>
        <v>2.6209323705969463E-2</v>
      </c>
      <c r="AB15" s="299" cm="1">
        <f t="array" ref="AB15">INDEX($E15:$U15,,AF$12)</f>
        <v>40700</v>
      </c>
      <c r="AC15" s="300" t="str" cm="1">
        <f t="array" ref="AC15">INDEX($E76:$U76,,AF$12)</f>
        <v>8860</v>
      </c>
      <c r="AD15" s="300">
        <f>'Steel Column'!$F$33/$AB15</f>
        <v>1.5265901896805899E-2</v>
      </c>
      <c r="AE15" s="300">
        <f>0.1*'Steel Column'!$F$33/$AC15</f>
        <v>7.0126659954853291E-3</v>
      </c>
      <c r="AF15" s="301">
        <f t="shared" ref="AF15:AF59" si="12">AD15+AE15</f>
        <v>2.2278567892291226E-2</v>
      </c>
      <c r="AG15" s="299" cm="1">
        <f t="array" ref="AG15">INDEX($E15:$U15,,AK$12)</f>
        <v>40700</v>
      </c>
      <c r="AH15" s="300" t="str" cm="1">
        <f t="array" ref="AH15">INDEX($E76:$U76,,AK$12)</f>
        <v>8860</v>
      </c>
      <c r="AI15" s="300">
        <f>'Steel Column'!$F$34/$AG15</f>
        <v>1.550676439409337E-2</v>
      </c>
      <c r="AJ15" s="300">
        <f>0.1*'Steel Column'!$F$34/$AH15</f>
        <v>7.1233105060902963E-3</v>
      </c>
      <c r="AK15" s="301">
        <f t="shared" ref="AK15:AK59" si="13">AI15+AJ15</f>
        <v>2.2630074900183667E-2</v>
      </c>
      <c r="AL15" s="299" cm="1">
        <f t="array" ref="AL15">INDEX($E15:$U15,,AP$12)</f>
        <v>40700</v>
      </c>
      <c r="AM15" s="300" t="str" cm="1">
        <f t="array" ref="AM15">INDEX($E76:$U76,,AP$12)</f>
        <v>8860</v>
      </c>
      <c r="AN15" s="300">
        <f>'Steel Column'!$F$35/$AL15</f>
        <v>9.490995552825553E-3</v>
      </c>
      <c r="AO15" s="300">
        <f>0.1*'Steel Column'!$F$35/$AM15</f>
        <v>4.3598591309255089E-3</v>
      </c>
      <c r="AP15" s="301">
        <f t="shared" ref="AP15:AP59" si="14">AN15+AO15</f>
        <v>1.3850854683751062E-2</v>
      </c>
      <c r="AQ15" s="300" cm="1">
        <f t="array" ref="AQ15">INDEX($E15:$U15,,AU$12)</f>
        <v>40700</v>
      </c>
      <c r="AR15" s="300" t="str" cm="1">
        <f t="array" ref="AR15">INDEX($E76:$U76,,AU$12)</f>
        <v>8860</v>
      </c>
      <c r="AS15" s="300">
        <f>'Steel Column'!$F$36/$AQ15</f>
        <v>9.7027427675675671E-3</v>
      </c>
      <c r="AT15" s="300">
        <f>0.1*'Steel Column'!$F$36/$AR15</f>
        <v>4.4571290139954851E-3</v>
      </c>
      <c r="AU15" s="301">
        <f t="shared" ref="AU15:AU59" si="15">AS15+AT15</f>
        <v>1.4159871781563051E-2</v>
      </c>
      <c r="AV15" s="299">
        <f>'Steel Column'!$F$41/$W15</f>
        <v>1.077083800982801E-2</v>
      </c>
      <c r="AW15" s="300">
        <f>0.1*'Steel Column'!$F$41/$X15</f>
        <v>4.9477777313769759E-3</v>
      </c>
      <c r="AX15" s="302">
        <f t="shared" ref="AX15:AX59" si="16">AV15+AW15</f>
        <v>1.5718615741204985E-2</v>
      </c>
      <c r="AY15" s="300">
        <f>'Steel Column'!$F$42/$AB15</f>
        <v>9.42410573955774E-3</v>
      </c>
      <c r="AZ15" s="300">
        <f>0.1*'Steel Column'!$F$42/$AC15</f>
        <v>4.3291320948081269E-3</v>
      </c>
      <c r="BA15" s="300">
        <f t="shared" ref="BA15:BA59" si="17">AY15+AZ15</f>
        <v>1.3753237834365866E-2</v>
      </c>
      <c r="BB15" s="299">
        <f>'Steel Column'!$F$43/$AG15</f>
        <v>9.5445369882014748E-3</v>
      </c>
      <c r="BC15" s="300">
        <f>0.1*'Steel Column'!$F$43/$AH15</f>
        <v>4.3844543501106109E-3</v>
      </c>
      <c r="BD15" s="301">
        <f t="shared" si="5"/>
        <v>1.3928991338312085E-2</v>
      </c>
      <c r="BE15" s="300">
        <f>'Steel Column'!$F$44/$AL15</f>
        <v>6.536652567567568E-3</v>
      </c>
      <c r="BF15" s="300">
        <f>0.1*'Steel Column'!$F$44/$AM15</f>
        <v>3.0027286625282168E-3</v>
      </c>
      <c r="BG15" s="300">
        <f t="shared" si="6"/>
        <v>9.5393812300957857E-3</v>
      </c>
      <c r="BH15" s="299">
        <f>'Steel Column'!$F$45/$AQ15</f>
        <v>6.6425261749385742E-3</v>
      </c>
      <c r="BI15" s="300">
        <f>0.1*'Steel Column'!$F$45/$AR15</f>
        <v>3.0513636040632054E-3</v>
      </c>
      <c r="BJ15" s="301">
        <f t="shared" si="7"/>
        <v>9.6938897790017804E-3</v>
      </c>
      <c r="BK15" s="299">
        <f>'Steel Column'!$F$50/$W15</f>
        <v>6.280996400491401E-3</v>
      </c>
      <c r="BL15" s="300">
        <f>0.1*'Steel Column'!$F$50/$X15</f>
        <v>2.8852884142212196E-3</v>
      </c>
      <c r="BM15" s="300">
        <f t="shared" ref="BM15:BM59" si="18">BK15+BL15</f>
        <v>9.1662848147126205E-3</v>
      </c>
      <c r="BN15" s="299">
        <f>'Steel Column'!$F$51/$AB15</f>
        <v>5.6076302653562653E-3</v>
      </c>
      <c r="BO15" s="300">
        <f>0.1*'Steel Column'!$F$51/$AC15</f>
        <v>2.5759655959367946E-3</v>
      </c>
      <c r="BP15" s="301">
        <f t="shared" ref="BP15:BP59" si="19">BN15+BO15</f>
        <v>8.1835958612930595E-3</v>
      </c>
      <c r="BQ15" s="299">
        <f>'Steel Column'!$F$52/$AG15</f>
        <v>5.6678458896781336E-3</v>
      </c>
      <c r="BR15" s="300">
        <f>0.1*'Steel Column'!$F$52/$AH15</f>
        <v>2.6036267235880367E-3</v>
      </c>
      <c r="BS15" s="301">
        <f t="shared" si="8"/>
        <v>8.2714726132661707E-3</v>
      </c>
      <c r="BT15" s="300">
        <f>'Steel Column'!$F$53/$AL15</f>
        <v>4.1639036793611793E-3</v>
      </c>
      <c r="BU15" s="300">
        <f>0.1*'Steel Column'!$F$53/$AM15</f>
        <v>1.9127638797968396E-3</v>
      </c>
      <c r="BV15" s="300">
        <f t="shared" si="9"/>
        <v>6.0766675591580194E-3</v>
      </c>
      <c r="BW15" s="299">
        <f>'Steel Column'!$F$54/$AQ15</f>
        <v>4.2168404830466829E-3</v>
      </c>
      <c r="BX15" s="300">
        <f>0.1*'Steel Column'!$F$54/$AR15</f>
        <v>1.9370813505643345E-3</v>
      </c>
      <c r="BY15" s="301">
        <f t="shared" si="10"/>
        <v>6.1539218336110176E-3</v>
      </c>
      <c r="CA15" s="284">
        <v>11</v>
      </c>
      <c r="CB15" s="284">
        <f t="shared" si="1"/>
        <v>2.8205128205128207</v>
      </c>
      <c r="CC15" s="284">
        <f t="shared" si="1"/>
        <v>2.8947368421052633</v>
      </c>
      <c r="CD15" s="284">
        <f t="shared" si="1"/>
        <v>2.9729729729729728</v>
      </c>
      <c r="CE15" s="284">
        <f t="shared" si="1"/>
        <v>2.8947368421052633</v>
      </c>
      <c r="CF15" s="284">
        <f t="shared" si="1"/>
        <v>2.8205128205128207</v>
      </c>
    </row>
    <row r="16" spans="1:84">
      <c r="A16" s="284" t="s">
        <v>1243</v>
      </c>
      <c r="B16" s="284" t="s">
        <v>1249</v>
      </c>
      <c r="C16" s="298">
        <v>1086</v>
      </c>
      <c r="D16" s="284" t="s">
        <v>1245</v>
      </c>
      <c r="E16" s="284">
        <v>40900</v>
      </c>
      <c r="F16" s="284">
        <v>40900</v>
      </c>
      <c r="G16" s="284">
        <v>40900</v>
      </c>
      <c r="H16" s="284">
        <v>39800</v>
      </c>
      <c r="I16" s="284">
        <v>38800</v>
      </c>
      <c r="J16" s="284">
        <v>37700</v>
      </c>
      <c r="K16" s="284">
        <v>36700</v>
      </c>
      <c r="L16" s="284">
        <v>34400</v>
      </c>
      <c r="M16" s="284">
        <v>32100</v>
      </c>
      <c r="N16" s="284">
        <v>29600</v>
      </c>
      <c r="O16" s="284">
        <v>27000</v>
      </c>
      <c r="P16" s="284">
        <v>24500</v>
      </c>
      <c r="Q16" s="284">
        <v>22000</v>
      </c>
      <c r="R16" s="284">
        <v>19700</v>
      </c>
      <c r="S16" s="284">
        <v>17700</v>
      </c>
      <c r="T16" s="284">
        <v>15800</v>
      </c>
      <c r="U16" s="284">
        <v>14200</v>
      </c>
      <c r="V16" s="284" t="s">
        <v>1250</v>
      </c>
      <c r="W16" s="299" cm="1">
        <f t="array" ref="W16">INDEX($E16:$U16,,AA$12)</f>
        <v>36700</v>
      </c>
      <c r="X16" s="300" t="str" cm="1">
        <f t="array" ref="X16">INDEX($E77:$U77,,AA$12)</f>
        <v>8030</v>
      </c>
      <c r="Y16" s="300">
        <f>'Steel Column'!$F$32/W16</f>
        <v>1.9916790572207087E-2</v>
      </c>
      <c r="Z16" s="300">
        <f>0.1*'Steel Column'!$F$32/X16</f>
        <v>9.1026925778331276E-3</v>
      </c>
      <c r="AA16" s="301">
        <f t="shared" si="11"/>
        <v>2.9019483150040215E-2</v>
      </c>
      <c r="AB16" s="299" cm="1">
        <f t="array" ref="AB16">INDEX($E16:$U16,,AF$12)</f>
        <v>36700</v>
      </c>
      <c r="AC16" s="300" t="str" cm="1">
        <f t="array" ref="AC16">INDEX($E77:$U77,,AF$12)</f>
        <v>8030</v>
      </c>
      <c r="AD16" s="300">
        <f>'Steel Column'!$F$33/$AB16</f>
        <v>1.6929760414168941E-2</v>
      </c>
      <c r="AE16" s="300">
        <f>0.1*'Steel Column'!$F$33/$AC16</f>
        <v>7.7375119202988812E-3</v>
      </c>
      <c r="AF16" s="301">
        <f t="shared" si="12"/>
        <v>2.4667272334467822E-2</v>
      </c>
      <c r="AG16" s="299" cm="1">
        <f t="array" ref="AG16">INDEX($E16:$U16,,AK$12)</f>
        <v>36700</v>
      </c>
      <c r="AH16" s="300" t="str" cm="1">
        <f t="array" ref="AH16">INDEX($E77:$U77,,AK$12)</f>
        <v>8030</v>
      </c>
      <c r="AI16" s="300">
        <f>'Steel Column'!$F$34/$AG16</f>
        <v>1.7196874954757496E-2</v>
      </c>
      <c r="AJ16" s="300">
        <f>0.1*'Steel Column'!$F$34/$AH16</f>
        <v>7.8595929120747234E-3</v>
      </c>
      <c r="AK16" s="301">
        <f t="shared" si="13"/>
        <v>2.505646786683222E-2</v>
      </c>
      <c r="AL16" s="299" cm="1">
        <f t="array" ref="AL16">INDEX($E16:$U16,,AP$12)</f>
        <v>36700</v>
      </c>
      <c r="AM16" s="300" t="str" cm="1">
        <f t="array" ref="AM16">INDEX($E77:$U77,,AP$12)</f>
        <v>8030</v>
      </c>
      <c r="AN16" s="300">
        <f>'Steel Column'!$F$35/$AL16</f>
        <v>1.0525436485013624E-2</v>
      </c>
      <c r="AO16" s="300">
        <f>0.1*'Steel Column'!$F$35/$AM16</f>
        <v>4.8105045952677467E-3</v>
      </c>
      <c r="AP16" s="301">
        <f t="shared" si="14"/>
        <v>1.5335941080281371E-2</v>
      </c>
      <c r="AQ16" s="300" cm="1">
        <f t="array" ref="AQ16">INDEX($E16:$U16,,AU$12)</f>
        <v>36700</v>
      </c>
      <c r="AR16" s="300" t="str" cm="1">
        <f t="array" ref="AR16">INDEX($E77:$U77,,AU$12)</f>
        <v>8030</v>
      </c>
      <c r="AS16" s="300">
        <f>'Steel Column'!$F$36/$AQ16</f>
        <v>1.0760262415258856E-2</v>
      </c>
      <c r="AT16" s="300">
        <f>0.1*'Steel Column'!$F$36/$AR16</f>
        <v>4.9178285260273969E-3</v>
      </c>
      <c r="AU16" s="301">
        <f t="shared" si="15"/>
        <v>1.5678090941286252E-2</v>
      </c>
      <c r="AV16" s="299">
        <f>'Steel Column'!$F$41/$W16</f>
        <v>1.1944771307901907E-2</v>
      </c>
      <c r="AW16" s="300">
        <f>0.1*'Steel Column'!$F$41/$X16</f>
        <v>5.4591918679950191E-3</v>
      </c>
      <c r="AX16" s="302">
        <f t="shared" si="16"/>
        <v>1.7403963175896927E-2</v>
      </c>
      <c r="AY16" s="300">
        <f>'Steel Column'!$F$42/$AB16</f>
        <v>1.0451256228882834E-2</v>
      </c>
      <c r="AZ16" s="300">
        <f>0.1*'Steel Column'!$F$42/$AC16</f>
        <v>4.776601539227896E-3</v>
      </c>
      <c r="BA16" s="300">
        <f t="shared" si="17"/>
        <v>1.5227857768110729E-2</v>
      </c>
      <c r="BB16" s="299">
        <f>'Steel Column'!$F$43/$AG16</f>
        <v>1.0584813499177113E-2</v>
      </c>
      <c r="BC16" s="300">
        <f>0.1*'Steel Column'!$F$43/$AH16</f>
        <v>4.837642035115817E-3</v>
      </c>
      <c r="BD16" s="301">
        <f t="shared" si="5"/>
        <v>1.5422455534292931E-2</v>
      </c>
      <c r="BE16" s="300">
        <f>'Steel Column'!$F$44/$AL16</f>
        <v>7.2490942643051778E-3</v>
      </c>
      <c r="BF16" s="300">
        <f>0.1*'Steel Column'!$F$44/$AM16</f>
        <v>3.3130978767123291E-3</v>
      </c>
      <c r="BG16" s="300">
        <f t="shared" si="6"/>
        <v>1.0562192141017506E-2</v>
      </c>
      <c r="BH16" s="299">
        <f>'Steel Column'!$F$45/$AQ16</f>
        <v>7.3665072294277923E-3</v>
      </c>
      <c r="BI16" s="300">
        <f>0.1*'Steel Column'!$F$45/$AR16</f>
        <v>3.3667598420921542E-3</v>
      </c>
      <c r="BJ16" s="301">
        <f t="shared" si="7"/>
        <v>1.0733267071519947E-2</v>
      </c>
      <c r="BK16" s="299">
        <f>'Steel Column'!$F$50/$W16</f>
        <v>6.9655736648501368E-3</v>
      </c>
      <c r="BL16" s="300">
        <f>0.1*'Steel Column'!$F$50/$X16</f>
        <v>3.1835187235367377E-3</v>
      </c>
      <c r="BM16" s="300">
        <f t="shared" si="18"/>
        <v>1.0149092388386875E-2</v>
      </c>
      <c r="BN16" s="299">
        <f>'Steel Column'!$F$51/$AB16</f>
        <v>6.2188161253405993E-3</v>
      </c>
      <c r="BO16" s="300">
        <f>0.1*'Steel Column'!$F$51/$AC16</f>
        <v>2.8422235591531756E-3</v>
      </c>
      <c r="BP16" s="301">
        <f t="shared" si="19"/>
        <v>9.0610396844937741E-3</v>
      </c>
      <c r="BQ16" s="299">
        <f>'Steel Column'!$F$52/$AG16</f>
        <v>6.2855947604877399E-3</v>
      </c>
      <c r="BR16" s="300">
        <f>0.1*'Steel Column'!$F$52/$AH16</f>
        <v>2.8727438070971362E-3</v>
      </c>
      <c r="BS16" s="301">
        <f t="shared" si="8"/>
        <v>9.1583385675848769E-3</v>
      </c>
      <c r="BT16" s="300">
        <f>'Steel Column'!$F$53/$AL16</f>
        <v>4.6177351430517714E-3</v>
      </c>
      <c r="BU16" s="300">
        <f>0.1*'Steel Column'!$F$53/$AM16</f>
        <v>2.110471727895392E-3</v>
      </c>
      <c r="BV16" s="300">
        <f t="shared" si="9"/>
        <v>6.7282068709471638E-3</v>
      </c>
      <c r="BW16" s="299">
        <f>'Steel Column'!$F$54/$AQ16</f>
        <v>4.6764416256130795E-3</v>
      </c>
      <c r="BX16" s="300">
        <f>0.1*'Steel Column'!$F$54/$AR16</f>
        <v>2.1373027105853057E-3</v>
      </c>
      <c r="BY16" s="301">
        <f t="shared" si="10"/>
        <v>6.8137443361983852E-3</v>
      </c>
      <c r="CA16" s="284">
        <v>12</v>
      </c>
      <c r="CB16" s="284">
        <f t="shared" si="1"/>
        <v>3.0769230769230771</v>
      </c>
      <c r="CC16" s="284">
        <f t="shared" si="1"/>
        <v>3.1578947368421053</v>
      </c>
      <c r="CD16" s="284">
        <f t="shared" si="1"/>
        <v>3.243243243243243</v>
      </c>
      <c r="CE16" s="284">
        <f t="shared" si="1"/>
        <v>3.1578947368421053</v>
      </c>
      <c r="CF16" s="284">
        <f t="shared" si="1"/>
        <v>3.0769230769230771</v>
      </c>
    </row>
    <row r="17" spans="1:84">
      <c r="A17" s="284" t="s">
        <v>1243</v>
      </c>
      <c r="B17" s="284" t="s">
        <v>1251</v>
      </c>
      <c r="C17" s="298">
        <v>990</v>
      </c>
      <c r="D17" s="284" t="s">
        <v>1245</v>
      </c>
      <c r="E17" s="284">
        <v>37200</v>
      </c>
      <c r="F17" s="284">
        <v>37200</v>
      </c>
      <c r="G17" s="284">
        <v>37200</v>
      </c>
      <c r="H17" s="284">
        <v>36200</v>
      </c>
      <c r="I17" s="284">
        <v>35200</v>
      </c>
      <c r="J17" s="284">
        <v>34300</v>
      </c>
      <c r="K17" s="284">
        <v>33300</v>
      </c>
      <c r="L17" s="284">
        <v>31200</v>
      </c>
      <c r="M17" s="284">
        <v>29000</v>
      </c>
      <c r="N17" s="284">
        <v>26700</v>
      </c>
      <c r="O17" s="284">
        <v>24300</v>
      </c>
      <c r="P17" s="284">
        <v>22000</v>
      </c>
      <c r="Q17" s="284">
        <v>19700</v>
      </c>
      <c r="R17" s="284">
        <v>17600</v>
      </c>
      <c r="S17" s="284">
        <v>15800</v>
      </c>
      <c r="T17" s="284">
        <v>14100</v>
      </c>
      <c r="U17" s="284">
        <v>12700</v>
      </c>
      <c r="V17" s="284" t="s">
        <v>1252</v>
      </c>
      <c r="W17" s="299" cm="1">
        <f t="array" ref="W17">INDEX($E17:$U17,,AA$12)</f>
        <v>33300</v>
      </c>
      <c r="X17" s="300" t="str" cm="1">
        <f t="array" ref="X17">INDEX($E78:$U78,,AA$12)</f>
        <v>7160</v>
      </c>
      <c r="Y17" s="300">
        <f>'Steel Column'!$F$32/W17</f>
        <v>2.1950336756756759E-2</v>
      </c>
      <c r="Z17" s="300">
        <f>0.1*'Steel Column'!$F$32/X17</f>
        <v>1.0208746005586593E-2</v>
      </c>
      <c r="AA17" s="301">
        <f t="shared" si="11"/>
        <v>3.2159082762343354E-2</v>
      </c>
      <c r="AB17" s="299" cm="1">
        <f t="array" ref="AB17">INDEX($E17:$U17,,AF$12)</f>
        <v>33300</v>
      </c>
      <c r="AC17" s="300" t="str" cm="1">
        <f t="array" ref="AC17">INDEX($E78:$U78,,AF$12)</f>
        <v>7160</v>
      </c>
      <c r="AD17" s="300">
        <f>'Steel Column'!$F$33/$AB17</f>
        <v>1.8658324540540543E-2</v>
      </c>
      <c r="AE17" s="300">
        <f>0.1*'Steel Column'!$F$33/$AC17</f>
        <v>8.6776844581005607E-3</v>
      </c>
      <c r="AF17" s="301">
        <f t="shared" si="12"/>
        <v>2.7336008998641102E-2</v>
      </c>
      <c r="AG17" s="299" cm="1">
        <f t="array" ref="AG17">INDEX($E17:$U17,,AK$12)</f>
        <v>33300</v>
      </c>
      <c r="AH17" s="300" t="str" cm="1">
        <f t="array" ref="AH17">INDEX($E78:$U78,,AK$12)</f>
        <v>7160</v>
      </c>
      <c r="AI17" s="300">
        <f>'Steel Column'!$F$34/$AG17</f>
        <v>1.895271203722523E-2</v>
      </c>
      <c r="AJ17" s="300">
        <f>0.1*'Steel Column'!$F$34/$AH17</f>
        <v>8.8145993134022375E-3</v>
      </c>
      <c r="AK17" s="301">
        <f t="shared" si="13"/>
        <v>2.7767311350627467E-2</v>
      </c>
      <c r="AL17" s="299" cm="1">
        <f t="array" ref="AL17">INDEX($E17:$U17,,AP$12)</f>
        <v>33300</v>
      </c>
      <c r="AM17" s="300" t="str" cm="1">
        <f t="array" ref="AM17">INDEX($E78:$U78,,AP$12)</f>
        <v>7160</v>
      </c>
      <c r="AN17" s="300">
        <f>'Steel Column'!$F$35/$AL17</f>
        <v>1.1600105675675676E-2</v>
      </c>
      <c r="AO17" s="300">
        <f>0.1*'Steel Column'!$F$35/$AM17</f>
        <v>5.3950212150837996E-3</v>
      </c>
      <c r="AP17" s="301">
        <f t="shared" si="14"/>
        <v>1.6995126890759476E-2</v>
      </c>
      <c r="AQ17" s="300" cm="1">
        <f t="array" ref="AQ17">INDEX($E17:$U17,,AU$12)</f>
        <v>33300</v>
      </c>
      <c r="AR17" s="300" t="str" cm="1">
        <f t="array" ref="AR17">INDEX($E78:$U78,,AU$12)</f>
        <v>7160</v>
      </c>
      <c r="AS17" s="300">
        <f>'Steel Column'!$F$36/$AQ17</f>
        <v>1.1858907827027027E-2</v>
      </c>
      <c r="AT17" s="300">
        <f>0.1*'Steel Column'!$F$36/$AR17</f>
        <v>5.5153859027932961E-3</v>
      </c>
      <c r="AU17" s="301">
        <f t="shared" si="15"/>
        <v>1.7374293729820321E-2</v>
      </c>
      <c r="AV17" s="299">
        <f>'Steel Column'!$F$41/$W17</f>
        <v>1.3164357567567567E-2</v>
      </c>
      <c r="AW17" s="300">
        <f>0.1*'Steel Column'!$F$41/$X17</f>
        <v>6.1225294273743024E-3</v>
      </c>
      <c r="AX17" s="302">
        <f t="shared" si="16"/>
        <v>1.9286886994941868E-2</v>
      </c>
      <c r="AY17" s="300">
        <f>'Steel Column'!$F$42/$AB17</f>
        <v>1.151835145945946E-2</v>
      </c>
      <c r="AZ17" s="300">
        <f>0.1*'Steel Column'!$F$42/$AC17</f>
        <v>5.3569986536312853E-3</v>
      </c>
      <c r="BA17" s="300">
        <f t="shared" si="17"/>
        <v>1.6875350113090746E-2</v>
      </c>
      <c r="BB17" s="299">
        <f>'Steel Column'!$F$43/$AG17</f>
        <v>1.1665545207801803E-2</v>
      </c>
      <c r="BC17" s="300">
        <f>0.1*'Steel Column'!$F$43/$AH17</f>
        <v>5.4254560812821246E-3</v>
      </c>
      <c r="BD17" s="301">
        <f t="shared" si="5"/>
        <v>1.7091001289083928E-2</v>
      </c>
      <c r="BE17" s="300">
        <f>'Steel Column'!$F$44/$AL17</f>
        <v>7.989242027027027E-3</v>
      </c>
      <c r="BF17" s="300">
        <f>0.1*'Steel Column'!$F$44/$AM17</f>
        <v>3.7156670321229052E-3</v>
      </c>
      <c r="BG17" s="300">
        <f t="shared" si="6"/>
        <v>1.1704909059149933E-2</v>
      </c>
      <c r="BH17" s="299">
        <f>'Steel Column'!$F$45/$AQ17</f>
        <v>8.1186431027027023E-3</v>
      </c>
      <c r="BI17" s="300">
        <f>0.1*'Steel Column'!$F$45/$AR17</f>
        <v>3.7758493759776535E-3</v>
      </c>
      <c r="BJ17" s="301">
        <f t="shared" si="7"/>
        <v>1.1894492478680355E-2</v>
      </c>
      <c r="BK17" s="299">
        <f>'Steel Column'!$F$50/$W17</f>
        <v>7.6767733783783786E-3</v>
      </c>
      <c r="BL17" s="300">
        <f>0.1*'Steel Column'!$F$50/$X17</f>
        <v>3.5703429259776541E-3</v>
      </c>
      <c r="BM17" s="300">
        <f t="shared" si="18"/>
        <v>1.1247116304356033E-2</v>
      </c>
      <c r="BN17" s="299">
        <f>'Steel Column'!$F$51/$AB17</f>
        <v>6.8537703243243247E-3</v>
      </c>
      <c r="BO17" s="300">
        <f>0.1*'Steel Column'!$F$51/$AC17</f>
        <v>3.1875775391061452E-3</v>
      </c>
      <c r="BP17" s="301">
        <f t="shared" si="19"/>
        <v>1.004134786343047E-2</v>
      </c>
      <c r="BQ17" s="299">
        <f>'Steel Column'!$F$52/$AG17</f>
        <v>6.9273671984954972E-3</v>
      </c>
      <c r="BR17" s="300">
        <f>0.1*'Steel Column'!$F$52/$AH17</f>
        <v>3.2218062529315648E-3</v>
      </c>
      <c r="BS17" s="301">
        <f t="shared" si="8"/>
        <v>1.0149173451427062E-2</v>
      </c>
      <c r="BT17" s="300">
        <f>'Steel Column'!$F$53/$AL17</f>
        <v>5.0892156081081084E-3</v>
      </c>
      <c r="BU17" s="300">
        <f>0.1*'Steel Column'!$F$53/$AM17</f>
        <v>2.3669117283519553E-3</v>
      </c>
      <c r="BV17" s="300">
        <f t="shared" si="9"/>
        <v>7.4561273364600637E-3</v>
      </c>
      <c r="BW17" s="299">
        <f>'Steel Column'!$F$54/$AQ17</f>
        <v>5.153916145945946E-3</v>
      </c>
      <c r="BX17" s="300">
        <f>0.1*'Steel Column'!$F$54/$AR17</f>
        <v>2.3970029002793299E-3</v>
      </c>
      <c r="BY17" s="301">
        <f t="shared" si="10"/>
        <v>7.5509190462252759E-3</v>
      </c>
      <c r="CA17" s="284">
        <v>13</v>
      </c>
      <c r="CB17" s="284">
        <f t="shared" si="1"/>
        <v>3.3333333333333335</v>
      </c>
      <c r="CC17" s="284">
        <f t="shared" si="1"/>
        <v>3.4210526315789473</v>
      </c>
      <c r="CD17" s="284">
        <f t="shared" si="1"/>
        <v>3.5135135135135132</v>
      </c>
      <c r="CE17" s="284">
        <f t="shared" si="1"/>
        <v>3.4210526315789473</v>
      </c>
      <c r="CF17" s="284">
        <f t="shared" si="1"/>
        <v>3.3333333333333335</v>
      </c>
    </row>
    <row r="18" spans="1:84">
      <c r="A18" s="284" t="s">
        <v>1243</v>
      </c>
      <c r="B18" s="284" t="s">
        <v>1253</v>
      </c>
      <c r="C18" s="298">
        <v>900</v>
      </c>
      <c r="D18" s="284" t="s">
        <v>1245</v>
      </c>
      <c r="E18" s="284">
        <v>33900</v>
      </c>
      <c r="F18" s="284">
        <v>33900</v>
      </c>
      <c r="G18" s="284">
        <v>33800</v>
      </c>
      <c r="H18" s="284">
        <v>32900</v>
      </c>
      <c r="I18" s="284">
        <v>32000</v>
      </c>
      <c r="J18" s="284">
        <v>31100</v>
      </c>
      <c r="K18" s="284">
        <v>30200</v>
      </c>
      <c r="L18" s="284">
        <v>28300</v>
      </c>
      <c r="M18" s="284">
        <v>26200</v>
      </c>
      <c r="N18" s="284">
        <v>24100</v>
      </c>
      <c r="O18" s="284">
        <v>21900</v>
      </c>
      <c r="P18" s="284">
        <v>19700</v>
      </c>
      <c r="Q18" s="284">
        <v>17700</v>
      </c>
      <c r="R18" s="284">
        <v>15800</v>
      </c>
      <c r="S18" s="284">
        <v>14100</v>
      </c>
      <c r="T18" s="284">
        <v>12600</v>
      </c>
      <c r="U18" s="284">
        <v>11300</v>
      </c>
      <c r="V18" s="284" t="s">
        <v>1254</v>
      </c>
      <c r="W18" s="299" cm="1">
        <f t="array" ref="W18">INDEX($E18:$U18,,AA$12)</f>
        <v>30200</v>
      </c>
      <c r="X18" s="300" t="str" cm="1">
        <f t="array" ref="X18">INDEX($E79:$U79,,AA$12)</f>
        <v>6380</v>
      </c>
      <c r="Y18" s="300">
        <f>'Steel Column'!$F$32/W18</f>
        <v>2.4203517019867553E-2</v>
      </c>
      <c r="Z18" s="300">
        <f>0.1*'Steel Column'!$F$32/X18</f>
        <v>1.1456837210031349E-2</v>
      </c>
      <c r="AA18" s="301">
        <f t="shared" si="11"/>
        <v>3.5660354229898904E-2</v>
      </c>
      <c r="AB18" s="299" cm="1">
        <f t="array" ref="AB18">INDEX($E18:$U18,,AF$12)</f>
        <v>30200</v>
      </c>
      <c r="AC18" s="300" t="str" cm="1">
        <f t="array" ref="AC18">INDEX($E79:$U79,,AF$12)</f>
        <v>6380</v>
      </c>
      <c r="AD18" s="300">
        <f>'Steel Column'!$F$33/$AB18</f>
        <v>2.0573583019867552E-2</v>
      </c>
      <c r="AE18" s="300">
        <f>0.1*'Steel Column'!$F$33/$AC18</f>
        <v>9.7385925893416943E-3</v>
      </c>
      <c r="AF18" s="301">
        <f t="shared" si="12"/>
        <v>3.0312175609209246E-2</v>
      </c>
      <c r="AG18" s="299" cm="1">
        <f t="array" ref="AG18">INDEX($E18:$U18,,AK$12)</f>
        <v>30200</v>
      </c>
      <c r="AH18" s="300" t="str" cm="1">
        <f t="array" ref="AH18">INDEX($E79:$U79,,AK$12)</f>
        <v>6380</v>
      </c>
      <c r="AI18" s="300">
        <f>'Steel Column'!$F$34/$AG18</f>
        <v>2.0898189100649011E-2</v>
      </c>
      <c r="AJ18" s="300">
        <f>0.1*'Steel Column'!$F$34/$AH18</f>
        <v>9.8922462514043925E-3</v>
      </c>
      <c r="AK18" s="301">
        <f t="shared" si="13"/>
        <v>3.0790435352053405E-2</v>
      </c>
      <c r="AL18" s="299" cm="1">
        <f t="array" ref="AL18">INDEX($E18:$U18,,AP$12)</f>
        <v>30200</v>
      </c>
      <c r="AM18" s="300" t="str" cm="1">
        <f t="array" ref="AM18">INDEX($E79:$U79,,AP$12)</f>
        <v>6380</v>
      </c>
      <c r="AN18" s="300">
        <f>'Steel Column'!$F$35/$AL18</f>
        <v>1.2790845E-2</v>
      </c>
      <c r="AO18" s="300">
        <f>0.1*'Steel Column'!$F$35/$AM18</f>
        <v>6.0546006112852675E-3</v>
      </c>
      <c r="AP18" s="301">
        <f t="shared" si="14"/>
        <v>1.8845445611285268E-2</v>
      </c>
      <c r="AQ18" s="300" cm="1">
        <f t="array" ref="AQ18">INDEX($E18:$U18,,AU$12)</f>
        <v>30200</v>
      </c>
      <c r="AR18" s="300" t="str" cm="1">
        <f t="array" ref="AR18">INDEX($E79:$U79,,AU$12)</f>
        <v>6380</v>
      </c>
      <c r="AS18" s="300">
        <f>'Steel Column'!$F$36/$AQ18</f>
        <v>1.3076212935099338E-2</v>
      </c>
      <c r="AT18" s="300">
        <f>0.1*'Steel Column'!$F$36/$AR18</f>
        <v>6.1896807310344833E-3</v>
      </c>
      <c r="AU18" s="301">
        <f t="shared" si="15"/>
        <v>1.9265893666133821E-2</v>
      </c>
      <c r="AV18" s="299">
        <f>'Steel Column'!$F$41/$W18</f>
        <v>1.4515665794701987E-2</v>
      </c>
      <c r="AW18" s="300">
        <f>0.1*'Steel Column'!$F$41/$X18</f>
        <v>6.8710518338557999E-3</v>
      </c>
      <c r="AX18" s="302">
        <f t="shared" si="16"/>
        <v>2.1386717628557789E-2</v>
      </c>
      <c r="AY18" s="300">
        <f>'Steel Column'!$F$42/$AB18</f>
        <v>1.2700698794701988E-2</v>
      </c>
      <c r="AZ18" s="300">
        <f>0.1*'Steel Column'!$F$42/$AC18</f>
        <v>6.0119295235109725E-3</v>
      </c>
      <c r="BA18" s="300">
        <f t="shared" si="17"/>
        <v>1.8712628318212961E-2</v>
      </c>
      <c r="BB18" s="299">
        <f>'Steel Column'!$F$43/$AG18</f>
        <v>1.2863001835092718E-2</v>
      </c>
      <c r="BC18" s="300">
        <f>0.1*'Steel Column'!$F$43/$AH18</f>
        <v>6.0887563545423216E-3</v>
      </c>
      <c r="BD18" s="301">
        <f t="shared" si="5"/>
        <v>1.8951758189635039E-2</v>
      </c>
      <c r="BE18" s="300">
        <f>'Steel Column'!$F$44/$AL18</f>
        <v>8.8093297847682116E-3</v>
      </c>
      <c r="BF18" s="300">
        <f>0.1*'Steel Column'!$F$44/$AM18</f>
        <v>4.1699335344827591E-3</v>
      </c>
      <c r="BG18" s="300">
        <f t="shared" si="6"/>
        <v>1.2979263319250971E-2</v>
      </c>
      <c r="BH18" s="299">
        <f>'Steel Column'!$F$45/$AQ18</f>
        <v>8.9520137523178799E-3</v>
      </c>
      <c r="BI18" s="300">
        <f>0.1*'Steel Column'!$F$45/$AR18</f>
        <v>4.2374735943573666E-3</v>
      </c>
      <c r="BJ18" s="301">
        <f t="shared" si="7"/>
        <v>1.3189487346675247E-2</v>
      </c>
      <c r="BK18" s="299">
        <f>'Steel Column'!$F$50/$W18</f>
        <v>8.4647865397351005E-3</v>
      </c>
      <c r="BL18" s="300">
        <f>0.1*'Steel Column'!$F$50/$X18</f>
        <v>4.0068425313479631E-3</v>
      </c>
      <c r="BM18" s="300">
        <f t="shared" si="18"/>
        <v>1.2471629071083064E-2</v>
      </c>
      <c r="BN18" s="299">
        <f>'Steel Column'!$F$51/$AB18</f>
        <v>7.5573030397350993E-3</v>
      </c>
      <c r="BO18" s="300">
        <f>0.1*'Steel Column'!$F$51/$AC18</f>
        <v>3.5772813761755489E-3</v>
      </c>
      <c r="BP18" s="301">
        <f t="shared" si="19"/>
        <v>1.1134584415910649E-2</v>
      </c>
      <c r="BQ18" s="299">
        <f>'Steel Column'!$F$52/$AG18</f>
        <v>7.6384545599304651E-3</v>
      </c>
      <c r="BR18" s="300">
        <f>0.1*'Steel Column'!$F$52/$AH18</f>
        <v>3.6156947916912235E-3</v>
      </c>
      <c r="BS18" s="301">
        <f t="shared" si="8"/>
        <v>1.1254149351621688E-2</v>
      </c>
      <c r="BT18" s="300">
        <f>'Steel Column'!$F$53/$AL18</f>
        <v>5.611618534768212E-3</v>
      </c>
      <c r="BU18" s="300">
        <f>0.1*'Steel Column'!$F$53/$AM18</f>
        <v>2.6562833816614418E-3</v>
      </c>
      <c r="BV18" s="300">
        <f t="shared" si="9"/>
        <v>8.2679019164296538E-3</v>
      </c>
      <c r="BW18" s="299">
        <f>'Steel Column'!$F$54/$AQ18</f>
        <v>5.682960518543047E-3</v>
      </c>
      <c r="BX18" s="300">
        <f>0.1*'Steel Column'!$F$54/$AR18</f>
        <v>2.6900534115987464E-3</v>
      </c>
      <c r="BY18" s="301">
        <f t="shared" si="10"/>
        <v>8.3730139301417938E-3</v>
      </c>
      <c r="CA18" s="284">
        <v>14</v>
      </c>
      <c r="CB18" s="284">
        <f t="shared" si="1"/>
        <v>3.5897435897435899</v>
      </c>
      <c r="CC18" s="284">
        <f t="shared" si="1"/>
        <v>3.6842105263157898</v>
      </c>
      <c r="CD18" s="284">
        <f t="shared" si="1"/>
        <v>3.7837837837837838</v>
      </c>
      <c r="CE18" s="284">
        <f t="shared" si="1"/>
        <v>3.6842105263157898</v>
      </c>
      <c r="CF18" s="284">
        <f t="shared" si="1"/>
        <v>3.5897435897435899</v>
      </c>
    </row>
    <row r="19" spans="1:84">
      <c r="A19" s="284" t="s">
        <v>1243</v>
      </c>
      <c r="B19" s="284" t="s">
        <v>1255</v>
      </c>
      <c r="C19" s="298">
        <v>818</v>
      </c>
      <c r="D19" s="284" t="s">
        <v>1245</v>
      </c>
      <c r="E19" s="284">
        <v>32900</v>
      </c>
      <c r="F19" s="284">
        <v>32900</v>
      </c>
      <c r="G19" s="284">
        <v>32600</v>
      </c>
      <c r="H19" s="284">
        <v>31700</v>
      </c>
      <c r="I19" s="284">
        <v>30800</v>
      </c>
      <c r="J19" s="284">
        <v>29900</v>
      </c>
      <c r="K19" s="284">
        <v>28900</v>
      </c>
      <c r="L19" s="284">
        <v>26900</v>
      </c>
      <c r="M19" s="284">
        <v>24800</v>
      </c>
      <c r="N19" s="284">
        <v>22600</v>
      </c>
      <c r="O19" s="284">
        <v>20400</v>
      </c>
      <c r="P19" s="284">
        <v>18300</v>
      </c>
      <c r="Q19" s="284">
        <v>16200</v>
      </c>
      <c r="R19" s="284">
        <v>14400</v>
      </c>
      <c r="S19" s="284">
        <v>12800</v>
      </c>
      <c r="T19" s="284">
        <v>11400</v>
      </c>
      <c r="U19" s="284">
        <v>10200</v>
      </c>
      <c r="V19" s="284" t="s">
        <v>1256</v>
      </c>
      <c r="W19" s="299" cm="1">
        <f t="array" ref="W19">INDEX($E19:$U19,,AA$12)</f>
        <v>28900</v>
      </c>
      <c r="X19" s="300" t="str" cm="1">
        <f t="array" ref="X19">INDEX($E80:$U80,,AA$12)</f>
        <v>6070</v>
      </c>
      <c r="Y19" s="300">
        <f>'Steel Column'!$F$32/W19</f>
        <v>2.529225653979239E-2</v>
      </c>
      <c r="Z19" s="300">
        <f>0.1*'Steel Column'!$F$32/X19</f>
        <v>1.2041947512355849E-2</v>
      </c>
      <c r="AA19" s="301">
        <f t="shared" si="11"/>
        <v>3.733420405214824E-2</v>
      </c>
      <c r="AB19" s="299" cm="1">
        <f t="array" ref="AB19">INDEX($E19:$U19,,AF$12)</f>
        <v>28900</v>
      </c>
      <c r="AC19" s="300" t="str" cm="1">
        <f t="array" ref="AC19">INDEX($E80:$U80,,AF$12)</f>
        <v>6070</v>
      </c>
      <c r="AD19" s="300">
        <f>'Steel Column'!$F$33/$AB19</f>
        <v>2.1499038311418688E-2</v>
      </c>
      <c r="AE19" s="300">
        <f>0.1*'Steel Column'!$F$33/$AC19</f>
        <v>1.0235950695222408E-2</v>
      </c>
      <c r="AF19" s="301">
        <f t="shared" si="12"/>
        <v>3.1734989006641096E-2</v>
      </c>
      <c r="AG19" s="299" cm="1">
        <f t="array" ref="AG19">INDEX($E19:$U19,,AK$12)</f>
        <v>28900</v>
      </c>
      <c r="AH19" s="300" t="str" cm="1">
        <f t="array" ref="AH19">INDEX($E80:$U80,,AK$12)</f>
        <v>6070</v>
      </c>
      <c r="AI19" s="300">
        <f>'Steel Column'!$F$34/$AG19</f>
        <v>2.1838246049813156E-2</v>
      </c>
      <c r="AJ19" s="300">
        <f>0.1*'Steel Column'!$F$34/$AH19</f>
        <v>1.0397451578906099E-2</v>
      </c>
      <c r="AK19" s="301">
        <f t="shared" si="13"/>
        <v>3.2235697628719251E-2</v>
      </c>
      <c r="AL19" s="299" cm="1">
        <f t="array" ref="AL19">INDEX($E19:$U19,,AP$12)</f>
        <v>28900</v>
      </c>
      <c r="AM19" s="300" t="str" cm="1">
        <f t="array" ref="AM19">INDEX($E80:$U80,,AP$12)</f>
        <v>6070</v>
      </c>
      <c r="AN19" s="300">
        <f>'Steel Column'!$F$35/$AL19</f>
        <v>1.3366211730103807E-2</v>
      </c>
      <c r="AO19" s="300">
        <f>0.1*'Steel Column'!$F$35/$AM19</f>
        <v>6.3638141515650753E-3</v>
      </c>
      <c r="AP19" s="301">
        <f t="shared" si="14"/>
        <v>1.9730025881668882E-2</v>
      </c>
      <c r="AQ19" s="300" cm="1">
        <f t="array" ref="AQ19">INDEX($E19:$U19,,AU$12)</f>
        <v>28900</v>
      </c>
      <c r="AR19" s="300" t="str" cm="1">
        <f t="array" ref="AR19">INDEX($E80:$U80,,AU$12)</f>
        <v>6070</v>
      </c>
      <c r="AS19" s="300">
        <f>'Steel Column'!$F$36/$AQ19</f>
        <v>1.3664416285121108E-2</v>
      </c>
      <c r="AT19" s="300">
        <f>0.1*'Steel Column'!$F$36/$AR19</f>
        <v>6.5057929265238878E-3</v>
      </c>
      <c r="AU19" s="301">
        <f t="shared" si="15"/>
        <v>2.0170209211644995E-2</v>
      </c>
      <c r="AV19" s="299">
        <f>'Steel Column'!$F$41/$W19</f>
        <v>1.5168619619377164E-2</v>
      </c>
      <c r="AW19" s="300">
        <f>0.1*'Steel Column'!$F$41/$X19</f>
        <v>7.2219622240527193E-3</v>
      </c>
      <c r="AX19" s="302">
        <f t="shared" si="16"/>
        <v>2.2390581843429881E-2</v>
      </c>
      <c r="AY19" s="300">
        <f>'Steel Column'!$F$42/$AB19</f>
        <v>1.3272010505190312E-2</v>
      </c>
      <c r="AZ19" s="300">
        <f>0.1*'Steel Column'!$F$42/$AC19</f>
        <v>6.3189638154859968E-3</v>
      </c>
      <c r="BA19" s="300">
        <f t="shared" si="17"/>
        <v>1.9590974320676309E-2</v>
      </c>
      <c r="BB19" s="299">
        <f>'Steel Column'!$F$43/$AG19</f>
        <v>1.3441614374387545E-2</v>
      </c>
      <c r="BC19" s="300">
        <f>0.1*'Steel Column'!$F$43/$AH19</f>
        <v>6.3997142573278439E-3</v>
      </c>
      <c r="BD19" s="301">
        <f t="shared" si="5"/>
        <v>1.9841328631715387E-2</v>
      </c>
      <c r="BE19" s="300">
        <f>'Steel Column'!$F$44/$AL19</f>
        <v>9.2055972145328718E-3</v>
      </c>
      <c r="BF19" s="300">
        <f>0.1*'Steel Column'!$F$44/$AM19</f>
        <v>4.3828955436573313E-3</v>
      </c>
      <c r="BG19" s="300">
        <f t="shared" si="6"/>
        <v>1.3588492758190202E-2</v>
      </c>
      <c r="BH19" s="299">
        <f>'Steel Column'!$F$45/$AQ19</f>
        <v>9.3546994920415214E-3</v>
      </c>
      <c r="BI19" s="300">
        <f>0.1*'Steel Column'!$F$45/$AR19</f>
        <v>4.453884931136738E-3</v>
      </c>
      <c r="BJ19" s="301">
        <f t="shared" si="7"/>
        <v>1.3808584423178259E-2</v>
      </c>
      <c r="BK19" s="299">
        <f>'Steel Column'!$F$50/$W19</f>
        <v>8.845555484429066E-3</v>
      </c>
      <c r="BL19" s="300">
        <f>0.1*'Steel Column'!$F$50/$X19</f>
        <v>4.2114753459637569E-3</v>
      </c>
      <c r="BM19" s="300">
        <f t="shared" si="18"/>
        <v>1.3057030830392823E-2</v>
      </c>
      <c r="BN19" s="299">
        <f>'Steel Column'!$F$51/$AB19</f>
        <v>7.8972509273356403E-3</v>
      </c>
      <c r="BO19" s="300">
        <f>0.1*'Steel Column'!$F$51/$AC19</f>
        <v>3.7599761416803957E-3</v>
      </c>
      <c r="BP19" s="301">
        <f t="shared" si="19"/>
        <v>1.1657227069016035E-2</v>
      </c>
      <c r="BQ19" s="299">
        <f>'Steel Column'!$F$52/$AG19</f>
        <v>7.9820528619342582E-3</v>
      </c>
      <c r="BR19" s="300">
        <f>0.1*'Steel Column'!$F$52/$AH19</f>
        <v>3.8003513626013188E-3</v>
      </c>
      <c r="BS19" s="301">
        <f t="shared" si="8"/>
        <v>1.1782404224535577E-2</v>
      </c>
      <c r="BT19" s="300">
        <f>'Steel Column'!$F$53/$AL19</f>
        <v>5.8640442820069201E-3</v>
      </c>
      <c r="BU19" s="300">
        <f>0.1*'Steel Column'!$F$53/$AM19</f>
        <v>2.7919420057660625E-3</v>
      </c>
      <c r="BV19" s="300">
        <f t="shared" si="9"/>
        <v>8.6559862877729835E-3</v>
      </c>
      <c r="BW19" s="299">
        <f>'Steel Column'!$F$54/$AQ19</f>
        <v>5.9385954207612458E-3</v>
      </c>
      <c r="BX19" s="300">
        <f>0.1*'Steel Column'!$F$54/$AR19</f>
        <v>2.8274366995057667E-3</v>
      </c>
      <c r="BY19" s="301">
        <f t="shared" si="10"/>
        <v>8.7660321202670116E-3</v>
      </c>
      <c r="CB19" s="284">
        <f>((CB2-1)^2)^0.5</f>
        <v>0.74358974358974361</v>
      </c>
      <c r="CC19" s="284">
        <f t="shared" ref="CC19:CF19" si="20">((CC2-1)^2)^0.5</f>
        <v>0.73684210526315796</v>
      </c>
      <c r="CD19" s="284">
        <f t="shared" si="20"/>
        <v>0.72972972972972983</v>
      </c>
      <c r="CE19" s="284">
        <f t="shared" si="20"/>
        <v>0.73684210526315796</v>
      </c>
      <c r="CF19" s="284">
        <f t="shared" si="20"/>
        <v>0.74358974358974361</v>
      </c>
    </row>
    <row r="20" spans="1:84">
      <c r="A20" s="284" t="s">
        <v>1243</v>
      </c>
      <c r="B20" s="284" t="s">
        <v>1257</v>
      </c>
      <c r="C20" s="298">
        <v>744</v>
      </c>
      <c r="D20" s="284" t="s">
        <v>1245</v>
      </c>
      <c r="E20" s="284">
        <v>29900</v>
      </c>
      <c r="F20" s="284">
        <v>29900</v>
      </c>
      <c r="G20" s="284">
        <v>29600</v>
      </c>
      <c r="H20" s="284">
        <v>28700</v>
      </c>
      <c r="I20" s="284">
        <v>27900</v>
      </c>
      <c r="J20" s="284">
        <v>27100</v>
      </c>
      <c r="K20" s="284">
        <v>26200</v>
      </c>
      <c r="L20" s="284">
        <v>24400</v>
      </c>
      <c r="M20" s="284">
        <v>22400</v>
      </c>
      <c r="N20" s="284">
        <v>20400</v>
      </c>
      <c r="O20" s="284">
        <v>18300</v>
      </c>
      <c r="P20" s="284">
        <v>16400</v>
      </c>
      <c r="Q20" s="284">
        <v>14500</v>
      </c>
      <c r="R20" s="284">
        <v>12900</v>
      </c>
      <c r="S20" s="284">
        <v>11400</v>
      </c>
      <c r="T20" s="284">
        <v>10200</v>
      </c>
      <c r="U20" s="284">
        <v>9070</v>
      </c>
      <c r="V20" s="284" t="s">
        <v>1258</v>
      </c>
      <c r="W20" s="299" cm="1">
        <f t="array" ref="W20">INDEX($E20:$U20,,AA$12)</f>
        <v>26200</v>
      </c>
      <c r="X20" s="300" t="str" cm="1">
        <f t="array" ref="X20">INDEX($E81:$U81,,AA$12)</f>
        <v>5410</v>
      </c>
      <c r="Y20" s="300">
        <f>'Steel Column'!$F$32/W20</f>
        <v>2.7898710458015268E-2</v>
      </c>
      <c r="Z20" s="300">
        <f>0.1*'Steel Column'!$F$32/X20</f>
        <v>1.3511020591497228E-2</v>
      </c>
      <c r="AA20" s="301">
        <f t="shared" si="11"/>
        <v>4.1409731049512497E-2</v>
      </c>
      <c r="AB20" s="299" cm="1">
        <f t="array" ref="AB20">INDEX($E20:$U20,,AF$12)</f>
        <v>26200</v>
      </c>
      <c r="AC20" s="300" t="str" cm="1">
        <f t="array" ref="AC20">INDEX($E81:$U81,,AF$12)</f>
        <v>5410</v>
      </c>
      <c r="AD20" s="300">
        <f>'Steel Column'!$F$33/$AB20</f>
        <v>2.3714588061068707E-2</v>
      </c>
      <c r="AE20" s="300">
        <f>0.1*'Steel Column'!$F$33/$AC20</f>
        <v>1.1484698839186694E-2</v>
      </c>
      <c r="AF20" s="301">
        <f t="shared" si="12"/>
        <v>3.5199286900255401E-2</v>
      </c>
      <c r="AG20" s="299" cm="1">
        <f t="array" ref="AG20">INDEX($E20:$U20,,AK$12)</f>
        <v>26200</v>
      </c>
      <c r="AH20" s="300" t="str" cm="1">
        <f t="array" ref="AH20">INDEX($E81:$U81,,AK$12)</f>
        <v>5410</v>
      </c>
      <c r="AI20" s="300">
        <f>'Steel Column'!$F$34/$AG20</f>
        <v>2.4088752322122143E-2</v>
      </c>
      <c r="AJ20" s="300">
        <f>0.1*'Steel Column'!$F$34/$AH20</f>
        <v>1.1665902233634015E-2</v>
      </c>
      <c r="AK20" s="301">
        <f t="shared" si="13"/>
        <v>3.575465455575616E-2</v>
      </c>
      <c r="AL20" s="299" cm="1">
        <f t="array" ref="AL20">INDEX($E20:$U20,,AP$12)</f>
        <v>26200</v>
      </c>
      <c r="AM20" s="300" t="str" cm="1">
        <f t="array" ref="AM20">INDEX($E81:$U81,,AP$12)</f>
        <v>5410</v>
      </c>
      <c r="AN20" s="300">
        <f>'Steel Column'!$F$35/$AL20</f>
        <v>1.4743645763358779E-2</v>
      </c>
      <c r="AO20" s="300">
        <f>0.1*'Steel Column'!$F$35/$AM20</f>
        <v>7.1401759519408511E-3</v>
      </c>
      <c r="AP20" s="301">
        <f t="shared" si="14"/>
        <v>2.188382171529963E-2</v>
      </c>
      <c r="AQ20" s="300" cm="1">
        <f t="array" ref="AQ20">INDEX($E20:$U20,,AU$12)</f>
        <v>26200</v>
      </c>
      <c r="AR20" s="300" t="str" cm="1">
        <f t="array" ref="AR20">INDEX($E81:$U81,,AU$12)</f>
        <v>5410</v>
      </c>
      <c r="AS20" s="300">
        <f>'Steel Column'!$F$36/$AQ20</f>
        <v>1.5072581322137405E-2</v>
      </c>
      <c r="AT20" s="300">
        <f>0.1*'Steel Column'!$F$36/$AR20</f>
        <v>7.2994756125693162E-3</v>
      </c>
      <c r="AU20" s="301">
        <f t="shared" si="15"/>
        <v>2.2372056934706723E-2</v>
      </c>
      <c r="AV20" s="299">
        <f>'Steel Column'!$F$41/$W20</f>
        <v>1.6731797977099238E-2</v>
      </c>
      <c r="AW20" s="300">
        <f>0.1*'Steel Column'!$F$41/$X20</f>
        <v>8.1030149168207031E-3</v>
      </c>
      <c r="AX20" s="302">
        <f t="shared" si="16"/>
        <v>2.4834812893919943E-2</v>
      </c>
      <c r="AY20" s="300">
        <f>'Steel Column'!$F$42/$AB20</f>
        <v>1.4639736778625956E-2</v>
      </c>
      <c r="AZ20" s="300">
        <f>0.1*'Steel Column'!$F$42/$AC20</f>
        <v>7.089854040665435E-3</v>
      </c>
      <c r="BA20" s="300">
        <f t="shared" si="17"/>
        <v>2.1729590819291392E-2</v>
      </c>
      <c r="BB20" s="299">
        <f>'Steel Column'!$F$43/$AG20</f>
        <v>1.4826818909152674E-2</v>
      </c>
      <c r="BC20" s="300">
        <f>0.1*'Steel Column'!$F$43/$AH20</f>
        <v>7.1804557378890958E-3</v>
      </c>
      <c r="BD20" s="301">
        <f t="shared" si="5"/>
        <v>2.2007274647041768E-2</v>
      </c>
      <c r="BE20" s="300">
        <f>'Steel Column'!$F$44/$AL20</f>
        <v>1.0154265629770993E-2</v>
      </c>
      <c r="BF20" s="300">
        <f>0.1*'Steel Column'!$F$44/$AM20</f>
        <v>4.9175925970425145E-3</v>
      </c>
      <c r="BG20" s="300">
        <f t="shared" si="6"/>
        <v>1.5071858226813508E-2</v>
      </c>
      <c r="BH20" s="299">
        <f>'Steel Column'!$F$45/$AQ20</f>
        <v>1.0318733409160305E-2</v>
      </c>
      <c r="BI20" s="300">
        <f>0.1*'Steel Column'!$F$45/$AR20</f>
        <v>4.997242427356747E-3</v>
      </c>
      <c r="BJ20" s="301">
        <f t="shared" si="7"/>
        <v>1.5315975836517053E-2</v>
      </c>
      <c r="BK20" s="299">
        <f>'Steel Column'!$F$50/$W20</f>
        <v>9.75712036259542E-3</v>
      </c>
      <c r="BL20" s="300">
        <f>0.1*'Steel Column'!$F$50/$X20</f>
        <v>4.725259768946396E-3</v>
      </c>
      <c r="BM20" s="300">
        <f t="shared" si="18"/>
        <v>1.4482380131541815E-2</v>
      </c>
      <c r="BN20" s="299">
        <f>'Steel Column'!$F$51/$AB20</f>
        <v>8.711089763358779E-3</v>
      </c>
      <c r="BO20" s="300">
        <f>0.1*'Steel Column'!$F$51/$AC20</f>
        <v>4.2186793308687616E-3</v>
      </c>
      <c r="BP20" s="301">
        <f t="shared" si="19"/>
        <v>1.292976909422754E-2</v>
      </c>
      <c r="BQ20" s="299">
        <f>'Steel Column'!$F$52/$AG20</f>
        <v>8.8046308286221387E-3</v>
      </c>
      <c r="BR20" s="300">
        <f>0.1*'Steel Column'!$F$52/$AH20</f>
        <v>4.2639801794805924E-3</v>
      </c>
      <c r="BS20" s="301">
        <f t="shared" si="8"/>
        <v>1.3068611008102731E-2</v>
      </c>
      <c r="BT20" s="300">
        <f>'Steel Column'!$F$53/$AL20</f>
        <v>6.4683541889312976E-3</v>
      </c>
      <c r="BU20" s="300">
        <f>0.1*'Steel Column'!$F$53/$AM20</f>
        <v>3.1325486090573009E-3</v>
      </c>
      <c r="BV20" s="300">
        <f t="shared" si="9"/>
        <v>9.6009027979885985E-3</v>
      </c>
      <c r="BW20" s="299">
        <f>'Steel Column'!$F$54/$AQ20</f>
        <v>6.5505880786259543E-3</v>
      </c>
      <c r="BX20" s="300">
        <f>0.1*'Steel Column'!$F$54/$AR20</f>
        <v>3.1723735242144184E-3</v>
      </c>
      <c r="BY20" s="301">
        <f t="shared" si="10"/>
        <v>9.7229616028403736E-3</v>
      </c>
      <c r="CB20" s="284">
        <f t="shared" ref="CB20:CF35" si="21">((CB3-1)^2)^0.5</f>
        <v>0.61538461538461542</v>
      </c>
      <c r="CC20" s="284">
        <f t="shared" si="21"/>
        <v>0.60526315789473684</v>
      </c>
      <c r="CD20" s="284">
        <f t="shared" si="21"/>
        <v>0.59459459459459463</v>
      </c>
      <c r="CE20" s="284">
        <f t="shared" si="21"/>
        <v>0.60526315789473684</v>
      </c>
      <c r="CF20" s="284">
        <f t="shared" si="21"/>
        <v>0.61538461538461542</v>
      </c>
    </row>
    <row r="21" spans="1:84">
      <c r="A21" s="284" t="s">
        <v>1243</v>
      </c>
      <c r="B21" s="284" t="s">
        <v>1259</v>
      </c>
      <c r="C21" s="298">
        <v>677</v>
      </c>
      <c r="D21" s="284" t="s">
        <v>1245</v>
      </c>
      <c r="E21" s="284">
        <v>27200</v>
      </c>
      <c r="F21" s="284">
        <v>27200</v>
      </c>
      <c r="G21" s="284">
        <v>26900</v>
      </c>
      <c r="H21" s="284">
        <v>26100</v>
      </c>
      <c r="I21" s="284">
        <v>25400</v>
      </c>
      <c r="J21" s="284">
        <v>24600</v>
      </c>
      <c r="K21" s="284">
        <v>23800</v>
      </c>
      <c r="L21" s="284">
        <v>22100</v>
      </c>
      <c r="M21" s="284">
        <v>20300</v>
      </c>
      <c r="N21" s="284">
        <v>18400</v>
      </c>
      <c r="O21" s="284">
        <v>16500</v>
      </c>
      <c r="P21" s="284">
        <v>14700</v>
      </c>
      <c r="Q21" s="284">
        <v>13100</v>
      </c>
      <c r="R21" s="284">
        <v>11600</v>
      </c>
      <c r="S21" s="284">
        <v>10200</v>
      </c>
      <c r="T21" s="284">
        <v>9100</v>
      </c>
      <c r="U21" s="284">
        <v>8120</v>
      </c>
      <c r="V21" s="284" t="s">
        <v>1260</v>
      </c>
      <c r="W21" s="299" cm="1">
        <f t="array" ref="W21">INDEX($E21:$U21,,AA$12)</f>
        <v>23800</v>
      </c>
      <c r="X21" s="300" t="str" cm="1">
        <f t="array" ref="X21">INDEX($E82:$U82,,AA$12)</f>
        <v>4840</v>
      </c>
      <c r="Y21" s="300">
        <f>'Steel Column'!$F$32/W21</f>
        <v>3.0712025798319331E-2</v>
      </c>
      <c r="Z21" s="300">
        <f>0.1*'Steel Column'!$F$32/X21</f>
        <v>1.5102194504132234E-2</v>
      </c>
      <c r="AA21" s="301">
        <f t="shared" si="11"/>
        <v>4.5814220302451567E-2</v>
      </c>
      <c r="AB21" s="299" cm="1">
        <f t="array" ref="AB21">INDEX($E21:$U21,,AF$12)</f>
        <v>23800</v>
      </c>
      <c r="AC21" s="300" t="str" cm="1">
        <f t="array" ref="AC21">INDEX($E82:$U82,,AF$12)</f>
        <v>4840</v>
      </c>
      <c r="AD21" s="300">
        <f>'Steel Column'!$F$33/$AB21</f>
        <v>2.6105975092436978E-2</v>
      </c>
      <c r="AE21" s="300">
        <f>0.1*'Steel Column'!$F$33/$AC21</f>
        <v>1.2837235685950415E-2</v>
      </c>
      <c r="AF21" s="301">
        <f t="shared" si="12"/>
        <v>3.8943210778387395E-2</v>
      </c>
      <c r="AG21" s="299" cm="1">
        <f t="array" ref="AG21">INDEX($E21:$U21,,AK$12)</f>
        <v>23800</v>
      </c>
      <c r="AH21" s="300" t="str" cm="1">
        <f t="array" ref="AH21">INDEX($E82:$U82,,AK$12)</f>
        <v>4840</v>
      </c>
      <c r="AI21" s="300">
        <f>'Steel Column'!$F$34/$AG21</f>
        <v>2.6517870203344545E-2</v>
      </c>
      <c r="AJ21" s="300">
        <f>0.1*'Steel Column'!$F$34/$AH21</f>
        <v>1.3039779149578518E-2</v>
      </c>
      <c r="AK21" s="301">
        <f t="shared" si="13"/>
        <v>3.9557649352923066E-2</v>
      </c>
      <c r="AL21" s="299" cm="1">
        <f t="array" ref="AL21">INDEX($E21:$U21,,AP$12)</f>
        <v>23800</v>
      </c>
      <c r="AM21" s="300" t="str" cm="1">
        <f t="array" ref="AM21">INDEX($E82:$U82,,AP$12)</f>
        <v>4840</v>
      </c>
      <c r="AN21" s="300">
        <f>'Steel Column'!$F$35/$AL21</f>
        <v>1.6230399957983192E-2</v>
      </c>
      <c r="AO21" s="300">
        <f>0.1*'Steel Column'!$F$35/$AM21</f>
        <v>7.9810644421487616E-3</v>
      </c>
      <c r="AP21" s="301">
        <f t="shared" si="14"/>
        <v>2.4211464400131954E-2</v>
      </c>
      <c r="AQ21" s="300" cm="1">
        <f t="array" ref="AQ21">INDEX($E21:$U21,,AU$12)</f>
        <v>23800</v>
      </c>
      <c r="AR21" s="300" t="str" cm="1">
        <f t="array" ref="AR21">INDEX($E82:$U82,,AU$12)</f>
        <v>4840</v>
      </c>
      <c r="AS21" s="300">
        <f>'Steel Column'!$F$36/$AQ21</f>
        <v>1.6592505489075631E-2</v>
      </c>
      <c r="AT21" s="300">
        <f>0.1*'Steel Column'!$F$36/$AR21</f>
        <v>8.1591245999999996E-3</v>
      </c>
      <c r="AU21" s="301">
        <f t="shared" si="15"/>
        <v>2.4751630089075632E-2</v>
      </c>
      <c r="AV21" s="299">
        <f>'Steel Column'!$F$41/$W21</f>
        <v>1.8419038109243696E-2</v>
      </c>
      <c r="AW21" s="300">
        <f>0.1*'Steel Column'!$F$41/$X21</f>
        <v>9.0572955991735545E-3</v>
      </c>
      <c r="AX21" s="302">
        <f t="shared" si="16"/>
        <v>2.7476333708417251E-2</v>
      </c>
      <c r="AY21" s="300">
        <f>'Steel Column'!$F$42/$AB21</f>
        <v>1.6116012756302523E-2</v>
      </c>
      <c r="AZ21" s="300">
        <f>0.1*'Steel Column'!$F$42/$AC21</f>
        <v>7.9248161900826453E-3</v>
      </c>
      <c r="BA21" s="300">
        <f t="shared" si="17"/>
        <v>2.4040828946385168E-2</v>
      </c>
      <c r="BB21" s="299">
        <f>'Steel Column'!$F$43/$AG21</f>
        <v>1.6321960311756305E-2</v>
      </c>
      <c r="BC21" s="300">
        <f>0.1*'Steel Column'!$F$43/$AH21</f>
        <v>8.0260879218966956E-3</v>
      </c>
      <c r="BD21" s="301">
        <f t="shared" si="5"/>
        <v>2.4348048233653E-2</v>
      </c>
      <c r="BE21" s="300">
        <f>'Steel Column'!$F$44/$AL21</f>
        <v>1.117822518907563E-2</v>
      </c>
      <c r="BF21" s="300">
        <f>0.1*'Steel Column'!$F$44/$AM21</f>
        <v>5.4967305681818185E-3</v>
      </c>
      <c r="BG21" s="300">
        <f t="shared" si="6"/>
        <v>1.6674955757257449E-2</v>
      </c>
      <c r="BH21" s="299">
        <f>'Steel Column'!$F$45/$AQ21</f>
        <v>1.1359277954621848E-2</v>
      </c>
      <c r="BI21" s="300">
        <f>0.1*'Steel Column'!$F$45/$AR21</f>
        <v>5.5857606471074383E-3</v>
      </c>
      <c r="BJ21" s="301">
        <f t="shared" si="7"/>
        <v>1.6945038601729287E-2</v>
      </c>
      <c r="BK21" s="299">
        <f>'Steel Column'!$F$50/$W21</f>
        <v>1.0741031659663867E-2</v>
      </c>
      <c r="BL21" s="300">
        <f>0.1*'Steel Column'!$F$50/$X21</f>
        <v>5.2817469731404965E-3</v>
      </c>
      <c r="BM21" s="300">
        <f t="shared" si="18"/>
        <v>1.6022778632804362E-2</v>
      </c>
      <c r="BN21" s="299">
        <f>'Steel Column'!$F$51/$AB21</f>
        <v>9.5895189831932768E-3</v>
      </c>
      <c r="BO21" s="300">
        <f>0.1*'Steel Column'!$F$51/$AC21</f>
        <v>4.7155072685950419E-3</v>
      </c>
      <c r="BP21" s="301">
        <f t="shared" si="19"/>
        <v>1.4305026251788318E-2</v>
      </c>
      <c r="BQ21" s="299">
        <f>'Steel Column'!$F$52/$AG21</f>
        <v>9.6924927609201694E-3</v>
      </c>
      <c r="BR21" s="300">
        <f>0.1*'Steel Column'!$F$52/$AH21</f>
        <v>4.7661431345020671E-3</v>
      </c>
      <c r="BS21" s="301">
        <f t="shared" si="8"/>
        <v>1.4458635895422237E-2</v>
      </c>
      <c r="BT21" s="300">
        <f>'Steel Column'!$F$53/$AL21</f>
        <v>7.120625199579832E-3</v>
      </c>
      <c r="BU21" s="300">
        <f>0.1*'Steel Column'!$F$53/$AM21</f>
        <v>3.5014644576446276E-3</v>
      </c>
      <c r="BV21" s="300">
        <f t="shared" si="9"/>
        <v>1.062208965722446E-2</v>
      </c>
      <c r="BW21" s="299">
        <f>'Steel Column'!$F$54/$AQ21</f>
        <v>7.2111515823529418E-3</v>
      </c>
      <c r="BX21" s="300">
        <f>0.1*'Steel Column'!$F$54/$AR21</f>
        <v>3.5459794971074384E-3</v>
      </c>
      <c r="BY21" s="301">
        <f t="shared" si="10"/>
        <v>1.0757131079460381E-2</v>
      </c>
      <c r="CB21" s="284">
        <f t="shared" si="21"/>
        <v>0.48717948717948711</v>
      </c>
      <c r="CC21" s="284">
        <f t="shared" si="21"/>
        <v>0.47368421052631582</v>
      </c>
      <c r="CD21" s="284">
        <f t="shared" si="21"/>
        <v>0.45945945945945954</v>
      </c>
      <c r="CE21" s="284">
        <f t="shared" si="21"/>
        <v>0.47368421052631582</v>
      </c>
      <c r="CF21" s="284">
        <f t="shared" si="21"/>
        <v>0.48717948717948711</v>
      </c>
    </row>
    <row r="22" spans="1:84">
      <c r="A22" s="284" t="s">
        <v>1243</v>
      </c>
      <c r="B22" s="284" t="s">
        <v>1261</v>
      </c>
      <c r="C22" s="298">
        <v>634</v>
      </c>
      <c r="D22" s="284" t="s">
        <v>1245</v>
      </c>
      <c r="E22" s="284">
        <v>26300</v>
      </c>
      <c r="F22" s="284">
        <v>26300</v>
      </c>
      <c r="G22" s="284">
        <v>25900</v>
      </c>
      <c r="H22" s="284">
        <v>25100</v>
      </c>
      <c r="I22" s="284">
        <v>24400</v>
      </c>
      <c r="J22" s="284">
        <v>23600</v>
      </c>
      <c r="K22" s="284">
        <v>22800</v>
      </c>
      <c r="L22" s="284">
        <v>21100</v>
      </c>
      <c r="M22" s="284">
        <v>19300</v>
      </c>
      <c r="N22" s="284">
        <v>17400</v>
      </c>
      <c r="O22" s="284">
        <v>15600</v>
      </c>
      <c r="P22" s="284">
        <v>13800</v>
      </c>
      <c r="Q22" s="284">
        <v>12200</v>
      </c>
      <c r="R22" s="284">
        <v>10800</v>
      </c>
      <c r="S22" s="284">
        <v>9510</v>
      </c>
      <c r="T22" s="284">
        <v>8430</v>
      </c>
      <c r="U22" s="284">
        <v>7510</v>
      </c>
      <c r="V22" s="284" t="s">
        <v>1262</v>
      </c>
      <c r="W22" s="299" cm="1">
        <f t="array" ref="W22">INDEX($E22:$U22,,AA$12)</f>
        <v>22800</v>
      </c>
      <c r="X22" s="300" t="str" cm="1">
        <f t="array" ref="X22">INDEX($E83:$U83,,AA$12)</f>
        <v>4620</v>
      </c>
      <c r="Y22" s="300">
        <f>'Steel Column'!$F$32/W22</f>
        <v>3.2059044473684212E-2</v>
      </c>
      <c r="Z22" s="300">
        <f>0.1*'Steel Column'!$F$32/X22</f>
        <v>1.5821346623376625E-2</v>
      </c>
      <c r="AA22" s="301">
        <f t="shared" si="11"/>
        <v>4.788039109706084E-2</v>
      </c>
      <c r="AB22" s="299" cm="1">
        <f t="array" ref="AB22">INDEX($E22:$U22,,AF$12)</f>
        <v>22800</v>
      </c>
      <c r="AC22" s="300" t="str" cm="1">
        <f t="array" ref="AC22">INDEX($E83:$U83,,AF$12)</f>
        <v>4620</v>
      </c>
      <c r="AD22" s="300">
        <f>'Steel Column'!$F$33/$AB22</f>
        <v>2.7250974000000004E-2</v>
      </c>
      <c r="AE22" s="300">
        <f>0.1*'Steel Column'!$F$33/$AC22</f>
        <v>1.3448532623376626E-2</v>
      </c>
      <c r="AF22" s="301">
        <f t="shared" si="12"/>
        <v>4.0699506623376631E-2</v>
      </c>
      <c r="AG22" s="299" cm="1">
        <f t="array" ref="AG22">INDEX($E22:$U22,,AK$12)</f>
        <v>22800</v>
      </c>
      <c r="AH22" s="300" t="str" cm="1">
        <f t="array" ref="AH22">INDEX($E83:$U83,,AK$12)</f>
        <v>4620</v>
      </c>
      <c r="AI22" s="300">
        <f>'Steel Column'!$F$34/$AG22</f>
        <v>2.7680934685947376E-2</v>
      </c>
      <c r="AJ22" s="300">
        <f>0.1*'Steel Column'!$F$34/$AH22</f>
        <v>1.3660721013844161E-2</v>
      </c>
      <c r="AK22" s="301">
        <f t="shared" si="13"/>
        <v>4.1341655699791535E-2</v>
      </c>
      <c r="AL22" s="299" cm="1">
        <f t="array" ref="AL22">INDEX($E22:$U22,,AP$12)</f>
        <v>22800</v>
      </c>
      <c r="AM22" s="300" t="str" cm="1">
        <f t="array" ref="AM22">INDEX($E83:$U83,,AP$12)</f>
        <v>4620</v>
      </c>
      <c r="AN22" s="300">
        <f>'Steel Column'!$F$35/$AL22</f>
        <v>1.6942259605263157E-2</v>
      </c>
      <c r="AO22" s="300">
        <f>0.1*'Steel Column'!$F$35/$AM22</f>
        <v>8.3611151298701308E-3</v>
      </c>
      <c r="AP22" s="301">
        <f t="shared" si="14"/>
        <v>2.5303374735133288E-2</v>
      </c>
      <c r="AQ22" s="300" cm="1">
        <f t="array" ref="AQ22">INDEX($E22:$U22,,AU$12)</f>
        <v>22800</v>
      </c>
      <c r="AR22" s="300" t="str" cm="1">
        <f t="array" ref="AR22">INDEX($E83:$U83,,AU$12)</f>
        <v>4620</v>
      </c>
      <c r="AS22" s="300">
        <f>'Steel Column'!$F$36/$AQ22</f>
        <v>1.7320246957894737E-2</v>
      </c>
      <c r="AT22" s="300">
        <f>0.1*'Steel Column'!$F$36/$AR22</f>
        <v>8.5476543428571437E-3</v>
      </c>
      <c r="AU22" s="301">
        <f t="shared" si="15"/>
        <v>2.586790130075188E-2</v>
      </c>
      <c r="AV22" s="299">
        <f>'Steel Column'!$F$41/$W22</f>
        <v>1.9226890657894739E-2</v>
      </c>
      <c r="AW22" s="300">
        <f>0.1*'Steel Column'!$F$41/$X22</f>
        <v>9.4885953896103898E-3</v>
      </c>
      <c r="AX22" s="302">
        <f t="shared" si="16"/>
        <v>2.871548604750513E-2</v>
      </c>
      <c r="AY22" s="300">
        <f>'Steel Column'!$F$42/$AB22</f>
        <v>1.6822855421052631E-2</v>
      </c>
      <c r="AZ22" s="300">
        <f>0.1*'Steel Column'!$F$42/$AC22</f>
        <v>8.3021883896103894E-3</v>
      </c>
      <c r="BA22" s="300">
        <f t="shared" si="17"/>
        <v>2.5125043810663023E-2</v>
      </c>
      <c r="BB22" s="299">
        <f>'Steel Column'!$F$43/$AG22</f>
        <v>1.7037835764026319E-2</v>
      </c>
      <c r="BC22" s="300">
        <f>0.1*'Steel Column'!$F$43/$AH22</f>
        <v>8.4082825848441588E-3</v>
      </c>
      <c r="BD22" s="301">
        <f t="shared" si="5"/>
        <v>2.5446118348870478E-2</v>
      </c>
      <c r="BE22" s="300">
        <f>'Steel Column'!$F$44/$AL22</f>
        <v>1.1668498223684211E-2</v>
      </c>
      <c r="BF22" s="300">
        <f>0.1*'Steel Column'!$F$44/$AM22</f>
        <v>5.7584796428571429E-3</v>
      </c>
      <c r="BG22" s="300">
        <f t="shared" si="6"/>
        <v>1.7426977866541356E-2</v>
      </c>
      <c r="BH22" s="299">
        <f>'Steel Column'!$F$45/$AQ22</f>
        <v>1.1857491899999999E-2</v>
      </c>
      <c r="BI22" s="300">
        <f>0.1*'Steel Column'!$F$45/$AR22</f>
        <v>5.8517492493506493E-3</v>
      </c>
      <c r="BJ22" s="301">
        <f t="shared" si="7"/>
        <v>1.770924114935065E-2</v>
      </c>
      <c r="BK22" s="299">
        <f>'Steel Column'!$F$50/$W22</f>
        <v>1.1212129539473686E-2</v>
      </c>
      <c r="BL22" s="300">
        <f>0.1*'Steel Column'!$F$50/$X22</f>
        <v>5.5332587337662345E-3</v>
      </c>
      <c r="BM22" s="300">
        <f t="shared" si="18"/>
        <v>1.674538827323992E-2</v>
      </c>
      <c r="BN22" s="299">
        <f>'Steel Column'!$F$51/$AB22</f>
        <v>1.0010111921052632E-2</v>
      </c>
      <c r="BO22" s="300">
        <f>0.1*'Steel Column'!$F$51/$AC22</f>
        <v>4.9400552337662343E-3</v>
      </c>
      <c r="BP22" s="301">
        <f t="shared" si="19"/>
        <v>1.4950167154818866E-2</v>
      </c>
      <c r="BQ22" s="299">
        <f>'Steel Column'!$F$52/$AG22</f>
        <v>1.0117602092539476E-2</v>
      </c>
      <c r="BR22" s="300">
        <f>0.1*'Steel Column'!$F$52/$AH22</f>
        <v>4.9931023313831181E-3</v>
      </c>
      <c r="BS22" s="301">
        <f t="shared" si="8"/>
        <v>1.5110704423922594E-2</v>
      </c>
      <c r="BT22" s="300">
        <f>'Steel Column'!$F$53/$AL22</f>
        <v>7.4329333223684211E-3</v>
      </c>
      <c r="BU22" s="300">
        <f>0.1*'Steel Column'!$F$53/$AM22</f>
        <v>3.6682008603896102E-3</v>
      </c>
      <c r="BV22" s="300">
        <f t="shared" si="9"/>
        <v>1.1101134182758031E-2</v>
      </c>
      <c r="BW22" s="299">
        <f>'Steel Column'!$F$54/$AQ22</f>
        <v>7.5274301605263161E-3</v>
      </c>
      <c r="BX22" s="300">
        <f>0.1*'Steel Column'!$F$54/$AR22</f>
        <v>3.7148356636363643E-3</v>
      </c>
      <c r="BY22" s="301">
        <f t="shared" si="10"/>
        <v>1.124226582416268E-2</v>
      </c>
      <c r="CB22" s="284">
        <f t="shared" si="21"/>
        <v>0.35897435897435892</v>
      </c>
      <c r="CC22" s="284">
        <f t="shared" si="21"/>
        <v>0.34210526315789469</v>
      </c>
      <c r="CD22" s="284">
        <f t="shared" si="21"/>
        <v>0.32432432432432434</v>
      </c>
      <c r="CE22" s="284">
        <f t="shared" si="21"/>
        <v>0.34210526315789469</v>
      </c>
      <c r="CF22" s="284">
        <f t="shared" si="21"/>
        <v>0.35897435897435892</v>
      </c>
    </row>
    <row r="23" spans="1:84">
      <c r="A23" s="284" t="s">
        <v>1243</v>
      </c>
      <c r="B23" s="284" t="s">
        <v>1263</v>
      </c>
      <c r="C23" s="298">
        <v>592</v>
      </c>
      <c r="D23" s="284" t="s">
        <v>1245</v>
      </c>
      <c r="E23" s="284">
        <v>24500</v>
      </c>
      <c r="F23" s="284">
        <v>24500</v>
      </c>
      <c r="G23" s="284">
        <v>24200</v>
      </c>
      <c r="H23" s="284">
        <v>23500</v>
      </c>
      <c r="I23" s="284">
        <v>22700</v>
      </c>
      <c r="J23" s="284">
        <v>22000</v>
      </c>
      <c r="K23" s="284">
        <v>21200</v>
      </c>
      <c r="L23" s="284">
        <v>19700</v>
      </c>
      <c r="M23" s="284">
        <v>18000</v>
      </c>
      <c r="N23" s="284">
        <v>16200</v>
      </c>
      <c r="O23" s="284">
        <v>14500</v>
      </c>
      <c r="P23" s="284">
        <v>12800</v>
      </c>
      <c r="Q23" s="284">
        <v>11300</v>
      </c>
      <c r="R23" s="284">
        <v>9960</v>
      </c>
      <c r="S23" s="284">
        <v>8800</v>
      </c>
      <c r="T23" s="284">
        <v>7800</v>
      </c>
      <c r="U23" s="284">
        <v>6940</v>
      </c>
      <c r="V23" s="284" t="s">
        <v>1264</v>
      </c>
      <c r="W23" s="299" cm="1">
        <f t="array" ref="W23">INDEX($E23:$U23,,AA$12)</f>
        <v>21200</v>
      </c>
      <c r="X23" s="300" t="str" cm="1">
        <f t="array" ref="X23">INDEX($E84:$U84,,AA$12)</f>
        <v>4270</v>
      </c>
      <c r="Y23" s="300">
        <f>'Steel Column'!$F$32/W23</f>
        <v>3.4478595000000001E-2</v>
      </c>
      <c r="Z23" s="300">
        <f>0.1*'Steel Column'!$F$32/X23</f>
        <v>1.7118178313817331E-2</v>
      </c>
      <c r="AA23" s="301">
        <f t="shared" si="11"/>
        <v>5.1596773313817332E-2</v>
      </c>
      <c r="AB23" s="299" cm="1">
        <f t="array" ref="AB23">INDEX($E23:$U23,,AF$12)</f>
        <v>21200</v>
      </c>
      <c r="AC23" s="300" t="str" cm="1">
        <f t="array" ref="AC23">INDEX($E84:$U84,,AF$12)</f>
        <v>4270</v>
      </c>
      <c r="AD23" s="300">
        <f>'Steel Column'!$F$33/$AB23</f>
        <v>2.9307651283018873E-2</v>
      </c>
      <c r="AE23" s="300">
        <f>0.1*'Steel Column'!$F$33/$AC23</f>
        <v>1.4550871362997661E-2</v>
      </c>
      <c r="AF23" s="301">
        <f t="shared" si="12"/>
        <v>4.3858522646016536E-2</v>
      </c>
      <c r="AG23" s="299" cm="1">
        <f t="array" ref="AG23">INDEX($E23:$U23,,AK$12)</f>
        <v>21200</v>
      </c>
      <c r="AH23" s="300" t="str" cm="1">
        <f t="array" ref="AH23">INDEX($E84:$U84,,AK$12)</f>
        <v>4270</v>
      </c>
      <c r="AI23" s="300">
        <f>'Steel Column'!$F$34/$AG23</f>
        <v>2.9770061832056612E-2</v>
      </c>
      <c r="AJ23" s="300">
        <f>0.1*'Steel Column'!$F$34/$AH23</f>
        <v>1.4780452244487124E-2</v>
      </c>
      <c r="AK23" s="301">
        <f t="shared" si="13"/>
        <v>4.4550514076543736E-2</v>
      </c>
      <c r="AL23" s="299" cm="1">
        <f t="array" ref="AL23">INDEX($E23:$U23,,AP$12)</f>
        <v>21200</v>
      </c>
      <c r="AM23" s="300" t="str" cm="1">
        <f t="array" ref="AM23">INDEX($E84:$U84,,AP$12)</f>
        <v>4270</v>
      </c>
      <c r="AN23" s="300">
        <f>'Steel Column'!$F$35/$AL23</f>
        <v>1.8220920707547172E-2</v>
      </c>
      <c r="AO23" s="300">
        <f>0.1*'Steel Column'!$F$35/$AM23</f>
        <v>9.0464524355971902E-3</v>
      </c>
      <c r="AP23" s="301">
        <f t="shared" si="14"/>
        <v>2.7267373143144362E-2</v>
      </c>
      <c r="AQ23" s="300" cm="1">
        <f t="array" ref="AQ23">INDEX($E23:$U23,,AU$12)</f>
        <v>21200</v>
      </c>
      <c r="AR23" s="300" t="str" cm="1">
        <f t="array" ref="AR23">INDEX($E84:$U84,,AU$12)</f>
        <v>4270</v>
      </c>
      <c r="AS23" s="300">
        <f>'Steel Column'!$F$36/$AQ23</f>
        <v>1.8627435407547171E-2</v>
      </c>
      <c r="AT23" s="300">
        <f>0.1*'Steel Column'!$F$36/$AR23</f>
        <v>9.2482817480093685E-3</v>
      </c>
      <c r="AU23" s="301">
        <f t="shared" si="15"/>
        <v>2.7875717155556541E-2</v>
      </c>
      <c r="AV23" s="299">
        <f>'Steel Column'!$F$41/$W23</f>
        <v>2.067797674528302E-2</v>
      </c>
      <c r="AW23" s="300">
        <f>0.1*'Steel Column'!$F$41/$X23</f>
        <v>1.0266349110070258E-2</v>
      </c>
      <c r="AX23" s="302">
        <f t="shared" si="16"/>
        <v>3.0944325855353276E-2</v>
      </c>
      <c r="AY23" s="300">
        <f>'Steel Column'!$F$42/$AB23</f>
        <v>1.8092504886792454E-2</v>
      </c>
      <c r="AZ23" s="300">
        <f>0.1*'Steel Column'!$F$42/$AC23</f>
        <v>8.982695634660422E-3</v>
      </c>
      <c r="BA23" s="300">
        <f t="shared" si="17"/>
        <v>2.7075200521452875E-2</v>
      </c>
      <c r="BB23" s="299">
        <f>'Steel Column'!$F$43/$AG23</f>
        <v>1.8323710161311322E-2</v>
      </c>
      <c r="BC23" s="300">
        <f>0.1*'Steel Column'!$F$43/$AH23</f>
        <v>9.0974860754051545E-3</v>
      </c>
      <c r="BD23" s="301">
        <f t="shared" si="5"/>
        <v>2.7421196236716475E-2</v>
      </c>
      <c r="BE23" s="300">
        <f>'Steel Column'!$F$44/$AL23</f>
        <v>1.2549139599056604E-2</v>
      </c>
      <c r="BF23" s="300">
        <f>0.1*'Steel Column'!$F$44/$AM23</f>
        <v>6.2304861709601882E-3</v>
      </c>
      <c r="BG23" s="300">
        <f t="shared" si="6"/>
        <v>1.8779625770016791E-2</v>
      </c>
      <c r="BH23" s="299">
        <f>'Steel Column'!$F$45/$AQ23</f>
        <v>1.2752396949056603E-2</v>
      </c>
      <c r="BI23" s="300">
        <f>0.1*'Steel Column'!$F$45/$AR23</f>
        <v>6.3314008271662765E-3</v>
      </c>
      <c r="BJ23" s="301">
        <f t="shared" si="7"/>
        <v>1.9083797776222881E-2</v>
      </c>
      <c r="BK23" s="299">
        <f>'Steel Column'!$F$50/$W23</f>
        <v>1.205832799528302E-2</v>
      </c>
      <c r="BL23" s="300">
        <f>0.1*'Steel Column'!$F$50/$X23</f>
        <v>5.9868045316159258E-3</v>
      </c>
      <c r="BM23" s="300">
        <f t="shared" si="18"/>
        <v>1.8045132526898947E-2</v>
      </c>
      <c r="BN23" s="299">
        <f>'Steel Column'!$F$51/$AB23</f>
        <v>1.0765592066037735E-2</v>
      </c>
      <c r="BO23" s="300">
        <f>0.1*'Steel Column'!$F$51/$AC23</f>
        <v>5.3449777939110071E-3</v>
      </c>
      <c r="BP23" s="301">
        <f t="shared" si="19"/>
        <v>1.6110569859948742E-2</v>
      </c>
      <c r="BQ23" s="299">
        <f>'Steel Column'!$F$52/$AG23</f>
        <v>1.0881194703297173E-2</v>
      </c>
      <c r="BR23" s="300">
        <f>0.1*'Steel Column'!$F$52/$AH23</f>
        <v>5.4023730142833733E-3</v>
      </c>
      <c r="BS23" s="301">
        <f t="shared" si="8"/>
        <v>1.6283567717580546E-2</v>
      </c>
      <c r="BT23" s="300">
        <f>'Steel Column'!$F$53/$AL23</f>
        <v>7.9939094221698117E-3</v>
      </c>
      <c r="BU23" s="300">
        <f>0.1*'Steel Column'!$F$53/$AM23</f>
        <v>3.9688730620608898E-3</v>
      </c>
      <c r="BV23" s="300">
        <f t="shared" si="9"/>
        <v>1.1962782484230702E-2</v>
      </c>
      <c r="BW23" s="299">
        <f>'Steel Column'!$F$54/$AQ23</f>
        <v>8.0955380971698115E-3</v>
      </c>
      <c r="BX23" s="300">
        <f>0.1*'Steel Column'!$F$54/$AR23</f>
        <v>4.0193303901639348E-3</v>
      </c>
      <c r="BY23" s="301">
        <f t="shared" si="10"/>
        <v>1.2114868487333747E-2</v>
      </c>
      <c r="CB23" s="284">
        <f t="shared" si="21"/>
        <v>0.23076923076923073</v>
      </c>
      <c r="CC23" s="284">
        <f t="shared" si="21"/>
        <v>0.21052631578947367</v>
      </c>
      <c r="CD23" s="284">
        <f t="shared" si="21"/>
        <v>0.18918918918918926</v>
      </c>
      <c r="CE23" s="284">
        <f t="shared" si="21"/>
        <v>0.21052631578947367</v>
      </c>
      <c r="CF23" s="284">
        <f t="shared" si="21"/>
        <v>0.23076923076923073</v>
      </c>
    </row>
    <row r="24" spans="1:84">
      <c r="A24" s="284" t="s">
        <v>1243</v>
      </c>
      <c r="B24" s="284" t="s">
        <v>1265</v>
      </c>
      <c r="C24" s="298">
        <v>551</v>
      </c>
      <c r="D24" s="284" t="s">
        <v>1245</v>
      </c>
      <c r="E24" s="284">
        <v>22800</v>
      </c>
      <c r="F24" s="284">
        <v>22800</v>
      </c>
      <c r="G24" s="284">
        <v>22500</v>
      </c>
      <c r="H24" s="284">
        <v>21800</v>
      </c>
      <c r="I24" s="284">
        <v>21100</v>
      </c>
      <c r="J24" s="284">
        <v>20400</v>
      </c>
      <c r="K24" s="284">
        <v>19700</v>
      </c>
      <c r="L24" s="284">
        <v>18300</v>
      </c>
      <c r="M24" s="284">
        <v>16700</v>
      </c>
      <c r="N24" s="284">
        <v>15000</v>
      </c>
      <c r="O24" s="284">
        <v>13400</v>
      </c>
      <c r="P24" s="284">
        <v>11900</v>
      </c>
      <c r="Q24" s="284">
        <v>10500</v>
      </c>
      <c r="R24" s="284">
        <v>9230</v>
      </c>
      <c r="S24" s="284">
        <v>8150</v>
      </c>
      <c r="T24" s="284">
        <v>7220</v>
      </c>
      <c r="U24" s="284">
        <v>6430</v>
      </c>
      <c r="V24" s="284" t="s">
        <v>1266</v>
      </c>
      <c r="W24" s="299" cm="1">
        <f t="array" ref="W24">INDEX($E24:$U24,,AA$12)</f>
        <v>19700</v>
      </c>
      <c r="X24" s="300" t="str" cm="1">
        <f t="array" ref="X24">INDEX($E85:$U85,,AA$12)</f>
        <v>3930</v>
      </c>
      <c r="Y24" s="300">
        <f>'Steel Column'!$F$32/W24</f>
        <v>3.7103868730964468E-2</v>
      </c>
      <c r="Z24" s="300">
        <f>0.1*'Steel Column'!$F$32/X24</f>
        <v>1.8599140305343514E-2</v>
      </c>
      <c r="AA24" s="301">
        <f t="shared" si="11"/>
        <v>5.5703009036307982E-2</v>
      </c>
      <c r="AB24" s="299" cm="1">
        <f t="array" ref="AB24">INDEX($E24:$U24,,AF$12)</f>
        <v>19700</v>
      </c>
      <c r="AC24" s="300" t="str" cm="1">
        <f t="array" ref="AC24">INDEX($E85:$U85,,AF$12)</f>
        <v>3930</v>
      </c>
      <c r="AD24" s="300">
        <f>'Steel Column'!$F$33/$AB24</f>
        <v>3.1539198335025387E-2</v>
      </c>
      <c r="AE24" s="300">
        <f>0.1*'Steel Column'!$F$33/$AC24</f>
        <v>1.5809725374045805E-2</v>
      </c>
      <c r="AF24" s="301">
        <f t="shared" si="12"/>
        <v>4.7348923709071192E-2</v>
      </c>
      <c r="AG24" s="299" cm="1">
        <f t="array" ref="AG24">INDEX($E24:$U24,,AK$12)</f>
        <v>19700</v>
      </c>
      <c r="AH24" s="300" t="str" cm="1">
        <f t="array" ref="AH24">INDEX($E85:$U85,,AK$12)</f>
        <v>3930</v>
      </c>
      <c r="AI24" s="300">
        <f>'Steel Column'!$F$34/$AG24</f>
        <v>3.2036817809116762E-2</v>
      </c>
      <c r="AJ24" s="300">
        <f>0.1*'Steel Column'!$F$34/$AH24</f>
        <v>1.6059168214748096E-2</v>
      </c>
      <c r="AK24" s="301">
        <f t="shared" si="13"/>
        <v>4.8095986023864862E-2</v>
      </c>
      <c r="AL24" s="299" cm="1">
        <f t="array" ref="AL24">INDEX($E24:$U24,,AP$12)</f>
        <v>19700</v>
      </c>
      <c r="AM24" s="300" t="str" cm="1">
        <f t="array" ref="AM24">INDEX($E85:$U85,,AP$12)</f>
        <v>3930</v>
      </c>
      <c r="AN24" s="300">
        <f>'Steel Column'!$F$35/$AL24</f>
        <v>1.9608300456852794E-2</v>
      </c>
      <c r="AO24" s="300">
        <f>0.1*'Steel Column'!$F$35/$AM24</f>
        <v>9.8290971755725202E-3</v>
      </c>
      <c r="AP24" s="301">
        <f t="shared" si="14"/>
        <v>2.9437397632425314E-2</v>
      </c>
      <c r="AQ24" s="300" cm="1">
        <f t="array" ref="AQ24">INDEX($E24:$U24,,AU$12)</f>
        <v>19700</v>
      </c>
      <c r="AR24" s="300" t="str" cm="1">
        <f t="array" ref="AR24">INDEX($E85:$U85,,AU$12)</f>
        <v>3930</v>
      </c>
      <c r="AS24" s="300">
        <f>'Steel Column'!$F$36/$AQ24</f>
        <v>2.0045768052791877E-2</v>
      </c>
      <c r="AT24" s="300">
        <f>0.1*'Steel Column'!$F$36/$AR24</f>
        <v>1.0048387548091604E-2</v>
      </c>
      <c r="AU24" s="301">
        <f t="shared" si="15"/>
        <v>3.0094155600883479E-2</v>
      </c>
      <c r="AV24" s="299">
        <f>'Steel Column'!$F$41/$W24</f>
        <v>2.225244197969543E-2</v>
      </c>
      <c r="AW24" s="300">
        <f>0.1*'Steel Column'!$F$41/$X24</f>
        <v>1.1154531984732825E-2</v>
      </c>
      <c r="AX24" s="302">
        <f t="shared" si="16"/>
        <v>3.3406973964428252E-2</v>
      </c>
      <c r="AY24" s="300">
        <f>'Steel Column'!$F$42/$AB24</f>
        <v>1.947010678172589E-2</v>
      </c>
      <c r="AZ24" s="300">
        <f>0.1*'Steel Column'!$F$42/$AC24</f>
        <v>9.7598245190839705E-3</v>
      </c>
      <c r="BA24" s="300">
        <f t="shared" si="17"/>
        <v>2.922993130080986E-2</v>
      </c>
      <c r="BB24" s="299">
        <f>'Steel Column'!$F$43/$AG24</f>
        <v>1.9718916518771577E-2</v>
      </c>
      <c r="BC24" s="300">
        <f>0.1*'Steel Column'!$F$43/$AH24</f>
        <v>9.8845459394351163E-3</v>
      </c>
      <c r="BD24" s="301">
        <f t="shared" si="5"/>
        <v>2.9603462458206692E-2</v>
      </c>
      <c r="BE24" s="300">
        <f>'Steel Column'!$F$44/$AL24</f>
        <v>1.3504657842639595E-2</v>
      </c>
      <c r="BF24" s="300">
        <f>0.1*'Steel Column'!$F$44/$AM24</f>
        <v>6.7695104198473291E-3</v>
      </c>
      <c r="BG24" s="300">
        <f t="shared" si="6"/>
        <v>2.0274168262486923E-2</v>
      </c>
      <c r="BH24" s="299">
        <f>'Steel Column'!$F$45/$AQ24</f>
        <v>1.3723391640609137E-2</v>
      </c>
      <c r="BI24" s="300">
        <f>0.1*'Steel Column'!$F$45/$AR24</f>
        <v>6.8791556061068701E-3</v>
      </c>
      <c r="BJ24" s="301">
        <f t="shared" si="7"/>
        <v>2.0602547246716008E-2</v>
      </c>
      <c r="BK24" s="299">
        <f>'Steel Column'!$F$50/$W24</f>
        <v>1.2976474796954315E-2</v>
      </c>
      <c r="BL24" s="300">
        <f>0.1*'Steel Column'!$F$50/$X24</f>
        <v>6.5047469083969476E-3</v>
      </c>
      <c r="BM24" s="300">
        <f t="shared" si="18"/>
        <v>1.9481221705351263E-2</v>
      </c>
      <c r="BN24" s="299">
        <f>'Steel Column'!$F$51/$AB24</f>
        <v>1.1585307197969543E-2</v>
      </c>
      <c r="BO24" s="300">
        <f>0.1*'Steel Column'!$F$51/$AC24</f>
        <v>5.8073931755725193E-3</v>
      </c>
      <c r="BP24" s="301">
        <f t="shared" si="19"/>
        <v>1.7392700373542062E-2</v>
      </c>
      <c r="BQ24" s="299">
        <f>'Steel Column'!$F$52/$AG24</f>
        <v>1.1709712066492389E-2</v>
      </c>
      <c r="BR24" s="300">
        <f>0.1*'Steel Column'!$F$52/$AH24</f>
        <v>5.8697538857480931E-3</v>
      </c>
      <c r="BS24" s="301">
        <f t="shared" si="8"/>
        <v>1.7579465952240483E-2</v>
      </c>
      <c r="BT24" s="300">
        <f>'Steel Column'!$F$53/$AL24</f>
        <v>8.6025827284263948E-3</v>
      </c>
      <c r="BU24" s="300">
        <f>0.1*'Steel Column'!$F$53/$AM24</f>
        <v>4.3122361259541981E-3</v>
      </c>
      <c r="BV24" s="300">
        <f t="shared" si="9"/>
        <v>1.2914818854380592E-2</v>
      </c>
      <c r="BW24" s="299">
        <f>'Steel Column'!$F$54/$AQ24</f>
        <v>8.7119496274111682E-3</v>
      </c>
      <c r="BX24" s="300">
        <f>0.1*'Steel Column'!$F$54/$AR24</f>
        <v>4.3670587190839704E-3</v>
      </c>
      <c r="BY24" s="301">
        <f t="shared" si="10"/>
        <v>1.3079008346495138E-2</v>
      </c>
      <c r="CB24" s="284">
        <f t="shared" si="21"/>
        <v>0.10256410256410253</v>
      </c>
      <c r="CC24" s="284">
        <f t="shared" si="21"/>
        <v>7.8947368421052544E-2</v>
      </c>
      <c r="CD24" s="284">
        <f t="shared" si="21"/>
        <v>5.4054054054054057E-2</v>
      </c>
      <c r="CE24" s="284">
        <f t="shared" si="21"/>
        <v>7.8947368421052544E-2</v>
      </c>
      <c r="CF24" s="284">
        <f t="shared" si="21"/>
        <v>0.10256410256410253</v>
      </c>
    </row>
    <row r="25" spans="1:84">
      <c r="A25" s="284" t="s">
        <v>1243</v>
      </c>
      <c r="B25" s="284" t="s">
        <v>1267</v>
      </c>
      <c r="C25" s="298">
        <v>509</v>
      </c>
      <c r="D25" s="284" t="s">
        <v>1245</v>
      </c>
      <c r="E25" s="284">
        <v>21700</v>
      </c>
      <c r="F25" s="284">
        <v>21700</v>
      </c>
      <c r="G25" s="284">
        <v>21300</v>
      </c>
      <c r="H25" s="284">
        <v>20700</v>
      </c>
      <c r="I25" s="284">
        <v>20000</v>
      </c>
      <c r="J25" s="284">
        <v>19400</v>
      </c>
      <c r="K25" s="284">
        <v>18700</v>
      </c>
      <c r="L25" s="284">
        <v>17200</v>
      </c>
      <c r="M25" s="284">
        <v>15700</v>
      </c>
      <c r="N25" s="284">
        <v>14000</v>
      </c>
      <c r="O25" s="284">
        <v>12500</v>
      </c>
      <c r="P25" s="284">
        <v>11000</v>
      </c>
      <c r="Q25" s="284">
        <v>9650</v>
      </c>
      <c r="R25" s="284">
        <v>8480</v>
      </c>
      <c r="S25" s="284">
        <v>7470</v>
      </c>
      <c r="T25" s="284">
        <v>6610</v>
      </c>
      <c r="U25" s="284">
        <v>5870</v>
      </c>
      <c r="V25" s="284" t="s">
        <v>1268</v>
      </c>
      <c r="W25" s="299" cm="1">
        <f t="array" ref="W25">INDEX($E25:$U25,,AA$12)</f>
        <v>18700</v>
      </c>
      <c r="X25" s="300" t="str" cm="1">
        <f t="array" ref="X25">INDEX($E86:$U86,,AA$12)</f>
        <v>3700</v>
      </c>
      <c r="Y25" s="300">
        <f>'Steel Column'!$F$32/W25</f>
        <v>3.9088032834224601E-2</v>
      </c>
      <c r="Z25" s="300">
        <f>0.1*'Steel Column'!$F$32/X25</f>
        <v>1.9755303081081085E-2</v>
      </c>
      <c r="AA25" s="301">
        <f t="shared" si="11"/>
        <v>5.8843335915305689E-2</v>
      </c>
      <c r="AB25" s="299" cm="1">
        <f t="array" ref="AB25">INDEX($E25:$U25,,AF$12)</f>
        <v>18700</v>
      </c>
      <c r="AC25" s="300" t="str" cm="1">
        <f t="array" ref="AC25">INDEX($E86:$U86,,AF$12)</f>
        <v>3700</v>
      </c>
      <c r="AD25" s="300">
        <f>'Steel Column'!$F$33/$AB25</f>
        <v>3.322578648128343E-2</v>
      </c>
      <c r="AE25" s="300">
        <f>0.1*'Steel Column'!$F$33/$AC25</f>
        <v>1.6792492086486491E-2</v>
      </c>
      <c r="AF25" s="301">
        <f t="shared" si="12"/>
        <v>5.0018278567769921E-2</v>
      </c>
      <c r="AG25" s="299" cm="1">
        <f t="array" ref="AG25">INDEX($E25:$U25,,AK$12)</f>
        <v>18700</v>
      </c>
      <c r="AH25" s="300" t="str" cm="1">
        <f t="array" ref="AH25">INDEX($E86:$U86,,AK$12)</f>
        <v>3700</v>
      </c>
      <c r="AI25" s="300">
        <f>'Steel Column'!$F$34/$AG25</f>
        <v>3.3750016622438511E-2</v>
      </c>
      <c r="AJ25" s="300">
        <f>0.1*'Steel Column'!$F$34/$AH25</f>
        <v>1.7057440833502708E-2</v>
      </c>
      <c r="AK25" s="301">
        <f t="shared" si="13"/>
        <v>5.0807457455941216E-2</v>
      </c>
      <c r="AL25" s="299" cm="1">
        <f t="array" ref="AL25">INDEX($E25:$U25,,AP$12)</f>
        <v>18700</v>
      </c>
      <c r="AM25" s="300" t="str" cm="1">
        <f t="array" ref="AM25">INDEX($E86:$U86,,AP$12)</f>
        <v>3700</v>
      </c>
      <c r="AN25" s="300">
        <f>'Steel Column'!$F$35/$AL25</f>
        <v>2.0656872673796792E-2</v>
      </c>
      <c r="AO25" s="300">
        <f>0.1*'Steel Column'!$F$35/$AM25</f>
        <v>1.0440095108108109E-2</v>
      </c>
      <c r="AP25" s="301">
        <f t="shared" si="14"/>
        <v>3.1096967781904902E-2</v>
      </c>
      <c r="AQ25" s="300" cm="1">
        <f t="array" ref="AQ25">INDEX($E25:$U25,,AU$12)</f>
        <v>18700</v>
      </c>
      <c r="AR25" s="300" t="str" cm="1">
        <f t="array" ref="AR25">INDEX($E86:$U86,,AU$12)</f>
        <v>3700</v>
      </c>
      <c r="AS25" s="300">
        <f>'Steel Column'!$F$36/$AQ25</f>
        <v>2.1117734258823531E-2</v>
      </c>
      <c r="AT25" s="300">
        <f>0.1*'Steel Column'!$F$36/$AR25</f>
        <v>1.0673017044324325E-2</v>
      </c>
      <c r="AU25" s="301">
        <f t="shared" si="15"/>
        <v>3.179075130314786E-2</v>
      </c>
      <c r="AV25" s="299">
        <f>'Steel Column'!$F$41/$W25</f>
        <v>2.3442412139037434E-2</v>
      </c>
      <c r="AW25" s="300">
        <f>0.1*'Steel Column'!$F$41/$X25</f>
        <v>1.1847921810810812E-2</v>
      </c>
      <c r="AX25" s="302">
        <f t="shared" si="16"/>
        <v>3.5290333949848249E-2</v>
      </c>
      <c r="AY25" s="300">
        <f>'Steel Column'!$F$42/$AB25</f>
        <v>2.0511288962566845E-2</v>
      </c>
      <c r="AZ25" s="300">
        <f>0.1*'Steel Column'!$F$42/$AC25</f>
        <v>1.0366516313513515E-2</v>
      </c>
      <c r="BA25" s="300">
        <f t="shared" si="17"/>
        <v>3.0877805276080361E-2</v>
      </c>
      <c r="BB25" s="299">
        <f>'Steel Column'!$F$43/$AG25</f>
        <v>2.0773404033144389E-2</v>
      </c>
      <c r="BC25" s="300">
        <f>0.1*'Steel Column'!$F$43/$AH25</f>
        <v>1.0498990687021625E-2</v>
      </c>
      <c r="BD25" s="301">
        <f t="shared" si="5"/>
        <v>3.1272394720166012E-2</v>
      </c>
      <c r="BE25" s="300">
        <f>'Steel Column'!$F$44/$AL25</f>
        <v>1.4226832058823529E-2</v>
      </c>
      <c r="BF25" s="300">
        <f>0.1*'Steel Column'!$F$44/$AM25</f>
        <v>7.1903178243243248E-3</v>
      </c>
      <c r="BG25" s="300">
        <f t="shared" si="6"/>
        <v>2.1417149883147853E-2</v>
      </c>
      <c r="BH25" s="299">
        <f>'Steel Column'!$F$45/$AQ25</f>
        <v>1.4457262851336897E-2</v>
      </c>
      <c r="BI25" s="300">
        <f>0.1*'Steel Column'!$F$45/$AR25</f>
        <v>7.3067787924324321E-3</v>
      </c>
      <c r="BJ25" s="301">
        <f t="shared" si="7"/>
        <v>2.1764041643769327E-2</v>
      </c>
      <c r="BK25" s="299">
        <f>'Steel Column'!$F$50/$W25</f>
        <v>1.3670403930481285E-2</v>
      </c>
      <c r="BL25" s="300">
        <f>0.1*'Steel Column'!$F$50/$X25</f>
        <v>6.9090960405405414E-3</v>
      </c>
      <c r="BM25" s="300">
        <f t="shared" si="18"/>
        <v>2.0579499971021827E-2</v>
      </c>
      <c r="BN25" s="299">
        <f>'Steel Column'!$F$51/$AB25</f>
        <v>1.2204842342245989E-2</v>
      </c>
      <c r="BO25" s="300">
        <f>0.1*'Steel Column'!$F$51/$AC25</f>
        <v>6.168393291891892E-3</v>
      </c>
      <c r="BP25" s="301">
        <f t="shared" si="19"/>
        <v>1.8373235634137883E-2</v>
      </c>
      <c r="BQ25" s="299">
        <f>'Steel Column'!$F$52/$AG25</f>
        <v>1.2335899877534761E-2</v>
      </c>
      <c r="BR25" s="300">
        <f>0.1*'Steel Column'!$F$52/$AH25</f>
        <v>6.2346304786459472E-3</v>
      </c>
      <c r="BS25" s="301">
        <f t="shared" si="8"/>
        <v>1.8570530356180708E-2</v>
      </c>
      <c r="BT25" s="300">
        <f>'Steel Column'!$F$53/$AL25</f>
        <v>9.0626138903743304E-3</v>
      </c>
      <c r="BU25" s="300">
        <f>0.1*'Steel Column'!$F$53/$AM25</f>
        <v>4.5802940472972967E-3</v>
      </c>
      <c r="BV25" s="300">
        <f t="shared" si="9"/>
        <v>1.3642907937671627E-2</v>
      </c>
      <c r="BW25" s="299">
        <f>'Steel Column'!$F$54/$AQ25</f>
        <v>9.177829286631016E-3</v>
      </c>
      <c r="BX25" s="300">
        <f>0.1*'Steel Column'!$F$54/$AR25</f>
        <v>4.6385245313513524E-3</v>
      </c>
      <c r="BY25" s="301">
        <f t="shared" si="10"/>
        <v>1.3816353817982369E-2</v>
      </c>
      <c r="CB25" s="284">
        <f t="shared" si="21"/>
        <v>2.5641025641025772E-2</v>
      </c>
      <c r="CC25" s="284">
        <f t="shared" si="21"/>
        <v>5.2631578947368363E-2</v>
      </c>
      <c r="CD25" s="284">
        <f t="shared" si="21"/>
        <v>8.1081081081080919E-2</v>
      </c>
      <c r="CE25" s="284">
        <f t="shared" si="21"/>
        <v>5.2631578947368363E-2</v>
      </c>
      <c r="CF25" s="284">
        <f t="shared" si="21"/>
        <v>2.5641025641025772E-2</v>
      </c>
    </row>
    <row r="26" spans="1:84">
      <c r="A26" s="284" t="s">
        <v>1243</v>
      </c>
      <c r="B26" s="284" t="s">
        <v>1269</v>
      </c>
      <c r="C26" s="298">
        <v>467</v>
      </c>
      <c r="D26" s="284" t="s">
        <v>1245</v>
      </c>
      <c r="E26" s="284">
        <v>19900</v>
      </c>
      <c r="F26" s="284">
        <v>19900</v>
      </c>
      <c r="G26" s="284">
        <v>19600</v>
      </c>
      <c r="H26" s="284">
        <v>18900</v>
      </c>
      <c r="I26" s="284">
        <v>18300</v>
      </c>
      <c r="J26" s="284">
        <v>17700</v>
      </c>
      <c r="K26" s="284">
        <v>17100</v>
      </c>
      <c r="L26" s="284">
        <v>15700</v>
      </c>
      <c r="M26" s="284">
        <v>14300</v>
      </c>
      <c r="N26" s="284">
        <v>12800</v>
      </c>
      <c r="O26" s="284">
        <v>11300</v>
      </c>
      <c r="P26" s="284">
        <v>9980</v>
      </c>
      <c r="Q26" s="284">
        <v>8760</v>
      </c>
      <c r="R26" s="284">
        <v>7690</v>
      </c>
      <c r="S26" s="284">
        <v>6770</v>
      </c>
      <c r="T26" s="284">
        <v>5990</v>
      </c>
      <c r="U26" s="284">
        <v>5320</v>
      </c>
      <c r="V26" s="284" t="s">
        <v>1270</v>
      </c>
      <c r="W26" s="299" cm="1">
        <f t="array" ref="W26">INDEX($E26:$U26,,AA$12)</f>
        <v>17100</v>
      </c>
      <c r="X26" s="300" t="str" cm="1">
        <f t="array" ref="X26">INDEX($E87:$U87,,AA$12)</f>
        <v>3350</v>
      </c>
      <c r="Y26" s="300">
        <f>'Steel Column'!$F$32/W26</f>
        <v>4.2745392631578949E-2</v>
      </c>
      <c r="Z26" s="300">
        <f>0.1*'Steel Column'!$F$32/X26</f>
        <v>2.1819289970149255E-2</v>
      </c>
      <c r="AA26" s="301">
        <f t="shared" si="11"/>
        <v>6.4564682601728207E-2</v>
      </c>
      <c r="AB26" s="299" cm="1">
        <f t="array" ref="AB26">INDEX($E26:$U26,,AF$12)</f>
        <v>17100</v>
      </c>
      <c r="AC26" s="300" t="str" cm="1">
        <f t="array" ref="AC26">INDEX($E87:$U87,,AF$12)</f>
        <v>3350</v>
      </c>
      <c r="AD26" s="300">
        <f>'Steel Column'!$F$33/$AB26</f>
        <v>3.6334632000000006E-2</v>
      </c>
      <c r="AE26" s="300">
        <f>0.1*'Steel Column'!$F$33/$AC26</f>
        <v>1.8546931558208961E-2</v>
      </c>
      <c r="AF26" s="301">
        <f t="shared" si="12"/>
        <v>5.4881563558208966E-2</v>
      </c>
      <c r="AG26" s="299" cm="1">
        <f t="array" ref="AG26">INDEX($E26:$U26,,AK$12)</f>
        <v>17100</v>
      </c>
      <c r="AH26" s="300" t="str" cm="1">
        <f t="array" ref="AH26">INDEX($E87:$U87,,AK$12)</f>
        <v>3350</v>
      </c>
      <c r="AI26" s="300">
        <f>'Steel Column'!$F$34/$AG26</f>
        <v>3.6907912914596504E-2</v>
      </c>
      <c r="AJ26" s="300">
        <f>0.1*'Steel Column'!$F$34/$AH26</f>
        <v>1.8839561517600006E-2</v>
      </c>
      <c r="AK26" s="301">
        <f t="shared" si="13"/>
        <v>5.5747474432196506E-2</v>
      </c>
      <c r="AL26" s="299" cm="1">
        <f t="array" ref="AL26">INDEX($E26:$U26,,AP$12)</f>
        <v>17100</v>
      </c>
      <c r="AM26" s="300" t="str" cm="1">
        <f t="array" ref="AM26">INDEX($E87:$U87,,AP$12)</f>
        <v>3350</v>
      </c>
      <c r="AN26" s="300">
        <f>'Steel Column'!$F$35/$AL26</f>
        <v>2.2589679473684211E-2</v>
      </c>
      <c r="AO26" s="300">
        <f>0.1*'Steel Column'!$F$35/$AM26</f>
        <v>1.1530851313432837E-2</v>
      </c>
      <c r="AP26" s="301">
        <f t="shared" si="14"/>
        <v>3.4120530787117048E-2</v>
      </c>
      <c r="AQ26" s="300" cm="1">
        <f t="array" ref="AQ26">INDEX($E26:$U26,,AU$12)</f>
        <v>17100</v>
      </c>
      <c r="AR26" s="300" t="str" cm="1">
        <f t="array" ref="AR26">INDEX($E87:$U87,,AU$12)</f>
        <v>3350</v>
      </c>
      <c r="AS26" s="300">
        <f>'Steel Column'!$F$36/$AQ26</f>
        <v>2.3093662610526318E-2</v>
      </c>
      <c r="AT26" s="300">
        <f>0.1*'Steel Column'!$F$36/$AR26</f>
        <v>1.1788108377313433E-2</v>
      </c>
      <c r="AU26" s="301">
        <f t="shared" si="15"/>
        <v>3.4881770987839747E-2</v>
      </c>
      <c r="AV26" s="299">
        <f>'Steel Column'!$F$41/$W26</f>
        <v>2.5635854210526315E-2</v>
      </c>
      <c r="AW26" s="300">
        <f>0.1*'Steel Column'!$F$41/$X26</f>
        <v>1.3085764388059702E-2</v>
      </c>
      <c r="AX26" s="302">
        <f t="shared" si="16"/>
        <v>3.8721618598586013E-2</v>
      </c>
      <c r="AY26" s="300">
        <f>'Steel Column'!$F$42/$AB26</f>
        <v>2.2430473894736843E-2</v>
      </c>
      <c r="AZ26" s="300">
        <f>0.1*'Steel Column'!$F$42/$AC26</f>
        <v>1.1449585182089553E-2</v>
      </c>
      <c r="BA26" s="300">
        <f t="shared" si="17"/>
        <v>3.3880059076826397E-2</v>
      </c>
      <c r="BB26" s="299">
        <f>'Steel Column'!$F$43/$AG26</f>
        <v>2.2717114352035092E-2</v>
      </c>
      <c r="BC26" s="300">
        <f>0.1*'Steel Column'!$F$43/$AH26</f>
        <v>1.1595900161785078E-2</v>
      </c>
      <c r="BD26" s="301">
        <f t="shared" si="5"/>
        <v>3.431301451382017E-2</v>
      </c>
      <c r="BE26" s="300">
        <f>'Steel Column'!$F$44/$AL26</f>
        <v>1.5557997631578948E-2</v>
      </c>
      <c r="BF26" s="300">
        <f>0.1*'Steel Column'!$F$44/$AM26</f>
        <v>7.9415450597014933E-3</v>
      </c>
      <c r="BG26" s="300">
        <f t="shared" si="6"/>
        <v>2.3499542691280441E-2</v>
      </c>
      <c r="BH26" s="299">
        <f>'Steel Column'!$F$45/$AQ26</f>
        <v>1.5809989199999999E-2</v>
      </c>
      <c r="BI26" s="300">
        <f>0.1*'Steel Column'!$F$45/$AR26</f>
        <v>8.070173591641791E-3</v>
      </c>
      <c r="BJ26" s="301">
        <f t="shared" si="7"/>
        <v>2.388016279164179E-2</v>
      </c>
      <c r="BK26" s="299">
        <f>'Steel Column'!$F$50/$W26</f>
        <v>1.4949506052631581E-2</v>
      </c>
      <c r="BL26" s="300">
        <f>0.1*'Steel Column'!$F$50/$X26</f>
        <v>7.6309418955223893E-3</v>
      </c>
      <c r="BM26" s="300">
        <f t="shared" si="18"/>
        <v>2.2580447948153969E-2</v>
      </c>
      <c r="BN26" s="299">
        <f>'Steel Column'!$F$51/$AB26</f>
        <v>1.3346815894736842E-2</v>
      </c>
      <c r="BO26" s="300">
        <f>0.1*'Steel Column'!$F$51/$AC26</f>
        <v>6.8128522925373133E-3</v>
      </c>
      <c r="BP26" s="301">
        <f t="shared" si="19"/>
        <v>2.0159668187274153E-2</v>
      </c>
      <c r="BQ26" s="299">
        <f>'Steel Column'!$F$52/$AG26</f>
        <v>1.3490136123385968E-2</v>
      </c>
      <c r="BR26" s="300">
        <f>0.1*'Steel Column'!$F$52/$AH26</f>
        <v>6.8860097823850762E-3</v>
      </c>
      <c r="BS26" s="301">
        <f t="shared" si="8"/>
        <v>2.0376145905771043E-2</v>
      </c>
      <c r="BT26" s="300">
        <f>'Steel Column'!$F$53/$AL26</f>
        <v>9.9105777631578948E-3</v>
      </c>
      <c r="BU26" s="300">
        <f>0.1*'Steel Column'!$F$53/$AM26</f>
        <v>5.0588322313432832E-3</v>
      </c>
      <c r="BV26" s="300">
        <f t="shared" si="9"/>
        <v>1.4969409994501179E-2</v>
      </c>
      <c r="BW26" s="299">
        <f>'Steel Column'!$F$54/$AQ26</f>
        <v>1.0036573547368421E-2</v>
      </c>
      <c r="BX26" s="300">
        <f>0.1*'Steel Column'!$F$54/$AR26</f>
        <v>5.1231464973134338E-3</v>
      </c>
      <c r="BY26" s="301">
        <f t="shared" si="10"/>
        <v>1.5159720044681855E-2</v>
      </c>
      <c r="CB26" s="284">
        <f t="shared" si="21"/>
        <v>0.28205128205128216</v>
      </c>
      <c r="CC26" s="284">
        <f t="shared" si="21"/>
        <v>0.31578947368421062</v>
      </c>
      <c r="CD26" s="284">
        <f t="shared" si="21"/>
        <v>0.35135135135135132</v>
      </c>
      <c r="CE26" s="284">
        <f t="shared" si="21"/>
        <v>0.31578947368421062</v>
      </c>
      <c r="CF26" s="284">
        <f t="shared" si="21"/>
        <v>0.28205128205128216</v>
      </c>
    </row>
    <row r="27" spans="1:84">
      <c r="A27" s="284" t="s">
        <v>1243</v>
      </c>
      <c r="B27" s="284" t="s">
        <v>1271</v>
      </c>
      <c r="C27" s="298">
        <v>393</v>
      </c>
      <c r="D27" s="284" t="s">
        <v>1245</v>
      </c>
      <c r="E27" s="284">
        <v>16800</v>
      </c>
      <c r="F27" s="284">
        <v>16800</v>
      </c>
      <c r="G27" s="284">
        <v>16400</v>
      </c>
      <c r="H27" s="284">
        <v>15900</v>
      </c>
      <c r="I27" s="284">
        <v>15400</v>
      </c>
      <c r="J27" s="284">
        <v>14800</v>
      </c>
      <c r="K27" s="284">
        <v>14300</v>
      </c>
      <c r="L27" s="284">
        <v>13100</v>
      </c>
      <c r="M27" s="284">
        <v>11900</v>
      </c>
      <c r="N27" s="284">
        <v>10600</v>
      </c>
      <c r="O27" s="284">
        <v>9370</v>
      </c>
      <c r="P27" s="284">
        <v>8220</v>
      </c>
      <c r="Q27" s="284">
        <v>7190</v>
      </c>
      <c r="R27" s="284">
        <v>6300</v>
      </c>
      <c r="S27" s="284">
        <v>5540</v>
      </c>
      <c r="T27" s="284">
        <v>4900</v>
      </c>
      <c r="U27" s="284">
        <v>4340</v>
      </c>
      <c r="V27" s="284" t="s">
        <v>1272</v>
      </c>
      <c r="W27" s="299" cm="1">
        <f t="array" ref="W27">INDEX($E27:$U27,,AA$12)</f>
        <v>14300</v>
      </c>
      <c r="X27" s="300" t="str" cm="1">
        <f t="array" ref="X27">INDEX($E88:$U88,,AA$12)</f>
        <v>2750</v>
      </c>
      <c r="Y27" s="300">
        <f>'Steel Column'!$F$32/W27</f>
        <v>5.1115119860139863E-2</v>
      </c>
      <c r="Z27" s="300">
        <f>0.1*'Steel Column'!$F$32/X27</f>
        <v>2.6579862327272729E-2</v>
      </c>
      <c r="AA27" s="301">
        <f t="shared" si="11"/>
        <v>7.7694982187412595E-2</v>
      </c>
      <c r="AB27" s="299" cm="1">
        <f t="array" ref="AB27">INDEX($E27:$U27,,AF$12)</f>
        <v>14300</v>
      </c>
      <c r="AC27" s="300" t="str" cm="1">
        <f t="array" ref="AC27">INDEX($E88:$U88,,AF$12)</f>
        <v>2750</v>
      </c>
      <c r="AD27" s="300">
        <f>'Steel Column'!$F$33/$AB27</f>
        <v>4.3449105398601404E-2</v>
      </c>
      <c r="AE27" s="300">
        <f>0.1*'Steel Column'!$F$33/$AC27</f>
        <v>2.2593534807272733E-2</v>
      </c>
      <c r="AF27" s="301">
        <f t="shared" si="12"/>
        <v>6.6042640205874137E-2</v>
      </c>
      <c r="AG27" s="299" cm="1">
        <f t="array" ref="AG27">INDEX($E27:$U27,,AK$12)</f>
        <v>14300</v>
      </c>
      <c r="AH27" s="300" t="str" cm="1">
        <f t="array" ref="AH27">INDEX($E88:$U88,,AK$12)</f>
        <v>2750</v>
      </c>
      <c r="AI27" s="300">
        <f>'Steel Column'!$F$34/$AG27</f>
        <v>4.4134637121650361E-2</v>
      </c>
      <c r="AJ27" s="300">
        <f>0.1*'Steel Column'!$F$34/$AH27</f>
        <v>2.2950011303258189E-2</v>
      </c>
      <c r="AK27" s="301">
        <f t="shared" si="13"/>
        <v>6.708464842490855E-2</v>
      </c>
      <c r="AL27" s="299" cm="1">
        <f t="array" ref="AL27">INDEX($E27:$U27,,AP$12)</f>
        <v>14300</v>
      </c>
      <c r="AM27" s="300" t="str" cm="1">
        <f t="array" ref="AM27">INDEX($E88:$U88,,AP$12)</f>
        <v>2750</v>
      </c>
      <c r="AN27" s="300">
        <f>'Steel Column'!$F$35/$AL27</f>
        <v>2.7012833496503498E-2</v>
      </c>
      <c r="AO27" s="300">
        <f>0.1*'Steel Column'!$F$35/$AM27</f>
        <v>1.404667341818182E-2</v>
      </c>
      <c r="AP27" s="301">
        <f t="shared" si="14"/>
        <v>4.1059506914685316E-2</v>
      </c>
      <c r="AQ27" s="300" cm="1">
        <f t="array" ref="AQ27">INDEX($E27:$U27,,AU$12)</f>
        <v>14300</v>
      </c>
      <c r="AR27" s="300" t="str" cm="1">
        <f t="array" ref="AR27">INDEX($E88:$U88,,AU$12)</f>
        <v>2750</v>
      </c>
      <c r="AS27" s="300">
        <f>'Steel Column'!$F$36/$AQ27</f>
        <v>2.7615498646153848E-2</v>
      </c>
      <c r="AT27" s="300">
        <f>0.1*'Steel Column'!$F$36/$AR27</f>
        <v>1.4360059296E-2</v>
      </c>
      <c r="AU27" s="301">
        <f t="shared" si="15"/>
        <v>4.1975557942153852E-2</v>
      </c>
      <c r="AV27" s="299">
        <f>'Steel Column'!$F$41/$W27</f>
        <v>3.0655462027972029E-2</v>
      </c>
      <c r="AW27" s="300">
        <f>0.1*'Steel Column'!$F$41/$X27</f>
        <v>1.5940840254545455E-2</v>
      </c>
      <c r="AX27" s="302">
        <f t="shared" si="16"/>
        <v>4.6596302282517488E-2</v>
      </c>
      <c r="AY27" s="300">
        <f>'Steel Column'!$F$42/$AB27</f>
        <v>2.6822454797202799E-2</v>
      </c>
      <c r="AZ27" s="300">
        <f>0.1*'Steel Column'!$F$42/$AC27</f>
        <v>1.3947676494545456E-2</v>
      </c>
      <c r="BA27" s="300">
        <f t="shared" si="17"/>
        <v>4.0770131291748252E-2</v>
      </c>
      <c r="BB27" s="299">
        <f>'Steel Column'!$F$43/$AG27</f>
        <v>2.7165220658727278E-2</v>
      </c>
      <c r="BC27" s="300">
        <f>0.1*'Steel Column'!$F$43/$AH27</f>
        <v>1.4125914742538185E-2</v>
      </c>
      <c r="BD27" s="301">
        <f t="shared" si="5"/>
        <v>4.1291135401265465E-2</v>
      </c>
      <c r="BE27" s="300">
        <f>'Steel Column'!$F$44/$AL27</f>
        <v>1.8604318846153847E-2</v>
      </c>
      <c r="BF27" s="300">
        <f>0.1*'Steel Column'!$F$44/$AM27</f>
        <v>9.6742458E-3</v>
      </c>
      <c r="BG27" s="300">
        <f t="shared" si="6"/>
        <v>2.8278564646153845E-2</v>
      </c>
      <c r="BH27" s="299">
        <f>'Steel Column'!$F$45/$AQ27</f>
        <v>1.8905651420979018E-2</v>
      </c>
      <c r="BI27" s="300">
        <f>0.1*'Steel Column'!$F$45/$AR27</f>
        <v>9.830938738909091E-3</v>
      </c>
      <c r="BJ27" s="301">
        <f t="shared" si="7"/>
        <v>2.8736590159888109E-2</v>
      </c>
      <c r="BK27" s="299">
        <f>'Steel Column'!$F$50/$W27</f>
        <v>1.7876682062937063E-2</v>
      </c>
      <c r="BL27" s="300">
        <f>0.1*'Steel Column'!$F$50/$X27</f>
        <v>9.295874672727274E-3</v>
      </c>
      <c r="BM27" s="300">
        <f t="shared" si="18"/>
        <v>2.7172556735664335E-2</v>
      </c>
      <c r="BN27" s="299">
        <f>'Steel Column'!$F$51/$AB27</f>
        <v>1.5960178447552448E-2</v>
      </c>
      <c r="BO27" s="300">
        <f>0.1*'Steel Column'!$F$51/$AC27</f>
        <v>8.2992927927272725E-3</v>
      </c>
      <c r="BP27" s="301">
        <f t="shared" si="19"/>
        <v>2.4259471240279721E-2</v>
      </c>
      <c r="BQ27" s="299">
        <f>'Steel Column'!$F$52/$AG27</f>
        <v>1.6131561378314688E-2</v>
      </c>
      <c r="BR27" s="300">
        <f>0.1*'Steel Column'!$F$52/$AH27</f>
        <v>8.3884119167236381E-3</v>
      </c>
      <c r="BS27" s="301">
        <f t="shared" si="8"/>
        <v>2.4519973295038328E-2</v>
      </c>
      <c r="BT27" s="300">
        <f>'Steel Column'!$F$53/$AL27</f>
        <v>1.1851110472027972E-2</v>
      </c>
      <c r="BU27" s="300">
        <f>0.1*'Steel Column'!$F$53/$AM27</f>
        <v>6.1625774454545446E-3</v>
      </c>
      <c r="BV27" s="300">
        <f t="shared" si="9"/>
        <v>1.8013687917482517E-2</v>
      </c>
      <c r="BW27" s="299">
        <f>'Steel Column'!$F$54/$AQ27</f>
        <v>1.200177675944056E-2</v>
      </c>
      <c r="BX27" s="300">
        <f>0.1*'Steel Column'!$F$54/$AR27</f>
        <v>6.2409239149090918E-3</v>
      </c>
      <c r="BY27" s="301">
        <f t="shared" si="10"/>
        <v>1.8242700674349653E-2</v>
      </c>
      <c r="CB27" s="284">
        <f t="shared" si="21"/>
        <v>0.53846153846153855</v>
      </c>
      <c r="CC27" s="284">
        <f t="shared" si="21"/>
        <v>0.57894736842105265</v>
      </c>
      <c r="CD27" s="284">
        <f t="shared" si="21"/>
        <v>0.62162162162162149</v>
      </c>
      <c r="CE27" s="284">
        <f t="shared" si="21"/>
        <v>0.57894736842105265</v>
      </c>
      <c r="CF27" s="284">
        <f t="shared" si="21"/>
        <v>0.53846153846153855</v>
      </c>
    </row>
    <row r="28" spans="1:84">
      <c r="A28" s="284" t="s">
        <v>1243</v>
      </c>
      <c r="B28" s="284" t="s">
        <v>1273</v>
      </c>
      <c r="C28" s="298">
        <v>340</v>
      </c>
      <c r="D28" s="284" t="s">
        <v>1245</v>
      </c>
      <c r="E28" s="284">
        <v>14500</v>
      </c>
      <c r="F28" s="284">
        <v>14500</v>
      </c>
      <c r="G28" s="284">
        <v>14200</v>
      </c>
      <c r="H28" s="284">
        <v>13700</v>
      </c>
      <c r="I28" s="284">
        <v>13300</v>
      </c>
      <c r="J28" s="284">
        <v>12800</v>
      </c>
      <c r="K28" s="284">
        <v>12300</v>
      </c>
      <c r="L28" s="284">
        <v>11300</v>
      </c>
      <c r="M28" s="284">
        <v>10200</v>
      </c>
      <c r="N28" s="284">
        <v>9100</v>
      </c>
      <c r="O28" s="284">
        <v>8020</v>
      </c>
      <c r="P28" s="284">
        <v>7020</v>
      </c>
      <c r="Q28" s="284">
        <v>6140</v>
      </c>
      <c r="R28" s="284">
        <v>5370</v>
      </c>
      <c r="S28" s="284">
        <v>4720</v>
      </c>
      <c r="T28" s="284">
        <v>4170</v>
      </c>
      <c r="U28" s="284">
        <v>3700</v>
      </c>
      <c r="V28" s="284" t="s">
        <v>1274</v>
      </c>
      <c r="W28" s="299" cm="1">
        <f t="array" ref="W28">INDEX($E28:$U28,,AA$12)</f>
        <v>12300</v>
      </c>
      <c r="X28" s="300" t="str" cm="1">
        <f t="array" ref="X28">INDEX($E89:$U89,,AA$12)</f>
        <v>2340</v>
      </c>
      <c r="Y28" s="300">
        <f>'Steel Column'!$F$32/W28</f>
        <v>5.9426521463414636E-2</v>
      </c>
      <c r="Z28" s="300">
        <f>0.1*'Steel Column'!$F$32/X28</f>
        <v>3.1237017692307696E-2</v>
      </c>
      <c r="AA28" s="301">
        <f t="shared" si="11"/>
        <v>9.0663539155722339E-2</v>
      </c>
      <c r="AB28" s="299" cm="1">
        <f t="array" ref="AB28">INDEX($E28:$U28,,AF$12)</f>
        <v>12300</v>
      </c>
      <c r="AC28" s="300" t="str" cm="1">
        <f t="array" ref="AC28">INDEX($E89:$U89,,AF$12)</f>
        <v>2340</v>
      </c>
      <c r="AD28" s="300">
        <f>'Steel Column'!$F$33/$AB28</f>
        <v>5.0514000585365863E-2</v>
      </c>
      <c r="AE28" s="300">
        <f>0.1*'Steel Column'!$F$33/$AC28</f>
        <v>2.6552231076923082E-2</v>
      </c>
      <c r="AF28" s="301">
        <f t="shared" si="12"/>
        <v>7.7066231662288945E-2</v>
      </c>
      <c r="AG28" s="299" cm="1">
        <f t="array" ref="AG28">INDEX($E28:$U28,,AK$12)</f>
        <v>12300</v>
      </c>
      <c r="AH28" s="300" t="str" cm="1">
        <f t="array" ref="AH28">INDEX($E89:$U89,,AK$12)</f>
        <v>2340</v>
      </c>
      <c r="AI28" s="300">
        <f>'Steel Column'!$F$34/$AG28</f>
        <v>5.1311000881268304E-2</v>
      </c>
      <c r="AJ28" s="300">
        <f>0.1*'Steel Column'!$F$34/$AH28</f>
        <v>2.6971167129897444E-2</v>
      </c>
      <c r="AK28" s="301">
        <f t="shared" si="13"/>
        <v>7.8282168011165748E-2</v>
      </c>
      <c r="AL28" s="299" cm="1">
        <f t="array" ref="AL28">INDEX($E28:$U28,,AP$12)</f>
        <v>12300</v>
      </c>
      <c r="AM28" s="300" t="str" cm="1">
        <f t="array" ref="AM28">INDEX($E89:$U89,,AP$12)</f>
        <v>2340</v>
      </c>
      <c r="AN28" s="300">
        <f>'Steel Column'!$F$35/$AL28</f>
        <v>3.1405164146341466E-2</v>
      </c>
      <c r="AO28" s="300">
        <f>0.1*'Steel Column'!$F$35/$AM28</f>
        <v>1.6507842692307696E-2</v>
      </c>
      <c r="AP28" s="301">
        <f t="shared" si="14"/>
        <v>4.7913006838649158E-2</v>
      </c>
      <c r="AQ28" s="300" cm="1">
        <f t="array" ref="AQ28">INDEX($E28:$U28,,AU$12)</f>
        <v>12300</v>
      </c>
      <c r="AR28" s="300" t="str" cm="1">
        <f t="array" ref="AR28">INDEX($E89:$U89,,AU$12)</f>
        <v>2340</v>
      </c>
      <c r="AS28" s="300">
        <f>'Steel Column'!$F$36/$AQ28</f>
        <v>3.2105823629268296E-2</v>
      </c>
      <c r="AT28" s="300">
        <f>0.1*'Steel Column'!$F$36/$AR28</f>
        <v>1.6876138061538461E-2</v>
      </c>
      <c r="AU28" s="301">
        <f t="shared" si="15"/>
        <v>4.8981961690806756E-2</v>
      </c>
      <c r="AV28" s="299">
        <f>'Steel Column'!$F$41/$W28</f>
        <v>3.5640089999999999E-2</v>
      </c>
      <c r="AW28" s="300">
        <f>0.1*'Steel Column'!$F$41/$X28</f>
        <v>1.8733893461538462E-2</v>
      </c>
      <c r="AX28" s="302">
        <f t="shared" si="16"/>
        <v>5.4373983461538461E-2</v>
      </c>
      <c r="AY28" s="300">
        <f>'Steel Column'!$F$42/$AB28</f>
        <v>3.1183829560975613E-2</v>
      </c>
      <c r="AZ28" s="300">
        <f>0.1*'Steel Column'!$F$42/$AC28</f>
        <v>1.6391500153846154E-2</v>
      </c>
      <c r="BA28" s="300">
        <f t="shared" si="17"/>
        <v>4.7575329714821771E-2</v>
      </c>
      <c r="BB28" s="299">
        <f>'Steel Column'!$F$43/$AG28</f>
        <v>3.1582329708926833E-2</v>
      </c>
      <c r="BC28" s="300">
        <f>0.1*'Steel Column'!$F$43/$AH28</f>
        <v>1.6600968180333339E-2</v>
      </c>
      <c r="BD28" s="301">
        <f t="shared" si="5"/>
        <v>4.8183297889260172E-2</v>
      </c>
      <c r="BE28" s="300">
        <f>'Steel Column'!$F$44/$AL28</f>
        <v>2.1629411341463414E-2</v>
      </c>
      <c r="BF28" s="300">
        <f>0.1*'Steel Column'!$F$44/$AM28</f>
        <v>1.1369305961538463E-2</v>
      </c>
      <c r="BG28" s="300">
        <f t="shared" si="6"/>
        <v>3.2998717303001877E-2</v>
      </c>
      <c r="BH28" s="299">
        <f>'Steel Column'!$F$45/$AQ28</f>
        <v>2.1979741082926829E-2</v>
      </c>
      <c r="BI28" s="300">
        <f>0.1*'Steel Column'!$F$45/$AR28</f>
        <v>1.1553453646153846E-2</v>
      </c>
      <c r="BJ28" s="301">
        <f t="shared" si="7"/>
        <v>3.3533194729080673E-2</v>
      </c>
      <c r="BK28" s="299">
        <f>'Steel Column'!$F$50/$W28</f>
        <v>2.0783459634146344E-2</v>
      </c>
      <c r="BL28" s="300">
        <f>0.1*'Steel Column'!$F$50/$X28</f>
        <v>1.0924639038461541E-2</v>
      </c>
      <c r="BM28" s="300">
        <f t="shared" si="18"/>
        <v>3.1708098672607883E-2</v>
      </c>
      <c r="BN28" s="299">
        <f>'Steel Column'!$F$51/$AB28</f>
        <v>1.8555329414634145E-2</v>
      </c>
      <c r="BO28" s="300">
        <f>0.1*'Steel Column'!$F$51/$AC28</f>
        <v>9.7534423846153857E-3</v>
      </c>
      <c r="BP28" s="301">
        <f t="shared" si="19"/>
        <v>2.8308771799249531E-2</v>
      </c>
      <c r="BQ28" s="299">
        <f>'Steel Column'!$F$52/$AG28</f>
        <v>1.8754579488609761E-2</v>
      </c>
      <c r="BR28" s="300">
        <f>0.1*'Steel Column'!$F$52/$AH28</f>
        <v>9.8581763978589764E-3</v>
      </c>
      <c r="BS28" s="301">
        <f t="shared" si="8"/>
        <v>2.8612755886468735E-2</v>
      </c>
      <c r="BT28" s="300">
        <f>'Steel Column'!$F$53/$AL28</f>
        <v>1.3778120304878048E-2</v>
      </c>
      <c r="BU28" s="300">
        <f>0.1*'Steel Column'!$F$53/$AM28</f>
        <v>7.2423452884615375E-3</v>
      </c>
      <c r="BV28" s="300">
        <f t="shared" si="9"/>
        <v>2.1020465593339584E-2</v>
      </c>
      <c r="BW28" s="299">
        <f>'Steel Column'!$F$54/$AQ28</f>
        <v>1.3953285175609757E-2</v>
      </c>
      <c r="BX28" s="300">
        <f>0.1*'Steel Column'!$F$54/$AR28</f>
        <v>7.3344191307692323E-3</v>
      </c>
      <c r="BY28" s="301">
        <f t="shared" si="10"/>
        <v>2.1287704306378989E-2</v>
      </c>
      <c r="CB28" s="284">
        <f t="shared" si="21"/>
        <v>0.79487179487179493</v>
      </c>
      <c r="CC28" s="284">
        <f t="shared" si="21"/>
        <v>0.84210526315789491</v>
      </c>
      <c r="CD28" s="284">
        <f t="shared" si="21"/>
        <v>0.89189189189189189</v>
      </c>
      <c r="CE28" s="284">
        <f t="shared" si="21"/>
        <v>0.84210526315789491</v>
      </c>
      <c r="CF28" s="284">
        <f t="shared" si="21"/>
        <v>0.79487179487179493</v>
      </c>
    </row>
    <row r="29" spans="1:84">
      <c r="A29" s="284" t="s">
        <v>1243</v>
      </c>
      <c r="B29" s="284" t="s">
        <v>1275</v>
      </c>
      <c r="C29" s="298">
        <v>287</v>
      </c>
      <c r="D29" s="284" t="s">
        <v>1245</v>
      </c>
      <c r="E29" s="284">
        <v>12600</v>
      </c>
      <c r="F29" s="284">
        <v>12600</v>
      </c>
      <c r="G29" s="284">
        <v>12300</v>
      </c>
      <c r="H29" s="284">
        <v>11900</v>
      </c>
      <c r="I29" s="284">
        <v>11500</v>
      </c>
      <c r="J29" s="284">
        <v>11100</v>
      </c>
      <c r="K29" s="284">
        <v>10600</v>
      </c>
      <c r="L29" s="284">
        <v>9720</v>
      </c>
      <c r="M29" s="284">
        <v>8740</v>
      </c>
      <c r="N29" s="284">
        <v>7750</v>
      </c>
      <c r="O29" s="284">
        <v>6800</v>
      </c>
      <c r="P29" s="284">
        <v>5930</v>
      </c>
      <c r="Q29" s="284">
        <v>5170</v>
      </c>
      <c r="R29" s="284">
        <v>4510</v>
      </c>
      <c r="S29" s="284">
        <v>3960</v>
      </c>
      <c r="T29" s="284">
        <v>3490</v>
      </c>
      <c r="U29" s="284">
        <v>3090</v>
      </c>
      <c r="V29" s="284" t="s">
        <v>1276</v>
      </c>
      <c r="W29" s="299" cm="1">
        <f t="array" ref="W29">INDEX($E29:$U29,,AA$12)</f>
        <v>10600</v>
      </c>
      <c r="X29" s="300" t="str" cm="1">
        <f t="array" ref="X29">INDEX($E90:$U90,,AA$12)</f>
        <v>1990</v>
      </c>
      <c r="Y29" s="300">
        <f>'Steel Column'!$F$32/W29</f>
        <v>6.8957190000000002E-2</v>
      </c>
      <c r="Z29" s="300">
        <f>0.1*'Steel Column'!$F$32/X29</f>
        <v>3.6730965527638194E-2</v>
      </c>
      <c r="AA29" s="301">
        <f t="shared" si="11"/>
        <v>0.10568815552763819</v>
      </c>
      <c r="AB29" s="299" cm="1">
        <f t="array" ref="AB29">INDEX($E29:$U29,,AF$12)</f>
        <v>10600</v>
      </c>
      <c r="AC29" s="300" t="str" cm="1">
        <f t="array" ref="AC29">INDEX($E90:$U90,,AF$12)</f>
        <v>1990</v>
      </c>
      <c r="AD29" s="300">
        <f>'Steel Column'!$F$33/$AB29</f>
        <v>5.8615302566037746E-2</v>
      </c>
      <c r="AE29" s="300">
        <f>0.1*'Steel Column'!$F$33/$AC29</f>
        <v>3.1222221467336692E-2</v>
      </c>
      <c r="AF29" s="301">
        <f t="shared" si="12"/>
        <v>8.9837524033374444E-2</v>
      </c>
      <c r="AG29" s="299" cm="1">
        <f t="array" ref="AG29">INDEX($E29:$U29,,AK$12)</f>
        <v>10600</v>
      </c>
      <c r="AH29" s="300" t="str" cm="1">
        <f t="array" ref="AH29">INDEX($E90:$U90,,AK$12)</f>
        <v>1990</v>
      </c>
      <c r="AI29" s="300">
        <f>'Steel Column'!$F$34/$AG29</f>
        <v>5.9540123664113223E-2</v>
      </c>
      <c r="AJ29" s="300">
        <f>0.1*'Steel Column'!$F$34/$AH29</f>
        <v>3.1714839740683426E-2</v>
      </c>
      <c r="AK29" s="301">
        <f t="shared" si="13"/>
        <v>9.1254963404796649E-2</v>
      </c>
      <c r="AL29" s="299" cm="1">
        <f t="array" ref="AL29">INDEX($E29:$U29,,AP$12)</f>
        <v>10600</v>
      </c>
      <c r="AM29" s="300" t="str" cm="1">
        <f t="array" ref="AM29">INDEX($E90:$U90,,AP$12)</f>
        <v>1990</v>
      </c>
      <c r="AN29" s="300">
        <f>'Steel Column'!$F$35/$AL29</f>
        <v>3.6441841415094343E-2</v>
      </c>
      <c r="AO29" s="300">
        <f>0.1*'Steel Column'!$F$35/$AM29</f>
        <v>1.9411232110552765E-2</v>
      </c>
      <c r="AP29" s="301">
        <f t="shared" si="14"/>
        <v>5.5853073525647112E-2</v>
      </c>
      <c r="AQ29" s="300" cm="1">
        <f t="array" ref="AQ29">INDEX($E29:$U29,,AU$12)</f>
        <v>10600</v>
      </c>
      <c r="AR29" s="300" t="str" cm="1">
        <f t="array" ref="AR29">INDEX($E90:$U90,,AU$12)</f>
        <v>1990</v>
      </c>
      <c r="AS29" s="300">
        <f>'Steel Column'!$F$36/$AQ29</f>
        <v>3.7254870815094342E-2</v>
      </c>
      <c r="AT29" s="300">
        <f>0.1*'Steel Column'!$F$36/$AR29</f>
        <v>1.9844303047236181E-2</v>
      </c>
      <c r="AU29" s="301">
        <f t="shared" si="15"/>
        <v>5.7099173862330523E-2</v>
      </c>
      <c r="AV29" s="299">
        <f>'Steel Column'!$F$41/$W29</f>
        <v>4.135595349056604E-2</v>
      </c>
      <c r="AW29" s="300">
        <f>0.1*'Steel Column'!$F$41/$X29</f>
        <v>2.2028799346733671E-2</v>
      </c>
      <c r="AX29" s="302">
        <f t="shared" si="16"/>
        <v>6.3384752837299718E-2</v>
      </c>
      <c r="AY29" s="300">
        <f>'Steel Column'!$F$42/$AB29</f>
        <v>3.6185009773584909E-2</v>
      </c>
      <c r="AZ29" s="300">
        <f>0.1*'Steel Column'!$F$42/$AC29</f>
        <v>1.9274427316582916E-2</v>
      </c>
      <c r="BA29" s="300">
        <f t="shared" si="17"/>
        <v>5.5459437090167825E-2</v>
      </c>
      <c r="BB29" s="299">
        <f>'Steel Column'!$F$43/$AG29</f>
        <v>3.6647420322622644E-2</v>
      </c>
      <c r="BC29" s="300">
        <f>0.1*'Steel Column'!$F$43/$AH29</f>
        <v>1.9520736453256287E-2</v>
      </c>
      <c r="BD29" s="301">
        <f t="shared" si="5"/>
        <v>5.6168156775878927E-2</v>
      </c>
      <c r="BE29" s="300">
        <f>'Steel Column'!$F$44/$AL29</f>
        <v>2.5098279198113208E-2</v>
      </c>
      <c r="BF29" s="300">
        <f>0.1*'Steel Column'!$F$44/$AM29</f>
        <v>1.3368932638190955E-2</v>
      </c>
      <c r="BG29" s="300">
        <f t="shared" si="6"/>
        <v>3.8467211836304166E-2</v>
      </c>
      <c r="BH29" s="299">
        <f>'Steel Column'!$F$45/$AQ29</f>
        <v>2.5504793898113207E-2</v>
      </c>
      <c r="BI29" s="300">
        <f>0.1*'Steel Column'!$F$45/$AR29</f>
        <v>1.3585468106532663E-2</v>
      </c>
      <c r="BJ29" s="301">
        <f t="shared" si="7"/>
        <v>3.9090262004645868E-2</v>
      </c>
      <c r="BK29" s="299">
        <f>'Steel Column'!$F$50/$W29</f>
        <v>2.411665599056604E-2</v>
      </c>
      <c r="BL29" s="300">
        <f>0.1*'Steel Column'!$F$50/$X29</f>
        <v>1.2846057964824123E-2</v>
      </c>
      <c r="BM29" s="300">
        <f t="shared" si="18"/>
        <v>3.6962713955390164E-2</v>
      </c>
      <c r="BN29" s="299">
        <f>'Steel Column'!$F$51/$AB29</f>
        <v>2.153118413207547E-2</v>
      </c>
      <c r="BO29" s="300">
        <f>0.1*'Steel Column'!$F$51/$AC29</f>
        <v>1.1468871949748743E-2</v>
      </c>
      <c r="BP29" s="301">
        <f t="shared" si="19"/>
        <v>3.3000056081824214E-2</v>
      </c>
      <c r="BQ29" s="299">
        <f>'Steel Column'!$F$52/$AG29</f>
        <v>2.1762389406594345E-2</v>
      </c>
      <c r="BR29" s="300">
        <f>0.1*'Steel Column'!$F$52/$AH29</f>
        <v>1.1592026518085429E-2</v>
      </c>
      <c r="BS29" s="301">
        <f t="shared" si="8"/>
        <v>3.3354415924679776E-2</v>
      </c>
      <c r="BT29" s="300">
        <f>'Steel Column'!$F$53/$AL29</f>
        <v>1.5987818844339623E-2</v>
      </c>
      <c r="BU29" s="300">
        <f>0.1*'Steel Column'!$F$53/$AM29</f>
        <v>8.5161246105527628E-3</v>
      </c>
      <c r="BV29" s="300">
        <f t="shared" si="9"/>
        <v>2.4503943454892388E-2</v>
      </c>
      <c r="BW29" s="299">
        <f>'Steel Column'!$F$54/$AQ29</f>
        <v>1.6191076194339623E-2</v>
      </c>
      <c r="BX29" s="300">
        <f>0.1*'Steel Column'!$F$54/$AR29</f>
        <v>8.6243923447236193E-3</v>
      </c>
      <c r="BY29" s="301">
        <f t="shared" si="10"/>
        <v>2.4815468539063242E-2</v>
      </c>
      <c r="CB29" s="284">
        <f t="shared" si="21"/>
        <v>1.0512820512820515</v>
      </c>
      <c r="CC29" s="284">
        <f t="shared" si="21"/>
        <v>1.1052631578947367</v>
      </c>
      <c r="CD29" s="284">
        <f t="shared" si="21"/>
        <v>1.1621621621621618</v>
      </c>
      <c r="CE29" s="284">
        <f t="shared" si="21"/>
        <v>1.1052631578947367</v>
      </c>
      <c r="CF29" s="284">
        <f t="shared" si="21"/>
        <v>1.0512820512820515</v>
      </c>
    </row>
    <row r="30" spans="1:84">
      <c r="A30" s="284" t="s">
        <v>1243</v>
      </c>
      <c r="B30" s="284" t="s">
        <v>1277</v>
      </c>
      <c r="C30" s="298">
        <v>235</v>
      </c>
      <c r="D30" s="284" t="s">
        <v>1245</v>
      </c>
      <c r="E30" s="284">
        <v>10300</v>
      </c>
      <c r="F30" s="284">
        <v>10300</v>
      </c>
      <c r="G30" s="284">
        <v>10000</v>
      </c>
      <c r="H30" s="284">
        <v>9700</v>
      </c>
      <c r="I30" s="284">
        <v>9370</v>
      </c>
      <c r="J30" s="284">
        <v>9020</v>
      </c>
      <c r="K30" s="284">
        <v>8660</v>
      </c>
      <c r="L30" s="284">
        <v>7900</v>
      </c>
      <c r="M30" s="284">
        <v>7100</v>
      </c>
      <c r="N30" s="284">
        <v>6280</v>
      </c>
      <c r="O30" s="284">
        <v>5500</v>
      </c>
      <c r="P30" s="284">
        <v>4790</v>
      </c>
      <c r="Q30" s="284">
        <v>4170</v>
      </c>
      <c r="R30" s="284">
        <v>3640</v>
      </c>
      <c r="S30" s="284">
        <v>3180</v>
      </c>
      <c r="T30" s="284">
        <v>2800</v>
      </c>
      <c r="U30" s="284">
        <v>2480</v>
      </c>
      <c r="V30" s="284" t="s">
        <v>1278</v>
      </c>
      <c r="W30" s="299" cm="1">
        <f t="array" ref="W30">INDEX($E30:$U30,,AA$12)</f>
        <v>8660</v>
      </c>
      <c r="X30" s="300" t="str" cm="1">
        <f t="array" ref="X30">INDEX($E91:$U91,,AA$12)</f>
        <v>1600</v>
      </c>
      <c r="Y30" s="300">
        <f>'Steel Column'!$F$32/W30</f>
        <v>8.4404874595842963E-2</v>
      </c>
      <c r="Z30" s="300">
        <f>0.1*'Steel Column'!$F$32/X30</f>
        <v>4.5684138375000002E-2</v>
      </c>
      <c r="AA30" s="301">
        <f t="shared" si="11"/>
        <v>0.13008901297084297</v>
      </c>
      <c r="AB30" s="299" cm="1">
        <f t="array" ref="AB30">INDEX($E30:$U30,,AF$12)</f>
        <v>8660</v>
      </c>
      <c r="AC30" s="300" t="str" cm="1">
        <f t="array" ref="AC30">INDEX($E91:$U91,,AF$12)</f>
        <v>1600</v>
      </c>
      <c r="AD30" s="300">
        <f>'Steel Column'!$F$33/$AB30</f>
        <v>7.1746213302540426E-2</v>
      </c>
      <c r="AE30" s="300">
        <f>0.1*'Steel Column'!$F$33/$AC30</f>
        <v>3.8832637950000005E-2</v>
      </c>
      <c r="AF30" s="301">
        <f t="shared" si="12"/>
        <v>0.11057885125254044</v>
      </c>
      <c r="AG30" s="299" cm="1">
        <f t="array" ref="AG30">INDEX($E30:$U30,,AK$12)</f>
        <v>8660</v>
      </c>
      <c r="AH30" s="300" t="str" cm="1">
        <f t="array" ref="AH30">INDEX($E91:$U91,,AK$12)</f>
        <v>1600</v>
      </c>
      <c r="AI30" s="300">
        <f>'Steel Column'!$F$34/$AG30</f>
        <v>7.2878211413348742E-2</v>
      </c>
      <c r="AJ30" s="300">
        <f>0.1*'Steel Column'!$F$34/$AH30</f>
        <v>3.9445331927475014E-2</v>
      </c>
      <c r="AK30" s="301">
        <f t="shared" si="13"/>
        <v>0.11232354334082376</v>
      </c>
      <c r="AL30" s="299" cm="1">
        <f t="array" ref="AL30">INDEX($E30:$U30,,AP$12)</f>
        <v>8660</v>
      </c>
      <c r="AM30" s="300" t="str" cm="1">
        <f t="array" ref="AM30">INDEX($E91:$U91,,AP$12)</f>
        <v>1600</v>
      </c>
      <c r="AN30" s="300">
        <f>'Steel Column'!$F$35/$AL30</f>
        <v>4.4605487182448035E-2</v>
      </c>
      <c r="AO30" s="300">
        <f>0.1*'Steel Column'!$F$35/$AM30</f>
        <v>2.4142719937500005E-2</v>
      </c>
      <c r="AP30" s="301">
        <f t="shared" si="14"/>
        <v>6.8748207119948043E-2</v>
      </c>
      <c r="AQ30" s="300" cm="1">
        <f t="array" ref="AQ30">INDEX($E30:$U30,,AU$12)</f>
        <v>8660</v>
      </c>
      <c r="AR30" s="300" t="str" cm="1">
        <f t="array" ref="AR30">INDEX($E91:$U91,,AU$12)</f>
        <v>1600</v>
      </c>
      <c r="AS30" s="300">
        <f>'Steel Column'!$F$36/$AQ30</f>
        <v>4.5600650189376445E-2</v>
      </c>
      <c r="AT30" s="300">
        <f>0.1*'Steel Column'!$F$36/$AR30</f>
        <v>2.4681351915E-2</v>
      </c>
      <c r="AU30" s="301">
        <f t="shared" si="15"/>
        <v>7.0282002104376448E-2</v>
      </c>
      <c r="AV30" s="299">
        <f>'Steel Column'!$F$41/$W30</f>
        <v>5.062045115473441E-2</v>
      </c>
      <c r="AW30" s="300">
        <f>0.1*'Steel Column'!$F$41/$X30</f>
        <v>2.7398319187500002E-2</v>
      </c>
      <c r="AX30" s="302">
        <f t="shared" si="16"/>
        <v>7.8018770342234409E-2</v>
      </c>
      <c r="AY30" s="300">
        <f>'Steel Column'!$F$42/$AB30</f>
        <v>4.4291120508083141E-2</v>
      </c>
      <c r="AZ30" s="300">
        <f>0.1*'Steel Column'!$F$42/$AC30</f>
        <v>2.3972568975000001E-2</v>
      </c>
      <c r="BA30" s="300">
        <f t="shared" si="17"/>
        <v>6.8263689483083145E-2</v>
      </c>
      <c r="BB30" s="299">
        <f>'Steel Column'!$F$43/$AG30</f>
        <v>4.4857119563487306E-2</v>
      </c>
      <c r="BC30" s="300">
        <f>0.1*'Steel Column'!$F$43/$AH30</f>
        <v>2.4278915963737505E-2</v>
      </c>
      <c r="BD30" s="301">
        <f t="shared" si="5"/>
        <v>6.9136035527224804E-2</v>
      </c>
      <c r="BE30" s="300">
        <f>'Steel Column'!$F$44/$AL30</f>
        <v>3.0720757448036953E-2</v>
      </c>
      <c r="BF30" s="300">
        <f>0.1*'Steel Column'!$F$44/$AM30</f>
        <v>1.6627609968750002E-2</v>
      </c>
      <c r="BG30" s="300">
        <f t="shared" si="6"/>
        <v>4.7348367416786954E-2</v>
      </c>
      <c r="BH30" s="299">
        <f>'Steel Column'!$F$45/$AQ30</f>
        <v>3.1218338951501154E-2</v>
      </c>
      <c r="BI30" s="300">
        <f>0.1*'Steel Column'!$F$45/$AR30</f>
        <v>1.68969259575E-2</v>
      </c>
      <c r="BJ30" s="301">
        <f t="shared" si="7"/>
        <v>4.8115264909001157E-2</v>
      </c>
      <c r="BK30" s="299">
        <f>'Steel Column'!$F$50/$W30</f>
        <v>2.9519232505773676E-2</v>
      </c>
      <c r="BL30" s="300">
        <f>0.1*'Steel Column'!$F$50/$X30</f>
        <v>1.5977284593750002E-2</v>
      </c>
      <c r="BM30" s="300">
        <f t="shared" si="18"/>
        <v>4.5496517099523681E-2</v>
      </c>
      <c r="BN30" s="299">
        <f>'Steel Column'!$F$51/$AB30</f>
        <v>2.6354567182448038E-2</v>
      </c>
      <c r="BO30" s="300">
        <f>0.1*'Steel Column'!$F$51/$AC30</f>
        <v>1.4264409487500001E-2</v>
      </c>
      <c r="BP30" s="301">
        <f t="shared" si="19"/>
        <v>4.0618976669948043E-2</v>
      </c>
      <c r="BQ30" s="299">
        <f>'Steel Column'!$F$52/$AG30</f>
        <v>2.6637566710150121E-2</v>
      </c>
      <c r="BR30" s="300">
        <f>0.1*'Steel Column'!$F$52/$AH30</f>
        <v>1.4417582981868753E-2</v>
      </c>
      <c r="BS30" s="301">
        <f t="shared" si="8"/>
        <v>4.1055149692018872E-2</v>
      </c>
      <c r="BT30" s="300">
        <f>'Steel Column'!$F$53/$AL30</f>
        <v>1.9569385652424942E-2</v>
      </c>
      <c r="BU30" s="300">
        <f>0.1*'Steel Column'!$F$53/$AM30</f>
        <v>1.0591929984375E-2</v>
      </c>
      <c r="BV30" s="300">
        <f t="shared" si="9"/>
        <v>3.016131563679994E-2</v>
      </c>
      <c r="BW30" s="299">
        <f>'Steel Column'!$F$54/$AQ30</f>
        <v>1.9818176404157044E-2</v>
      </c>
      <c r="BX30" s="300">
        <f>0.1*'Steel Column'!$F$54/$AR30</f>
        <v>1.0726587978750002E-2</v>
      </c>
      <c r="BY30" s="301">
        <f t="shared" si="10"/>
        <v>3.0544764382907048E-2</v>
      </c>
      <c r="CB30" s="284">
        <f t="shared" si="21"/>
        <v>1.3076923076923079</v>
      </c>
      <c r="CC30" s="284">
        <f t="shared" si="21"/>
        <v>1.3684210526315792</v>
      </c>
      <c r="CD30" s="284">
        <f t="shared" si="21"/>
        <v>1.4324324324324325</v>
      </c>
      <c r="CE30" s="284">
        <f t="shared" si="21"/>
        <v>1.3684210526315792</v>
      </c>
      <c r="CF30" s="284">
        <f t="shared" si="21"/>
        <v>1.3076923076923079</v>
      </c>
    </row>
    <row r="31" spans="1:84">
      <c r="A31" s="284" t="s">
        <v>1279</v>
      </c>
      <c r="B31" s="284" t="s">
        <v>1280</v>
      </c>
      <c r="C31" s="298">
        <v>202</v>
      </c>
      <c r="D31" s="284" t="s">
        <v>1245</v>
      </c>
      <c r="E31" s="284">
        <v>8870</v>
      </c>
      <c r="F31" s="284">
        <v>8860</v>
      </c>
      <c r="G31" s="284">
        <v>8560</v>
      </c>
      <c r="H31" s="284">
        <v>8250</v>
      </c>
      <c r="I31" s="284">
        <v>7940</v>
      </c>
      <c r="J31" s="284">
        <v>7620</v>
      </c>
      <c r="K31" s="284">
        <v>7290</v>
      </c>
      <c r="L31" s="284">
        <v>6580</v>
      </c>
      <c r="M31" s="284">
        <v>5840</v>
      </c>
      <c r="N31" s="284">
        <v>5100</v>
      </c>
      <c r="O31" s="284">
        <v>4410</v>
      </c>
      <c r="P31" s="284">
        <v>3800</v>
      </c>
      <c r="Q31" s="284">
        <v>3290</v>
      </c>
      <c r="R31" s="284">
        <v>2850</v>
      </c>
      <c r="S31" s="284">
        <v>2490</v>
      </c>
      <c r="T31" s="284">
        <v>2180</v>
      </c>
      <c r="U31" s="284">
        <v>1930</v>
      </c>
      <c r="V31" s="284" t="s">
        <v>1281</v>
      </c>
      <c r="W31" s="299" cm="1">
        <f t="array" ref="W31">INDEX($E31:$U31,,AA$12)</f>
        <v>7290</v>
      </c>
      <c r="X31" s="300" t="str" cm="1">
        <f t="array" ref="X31">INDEX($E92:$U92,,AA$12)</f>
        <v>1340</v>
      </c>
      <c r="Y31" s="300">
        <f>'Steel Column'!$F$32/W31</f>
        <v>0.10026697037037038</v>
      </c>
      <c r="Z31" s="300">
        <f>0.1*'Steel Column'!$F$32/X31</f>
        <v>5.4548224925373139E-2</v>
      </c>
      <c r="AA31" s="301">
        <f t="shared" si="11"/>
        <v>0.15481519529574353</v>
      </c>
      <c r="AB31" s="299" cm="1">
        <f t="array" ref="AB31">INDEX($E31:$U31,,AF$12)</f>
        <v>7290</v>
      </c>
      <c r="AC31" s="300" t="str" cm="1">
        <f t="array" ref="AC31">INDEX($E92:$U92,,AF$12)</f>
        <v>1340</v>
      </c>
      <c r="AD31" s="300">
        <f>'Steel Column'!$F$33/$AB31</f>
        <v>8.5229383703703712E-2</v>
      </c>
      <c r="AE31" s="300">
        <f>0.1*'Steel Column'!$F$33/$AC31</f>
        <v>4.6367328895522399E-2</v>
      </c>
      <c r="AF31" s="301">
        <f t="shared" si="12"/>
        <v>0.13159671259922612</v>
      </c>
      <c r="AG31" s="299" cm="1">
        <f t="array" ref="AG31">INDEX($E31:$U31,,AK$12)</f>
        <v>7290</v>
      </c>
      <c r="AH31" s="300" t="str" cm="1">
        <f t="array" ref="AH31">INDEX($E92:$U92,,AK$12)</f>
        <v>1340</v>
      </c>
      <c r="AI31" s="300">
        <f>'Steel Column'!$F$34/$AG31</f>
        <v>8.6574116713251048E-2</v>
      </c>
      <c r="AJ31" s="300">
        <f>0.1*'Steel Column'!$F$34/$AH31</f>
        <v>4.7098903794000016E-2</v>
      </c>
      <c r="AK31" s="301">
        <f t="shared" si="13"/>
        <v>0.13367302050725105</v>
      </c>
      <c r="AL31" s="299" cm="1">
        <f t="array" ref="AL31">INDEX($E31:$U31,,AP$12)</f>
        <v>7290</v>
      </c>
      <c r="AM31" s="300" t="str" cm="1">
        <f t="array" ref="AM31">INDEX($E92:$U92,,AP$12)</f>
        <v>1340</v>
      </c>
      <c r="AN31" s="300">
        <f>'Steel Column'!$F$35/$AL31</f>
        <v>5.2988137037037038E-2</v>
      </c>
      <c r="AO31" s="300">
        <f>0.1*'Steel Column'!$F$35/$AM31</f>
        <v>2.8827128283582092E-2</v>
      </c>
      <c r="AP31" s="301">
        <f t="shared" si="14"/>
        <v>8.1815265320619127E-2</v>
      </c>
      <c r="AQ31" s="300" cm="1">
        <f t="array" ref="AQ31">INDEX($E31:$U31,,AU$12)</f>
        <v>7290</v>
      </c>
      <c r="AR31" s="300" t="str" cm="1">
        <f t="array" ref="AR31">INDEX($E92:$U92,,AU$12)</f>
        <v>1340</v>
      </c>
      <c r="AS31" s="300">
        <f>'Steel Column'!$F$36/$AQ31</f>
        <v>5.4170319703703708E-2</v>
      </c>
      <c r="AT31" s="300">
        <f>0.1*'Steel Column'!$F$36/$AR31</f>
        <v>2.9470270943283583E-2</v>
      </c>
      <c r="AU31" s="301">
        <f t="shared" si="15"/>
        <v>8.3640590646987284E-2</v>
      </c>
      <c r="AV31" s="299">
        <f>'Steel Column'!$F$41/$W31</f>
        <v>6.0133485185185187E-2</v>
      </c>
      <c r="AW31" s="300">
        <f>0.1*'Steel Column'!$F$41/$X31</f>
        <v>3.2714410970149259E-2</v>
      </c>
      <c r="AX31" s="302">
        <f t="shared" si="16"/>
        <v>9.2847896155334453E-2</v>
      </c>
      <c r="AY31" s="300">
        <f>'Steel Column'!$F$42/$AB31</f>
        <v>5.2614691851851858E-2</v>
      </c>
      <c r="AZ31" s="300">
        <f>0.1*'Steel Column'!$F$42/$AC31</f>
        <v>2.8623962955223882E-2</v>
      </c>
      <c r="BA31" s="300">
        <f t="shared" si="17"/>
        <v>8.1238654807075733E-2</v>
      </c>
      <c r="BB31" s="299">
        <f>'Steel Column'!$F$43/$AG31</f>
        <v>5.3287058356625519E-2</v>
      </c>
      <c r="BC31" s="300">
        <f>0.1*'Steel Column'!$F$43/$AH31</f>
        <v>2.8989750404462694E-2</v>
      </c>
      <c r="BD31" s="301">
        <f t="shared" si="5"/>
        <v>8.2276808761088213E-2</v>
      </c>
      <c r="BE31" s="300">
        <f>'Steel Column'!$F$44/$AL31</f>
        <v>3.6494068518518517E-2</v>
      </c>
      <c r="BF31" s="300">
        <f>0.1*'Steel Column'!$F$44/$AM31</f>
        <v>1.9853862649253734E-2</v>
      </c>
      <c r="BG31" s="300">
        <f t="shared" si="6"/>
        <v>5.6347931167772251E-2</v>
      </c>
      <c r="BH31" s="299">
        <f>'Steel Column'!$F$45/$AQ31</f>
        <v>3.7085159851851852E-2</v>
      </c>
      <c r="BI31" s="300">
        <f>0.1*'Steel Column'!$F$45/$AR31</f>
        <v>2.0175433979104478E-2</v>
      </c>
      <c r="BJ31" s="301">
        <f t="shared" si="7"/>
        <v>5.726059383095633E-2</v>
      </c>
      <c r="BK31" s="299">
        <f>'Steel Column'!$F$50/$W31</f>
        <v>3.5066742592592598E-2</v>
      </c>
      <c r="BL31" s="300">
        <f>0.1*'Steel Column'!$F$50/$X31</f>
        <v>1.9077354738805972E-2</v>
      </c>
      <c r="BM31" s="300">
        <f t="shared" si="18"/>
        <v>5.414409733139857E-2</v>
      </c>
      <c r="BN31" s="299">
        <f>'Steel Column'!$F$51/$AB31</f>
        <v>3.1307345925925927E-2</v>
      </c>
      <c r="BO31" s="300">
        <f>0.1*'Steel Column'!$F$51/$AC31</f>
        <v>1.7032130731343284E-2</v>
      </c>
      <c r="BP31" s="301">
        <f t="shared" si="19"/>
        <v>4.8339476657269211E-2</v>
      </c>
      <c r="BQ31" s="299">
        <f>'Steel Column'!$F$52/$AG31</f>
        <v>3.1643529178312764E-2</v>
      </c>
      <c r="BR31" s="300">
        <f>0.1*'Steel Column'!$F$52/$AH31</f>
        <v>1.721502445596269E-2</v>
      </c>
      <c r="BS31" s="301">
        <f t="shared" si="8"/>
        <v>4.8858553634275451E-2</v>
      </c>
      <c r="BT31" s="300">
        <f>'Steel Column'!$F$53/$AL31</f>
        <v>2.324703425925926E-2</v>
      </c>
      <c r="BU31" s="300">
        <f>0.1*'Steel Column'!$F$53/$AM31</f>
        <v>1.2647080578358208E-2</v>
      </c>
      <c r="BV31" s="300">
        <f t="shared" si="9"/>
        <v>3.5894114837617466E-2</v>
      </c>
      <c r="BW31" s="299">
        <f>'Steel Column'!$F$54/$AQ31</f>
        <v>2.3542579925925927E-2</v>
      </c>
      <c r="BX31" s="300">
        <f>0.1*'Steel Column'!$F$54/$AR31</f>
        <v>1.2807866243283584E-2</v>
      </c>
      <c r="BY31" s="301">
        <f t="shared" si="10"/>
        <v>3.6350446169209509E-2</v>
      </c>
      <c r="CB31" s="284">
        <f t="shared" si="21"/>
        <v>1.5641025641025643</v>
      </c>
      <c r="CC31" s="284">
        <f t="shared" si="21"/>
        <v>1.6315789473684212</v>
      </c>
      <c r="CD31" s="284">
        <f t="shared" si="21"/>
        <v>1.7027027027027026</v>
      </c>
      <c r="CE31" s="284">
        <f t="shared" si="21"/>
        <v>1.6315789473684212</v>
      </c>
      <c r="CF31" s="284">
        <f t="shared" si="21"/>
        <v>1.5641025641025643</v>
      </c>
    </row>
    <row r="32" spans="1:84">
      <c r="A32" s="284" t="s">
        <v>1279</v>
      </c>
      <c r="B32" s="284" t="s">
        <v>1282</v>
      </c>
      <c r="C32" s="298">
        <v>177</v>
      </c>
      <c r="D32" s="284" t="s">
        <v>1245</v>
      </c>
      <c r="E32" s="284">
        <v>7800</v>
      </c>
      <c r="F32" s="284">
        <v>7790</v>
      </c>
      <c r="G32" s="284">
        <v>7520</v>
      </c>
      <c r="H32" s="284">
        <v>7250</v>
      </c>
      <c r="I32" s="284">
        <v>6970</v>
      </c>
      <c r="J32" s="284">
        <v>6690</v>
      </c>
      <c r="K32" s="284">
        <v>6390</v>
      </c>
      <c r="L32" s="284">
        <v>5760</v>
      </c>
      <c r="M32" s="284">
        <v>5110</v>
      </c>
      <c r="N32" s="284">
        <v>4460</v>
      </c>
      <c r="O32" s="284">
        <v>3850</v>
      </c>
      <c r="P32" s="284">
        <v>3320</v>
      </c>
      <c r="Q32" s="284">
        <v>2860</v>
      </c>
      <c r="R32" s="284">
        <v>2480</v>
      </c>
      <c r="S32" s="284">
        <v>2170</v>
      </c>
      <c r="T32" s="284">
        <v>1900</v>
      </c>
      <c r="U32" s="284">
        <v>1680</v>
      </c>
      <c r="V32" s="284" t="s">
        <v>1283</v>
      </c>
      <c r="W32" s="299" cm="1">
        <f t="array" ref="W32">INDEX($E32:$U32,,AA$12)</f>
        <v>6390</v>
      </c>
      <c r="X32" s="300" t="str" cm="1">
        <f t="array" ref="X32">INDEX($E93:$U93,,AA$12)</f>
        <v>1160</v>
      </c>
      <c r="Y32" s="300">
        <f>'Steel Column'!$F$32/W32</f>
        <v>0.11438907887323944</v>
      </c>
      <c r="Z32" s="300">
        <f>0.1*'Steel Column'!$F$32/X32</f>
        <v>6.3012604655172416E-2</v>
      </c>
      <c r="AA32" s="301">
        <f t="shared" si="11"/>
        <v>0.17740168352841185</v>
      </c>
      <c r="AB32" s="299" cm="1">
        <f t="array" ref="AB32">INDEX($E32:$U32,,AF$12)</f>
        <v>6390</v>
      </c>
      <c r="AC32" s="300" t="str" cm="1">
        <f t="array" ref="AC32">INDEX($E93:$U93,,AF$12)</f>
        <v>1160</v>
      </c>
      <c r="AD32" s="300">
        <f>'Steel Column'!$F$33/$AB32</f>
        <v>9.7233522253521137E-2</v>
      </c>
      <c r="AE32" s="300">
        <f>0.1*'Steel Column'!$F$33/$AC32</f>
        <v>5.356225924137932E-2</v>
      </c>
      <c r="AF32" s="301">
        <f t="shared" si="12"/>
        <v>0.15079578149490047</v>
      </c>
      <c r="AG32" s="299" cm="1">
        <f t="array" ref="AG32">INDEX($E32:$U32,,AK$12)</f>
        <v>6390</v>
      </c>
      <c r="AH32" s="300" t="str" cm="1">
        <f t="array" ref="AH32">INDEX($E93:$U93,,AK$12)</f>
        <v>1160</v>
      </c>
      <c r="AI32" s="300">
        <f>'Steel Column'!$F$34/$AG32</f>
        <v>9.876765427849768E-2</v>
      </c>
      <c r="AJ32" s="300">
        <f>0.1*'Steel Column'!$F$34/$AH32</f>
        <v>5.4407354382724156E-2</v>
      </c>
      <c r="AK32" s="301">
        <f t="shared" si="13"/>
        <v>0.15317500866122183</v>
      </c>
      <c r="AL32" s="299" cm="1">
        <f t="array" ref="AL32">INDEX($E32:$U32,,AP$12)</f>
        <v>6390</v>
      </c>
      <c r="AM32" s="300" t="str" cm="1">
        <f t="array" ref="AM32">INDEX($E93:$U93,,AP$12)</f>
        <v>1160</v>
      </c>
      <c r="AN32" s="300">
        <f>'Steel Column'!$F$35/$AL32</f>
        <v>6.0451254929577466E-2</v>
      </c>
      <c r="AO32" s="300">
        <f>0.1*'Steel Column'!$F$35/$AM32</f>
        <v>3.3300303362068968E-2</v>
      </c>
      <c r="AP32" s="301">
        <f t="shared" si="14"/>
        <v>9.3751558291646442E-2</v>
      </c>
      <c r="AQ32" s="300" cm="1">
        <f t="array" ref="AQ32">INDEX($E32:$U32,,AU$12)</f>
        <v>6390</v>
      </c>
      <c r="AR32" s="300" t="str" cm="1">
        <f t="array" ref="AR32">INDEX($E93:$U93,,AU$12)</f>
        <v>1160</v>
      </c>
      <c r="AS32" s="300">
        <f>'Steel Column'!$F$36/$AQ32</f>
        <v>6.17999421971831E-2</v>
      </c>
      <c r="AT32" s="300">
        <f>0.1*'Steel Column'!$F$36/$AR32</f>
        <v>3.4043244020689659E-2</v>
      </c>
      <c r="AU32" s="301">
        <f t="shared" si="15"/>
        <v>9.5843186217872758E-2</v>
      </c>
      <c r="AV32" s="299">
        <f>'Steel Column'!$F$41/$W32</f>
        <v>6.8602990140845074E-2</v>
      </c>
      <c r="AW32" s="300">
        <f>0.1*'Steel Column'!$F$41/$X32</f>
        <v>3.7790785086206896E-2</v>
      </c>
      <c r="AX32" s="302">
        <f t="shared" si="16"/>
        <v>0.10639377522705197</v>
      </c>
      <c r="AY32" s="300">
        <f>'Steel Column'!$F$42/$AB32</f>
        <v>6.0025211830985921E-2</v>
      </c>
      <c r="AZ32" s="300">
        <f>0.1*'Steel Column'!$F$42/$AC32</f>
        <v>3.3065612379310348E-2</v>
      </c>
      <c r="BA32" s="300">
        <f t="shared" si="17"/>
        <v>9.3090824210296269E-2</v>
      </c>
      <c r="BB32" s="299">
        <f>'Steel Column'!$F$43/$AG32</f>
        <v>6.0792277843474185E-2</v>
      </c>
      <c r="BC32" s="300">
        <f>0.1*'Steel Column'!$F$43/$AH32</f>
        <v>3.348815994998277E-2</v>
      </c>
      <c r="BD32" s="301">
        <f t="shared" si="5"/>
        <v>9.4280437793456962E-2</v>
      </c>
      <c r="BE32" s="300">
        <f>'Steel Column'!$F$44/$AL32</f>
        <v>4.1634078169014085E-2</v>
      </c>
      <c r="BF32" s="300">
        <f>0.1*'Steel Column'!$F$44/$AM32</f>
        <v>2.2934634439655176E-2</v>
      </c>
      <c r="BG32" s="300">
        <f t="shared" si="6"/>
        <v>6.4568712608669254E-2</v>
      </c>
      <c r="BH32" s="299">
        <f>'Steel Column'!$F$45/$AQ32</f>
        <v>4.2308421802816895E-2</v>
      </c>
      <c r="BI32" s="300">
        <f>0.1*'Steel Column'!$F$45/$AR32</f>
        <v>2.3306104768965517E-2</v>
      </c>
      <c r="BJ32" s="301">
        <f t="shared" si="7"/>
        <v>6.5614526571782406E-2</v>
      </c>
      <c r="BK32" s="299">
        <f>'Steel Column'!$F$50/$W32</f>
        <v>4.0005720422535217E-2</v>
      </c>
      <c r="BL32" s="300">
        <f>0.1*'Steel Column'!$F$50/$X32</f>
        <v>2.2037633922413796E-2</v>
      </c>
      <c r="BM32" s="300">
        <f t="shared" si="18"/>
        <v>6.2043354344949009E-2</v>
      </c>
      <c r="BN32" s="299">
        <f>'Steel Column'!$F$51/$AB32</f>
        <v>3.5716831267605637E-2</v>
      </c>
      <c r="BO32" s="300">
        <f>0.1*'Steel Column'!$F$51/$AC32</f>
        <v>1.9675047568965518E-2</v>
      </c>
      <c r="BP32" s="301">
        <f t="shared" si="19"/>
        <v>5.5391878836571151E-2</v>
      </c>
      <c r="BQ32" s="299">
        <f>'Steel Column'!$F$52/$AG32</f>
        <v>3.6100364273849772E-2</v>
      </c>
      <c r="BR32" s="300">
        <f>0.1*'Steel Column'!$F$52/$AH32</f>
        <v>1.9886321354301729E-2</v>
      </c>
      <c r="BS32" s="301">
        <f t="shared" si="8"/>
        <v>5.5986685628151497E-2</v>
      </c>
      <c r="BT32" s="300">
        <f>'Steel Column'!$F$53/$AL32</f>
        <v>2.6521264436619719E-2</v>
      </c>
      <c r="BU32" s="300">
        <f>0.1*'Steel Column'!$F$53/$AM32</f>
        <v>1.460955859913793E-2</v>
      </c>
      <c r="BV32" s="300">
        <f t="shared" si="9"/>
        <v>4.1130823035757651E-2</v>
      </c>
      <c r="BW32" s="299">
        <f>'Steel Column'!$F$54/$AQ32</f>
        <v>2.6858436253521127E-2</v>
      </c>
      <c r="BX32" s="300">
        <f>0.1*'Steel Column'!$F$54/$AR32</f>
        <v>1.4795293763793106E-2</v>
      </c>
      <c r="BY32" s="301">
        <f t="shared" si="10"/>
        <v>4.1653730017314233E-2</v>
      </c>
      <c r="CB32" s="284">
        <f t="shared" si="21"/>
        <v>1.8205128205128207</v>
      </c>
      <c r="CC32" s="284">
        <f t="shared" si="21"/>
        <v>1.8947368421052633</v>
      </c>
      <c r="CD32" s="284">
        <f t="shared" si="21"/>
        <v>1.9729729729729728</v>
      </c>
      <c r="CE32" s="284">
        <f t="shared" si="21"/>
        <v>1.8947368421052633</v>
      </c>
      <c r="CF32" s="284">
        <f t="shared" si="21"/>
        <v>1.8205128205128207</v>
      </c>
    </row>
    <row r="33" spans="1:84">
      <c r="A33" s="284" t="s">
        <v>1279</v>
      </c>
      <c r="B33" s="284" t="s">
        <v>1284</v>
      </c>
      <c r="C33" s="298">
        <v>153</v>
      </c>
      <c r="D33" s="284" t="s">
        <v>1245</v>
      </c>
      <c r="E33" s="284">
        <v>6730</v>
      </c>
      <c r="F33" s="284">
        <v>6710</v>
      </c>
      <c r="G33" s="284">
        <v>6480</v>
      </c>
      <c r="H33" s="284">
        <v>6250</v>
      </c>
      <c r="I33" s="284">
        <v>6010</v>
      </c>
      <c r="J33" s="284">
        <v>5760</v>
      </c>
      <c r="K33" s="284">
        <v>5500</v>
      </c>
      <c r="L33" s="284">
        <v>4960</v>
      </c>
      <c r="M33" s="284">
        <v>4390</v>
      </c>
      <c r="N33" s="284">
        <v>3820</v>
      </c>
      <c r="O33" s="284">
        <v>3300</v>
      </c>
      <c r="P33" s="284">
        <v>2840</v>
      </c>
      <c r="Q33" s="284">
        <v>2450</v>
      </c>
      <c r="R33" s="284">
        <v>2120</v>
      </c>
      <c r="S33" s="284">
        <v>1850</v>
      </c>
      <c r="T33" s="284">
        <v>1630</v>
      </c>
      <c r="U33" s="284">
        <v>1440</v>
      </c>
      <c r="V33" s="284" t="s">
        <v>1285</v>
      </c>
      <c r="W33" s="299" cm="1">
        <f t="array" ref="W33">INDEX($E33:$U33,,AA$12)</f>
        <v>5500</v>
      </c>
      <c r="X33" s="300" t="str" cm="1">
        <f t="array" ref="X33">INDEX($E94:$U94,,AA$12)</f>
        <v>989</v>
      </c>
      <c r="Y33" s="300">
        <f>'Steel Column'!$F$32/W33</f>
        <v>0.13289931163636365</v>
      </c>
      <c r="Z33" s="300">
        <f>0.1*'Steel Column'!$F$32/X33</f>
        <v>7.3907605055611739E-2</v>
      </c>
      <c r="AA33" s="301">
        <f t="shared" si="11"/>
        <v>0.20680691669197537</v>
      </c>
      <c r="AB33" s="299" cm="1">
        <f t="array" ref="AB33">INDEX($E33:$U33,,AF$12)</f>
        <v>5500</v>
      </c>
      <c r="AC33" s="300" t="str" cm="1">
        <f t="array" ref="AC33">INDEX($E94:$U94,,AF$12)</f>
        <v>989</v>
      </c>
      <c r="AD33" s="300">
        <f>'Steel Column'!$F$33/$AB33</f>
        <v>0.11296767403636365</v>
      </c>
      <c r="AE33" s="300">
        <f>0.1*'Steel Column'!$F$33/$AC33</f>
        <v>6.2823276764408506E-2</v>
      </c>
      <c r="AF33" s="301">
        <f t="shared" si="12"/>
        <v>0.17579095080077217</v>
      </c>
      <c r="AG33" s="299" cm="1">
        <f t="array" ref="AG33">INDEX($E33:$U33,,AK$12)</f>
        <v>5500</v>
      </c>
      <c r="AH33" s="300" t="str" cm="1">
        <f t="array" ref="AH33">INDEX($E94:$U94,,AK$12)</f>
        <v>989</v>
      </c>
      <c r="AI33" s="300">
        <f>'Steel Column'!$F$34/$AG33</f>
        <v>0.11475005651629094</v>
      </c>
      <c r="AJ33" s="300">
        <f>0.1*'Steel Column'!$F$34/$AH33</f>
        <v>6.3814490479231573E-2</v>
      </c>
      <c r="AK33" s="301">
        <f t="shared" si="13"/>
        <v>0.17856454699552252</v>
      </c>
      <c r="AL33" s="299" cm="1">
        <f t="array" ref="AL33">INDEX($E33:$U33,,AP$12)</f>
        <v>5500</v>
      </c>
      <c r="AM33" s="300" t="str" cm="1">
        <f t="array" ref="AM33">INDEX($E94:$U94,,AP$12)</f>
        <v>989</v>
      </c>
      <c r="AN33" s="300">
        <f>'Steel Column'!$F$35/$AL33</f>
        <v>7.0233367090909091E-2</v>
      </c>
      <c r="AO33" s="300">
        <f>0.1*'Steel Column'!$F$35/$AM33</f>
        <v>3.905798978766431E-2</v>
      </c>
      <c r="AP33" s="301">
        <f t="shared" si="14"/>
        <v>0.1092913568785734</v>
      </c>
      <c r="AQ33" s="300" cm="1">
        <f t="array" ref="AQ33">INDEX($E33:$U33,,AU$12)</f>
        <v>5500</v>
      </c>
      <c r="AR33" s="300" t="str" cm="1">
        <f t="array" ref="AR33">INDEX($E94:$U94,,AU$12)</f>
        <v>989</v>
      </c>
      <c r="AS33" s="300">
        <f>'Steel Column'!$F$36/$AQ33</f>
        <v>7.1800296479999998E-2</v>
      </c>
      <c r="AT33" s="300">
        <f>0.1*'Steel Column'!$F$36/$AR33</f>
        <v>3.9929386313447925E-2</v>
      </c>
      <c r="AU33" s="301">
        <f t="shared" si="15"/>
        <v>0.11172968279344792</v>
      </c>
      <c r="AV33" s="299">
        <f>'Steel Column'!$F$41/$W33</f>
        <v>7.9704201272727274E-2</v>
      </c>
      <c r="AW33" s="300">
        <f>0.1*'Steel Column'!$F$41/$X33</f>
        <v>4.4324884428715877E-2</v>
      </c>
      <c r="AX33" s="302">
        <f t="shared" si="16"/>
        <v>0.12402908570144315</v>
      </c>
      <c r="AY33" s="300">
        <f>'Steel Column'!$F$42/$AB33</f>
        <v>6.9738382472727276E-2</v>
      </c>
      <c r="AZ33" s="300">
        <f>0.1*'Steel Column'!$F$42/$AC33</f>
        <v>3.8782720283114261E-2</v>
      </c>
      <c r="BA33" s="300">
        <f t="shared" si="17"/>
        <v>0.10852110275584154</v>
      </c>
      <c r="BB33" s="299">
        <f>'Steel Column'!$F$43/$AG33</f>
        <v>7.0629573712690921E-2</v>
      </c>
      <c r="BC33" s="300">
        <f>0.1*'Steel Column'!$F$43/$AH33</f>
        <v>3.9278327140525794E-2</v>
      </c>
      <c r="BD33" s="301">
        <f t="shared" si="5"/>
        <v>0.10990790085321672</v>
      </c>
      <c r="BE33" s="300">
        <f>'Steel Column'!$F$44/$AL33</f>
        <v>4.8371229000000002E-2</v>
      </c>
      <c r="BF33" s="300">
        <f>0.1*'Steel Column'!$F$44/$AM33</f>
        <v>2.6900076794742166E-2</v>
      </c>
      <c r="BG33" s="300">
        <f t="shared" si="6"/>
        <v>7.5271305794742172E-2</v>
      </c>
      <c r="BH33" s="299">
        <f>'Steel Column'!$F$45/$AQ33</f>
        <v>4.9154693694545448E-2</v>
      </c>
      <c r="BI33" s="300">
        <f>0.1*'Steel Column'!$F$45/$AR33</f>
        <v>2.7335775057633974E-2</v>
      </c>
      <c r="BJ33" s="301">
        <f t="shared" si="7"/>
        <v>7.6490468752179422E-2</v>
      </c>
      <c r="BK33" s="299">
        <f>'Steel Column'!$F$50/$W33</f>
        <v>4.6479373363636368E-2</v>
      </c>
      <c r="BL33" s="300">
        <f>0.1*'Steel Column'!$F$50/$X33</f>
        <v>2.5847983164812946E-2</v>
      </c>
      <c r="BM33" s="300">
        <f t="shared" si="18"/>
        <v>7.2327356528449321E-2</v>
      </c>
      <c r="BN33" s="299">
        <f>'Steel Column'!$F$51/$AB33</f>
        <v>4.1496463963636362E-2</v>
      </c>
      <c r="BO33" s="300">
        <f>0.1*'Steel Column'!$F$51/$AC33</f>
        <v>2.3076901092012134E-2</v>
      </c>
      <c r="BP33" s="301">
        <f t="shared" si="19"/>
        <v>6.4573365055648493E-2</v>
      </c>
      <c r="BQ33" s="299">
        <f>'Steel Column'!$F$52/$AG33</f>
        <v>4.1942059583618192E-2</v>
      </c>
      <c r="BR33" s="300">
        <f>0.1*'Steel Column'!$F$52/$AH33</f>
        <v>2.3324704520717901E-2</v>
      </c>
      <c r="BS33" s="301">
        <f t="shared" si="8"/>
        <v>6.52667641043361E-2</v>
      </c>
      <c r="BT33" s="300">
        <f>'Steel Column'!$F$53/$AL33</f>
        <v>3.0812887227272726E-2</v>
      </c>
      <c r="BU33" s="300">
        <f>0.1*'Steel Column'!$F$53/$AM33</f>
        <v>1.7135579347826085E-2</v>
      </c>
      <c r="BV33" s="300">
        <f t="shared" si="9"/>
        <v>4.7948466575098811E-2</v>
      </c>
      <c r="BW33" s="299">
        <f>'Steel Column'!$F$54/$AQ33</f>
        <v>3.1204619574545456E-2</v>
      </c>
      <c r="BX33" s="300">
        <f>0.1*'Steel Column'!$F$54/$AR33</f>
        <v>1.7353428479271994E-2</v>
      </c>
      <c r="BY33" s="301">
        <f t="shared" si="10"/>
        <v>4.855804805381745E-2</v>
      </c>
      <c r="CB33" s="284">
        <f t="shared" si="21"/>
        <v>2.0769230769230771</v>
      </c>
      <c r="CC33" s="284">
        <f t="shared" si="21"/>
        <v>2.1578947368421053</v>
      </c>
      <c r="CD33" s="284">
        <f t="shared" si="21"/>
        <v>2.243243243243243</v>
      </c>
      <c r="CE33" s="284">
        <f t="shared" si="21"/>
        <v>2.1578947368421053</v>
      </c>
      <c r="CF33" s="284">
        <f t="shared" si="21"/>
        <v>2.0769230769230771</v>
      </c>
    </row>
    <row r="34" spans="1:84">
      <c r="A34" s="284" t="s">
        <v>1279</v>
      </c>
      <c r="B34" s="284" t="s">
        <v>1286</v>
      </c>
      <c r="C34" s="298">
        <v>129</v>
      </c>
      <c r="D34" s="284" t="s">
        <v>1245</v>
      </c>
      <c r="E34" s="284">
        <v>5660</v>
      </c>
      <c r="F34" s="284">
        <v>5640</v>
      </c>
      <c r="G34" s="284">
        <v>5450</v>
      </c>
      <c r="H34" s="284">
        <v>5250</v>
      </c>
      <c r="I34" s="284">
        <v>5050</v>
      </c>
      <c r="J34" s="284">
        <v>4840</v>
      </c>
      <c r="K34" s="284">
        <v>4620</v>
      </c>
      <c r="L34" s="284">
        <v>4160</v>
      </c>
      <c r="M34" s="284">
        <v>3670</v>
      </c>
      <c r="N34" s="284">
        <v>3200</v>
      </c>
      <c r="O34" s="284">
        <v>2760</v>
      </c>
      <c r="P34" s="284">
        <v>2370</v>
      </c>
      <c r="Q34" s="284">
        <v>2040</v>
      </c>
      <c r="R34" s="284">
        <v>1770</v>
      </c>
      <c r="S34" s="284">
        <v>1540</v>
      </c>
      <c r="T34" s="284">
        <v>1350</v>
      </c>
      <c r="U34" s="284">
        <v>1200</v>
      </c>
      <c r="V34" s="284" t="s">
        <v>1287</v>
      </c>
      <c r="W34" s="299" cm="1">
        <f t="array" ref="W34">INDEX($E34:$U34,,AA$12)</f>
        <v>4620</v>
      </c>
      <c r="X34" s="300" t="str" cm="1">
        <f t="array" ref="X34">INDEX($E95:$U95,,AA$12)</f>
        <v>759</v>
      </c>
      <c r="Y34" s="300">
        <f>'Steel Column'!$F$32/W34</f>
        <v>0.15821346623376625</v>
      </c>
      <c r="Z34" s="300">
        <f>0.1*'Steel Column'!$F$32/X34</f>
        <v>9.630384901185772E-2</v>
      </c>
      <c r="AA34" s="301">
        <f t="shared" si="11"/>
        <v>0.25451731524562399</v>
      </c>
      <c r="AB34" s="299" cm="1">
        <f t="array" ref="AB34">INDEX($E34:$U34,,AF$12)</f>
        <v>4620</v>
      </c>
      <c r="AC34" s="300" t="str" cm="1">
        <f t="array" ref="AC34">INDEX($E95:$U95,,AF$12)</f>
        <v>759</v>
      </c>
      <c r="AD34" s="300">
        <f>'Steel Column'!$F$33/$AB34</f>
        <v>0.13448532623376624</v>
      </c>
      <c r="AE34" s="300">
        <f>0.1*'Steel Column'!$F$33/$AC34</f>
        <v>8.1860633359683813E-2</v>
      </c>
      <c r="AF34" s="301">
        <f t="shared" si="12"/>
        <v>0.21634595959345004</v>
      </c>
      <c r="AG34" s="299" cm="1">
        <f t="array" ref="AG34">INDEX($E34:$U34,,AK$12)</f>
        <v>4620</v>
      </c>
      <c r="AH34" s="300" t="str" cm="1">
        <f t="array" ref="AH34">INDEX($E95:$U95,,AK$12)</f>
        <v>759</v>
      </c>
      <c r="AI34" s="300">
        <f>'Steel Column'!$F$34/$AG34</f>
        <v>0.1366072101384416</v>
      </c>
      <c r="AJ34" s="300">
        <f>0.1*'Steel Column'!$F$34/$AH34</f>
        <v>8.3152214866877502E-2</v>
      </c>
      <c r="AK34" s="301">
        <f t="shared" si="13"/>
        <v>0.21975942500531909</v>
      </c>
      <c r="AL34" s="299" cm="1">
        <f t="array" ref="AL34">INDEX($E34:$U34,,AP$12)</f>
        <v>4620</v>
      </c>
      <c r="AM34" s="300" t="str" cm="1">
        <f t="array" ref="AM34">INDEX($E95:$U95,,AP$12)</f>
        <v>759</v>
      </c>
      <c r="AN34" s="300">
        <f>'Steel Column'!$F$35/$AL34</f>
        <v>8.3611151298701294E-2</v>
      </c>
      <c r="AO34" s="300">
        <f>0.1*'Steel Column'!$F$35/$AM34</f>
        <v>5.0893744268774709E-2</v>
      </c>
      <c r="AP34" s="301">
        <f t="shared" si="14"/>
        <v>0.134504895567476</v>
      </c>
      <c r="AQ34" s="300" cm="1">
        <f t="array" ref="AQ34">INDEX($E34:$U34,,AU$12)</f>
        <v>4620</v>
      </c>
      <c r="AR34" s="300" t="str" cm="1">
        <f t="array" ref="AR34">INDEX($E95:$U95,,AU$12)</f>
        <v>759</v>
      </c>
      <c r="AS34" s="300">
        <f>'Steel Column'!$F$36/$AQ34</f>
        <v>8.547654342857143E-2</v>
      </c>
      <c r="AT34" s="300">
        <f>0.1*'Steel Column'!$F$36/$AR34</f>
        <v>5.2029200347826085E-2</v>
      </c>
      <c r="AU34" s="301">
        <f t="shared" si="15"/>
        <v>0.13750574377639752</v>
      </c>
      <c r="AV34" s="299">
        <f>'Steel Column'!$F$41/$W34</f>
        <v>9.4885953896103895E-2</v>
      </c>
      <c r="AW34" s="300">
        <f>0.1*'Steel Column'!$F$41/$X34</f>
        <v>5.775666758893281E-2</v>
      </c>
      <c r="AX34" s="302">
        <f t="shared" si="16"/>
        <v>0.15264262148503671</v>
      </c>
      <c r="AY34" s="300">
        <f>'Steel Column'!$F$42/$AB34</f>
        <v>8.3021883896103904E-2</v>
      </c>
      <c r="AZ34" s="300">
        <f>0.1*'Steel Column'!$F$42/$AC34</f>
        <v>5.0535059762845856E-2</v>
      </c>
      <c r="BA34" s="300">
        <f t="shared" si="17"/>
        <v>0.13355694365894977</v>
      </c>
      <c r="BB34" s="299">
        <f>'Steel Column'!$F$43/$AG34</f>
        <v>8.4082825848441567E-2</v>
      </c>
      <c r="BC34" s="300">
        <f>0.1*'Steel Column'!$F$43/$AH34</f>
        <v>5.1180850516442701E-2</v>
      </c>
      <c r="BD34" s="301">
        <f t="shared" si="5"/>
        <v>0.13526367636488426</v>
      </c>
      <c r="BE34" s="300">
        <f>'Steel Column'!$F$44/$AL34</f>
        <v>5.7584796428571429E-2</v>
      </c>
      <c r="BF34" s="300">
        <f>0.1*'Steel Column'!$F$44/$AM34</f>
        <v>3.5051615217391308E-2</v>
      </c>
      <c r="BG34" s="300">
        <f t="shared" si="6"/>
        <v>9.263641164596273E-2</v>
      </c>
      <c r="BH34" s="299">
        <f>'Steel Column'!$F$45/$AQ34</f>
        <v>5.851749249350649E-2</v>
      </c>
      <c r="BI34" s="300">
        <f>0.1*'Steel Column'!$F$45/$AR34</f>
        <v>3.5619343256916992E-2</v>
      </c>
      <c r="BJ34" s="301">
        <f t="shared" si="7"/>
        <v>9.4136835750423475E-2</v>
      </c>
      <c r="BK34" s="299">
        <f>'Steel Column'!$F$50/$W34</f>
        <v>5.5332587337662345E-2</v>
      </c>
      <c r="BL34" s="300">
        <f>0.1*'Steel Column'!$F$50/$X34</f>
        <v>3.3680705335968383E-2</v>
      </c>
      <c r="BM34" s="300">
        <f t="shared" si="18"/>
        <v>8.9013292673630728E-2</v>
      </c>
      <c r="BN34" s="299">
        <f>'Steel Column'!$F$51/$AB34</f>
        <v>4.9400552337662336E-2</v>
      </c>
      <c r="BO34" s="300">
        <f>0.1*'Steel Column'!$F$51/$AC34</f>
        <v>3.0069901422924903E-2</v>
      </c>
      <c r="BP34" s="301">
        <f t="shared" si="19"/>
        <v>7.9470453760587242E-2</v>
      </c>
      <c r="BQ34" s="299">
        <f>'Steel Column'!$F$52/$AG34</f>
        <v>4.9931023313831181E-2</v>
      </c>
      <c r="BR34" s="300">
        <f>0.1*'Steel Column'!$F$52/$AH34</f>
        <v>3.0392796799723325E-2</v>
      </c>
      <c r="BS34" s="301">
        <f t="shared" si="8"/>
        <v>8.0323820113554503E-2</v>
      </c>
      <c r="BT34" s="300">
        <f>'Steel Column'!$F$53/$AL34</f>
        <v>3.6682008603896102E-2</v>
      </c>
      <c r="BU34" s="300">
        <f>0.1*'Steel Column'!$F$53/$AM34</f>
        <v>2.2328179150197625E-2</v>
      </c>
      <c r="BV34" s="300">
        <f t="shared" si="9"/>
        <v>5.9010187754093724E-2</v>
      </c>
      <c r="BW34" s="299">
        <f>'Steel Column'!$F$54/$AQ34</f>
        <v>3.7148356636363636E-2</v>
      </c>
      <c r="BX34" s="300">
        <f>0.1*'Steel Column'!$F$54/$AR34</f>
        <v>2.2612043169960478E-2</v>
      </c>
      <c r="BY34" s="301">
        <f t="shared" si="10"/>
        <v>5.976039980632411E-2</v>
      </c>
      <c r="CB34" s="284">
        <f t="shared" si="21"/>
        <v>2.3333333333333335</v>
      </c>
      <c r="CC34" s="284">
        <f t="shared" si="21"/>
        <v>2.4210526315789473</v>
      </c>
      <c r="CD34" s="284">
        <f t="shared" si="21"/>
        <v>2.5135135135135132</v>
      </c>
      <c r="CE34" s="284">
        <f t="shared" si="21"/>
        <v>2.4210526315789473</v>
      </c>
      <c r="CF34" s="284">
        <f t="shared" si="21"/>
        <v>2.3333333333333335</v>
      </c>
    </row>
    <row r="35" spans="1:84">
      <c r="A35" s="284" t="s">
        <v>1288</v>
      </c>
      <c r="B35" s="284" t="s">
        <v>1289</v>
      </c>
      <c r="C35" s="298">
        <v>283</v>
      </c>
      <c r="D35" s="284" t="s">
        <v>1245</v>
      </c>
      <c r="E35" s="284">
        <v>12100</v>
      </c>
      <c r="F35" s="284">
        <v>11900</v>
      </c>
      <c r="G35" s="284">
        <v>11400</v>
      </c>
      <c r="H35" s="284">
        <v>10900</v>
      </c>
      <c r="I35" s="284">
        <v>10400</v>
      </c>
      <c r="J35" s="284">
        <v>9910</v>
      </c>
      <c r="K35" s="284">
        <v>9360</v>
      </c>
      <c r="L35" s="284">
        <v>8220</v>
      </c>
      <c r="M35" s="284">
        <v>7070</v>
      </c>
      <c r="N35" s="284">
        <v>5990</v>
      </c>
      <c r="O35" s="284">
        <v>5060</v>
      </c>
      <c r="P35" s="284">
        <v>4280</v>
      </c>
      <c r="Q35" s="284">
        <v>3650</v>
      </c>
      <c r="R35" s="284">
        <v>3130</v>
      </c>
      <c r="S35" s="284">
        <v>2710</v>
      </c>
      <c r="T35" s="284">
        <v>2370</v>
      </c>
      <c r="U35" s="284">
        <v>2080</v>
      </c>
      <c r="V35" s="284" t="s">
        <v>1290</v>
      </c>
      <c r="W35" s="299" cm="1">
        <f t="array" ref="W35">INDEX($E35:$U35,,AA$12)</f>
        <v>9360</v>
      </c>
      <c r="X35" s="300" t="str" cm="1">
        <f t="array" ref="X35">INDEX($E96:$U96,,AA$12)</f>
        <v>1680</v>
      </c>
      <c r="Y35" s="300">
        <f>'Steel Column'!$F$32/W35</f>
        <v>7.8092544230769237E-2</v>
      </c>
      <c r="Z35" s="300">
        <f>0.1*'Steel Column'!$F$32/X35</f>
        <v>4.3508703214285717E-2</v>
      </c>
      <c r="AA35" s="301">
        <f t="shared" si="11"/>
        <v>0.12160124744505496</v>
      </c>
      <c r="AB35" s="299" cm="1">
        <f t="array" ref="AB35">INDEX($E35:$U35,,AF$12)</f>
        <v>9360</v>
      </c>
      <c r="AC35" s="300" t="str" cm="1">
        <f t="array" ref="AC35">INDEX($E96:$U96,,AF$12)</f>
        <v>1680</v>
      </c>
      <c r="AD35" s="300">
        <f>'Steel Column'!$F$33/$AB35</f>
        <v>6.6380577692307707E-2</v>
      </c>
      <c r="AE35" s="300">
        <f>0.1*'Steel Column'!$F$33/$AC35</f>
        <v>3.6983464714285721E-2</v>
      </c>
      <c r="AF35" s="301">
        <f t="shared" si="12"/>
        <v>0.10336404240659343</v>
      </c>
      <c r="AG35" s="299" cm="1">
        <f t="array" ref="AG35">INDEX($E35:$U35,,AK$12)</f>
        <v>9360</v>
      </c>
      <c r="AH35" s="300" t="str" cm="1">
        <f t="array" ref="AH35">INDEX($E96:$U96,,AK$12)</f>
        <v>1680</v>
      </c>
      <c r="AI35" s="300">
        <f>'Steel Column'!$F$34/$AG35</f>
        <v>6.7427917824743611E-2</v>
      </c>
      <c r="AJ35" s="300">
        <f>0.1*'Steel Column'!$F$34/$AH35</f>
        <v>3.756698278807144E-2</v>
      </c>
      <c r="AK35" s="301">
        <f t="shared" si="13"/>
        <v>0.10499490061281505</v>
      </c>
      <c r="AL35" s="299" cm="1">
        <f t="array" ref="AL35">INDEX($E35:$U35,,AP$12)</f>
        <v>9360</v>
      </c>
      <c r="AM35" s="300" t="str" cm="1">
        <f t="array" ref="AM35">INDEX($E96:$U96,,AP$12)</f>
        <v>1680</v>
      </c>
      <c r="AN35" s="300">
        <f>'Steel Column'!$F$35/$AL35</f>
        <v>4.126960673076923E-2</v>
      </c>
      <c r="AO35" s="300">
        <f>0.1*'Steel Column'!$F$35/$AM35</f>
        <v>2.299306660714286E-2</v>
      </c>
      <c r="AP35" s="301">
        <f t="shared" si="14"/>
        <v>6.4262673337912093E-2</v>
      </c>
      <c r="AQ35" s="300" cm="1">
        <f t="array" ref="AQ35">INDEX($E35:$U35,,AU$12)</f>
        <v>9360</v>
      </c>
      <c r="AR35" s="300" t="str" cm="1">
        <f t="array" ref="AR35">INDEX($E96:$U96,,AU$12)</f>
        <v>1680</v>
      </c>
      <c r="AS35" s="300">
        <f>'Steel Column'!$F$36/$AQ35</f>
        <v>4.2190345153846155E-2</v>
      </c>
      <c r="AT35" s="300">
        <f>0.1*'Steel Column'!$F$36/$AR35</f>
        <v>2.3506049442857144E-2</v>
      </c>
      <c r="AU35" s="301">
        <f t="shared" si="15"/>
        <v>6.5696394596703303E-2</v>
      </c>
      <c r="AV35" s="299">
        <f>'Steel Column'!$F$41/$W35</f>
        <v>4.6834733653846154E-2</v>
      </c>
      <c r="AW35" s="300">
        <f>0.1*'Steel Column'!$F$41/$X35</f>
        <v>2.6093637321428574E-2</v>
      </c>
      <c r="AX35" s="302">
        <f t="shared" si="16"/>
        <v>7.2928370975274728E-2</v>
      </c>
      <c r="AY35" s="300">
        <f>'Steel Column'!$F$42/$AB35</f>
        <v>4.0978750384615389E-2</v>
      </c>
      <c r="AZ35" s="300">
        <f>0.1*'Steel Column'!$F$42/$AC35</f>
        <v>2.2831018071428573E-2</v>
      </c>
      <c r="BA35" s="300">
        <f t="shared" si="17"/>
        <v>6.3809768456043969E-2</v>
      </c>
      <c r="BB35" s="299">
        <f>'Steel Column'!$F$43/$AG35</f>
        <v>4.1502420450833341E-2</v>
      </c>
      <c r="BC35" s="300">
        <f>0.1*'Steel Column'!$F$43/$AH35</f>
        <v>2.3122777108321436E-2</v>
      </c>
      <c r="BD35" s="301">
        <f t="shared" si="5"/>
        <v>6.4625197559154773E-2</v>
      </c>
      <c r="BE35" s="300">
        <f>'Steel Column'!$F$44/$AL35</f>
        <v>2.8423264903846154E-2</v>
      </c>
      <c r="BF35" s="300">
        <f>0.1*'Steel Column'!$F$44/$AM35</f>
        <v>1.5835819017857144E-2</v>
      </c>
      <c r="BG35" s="300">
        <f t="shared" si="6"/>
        <v>4.4259083921703302E-2</v>
      </c>
      <c r="BH35" s="299">
        <f>'Steel Column'!$F$45/$AQ35</f>
        <v>2.8883634115384613E-2</v>
      </c>
      <c r="BI35" s="300">
        <f>0.1*'Steel Column'!$F$45/$AR35</f>
        <v>1.6092310435714286E-2</v>
      </c>
      <c r="BJ35" s="301">
        <f t="shared" si="7"/>
        <v>4.4975944551098899E-2</v>
      </c>
      <c r="BK35" s="299">
        <f>'Steel Column'!$F$50/$W35</f>
        <v>2.7311597596153848E-2</v>
      </c>
      <c r="BL35" s="300">
        <f>0.1*'Steel Column'!$F$50/$X35</f>
        <v>1.5216461517857145E-2</v>
      </c>
      <c r="BM35" s="300">
        <f t="shared" si="18"/>
        <v>4.2528059114010995E-2</v>
      </c>
      <c r="BN35" s="299">
        <f>'Steel Column'!$F$51/$AB35</f>
        <v>2.4383605961538463E-2</v>
      </c>
      <c r="BO35" s="300">
        <f>0.1*'Steel Column'!$F$51/$AC35</f>
        <v>1.3585151892857143E-2</v>
      </c>
      <c r="BP35" s="301">
        <f t="shared" si="19"/>
        <v>3.7968757854395602E-2</v>
      </c>
      <c r="BQ35" s="299">
        <f>'Steel Column'!$F$52/$AG35</f>
        <v>2.4645440994647442E-2</v>
      </c>
      <c r="BR35" s="300">
        <f>0.1*'Steel Column'!$F$52/$AH35</f>
        <v>1.3731031411303574E-2</v>
      </c>
      <c r="BS35" s="301">
        <f t="shared" si="8"/>
        <v>3.8376472405951018E-2</v>
      </c>
      <c r="BT35" s="300">
        <f>'Steel Column'!$F$53/$AL35</f>
        <v>1.8105863221153845E-2</v>
      </c>
      <c r="BU35" s="300">
        <f>0.1*'Steel Column'!$F$53/$AM35</f>
        <v>1.0087552366071428E-2</v>
      </c>
      <c r="BV35" s="300">
        <f t="shared" si="9"/>
        <v>2.8193415587225275E-2</v>
      </c>
      <c r="BW35" s="299">
        <f>'Steel Column'!$F$54/$AQ35</f>
        <v>1.8336047826923076E-2</v>
      </c>
      <c r="BX35" s="300">
        <f>0.1*'Steel Column'!$F$54/$AR35</f>
        <v>1.0215798075000001E-2</v>
      </c>
      <c r="BY35" s="301">
        <f t="shared" si="10"/>
        <v>2.8551845901923077E-2</v>
      </c>
      <c r="CB35" s="284">
        <f t="shared" si="21"/>
        <v>2.5897435897435899</v>
      </c>
      <c r="CC35" s="284">
        <f t="shared" si="21"/>
        <v>2.6842105263157898</v>
      </c>
      <c r="CD35" s="284">
        <f t="shared" si="21"/>
        <v>2.7837837837837838</v>
      </c>
      <c r="CE35" s="284">
        <f t="shared" si="21"/>
        <v>2.6842105263157898</v>
      </c>
      <c r="CF35" s="284">
        <f t="shared" si="21"/>
        <v>2.5897435897435899</v>
      </c>
    </row>
    <row r="36" spans="1:84">
      <c r="A36" s="284" t="s">
        <v>1288</v>
      </c>
      <c r="B36" s="284" t="s">
        <v>1291</v>
      </c>
      <c r="C36" s="298">
        <v>240</v>
      </c>
      <c r="D36" s="284" t="s">
        <v>1245</v>
      </c>
      <c r="E36" s="284">
        <v>10600</v>
      </c>
      <c r="F36" s="284">
        <v>10400</v>
      </c>
      <c r="G36" s="284">
        <v>9930</v>
      </c>
      <c r="H36" s="284">
        <v>9500</v>
      </c>
      <c r="I36" s="284">
        <v>9050</v>
      </c>
      <c r="J36" s="284">
        <v>8580</v>
      </c>
      <c r="K36" s="284">
        <v>8080</v>
      </c>
      <c r="L36" s="284">
        <v>7050</v>
      </c>
      <c r="M36" s="284">
        <v>6010</v>
      </c>
      <c r="N36" s="284">
        <v>5070</v>
      </c>
      <c r="O36" s="284">
        <v>4260</v>
      </c>
      <c r="P36" s="284">
        <v>3590</v>
      </c>
      <c r="Q36" s="284">
        <v>3050</v>
      </c>
      <c r="R36" s="284">
        <v>2620</v>
      </c>
      <c r="S36" s="284">
        <v>2260</v>
      </c>
      <c r="T36" s="284">
        <v>1970</v>
      </c>
      <c r="U36" s="284">
        <v>1730</v>
      </c>
      <c r="V36" s="284" t="s">
        <v>1292</v>
      </c>
      <c r="W36" s="299" cm="1">
        <f t="array" ref="W36">INDEX($E36:$U36,,AA$12)</f>
        <v>8080</v>
      </c>
      <c r="X36" s="300" t="str" cm="1">
        <f t="array" ref="X36">INDEX($E97:$U97,,AA$12)</f>
        <v>1430</v>
      </c>
      <c r="Y36" s="300">
        <f>'Steel Column'!$F$32/W36</f>
        <v>9.046364034653466E-2</v>
      </c>
      <c r="Z36" s="300">
        <f>0.1*'Steel Column'!$F$32/X36</f>
        <v>5.1115119860139863E-2</v>
      </c>
      <c r="AA36" s="301">
        <f t="shared" si="11"/>
        <v>0.14157876020667454</v>
      </c>
      <c r="AB36" s="299" cm="1">
        <f t="array" ref="AB36">INDEX($E36:$U36,,AF$12)</f>
        <v>8080</v>
      </c>
      <c r="AC36" s="300" t="str" cm="1">
        <f t="array" ref="AC36">INDEX($E97:$U97,,AF$12)</f>
        <v>1430</v>
      </c>
      <c r="AD36" s="300">
        <f>'Steel Column'!$F$33/$AB36</f>
        <v>7.6896312772277237E-2</v>
      </c>
      <c r="AE36" s="300">
        <f>0.1*'Steel Column'!$F$33/$AC36</f>
        <v>4.3449105398601411E-2</v>
      </c>
      <c r="AF36" s="301">
        <f t="shared" si="12"/>
        <v>0.12034541817087865</v>
      </c>
      <c r="AG36" s="299" cm="1">
        <f t="array" ref="AG36">INDEX($E36:$U36,,AK$12)</f>
        <v>8080</v>
      </c>
      <c r="AH36" s="300" t="str" cm="1">
        <f t="array" ref="AH36">INDEX($E97:$U97,,AK$12)</f>
        <v>1430</v>
      </c>
      <c r="AI36" s="300">
        <f>'Steel Column'!$F$34/$AG36</f>
        <v>7.8109568173217847E-2</v>
      </c>
      <c r="AJ36" s="300">
        <f>0.1*'Steel Column'!$F$34/$AH36</f>
        <v>4.4134637121650368E-2</v>
      </c>
      <c r="AK36" s="301">
        <f t="shared" si="13"/>
        <v>0.12224420529486821</v>
      </c>
      <c r="AL36" s="299" cm="1">
        <f t="array" ref="AL36">INDEX($E36:$U36,,AP$12)</f>
        <v>8080</v>
      </c>
      <c r="AM36" s="300" t="str" cm="1">
        <f t="array" ref="AM36">INDEX($E97:$U97,,AP$12)</f>
        <v>1430</v>
      </c>
      <c r="AN36" s="300">
        <f>'Steel Column'!$F$35/$AL36</f>
        <v>4.7807366212871287E-2</v>
      </c>
      <c r="AO36" s="300">
        <f>0.1*'Steel Column'!$F$35/$AM36</f>
        <v>2.7012833496503501E-2</v>
      </c>
      <c r="AP36" s="301">
        <f t="shared" si="14"/>
        <v>7.4820199709374785E-2</v>
      </c>
      <c r="AQ36" s="300" cm="1">
        <f t="array" ref="AQ36">INDEX($E36:$U36,,AU$12)</f>
        <v>8080</v>
      </c>
      <c r="AR36" s="300" t="str" cm="1">
        <f t="array" ref="AR36">INDEX($E97:$U97,,AU$12)</f>
        <v>1430</v>
      </c>
      <c r="AS36" s="300">
        <f>'Steel Column'!$F$36/$AQ36</f>
        <v>4.8873964188118811E-2</v>
      </c>
      <c r="AT36" s="300">
        <f>0.1*'Steel Column'!$F$36/$AR36</f>
        <v>2.7615498646153848E-2</v>
      </c>
      <c r="AU36" s="301">
        <f t="shared" si="15"/>
        <v>7.6489462834272659E-2</v>
      </c>
      <c r="AV36" s="299">
        <f>'Steel Column'!$F$41/$W36</f>
        <v>5.4254097400990096E-2</v>
      </c>
      <c r="AW36" s="300">
        <f>0.1*'Steel Column'!$F$41/$X36</f>
        <v>3.0655462027972029E-2</v>
      </c>
      <c r="AX36" s="302">
        <f t="shared" si="16"/>
        <v>8.4909559428962125E-2</v>
      </c>
      <c r="AY36" s="300">
        <f>'Steel Column'!$F$42/$AB36</f>
        <v>4.7470433613861392E-2</v>
      </c>
      <c r="AZ36" s="300">
        <f>0.1*'Steel Column'!$F$42/$AC36</f>
        <v>2.6822454797202799E-2</v>
      </c>
      <c r="BA36" s="300">
        <f t="shared" si="17"/>
        <v>7.4292888411064184E-2</v>
      </c>
      <c r="BB36" s="299">
        <f>'Steel Column'!$F$43/$AG36</f>
        <v>4.807706131433169E-2</v>
      </c>
      <c r="BC36" s="300">
        <f>0.1*'Steel Column'!$F$43/$AH36</f>
        <v>2.7165220658727281E-2</v>
      </c>
      <c r="BD36" s="301">
        <f t="shared" si="5"/>
        <v>7.5242281973058975E-2</v>
      </c>
      <c r="BE36" s="300">
        <f>'Steel Column'!$F$44/$AL36</f>
        <v>3.292596033415842E-2</v>
      </c>
      <c r="BF36" s="300">
        <f>0.1*'Steel Column'!$F$44/$AM36</f>
        <v>1.8604318846153847E-2</v>
      </c>
      <c r="BG36" s="300">
        <f t="shared" si="6"/>
        <v>5.1530279180312263E-2</v>
      </c>
      <c r="BH36" s="299">
        <f>'Steel Column'!$F$45/$AQ36</f>
        <v>3.3459259321782175E-2</v>
      </c>
      <c r="BI36" s="300">
        <f>0.1*'Steel Column'!$F$45/$AR36</f>
        <v>1.8905651420979021E-2</v>
      </c>
      <c r="BJ36" s="301">
        <f t="shared" si="7"/>
        <v>5.23649107427612E-2</v>
      </c>
      <c r="BK36" s="299">
        <f>'Steel Column'!$F$50/$W36</f>
        <v>3.1638187314356435E-2</v>
      </c>
      <c r="BL36" s="300">
        <f>0.1*'Steel Column'!$F$50/$X36</f>
        <v>1.7876682062937067E-2</v>
      </c>
      <c r="BM36" s="300">
        <f t="shared" si="18"/>
        <v>4.9514869377293505E-2</v>
      </c>
      <c r="BN36" s="299">
        <f>'Steel Column'!$F$51/$AB36</f>
        <v>2.8246355420792079E-2</v>
      </c>
      <c r="BO36" s="300">
        <f>0.1*'Steel Column'!$F$51/$AC36</f>
        <v>1.5960178447552448E-2</v>
      </c>
      <c r="BP36" s="301">
        <f t="shared" si="19"/>
        <v>4.4206533868344527E-2</v>
      </c>
      <c r="BQ36" s="299">
        <f>'Steel Column'!$F$52/$AG36</f>
        <v>2.8549669271027235E-2</v>
      </c>
      <c r="BR36" s="300">
        <f>0.1*'Steel Column'!$F$52/$AH36</f>
        <v>1.6131561378314688E-2</v>
      </c>
      <c r="BS36" s="301">
        <f t="shared" si="8"/>
        <v>4.4681230649341923E-2</v>
      </c>
      <c r="BT36" s="300">
        <f>'Steel Column'!$F$53/$AL36</f>
        <v>2.0974118780940593E-2</v>
      </c>
      <c r="BU36" s="300">
        <f>0.1*'Steel Column'!$F$53/$AM36</f>
        <v>1.185111047202797E-2</v>
      </c>
      <c r="BV36" s="300">
        <f t="shared" si="9"/>
        <v>3.282522925296856E-2</v>
      </c>
      <c r="BW36" s="299">
        <f>'Steel Column'!$F$54/$AQ36</f>
        <v>2.1240768274752478E-2</v>
      </c>
      <c r="BX36" s="300">
        <f>0.1*'Steel Column'!$F$54/$AR36</f>
        <v>1.2001776759440561E-2</v>
      </c>
      <c r="BY36" s="301">
        <f t="shared" si="10"/>
        <v>3.3242545034193036E-2</v>
      </c>
      <c r="CB36" s="284">
        <f>INDEX($CA$2:$CA$18,MATCH(MIN(CB19:CB35),CB19:CB35,0))</f>
        <v>4</v>
      </c>
      <c r="CC36" s="284">
        <f t="shared" ref="CC36:CF36" si="22">INDEX($CA$2:$CA$18,MATCH(MIN(CC19:CC35),CC19:CC35,0))</f>
        <v>4</v>
      </c>
      <c r="CD36" s="284">
        <f t="shared" si="22"/>
        <v>3.5</v>
      </c>
      <c r="CE36" s="284">
        <f t="shared" si="22"/>
        <v>4</v>
      </c>
      <c r="CF36" s="284">
        <f t="shared" si="22"/>
        <v>4</v>
      </c>
    </row>
    <row r="37" spans="1:84">
      <c r="A37" s="284" t="s">
        <v>1288</v>
      </c>
      <c r="B37" s="284" t="s">
        <v>1293</v>
      </c>
      <c r="C37" s="298">
        <v>198</v>
      </c>
      <c r="D37" s="284" t="s">
        <v>1245</v>
      </c>
      <c r="E37" s="284">
        <v>8690</v>
      </c>
      <c r="F37" s="284">
        <v>8510</v>
      </c>
      <c r="G37" s="284">
        <v>8160</v>
      </c>
      <c r="H37" s="284">
        <v>7800</v>
      </c>
      <c r="I37" s="284">
        <v>7420</v>
      </c>
      <c r="J37" s="284">
        <v>7020</v>
      </c>
      <c r="K37" s="284">
        <v>6610</v>
      </c>
      <c r="L37" s="284">
        <v>5740</v>
      </c>
      <c r="M37" s="284">
        <v>4880</v>
      </c>
      <c r="N37" s="284">
        <v>4100</v>
      </c>
      <c r="O37" s="284">
        <v>3440</v>
      </c>
      <c r="P37" s="284">
        <v>2900</v>
      </c>
      <c r="Q37" s="284">
        <v>2460</v>
      </c>
      <c r="R37" s="284">
        <v>2110</v>
      </c>
      <c r="S37" s="284">
        <v>1820</v>
      </c>
      <c r="T37" s="284">
        <v>1580</v>
      </c>
      <c r="U37" s="284">
        <v>1390</v>
      </c>
      <c r="V37" s="284" t="s">
        <v>1294</v>
      </c>
      <c r="W37" s="299" cm="1">
        <f t="array" ref="W37">INDEX($E37:$U37,,AA$12)</f>
        <v>6610</v>
      </c>
      <c r="X37" s="300" t="str" cm="1">
        <f t="array" ref="X37">INDEX($E98:$U98,,AA$12)</f>
        <v>1140</v>
      </c>
      <c r="Y37" s="300">
        <f>'Steel Column'!$F$32/W37</f>
        <v>0.1105818780635401</v>
      </c>
      <c r="Z37" s="300">
        <f>0.1*'Steel Column'!$F$32/X37</f>
        <v>6.4118088947368423E-2</v>
      </c>
      <c r="AA37" s="301">
        <f t="shared" si="11"/>
        <v>0.17469996701090851</v>
      </c>
      <c r="AB37" s="299" cm="1">
        <f t="array" ref="AB37">INDEX($E37:$U37,,AF$12)</f>
        <v>6610</v>
      </c>
      <c r="AC37" s="300" t="str" cm="1">
        <f t="array" ref="AC37">INDEX($E98:$U98,,AF$12)</f>
        <v>1140</v>
      </c>
      <c r="AD37" s="300">
        <f>'Steel Column'!$F$33/$AB37</f>
        <v>9.3997308199697441E-2</v>
      </c>
      <c r="AE37" s="300">
        <f>0.1*'Steel Column'!$F$33/$AC37</f>
        <v>5.4501948000000015E-2</v>
      </c>
      <c r="AF37" s="301">
        <f t="shared" si="12"/>
        <v>0.14849925619969745</v>
      </c>
      <c r="AG37" s="299" cm="1">
        <f t="array" ref="AG37">INDEX($E37:$U37,,AK$12)</f>
        <v>6610</v>
      </c>
      <c r="AH37" s="300" t="str" cm="1">
        <f t="array" ref="AH37">INDEX($E98:$U98,,AK$12)</f>
        <v>1140</v>
      </c>
      <c r="AI37" s="300">
        <f>'Steel Column'!$F$34/$AG37</f>
        <v>9.5480379854705019E-2</v>
      </c>
      <c r="AJ37" s="300">
        <f>0.1*'Steel Column'!$F$34/$AH37</f>
        <v>5.5361869371894759E-2</v>
      </c>
      <c r="AK37" s="301">
        <f t="shared" si="13"/>
        <v>0.15084224922659978</v>
      </c>
      <c r="AL37" s="299" cm="1">
        <f t="array" ref="AL37">INDEX($E37:$U37,,AP$12)</f>
        <v>6610</v>
      </c>
      <c r="AM37" s="300" t="str" cm="1">
        <f t="array" ref="AM37">INDEX($E98:$U98,,AP$12)</f>
        <v>1140</v>
      </c>
      <c r="AN37" s="300">
        <f>'Steel Column'!$F$35/$AL37</f>
        <v>5.8439261573373681E-2</v>
      </c>
      <c r="AO37" s="300">
        <f>0.1*'Steel Column'!$F$35/$AM37</f>
        <v>3.388451921052632E-2</v>
      </c>
      <c r="AP37" s="301">
        <f t="shared" si="14"/>
        <v>9.2323780783899995E-2</v>
      </c>
      <c r="AQ37" s="300" cm="1">
        <f t="array" ref="AQ37">INDEX($E37:$U37,,AU$12)</f>
        <v>6610</v>
      </c>
      <c r="AR37" s="300" t="str" cm="1">
        <f t="array" ref="AR37">INDEX($E98:$U98,,AU$12)</f>
        <v>1140</v>
      </c>
      <c r="AS37" s="300">
        <f>'Steel Column'!$F$36/$AQ37</f>
        <v>5.9743060611195158E-2</v>
      </c>
      <c r="AT37" s="300">
        <f>0.1*'Steel Column'!$F$36/$AR37</f>
        <v>3.4640493915789473E-2</v>
      </c>
      <c r="AU37" s="301">
        <f t="shared" si="15"/>
        <v>9.4383554526984631E-2</v>
      </c>
      <c r="AV37" s="299">
        <f>'Steel Column'!$F$41/$W37</f>
        <v>6.6319683358547654E-2</v>
      </c>
      <c r="AW37" s="300">
        <f>0.1*'Steel Column'!$F$41/$X37</f>
        <v>3.8453781315789477E-2</v>
      </c>
      <c r="AX37" s="302">
        <f t="shared" si="16"/>
        <v>0.10477346467433712</v>
      </c>
      <c r="AY37" s="300">
        <f>'Steel Column'!$F$42/$AB37</f>
        <v>5.8027398426626325E-2</v>
      </c>
      <c r="AZ37" s="300">
        <f>0.1*'Steel Column'!$F$42/$AC37</f>
        <v>3.3645710842105263E-2</v>
      </c>
      <c r="BA37" s="300">
        <f t="shared" si="17"/>
        <v>9.1673109268731595E-2</v>
      </c>
      <c r="BB37" s="299">
        <f>'Steel Column'!$F$43/$AG37</f>
        <v>5.8768934254130115E-2</v>
      </c>
      <c r="BC37" s="300">
        <f>0.1*'Steel Column'!$F$43/$AH37</f>
        <v>3.4075671528052638E-2</v>
      </c>
      <c r="BD37" s="301">
        <f t="shared" si="5"/>
        <v>9.284460578218276E-2</v>
      </c>
      <c r="BE37" s="300">
        <f>'Steel Column'!$F$44/$AL37</f>
        <v>4.0248375113464449E-2</v>
      </c>
      <c r="BF37" s="300">
        <f>0.1*'Steel Column'!$F$44/$AM37</f>
        <v>2.3336996447368422E-2</v>
      </c>
      <c r="BG37" s="300">
        <f t="shared" si="6"/>
        <v>6.3585371560832868E-2</v>
      </c>
      <c r="BH37" s="299">
        <f>'Steel Column'!$F$45/$AQ37</f>
        <v>4.0900274632375187E-2</v>
      </c>
      <c r="BI37" s="300">
        <f>0.1*'Steel Column'!$F$45/$AR37</f>
        <v>2.3714983799999999E-2</v>
      </c>
      <c r="BJ37" s="301">
        <f t="shared" si="7"/>
        <v>6.4615258432375186E-2</v>
      </c>
      <c r="BK37" s="299">
        <f>'Steel Column'!$F$50/$W37</f>
        <v>3.8674213842662633E-2</v>
      </c>
      <c r="BL37" s="300">
        <f>0.1*'Steel Column'!$F$50/$X37</f>
        <v>2.2424259078947371E-2</v>
      </c>
      <c r="BM37" s="300">
        <f t="shared" si="18"/>
        <v>6.1098472921610004E-2</v>
      </c>
      <c r="BN37" s="299">
        <f>'Steel Column'!$F$51/$AB37</f>
        <v>3.4528071376701969E-2</v>
      </c>
      <c r="BO37" s="300">
        <f>0.1*'Steel Column'!$F$51/$AC37</f>
        <v>2.0020223842105264E-2</v>
      </c>
      <c r="BP37" s="301">
        <f t="shared" si="19"/>
        <v>5.4548295218807233E-2</v>
      </c>
      <c r="BQ37" s="299">
        <f>'Steel Column'!$F$52/$AG37</f>
        <v>3.4898839290453863E-2</v>
      </c>
      <c r="BR37" s="300">
        <f>0.1*'Steel Column'!$F$52/$AH37</f>
        <v>2.0235204185078952E-2</v>
      </c>
      <c r="BS37" s="301">
        <f t="shared" si="8"/>
        <v>5.5134043475532815E-2</v>
      </c>
      <c r="BT37" s="300">
        <f>'Steel Column'!$F$53/$AL37</f>
        <v>2.5638559720121027E-2</v>
      </c>
      <c r="BU37" s="300">
        <f>0.1*'Steel Column'!$F$53/$AM37</f>
        <v>1.486586664473684E-2</v>
      </c>
      <c r="BV37" s="300">
        <f t="shared" si="9"/>
        <v>4.0504426364857869E-2</v>
      </c>
      <c r="BW37" s="299">
        <f>'Steel Column'!$F$54/$AQ37</f>
        <v>2.59645094795764E-2</v>
      </c>
      <c r="BX37" s="300">
        <f>0.1*'Steel Column'!$F$54/$AR37</f>
        <v>1.5054860321052634E-2</v>
      </c>
      <c r="BY37" s="301">
        <f t="shared" si="10"/>
        <v>4.1019369800629035E-2</v>
      </c>
    </row>
    <row r="38" spans="1:84">
      <c r="A38" s="284" t="s">
        <v>1288</v>
      </c>
      <c r="B38" s="284" t="s">
        <v>1295</v>
      </c>
      <c r="C38" s="298">
        <v>158</v>
      </c>
      <c r="D38" s="284" t="s">
        <v>1245</v>
      </c>
      <c r="E38" s="284">
        <v>6930</v>
      </c>
      <c r="F38" s="284">
        <v>6780</v>
      </c>
      <c r="G38" s="284">
        <v>6490</v>
      </c>
      <c r="H38" s="284">
        <v>6190</v>
      </c>
      <c r="I38" s="284">
        <v>5880</v>
      </c>
      <c r="J38" s="284">
        <v>5560</v>
      </c>
      <c r="K38" s="284">
        <v>5220</v>
      </c>
      <c r="L38" s="284">
        <v>4520</v>
      </c>
      <c r="M38" s="284">
        <v>3820</v>
      </c>
      <c r="N38" s="284">
        <v>3200</v>
      </c>
      <c r="O38" s="284">
        <v>2680</v>
      </c>
      <c r="P38" s="284">
        <v>2250</v>
      </c>
      <c r="Q38" s="284">
        <v>1910</v>
      </c>
      <c r="R38" s="284">
        <v>1630</v>
      </c>
      <c r="S38" s="284">
        <v>1410</v>
      </c>
      <c r="T38" s="284">
        <v>1230</v>
      </c>
      <c r="U38" s="284">
        <v>1080</v>
      </c>
      <c r="V38" s="284" t="s">
        <v>1296</v>
      </c>
      <c r="W38" s="299" cm="1">
        <f t="array" ref="W38">INDEX($E38:$U38,,AA$12)</f>
        <v>5220</v>
      </c>
      <c r="X38" s="300" t="str" cm="1">
        <f t="array" ref="X38">INDEX($E99:$U99,,AA$12)</f>
        <v>877</v>
      </c>
      <c r="Y38" s="300">
        <f>'Steel Column'!$F$32/W38</f>
        <v>0.14002801034482759</v>
      </c>
      <c r="Z38" s="300">
        <f>0.1*'Steel Column'!$F$32/X38</f>
        <v>8.3346204561003431E-2</v>
      </c>
      <c r="AA38" s="301">
        <f t="shared" si="11"/>
        <v>0.22337421490583104</v>
      </c>
      <c r="AB38" s="299" cm="1">
        <f t="array" ref="AB38">INDEX($E38:$U38,,AF$12)</f>
        <v>5220</v>
      </c>
      <c r="AC38" s="300" t="str" cm="1">
        <f t="array" ref="AC38">INDEX($E99:$U99,,AF$12)</f>
        <v>877</v>
      </c>
      <c r="AD38" s="300">
        <f>'Steel Column'!$F$33/$AB38</f>
        <v>0.11902724275862071</v>
      </c>
      <c r="AE38" s="300">
        <f>0.1*'Steel Column'!$F$33/$AC38</f>
        <v>7.0846317810718373E-2</v>
      </c>
      <c r="AF38" s="301">
        <f t="shared" si="12"/>
        <v>0.18987356056933907</v>
      </c>
      <c r="AG38" s="299" cm="1">
        <f t="array" ref="AG38">INDEX($E38:$U38,,AK$12)</f>
        <v>5220</v>
      </c>
      <c r="AH38" s="300" t="str" cm="1">
        <f t="array" ref="AH38">INDEX($E99:$U99,,AK$12)</f>
        <v>877</v>
      </c>
      <c r="AI38" s="300">
        <f>'Steel Column'!$F$34/$AG38</f>
        <v>0.12090523196160922</v>
      </c>
      <c r="AJ38" s="300">
        <f>0.1*'Steel Column'!$F$34/$AH38</f>
        <v>7.1964117541573572E-2</v>
      </c>
      <c r="AK38" s="301">
        <f t="shared" si="13"/>
        <v>0.1928693495031828</v>
      </c>
      <c r="AL38" s="299" cm="1">
        <f t="array" ref="AL38">INDEX($E38:$U38,,AP$12)</f>
        <v>5220</v>
      </c>
      <c r="AM38" s="300" t="str" cm="1">
        <f t="array" ref="AM38">INDEX($E99:$U99,,AP$12)</f>
        <v>877</v>
      </c>
      <c r="AN38" s="300">
        <f>'Steel Column'!$F$35/$AL38</f>
        <v>7.400067413793103E-2</v>
      </c>
      <c r="AO38" s="300">
        <f>0.1*'Steel Column'!$F$35/$AM38</f>
        <v>4.4046011288483469E-2</v>
      </c>
      <c r="AP38" s="301">
        <f t="shared" si="14"/>
        <v>0.1180466854264145</v>
      </c>
      <c r="AQ38" s="300" cm="1">
        <f t="array" ref="AQ38">INDEX($E38:$U38,,AU$12)</f>
        <v>5220</v>
      </c>
      <c r="AR38" s="300" t="str" cm="1">
        <f t="array" ref="AR38">INDEX($E99:$U99,,AU$12)</f>
        <v>877</v>
      </c>
      <c r="AS38" s="300">
        <f>'Steel Column'!$F$36/$AQ38</f>
        <v>7.5651653379310346E-2</v>
      </c>
      <c r="AT38" s="300">
        <f>0.1*'Steel Column'!$F$36/$AR38</f>
        <v>4.5028692205245156E-2</v>
      </c>
      <c r="AU38" s="301">
        <f t="shared" si="15"/>
        <v>0.12068034558455551</v>
      </c>
      <c r="AV38" s="299">
        <f>'Steel Column'!$F$41/$W38</f>
        <v>8.3979522413793098E-2</v>
      </c>
      <c r="AW38" s="300">
        <f>0.1*'Steel Column'!$F$41/$X38</f>
        <v>4.9985531014823267E-2</v>
      </c>
      <c r="AX38" s="302">
        <f t="shared" si="16"/>
        <v>0.13396505342861637</v>
      </c>
      <c r="AY38" s="300">
        <f>'Steel Column'!$F$42/$AB38</f>
        <v>7.3479138620689666E-2</v>
      </c>
      <c r="AZ38" s="300">
        <f>0.1*'Steel Column'!$F$42/$AC38</f>
        <v>4.3735587639680731E-2</v>
      </c>
      <c r="BA38" s="300">
        <f t="shared" si="17"/>
        <v>0.1172147262603704</v>
      </c>
      <c r="BB38" s="299">
        <f>'Steel Column'!$F$43/$AG38</f>
        <v>7.4418133222183921E-2</v>
      </c>
      <c r="BC38" s="300">
        <f>0.1*'Steel Column'!$F$43/$AH38</f>
        <v>4.4294487505108338E-2</v>
      </c>
      <c r="BD38" s="301">
        <f t="shared" si="5"/>
        <v>0.11871262072729226</v>
      </c>
      <c r="BE38" s="300">
        <f>'Steel Column'!$F$44/$AL38</f>
        <v>5.0965854310344831E-2</v>
      </c>
      <c r="BF38" s="300">
        <f>0.1*'Steel Column'!$F$44/$AM38</f>
        <v>3.0335434378563286E-2</v>
      </c>
      <c r="BG38" s="300">
        <f t="shared" si="6"/>
        <v>8.1301288688908124E-2</v>
      </c>
      <c r="BH38" s="299">
        <f>'Steel Column'!$F$45/$AQ38</f>
        <v>5.1791343931034482E-2</v>
      </c>
      <c r="BI38" s="300">
        <f>0.1*'Steel Column'!$F$45/$AR38</f>
        <v>3.0826774836944126E-2</v>
      </c>
      <c r="BJ38" s="301">
        <f t="shared" si="7"/>
        <v>8.2618118767978616E-2</v>
      </c>
      <c r="BK38" s="299">
        <f>'Steel Column'!$F$50/$W38</f>
        <v>4.8972519827586214E-2</v>
      </c>
      <c r="BL38" s="300">
        <f>0.1*'Steel Column'!$F$50/$X38</f>
        <v>2.9148979874572413E-2</v>
      </c>
      <c r="BM38" s="300">
        <f t="shared" si="18"/>
        <v>7.812149970215862E-2</v>
      </c>
      <c r="BN38" s="299">
        <f>'Steel Column'!$F$51/$AB38</f>
        <v>4.3722327931034484E-2</v>
      </c>
      <c r="BO38" s="300">
        <f>0.1*'Steel Column'!$F$51/$AC38</f>
        <v>2.6024008187001142E-2</v>
      </c>
      <c r="BP38" s="301">
        <f t="shared" si="19"/>
        <v>6.9746336118035629E-2</v>
      </c>
      <c r="BQ38" s="299">
        <f>'Steel Column'!$F$52/$AG38</f>
        <v>4.4191825231781619E-2</v>
      </c>
      <c r="BR38" s="300">
        <f>0.1*'Steel Column'!$F$52/$AH38</f>
        <v>2.6303458119714941E-2</v>
      </c>
      <c r="BS38" s="301">
        <f t="shared" si="8"/>
        <v>7.049528335149656E-2</v>
      </c>
      <c r="BT38" s="300">
        <f>'Steel Column'!$F$53/$AL38</f>
        <v>3.246568577586207E-2</v>
      </c>
      <c r="BU38" s="300">
        <f>0.1*'Steel Column'!$F$53/$AM38</f>
        <v>1.9323931556442416E-2</v>
      </c>
      <c r="BV38" s="300">
        <f t="shared" si="9"/>
        <v>5.1789617332304486E-2</v>
      </c>
      <c r="BW38" s="299">
        <f>'Steel Column'!$F$54/$AQ38</f>
        <v>3.2878430586206896E-2</v>
      </c>
      <c r="BX38" s="300">
        <f>0.1*'Steel Column'!$F$54/$AR38</f>
        <v>1.9569601785632842E-2</v>
      </c>
      <c r="BY38" s="301">
        <f t="shared" si="10"/>
        <v>5.2448032371839738E-2</v>
      </c>
    </row>
    <row r="39" spans="1:84">
      <c r="A39" s="284" t="s">
        <v>1288</v>
      </c>
      <c r="B39" s="284" t="s">
        <v>1297</v>
      </c>
      <c r="C39" s="298">
        <v>137</v>
      </c>
      <c r="D39" s="284" t="s">
        <v>1245</v>
      </c>
      <c r="E39" s="284">
        <v>6000</v>
      </c>
      <c r="F39" s="284">
        <v>5860</v>
      </c>
      <c r="G39" s="284">
        <v>5610</v>
      </c>
      <c r="H39" s="284">
        <v>5350</v>
      </c>
      <c r="I39" s="284">
        <v>5080</v>
      </c>
      <c r="J39" s="284">
        <v>4800</v>
      </c>
      <c r="K39" s="284">
        <v>4500</v>
      </c>
      <c r="L39" s="284">
        <v>3880</v>
      </c>
      <c r="M39" s="284">
        <v>3280</v>
      </c>
      <c r="N39" s="284">
        <v>2740</v>
      </c>
      <c r="O39" s="284">
        <v>2290</v>
      </c>
      <c r="P39" s="284">
        <v>1920</v>
      </c>
      <c r="Q39" s="284">
        <v>1630</v>
      </c>
      <c r="R39" s="284">
        <v>1390</v>
      </c>
      <c r="S39" s="284">
        <v>1200</v>
      </c>
      <c r="T39" s="284">
        <v>1040</v>
      </c>
      <c r="U39" s="284">
        <v>918</v>
      </c>
      <c r="V39" s="284" t="s">
        <v>1298</v>
      </c>
      <c r="W39" s="299" cm="1">
        <f t="array" ref="W39">INDEX($E39:$U39,,AA$12)</f>
        <v>4500</v>
      </c>
      <c r="X39" s="300" t="str" cm="1">
        <f t="array" ref="X39">INDEX($E100:$U100,,AA$12)</f>
        <v>747</v>
      </c>
      <c r="Y39" s="300">
        <f>'Steel Column'!$F$32/W39</f>
        <v>0.16243249200000001</v>
      </c>
      <c r="Z39" s="300">
        <f>0.1*'Steel Column'!$F$32/X39</f>
        <v>9.7850898795180732E-2</v>
      </c>
      <c r="AA39" s="301">
        <f t="shared" si="11"/>
        <v>0.26028339079518076</v>
      </c>
      <c r="AB39" s="299" cm="1">
        <f t="array" ref="AB39">INDEX($E39:$U39,,AF$12)</f>
        <v>4500</v>
      </c>
      <c r="AC39" s="300" t="str" cm="1">
        <f t="array" ref="AC39">INDEX($E100:$U100,,AF$12)</f>
        <v>747</v>
      </c>
      <c r="AD39" s="300">
        <f>'Steel Column'!$F$33/$AB39</f>
        <v>0.13807160160000001</v>
      </c>
      <c r="AE39" s="300">
        <f>0.1*'Steel Column'!$F$33/$AC39</f>
        <v>8.3175663614457843E-2</v>
      </c>
      <c r="AF39" s="301">
        <f t="shared" si="12"/>
        <v>0.22124726521445787</v>
      </c>
      <c r="AG39" s="299" cm="1">
        <f t="array" ref="AG39">INDEX($E39:$U39,,AK$12)</f>
        <v>4500</v>
      </c>
      <c r="AH39" s="300" t="str" cm="1">
        <f t="array" ref="AH39">INDEX($E100:$U100,,AK$12)</f>
        <v>747</v>
      </c>
      <c r="AI39" s="300">
        <f>'Steel Column'!$F$34/$AG39</f>
        <v>0.14025006907546669</v>
      </c>
      <c r="AJ39" s="300">
        <f>0.1*'Steel Column'!$F$34/$AH39</f>
        <v>8.4487993418955853E-2</v>
      </c>
      <c r="AK39" s="301">
        <f t="shared" si="13"/>
        <v>0.22473806249442255</v>
      </c>
      <c r="AL39" s="299" cm="1">
        <f t="array" ref="AL39">INDEX($E39:$U39,,AP$12)</f>
        <v>4500</v>
      </c>
      <c r="AM39" s="300" t="str" cm="1">
        <f t="array" ref="AM39">INDEX($E100:$U100,,AP$12)</f>
        <v>747</v>
      </c>
      <c r="AN39" s="300">
        <f>'Steel Column'!$F$35/$AL39</f>
        <v>8.5840782000000004E-2</v>
      </c>
      <c r="AO39" s="300">
        <f>0.1*'Steel Column'!$F$35/$AM39</f>
        <v>5.171131445783133E-2</v>
      </c>
      <c r="AP39" s="301">
        <f t="shared" si="14"/>
        <v>0.13755209645783134</v>
      </c>
      <c r="AQ39" s="300" cm="1">
        <f t="array" ref="AQ39">INDEX($E39:$U39,,AU$12)</f>
        <v>4500</v>
      </c>
      <c r="AR39" s="300" t="str" cm="1">
        <f t="array" ref="AR39">INDEX($E100:$U100,,AU$12)</f>
        <v>747</v>
      </c>
      <c r="AS39" s="300">
        <f>'Steel Column'!$F$36/$AQ39</f>
        <v>8.7755917919999996E-2</v>
      </c>
      <c r="AT39" s="300">
        <f>0.1*'Steel Column'!$F$36/$AR39</f>
        <v>5.2865010795180724E-2</v>
      </c>
      <c r="AU39" s="301">
        <f t="shared" si="15"/>
        <v>0.14062092871518073</v>
      </c>
      <c r="AV39" s="299">
        <f>'Steel Column'!$F$41/$W39</f>
        <v>9.7416245999999998E-2</v>
      </c>
      <c r="AW39" s="300">
        <f>0.1*'Steel Column'!$F$41/$X39</f>
        <v>5.868448554216868E-2</v>
      </c>
      <c r="AX39" s="302">
        <f t="shared" si="16"/>
        <v>0.15610073154216869</v>
      </c>
      <c r="AY39" s="300">
        <f>'Steel Column'!$F$42/$AB39</f>
        <v>8.5235800800000011E-2</v>
      </c>
      <c r="AZ39" s="300">
        <f>0.1*'Steel Column'!$F$42/$AC39</f>
        <v>5.1346867951807235E-2</v>
      </c>
      <c r="BA39" s="300">
        <f t="shared" si="17"/>
        <v>0.13658266875180725</v>
      </c>
      <c r="BB39" s="299">
        <f>'Steel Column'!$F$43/$AG39</f>
        <v>8.6325034537733353E-2</v>
      </c>
      <c r="BC39" s="300">
        <f>0.1*'Steel Column'!$F$43/$AH39</f>
        <v>5.200303285405624E-2</v>
      </c>
      <c r="BD39" s="301">
        <f t="shared" si="5"/>
        <v>0.1383280673917896</v>
      </c>
      <c r="BE39" s="300">
        <f>'Steel Column'!$F$44/$AL39</f>
        <v>5.9120391000000001E-2</v>
      </c>
      <c r="BF39" s="300">
        <f>0.1*'Steel Column'!$F$44/$AM39</f>
        <v>3.5614693373493982E-2</v>
      </c>
      <c r="BG39" s="300">
        <f t="shared" si="6"/>
        <v>9.4735084373493983E-2</v>
      </c>
      <c r="BH39" s="299">
        <f>'Steel Column'!$F$45/$AQ39</f>
        <v>6.0077958959999997E-2</v>
      </c>
      <c r="BI39" s="300">
        <f>0.1*'Steel Column'!$F$45/$AR39</f>
        <v>3.6191541542168672E-2</v>
      </c>
      <c r="BJ39" s="301">
        <f t="shared" si="7"/>
        <v>9.6269500502168676E-2</v>
      </c>
      <c r="BK39" s="299">
        <f>'Steel Column'!$F$50/$W39</f>
        <v>5.6808123000000002E-2</v>
      </c>
      <c r="BL39" s="300">
        <f>0.1*'Steel Column'!$F$50/$X39</f>
        <v>3.42217608433735E-2</v>
      </c>
      <c r="BM39" s="300">
        <f t="shared" si="18"/>
        <v>9.1029883843373502E-2</v>
      </c>
      <c r="BN39" s="299">
        <f>'Steel Column'!$F$51/$AB39</f>
        <v>5.0717900400000002E-2</v>
      </c>
      <c r="BO39" s="300">
        <f>0.1*'Steel Column'!$F$51/$AC39</f>
        <v>3.055295204819277E-2</v>
      </c>
      <c r="BP39" s="301">
        <f t="shared" si="19"/>
        <v>8.1270852448192765E-2</v>
      </c>
      <c r="BQ39" s="299">
        <f>'Steel Column'!$F$52/$AG39</f>
        <v>5.1262517268866679E-2</v>
      </c>
      <c r="BR39" s="300">
        <f>0.1*'Steel Column'!$F$52/$AH39</f>
        <v>3.0881034499317277E-2</v>
      </c>
      <c r="BS39" s="301">
        <f t="shared" si="8"/>
        <v>8.2143551768183956E-2</v>
      </c>
      <c r="BT39" s="300">
        <f>'Steel Column'!$F$53/$AL39</f>
        <v>3.76601955E-2</v>
      </c>
      <c r="BU39" s="300">
        <f>0.1*'Steel Column'!$F$53/$AM39</f>
        <v>2.2686864759036144E-2</v>
      </c>
      <c r="BV39" s="300">
        <f t="shared" si="9"/>
        <v>6.0347060259036148E-2</v>
      </c>
      <c r="BW39" s="299">
        <f>'Steel Column'!$F$54/$AQ39</f>
        <v>3.8138979480000001E-2</v>
      </c>
      <c r="BX39" s="300">
        <f>0.1*'Steel Column'!$F$54/$AR39</f>
        <v>2.2975288843373499E-2</v>
      </c>
      <c r="BY39" s="301">
        <f t="shared" si="10"/>
        <v>6.1114268323373501E-2</v>
      </c>
    </row>
    <row r="40" spans="1:84">
      <c r="A40" s="284" t="s">
        <v>1288</v>
      </c>
      <c r="B40" s="284" t="s">
        <v>1299</v>
      </c>
      <c r="C40" s="298">
        <v>118</v>
      </c>
      <c r="D40" s="284" t="s">
        <v>1245</v>
      </c>
      <c r="E40" s="284">
        <v>5180</v>
      </c>
      <c r="F40" s="284">
        <v>5050</v>
      </c>
      <c r="G40" s="284">
        <v>4830</v>
      </c>
      <c r="H40" s="284">
        <v>4600</v>
      </c>
      <c r="I40" s="284">
        <v>4370</v>
      </c>
      <c r="J40" s="284">
        <v>4120</v>
      </c>
      <c r="K40" s="284">
        <v>3860</v>
      </c>
      <c r="L40" s="284">
        <v>3330</v>
      </c>
      <c r="M40" s="284">
        <v>2800</v>
      </c>
      <c r="N40" s="284">
        <v>2340</v>
      </c>
      <c r="O40" s="284">
        <v>1950</v>
      </c>
      <c r="P40" s="284">
        <v>1640</v>
      </c>
      <c r="Q40" s="284">
        <v>1380</v>
      </c>
      <c r="R40" s="284">
        <v>1180</v>
      </c>
      <c r="S40" s="284">
        <v>1020</v>
      </c>
      <c r="T40" s="284">
        <v>889</v>
      </c>
      <c r="U40" s="284">
        <v>780</v>
      </c>
      <c r="V40" s="284" t="s">
        <v>1300</v>
      </c>
      <c r="W40" s="299" cm="1">
        <f t="array" ref="W40">INDEX($E40:$U40,,AA$12)</f>
        <v>3860</v>
      </c>
      <c r="X40" s="300" t="str" cm="1">
        <f t="array" ref="X40">INDEX($E101:$U101,,AA$12)</f>
        <v>631</v>
      </c>
      <c r="Y40" s="300">
        <f>'Steel Column'!$F$32/W40</f>
        <v>0.18936430414507774</v>
      </c>
      <c r="Z40" s="300">
        <f>0.1*'Steel Column'!$F$32/X40</f>
        <v>0.11583933660855786</v>
      </c>
      <c r="AA40" s="301">
        <f t="shared" si="11"/>
        <v>0.3052036407536356</v>
      </c>
      <c r="AB40" s="299" cm="1">
        <f t="array" ref="AB40">INDEX($E40:$U40,,AF$12)</f>
        <v>3860</v>
      </c>
      <c r="AC40" s="300" t="str" cm="1">
        <f t="array" ref="AC40">INDEX($E101:$U101,,AF$12)</f>
        <v>631</v>
      </c>
      <c r="AD40" s="300">
        <f>'Steel Column'!$F$33/$AB40</f>
        <v>0.16096430238341972</v>
      </c>
      <c r="AE40" s="300">
        <f>0.1*'Steel Column'!$F$33/$AC40</f>
        <v>9.8466276893819357E-2</v>
      </c>
      <c r="AF40" s="301">
        <f t="shared" si="12"/>
        <v>0.25943057927723906</v>
      </c>
      <c r="AG40" s="299" cm="1">
        <f t="array" ref="AG40">INDEX($E40:$U40,,AK$12)</f>
        <v>3860</v>
      </c>
      <c r="AH40" s="300" t="str" cm="1">
        <f t="array" ref="AH40">INDEX($E101:$U101,,AK$12)</f>
        <v>631</v>
      </c>
      <c r="AI40" s="300">
        <f>'Steel Column'!$F$34/$AG40</f>
        <v>0.16350396653875651</v>
      </c>
      <c r="AJ40" s="300">
        <f>0.1*'Steel Column'!$F$34/$AH40</f>
        <v>0.10001985908709987</v>
      </c>
      <c r="AK40" s="301">
        <f t="shared" si="13"/>
        <v>0.26352382562585641</v>
      </c>
      <c r="AL40" s="299" cm="1">
        <f t="array" ref="AL40">INDEX($E40:$U40,,AP$12)</f>
        <v>3860</v>
      </c>
      <c r="AM40" s="300" t="str" cm="1">
        <f t="array" ref="AM40">INDEX($E101:$U101,,AP$12)</f>
        <v>631</v>
      </c>
      <c r="AN40" s="300">
        <f>'Steel Column'!$F$35/$AL40</f>
        <v>0.10007345051813472</v>
      </c>
      <c r="AO40" s="300">
        <f>0.1*'Steel Column'!$F$35/$AM40</f>
        <v>6.1217673375594306E-2</v>
      </c>
      <c r="AP40" s="301">
        <f t="shared" si="14"/>
        <v>0.16129112389372902</v>
      </c>
      <c r="AQ40" s="300" cm="1">
        <f t="array" ref="AQ40">INDEX($E40:$U40,,AU$12)</f>
        <v>3860</v>
      </c>
      <c r="AR40" s="300" t="str" cm="1">
        <f t="array" ref="AR40">INDEX($E101:$U101,,AU$12)</f>
        <v>631</v>
      </c>
      <c r="AS40" s="300">
        <f>'Steel Column'!$F$36/$AQ40</f>
        <v>0.10230612192746114</v>
      </c>
      <c r="AT40" s="300">
        <f>0.1*'Steel Column'!$F$36/$AR40</f>
        <v>6.2583459689381934E-2</v>
      </c>
      <c r="AU40" s="301">
        <f t="shared" si="15"/>
        <v>0.16488958161684308</v>
      </c>
      <c r="AV40" s="299">
        <f>'Steel Column'!$F$41/$W40</f>
        <v>0.11356816243523316</v>
      </c>
      <c r="AW40" s="300">
        <f>0.1*'Steel Column'!$F$41/$X40</f>
        <v>6.9472758637083992E-2</v>
      </c>
      <c r="AX40" s="302">
        <f t="shared" si="16"/>
        <v>0.18304092107231715</v>
      </c>
      <c r="AY40" s="300">
        <f>'Steel Column'!$F$42/$AB40</f>
        <v>9.9368161554404158E-2</v>
      </c>
      <c r="AZ40" s="300">
        <f>0.1*'Steel Column'!$F$42/$AC40</f>
        <v>6.0786228779714742E-2</v>
      </c>
      <c r="BA40" s="300">
        <f t="shared" si="17"/>
        <v>0.16015439033411891</v>
      </c>
      <c r="BB40" s="299">
        <f>'Steel Column'!$F$43/$AG40</f>
        <v>0.10063799363207256</v>
      </c>
      <c r="BC40" s="300">
        <f>0.1*'Steel Column'!$F$43/$AH40</f>
        <v>6.1563019876355006E-2</v>
      </c>
      <c r="BD40" s="301">
        <f t="shared" si="5"/>
        <v>0.16220101350842756</v>
      </c>
      <c r="BE40" s="300">
        <f>'Steel Column'!$F$44/$AL40</f>
        <v>6.8922735621761655E-2</v>
      </c>
      <c r="BF40" s="300">
        <f>0.1*'Steel Column'!$F$44/$AM40</f>
        <v>4.2161927020602223E-2</v>
      </c>
      <c r="BG40" s="300">
        <f t="shared" si="6"/>
        <v>0.11108466264236388</v>
      </c>
      <c r="BH40" s="299">
        <f>'Steel Column'!$F$45/$AQ40</f>
        <v>7.0039071326424868E-2</v>
      </c>
      <c r="BI40" s="300">
        <f>0.1*'Steel Column'!$F$45/$AR40</f>
        <v>4.2844820177496037E-2</v>
      </c>
      <c r="BJ40" s="301">
        <f t="shared" si="7"/>
        <v>0.11288389150392091</v>
      </c>
      <c r="BK40" s="299">
        <f>'Steel Column'!$F$50/$W40</f>
        <v>6.6227086398963741E-2</v>
      </c>
      <c r="BL40" s="300">
        <f>0.1*'Steel Column'!$F$50/$X40</f>
        <v>4.0512924484944542E-2</v>
      </c>
      <c r="BM40" s="300">
        <f t="shared" si="18"/>
        <v>0.10674001088390828</v>
      </c>
      <c r="BN40" s="299">
        <f>'Steel Column'!$F$51/$AB40</f>
        <v>5.9127085958549222E-2</v>
      </c>
      <c r="BO40" s="300">
        <f>0.1*'Steel Column'!$F$51/$AC40</f>
        <v>3.6169659556259906E-2</v>
      </c>
      <c r="BP40" s="301">
        <f t="shared" si="19"/>
        <v>9.5296745514809128E-2</v>
      </c>
      <c r="BQ40" s="299">
        <f>'Steel Column'!$F$52/$AG40</f>
        <v>5.9762001997383435E-2</v>
      </c>
      <c r="BR40" s="300">
        <f>0.1*'Steel Column'!$F$52/$AH40</f>
        <v>3.6558055104580038E-2</v>
      </c>
      <c r="BS40" s="301">
        <f t="shared" si="8"/>
        <v>9.632005710196348E-2</v>
      </c>
      <c r="BT40" s="300">
        <f>'Steel Column'!$F$53/$AL40</f>
        <v>4.3904372992227977E-2</v>
      </c>
      <c r="BU40" s="300">
        <f>0.1*'Steel Column'!$F$53/$AM40</f>
        <v>2.6857508676703643E-2</v>
      </c>
      <c r="BV40" s="300">
        <f t="shared" si="9"/>
        <v>7.0761881668931617E-2</v>
      </c>
      <c r="BW40" s="299">
        <f>'Steel Column'!$F$54/$AQ40</f>
        <v>4.4462540844559591E-2</v>
      </c>
      <c r="BX40" s="300">
        <f>0.1*'Steel Column'!$F$54/$AR40</f>
        <v>2.7198955255150561E-2</v>
      </c>
      <c r="BY40" s="301">
        <f t="shared" si="10"/>
        <v>7.1661496099710148E-2</v>
      </c>
    </row>
    <row r="41" spans="1:84">
      <c r="A41" s="284" t="s">
        <v>1288</v>
      </c>
      <c r="B41" s="284" t="s">
        <v>1301</v>
      </c>
      <c r="C41" s="298">
        <v>97</v>
      </c>
      <c r="D41" s="284" t="s">
        <v>1245</v>
      </c>
      <c r="E41" s="284">
        <v>4370</v>
      </c>
      <c r="F41" s="284">
        <v>4240</v>
      </c>
      <c r="G41" s="284">
        <v>4050</v>
      </c>
      <c r="H41" s="284">
        <v>3860</v>
      </c>
      <c r="I41" s="284">
        <v>3660</v>
      </c>
      <c r="J41" s="284">
        <v>3440</v>
      </c>
      <c r="K41" s="284">
        <v>3220</v>
      </c>
      <c r="L41" s="284">
        <v>2750</v>
      </c>
      <c r="M41" s="284">
        <v>2300</v>
      </c>
      <c r="N41" s="284">
        <v>1910</v>
      </c>
      <c r="O41" s="284">
        <v>1590</v>
      </c>
      <c r="P41" s="284">
        <v>1330</v>
      </c>
      <c r="Q41" s="284">
        <v>1120</v>
      </c>
      <c r="R41" s="284">
        <v>959</v>
      </c>
      <c r="S41" s="284">
        <v>826</v>
      </c>
      <c r="T41" s="284">
        <v>719</v>
      </c>
      <c r="U41" s="284">
        <v>630</v>
      </c>
      <c r="V41" s="284" t="s">
        <v>1302</v>
      </c>
      <c r="W41" s="299" cm="1">
        <f t="array" ref="W41">INDEX($E41:$U41,,AA$12)</f>
        <v>3220</v>
      </c>
      <c r="X41" s="300" t="str" cm="1">
        <f t="array" ref="X41">INDEX($E102:$U102,,AA$12)</f>
        <v>480</v>
      </c>
      <c r="Y41" s="300">
        <f>'Steel Column'!$F$32/W41</f>
        <v>0.22700192981366463</v>
      </c>
      <c r="Z41" s="300">
        <f>0.1*'Steel Column'!$F$32/X41</f>
        <v>0.15228046125000003</v>
      </c>
      <c r="AA41" s="301">
        <f t="shared" si="11"/>
        <v>0.37928239106366468</v>
      </c>
      <c r="AB41" s="299" cm="1">
        <f t="array" ref="AB41">INDEX($E41:$U41,,AF$12)</f>
        <v>3220</v>
      </c>
      <c r="AC41" s="300" t="str" cm="1">
        <f t="array" ref="AC41">INDEX($E102:$U102,,AF$12)</f>
        <v>480</v>
      </c>
      <c r="AD41" s="300">
        <f>'Steel Column'!$F$33/$AB41</f>
        <v>0.19295720720496898</v>
      </c>
      <c r="AE41" s="300">
        <f>0.1*'Steel Column'!$F$33/$AC41</f>
        <v>0.12944212650000003</v>
      </c>
      <c r="AF41" s="301">
        <f t="shared" si="12"/>
        <v>0.32239933370496898</v>
      </c>
      <c r="AG41" s="299" cm="1">
        <f t="array" ref="AG41">INDEX($E41:$U41,,AK$12)</f>
        <v>3220</v>
      </c>
      <c r="AH41" s="300" t="str" cm="1">
        <f t="array" ref="AH41">INDEX($E102:$U102,,AK$12)</f>
        <v>480</v>
      </c>
      <c r="AI41" s="300">
        <f>'Steel Column'!$F$34/$AG41</f>
        <v>0.19600164932906838</v>
      </c>
      <c r="AJ41" s="300">
        <f>0.1*'Steel Column'!$F$34/$AH41</f>
        <v>0.13148443975825005</v>
      </c>
      <c r="AK41" s="301">
        <f t="shared" si="13"/>
        <v>0.32748608908731847</v>
      </c>
      <c r="AL41" s="299" cm="1">
        <f t="array" ref="AL41">INDEX($E41:$U41,,AP$12)</f>
        <v>3220</v>
      </c>
      <c r="AM41" s="300" t="str" cm="1">
        <f t="array" ref="AM41">INDEX($E102:$U102,,AP$12)</f>
        <v>480</v>
      </c>
      <c r="AN41" s="300">
        <f>'Steel Column'!$F$35/$AL41</f>
        <v>0.11996382577639753</v>
      </c>
      <c r="AO41" s="300">
        <f>0.1*'Steel Column'!$F$35/$AM41</f>
        <v>8.0475733125000018E-2</v>
      </c>
      <c r="AP41" s="301">
        <f t="shared" si="14"/>
        <v>0.20043955890139753</v>
      </c>
      <c r="AQ41" s="300" cm="1">
        <f t="array" ref="AQ41">INDEX($E41:$U41,,AU$12)</f>
        <v>3220</v>
      </c>
      <c r="AR41" s="300" t="str" cm="1">
        <f t="array" ref="AR41">INDEX($E102:$U102,,AU$12)</f>
        <v>480</v>
      </c>
      <c r="AS41" s="300">
        <f>'Steel Column'!$F$36/$AQ41</f>
        <v>0.12264025796273292</v>
      </c>
      <c r="AT41" s="300">
        <f>0.1*'Steel Column'!$F$36/$AR41</f>
        <v>8.2271173050000007E-2</v>
      </c>
      <c r="AU41" s="301">
        <f t="shared" si="15"/>
        <v>0.20491143101273293</v>
      </c>
      <c r="AV41" s="299">
        <f>'Steel Column'!$F$41/$W41</f>
        <v>0.13614071645962733</v>
      </c>
      <c r="AW41" s="300">
        <f>0.1*'Steel Column'!$F$41/$X41</f>
        <v>9.1327730625000006E-2</v>
      </c>
      <c r="AX41" s="302">
        <f t="shared" si="16"/>
        <v>0.22746844708462732</v>
      </c>
      <c r="AY41" s="300">
        <f>'Steel Column'!$F$42/$AB41</f>
        <v>0.11911835515527951</v>
      </c>
      <c r="AZ41" s="300">
        <f>0.1*'Steel Column'!$F$42/$AC41</f>
        <v>7.9908563250000009E-2</v>
      </c>
      <c r="BA41" s="300">
        <f t="shared" si="17"/>
        <v>0.19902691840527953</v>
      </c>
      <c r="BB41" s="299">
        <f>'Steel Column'!$F$43/$AG41</f>
        <v>0.12064057621732921</v>
      </c>
      <c r="BC41" s="300">
        <f>0.1*'Steel Column'!$F$43/$AH41</f>
        <v>8.092971987912502E-2</v>
      </c>
      <c r="BD41" s="301">
        <f t="shared" si="5"/>
        <v>0.20157029609645422</v>
      </c>
      <c r="BE41" s="300">
        <f>'Steel Column'!$F$44/$AL41</f>
        <v>8.2621664440993794E-2</v>
      </c>
      <c r="BF41" s="300">
        <f>0.1*'Steel Column'!$F$44/$AM41</f>
        <v>5.5425366562500002E-2</v>
      </c>
      <c r="BG41" s="300">
        <f t="shared" si="6"/>
        <v>0.1380470310034938</v>
      </c>
      <c r="BH41" s="299">
        <f>'Steel Column'!$F$45/$AQ41</f>
        <v>8.395988053416148E-2</v>
      </c>
      <c r="BI41" s="300">
        <f>0.1*'Steel Column'!$F$45/$AR41</f>
        <v>5.6323086524999996E-2</v>
      </c>
      <c r="BJ41" s="301">
        <f t="shared" si="7"/>
        <v>0.14028296705916149</v>
      </c>
      <c r="BK41" s="299">
        <f>'Steel Column'!$F$50/$W41</f>
        <v>7.9390234006211188E-2</v>
      </c>
      <c r="BL41" s="300">
        <f>0.1*'Steel Column'!$F$50/$X41</f>
        <v>5.3257615312500013E-2</v>
      </c>
      <c r="BM41" s="300">
        <f t="shared" si="18"/>
        <v>0.13264784931871121</v>
      </c>
      <c r="BN41" s="299">
        <f>'Steel Column'!$F$51/$AB41</f>
        <v>7.0879053354037269E-2</v>
      </c>
      <c r="BO41" s="300">
        <f>0.1*'Steel Column'!$F$51/$AC41</f>
        <v>4.7548031625000001E-2</v>
      </c>
      <c r="BP41" s="301">
        <f t="shared" si="19"/>
        <v>0.11842708497903727</v>
      </c>
      <c r="BQ41" s="299">
        <f>'Steel Column'!$F$52/$AG41</f>
        <v>7.1640163885062128E-2</v>
      </c>
      <c r="BR41" s="300">
        <f>0.1*'Steel Column'!$F$52/$AH41</f>
        <v>4.8058609939562506E-2</v>
      </c>
      <c r="BS41" s="301">
        <f t="shared" si="8"/>
        <v>0.11969877382462463</v>
      </c>
      <c r="BT41" s="300">
        <f>'Steel Column'!$F$53/$AL41</f>
        <v>5.2630707996894406E-2</v>
      </c>
      <c r="BU41" s="300">
        <f>0.1*'Steel Column'!$F$53/$AM41</f>
        <v>3.5306433281250001E-2</v>
      </c>
      <c r="BV41" s="300">
        <f t="shared" si="9"/>
        <v>8.7937141278144407E-2</v>
      </c>
      <c r="BW41" s="299">
        <f>'Steel Column'!$F$54/$AQ41</f>
        <v>5.3299816043478263E-2</v>
      </c>
      <c r="BX41" s="300">
        <f>0.1*'Steel Column'!$F$54/$AR41</f>
        <v>3.5755293262500008E-2</v>
      </c>
      <c r="BY41" s="301">
        <f t="shared" si="10"/>
        <v>8.9055109305978264E-2</v>
      </c>
    </row>
    <row r="42" spans="1:84">
      <c r="A42" s="284" t="s">
        <v>1303</v>
      </c>
      <c r="B42" s="284" t="s">
        <v>1304</v>
      </c>
      <c r="C42" s="298">
        <v>167</v>
      </c>
      <c r="D42" s="284" t="s">
        <v>1245</v>
      </c>
      <c r="E42" s="284">
        <v>7350</v>
      </c>
      <c r="F42" s="284">
        <v>7030</v>
      </c>
      <c r="G42" s="284">
        <v>6680</v>
      </c>
      <c r="H42" s="284">
        <v>6300</v>
      </c>
      <c r="I42" s="284">
        <v>5910</v>
      </c>
      <c r="J42" s="284">
        <v>5490</v>
      </c>
      <c r="K42" s="284">
        <v>5060</v>
      </c>
      <c r="L42" s="284">
        <v>4200</v>
      </c>
      <c r="M42" s="284">
        <v>3420</v>
      </c>
      <c r="N42" s="284">
        <v>2780</v>
      </c>
      <c r="O42" s="284">
        <v>2270</v>
      </c>
      <c r="P42" s="284">
        <v>1880</v>
      </c>
      <c r="Q42" s="284">
        <v>1580</v>
      </c>
      <c r="R42" s="284">
        <v>1340</v>
      </c>
      <c r="S42" s="284">
        <v>1150</v>
      </c>
      <c r="T42" s="284">
        <v>1000</v>
      </c>
      <c r="U42" s="284">
        <v>875</v>
      </c>
      <c r="V42" s="284" t="s">
        <v>1305</v>
      </c>
      <c r="W42" s="299" cm="1">
        <f t="array" ref="W42">INDEX($E42:$U42,,AA$12)</f>
        <v>5060</v>
      </c>
      <c r="X42" s="300" t="str" cm="1">
        <f t="array" ref="X42">INDEX($E103:$U103,,AA$12)</f>
        <v>793</v>
      </c>
      <c r="Y42" s="300">
        <f>'Steel Column'!$F$32/W42</f>
        <v>0.14445577351778657</v>
      </c>
      <c r="Z42" s="300">
        <f>0.1*'Steel Column'!$F$32/X42</f>
        <v>9.2174806305170248E-2</v>
      </c>
      <c r="AA42" s="301">
        <f t="shared" si="11"/>
        <v>0.23663057982295682</v>
      </c>
      <c r="AB42" s="299" cm="1">
        <f t="array" ref="AB42">INDEX($E42:$U42,,AF$12)</f>
        <v>5060</v>
      </c>
      <c r="AC42" s="300" t="str" cm="1">
        <f t="array" ref="AC42">INDEX($E103:$U103,,AF$12)</f>
        <v>793</v>
      </c>
      <c r="AD42" s="300">
        <f>'Steel Column'!$F$33/$AB42</f>
        <v>0.12279095003952571</v>
      </c>
      <c r="AE42" s="300">
        <f>0.1*'Steel Column'!$F$33/$AC42</f>
        <v>7.8350845800756644E-2</v>
      </c>
      <c r="AF42" s="301">
        <f t="shared" si="12"/>
        <v>0.20114179584028236</v>
      </c>
      <c r="AG42" s="299" cm="1">
        <f t="array" ref="AG42">INDEX($E42:$U42,,AK$12)</f>
        <v>5060</v>
      </c>
      <c r="AH42" s="300" t="str" cm="1">
        <f t="array" ref="AH42">INDEX($E103:$U103,,AK$12)</f>
        <v>793</v>
      </c>
      <c r="AI42" s="300">
        <f>'Steel Column'!$F$34/$AG42</f>
        <v>0.12472832230031623</v>
      </c>
      <c r="AJ42" s="300">
        <f>0.1*'Steel Column'!$F$34/$AH42</f>
        <v>7.9587050547238358E-2</v>
      </c>
      <c r="AK42" s="301">
        <f t="shared" si="13"/>
        <v>0.20431537284755458</v>
      </c>
      <c r="AL42" s="299" cm="1">
        <f t="array" ref="AL42">INDEX($E42:$U42,,AP$12)</f>
        <v>5060</v>
      </c>
      <c r="AM42" s="300" t="str" cm="1">
        <f t="array" ref="AM42">INDEX($E103:$U103,,AP$12)</f>
        <v>793</v>
      </c>
      <c r="AN42" s="300">
        <f>'Steel Column'!$F$35/$AL42</f>
        <v>7.6340616403162059E-2</v>
      </c>
      <c r="AO42" s="300">
        <f>0.1*'Steel Column'!$F$35/$AM42</f>
        <v>4.8711666960907951E-2</v>
      </c>
      <c r="AP42" s="301">
        <f t="shared" si="14"/>
        <v>0.12505228336407001</v>
      </c>
      <c r="AQ42" s="300" cm="1">
        <f t="array" ref="AQ42">INDEX($E42:$U42,,AU$12)</f>
        <v>5060</v>
      </c>
      <c r="AR42" s="300" t="str" cm="1">
        <f t="array" ref="AR42">INDEX($E103:$U103,,AU$12)</f>
        <v>793</v>
      </c>
      <c r="AS42" s="300">
        <f>'Steel Column'!$F$36/$AQ42</f>
        <v>7.8043800521739135E-2</v>
      </c>
      <c r="AT42" s="300">
        <f>0.1*'Steel Column'!$F$36/$AR42</f>
        <v>4.9798440181588903E-2</v>
      </c>
      <c r="AU42" s="301">
        <f t="shared" si="15"/>
        <v>0.12784224070332803</v>
      </c>
      <c r="AV42" s="299">
        <f>'Steel Column'!$F$41/$W42</f>
        <v>8.6635001383399204E-2</v>
      </c>
      <c r="AW42" s="300">
        <f>0.1*'Steel Column'!$F$41/$X42</f>
        <v>5.5280341361916778E-2</v>
      </c>
      <c r="AX42" s="302">
        <f t="shared" si="16"/>
        <v>0.14191534274531598</v>
      </c>
      <c r="AY42" s="300">
        <f>'Steel Column'!$F$42/$AB42</f>
        <v>7.5802589644268781E-2</v>
      </c>
      <c r="AZ42" s="300">
        <f>0.1*'Steel Column'!$F$42/$AC42</f>
        <v>4.8368361109709962E-2</v>
      </c>
      <c r="BA42" s="300">
        <f t="shared" si="17"/>
        <v>0.12417095075397874</v>
      </c>
      <c r="BB42" s="299">
        <f>'Steel Column'!$F$43/$AG42</f>
        <v>7.6771275774664041E-2</v>
      </c>
      <c r="BC42" s="300">
        <f>0.1*'Steel Column'!$F$43/$AH42</f>
        <v>4.8986463482950833E-2</v>
      </c>
      <c r="BD42" s="301">
        <f t="shared" si="5"/>
        <v>0.12575773925761488</v>
      </c>
      <c r="BE42" s="300">
        <f>'Steel Column'!$F$44/$AL42</f>
        <v>5.2577422826086961E-2</v>
      </c>
      <c r="BF42" s="300">
        <f>0.1*'Steel Column'!$F$44/$AM42</f>
        <v>3.3548771689785629E-2</v>
      </c>
      <c r="BG42" s="300">
        <f t="shared" si="6"/>
        <v>8.6126194515872584E-2</v>
      </c>
      <c r="BH42" s="299">
        <f>'Steel Column'!$F$45/$AQ42</f>
        <v>5.3429014885375492E-2</v>
      </c>
      <c r="BI42" s="300">
        <f>0.1*'Steel Column'!$F$45/$AR42</f>
        <v>3.4092158300126102E-2</v>
      </c>
      <c r="BJ42" s="301">
        <f t="shared" si="7"/>
        <v>8.7521173185501594E-2</v>
      </c>
      <c r="BK42" s="299">
        <f>'Steel Column'!$F$50/$W42</f>
        <v>5.0521058003952575E-2</v>
      </c>
      <c r="BL42" s="300">
        <f>0.1*'Steel Column'!$F$50/$X42</f>
        <v>3.2236639785624216E-2</v>
      </c>
      <c r="BM42" s="300">
        <f t="shared" si="18"/>
        <v>8.2757697789576784E-2</v>
      </c>
      <c r="BN42" s="299">
        <f>'Steel Column'!$F$51/$AB42</f>
        <v>4.5104852134387349E-2</v>
      </c>
      <c r="BO42" s="300">
        <f>0.1*'Steel Column'!$F$51/$AC42</f>
        <v>2.8780649659520808E-2</v>
      </c>
      <c r="BP42" s="301">
        <f t="shared" si="19"/>
        <v>7.3885501793908154E-2</v>
      </c>
      <c r="BQ42" s="299">
        <f>'Steel Column'!$F$52/$AG42</f>
        <v>4.5589195199584986E-2</v>
      </c>
      <c r="BR42" s="300">
        <f>0.1*'Steel Column'!$F$52/$AH42</f>
        <v>2.908970084614124E-2</v>
      </c>
      <c r="BS42" s="301">
        <f t="shared" si="8"/>
        <v>7.4678896045726223E-2</v>
      </c>
      <c r="BT42" s="300">
        <f>'Steel Column'!$F$53/$AL42</f>
        <v>3.349226872529644E-2</v>
      </c>
      <c r="BU42" s="300">
        <f>0.1*'Steel Column'!$F$53/$AM42</f>
        <v>2.1370854949558638E-2</v>
      </c>
      <c r="BV42" s="300">
        <f t="shared" si="9"/>
        <v>5.4863123674855074E-2</v>
      </c>
      <c r="BW42" s="299">
        <f>'Steel Column'!$F$54/$AQ42</f>
        <v>3.3918064754940712E-2</v>
      </c>
      <c r="BX42" s="300">
        <f>0.1*'Steel Column'!$F$54/$AR42</f>
        <v>2.1642548254728881E-2</v>
      </c>
      <c r="BY42" s="301">
        <f t="shared" si="10"/>
        <v>5.5560613009669593E-2</v>
      </c>
    </row>
    <row r="43" spans="1:84">
      <c r="A43" s="284" t="s">
        <v>1303</v>
      </c>
      <c r="B43" s="284" t="s">
        <v>1306</v>
      </c>
      <c r="C43" s="298">
        <v>132</v>
      </c>
      <c r="D43" s="284" t="s">
        <v>1245</v>
      </c>
      <c r="E43" s="284">
        <v>5800</v>
      </c>
      <c r="F43" s="284">
        <v>5530</v>
      </c>
      <c r="G43" s="284">
        <v>5240</v>
      </c>
      <c r="H43" s="284">
        <v>4940</v>
      </c>
      <c r="I43" s="284">
        <v>4620</v>
      </c>
      <c r="J43" s="284">
        <v>4290</v>
      </c>
      <c r="K43" s="284">
        <v>3940</v>
      </c>
      <c r="L43" s="284">
        <v>3250</v>
      </c>
      <c r="M43" s="284">
        <v>2640</v>
      </c>
      <c r="N43" s="284">
        <v>2140</v>
      </c>
      <c r="O43" s="284">
        <v>1740</v>
      </c>
      <c r="P43" s="284">
        <v>1440</v>
      </c>
      <c r="Q43" s="284">
        <v>1210</v>
      </c>
      <c r="R43" s="284">
        <v>1030</v>
      </c>
      <c r="S43" s="284">
        <v>881</v>
      </c>
      <c r="T43" s="284">
        <v>764</v>
      </c>
      <c r="U43" s="284">
        <v>668</v>
      </c>
      <c r="V43" s="284" t="s">
        <v>1307</v>
      </c>
      <c r="W43" s="299" cm="1">
        <f t="array" ref="W43">INDEX($E43:$U43,,AA$12)</f>
        <v>3940</v>
      </c>
      <c r="X43" s="300" t="str" cm="1">
        <f t="array" ref="X43">INDEX($E104:$U104,,AA$12)</f>
        <v>601</v>
      </c>
      <c r="Y43" s="300">
        <f>'Steel Column'!$F$32/W43</f>
        <v>0.18551934365482234</v>
      </c>
      <c r="Z43" s="300">
        <f>0.1*'Steel Column'!$F$32/X43</f>
        <v>0.12162166622296175</v>
      </c>
      <c r="AA43" s="301">
        <f t="shared" si="11"/>
        <v>0.30714100987778409</v>
      </c>
      <c r="AB43" s="299" cm="1">
        <f t="array" ref="AB43">INDEX($E43:$U43,,AF$12)</f>
        <v>3940</v>
      </c>
      <c r="AC43" s="300" t="str" cm="1">
        <f t="array" ref="AC43">INDEX($E104:$U104,,AF$12)</f>
        <v>601</v>
      </c>
      <c r="AD43" s="300">
        <f>'Steel Column'!$F$33/$AB43</f>
        <v>0.15769599167512693</v>
      </c>
      <c r="AE43" s="300">
        <f>0.1*'Steel Column'!$F$33/$AC43</f>
        <v>0.10338139886855244</v>
      </c>
      <c r="AF43" s="301">
        <f t="shared" si="12"/>
        <v>0.2610773905436794</v>
      </c>
      <c r="AG43" s="299" cm="1">
        <f t="array" ref="AG43">INDEX($E43:$U43,,AK$12)</f>
        <v>3940</v>
      </c>
      <c r="AH43" s="300" t="str" cm="1">
        <f t="array" ref="AH43">INDEX($E104:$U104,,AK$12)</f>
        <v>601</v>
      </c>
      <c r="AI43" s="300">
        <f>'Steel Column'!$F$34/$AG43</f>
        <v>0.16018408904558379</v>
      </c>
      <c r="AJ43" s="300">
        <f>0.1*'Steel Column'!$F$34/$AH43</f>
        <v>0.10501253092173049</v>
      </c>
      <c r="AK43" s="301">
        <f t="shared" si="13"/>
        <v>0.26519661996731425</v>
      </c>
      <c r="AL43" s="299" cm="1">
        <f t="array" ref="AL43">INDEX($E43:$U43,,AP$12)</f>
        <v>3940</v>
      </c>
      <c r="AM43" s="300" t="str" cm="1">
        <f t="array" ref="AM43">INDEX($E104:$U104,,AP$12)</f>
        <v>601</v>
      </c>
      <c r="AN43" s="300">
        <f>'Steel Column'!$F$35/$AL43</f>
        <v>9.8041502284263962E-2</v>
      </c>
      <c r="AO43" s="300">
        <f>0.1*'Steel Column'!$F$35/$AM43</f>
        <v>6.4273464059900171E-2</v>
      </c>
      <c r="AP43" s="301">
        <f t="shared" si="14"/>
        <v>0.16231496634416415</v>
      </c>
      <c r="AQ43" s="300" cm="1">
        <f t="array" ref="AQ43">INDEX($E43:$U43,,AU$12)</f>
        <v>3940</v>
      </c>
      <c r="AR43" s="300" t="str" cm="1">
        <f t="array" ref="AR43">INDEX($E104:$U104,,AU$12)</f>
        <v>601</v>
      </c>
      <c r="AS43" s="300">
        <f>'Steel Column'!$F$36/$AQ43</f>
        <v>0.1002288402639594</v>
      </c>
      <c r="AT43" s="300">
        <f>0.1*'Steel Column'!$F$36/$AR43</f>
        <v>6.570742606322795E-2</v>
      </c>
      <c r="AU43" s="301">
        <f t="shared" si="15"/>
        <v>0.16593626632718733</v>
      </c>
      <c r="AV43" s="299">
        <f>'Steel Column'!$F$41/$W43</f>
        <v>0.11126220989847715</v>
      </c>
      <c r="AW43" s="300">
        <f>0.1*'Steel Column'!$F$41/$X43</f>
        <v>7.294061680532446E-2</v>
      </c>
      <c r="AX43" s="302">
        <f t="shared" si="16"/>
        <v>0.18420282670380161</v>
      </c>
      <c r="AY43" s="300">
        <f>'Steel Column'!$F$42/$AB43</f>
        <v>9.7350533908629452E-2</v>
      </c>
      <c r="AZ43" s="300">
        <f>0.1*'Steel Column'!$F$42/$AC43</f>
        <v>6.3820483128119804E-2</v>
      </c>
      <c r="BA43" s="300">
        <f t="shared" si="17"/>
        <v>0.16117101703674924</v>
      </c>
      <c r="BB43" s="299">
        <f>'Steel Column'!$F$43/$AG43</f>
        <v>9.859458259385788E-2</v>
      </c>
      <c r="BC43" s="300">
        <f>0.1*'Steel Column'!$F$43/$AH43</f>
        <v>6.463604915470883E-2</v>
      </c>
      <c r="BD43" s="301">
        <f t="shared" si="5"/>
        <v>0.16323063174856672</v>
      </c>
      <c r="BE43" s="300">
        <f>'Steel Column'!$F$44/$AL43</f>
        <v>6.7523289213197973E-2</v>
      </c>
      <c r="BF43" s="300">
        <f>0.1*'Steel Column'!$F$44/$AM43</f>
        <v>4.4266515723793677E-2</v>
      </c>
      <c r="BG43" s="300">
        <f t="shared" si="6"/>
        <v>0.11178980493699164</v>
      </c>
      <c r="BH43" s="299">
        <f>'Steel Column'!$F$45/$AQ43</f>
        <v>6.8616958203045683E-2</v>
      </c>
      <c r="BI43" s="300">
        <f>0.1*'Steel Column'!$F$45/$AR43</f>
        <v>4.4983496725457567E-2</v>
      </c>
      <c r="BJ43" s="301">
        <f t="shared" si="7"/>
        <v>0.11360045492850325</v>
      </c>
      <c r="BK43" s="299">
        <f>'Steel Column'!$F$50/$W43</f>
        <v>6.4882373984771577E-2</v>
      </c>
      <c r="BL43" s="300">
        <f>0.1*'Steel Column'!$F$50/$X43</f>
        <v>4.2535200249584036E-2</v>
      </c>
      <c r="BM43" s="300">
        <f t="shared" si="18"/>
        <v>0.10741757423435561</v>
      </c>
      <c r="BN43" s="299">
        <f>'Steel Column'!$F$51/$AB43</f>
        <v>5.7926535989847719E-2</v>
      </c>
      <c r="BO43" s="300">
        <f>0.1*'Steel Column'!$F$51/$AC43</f>
        <v>3.7975133410981701E-2</v>
      </c>
      <c r="BP43" s="301">
        <f t="shared" si="19"/>
        <v>9.590166940082942E-2</v>
      </c>
      <c r="BQ43" s="299">
        <f>'Steel Column'!$F$52/$AG43</f>
        <v>5.8548560332461939E-2</v>
      </c>
      <c r="BR43" s="300">
        <f>0.1*'Steel Column'!$F$52/$AH43</f>
        <v>3.8382916424276214E-2</v>
      </c>
      <c r="BS43" s="301">
        <f t="shared" si="8"/>
        <v>9.6931476756738161E-2</v>
      </c>
      <c r="BT43" s="300">
        <f>'Steel Column'!$F$53/$AL43</f>
        <v>4.3012913642131979E-2</v>
      </c>
      <c r="BU43" s="300">
        <f>0.1*'Steel Column'!$F$53/$AM43</f>
        <v>2.8198149708818634E-2</v>
      </c>
      <c r="BV43" s="300">
        <f t="shared" si="9"/>
        <v>7.1211063350950621E-2</v>
      </c>
      <c r="BW43" s="299">
        <f>'Steel Column'!$F$54/$AQ43</f>
        <v>4.3559748137055841E-2</v>
      </c>
      <c r="BX43" s="300">
        <f>0.1*'Steel Column'!$F$54/$AR43</f>
        <v>2.8556640209650586E-2</v>
      </c>
      <c r="BY43" s="301">
        <f t="shared" si="10"/>
        <v>7.2116388346706431E-2</v>
      </c>
    </row>
    <row r="44" spans="1:84">
      <c r="A44" s="284" t="s">
        <v>1303</v>
      </c>
      <c r="B44" s="284" t="s">
        <v>1308</v>
      </c>
      <c r="C44" s="298">
        <v>107</v>
      </c>
      <c r="D44" s="284" t="s">
        <v>1245</v>
      </c>
      <c r="E44" s="284">
        <v>4690</v>
      </c>
      <c r="F44" s="284">
        <v>4470</v>
      </c>
      <c r="G44" s="284">
        <v>4230</v>
      </c>
      <c r="H44" s="284">
        <v>3980</v>
      </c>
      <c r="I44" s="284">
        <v>3720</v>
      </c>
      <c r="J44" s="284">
        <v>3440</v>
      </c>
      <c r="K44" s="284">
        <v>3160</v>
      </c>
      <c r="L44" s="284">
        <v>2590</v>
      </c>
      <c r="M44" s="284">
        <v>2090</v>
      </c>
      <c r="N44" s="284">
        <v>1690</v>
      </c>
      <c r="O44" s="284">
        <v>1380</v>
      </c>
      <c r="P44" s="284">
        <v>1140</v>
      </c>
      <c r="Q44" s="284">
        <v>955</v>
      </c>
      <c r="R44" s="284">
        <v>810</v>
      </c>
      <c r="S44" s="284">
        <v>694</v>
      </c>
      <c r="T44" s="284">
        <v>602</v>
      </c>
      <c r="U44" s="284">
        <v>526</v>
      </c>
      <c r="V44" s="284" t="s">
        <v>1309</v>
      </c>
      <c r="W44" s="299" cm="1">
        <f t="array" ref="W44">INDEX($E44:$U44,,AA$12)</f>
        <v>3160</v>
      </c>
      <c r="X44" s="300" t="str" cm="1">
        <f t="array" ref="X44">INDEX($E105:$U105,,AA$12)</f>
        <v>467</v>
      </c>
      <c r="Y44" s="300">
        <f>'Steel Column'!$F$32/W44</f>
        <v>0.2313120930379747</v>
      </c>
      <c r="Z44" s="300">
        <f>0.1*'Steel Column'!$F$32/X44</f>
        <v>0.15651953190578161</v>
      </c>
      <c r="AA44" s="301">
        <f t="shared" si="11"/>
        <v>0.38783162494375634</v>
      </c>
      <c r="AB44" s="299" cm="1">
        <f t="array" ref="AB44">INDEX($E44:$U44,,AF$12)</f>
        <v>3160</v>
      </c>
      <c r="AC44" s="300" t="str" cm="1">
        <f t="array" ref="AC44">INDEX($E105:$U105,,AF$12)</f>
        <v>467</v>
      </c>
      <c r="AD44" s="300">
        <f>'Steel Column'!$F$33/$AB44</f>
        <v>0.19662095164556964</v>
      </c>
      <c r="AE44" s="300">
        <f>0.1*'Steel Column'!$F$33/$AC44</f>
        <v>0.13304544051391867</v>
      </c>
      <c r="AF44" s="301">
        <f t="shared" si="12"/>
        <v>0.32966639215948834</v>
      </c>
      <c r="AG44" s="299" cm="1">
        <f t="array" ref="AG44">INDEX($E44:$U44,,AK$12)</f>
        <v>3160</v>
      </c>
      <c r="AH44" s="300" t="str" cm="1">
        <f t="array" ref="AH44">INDEX($E105:$U105,,AK$12)</f>
        <v>467</v>
      </c>
      <c r="AI44" s="300">
        <f>'Steel Column'!$F$34/$AG44</f>
        <v>0.19972319963278487</v>
      </c>
      <c r="AJ44" s="300">
        <f>0.1*'Steel Column'!$F$34/$AH44</f>
        <v>0.13514460617550325</v>
      </c>
      <c r="AK44" s="301">
        <f t="shared" si="13"/>
        <v>0.33486780580828812</v>
      </c>
      <c r="AL44" s="299" cm="1">
        <f t="array" ref="AL44">INDEX($E44:$U44,,AP$12)</f>
        <v>3160</v>
      </c>
      <c r="AM44" s="300" t="str" cm="1">
        <f t="array" ref="AM44">INDEX($E105:$U105,,AP$12)</f>
        <v>467</v>
      </c>
      <c r="AN44" s="300">
        <f>'Steel Column'!$F$35/$AL44</f>
        <v>0.12224161993670886</v>
      </c>
      <c r="AO44" s="300">
        <f>0.1*'Steel Column'!$F$35/$AM44</f>
        <v>8.2715956959314788E-2</v>
      </c>
      <c r="AP44" s="301">
        <f t="shared" si="14"/>
        <v>0.20495757689602365</v>
      </c>
      <c r="AQ44" s="300" cm="1">
        <f t="array" ref="AQ44">INDEX($E44:$U44,,AU$12)</f>
        <v>3160</v>
      </c>
      <c r="AR44" s="300" t="str" cm="1">
        <f t="array" ref="AR44">INDEX($E105:$U105,,AU$12)</f>
        <v>467</v>
      </c>
      <c r="AS44" s="300">
        <f>'Steel Column'!$F$36/$AQ44</f>
        <v>0.1249688704556962</v>
      </c>
      <c r="AT44" s="300">
        <f>0.1*'Steel Column'!$F$36/$AR44</f>
        <v>8.4561377010706637E-2</v>
      </c>
      <c r="AU44" s="301">
        <f t="shared" si="15"/>
        <v>0.20953024746640284</v>
      </c>
      <c r="AV44" s="299">
        <f>'Steel Column'!$F$41/$W44</f>
        <v>0.1387256667721519</v>
      </c>
      <c r="AW44" s="300">
        <f>0.1*'Steel Column'!$F$41/$X44</f>
        <v>9.3870044325481808E-2</v>
      </c>
      <c r="AX44" s="302">
        <f t="shared" si="16"/>
        <v>0.23259571109763372</v>
      </c>
      <c r="AY44" s="300">
        <f>'Steel Column'!$F$42/$AB44</f>
        <v>0.12138009607594938</v>
      </c>
      <c r="AZ44" s="300">
        <f>0.1*'Steel Column'!$F$42/$AC44</f>
        <v>8.2132998629550327E-2</v>
      </c>
      <c r="BA44" s="300">
        <f t="shared" si="17"/>
        <v>0.20351309470549972</v>
      </c>
      <c r="BB44" s="299">
        <f>'Steel Column'!$F$43/$AG44</f>
        <v>0.12293122006955698</v>
      </c>
      <c r="BC44" s="300">
        <f>0.1*'Steel Column'!$F$43/$AH44</f>
        <v>8.3182581460342631E-2</v>
      </c>
      <c r="BD44" s="301">
        <f t="shared" si="5"/>
        <v>0.20611380152989961</v>
      </c>
      <c r="BE44" s="300">
        <f>'Steel Column'!$F$44/$AL44</f>
        <v>8.4190430221518994E-2</v>
      </c>
      <c r="BF44" s="300">
        <f>0.1*'Steel Column'!$F$44/$AM44</f>
        <v>5.6968256852248399E-2</v>
      </c>
      <c r="BG44" s="300">
        <f t="shared" si="6"/>
        <v>0.14115868707376739</v>
      </c>
      <c r="BH44" s="299">
        <f>'Steel Column'!$F$45/$AQ44</f>
        <v>8.555405548101265E-2</v>
      </c>
      <c r="BI44" s="300">
        <f>0.1*'Steel Column'!$F$45/$AR44</f>
        <v>5.7890966877944323E-2</v>
      </c>
      <c r="BJ44" s="301">
        <f t="shared" si="7"/>
        <v>0.14344502235895698</v>
      </c>
      <c r="BK44" s="299">
        <f>'Steel Column'!$F$50/$W44</f>
        <v>8.089764351265824E-2</v>
      </c>
      <c r="BL44" s="300">
        <f>0.1*'Steel Column'!$F$50/$X44</f>
        <v>5.4740161349036413E-2</v>
      </c>
      <c r="BM44" s="300">
        <f t="shared" si="18"/>
        <v>0.13563780486169466</v>
      </c>
      <c r="BN44" s="299">
        <f>'Steel Column'!$F$51/$AB44</f>
        <v>7.2224858164556968E-2</v>
      </c>
      <c r="BO44" s="300">
        <f>0.1*'Steel Column'!$F$51/$AC44</f>
        <v>4.8871638501070666E-2</v>
      </c>
      <c r="BP44" s="301">
        <f t="shared" si="19"/>
        <v>0.12109649666562763</v>
      </c>
      <c r="BQ44" s="299">
        <f>'Steel Column'!$F$52/$AG44</f>
        <v>7.3000420161360768E-2</v>
      </c>
      <c r="BR44" s="300">
        <f>0.1*'Steel Column'!$F$52/$AH44</f>
        <v>4.9396429916466818E-2</v>
      </c>
      <c r="BS44" s="301">
        <f t="shared" si="8"/>
        <v>0.12239685007782758</v>
      </c>
      <c r="BT44" s="300">
        <f>'Steel Column'!$F$53/$AL44</f>
        <v>5.3630025237341769E-2</v>
      </c>
      <c r="BU44" s="300">
        <f>0.1*'Steel Column'!$F$53/$AM44</f>
        <v>3.6289267612419698E-2</v>
      </c>
      <c r="BV44" s="300">
        <f t="shared" si="9"/>
        <v>8.9919292849761467E-2</v>
      </c>
      <c r="BW44" s="299">
        <f>'Steel Column'!$F$54/$AQ44</f>
        <v>5.4311837867088611E-2</v>
      </c>
      <c r="BX44" s="300">
        <f>0.1*'Steel Column'!$F$54/$AR44</f>
        <v>3.6750622625267675E-2</v>
      </c>
      <c r="BY44" s="301">
        <f t="shared" si="10"/>
        <v>9.1062460492356279E-2</v>
      </c>
    </row>
    <row r="45" spans="1:84">
      <c r="A45" s="284" t="s">
        <v>1303</v>
      </c>
      <c r="B45" s="284" t="s">
        <v>1310</v>
      </c>
      <c r="C45" s="298">
        <v>89</v>
      </c>
      <c r="D45" s="284" t="s">
        <v>1245</v>
      </c>
      <c r="E45" s="284">
        <v>3900</v>
      </c>
      <c r="F45" s="284">
        <v>3710</v>
      </c>
      <c r="G45" s="284">
        <v>3510</v>
      </c>
      <c r="H45" s="284">
        <v>3300</v>
      </c>
      <c r="I45" s="284">
        <v>3080</v>
      </c>
      <c r="J45" s="284">
        <v>2850</v>
      </c>
      <c r="K45" s="284">
        <v>2610</v>
      </c>
      <c r="L45" s="284">
        <v>2140</v>
      </c>
      <c r="M45" s="284">
        <v>1720</v>
      </c>
      <c r="N45" s="284">
        <v>1390</v>
      </c>
      <c r="O45" s="284">
        <v>1140</v>
      </c>
      <c r="P45" s="284">
        <v>938</v>
      </c>
      <c r="Q45" s="284">
        <v>785</v>
      </c>
      <c r="R45" s="284">
        <v>665</v>
      </c>
      <c r="S45" s="284">
        <v>571</v>
      </c>
      <c r="T45" s="284">
        <v>494</v>
      </c>
      <c r="U45" s="284">
        <v>432</v>
      </c>
      <c r="V45" s="284" t="s">
        <v>1311</v>
      </c>
      <c r="W45" s="299" cm="1">
        <f t="array" ref="W45">INDEX($E45:$U45,,AA$12)</f>
        <v>2610</v>
      </c>
      <c r="X45" s="300" t="str" cm="1">
        <f t="array" ref="X45">INDEX($E106:$U106,,AA$12)</f>
        <v>380</v>
      </c>
      <c r="Y45" s="300">
        <f>'Steel Column'!$F$32/W45</f>
        <v>0.28005602068965518</v>
      </c>
      <c r="Z45" s="300">
        <f>0.1*'Steel Column'!$F$32/X45</f>
        <v>0.1923542668421053</v>
      </c>
      <c r="AA45" s="301">
        <f t="shared" si="11"/>
        <v>0.47241028753176051</v>
      </c>
      <c r="AB45" s="299" cm="1">
        <f t="array" ref="AB45">INDEX($E45:$U45,,AF$12)</f>
        <v>2610</v>
      </c>
      <c r="AC45" s="300" t="str" cm="1">
        <f t="array" ref="AC45">INDEX($E106:$U106,,AF$12)</f>
        <v>380</v>
      </c>
      <c r="AD45" s="300">
        <f>'Steel Column'!$F$33/$AB45</f>
        <v>0.23805448551724143</v>
      </c>
      <c r="AE45" s="300">
        <f>0.1*'Steel Column'!$F$33/$AC45</f>
        <v>0.16350584400000004</v>
      </c>
      <c r="AF45" s="301">
        <f t="shared" si="12"/>
        <v>0.40156032951724147</v>
      </c>
      <c r="AG45" s="299" cm="1">
        <f t="array" ref="AG45">INDEX($E45:$U45,,AK$12)</f>
        <v>2610</v>
      </c>
      <c r="AH45" s="300" t="str" cm="1">
        <f t="array" ref="AH45">INDEX($E106:$U106,,AK$12)</f>
        <v>380</v>
      </c>
      <c r="AI45" s="300">
        <f>'Steel Column'!$F$34/$AG45</f>
        <v>0.24181046392321845</v>
      </c>
      <c r="AJ45" s="300">
        <f>0.1*'Steel Column'!$F$34/$AH45</f>
        <v>0.16608560811568426</v>
      </c>
      <c r="AK45" s="301">
        <f t="shared" si="13"/>
        <v>0.40789607203890271</v>
      </c>
      <c r="AL45" s="299" cm="1">
        <f t="array" ref="AL45">INDEX($E45:$U45,,AP$12)</f>
        <v>2610</v>
      </c>
      <c r="AM45" s="300" t="str" cm="1">
        <f t="array" ref="AM45">INDEX($E106:$U106,,AP$12)</f>
        <v>380</v>
      </c>
      <c r="AN45" s="300">
        <f>'Steel Column'!$F$35/$AL45</f>
        <v>0.14800134827586206</v>
      </c>
      <c r="AO45" s="300">
        <f>0.1*'Steel Column'!$F$35/$AM45</f>
        <v>0.10165355763157896</v>
      </c>
      <c r="AP45" s="301">
        <f t="shared" si="14"/>
        <v>0.24965490590744102</v>
      </c>
      <c r="AQ45" s="300" cm="1">
        <f t="array" ref="AQ45">INDEX($E45:$U45,,AU$12)</f>
        <v>2610</v>
      </c>
      <c r="AR45" s="300" t="str" cm="1">
        <f t="array" ref="AR45">INDEX($E106:$U106,,AU$12)</f>
        <v>380</v>
      </c>
      <c r="AS45" s="300">
        <f>'Steel Column'!$F$36/$AQ45</f>
        <v>0.15130330675862069</v>
      </c>
      <c r="AT45" s="300">
        <f>0.1*'Steel Column'!$F$36/$AR45</f>
        <v>0.10392148174736843</v>
      </c>
      <c r="AU45" s="301">
        <f t="shared" si="15"/>
        <v>0.25522478850598912</v>
      </c>
      <c r="AV45" s="299">
        <f>'Steel Column'!$F$41/$W45</f>
        <v>0.1679590448275862</v>
      </c>
      <c r="AW45" s="300">
        <f>0.1*'Steel Column'!$F$41/$X45</f>
        <v>0.11536134394736842</v>
      </c>
      <c r="AX45" s="302">
        <f t="shared" si="16"/>
        <v>0.28332038877495463</v>
      </c>
      <c r="AY45" s="300">
        <f>'Steel Column'!$F$42/$AB45</f>
        <v>0.14695827724137933</v>
      </c>
      <c r="AZ45" s="300">
        <f>0.1*'Steel Column'!$F$42/$AC45</f>
        <v>0.1009371325263158</v>
      </c>
      <c r="BA45" s="300">
        <f t="shared" si="17"/>
        <v>0.24789540976769514</v>
      </c>
      <c r="BB45" s="299">
        <f>'Steel Column'!$F$43/$AG45</f>
        <v>0.14883626644436784</v>
      </c>
      <c r="BC45" s="300">
        <f>0.1*'Steel Column'!$F$43/$AH45</f>
        <v>0.10222701458415792</v>
      </c>
      <c r="BD45" s="301">
        <f t="shared" si="5"/>
        <v>0.25106328102852576</v>
      </c>
      <c r="BE45" s="300">
        <f>'Steel Column'!$F$44/$AL45</f>
        <v>0.10193170862068966</v>
      </c>
      <c r="BF45" s="300">
        <f>0.1*'Steel Column'!$F$44/$AM45</f>
        <v>7.001098934210527E-2</v>
      </c>
      <c r="BG45" s="300">
        <f t="shared" si="6"/>
        <v>0.17194269796279493</v>
      </c>
      <c r="BH45" s="299">
        <f>'Steel Column'!$F$45/$AQ45</f>
        <v>0.10358268786206896</v>
      </c>
      <c r="BI45" s="300">
        <f>0.1*'Steel Column'!$F$45/$AR45</f>
        <v>7.1144951400000003E-2</v>
      </c>
      <c r="BJ45" s="301">
        <f t="shared" si="7"/>
        <v>0.17472763926206897</v>
      </c>
      <c r="BK45" s="299">
        <f>'Steel Column'!$F$50/$W45</f>
        <v>9.7945039655172428E-2</v>
      </c>
      <c r="BL45" s="300">
        <f>0.1*'Steel Column'!$F$50/$X45</f>
        <v>6.7272777236842121E-2</v>
      </c>
      <c r="BM45" s="300">
        <f t="shared" si="18"/>
        <v>0.16521781689201454</v>
      </c>
      <c r="BN45" s="299">
        <f>'Steel Column'!$F$51/$AB45</f>
        <v>8.7444655862068968E-2</v>
      </c>
      <c r="BO45" s="300">
        <f>0.1*'Steel Column'!$F$51/$AC45</f>
        <v>6.0060671526315793E-2</v>
      </c>
      <c r="BP45" s="301">
        <f t="shared" si="19"/>
        <v>0.14750532738838476</v>
      </c>
      <c r="BQ45" s="299">
        <f>'Steel Column'!$F$52/$AG45</f>
        <v>8.8383650463563238E-2</v>
      </c>
      <c r="BR45" s="300">
        <f>0.1*'Steel Column'!$F$52/$AH45</f>
        <v>6.0705612555236856E-2</v>
      </c>
      <c r="BS45" s="301">
        <f t="shared" si="8"/>
        <v>0.1490892630188001</v>
      </c>
      <c r="BT45" s="300">
        <f>'Steel Column'!$F$53/$AL45</f>
        <v>6.493137155172414E-2</v>
      </c>
      <c r="BU45" s="300">
        <f>0.1*'Steel Column'!$F$53/$AM45</f>
        <v>4.4597599934210523E-2</v>
      </c>
      <c r="BV45" s="300">
        <f t="shared" si="9"/>
        <v>0.10952897148593466</v>
      </c>
      <c r="BW45" s="299">
        <f>'Steel Column'!$F$54/$AQ45</f>
        <v>6.5756861172413791E-2</v>
      </c>
      <c r="BX45" s="300">
        <f>0.1*'Steel Column'!$F$54/$AR45</f>
        <v>4.5164580963157903E-2</v>
      </c>
      <c r="BY45" s="301">
        <f t="shared" si="10"/>
        <v>0.1109214421355717</v>
      </c>
    </row>
    <row r="46" spans="1:84">
      <c r="A46" s="284" t="s">
        <v>1303</v>
      </c>
      <c r="B46" s="284" t="s">
        <v>1312</v>
      </c>
      <c r="C46" s="298">
        <v>73</v>
      </c>
      <c r="D46" s="284" t="s">
        <v>1245</v>
      </c>
      <c r="E46" s="284">
        <v>3300</v>
      </c>
      <c r="F46" s="284">
        <v>3130</v>
      </c>
      <c r="G46" s="284">
        <v>2960</v>
      </c>
      <c r="H46" s="284">
        <v>2780</v>
      </c>
      <c r="I46" s="284">
        <v>2580</v>
      </c>
      <c r="J46" s="284">
        <v>2380</v>
      </c>
      <c r="K46" s="284">
        <v>2170</v>
      </c>
      <c r="L46" s="284">
        <v>1760</v>
      </c>
      <c r="M46" s="284">
        <v>1420</v>
      </c>
      <c r="N46" s="284">
        <v>1140</v>
      </c>
      <c r="O46" s="284">
        <v>925</v>
      </c>
      <c r="P46" s="284">
        <v>762</v>
      </c>
      <c r="Q46" s="284">
        <v>637</v>
      </c>
      <c r="R46" s="284">
        <v>540</v>
      </c>
      <c r="S46" s="284">
        <v>463</v>
      </c>
      <c r="T46" s="284">
        <v>401</v>
      </c>
      <c r="U46" s="284">
        <v>350</v>
      </c>
      <c r="V46" s="284" t="s">
        <v>1313</v>
      </c>
      <c r="W46" s="299" cm="1">
        <f t="array" ref="W46">INDEX($E46:$U46,,AA$12)</f>
        <v>2170</v>
      </c>
      <c r="X46" s="300" t="str" cm="1">
        <f t="array" ref="X46">INDEX($E107:$U107,,AA$12)</f>
        <v>311</v>
      </c>
      <c r="Y46" s="300">
        <f>'Steel Column'!$F$32/W46</f>
        <v>0.33684157327188941</v>
      </c>
      <c r="Z46" s="300">
        <f>0.1*'Steel Column'!$F$32/X46</f>
        <v>0.235030936977492</v>
      </c>
      <c r="AA46" s="301">
        <f t="shared" si="11"/>
        <v>0.57187251024938135</v>
      </c>
      <c r="AB46" s="299" cm="1">
        <f t="array" ref="AB46">INDEX($E46:$U46,,AF$12)</f>
        <v>2170</v>
      </c>
      <c r="AC46" s="300" t="str" cm="1">
        <f t="array" ref="AC46">INDEX($E107:$U107,,AF$12)</f>
        <v>311</v>
      </c>
      <c r="AD46" s="300">
        <f>'Steel Column'!$F$33/$AB46</f>
        <v>0.28632359778801847</v>
      </c>
      <c r="AE46" s="300">
        <f>0.1*'Steel Column'!$F$33/$AC46</f>
        <v>0.19978206019292608</v>
      </c>
      <c r="AF46" s="301">
        <f t="shared" si="12"/>
        <v>0.48610565798094452</v>
      </c>
      <c r="AG46" s="299" cm="1">
        <f t="array" ref="AG46">INDEX($E46:$U46,,AK$12)</f>
        <v>2170</v>
      </c>
      <c r="AH46" s="300" t="str" cm="1">
        <f t="array" ref="AH46">INDEX($E107:$U107,,AK$12)</f>
        <v>311</v>
      </c>
      <c r="AI46" s="300">
        <f>'Steel Column'!$F$34/$AG46</f>
        <v>0.29084115706894015</v>
      </c>
      <c r="AJ46" s="300">
        <f>0.1*'Steel Column'!$F$34/$AH46</f>
        <v>0.20293418354971068</v>
      </c>
      <c r="AK46" s="301">
        <f t="shared" si="13"/>
        <v>0.4937753406186508</v>
      </c>
      <c r="AL46" s="299" cm="1">
        <f t="array" ref="AL46">INDEX($E46:$U46,,AP$12)</f>
        <v>2170</v>
      </c>
      <c r="AM46" s="300" t="str" cm="1">
        <f t="array" ref="AM46">INDEX($E107:$U107,,AP$12)</f>
        <v>311</v>
      </c>
      <c r="AN46" s="300">
        <f>'Steel Column'!$F$35/$AL46</f>
        <v>0.17801083824884792</v>
      </c>
      <c r="AO46" s="300">
        <f>0.1*'Steel Column'!$F$35/$AM46</f>
        <v>0.12420691929260452</v>
      </c>
      <c r="AP46" s="301">
        <f t="shared" si="14"/>
        <v>0.30221775754145241</v>
      </c>
      <c r="AQ46" s="300" cm="1">
        <f t="array" ref="AQ46">INDEX($E46:$U46,,AU$12)</f>
        <v>2170</v>
      </c>
      <c r="AR46" s="300" t="str" cm="1">
        <f t="array" ref="AR46">INDEX($E107:$U107,,AU$12)</f>
        <v>311</v>
      </c>
      <c r="AS46" s="300">
        <f>'Steel Column'!$F$36/$AQ46</f>
        <v>0.18198231826728112</v>
      </c>
      <c r="AT46" s="300">
        <f>0.1*'Steel Column'!$F$36/$AR46</f>
        <v>0.12697801628295821</v>
      </c>
      <c r="AU46" s="301">
        <f t="shared" si="15"/>
        <v>0.3089603345502393</v>
      </c>
      <c r="AV46" s="299">
        <f>'Steel Column'!$F$41/$W46</f>
        <v>0.20201525668202766</v>
      </c>
      <c r="AW46" s="300">
        <f>0.1*'Steel Column'!$F$41/$X46</f>
        <v>0.14095598295819936</v>
      </c>
      <c r="AX46" s="302">
        <f t="shared" si="16"/>
        <v>0.34297123964022702</v>
      </c>
      <c r="AY46" s="300">
        <f>'Steel Column'!$F$42/$AB46</f>
        <v>0.17675626894009216</v>
      </c>
      <c r="AZ46" s="300">
        <f>0.1*'Steel Column'!$F$42/$AC46</f>
        <v>0.12333154456591641</v>
      </c>
      <c r="BA46" s="300">
        <f t="shared" si="17"/>
        <v>0.30008781350600855</v>
      </c>
      <c r="BB46" s="299">
        <f>'Steel Column'!$F$43/$AG46</f>
        <v>0.17901504858055303</v>
      </c>
      <c r="BC46" s="300">
        <f>0.1*'Steel Column'!$F$43/$AH46</f>
        <v>0.12490760624430872</v>
      </c>
      <c r="BD46" s="301">
        <f t="shared" si="5"/>
        <v>0.30392265482486175</v>
      </c>
      <c r="BE46" s="300">
        <f>'Steel Column'!$F$44/$AL46</f>
        <v>0.12259988917050692</v>
      </c>
      <c r="BF46" s="300">
        <f>0.1*'Steel Column'!$F$44/$AM46</f>
        <v>8.5543974115755636E-2</v>
      </c>
      <c r="BG46" s="300">
        <f t="shared" si="6"/>
        <v>0.20814386328626255</v>
      </c>
      <c r="BH46" s="299">
        <f>'Steel Column'!$F$45/$AQ46</f>
        <v>0.12458562917972349</v>
      </c>
      <c r="BI46" s="300">
        <f>0.1*'Steel Column'!$F$45/$AR46</f>
        <v>8.692952261093248E-2</v>
      </c>
      <c r="BJ46" s="301">
        <f t="shared" si="7"/>
        <v>0.21151515179065597</v>
      </c>
      <c r="BK46" s="299">
        <f>'Steel Column'!$F$50/$W46</f>
        <v>0.11780486336405531</v>
      </c>
      <c r="BL46" s="300">
        <f>0.1*'Steel Column'!$F$50/$X46</f>
        <v>8.2198248713826388E-2</v>
      </c>
      <c r="BM46" s="300">
        <f t="shared" si="18"/>
        <v>0.20000311207788168</v>
      </c>
      <c r="BN46" s="299">
        <f>'Steel Column'!$F$51/$AB46</f>
        <v>0.10517536949308756</v>
      </c>
      <c r="BO46" s="300">
        <f>0.1*'Steel Column'!$F$51/$AC46</f>
        <v>7.3386029517684886E-2</v>
      </c>
      <c r="BP46" s="301">
        <f t="shared" si="19"/>
        <v>0.17856139901077245</v>
      </c>
      <c r="BQ46" s="299">
        <f>'Steel Column'!$F$52/$AG46</f>
        <v>0.106304759313318</v>
      </c>
      <c r="BR46" s="300">
        <f>0.1*'Steel Column'!$F$52/$AH46</f>
        <v>7.4174060356881039E-2</v>
      </c>
      <c r="BS46" s="301">
        <f t="shared" si="8"/>
        <v>0.18047881967019902</v>
      </c>
      <c r="BT46" s="300">
        <f>'Steel Column'!$F$53/$AL46</f>
        <v>7.8097179608294931E-2</v>
      </c>
      <c r="BU46" s="300">
        <f>0.1*'Steel Column'!$F$53/$AM46</f>
        <v>5.4492244292604498E-2</v>
      </c>
      <c r="BV46" s="300">
        <f t="shared" si="9"/>
        <v>0.13258942390089942</v>
      </c>
      <c r="BW46" s="299">
        <f>'Steel Column'!$F$54/$AQ46</f>
        <v>7.9090049612903224E-2</v>
      </c>
      <c r="BX46" s="300">
        <f>0.1*'Steel Column'!$F$54/$AR46</f>
        <v>5.5185018540192934E-2</v>
      </c>
      <c r="BY46" s="301">
        <f t="shared" si="10"/>
        <v>0.13427506815309614</v>
      </c>
    </row>
    <row r="47" spans="1:84">
      <c r="A47" s="284" t="s">
        <v>1314</v>
      </c>
      <c r="B47" s="284" t="s">
        <v>1315</v>
      </c>
      <c r="C47" s="298">
        <v>127</v>
      </c>
      <c r="D47" s="284" t="s">
        <v>1245</v>
      </c>
      <c r="E47" s="284">
        <v>5490</v>
      </c>
      <c r="F47" s="284">
        <v>5160</v>
      </c>
      <c r="G47" s="284">
        <v>4810</v>
      </c>
      <c r="H47" s="284">
        <v>4430</v>
      </c>
      <c r="I47" s="284">
        <v>4040</v>
      </c>
      <c r="J47" s="284">
        <v>3630</v>
      </c>
      <c r="K47" s="284">
        <v>3220</v>
      </c>
      <c r="L47" s="284">
        <v>2500</v>
      </c>
      <c r="M47" s="284">
        <v>1940</v>
      </c>
      <c r="N47" s="284">
        <v>1520</v>
      </c>
      <c r="O47" s="284">
        <v>1220</v>
      </c>
      <c r="P47" s="284">
        <v>998</v>
      </c>
      <c r="Q47" s="284">
        <v>829</v>
      </c>
      <c r="R47" s="284">
        <v>699</v>
      </c>
      <c r="S47" s="284">
        <v>597</v>
      </c>
      <c r="T47" s="284">
        <v>516</v>
      </c>
      <c r="U47" s="284">
        <v>450</v>
      </c>
      <c r="V47" s="284" t="s">
        <v>1316</v>
      </c>
      <c r="W47" s="299" cm="1">
        <f t="array" ref="W47">INDEX($E47:$U47,,AA$12)</f>
        <v>3220</v>
      </c>
      <c r="X47" s="300" t="str" cm="1">
        <f t="array" ref="X47">INDEX($E108:$U108,,AA$12)</f>
        <v>489</v>
      </c>
      <c r="Y47" s="300">
        <f>'Steel Column'!$F$32/W47</f>
        <v>0.22700192981366463</v>
      </c>
      <c r="Z47" s="300">
        <f>0.1*'Steel Column'!$F$32/X47</f>
        <v>0.14947775337423314</v>
      </c>
      <c r="AA47" s="301">
        <f t="shared" si="11"/>
        <v>0.37647968318789776</v>
      </c>
      <c r="AB47" s="299" cm="1">
        <f t="array" ref="AB47">INDEX($E47:$U47,,AF$12)</f>
        <v>3220</v>
      </c>
      <c r="AC47" s="300" t="str" cm="1">
        <f t="array" ref="AC47">INDEX($E108:$U108,,AF$12)</f>
        <v>489</v>
      </c>
      <c r="AD47" s="300">
        <f>'Steel Column'!$F$33/$AB47</f>
        <v>0.19295720720496898</v>
      </c>
      <c r="AE47" s="300">
        <f>0.1*'Steel Column'!$F$33/$AC47</f>
        <v>0.12705975607361966</v>
      </c>
      <c r="AF47" s="301">
        <f t="shared" si="12"/>
        <v>0.32001696327858864</v>
      </c>
      <c r="AG47" s="299" cm="1">
        <f t="array" ref="AG47">INDEX($E47:$U47,,AK$12)</f>
        <v>3220</v>
      </c>
      <c r="AH47" s="300" t="str" cm="1">
        <f t="array" ref="AH47">INDEX($E108:$U108,,AK$12)</f>
        <v>489</v>
      </c>
      <c r="AI47" s="300">
        <f>'Steel Column'!$F$34/$AG47</f>
        <v>0.19600164932906838</v>
      </c>
      <c r="AJ47" s="300">
        <f>0.1*'Steel Column'!$F$34/$AH47</f>
        <v>0.12906448074429452</v>
      </c>
      <c r="AK47" s="301">
        <f t="shared" si="13"/>
        <v>0.32506613007336294</v>
      </c>
      <c r="AL47" s="299" cm="1">
        <f t="array" ref="AL47">INDEX($E47:$U47,,AP$12)</f>
        <v>3220</v>
      </c>
      <c r="AM47" s="300" t="str" cm="1">
        <f t="array" ref="AM47">INDEX($E108:$U108,,AP$12)</f>
        <v>489</v>
      </c>
      <c r="AN47" s="300">
        <f>'Steel Column'!$F$35/$AL47</f>
        <v>0.11996382577639753</v>
      </c>
      <c r="AO47" s="300">
        <f>0.1*'Steel Column'!$F$35/$AM47</f>
        <v>7.8994584662576695E-2</v>
      </c>
      <c r="AP47" s="301">
        <f t="shared" si="14"/>
        <v>0.19895841043897422</v>
      </c>
      <c r="AQ47" s="300" cm="1">
        <f t="array" ref="AQ47">INDEX($E47:$U47,,AU$12)</f>
        <v>3220</v>
      </c>
      <c r="AR47" s="300" t="str" cm="1">
        <f t="array" ref="AR47">INDEX($E108:$U108,,AU$12)</f>
        <v>489</v>
      </c>
      <c r="AS47" s="300">
        <f>'Steel Column'!$F$36/$AQ47</f>
        <v>0.12264025796273292</v>
      </c>
      <c r="AT47" s="300">
        <f>0.1*'Steel Column'!$F$36/$AR47</f>
        <v>8.0756979680981597E-2</v>
      </c>
      <c r="AU47" s="301">
        <f t="shared" si="15"/>
        <v>0.20339723764371453</v>
      </c>
      <c r="AV47" s="299">
        <f>'Steel Column'!$F$41/$W47</f>
        <v>0.13614071645962733</v>
      </c>
      <c r="AW47" s="300">
        <f>0.1*'Steel Column'!$F$41/$X47</f>
        <v>8.9646852147239275E-2</v>
      </c>
      <c r="AX47" s="302">
        <f t="shared" si="16"/>
        <v>0.22578756860686661</v>
      </c>
      <c r="AY47" s="300">
        <f>'Steel Column'!$F$42/$AB47</f>
        <v>0.11911835515527951</v>
      </c>
      <c r="AZ47" s="300">
        <f>0.1*'Steel Column'!$F$42/$AC47</f>
        <v>7.8437853496932525E-2</v>
      </c>
      <c r="BA47" s="300">
        <f t="shared" si="17"/>
        <v>0.19755620865221202</v>
      </c>
      <c r="BB47" s="299">
        <f>'Steel Column'!$F$43/$AG47</f>
        <v>0.12064057621732921</v>
      </c>
      <c r="BC47" s="300">
        <f>0.1*'Steel Column'!$F$43/$AH47</f>
        <v>7.9440215832269956E-2</v>
      </c>
      <c r="BD47" s="301">
        <f t="shared" si="5"/>
        <v>0.20008079204959917</v>
      </c>
      <c r="BE47" s="300">
        <f>'Steel Column'!$F$44/$AL47</f>
        <v>8.2621664440993794E-2</v>
      </c>
      <c r="BF47" s="300">
        <f>0.1*'Steel Column'!$F$44/$AM47</f>
        <v>5.4405267791411048E-2</v>
      </c>
      <c r="BG47" s="300">
        <f t="shared" si="6"/>
        <v>0.13702693223240484</v>
      </c>
      <c r="BH47" s="299">
        <f>'Steel Column'!$F$45/$AQ47</f>
        <v>8.395988053416148E-2</v>
      </c>
      <c r="BI47" s="300">
        <f>0.1*'Steel Column'!$F$45/$AR47</f>
        <v>5.5286465300613499E-2</v>
      </c>
      <c r="BJ47" s="301">
        <f t="shared" si="7"/>
        <v>0.13924634583477496</v>
      </c>
      <c r="BK47" s="299">
        <f>'Steel Column'!$F$50/$W47</f>
        <v>7.9390234006211188E-2</v>
      </c>
      <c r="BL47" s="300">
        <f>0.1*'Steel Column'!$F$50/$X47</f>
        <v>5.2277413803680992E-2</v>
      </c>
      <c r="BM47" s="300">
        <f t="shared" si="18"/>
        <v>0.13166764780989218</v>
      </c>
      <c r="BN47" s="299">
        <f>'Steel Column'!$F$51/$AB47</f>
        <v>7.0879053354037269E-2</v>
      </c>
      <c r="BO47" s="300">
        <f>0.1*'Steel Column'!$F$51/$AC47</f>
        <v>4.6672914478527609E-2</v>
      </c>
      <c r="BP47" s="301">
        <f t="shared" si="19"/>
        <v>0.11755196783256489</v>
      </c>
      <c r="BQ47" s="299">
        <f>'Steel Column'!$F$52/$AG47</f>
        <v>7.1640163885062128E-2</v>
      </c>
      <c r="BR47" s="300">
        <f>0.1*'Steel Column'!$F$52/$AH47</f>
        <v>4.7174095646196332E-2</v>
      </c>
      <c r="BS47" s="301">
        <f t="shared" si="8"/>
        <v>0.11881425953125846</v>
      </c>
      <c r="BT47" s="300">
        <f>'Steel Column'!$F$53/$AL47</f>
        <v>5.2630707996894406E-2</v>
      </c>
      <c r="BU47" s="300">
        <f>0.1*'Steel Column'!$F$53/$AM47</f>
        <v>3.4656621625766867E-2</v>
      </c>
      <c r="BV47" s="300">
        <f t="shared" si="9"/>
        <v>8.728732962266128E-2</v>
      </c>
      <c r="BW47" s="299">
        <f>'Steel Column'!$F$54/$AQ47</f>
        <v>5.3299816043478263E-2</v>
      </c>
      <c r="BX47" s="300">
        <f>0.1*'Steel Column'!$F$54/$AR47</f>
        <v>3.5097220380368103E-2</v>
      </c>
      <c r="BY47" s="301">
        <f t="shared" si="10"/>
        <v>8.8397036423846359E-2</v>
      </c>
    </row>
    <row r="48" spans="1:84">
      <c r="A48" s="284" t="s">
        <v>1314</v>
      </c>
      <c r="B48" s="284" t="s">
        <v>1317</v>
      </c>
      <c r="C48" s="298">
        <v>113</v>
      </c>
      <c r="D48" s="284" t="s">
        <v>1245</v>
      </c>
      <c r="E48" s="284">
        <v>4910</v>
      </c>
      <c r="F48" s="284">
        <v>4610</v>
      </c>
      <c r="G48" s="284">
        <v>4290</v>
      </c>
      <c r="H48" s="284">
        <v>3950</v>
      </c>
      <c r="I48" s="284">
        <v>3590</v>
      </c>
      <c r="J48" s="284">
        <v>3220</v>
      </c>
      <c r="K48" s="284">
        <v>2860</v>
      </c>
      <c r="L48" s="284">
        <v>2210</v>
      </c>
      <c r="M48" s="284">
        <v>1710</v>
      </c>
      <c r="N48" s="284">
        <v>1340</v>
      </c>
      <c r="O48" s="284">
        <v>1080</v>
      </c>
      <c r="P48" s="284">
        <v>879</v>
      </c>
      <c r="Q48" s="284">
        <v>730</v>
      </c>
      <c r="R48" s="284">
        <v>616</v>
      </c>
      <c r="S48" s="284">
        <v>526</v>
      </c>
      <c r="T48" s="284">
        <v>454</v>
      </c>
      <c r="U48" s="284">
        <v>396</v>
      </c>
      <c r="V48" s="284" t="s">
        <v>1318</v>
      </c>
      <c r="W48" s="299" cm="1">
        <f t="array" ref="W48">INDEX($E48:$U48,,AA$12)</f>
        <v>2860</v>
      </c>
      <c r="X48" s="300" t="str" cm="1">
        <f t="array" ref="X48">INDEX($E109:$U109,,AA$12)</f>
        <v>422</v>
      </c>
      <c r="Y48" s="300">
        <f>'Steel Column'!$F$32/W48</f>
        <v>0.25557559930069934</v>
      </c>
      <c r="Z48" s="300">
        <f>0.1*'Steel Column'!$F$32/X48</f>
        <v>0.17321000331753555</v>
      </c>
      <c r="AA48" s="301">
        <f t="shared" si="11"/>
        <v>0.4287856026182349</v>
      </c>
      <c r="AB48" s="299" cm="1">
        <f t="array" ref="AB48">INDEX($E48:$U48,,AF$12)</f>
        <v>2860</v>
      </c>
      <c r="AC48" s="300" t="str" cm="1">
        <f t="array" ref="AC48">INDEX($E109:$U109,,AF$12)</f>
        <v>422</v>
      </c>
      <c r="AD48" s="300">
        <f>'Steel Column'!$F$33/$AB48</f>
        <v>0.21724552699300703</v>
      </c>
      <c r="AE48" s="300">
        <f>0.1*'Steel Column'!$F$33/$AC48</f>
        <v>0.14723275052132703</v>
      </c>
      <c r="AF48" s="301">
        <f t="shared" si="12"/>
        <v>0.36447827751433404</v>
      </c>
      <c r="AG48" s="299" cm="1">
        <f t="array" ref="AG48">INDEX($E48:$U48,,AK$12)</f>
        <v>2860</v>
      </c>
      <c r="AH48" s="300" t="str" cm="1">
        <f t="array" ref="AH48">INDEX($E109:$U109,,AK$12)</f>
        <v>422</v>
      </c>
      <c r="AI48" s="300">
        <f>'Steel Column'!$F$34/$AG48</f>
        <v>0.2206731856082518</v>
      </c>
      <c r="AJ48" s="300">
        <f>0.1*'Steel Column'!$F$34/$AH48</f>
        <v>0.1495557608624645</v>
      </c>
      <c r="AK48" s="301">
        <f t="shared" si="13"/>
        <v>0.3702289464707163</v>
      </c>
      <c r="AL48" s="299" cm="1">
        <f t="array" ref="AL48">INDEX($E48:$U48,,AP$12)</f>
        <v>2860</v>
      </c>
      <c r="AM48" s="300" t="str" cm="1">
        <f t="array" ref="AM48">INDEX($E109:$U109,,AP$12)</f>
        <v>422</v>
      </c>
      <c r="AN48" s="300">
        <f>'Steel Column'!$F$35/$AL48</f>
        <v>0.13506416748251748</v>
      </c>
      <c r="AO48" s="300">
        <f>0.1*'Steel Column'!$F$35/$AM48</f>
        <v>9.1536378909952615E-2</v>
      </c>
      <c r="AP48" s="301">
        <f t="shared" si="14"/>
        <v>0.2266005463924701</v>
      </c>
      <c r="AQ48" s="300" cm="1">
        <f t="array" ref="AQ48">INDEX($E48:$U48,,AU$12)</f>
        <v>2860</v>
      </c>
      <c r="AR48" s="300" t="str" cm="1">
        <f t="array" ref="AR48">INDEX($E109:$U109,,AU$12)</f>
        <v>422</v>
      </c>
      <c r="AS48" s="300">
        <f>'Steel Column'!$F$36/$AQ48</f>
        <v>0.13807749323076923</v>
      </c>
      <c r="AT48" s="300">
        <f>0.1*'Steel Column'!$F$36/$AR48</f>
        <v>9.3578585459715646E-2</v>
      </c>
      <c r="AU48" s="301">
        <f t="shared" si="15"/>
        <v>0.23165607869048488</v>
      </c>
      <c r="AV48" s="299">
        <f>'Steel Column'!$F$41/$W48</f>
        <v>0.15327731013986015</v>
      </c>
      <c r="AW48" s="300">
        <f>0.1*'Steel Column'!$F$41/$X48</f>
        <v>0.10387988317535546</v>
      </c>
      <c r="AX48" s="302">
        <f t="shared" si="16"/>
        <v>0.25715719331521558</v>
      </c>
      <c r="AY48" s="300">
        <f>'Steel Column'!$F$42/$AB48</f>
        <v>0.134112273986014</v>
      </c>
      <c r="AZ48" s="300">
        <f>0.1*'Steel Column'!$F$42/$AC48</f>
        <v>9.0891256777251184E-2</v>
      </c>
      <c r="BA48" s="300">
        <f t="shared" si="17"/>
        <v>0.22500353076326518</v>
      </c>
      <c r="BB48" s="299">
        <f>'Steel Column'!$F$43/$AG48</f>
        <v>0.1358261032936364</v>
      </c>
      <c r="BC48" s="300">
        <f>0.1*'Steel Column'!$F$43/$AH48</f>
        <v>9.205276194781993E-2</v>
      </c>
      <c r="BD48" s="301">
        <f t="shared" si="5"/>
        <v>0.22787886524145634</v>
      </c>
      <c r="BE48" s="300">
        <f>'Steel Column'!$F$44/$AL48</f>
        <v>9.3021594230769236E-2</v>
      </c>
      <c r="BF48" s="300">
        <f>0.1*'Steel Column'!$F$44/$AM48</f>
        <v>6.3043070971563989E-2</v>
      </c>
      <c r="BG48" s="300">
        <f t="shared" si="6"/>
        <v>0.15606466520233322</v>
      </c>
      <c r="BH48" s="299">
        <f>'Steel Column'!$F$45/$AQ48</f>
        <v>9.4528257104895097E-2</v>
      </c>
      <c r="BI48" s="300">
        <f>0.1*'Steel Column'!$F$45/$AR48</f>
        <v>6.4064174246445491E-2</v>
      </c>
      <c r="BJ48" s="301">
        <f t="shared" si="7"/>
        <v>0.1585924313513406</v>
      </c>
      <c r="BK48" s="299">
        <f>'Steel Column'!$F$50/$W48</f>
        <v>8.9383410314685316E-2</v>
      </c>
      <c r="BL48" s="300">
        <f>0.1*'Steel Column'!$F$50/$X48</f>
        <v>6.0577382345971577E-2</v>
      </c>
      <c r="BM48" s="300">
        <f t="shared" si="18"/>
        <v>0.1499607926606569</v>
      </c>
      <c r="BN48" s="299">
        <f>'Steel Column'!$F$51/$AB48</f>
        <v>7.9800892237762239E-2</v>
      </c>
      <c r="BO48" s="300">
        <f>0.1*'Steel Column'!$F$51/$AC48</f>
        <v>5.4083069146919432E-2</v>
      </c>
      <c r="BP48" s="301">
        <f t="shared" si="19"/>
        <v>0.13388396138468167</v>
      </c>
      <c r="BQ48" s="299">
        <f>'Steel Column'!$F$52/$AG48</f>
        <v>8.0657806891573439E-2</v>
      </c>
      <c r="BR48" s="300">
        <f>0.1*'Steel Column'!$F$52/$AH48</f>
        <v>5.4663821732203799E-2</v>
      </c>
      <c r="BS48" s="301">
        <f t="shared" si="8"/>
        <v>0.13532162862377722</v>
      </c>
      <c r="BT48" s="300">
        <f>'Steel Column'!$F$53/$AL48</f>
        <v>5.9255552360139858E-2</v>
      </c>
      <c r="BU48" s="300">
        <f>0.1*'Steel Column'!$F$53/$AM48</f>
        <v>4.0158976244075828E-2</v>
      </c>
      <c r="BV48" s="300">
        <f t="shared" si="9"/>
        <v>9.9414528604215679E-2</v>
      </c>
      <c r="BW48" s="299">
        <f>'Steel Column'!$F$54/$AQ48</f>
        <v>6.0008883797202803E-2</v>
      </c>
      <c r="BX48" s="300">
        <f>0.1*'Steel Column'!$F$54/$AR48</f>
        <v>4.0669527881516593E-2</v>
      </c>
      <c r="BY48" s="301">
        <f t="shared" si="10"/>
        <v>0.1006784116787194</v>
      </c>
    </row>
    <row r="49" spans="1:77">
      <c r="A49" s="284" t="s">
        <v>1314</v>
      </c>
      <c r="B49" s="284" t="s">
        <v>1319</v>
      </c>
      <c r="C49" s="298">
        <v>100</v>
      </c>
      <c r="D49" s="284" t="s">
        <v>1245</v>
      </c>
      <c r="E49" s="284">
        <v>4290</v>
      </c>
      <c r="F49" s="284">
        <v>4030</v>
      </c>
      <c r="G49" s="284">
        <v>3740</v>
      </c>
      <c r="H49" s="284">
        <v>3440</v>
      </c>
      <c r="I49" s="284">
        <v>3130</v>
      </c>
      <c r="J49" s="284">
        <v>2800</v>
      </c>
      <c r="K49" s="284">
        <v>2480</v>
      </c>
      <c r="L49" s="284">
        <v>1910</v>
      </c>
      <c r="M49" s="284">
        <v>1470</v>
      </c>
      <c r="N49" s="284">
        <v>1160</v>
      </c>
      <c r="O49" s="284">
        <v>926</v>
      </c>
      <c r="P49" s="284">
        <v>755</v>
      </c>
      <c r="Q49" s="284">
        <v>627</v>
      </c>
      <c r="R49" s="284">
        <v>528</v>
      </c>
      <c r="S49" s="284">
        <v>451</v>
      </c>
      <c r="T49" s="284">
        <v>389</v>
      </c>
      <c r="U49" s="284">
        <v>339</v>
      </c>
      <c r="V49" s="284" t="s">
        <v>1320</v>
      </c>
      <c r="W49" s="299" cm="1">
        <f t="array" ref="W49">INDEX($E49:$U49,,AA$12)</f>
        <v>2480</v>
      </c>
      <c r="X49" s="300" t="str" cm="1">
        <f t="array" ref="X49">INDEX($E110:$U110,,AA$12)</f>
        <v>360</v>
      </c>
      <c r="Y49" s="300">
        <f>'Steel Column'!$F$32/W49</f>
        <v>0.29473637661290325</v>
      </c>
      <c r="Z49" s="300">
        <f>0.1*'Steel Column'!$F$32/X49</f>
        <v>0.20304061500000004</v>
      </c>
      <c r="AA49" s="301">
        <f t="shared" si="11"/>
        <v>0.49777699161290329</v>
      </c>
      <c r="AB49" s="299" cm="1">
        <f t="array" ref="AB49">INDEX($E49:$U49,,AF$12)</f>
        <v>2480</v>
      </c>
      <c r="AC49" s="300" t="str" cm="1">
        <f t="array" ref="AC49">INDEX($E110:$U110,,AF$12)</f>
        <v>360</v>
      </c>
      <c r="AD49" s="300">
        <f>'Steel Column'!$F$33/$AB49</f>
        <v>0.25053314806451615</v>
      </c>
      <c r="AE49" s="300">
        <f>0.1*'Steel Column'!$F$33/$AC49</f>
        <v>0.17258950200000003</v>
      </c>
      <c r="AF49" s="301">
        <f t="shared" si="12"/>
        <v>0.42312265006451621</v>
      </c>
      <c r="AG49" s="299" cm="1">
        <f t="array" ref="AG49">INDEX($E49:$U49,,AK$12)</f>
        <v>2480</v>
      </c>
      <c r="AH49" s="300" t="str" cm="1">
        <f t="array" ref="AH49">INDEX($E110:$U110,,AK$12)</f>
        <v>360</v>
      </c>
      <c r="AI49" s="300">
        <f>'Steel Column'!$F$34/$AG49</f>
        <v>0.25448601243532265</v>
      </c>
      <c r="AJ49" s="300">
        <f>0.1*'Steel Column'!$F$34/$AH49</f>
        <v>0.17531258634433339</v>
      </c>
      <c r="AK49" s="301">
        <f t="shared" si="13"/>
        <v>0.42979859877965604</v>
      </c>
      <c r="AL49" s="299" cm="1">
        <f t="array" ref="AL49">INDEX($E49:$U49,,AP$12)</f>
        <v>2480</v>
      </c>
      <c r="AM49" s="300" t="str" cm="1">
        <f t="array" ref="AM49">INDEX($E110:$U110,,AP$12)</f>
        <v>360</v>
      </c>
      <c r="AN49" s="300">
        <f>'Steel Column'!$F$35/$AL49</f>
        <v>0.15575948346774193</v>
      </c>
      <c r="AO49" s="300">
        <f>0.1*'Steel Column'!$F$35/$AM49</f>
        <v>0.10730097750000002</v>
      </c>
      <c r="AP49" s="301">
        <f t="shared" si="14"/>
        <v>0.26306046096774194</v>
      </c>
      <c r="AQ49" s="300" cm="1">
        <f t="array" ref="AQ49">INDEX($E49:$U49,,AU$12)</f>
        <v>2480</v>
      </c>
      <c r="AR49" s="300" t="str" cm="1">
        <f t="array" ref="AR49">INDEX($E110:$U110,,AU$12)</f>
        <v>360</v>
      </c>
      <c r="AS49" s="300">
        <f>'Steel Column'!$F$36/$AQ49</f>
        <v>0.15923452848387096</v>
      </c>
      <c r="AT49" s="300">
        <f>0.1*'Steel Column'!$F$36/$AR49</f>
        <v>0.1096948974</v>
      </c>
      <c r="AU49" s="301">
        <f t="shared" si="15"/>
        <v>0.26892942588387098</v>
      </c>
      <c r="AV49" s="299">
        <f>'Steel Column'!$F$41/$W49</f>
        <v>0.1767633495967742</v>
      </c>
      <c r="AW49" s="300">
        <f>0.1*'Steel Column'!$F$41/$X49</f>
        <v>0.12177030750000001</v>
      </c>
      <c r="AX49" s="302">
        <f t="shared" si="16"/>
        <v>0.29853365709677421</v>
      </c>
      <c r="AY49" s="300">
        <f>'Steel Column'!$F$42/$AB49</f>
        <v>0.15466173532258065</v>
      </c>
      <c r="AZ49" s="300">
        <f>0.1*'Steel Column'!$F$42/$AC49</f>
        <v>0.10654475100000001</v>
      </c>
      <c r="BA49" s="300">
        <f t="shared" si="17"/>
        <v>0.26120648632258064</v>
      </c>
      <c r="BB49" s="299">
        <f>'Steel Column'!$F$43/$AG49</f>
        <v>0.1566381675079839</v>
      </c>
      <c r="BC49" s="300">
        <f>0.1*'Steel Column'!$F$43/$AH49</f>
        <v>0.1079062931721667</v>
      </c>
      <c r="BD49" s="301">
        <f t="shared" si="5"/>
        <v>0.26454446068015058</v>
      </c>
      <c r="BE49" s="300">
        <f>'Steel Column'!$F$44/$AL49</f>
        <v>0.10727490302419355</v>
      </c>
      <c r="BF49" s="300">
        <f>0.1*'Steel Column'!$F$44/$AM49</f>
        <v>7.3900488750000007E-2</v>
      </c>
      <c r="BG49" s="300">
        <f t="shared" si="6"/>
        <v>0.18117539177419356</v>
      </c>
      <c r="BH49" s="299">
        <f>'Steel Column'!$F$45/$AQ49</f>
        <v>0.10901242553225805</v>
      </c>
      <c r="BI49" s="300">
        <f>0.1*'Steel Column'!$F$45/$AR49</f>
        <v>7.50974487E-2</v>
      </c>
      <c r="BJ49" s="301">
        <f t="shared" si="7"/>
        <v>0.18410987423225805</v>
      </c>
      <c r="BK49" s="299">
        <f>'Steel Column'!$F$50/$W49</f>
        <v>0.1030792554435484</v>
      </c>
      <c r="BL49" s="300">
        <f>0.1*'Steel Column'!$F$50/$X49</f>
        <v>7.1010153750000013E-2</v>
      </c>
      <c r="BM49" s="300">
        <f t="shared" si="18"/>
        <v>0.17408940919354843</v>
      </c>
      <c r="BN49" s="299">
        <f>'Steel Column'!$F$51/$AB49</f>
        <v>9.2028448306451613E-2</v>
      </c>
      <c r="BO49" s="300">
        <f>0.1*'Steel Column'!$F$51/$AC49</f>
        <v>6.3397375500000006E-2</v>
      </c>
      <c r="BP49" s="301">
        <f t="shared" si="19"/>
        <v>0.15542582380645162</v>
      </c>
      <c r="BQ49" s="299">
        <f>'Steel Column'!$F$52/$AG49</f>
        <v>9.3016664399153251E-2</v>
      </c>
      <c r="BR49" s="300">
        <f>0.1*'Steel Column'!$F$52/$AH49</f>
        <v>6.4078146586083351E-2</v>
      </c>
      <c r="BS49" s="301">
        <f t="shared" si="8"/>
        <v>0.15709481098523659</v>
      </c>
      <c r="BT49" s="300">
        <f>'Steel Column'!$F$53/$AL49</f>
        <v>6.8335032157258058E-2</v>
      </c>
      <c r="BU49" s="300">
        <f>0.1*'Steel Column'!$F$53/$AM49</f>
        <v>4.7075244374999999E-2</v>
      </c>
      <c r="BV49" s="300">
        <f t="shared" si="9"/>
        <v>0.11541027653225805</v>
      </c>
      <c r="BW49" s="299">
        <f>'Steel Column'!$F$54/$AQ49</f>
        <v>6.9203793411290321E-2</v>
      </c>
      <c r="BX49" s="300">
        <f>0.1*'Steel Column'!$F$54/$AR49</f>
        <v>4.7673724350000009E-2</v>
      </c>
      <c r="BY49" s="301">
        <f t="shared" si="10"/>
        <v>0.11687751776129032</v>
      </c>
    </row>
    <row r="50" spans="1:77">
      <c r="A50" s="284" t="s">
        <v>1314</v>
      </c>
      <c r="B50" s="284" t="s">
        <v>1321</v>
      </c>
      <c r="C50" s="298">
        <v>86</v>
      </c>
      <c r="D50" s="284" t="s">
        <v>1245</v>
      </c>
      <c r="E50" s="284">
        <v>3720</v>
      </c>
      <c r="F50" s="284">
        <v>3480</v>
      </c>
      <c r="G50" s="284">
        <v>3230</v>
      </c>
      <c r="H50" s="284">
        <v>2970</v>
      </c>
      <c r="I50" s="284">
        <v>2690</v>
      </c>
      <c r="J50" s="284">
        <v>2400</v>
      </c>
      <c r="K50" s="284">
        <v>2120</v>
      </c>
      <c r="L50" s="284">
        <v>1630</v>
      </c>
      <c r="M50" s="284">
        <v>1260</v>
      </c>
      <c r="N50" s="284">
        <v>986</v>
      </c>
      <c r="O50" s="284">
        <v>789</v>
      </c>
      <c r="P50" s="284">
        <v>644</v>
      </c>
      <c r="Q50" s="284">
        <v>534</v>
      </c>
      <c r="R50" s="284">
        <v>450</v>
      </c>
      <c r="S50" s="284">
        <v>384</v>
      </c>
      <c r="T50" s="284">
        <v>332</v>
      </c>
      <c r="U50" s="284">
        <v>289</v>
      </c>
      <c r="V50" s="284" t="s">
        <v>1322</v>
      </c>
      <c r="W50" s="299" cm="1">
        <f t="array" ref="W50">INDEX($E50:$U50,,AA$12)</f>
        <v>2120</v>
      </c>
      <c r="X50" s="300" t="str" cm="1">
        <f t="array" ref="X50">INDEX($E111:$U111,,AA$12)</f>
        <v>300</v>
      </c>
      <c r="Y50" s="300">
        <f>'Steel Column'!$F$32/W50</f>
        <v>0.34478595000000001</v>
      </c>
      <c r="Z50" s="300">
        <f>0.1*'Steel Column'!$F$32/X50</f>
        <v>0.24364873800000003</v>
      </c>
      <c r="AA50" s="301">
        <f t="shared" si="11"/>
        <v>0.58843468799999998</v>
      </c>
      <c r="AB50" s="299" cm="1">
        <f t="array" ref="AB50">INDEX($E50:$U50,,AF$12)</f>
        <v>2120</v>
      </c>
      <c r="AC50" s="300" t="str" cm="1">
        <f t="array" ref="AC50">INDEX($E111:$U111,,AF$12)</f>
        <v>300</v>
      </c>
      <c r="AD50" s="300">
        <f>'Steel Column'!$F$33/$AB50</f>
        <v>0.29307651283018871</v>
      </c>
      <c r="AE50" s="300">
        <f>0.1*'Steel Column'!$F$33/$AC50</f>
        <v>0.20710740240000006</v>
      </c>
      <c r="AF50" s="301">
        <f t="shared" si="12"/>
        <v>0.50018391523018879</v>
      </c>
      <c r="AG50" s="299" cm="1">
        <f t="array" ref="AG50">INDEX($E50:$U50,,AK$12)</f>
        <v>2120</v>
      </c>
      <c r="AH50" s="300" t="str" cm="1">
        <f t="array" ref="AH50">INDEX($E111:$U111,,AK$12)</f>
        <v>300</v>
      </c>
      <c r="AI50" s="300">
        <f>'Steel Column'!$F$34/$AG50</f>
        <v>0.2977006183205661</v>
      </c>
      <c r="AJ50" s="300">
        <f>0.1*'Steel Column'!$F$34/$AH50</f>
        <v>0.21037510361320008</v>
      </c>
      <c r="AK50" s="301">
        <f t="shared" si="13"/>
        <v>0.50807572193376616</v>
      </c>
      <c r="AL50" s="299" cm="1">
        <f t="array" ref="AL50">INDEX($E50:$U50,,AP$12)</f>
        <v>2120</v>
      </c>
      <c r="AM50" s="300" t="str" cm="1">
        <f t="array" ref="AM50">INDEX($E111:$U111,,AP$12)</f>
        <v>300</v>
      </c>
      <c r="AN50" s="300">
        <f>'Steel Column'!$F$35/$AL50</f>
        <v>0.1822092070754717</v>
      </c>
      <c r="AO50" s="300">
        <f>0.1*'Steel Column'!$F$35/$AM50</f>
        <v>0.12876117300000001</v>
      </c>
      <c r="AP50" s="301">
        <f t="shared" si="14"/>
        <v>0.31097038007547173</v>
      </c>
      <c r="AQ50" s="300" cm="1">
        <f t="array" ref="AQ50">INDEX($E50:$U50,,AU$12)</f>
        <v>2120</v>
      </c>
      <c r="AR50" s="300" t="str" cm="1">
        <f t="array" ref="AR50">INDEX($E111:$U111,,AU$12)</f>
        <v>300</v>
      </c>
      <c r="AS50" s="300">
        <f>'Steel Column'!$F$36/$AQ50</f>
        <v>0.18627435407547172</v>
      </c>
      <c r="AT50" s="300">
        <f>0.1*'Steel Column'!$F$36/$AR50</f>
        <v>0.13163387688</v>
      </c>
      <c r="AU50" s="301">
        <f t="shared" si="15"/>
        <v>0.31790823095547172</v>
      </c>
      <c r="AV50" s="299">
        <f>'Steel Column'!$F$41/$W50</f>
        <v>0.20677976745283019</v>
      </c>
      <c r="AW50" s="300">
        <f>0.1*'Steel Column'!$F$41/$X50</f>
        <v>0.146124369</v>
      </c>
      <c r="AX50" s="302">
        <f t="shared" si="16"/>
        <v>0.3529041364528302</v>
      </c>
      <c r="AY50" s="300">
        <f>'Steel Column'!$F$42/$AB50</f>
        <v>0.18092504886792454</v>
      </c>
      <c r="AZ50" s="300">
        <f>0.1*'Steel Column'!$F$42/$AC50</f>
        <v>0.1278537012</v>
      </c>
      <c r="BA50" s="300">
        <f t="shared" si="17"/>
        <v>0.30877875006792455</v>
      </c>
      <c r="BB50" s="299">
        <f>'Steel Column'!$F$43/$AG50</f>
        <v>0.18323710161311324</v>
      </c>
      <c r="BC50" s="300">
        <f>0.1*'Steel Column'!$F$43/$AH50</f>
        <v>0.12948755180660004</v>
      </c>
      <c r="BD50" s="301">
        <f t="shared" si="5"/>
        <v>0.31272465341971328</v>
      </c>
      <c r="BE50" s="300">
        <f>'Steel Column'!$F$44/$AL50</f>
        <v>0.12549139599056605</v>
      </c>
      <c r="BF50" s="300">
        <f>0.1*'Steel Column'!$F$44/$AM50</f>
        <v>8.8680586500000005E-2</v>
      </c>
      <c r="BG50" s="300">
        <f t="shared" si="6"/>
        <v>0.21417198249056607</v>
      </c>
      <c r="BH50" s="299">
        <f>'Steel Column'!$F$45/$AQ50</f>
        <v>0.12752396949056602</v>
      </c>
      <c r="BI50" s="300">
        <f>0.1*'Steel Column'!$F$45/$AR50</f>
        <v>9.0116938440000002E-2</v>
      </c>
      <c r="BJ50" s="301">
        <f t="shared" si="7"/>
        <v>0.21764090793056601</v>
      </c>
      <c r="BK50" s="299">
        <f>'Steel Column'!$F$50/$W50</f>
        <v>0.12058327995283019</v>
      </c>
      <c r="BL50" s="300">
        <f>0.1*'Steel Column'!$F$50/$X50</f>
        <v>8.521218450000001E-2</v>
      </c>
      <c r="BM50" s="300">
        <f t="shared" si="18"/>
        <v>0.2057954644528302</v>
      </c>
      <c r="BN50" s="299">
        <f>'Steel Column'!$F$51/$AB50</f>
        <v>0.10765592066037735</v>
      </c>
      <c r="BO50" s="300">
        <f>0.1*'Steel Column'!$F$51/$AC50</f>
        <v>7.6076850600000009E-2</v>
      </c>
      <c r="BP50" s="301">
        <f t="shared" si="19"/>
        <v>0.18373277126037735</v>
      </c>
      <c r="BQ50" s="299">
        <f>'Steel Column'!$F$52/$AG50</f>
        <v>0.10881194703297171</v>
      </c>
      <c r="BR50" s="300">
        <f>0.1*'Steel Column'!$F$52/$AH50</f>
        <v>7.6893775903300016E-2</v>
      </c>
      <c r="BS50" s="301">
        <f t="shared" si="8"/>
        <v>0.18570572293627174</v>
      </c>
      <c r="BT50" s="300">
        <f>'Steel Column'!$F$53/$AL50</f>
        <v>7.9939094221698107E-2</v>
      </c>
      <c r="BU50" s="300">
        <f>0.1*'Steel Column'!$F$53/$AM50</f>
        <v>5.6490293249999997E-2</v>
      </c>
      <c r="BV50" s="300">
        <f t="shared" si="9"/>
        <v>0.13642938747169811</v>
      </c>
      <c r="BW50" s="299">
        <f>'Steel Column'!$F$54/$AQ50</f>
        <v>8.0955380971698118E-2</v>
      </c>
      <c r="BX50" s="300">
        <f>0.1*'Steel Column'!$F$54/$AR50</f>
        <v>5.7208469220000009E-2</v>
      </c>
      <c r="BY50" s="301">
        <f t="shared" si="10"/>
        <v>0.13816385019169813</v>
      </c>
    </row>
    <row r="51" spans="1:77">
      <c r="A51" s="284" t="s">
        <v>1314</v>
      </c>
      <c r="B51" s="284" t="s">
        <v>1323</v>
      </c>
      <c r="C51" s="298">
        <v>71</v>
      </c>
      <c r="D51" s="284" t="s">
        <v>1245</v>
      </c>
      <c r="E51" s="284">
        <v>3050</v>
      </c>
      <c r="F51" s="284">
        <v>2860</v>
      </c>
      <c r="G51" s="284">
        <v>2650</v>
      </c>
      <c r="H51" s="284">
        <v>2430</v>
      </c>
      <c r="I51" s="284">
        <v>2200</v>
      </c>
      <c r="J51" s="284">
        <v>1960</v>
      </c>
      <c r="K51" s="284">
        <v>1730</v>
      </c>
      <c r="L51" s="284">
        <v>1330</v>
      </c>
      <c r="M51" s="284">
        <v>1020</v>
      </c>
      <c r="N51" s="284">
        <v>801</v>
      </c>
      <c r="O51" s="284">
        <v>640</v>
      </c>
      <c r="P51" s="284">
        <v>522</v>
      </c>
      <c r="Q51" s="284">
        <v>433</v>
      </c>
      <c r="R51" s="284">
        <v>365</v>
      </c>
      <c r="S51" s="284">
        <v>311</v>
      </c>
      <c r="T51" s="284">
        <v>269</v>
      </c>
      <c r="U51" s="284">
        <v>234</v>
      </c>
      <c r="V51" s="284" t="s">
        <v>1324</v>
      </c>
      <c r="W51" s="299" cm="1">
        <f t="array" ref="W51">INDEX($E51:$U51,,AA$12)</f>
        <v>1730</v>
      </c>
      <c r="X51" s="300" t="str" cm="1">
        <f t="array" ref="X51">INDEX($E112:$U112,,AA$12)</f>
        <v>240</v>
      </c>
      <c r="Y51" s="300">
        <f>'Steel Column'!$F$32/W51</f>
        <v>0.4225122624277457</v>
      </c>
      <c r="Z51" s="300">
        <f>0.1*'Steel Column'!$F$32/X51</f>
        <v>0.30456092250000005</v>
      </c>
      <c r="AA51" s="301">
        <f t="shared" si="11"/>
        <v>0.72707318492774575</v>
      </c>
      <c r="AB51" s="299" cm="1">
        <f t="array" ref="AB51">INDEX($E51:$U51,,AF$12)</f>
        <v>1730</v>
      </c>
      <c r="AC51" s="300" t="str" cm="1">
        <f t="array" ref="AC51">INDEX($E112:$U112,,AF$12)</f>
        <v>240</v>
      </c>
      <c r="AD51" s="300">
        <f>'Steel Column'!$F$33/$AB51</f>
        <v>0.35914578450867057</v>
      </c>
      <c r="AE51" s="300">
        <f>0.1*'Steel Column'!$F$33/$AC51</f>
        <v>0.25888425300000006</v>
      </c>
      <c r="AF51" s="301">
        <f t="shared" si="12"/>
        <v>0.61803003750867069</v>
      </c>
      <c r="AG51" s="299" cm="1">
        <f t="array" ref="AG51">INDEX($E51:$U51,,AK$12)</f>
        <v>1730</v>
      </c>
      <c r="AH51" s="300" t="str" cm="1">
        <f t="array" ref="AH51">INDEX($E112:$U112,,AK$12)</f>
        <v>240</v>
      </c>
      <c r="AI51" s="300">
        <f>'Steel Column'!$F$34/$AG51</f>
        <v>0.36481231840439315</v>
      </c>
      <c r="AJ51" s="300">
        <f>0.1*'Steel Column'!$F$34/$AH51</f>
        <v>0.26296887951650011</v>
      </c>
      <c r="AK51" s="301">
        <f t="shared" si="13"/>
        <v>0.62778119792089326</v>
      </c>
      <c r="AL51" s="299" cm="1">
        <f t="array" ref="AL51">INDEX($E51:$U51,,AP$12)</f>
        <v>1730</v>
      </c>
      <c r="AM51" s="300" t="str" cm="1">
        <f t="array" ref="AM51">INDEX($E112:$U112,,AP$12)</f>
        <v>240</v>
      </c>
      <c r="AN51" s="300">
        <f>'Steel Column'!$F$35/$AL51</f>
        <v>0.2232852710982659</v>
      </c>
      <c r="AO51" s="300">
        <f>0.1*'Steel Column'!$F$35/$AM51</f>
        <v>0.16095146625000004</v>
      </c>
      <c r="AP51" s="301">
        <f t="shared" si="14"/>
        <v>0.38423673734826591</v>
      </c>
      <c r="AQ51" s="300" cm="1">
        <f t="array" ref="AQ51">INDEX($E51:$U51,,AU$12)</f>
        <v>1730</v>
      </c>
      <c r="AR51" s="300" t="str" cm="1">
        <f t="array" ref="AR51">INDEX($E112:$U112,,AU$12)</f>
        <v>240</v>
      </c>
      <c r="AS51" s="300">
        <f>'Steel Column'!$F$36/$AQ51</f>
        <v>0.22826683852023122</v>
      </c>
      <c r="AT51" s="300">
        <f>0.1*'Steel Column'!$F$36/$AR51</f>
        <v>0.16454234610000001</v>
      </c>
      <c r="AU51" s="301">
        <f t="shared" si="15"/>
        <v>0.39280918462023123</v>
      </c>
      <c r="AV51" s="299">
        <f>'Steel Column'!$F$41/$W51</f>
        <v>0.25339485953757224</v>
      </c>
      <c r="AW51" s="300">
        <f>0.1*'Steel Column'!$F$41/$X51</f>
        <v>0.18265546125000001</v>
      </c>
      <c r="AX51" s="302">
        <f t="shared" si="16"/>
        <v>0.43605032078757222</v>
      </c>
      <c r="AY51" s="300">
        <f>'Steel Column'!$F$42/$AB51</f>
        <v>0.2217116205780347</v>
      </c>
      <c r="AZ51" s="300">
        <f>0.1*'Steel Column'!$F$42/$AC51</f>
        <v>0.15981712650000002</v>
      </c>
      <c r="BA51" s="300">
        <f t="shared" si="17"/>
        <v>0.38152874707803475</v>
      </c>
      <c r="BB51" s="299">
        <f>'Steel Column'!$F$43/$AG51</f>
        <v>0.22454488752589599</v>
      </c>
      <c r="BC51" s="300">
        <f>0.1*'Steel Column'!$F$43/$AH51</f>
        <v>0.16185943975825004</v>
      </c>
      <c r="BD51" s="301">
        <f t="shared" si="5"/>
        <v>0.38640432728414603</v>
      </c>
      <c r="BE51" s="300">
        <f>'Steel Column'!$F$44/$AL51</f>
        <v>0.15378136387283237</v>
      </c>
      <c r="BF51" s="300">
        <f>0.1*'Steel Column'!$F$44/$AM51</f>
        <v>0.110850733125</v>
      </c>
      <c r="BG51" s="300">
        <f t="shared" si="6"/>
        <v>0.26463209699783236</v>
      </c>
      <c r="BH51" s="299">
        <f>'Steel Column'!$F$45/$AQ51</f>
        <v>0.15627214758381502</v>
      </c>
      <c r="BI51" s="300">
        <f>0.1*'Steel Column'!$F$45/$AR51</f>
        <v>0.11264617304999999</v>
      </c>
      <c r="BJ51" s="301">
        <f t="shared" si="7"/>
        <v>0.26891832063381504</v>
      </c>
      <c r="BK51" s="299">
        <f>'Steel Column'!$F$50/$W51</f>
        <v>0.14776679393063585</v>
      </c>
      <c r="BL51" s="300">
        <f>0.1*'Steel Column'!$F$50/$X51</f>
        <v>0.10651523062500003</v>
      </c>
      <c r="BM51" s="300">
        <f t="shared" si="18"/>
        <v>0.25428202455563587</v>
      </c>
      <c r="BN51" s="299">
        <f>'Steel Column'!$F$51/$AB51</f>
        <v>0.13192517445086704</v>
      </c>
      <c r="BO51" s="300">
        <f>0.1*'Steel Column'!$F$51/$AC51</f>
        <v>9.5096063250000001E-2</v>
      </c>
      <c r="BP51" s="301">
        <f t="shared" si="19"/>
        <v>0.22702123770086705</v>
      </c>
      <c r="BQ51" s="299">
        <f>'Steel Column'!$F$52/$AG51</f>
        <v>0.13334180792479772</v>
      </c>
      <c r="BR51" s="300">
        <f>0.1*'Steel Column'!$F$52/$AH51</f>
        <v>9.6117219879125013E-2</v>
      </c>
      <c r="BS51" s="301">
        <f t="shared" si="8"/>
        <v>0.22945902780392274</v>
      </c>
      <c r="BT51" s="300">
        <f>'Steel Column'!$F$53/$AL51</f>
        <v>9.796004609826589E-2</v>
      </c>
      <c r="BU51" s="300">
        <f>0.1*'Steel Column'!$F$53/$AM51</f>
        <v>7.0612866562500001E-2</v>
      </c>
      <c r="BV51" s="300">
        <f t="shared" si="9"/>
        <v>0.16857291266076591</v>
      </c>
      <c r="BW51" s="299">
        <f>'Steel Column'!$F$54/$AQ51</f>
        <v>9.9205437953757233E-2</v>
      </c>
      <c r="BX51" s="300">
        <f>0.1*'Steel Column'!$F$54/$AR51</f>
        <v>7.1510586525000017E-2</v>
      </c>
      <c r="BY51" s="301">
        <f t="shared" si="10"/>
        <v>0.17071602447875725</v>
      </c>
    </row>
    <row r="52" spans="1:77">
      <c r="A52" s="284" t="s">
        <v>1314</v>
      </c>
      <c r="B52" s="284" t="s">
        <v>1325</v>
      </c>
      <c r="C52" s="298">
        <v>60</v>
      </c>
      <c r="D52" s="284" t="s">
        <v>1245</v>
      </c>
      <c r="E52" s="284">
        <v>2640</v>
      </c>
      <c r="F52" s="284">
        <v>2470</v>
      </c>
      <c r="G52" s="284">
        <v>2280</v>
      </c>
      <c r="H52" s="284">
        <v>2080</v>
      </c>
      <c r="I52" s="284">
        <v>1870</v>
      </c>
      <c r="J52" s="284">
        <v>1660</v>
      </c>
      <c r="K52" s="284">
        <v>1450</v>
      </c>
      <c r="L52" s="284">
        <v>1100</v>
      </c>
      <c r="M52" s="284">
        <v>844</v>
      </c>
      <c r="N52" s="284">
        <v>659</v>
      </c>
      <c r="O52" s="284">
        <v>526</v>
      </c>
      <c r="P52" s="284">
        <v>428</v>
      </c>
      <c r="Q52" s="284">
        <v>355</v>
      </c>
      <c r="R52" s="284">
        <v>299</v>
      </c>
      <c r="S52" s="284">
        <v>255</v>
      </c>
      <c r="T52" s="284">
        <v>220</v>
      </c>
      <c r="U52" s="284">
        <v>191</v>
      </c>
      <c r="V52" s="284" t="s">
        <v>1326</v>
      </c>
      <c r="W52" s="299" cm="1">
        <f t="array" ref="W52">INDEX($E52:$U52,,AA$12)</f>
        <v>1450</v>
      </c>
      <c r="X52" s="300" t="str" cm="1">
        <f t="array" ref="X52">INDEX($E113:$U113,,AA$12)</f>
        <v>196</v>
      </c>
      <c r="Y52" s="300">
        <f>'Steel Column'!$F$32/W52</f>
        <v>0.50410083724137933</v>
      </c>
      <c r="Z52" s="300">
        <f>0.1*'Steel Column'!$F$32/X52</f>
        <v>0.37293174183673472</v>
      </c>
      <c r="AA52" s="301">
        <f t="shared" si="11"/>
        <v>0.87703257907811405</v>
      </c>
      <c r="AB52" s="299" cm="1">
        <f t="array" ref="AB52">INDEX($E52:$U52,,AF$12)</f>
        <v>1450</v>
      </c>
      <c r="AC52" s="300" t="str" cm="1">
        <f t="array" ref="AC52">INDEX($E113:$U113,,AF$12)</f>
        <v>196</v>
      </c>
      <c r="AD52" s="300">
        <f>'Steel Column'!$F$33/$AB52</f>
        <v>0.42849807393103456</v>
      </c>
      <c r="AE52" s="300">
        <f>0.1*'Steel Column'!$F$33/$AC52</f>
        <v>0.31700112612244907</v>
      </c>
      <c r="AF52" s="301">
        <f t="shared" si="12"/>
        <v>0.74549920005348369</v>
      </c>
      <c r="AG52" s="299" cm="1">
        <f t="array" ref="AG52">INDEX($E52:$U52,,AK$12)</f>
        <v>1450</v>
      </c>
      <c r="AH52" s="300" t="str" cm="1">
        <f t="array" ref="AH52">INDEX($E113:$U113,,AK$12)</f>
        <v>196</v>
      </c>
      <c r="AI52" s="300">
        <f>'Steel Column'!$F$34/$AG52</f>
        <v>0.43525883506179319</v>
      </c>
      <c r="AJ52" s="300">
        <f>0.1*'Steel Column'!$F$34/$AH52</f>
        <v>0.32200270961204092</v>
      </c>
      <c r="AK52" s="301">
        <f t="shared" si="13"/>
        <v>0.75726154467383411</v>
      </c>
      <c r="AL52" s="299" cm="1">
        <f t="array" ref="AL52">INDEX($E52:$U52,,AP$12)</f>
        <v>1450</v>
      </c>
      <c r="AM52" s="300" t="str" cm="1">
        <f t="array" ref="AM52">INDEX($E113:$U113,,AP$12)</f>
        <v>196</v>
      </c>
      <c r="AN52" s="300">
        <f>'Steel Column'!$F$35/$AL52</f>
        <v>0.26640242689655175</v>
      </c>
      <c r="AO52" s="300">
        <f>0.1*'Steel Column'!$F$35/$AM52</f>
        <v>0.19708342806122453</v>
      </c>
      <c r="AP52" s="301">
        <f t="shared" si="14"/>
        <v>0.46348585495777628</v>
      </c>
      <c r="AQ52" s="300" cm="1">
        <f t="array" ref="AQ52">INDEX($E52:$U52,,AU$12)</f>
        <v>1450</v>
      </c>
      <c r="AR52" s="300" t="str" cm="1">
        <f t="array" ref="AR52">INDEX($E113:$U113,,AU$12)</f>
        <v>196</v>
      </c>
      <c r="AS52" s="300">
        <f>'Steel Column'!$F$36/$AQ52</f>
        <v>0.27234595216551727</v>
      </c>
      <c r="AT52" s="300">
        <f>0.1*'Steel Column'!$F$36/$AR52</f>
        <v>0.20148042379591838</v>
      </c>
      <c r="AU52" s="301">
        <f t="shared" si="15"/>
        <v>0.47382637596143562</v>
      </c>
      <c r="AV52" s="299">
        <f>'Steel Column'!$F$41/$W52</f>
        <v>0.30232628068965517</v>
      </c>
      <c r="AW52" s="300">
        <f>0.1*'Steel Column'!$F$41/$X52</f>
        <v>0.22365974846938777</v>
      </c>
      <c r="AX52" s="302">
        <f t="shared" si="16"/>
        <v>0.52598602915904291</v>
      </c>
      <c r="AY52" s="300">
        <f>'Steel Column'!$F$42/$AB52</f>
        <v>0.26452489903448279</v>
      </c>
      <c r="AZ52" s="300">
        <f>0.1*'Steel Column'!$F$42/$AC52</f>
        <v>0.19569444061224492</v>
      </c>
      <c r="BA52" s="300">
        <f t="shared" si="17"/>
        <v>0.46021933964672768</v>
      </c>
      <c r="BB52" s="299">
        <f>'Steel Column'!$F$43/$AG52</f>
        <v>0.2679052795998621</v>
      </c>
      <c r="BC52" s="300">
        <f>0.1*'Steel Column'!$F$43/$AH52</f>
        <v>0.19819523235704087</v>
      </c>
      <c r="BD52" s="301">
        <f t="shared" si="5"/>
        <v>0.46610051195690294</v>
      </c>
      <c r="BE52" s="300">
        <f>'Steel Column'!$F$44/$AL52</f>
        <v>0.18347707551724138</v>
      </c>
      <c r="BF52" s="300">
        <f>0.1*'Steel Column'!$F$44/$AM52</f>
        <v>0.13573559158163268</v>
      </c>
      <c r="BG52" s="300">
        <f t="shared" si="6"/>
        <v>0.31921266709887408</v>
      </c>
      <c r="BH52" s="299">
        <f>'Steel Column'!$F$45/$AQ52</f>
        <v>0.18644883815172411</v>
      </c>
      <c r="BI52" s="300">
        <f>0.1*'Steel Column'!$F$45/$AR52</f>
        <v>0.13793408944897959</v>
      </c>
      <c r="BJ52" s="301">
        <f t="shared" si="7"/>
        <v>0.3243829276007037</v>
      </c>
      <c r="BK52" s="299">
        <f>'Steel Column'!$F$50/$W52</f>
        <v>0.17630107137931036</v>
      </c>
      <c r="BL52" s="300">
        <f>0.1*'Steel Column'!$F$50/$X52</f>
        <v>0.13042681301020412</v>
      </c>
      <c r="BM52" s="300">
        <f t="shared" si="18"/>
        <v>0.30672788438951448</v>
      </c>
      <c r="BN52" s="299">
        <f>'Steel Column'!$F$51/$AB52</f>
        <v>0.15740038055172414</v>
      </c>
      <c r="BO52" s="300">
        <f>0.1*'Steel Column'!$F$51/$AC52</f>
        <v>0.11644415908163265</v>
      </c>
      <c r="BP52" s="301">
        <f t="shared" si="19"/>
        <v>0.27384453963335681</v>
      </c>
      <c r="BQ52" s="299">
        <f>'Steel Column'!$F$52/$AG52</f>
        <v>0.15909057083441383</v>
      </c>
      <c r="BR52" s="300">
        <f>0.1*'Steel Column'!$F$52/$AH52</f>
        <v>0.11769455495403064</v>
      </c>
      <c r="BS52" s="301">
        <f t="shared" si="8"/>
        <v>0.2767851257884445</v>
      </c>
      <c r="BT52" s="300">
        <f>'Steel Column'!$F$53/$AL52</f>
        <v>0.11687646879310344</v>
      </c>
      <c r="BU52" s="300">
        <f>0.1*'Steel Column'!$F$53/$AM52</f>
        <v>8.6464734566326529E-2</v>
      </c>
      <c r="BV52" s="300">
        <f t="shared" si="9"/>
        <v>0.20334120335942996</v>
      </c>
      <c r="BW52" s="299">
        <f>'Steel Column'!$F$54/$AQ52</f>
        <v>0.11836235011034484</v>
      </c>
      <c r="BX52" s="300">
        <f>0.1*'Steel Column'!$F$54/$AR52</f>
        <v>8.7563983500000012E-2</v>
      </c>
      <c r="BY52" s="301">
        <f t="shared" si="10"/>
        <v>0.20592633361034485</v>
      </c>
    </row>
    <row r="53" spans="1:77">
      <c r="A53" s="284" t="s">
        <v>1314</v>
      </c>
      <c r="B53" s="284" t="s">
        <v>1327</v>
      </c>
      <c r="C53" s="298">
        <v>52</v>
      </c>
      <c r="D53" s="284" t="s">
        <v>1245</v>
      </c>
      <c r="E53" s="284">
        <v>2290</v>
      </c>
      <c r="F53" s="284">
        <v>2140</v>
      </c>
      <c r="G53" s="284">
        <v>1980</v>
      </c>
      <c r="H53" s="284">
        <v>1800</v>
      </c>
      <c r="I53" s="284">
        <v>1620</v>
      </c>
      <c r="J53" s="284">
        <v>1430</v>
      </c>
      <c r="K53" s="284">
        <v>1260</v>
      </c>
      <c r="L53" s="284">
        <v>952</v>
      </c>
      <c r="M53" s="284">
        <v>728</v>
      </c>
      <c r="N53" s="284">
        <v>568</v>
      </c>
      <c r="O53" s="284">
        <v>453</v>
      </c>
      <c r="P53" s="284">
        <v>369</v>
      </c>
      <c r="Q53" s="284">
        <v>306</v>
      </c>
      <c r="R53" s="284">
        <v>257</v>
      </c>
      <c r="S53" s="284">
        <v>219</v>
      </c>
      <c r="T53" s="284">
        <v>189</v>
      </c>
      <c r="U53" s="284">
        <v>165</v>
      </c>
      <c r="V53" s="284" t="s">
        <v>1328</v>
      </c>
      <c r="W53" s="299" cm="1">
        <f t="array" ref="W53">INDEX($E53:$U53,,AA$12)</f>
        <v>1260</v>
      </c>
      <c r="X53" s="300" t="str" cm="1">
        <f t="array" ref="X53">INDEX($E114:$U114,,AA$12)</f>
        <v>167</v>
      </c>
      <c r="Y53" s="300">
        <f>'Steel Column'!$F$32/W53</f>
        <v>0.58011604285714291</v>
      </c>
      <c r="Z53" s="300">
        <f>0.1*'Steel Column'!$F$32/X53</f>
        <v>0.43769234371257493</v>
      </c>
      <c r="AA53" s="301">
        <f t="shared" si="11"/>
        <v>1.0178083865697178</v>
      </c>
      <c r="AB53" s="299" cm="1">
        <f t="array" ref="AB53">INDEX($E53:$U53,,AF$12)</f>
        <v>1260</v>
      </c>
      <c r="AC53" s="300" t="str" cm="1">
        <f t="array" ref="AC53">INDEX($E114:$U114,,AF$12)</f>
        <v>167</v>
      </c>
      <c r="AD53" s="300">
        <f>'Steel Column'!$F$33/$AB53</f>
        <v>0.49311286285714295</v>
      </c>
      <c r="AE53" s="300">
        <f>0.1*'Steel Column'!$F$33/$AC53</f>
        <v>0.37204922586826356</v>
      </c>
      <c r="AF53" s="301">
        <f t="shared" si="12"/>
        <v>0.86516208872540656</v>
      </c>
      <c r="AG53" s="299" cm="1">
        <f t="array" ref="AG53">INDEX($E53:$U53,,AK$12)</f>
        <v>1260</v>
      </c>
      <c r="AH53" s="300" t="str" cm="1">
        <f t="array" ref="AH53">INDEX($E114:$U114,,AK$12)</f>
        <v>167</v>
      </c>
      <c r="AI53" s="300">
        <f>'Steel Column'!$F$34/$AG53</f>
        <v>0.50089310384095254</v>
      </c>
      <c r="AJ53" s="300">
        <f>0.1*'Steel Column'!$F$34/$AH53</f>
        <v>0.37791934780814385</v>
      </c>
      <c r="AK53" s="301">
        <f t="shared" si="13"/>
        <v>0.87881245164909638</v>
      </c>
      <c r="AL53" s="299" cm="1">
        <f t="array" ref="AL53">INDEX($E53:$U53,,AP$12)</f>
        <v>1260</v>
      </c>
      <c r="AM53" s="300" t="str" cm="1">
        <f t="array" ref="AM53">INDEX($E114:$U114,,AP$12)</f>
        <v>167</v>
      </c>
      <c r="AN53" s="300">
        <f>'Steel Column'!$F$35/$AL53</f>
        <v>0.30657422142857144</v>
      </c>
      <c r="AO53" s="300">
        <f>0.1*'Steel Column'!$F$35/$AM53</f>
        <v>0.23130749640718568</v>
      </c>
      <c r="AP53" s="301">
        <f t="shared" si="14"/>
        <v>0.53788171783575711</v>
      </c>
      <c r="AQ53" s="300" cm="1">
        <f t="array" ref="AQ53">INDEX($E53:$U53,,AU$12)</f>
        <v>1260</v>
      </c>
      <c r="AR53" s="300" t="str" cm="1">
        <f t="array" ref="AR53">INDEX($E114:$U114,,AU$12)</f>
        <v>167</v>
      </c>
      <c r="AS53" s="300">
        <f>'Steel Column'!$F$36/$AQ53</f>
        <v>0.3134139925714286</v>
      </c>
      <c r="AT53" s="300">
        <f>0.1*'Steel Column'!$F$36/$AR53</f>
        <v>0.23646804229940122</v>
      </c>
      <c r="AU53" s="301">
        <f t="shared" si="15"/>
        <v>0.54988203487082976</v>
      </c>
      <c r="AV53" s="299">
        <f>'Steel Column'!$F$41/$W53</f>
        <v>0.34791516428571428</v>
      </c>
      <c r="AW53" s="300">
        <f>0.1*'Steel Column'!$F$41/$X53</f>
        <v>0.26249886646706588</v>
      </c>
      <c r="AX53" s="302">
        <f t="shared" si="16"/>
        <v>0.61041403075278011</v>
      </c>
      <c r="AY53" s="300">
        <f>'Steel Column'!$F$42/$AB53</f>
        <v>0.30441357428571431</v>
      </c>
      <c r="AZ53" s="300">
        <f>0.1*'Steel Column'!$F$42/$AC53</f>
        <v>0.2296773075449102</v>
      </c>
      <c r="BA53" s="300">
        <f t="shared" si="17"/>
        <v>0.53409088183062448</v>
      </c>
      <c r="BB53" s="299">
        <f>'Steel Column'!$F$43/$AG53</f>
        <v>0.3083036947776191</v>
      </c>
      <c r="BC53" s="300">
        <f>0.1*'Steel Column'!$F$43/$AH53</f>
        <v>0.23261236851485037</v>
      </c>
      <c r="BD53" s="301">
        <f t="shared" si="5"/>
        <v>0.54091606329246944</v>
      </c>
      <c r="BE53" s="300">
        <f>'Steel Column'!$F$44/$AL53</f>
        <v>0.21114425357142858</v>
      </c>
      <c r="BF53" s="300">
        <f>0.1*'Steel Column'!$F$44/$AM53</f>
        <v>0.15930644281437126</v>
      </c>
      <c r="BG53" s="300">
        <f t="shared" si="6"/>
        <v>0.37045069638579986</v>
      </c>
      <c r="BH53" s="299">
        <f>'Steel Column'!$F$45/$AQ53</f>
        <v>0.21456413914285713</v>
      </c>
      <c r="BI53" s="300">
        <f>0.1*'Steel Column'!$F$45/$AR53</f>
        <v>0.16188671576047903</v>
      </c>
      <c r="BJ53" s="301">
        <f t="shared" si="7"/>
        <v>0.37645085490333619</v>
      </c>
      <c r="BK53" s="299">
        <f>'Steel Column'!$F$50/$W53</f>
        <v>0.20288615357142858</v>
      </c>
      <c r="BL53" s="300">
        <f>0.1*'Steel Column'!$F$50/$X53</f>
        <v>0.15307578053892218</v>
      </c>
      <c r="BM53" s="300">
        <f t="shared" si="18"/>
        <v>0.35596193411035076</v>
      </c>
      <c r="BN53" s="299">
        <f>'Steel Column'!$F$51/$AB53</f>
        <v>0.18113535857142857</v>
      </c>
      <c r="BO53" s="300">
        <f>0.1*'Steel Column'!$F$51/$AC53</f>
        <v>0.13666500107784432</v>
      </c>
      <c r="BP53" s="301">
        <f t="shared" si="19"/>
        <v>0.31780035964927289</v>
      </c>
      <c r="BQ53" s="299">
        <f>'Steel Column'!$F$52/$AG53</f>
        <v>0.18308041881738099</v>
      </c>
      <c r="BR53" s="300">
        <f>0.1*'Steel Column'!$F$52/$AH53</f>
        <v>0.13813253156281441</v>
      </c>
      <c r="BS53" s="301">
        <f t="shared" si="8"/>
        <v>0.32121295038019537</v>
      </c>
      <c r="BT53" s="300">
        <f>'Steel Column'!$F$53/$AL53</f>
        <v>0.1345006982142857</v>
      </c>
      <c r="BU53" s="300">
        <f>0.1*'Steel Column'!$F$53/$AM53</f>
        <v>0.10147956871257484</v>
      </c>
      <c r="BV53" s="300">
        <f t="shared" si="9"/>
        <v>0.23598026692686053</v>
      </c>
      <c r="BW53" s="299">
        <f>'Steel Column'!$F$54/$AQ53</f>
        <v>0.13621064099999999</v>
      </c>
      <c r="BX53" s="300">
        <f>0.1*'Steel Column'!$F$54/$AR53</f>
        <v>0.10276970518562877</v>
      </c>
      <c r="BY53" s="301">
        <f t="shared" si="10"/>
        <v>0.23898034618562874</v>
      </c>
    </row>
    <row r="54" spans="1:77">
      <c r="A54" s="284" t="s">
        <v>1314</v>
      </c>
      <c r="B54" s="284" t="s">
        <v>1329</v>
      </c>
      <c r="C54" s="298">
        <v>46</v>
      </c>
      <c r="D54" s="284" t="s">
        <v>1245</v>
      </c>
      <c r="E54" s="284">
        <v>2020</v>
      </c>
      <c r="F54" s="284">
        <v>1890</v>
      </c>
      <c r="G54" s="284">
        <v>1740</v>
      </c>
      <c r="H54" s="284">
        <v>1590</v>
      </c>
      <c r="I54" s="284">
        <v>1420</v>
      </c>
      <c r="J54" s="284">
        <v>1260</v>
      </c>
      <c r="K54" s="284">
        <v>1100</v>
      </c>
      <c r="L54" s="284">
        <v>832</v>
      </c>
      <c r="M54" s="284">
        <v>635</v>
      </c>
      <c r="N54" s="284">
        <v>495</v>
      </c>
      <c r="O54" s="284">
        <v>395</v>
      </c>
      <c r="P54" s="284">
        <v>321</v>
      </c>
      <c r="Q54" s="284">
        <v>266</v>
      </c>
      <c r="R54" s="284">
        <v>224</v>
      </c>
      <c r="S54" s="284">
        <v>191</v>
      </c>
      <c r="T54" s="284">
        <v>165</v>
      </c>
      <c r="U54" s="284">
        <v>143</v>
      </c>
      <c r="V54" s="284" t="s">
        <v>1330</v>
      </c>
      <c r="W54" s="299" cm="1">
        <f t="array" ref="W54">INDEX($E54:$U54,,AA$12)</f>
        <v>1100</v>
      </c>
      <c r="X54" s="300" t="str" cm="1">
        <f t="array" ref="X54">INDEX($E115:$U115,,AA$12)</f>
        <v>143</v>
      </c>
      <c r="Y54" s="300">
        <f>'Steel Column'!$F$32/W54</f>
        <v>0.66449655818181819</v>
      </c>
      <c r="Z54" s="300">
        <f>0.1*'Steel Column'!$F$32/X54</f>
        <v>0.51115119860139868</v>
      </c>
      <c r="AA54" s="301">
        <f t="shared" si="11"/>
        <v>1.1756477567832169</v>
      </c>
      <c r="AB54" s="299" cm="1">
        <f t="array" ref="AB54">INDEX($E54:$U54,,AF$12)</f>
        <v>1100</v>
      </c>
      <c r="AC54" s="300" t="str" cm="1">
        <f t="array" ref="AC54">INDEX($E115:$U115,,AF$12)</f>
        <v>143</v>
      </c>
      <c r="AD54" s="300">
        <f>'Steel Column'!$F$33/$AB54</f>
        <v>0.56483837018181826</v>
      </c>
      <c r="AE54" s="300">
        <f>0.1*'Steel Column'!$F$33/$AC54</f>
        <v>0.43449105398601406</v>
      </c>
      <c r="AF54" s="301">
        <f t="shared" si="12"/>
        <v>0.99932942416783233</v>
      </c>
      <c r="AG54" s="299" cm="1">
        <f t="array" ref="AG54">INDEX($E54:$U54,,AK$12)</f>
        <v>1100</v>
      </c>
      <c r="AH54" s="300" t="str" cm="1">
        <f t="array" ref="AH54">INDEX($E115:$U115,,AK$12)</f>
        <v>143</v>
      </c>
      <c r="AI54" s="300">
        <f>'Steel Column'!$F$34/$AG54</f>
        <v>0.57375028258145466</v>
      </c>
      <c r="AJ54" s="300">
        <f>0.1*'Steel Column'!$F$34/$AH54</f>
        <v>0.44134637121650366</v>
      </c>
      <c r="AK54" s="301">
        <f t="shared" si="13"/>
        <v>1.0150966537979582</v>
      </c>
      <c r="AL54" s="299" cm="1">
        <f t="array" ref="AL54">INDEX($E54:$U54,,AP$12)</f>
        <v>1100</v>
      </c>
      <c r="AM54" s="300" t="str" cm="1">
        <f t="array" ref="AM54">INDEX($E115:$U115,,AP$12)</f>
        <v>143</v>
      </c>
      <c r="AN54" s="300">
        <f>'Steel Column'!$F$35/$AL54</f>
        <v>0.35116683545454547</v>
      </c>
      <c r="AO54" s="300">
        <f>0.1*'Steel Column'!$F$35/$AM54</f>
        <v>0.27012833496503502</v>
      </c>
      <c r="AP54" s="301">
        <f t="shared" si="14"/>
        <v>0.62129517041958049</v>
      </c>
      <c r="AQ54" s="300" cm="1">
        <f t="array" ref="AQ54">INDEX($E54:$U54,,AU$12)</f>
        <v>1100</v>
      </c>
      <c r="AR54" s="300" t="str" cm="1">
        <f t="array" ref="AR54">INDEX($E115:$U115,,AU$12)</f>
        <v>143</v>
      </c>
      <c r="AS54" s="300">
        <f>'Steel Column'!$F$36/$AQ54</f>
        <v>0.35900148240000002</v>
      </c>
      <c r="AT54" s="300">
        <f>0.1*'Steel Column'!$F$36/$AR54</f>
        <v>0.27615498646153847</v>
      </c>
      <c r="AU54" s="301">
        <f t="shared" si="15"/>
        <v>0.63515646886153854</v>
      </c>
      <c r="AV54" s="299">
        <f>'Steel Column'!$F$41/$W54</f>
        <v>0.39852100636363635</v>
      </c>
      <c r="AW54" s="300">
        <f>0.1*'Steel Column'!$F$41/$X54</f>
        <v>0.3065546202797203</v>
      </c>
      <c r="AX54" s="302">
        <f t="shared" si="16"/>
        <v>0.70507562664335666</v>
      </c>
      <c r="AY54" s="300">
        <f>'Steel Column'!$F$42/$AB54</f>
        <v>0.34869191236363639</v>
      </c>
      <c r="AZ54" s="300">
        <f>0.1*'Steel Column'!$F$42/$AC54</f>
        <v>0.26822454797202799</v>
      </c>
      <c r="BA54" s="300">
        <f t="shared" si="17"/>
        <v>0.61691646033566439</v>
      </c>
      <c r="BB54" s="299">
        <f>'Steel Column'!$F$43/$AG54</f>
        <v>0.35314786856345459</v>
      </c>
      <c r="BC54" s="300">
        <f>0.1*'Steel Column'!$F$43/$AH54</f>
        <v>0.27165220658727279</v>
      </c>
      <c r="BD54" s="301">
        <f t="shared" si="5"/>
        <v>0.62480007515072744</v>
      </c>
      <c r="BE54" s="300">
        <f>'Steel Column'!$F$44/$AL54</f>
        <v>0.24185614500000002</v>
      </c>
      <c r="BF54" s="300">
        <f>0.1*'Steel Column'!$F$44/$AM54</f>
        <v>0.18604318846153847</v>
      </c>
      <c r="BG54" s="300">
        <f t="shared" si="6"/>
        <v>0.42789933346153852</v>
      </c>
      <c r="BH54" s="299">
        <f>'Steel Column'!$F$45/$AQ54</f>
        <v>0.24577346847272727</v>
      </c>
      <c r="BI54" s="300">
        <f>0.1*'Steel Column'!$F$45/$AR54</f>
        <v>0.18905651420979019</v>
      </c>
      <c r="BJ54" s="301">
        <f t="shared" si="7"/>
        <v>0.43482998268251749</v>
      </c>
      <c r="BK54" s="299">
        <f>'Steel Column'!$F$50/$W54</f>
        <v>0.23239686681818184</v>
      </c>
      <c r="BL54" s="300">
        <f>0.1*'Steel Column'!$F$50/$X54</f>
        <v>0.17876682062937066</v>
      </c>
      <c r="BM54" s="300">
        <f t="shared" si="18"/>
        <v>0.41116368744755249</v>
      </c>
      <c r="BN54" s="299">
        <f>'Steel Column'!$F$51/$AB54</f>
        <v>0.20748231981818183</v>
      </c>
      <c r="BO54" s="300">
        <f>0.1*'Steel Column'!$F$51/$AC54</f>
        <v>0.15960178447552448</v>
      </c>
      <c r="BP54" s="301">
        <f t="shared" si="19"/>
        <v>0.3670841042937063</v>
      </c>
      <c r="BQ54" s="299">
        <f>'Steel Column'!$F$52/$AG54</f>
        <v>0.20971029791809095</v>
      </c>
      <c r="BR54" s="300">
        <f>0.1*'Steel Column'!$F$52/$AH54</f>
        <v>0.16131561378314688</v>
      </c>
      <c r="BS54" s="301">
        <f t="shared" si="8"/>
        <v>0.37102591170123783</v>
      </c>
      <c r="BT54" s="300">
        <f>'Steel Column'!$F$53/$AL54</f>
        <v>0.15406443613636364</v>
      </c>
      <c r="BU54" s="300">
        <f>0.1*'Steel Column'!$F$53/$AM54</f>
        <v>0.11851110472027972</v>
      </c>
      <c r="BV54" s="300">
        <f t="shared" si="9"/>
        <v>0.27257554085664337</v>
      </c>
      <c r="BW54" s="299">
        <f>'Steel Column'!$F$54/$AQ54</f>
        <v>0.15602309787272728</v>
      </c>
      <c r="BX54" s="300">
        <f>0.1*'Steel Column'!$F$54/$AR54</f>
        <v>0.12001776759440562</v>
      </c>
      <c r="BY54" s="301">
        <f t="shared" si="10"/>
        <v>0.27604086546713291</v>
      </c>
    </row>
    <row r="55" spans="1:77">
      <c r="A55" s="284" t="s">
        <v>1331</v>
      </c>
      <c r="B55" s="284" t="s">
        <v>1332</v>
      </c>
      <c r="C55" s="298">
        <v>51</v>
      </c>
      <c r="D55" s="284" t="s">
        <v>1245</v>
      </c>
      <c r="E55" s="284">
        <v>2160</v>
      </c>
      <c r="F55" s="284">
        <v>1960</v>
      </c>
      <c r="G55" s="284">
        <v>1730</v>
      </c>
      <c r="H55" s="284">
        <v>1490</v>
      </c>
      <c r="I55" s="284">
        <v>1260</v>
      </c>
      <c r="J55" s="284">
        <v>1050</v>
      </c>
      <c r="K55" s="284">
        <v>879</v>
      </c>
      <c r="L55" s="284">
        <v>625</v>
      </c>
      <c r="M55" s="284">
        <v>461</v>
      </c>
      <c r="N55" s="284">
        <v>352</v>
      </c>
      <c r="O55" s="284">
        <v>277</v>
      </c>
      <c r="P55" s="284">
        <v>224</v>
      </c>
      <c r="Q55" s="284">
        <v>184</v>
      </c>
      <c r="R55" s="284">
        <v>154</v>
      </c>
      <c r="S55" s="284">
        <v>131</v>
      </c>
      <c r="T55" s="284">
        <v>113</v>
      </c>
      <c r="U55" s="284">
        <v>97.7</v>
      </c>
      <c r="V55" s="284" t="s">
        <v>1333</v>
      </c>
      <c r="W55" s="299" cm="1">
        <f t="array" ref="W55">INDEX($E55:$U55,,AA$12)</f>
        <v>879</v>
      </c>
      <c r="X55" s="300" t="str" cm="1">
        <f t="array" ref="X55">INDEX($E116:$U116,,AA$12)</f>
        <v>128</v>
      </c>
      <c r="Y55" s="300">
        <f>'Steel Column'!$F$32/W55</f>
        <v>0.83156565870307175</v>
      </c>
      <c r="Z55" s="300">
        <f>0.1*'Steel Column'!$F$32/X55</f>
        <v>0.57105172968750006</v>
      </c>
      <c r="AA55" s="301">
        <f t="shared" si="11"/>
        <v>1.4026173883905719</v>
      </c>
      <c r="AB55" s="299" cm="1">
        <f t="array" ref="AB55">INDEX($E55:$U55,,AF$12)</f>
        <v>879</v>
      </c>
      <c r="AC55" s="300" t="str" cm="1">
        <f t="array" ref="AC55">INDEX($E116:$U116,,AF$12)</f>
        <v>128</v>
      </c>
      <c r="AD55" s="300">
        <f>'Steel Column'!$F$33/$AB55</f>
        <v>0.70685120273037549</v>
      </c>
      <c r="AE55" s="300">
        <f>0.1*'Steel Column'!$F$33/$AC55</f>
        <v>0.48540797437500011</v>
      </c>
      <c r="AF55" s="301">
        <f t="shared" si="12"/>
        <v>1.1922591771053757</v>
      </c>
      <c r="AG55" s="299" cm="1">
        <f t="array" ref="AG55">INDEX($E55:$U55,,AK$12)</f>
        <v>879</v>
      </c>
      <c r="AH55" s="300" t="str" cm="1">
        <f t="array" ref="AH55">INDEX($E116:$U116,,AK$12)</f>
        <v>128</v>
      </c>
      <c r="AI55" s="300">
        <f>'Steel Column'!$F$34/$AG55</f>
        <v>0.7180037665979524</v>
      </c>
      <c r="AJ55" s="300">
        <f>0.1*'Steel Column'!$F$34/$AH55</f>
        <v>0.49306664909343767</v>
      </c>
      <c r="AK55" s="301">
        <f t="shared" si="13"/>
        <v>1.2110704156913901</v>
      </c>
      <c r="AL55" s="299" cm="1">
        <f t="array" ref="AL55">INDEX($E55:$U55,,AP$12)</f>
        <v>879</v>
      </c>
      <c r="AM55" s="300" t="str" cm="1">
        <f t="array" ref="AM55">INDEX($E116:$U116,,AP$12)</f>
        <v>128</v>
      </c>
      <c r="AN55" s="300">
        <f>'Steel Column'!$F$35/$AL55</f>
        <v>0.43945792832764508</v>
      </c>
      <c r="AO55" s="300">
        <f>0.1*'Steel Column'!$F$35/$AM55</f>
        <v>0.30178399921875004</v>
      </c>
      <c r="AP55" s="301">
        <f t="shared" si="14"/>
        <v>0.74124192754639506</v>
      </c>
      <c r="AQ55" s="300" cm="1">
        <f t="array" ref="AQ55">INDEX($E55:$U55,,AU$12)</f>
        <v>879</v>
      </c>
      <c r="AR55" s="300" t="str" cm="1">
        <f t="array" ref="AR55">INDEX($E116:$U116,,AU$12)</f>
        <v>128</v>
      </c>
      <c r="AS55" s="300">
        <f>'Steel Column'!$F$36/$AQ55</f>
        <v>0.44926237843003414</v>
      </c>
      <c r="AT55" s="300">
        <f>0.1*'Steel Column'!$F$36/$AR55</f>
        <v>0.30851689893750001</v>
      </c>
      <c r="AU55" s="301">
        <f t="shared" si="15"/>
        <v>0.75777927736753414</v>
      </c>
      <c r="AV55" s="299">
        <f>'Steel Column'!$F$41/$W55</f>
        <v>0.49871798293515357</v>
      </c>
      <c r="AW55" s="300">
        <f>0.1*'Steel Column'!$F$41/$X55</f>
        <v>0.34247898984375003</v>
      </c>
      <c r="AX55" s="302">
        <f t="shared" si="16"/>
        <v>0.8411969727789036</v>
      </c>
      <c r="AY55" s="300">
        <f>'Steel Column'!$F$42/$AB55</f>
        <v>0.4363607549488055</v>
      </c>
      <c r="AZ55" s="300">
        <f>0.1*'Steel Column'!$F$42/$AC55</f>
        <v>0.29965711218750002</v>
      </c>
      <c r="BA55" s="300">
        <f t="shared" si="17"/>
        <v>0.73601786713630557</v>
      </c>
      <c r="BB55" s="299">
        <f>'Steel Column'!$F$43/$AG55</f>
        <v>0.44193703688259395</v>
      </c>
      <c r="BC55" s="300">
        <f>0.1*'Steel Column'!$F$43/$AH55</f>
        <v>0.30348644954671883</v>
      </c>
      <c r="BD55" s="301">
        <f t="shared" si="5"/>
        <v>0.74542348642931278</v>
      </c>
      <c r="BE55" s="300">
        <f>'Steel Column'!$F$44/$AL55</f>
        <v>0.30266411774744029</v>
      </c>
      <c r="BF55" s="300">
        <f>0.1*'Steel Column'!$F$44/$AM55</f>
        <v>0.20784512460937501</v>
      </c>
      <c r="BG55" s="300">
        <f t="shared" si="6"/>
        <v>0.51050924235681527</v>
      </c>
      <c r="BH55" s="299">
        <f>'Steel Column'!$F$45/$AQ55</f>
        <v>0.30756634279863482</v>
      </c>
      <c r="BI55" s="300">
        <f>0.1*'Steel Column'!$F$45/$AR55</f>
        <v>0.21121157446875</v>
      </c>
      <c r="BJ55" s="301">
        <f t="shared" si="7"/>
        <v>0.51877791726738476</v>
      </c>
      <c r="BK55" s="299">
        <f>'Steel Column'!$F$50/$W55</f>
        <v>0.29082656825938569</v>
      </c>
      <c r="BL55" s="300">
        <f>0.1*'Steel Column'!$F$50/$X55</f>
        <v>0.19971605742187504</v>
      </c>
      <c r="BM55" s="300">
        <f t="shared" si="18"/>
        <v>0.49054262568126072</v>
      </c>
      <c r="BN55" s="299">
        <f>'Steel Column'!$F$51/$AB55</f>
        <v>0.25964795426621162</v>
      </c>
      <c r="BO55" s="300">
        <f>0.1*'Steel Column'!$F$51/$AC55</f>
        <v>0.17830511859375001</v>
      </c>
      <c r="BP55" s="301">
        <f t="shared" si="19"/>
        <v>0.43795307285996166</v>
      </c>
      <c r="BQ55" s="299">
        <f>'Steel Column'!$F$52/$AG55</f>
        <v>0.26243609523310585</v>
      </c>
      <c r="BR55" s="300">
        <f>0.1*'Steel Column'!$F$52/$AH55</f>
        <v>0.18021978727335941</v>
      </c>
      <c r="BS55" s="301">
        <f t="shared" si="8"/>
        <v>0.44265588250646526</v>
      </c>
      <c r="BT55" s="300">
        <f>'Steel Column'!$F$53/$AL55</f>
        <v>0.19279963566552902</v>
      </c>
      <c r="BU55" s="300">
        <f>0.1*'Steel Column'!$F$53/$AM55</f>
        <v>0.13239912480468749</v>
      </c>
      <c r="BV55" s="300">
        <f t="shared" si="9"/>
        <v>0.32519876047021651</v>
      </c>
      <c r="BW55" s="299">
        <f>'Steel Column'!$F$54/$AQ55</f>
        <v>0.19525074819112628</v>
      </c>
      <c r="BX55" s="300">
        <f>0.1*'Steel Column'!$F$54/$AR55</f>
        <v>0.13408234973437502</v>
      </c>
      <c r="BY55" s="301">
        <f t="shared" si="10"/>
        <v>0.32933309792550131</v>
      </c>
    </row>
    <row r="56" spans="1:77">
      <c r="A56" s="284" t="s">
        <v>1331</v>
      </c>
      <c r="B56" s="284" t="s">
        <v>1334</v>
      </c>
      <c r="C56" s="298">
        <v>44</v>
      </c>
      <c r="D56" s="284" t="s">
        <v>1245</v>
      </c>
      <c r="E56" s="284">
        <v>1860</v>
      </c>
      <c r="F56" s="284">
        <v>1680</v>
      </c>
      <c r="G56" s="284">
        <v>1480</v>
      </c>
      <c r="H56" s="284">
        <v>1280</v>
      </c>
      <c r="I56" s="284">
        <v>1070</v>
      </c>
      <c r="J56" s="284">
        <v>894</v>
      </c>
      <c r="K56" s="284">
        <v>745</v>
      </c>
      <c r="L56" s="284">
        <v>529</v>
      </c>
      <c r="M56" s="284">
        <v>390</v>
      </c>
      <c r="N56" s="284">
        <v>297</v>
      </c>
      <c r="O56" s="284">
        <v>234</v>
      </c>
      <c r="P56" s="284">
        <v>189</v>
      </c>
      <c r="Q56" s="284">
        <v>155</v>
      </c>
      <c r="R56" s="284">
        <v>130</v>
      </c>
      <c r="S56" s="284">
        <v>110</v>
      </c>
      <c r="T56" s="284">
        <v>95</v>
      </c>
      <c r="U56" s="284">
        <v>82.5</v>
      </c>
      <c r="V56" s="284" t="s">
        <v>1335</v>
      </c>
      <c r="W56" s="299" cm="1">
        <f t="array" ref="W56">INDEX($E56:$U56,,AA$12)</f>
        <v>745</v>
      </c>
      <c r="X56" s="300" t="str" cm="1">
        <f t="array" ref="X56">INDEX($E117:$U117,,AA$12)</f>
        <v>105</v>
      </c>
      <c r="Y56" s="300">
        <f>'Steel Column'!$F$32/W56</f>
        <v>0.98113585771812084</v>
      </c>
      <c r="Z56" s="300">
        <f>0.1*'Steel Column'!$F$32/X56</f>
        <v>0.69613925142857147</v>
      </c>
      <c r="AA56" s="301">
        <f t="shared" si="11"/>
        <v>1.6772751091466924</v>
      </c>
      <c r="AB56" s="299" cm="1">
        <f t="array" ref="AB56">INDEX($E56:$U56,,AF$12)</f>
        <v>745</v>
      </c>
      <c r="AC56" s="300" t="str" cm="1">
        <f t="array" ref="AC56">INDEX($E117:$U117,,AF$12)</f>
        <v>105</v>
      </c>
      <c r="AD56" s="300">
        <f>'Steel Column'!$F$33/$AB56</f>
        <v>0.83398953986577196</v>
      </c>
      <c r="AE56" s="300">
        <f>0.1*'Steel Column'!$F$33/$AC56</f>
        <v>0.59173543542857154</v>
      </c>
      <c r="AF56" s="301">
        <f t="shared" si="12"/>
        <v>1.4257249752943435</v>
      </c>
      <c r="AG56" s="299" cm="1">
        <f t="array" ref="AG56">INDEX($E56:$U56,,AK$12)</f>
        <v>745</v>
      </c>
      <c r="AH56" s="300" t="str" cm="1">
        <f t="array" ref="AH56">INDEX($E117:$U117,,AK$12)</f>
        <v>105</v>
      </c>
      <c r="AI56" s="300">
        <f>'Steel Column'!$F$34/$AG56</f>
        <v>0.84714806824107403</v>
      </c>
      <c r="AJ56" s="300">
        <f>0.1*'Steel Column'!$F$34/$AH56</f>
        <v>0.60107172460914304</v>
      </c>
      <c r="AK56" s="301">
        <f t="shared" si="13"/>
        <v>1.448219792850217</v>
      </c>
      <c r="AL56" s="299" cm="1">
        <f t="array" ref="AL56">INDEX($E56:$U56,,AP$12)</f>
        <v>745</v>
      </c>
      <c r="AM56" s="300" t="str" cm="1">
        <f t="array" ref="AM56">INDEX($E117:$U117,,AP$12)</f>
        <v>105</v>
      </c>
      <c r="AN56" s="300">
        <f>'Steel Column'!$F$35/$AL56</f>
        <v>0.51850136778523492</v>
      </c>
      <c r="AO56" s="300">
        <f>0.1*'Steel Column'!$F$35/$AM56</f>
        <v>0.36788906571428576</v>
      </c>
      <c r="AP56" s="301">
        <f t="shared" si="14"/>
        <v>0.88639043349952074</v>
      </c>
      <c r="AQ56" s="300" cm="1">
        <f t="array" ref="AQ56">INDEX($E56:$U56,,AU$12)</f>
        <v>745</v>
      </c>
      <c r="AR56" s="300" t="str" cm="1">
        <f t="array" ref="AR56">INDEX($E117:$U117,,AU$12)</f>
        <v>105</v>
      </c>
      <c r="AS56" s="300">
        <f>'Steel Column'!$F$36/$AQ56</f>
        <v>0.53006930287248322</v>
      </c>
      <c r="AT56" s="300">
        <f>0.1*'Steel Column'!$F$36/$AR56</f>
        <v>0.37609679108571431</v>
      </c>
      <c r="AU56" s="301">
        <f t="shared" si="15"/>
        <v>0.90616609395819747</v>
      </c>
      <c r="AV56" s="299">
        <f>'Steel Column'!$F$41/$W56</f>
        <v>0.58842027785234896</v>
      </c>
      <c r="AW56" s="300">
        <f>0.1*'Steel Column'!$F$41/$X56</f>
        <v>0.41749819714285719</v>
      </c>
      <c r="AX56" s="302">
        <f t="shared" si="16"/>
        <v>1.0059184749952061</v>
      </c>
      <c r="AY56" s="300">
        <f>'Steel Column'!$F$42/$AB56</f>
        <v>0.51484711892617452</v>
      </c>
      <c r="AZ56" s="300">
        <f>0.1*'Steel Column'!$F$42/$AC56</f>
        <v>0.36529628914285717</v>
      </c>
      <c r="BA56" s="300">
        <f t="shared" si="17"/>
        <v>0.88014340806903169</v>
      </c>
      <c r="BB56" s="299">
        <f>'Steel Column'!$F$43/$AG56</f>
        <v>0.52142638311382561</v>
      </c>
      <c r="BC56" s="300">
        <f>0.1*'Steel Column'!$F$43/$AH56</f>
        <v>0.36996443373314297</v>
      </c>
      <c r="BD56" s="301">
        <f t="shared" si="5"/>
        <v>0.89139081684696864</v>
      </c>
      <c r="BE56" s="300">
        <f>'Steel Column'!$F$44/$AL56</f>
        <v>0.35710303288590606</v>
      </c>
      <c r="BF56" s="300">
        <f>0.1*'Steel Column'!$F$44/$AM56</f>
        <v>0.2533731042857143</v>
      </c>
      <c r="BG56" s="300">
        <f t="shared" si="6"/>
        <v>0.6104761371716203</v>
      </c>
      <c r="BH56" s="299">
        <f>'Steel Column'!$F$45/$AQ56</f>
        <v>0.36288700042953015</v>
      </c>
      <c r="BI56" s="300">
        <f>0.1*'Steel Column'!$F$45/$AR56</f>
        <v>0.25747696697142858</v>
      </c>
      <c r="BJ56" s="301">
        <f t="shared" si="7"/>
        <v>0.62036396740095867</v>
      </c>
      <c r="BK56" s="299">
        <f>'Steel Column'!$F$50/$W56</f>
        <v>0.34313631342281881</v>
      </c>
      <c r="BL56" s="300">
        <f>0.1*'Steel Column'!$F$50/$X56</f>
        <v>0.24346338428571432</v>
      </c>
      <c r="BM56" s="300">
        <f t="shared" si="18"/>
        <v>0.58659969770853315</v>
      </c>
      <c r="BN56" s="299">
        <f>'Steel Column'!$F$51/$AB56</f>
        <v>0.30634973395973153</v>
      </c>
      <c r="BO56" s="300">
        <f>0.1*'Steel Column'!$F$51/$AC56</f>
        <v>0.21736243028571428</v>
      </c>
      <c r="BP56" s="301">
        <f t="shared" si="19"/>
        <v>0.52371216424544587</v>
      </c>
      <c r="BQ56" s="299">
        <f>'Steel Column'!$F$52/$AG56</f>
        <v>0.30963936605355713</v>
      </c>
      <c r="BR56" s="300">
        <f>0.1*'Steel Column'!$F$52/$AH56</f>
        <v>0.21969650258085718</v>
      </c>
      <c r="BS56" s="301">
        <f t="shared" si="8"/>
        <v>0.52933586863441429</v>
      </c>
      <c r="BT56" s="300">
        <f>'Steel Column'!$F$53/$AL56</f>
        <v>0.2274776909395973</v>
      </c>
      <c r="BU56" s="300">
        <f>0.1*'Steel Column'!$F$53/$AM56</f>
        <v>0.16140083785714285</v>
      </c>
      <c r="BV56" s="300">
        <f t="shared" si="9"/>
        <v>0.38887852879674012</v>
      </c>
      <c r="BW56" s="299">
        <f>'Steel Column'!$F$54/$AQ56</f>
        <v>0.2303696747114094</v>
      </c>
      <c r="BX56" s="300">
        <f>0.1*'Steel Column'!$F$54/$AR56</f>
        <v>0.16345276920000001</v>
      </c>
      <c r="BY56" s="301">
        <f t="shared" si="10"/>
        <v>0.39382244391140941</v>
      </c>
    </row>
    <row r="57" spans="1:77">
      <c r="A57" s="284" t="s">
        <v>1331</v>
      </c>
      <c r="B57" s="284" t="s">
        <v>1336</v>
      </c>
      <c r="C57" s="298">
        <v>37</v>
      </c>
      <c r="D57" s="284" t="s">
        <v>1245</v>
      </c>
      <c r="E57" s="284">
        <v>1550</v>
      </c>
      <c r="F57" s="284">
        <v>1400</v>
      </c>
      <c r="G57" s="284">
        <v>1240</v>
      </c>
      <c r="H57" s="284">
        <v>1060</v>
      </c>
      <c r="I57" s="284">
        <v>889</v>
      </c>
      <c r="J57" s="284">
        <v>738</v>
      </c>
      <c r="K57" s="284">
        <v>614</v>
      </c>
      <c r="L57" s="284">
        <v>435</v>
      </c>
      <c r="M57" s="284">
        <v>320</v>
      </c>
      <c r="N57" s="284">
        <v>244</v>
      </c>
      <c r="O57" s="284">
        <v>192</v>
      </c>
      <c r="P57" s="284">
        <v>155</v>
      </c>
      <c r="Q57" s="284">
        <v>127</v>
      </c>
      <c r="R57" s="284">
        <v>107</v>
      </c>
      <c r="S57" s="284">
        <v>90.5</v>
      </c>
      <c r="T57" s="284">
        <v>77.8</v>
      </c>
      <c r="U57" s="284">
        <v>67.599999999999994</v>
      </c>
      <c r="V57" s="284" t="s">
        <v>1337</v>
      </c>
      <c r="W57" s="299" cm="1">
        <f t="array" ref="W57">INDEX($E57:$U57,,AA$12)</f>
        <v>614</v>
      </c>
      <c r="X57" s="300" t="str" cm="1">
        <f t="array" ref="X57">INDEX($E118:$U118,,AA$12)</f>
        <v>83.8</v>
      </c>
      <c r="Y57" s="300">
        <f>'Steel Column'!$F$32/W57</f>
        <v>1.1904661465798045</v>
      </c>
      <c r="Z57" s="300">
        <f>0.1*'Steel Column'!$F$32/X57</f>
        <v>0.87225085202863972</v>
      </c>
      <c r="AA57" s="301">
        <f t="shared" si="11"/>
        <v>2.0627169986084444</v>
      </c>
      <c r="AB57" s="299" cm="1">
        <f t="array" ref="AB57">INDEX($E57:$U57,,AF$12)</f>
        <v>614</v>
      </c>
      <c r="AC57" s="300" t="str" cm="1">
        <f t="array" ref="AC57">INDEX($E118:$U118,,AF$12)</f>
        <v>83.8</v>
      </c>
      <c r="AD57" s="300">
        <f>'Steel Column'!$F$33/$AB57</f>
        <v>1.0119254188925082</v>
      </c>
      <c r="AE57" s="300">
        <f>0.1*'Steel Column'!$F$33/$AC57</f>
        <v>0.74143461479713624</v>
      </c>
      <c r="AF57" s="301">
        <f t="shared" si="12"/>
        <v>1.7533600336896444</v>
      </c>
      <c r="AG57" s="299" cm="1">
        <f t="array" ref="AG57">INDEX($E57:$U57,,AK$12)</f>
        <v>614</v>
      </c>
      <c r="AH57" s="300" t="str" cm="1">
        <f t="array" ref="AH57">INDEX($E118:$U118,,AK$12)</f>
        <v>83.8</v>
      </c>
      <c r="AI57" s="300">
        <f>'Steel Column'!$F$34/$AG57</f>
        <v>1.0278913857322478</v>
      </c>
      <c r="AJ57" s="300">
        <f>0.1*'Steel Column'!$F$34/$AH57</f>
        <v>0.75313282916420077</v>
      </c>
      <c r="AK57" s="301">
        <f t="shared" si="13"/>
        <v>1.7810242148964486</v>
      </c>
      <c r="AL57" s="299" cm="1">
        <f t="array" ref="AL57">INDEX($E57:$U57,,AP$12)</f>
        <v>614</v>
      </c>
      <c r="AM57" s="300" t="str" cm="1">
        <f t="array" ref="AM57">INDEX($E118:$U118,,AP$12)</f>
        <v>83.8</v>
      </c>
      <c r="AN57" s="300">
        <f>'Steel Column'!$F$35/$AL57</f>
        <v>0.6291262524429968</v>
      </c>
      <c r="AO57" s="300">
        <f>0.1*'Steel Column'!$F$35/$AM57</f>
        <v>0.46095885322195712</v>
      </c>
      <c r="AP57" s="301">
        <f t="shared" si="14"/>
        <v>1.0900851056649539</v>
      </c>
      <c r="AQ57" s="300" cm="1">
        <f t="array" ref="AQ57">INDEX($E57:$U57,,AU$12)</f>
        <v>614</v>
      </c>
      <c r="AR57" s="300" t="str" cm="1">
        <f t="array" ref="AR57">INDEX($E118:$U118,,AU$12)</f>
        <v>83.8</v>
      </c>
      <c r="AS57" s="300">
        <f>'Steel Column'!$F$36/$AQ57</f>
        <v>0.64316226488599348</v>
      </c>
      <c r="AT57" s="300">
        <f>0.1*'Steel Column'!$F$36/$AR57</f>
        <v>0.47124299599045349</v>
      </c>
      <c r="AU57" s="301">
        <f t="shared" si="15"/>
        <v>1.114405260876447</v>
      </c>
      <c r="AV57" s="299">
        <f>'Steel Column'!$F$41/$W57</f>
        <v>0.71396271498371333</v>
      </c>
      <c r="AW57" s="300">
        <f>0.1*'Steel Column'!$F$41/$X57</f>
        <v>0.52311826610978529</v>
      </c>
      <c r="AX57" s="302">
        <f t="shared" si="16"/>
        <v>1.2370809810934986</v>
      </c>
      <c r="AY57" s="300">
        <f>'Steel Column'!$F$42/$AB57</f>
        <v>0.62469235114006516</v>
      </c>
      <c r="AZ57" s="300">
        <f>0.1*'Steel Column'!$F$42/$AC57</f>
        <v>0.45771014749403344</v>
      </c>
      <c r="BA57" s="300">
        <f t="shared" si="17"/>
        <v>1.0824024986340985</v>
      </c>
      <c r="BB57" s="299">
        <f>'Steel Column'!$F$43/$AG57</f>
        <v>0.63267533455993497</v>
      </c>
      <c r="BC57" s="300">
        <f>0.1*'Steel Column'!$F$43/$AH57</f>
        <v>0.46355925467756576</v>
      </c>
      <c r="BD57" s="301">
        <f t="shared" si="5"/>
        <v>1.0962345892375007</v>
      </c>
      <c r="BE57" s="300">
        <f>'Steel Column'!$F$44/$AL57</f>
        <v>0.43329276791530946</v>
      </c>
      <c r="BF57" s="300">
        <f>0.1*'Steel Column'!$F$44/$AM57</f>
        <v>0.31747226670644396</v>
      </c>
      <c r="BG57" s="300">
        <f t="shared" si="6"/>
        <v>0.75076503462175337</v>
      </c>
      <c r="BH57" s="299">
        <f>'Steel Column'!$F$45/$AQ57</f>
        <v>0.4403107741368078</v>
      </c>
      <c r="BI57" s="300">
        <f>0.1*'Steel Column'!$F$45/$AR57</f>
        <v>0.32261433809069212</v>
      </c>
      <c r="BJ57" s="301">
        <f t="shared" si="7"/>
        <v>0.76292511222749992</v>
      </c>
      <c r="BK57" s="299">
        <f>'Steel Column'!$F$50/$W57</f>
        <v>0.41634617833876225</v>
      </c>
      <c r="BL57" s="300">
        <f>0.1*'Steel Column'!$F$50/$X57</f>
        <v>0.30505555310262539</v>
      </c>
      <c r="BM57" s="300">
        <f t="shared" si="18"/>
        <v>0.72140173144138764</v>
      </c>
      <c r="BN57" s="299">
        <f>'Steel Column'!$F$51/$AB57</f>
        <v>0.37171099641693811</v>
      </c>
      <c r="BO57" s="300">
        <f>0.1*'Steel Column'!$F$51/$AC57</f>
        <v>0.27235149379474943</v>
      </c>
      <c r="BP57" s="301">
        <f t="shared" si="19"/>
        <v>0.6440624902116876</v>
      </c>
      <c r="BQ57" s="299">
        <f>'Steel Column'!$F$52/$AG57</f>
        <v>0.37570248812687301</v>
      </c>
      <c r="BR57" s="300">
        <f>0.1*'Steel Column'!$F$52/$AH57</f>
        <v>0.27527604738651557</v>
      </c>
      <c r="BS57" s="301">
        <f t="shared" si="8"/>
        <v>0.65097853551338858</v>
      </c>
      <c r="BT57" s="300">
        <f>'Steel Column'!$F$53/$AL57</f>
        <v>0.27601120480456026</v>
      </c>
      <c r="BU57" s="300">
        <f>0.1*'Steel Column'!$F$53/$AM57</f>
        <v>0.20223255340095464</v>
      </c>
      <c r="BV57" s="300">
        <f t="shared" si="9"/>
        <v>0.4782437582055149</v>
      </c>
      <c r="BW57" s="299">
        <f>'Steel Column'!$F$54/$AQ57</f>
        <v>0.27952020791530946</v>
      </c>
      <c r="BX57" s="300">
        <f>0.1*'Steel Column'!$F$54/$AR57</f>
        <v>0.2048035890930788</v>
      </c>
      <c r="BY57" s="301">
        <f t="shared" si="10"/>
        <v>0.48432379700838823</v>
      </c>
    </row>
    <row r="58" spans="1:77">
      <c r="A58" s="284" t="s">
        <v>1331</v>
      </c>
      <c r="B58" s="284" t="s">
        <v>1338</v>
      </c>
      <c r="C58" s="298">
        <v>30</v>
      </c>
      <c r="D58" s="284" t="s">
        <v>1245</v>
      </c>
      <c r="E58" s="284">
        <v>1260</v>
      </c>
      <c r="F58" s="284">
        <v>1140</v>
      </c>
      <c r="G58" s="284">
        <v>999</v>
      </c>
      <c r="H58" s="284">
        <v>854</v>
      </c>
      <c r="I58" s="284">
        <v>714</v>
      </c>
      <c r="J58" s="284">
        <v>592</v>
      </c>
      <c r="K58" s="284">
        <v>492</v>
      </c>
      <c r="L58" s="284">
        <v>347</v>
      </c>
      <c r="M58" s="284">
        <v>256</v>
      </c>
      <c r="N58" s="284">
        <v>195</v>
      </c>
      <c r="O58" s="284">
        <v>153</v>
      </c>
      <c r="P58" s="284">
        <v>123</v>
      </c>
      <c r="Q58" s="284">
        <v>102</v>
      </c>
      <c r="R58" s="284">
        <v>85</v>
      </c>
      <c r="S58" s="284">
        <v>72.2</v>
      </c>
      <c r="T58" s="284">
        <v>62</v>
      </c>
      <c r="U58" s="284">
        <v>53.9</v>
      </c>
      <c r="V58" s="284" t="s">
        <v>1339</v>
      </c>
      <c r="W58" s="299" cm="1">
        <f t="array" ref="W58">INDEX($E58:$U58,,AA$12)</f>
        <v>492</v>
      </c>
      <c r="X58" s="300" t="str" cm="1">
        <f t="array" ref="X58">INDEX($E119:$U119,,AA$12)</f>
        <v>63.7</v>
      </c>
      <c r="Y58" s="300">
        <f>'Steel Column'!$F$32/W58</f>
        <v>1.485663036585366</v>
      </c>
      <c r="Z58" s="300">
        <f>0.1*'Steel Column'!$F$32/X58</f>
        <v>1.1474822825745683</v>
      </c>
      <c r="AA58" s="301">
        <f t="shared" si="11"/>
        <v>2.6331453191599343</v>
      </c>
      <c r="AB58" s="299" cm="1">
        <f t="array" ref="AB58">INDEX($E58:$U58,,AF$12)</f>
        <v>492</v>
      </c>
      <c r="AC58" s="300" t="str" cm="1">
        <f t="array" ref="AC58">INDEX($E119:$U119,,AF$12)</f>
        <v>63.7</v>
      </c>
      <c r="AD58" s="300">
        <f>'Steel Column'!$F$33/$AB58</f>
        <v>1.2628500146341466</v>
      </c>
      <c r="AE58" s="300">
        <f>0.1*'Steel Column'!$F$33/$AC58</f>
        <v>0.97538808037676628</v>
      </c>
      <c r="AF58" s="301">
        <f t="shared" si="12"/>
        <v>2.2382380950109129</v>
      </c>
      <c r="AG58" s="299" cm="1">
        <f t="array" ref="AG58">INDEX($E58:$U58,,AK$12)</f>
        <v>492</v>
      </c>
      <c r="AH58" s="300" t="str" cm="1">
        <f t="array" ref="AH58">INDEX($E119:$U119,,AK$12)</f>
        <v>63.7</v>
      </c>
      <c r="AI58" s="300">
        <f>'Steel Column'!$F$34/$AG58</f>
        <v>1.2827750220317076</v>
      </c>
      <c r="AJ58" s="300">
        <f>0.1*'Steel Column'!$F$34/$AH58</f>
        <v>0.99077756803704897</v>
      </c>
      <c r="AK58" s="301">
        <f t="shared" si="13"/>
        <v>2.2735525900687565</v>
      </c>
      <c r="AL58" s="299" cm="1">
        <f t="array" ref="AL58">INDEX($E58:$U58,,AP$12)</f>
        <v>492</v>
      </c>
      <c r="AM58" s="300" t="str" cm="1">
        <f t="array" ref="AM58">INDEX($E119:$U119,,AP$12)</f>
        <v>63.7</v>
      </c>
      <c r="AN58" s="300">
        <f>'Steel Column'!$F$35/$AL58</f>
        <v>0.78512910365853661</v>
      </c>
      <c r="AO58" s="300">
        <f>0.1*'Steel Column'!$F$35/$AM58</f>
        <v>0.60641054788069082</v>
      </c>
      <c r="AP58" s="301">
        <f t="shared" si="14"/>
        <v>1.3915396515392273</v>
      </c>
      <c r="AQ58" s="300" cm="1">
        <f t="array" ref="AQ58">INDEX($E58:$U58,,AU$12)</f>
        <v>492</v>
      </c>
      <c r="AR58" s="300" t="str" cm="1">
        <f t="array" ref="AR58">INDEX($E119:$U119,,AU$12)</f>
        <v>63.7</v>
      </c>
      <c r="AS58" s="300">
        <f>'Steel Column'!$F$36/$AQ58</f>
        <v>0.80264559073170738</v>
      </c>
      <c r="AT58" s="300">
        <f>0.1*'Steel Column'!$F$36/$AR58</f>
        <v>0.61993976552590269</v>
      </c>
      <c r="AU58" s="301">
        <f t="shared" si="15"/>
        <v>1.4225853562576101</v>
      </c>
      <c r="AV58" s="299">
        <f>'Steel Column'!$F$41/$W58</f>
        <v>0.89100225</v>
      </c>
      <c r="AW58" s="300">
        <f>0.1*'Steel Column'!$F$41/$X58</f>
        <v>0.68818384144427003</v>
      </c>
      <c r="AX58" s="302">
        <f t="shared" si="16"/>
        <v>1.5791860914442699</v>
      </c>
      <c r="AY58" s="300">
        <f>'Steel Column'!$F$42/$AB58</f>
        <v>0.77959573902439028</v>
      </c>
      <c r="AZ58" s="300">
        <f>0.1*'Steel Column'!$F$42/$AC58</f>
        <v>0.6021367403453689</v>
      </c>
      <c r="BA58" s="300">
        <f t="shared" si="17"/>
        <v>1.3817324793697592</v>
      </c>
      <c r="BB58" s="299">
        <f>'Steel Column'!$F$43/$AG58</f>
        <v>0.78955824272317088</v>
      </c>
      <c r="BC58" s="300">
        <f>0.1*'Steel Column'!$F$43/$AH58</f>
        <v>0.60983148417551036</v>
      </c>
      <c r="BD58" s="301">
        <f t="shared" si="5"/>
        <v>1.3993897268986812</v>
      </c>
      <c r="BE58" s="300">
        <f>'Steel Column'!$F$44/$AL58</f>
        <v>0.5407352835365854</v>
      </c>
      <c r="BF58" s="300">
        <f>0.1*'Steel Column'!$F$44/$AM58</f>
        <v>0.41764797409733123</v>
      </c>
      <c r="BG58" s="300">
        <f t="shared" si="6"/>
        <v>0.95838325763391663</v>
      </c>
      <c r="BH58" s="299">
        <f>'Steel Column'!$F$45/$AQ58</f>
        <v>0.54949352707317067</v>
      </c>
      <c r="BI58" s="300">
        <f>0.1*'Steel Column'!$F$45/$AR58</f>
        <v>0.42441258291993716</v>
      </c>
      <c r="BJ58" s="301">
        <f t="shared" si="7"/>
        <v>0.97390610999310789</v>
      </c>
      <c r="BK58" s="299">
        <f>'Steel Column'!$F$50/$W58</f>
        <v>0.5195864908536586</v>
      </c>
      <c r="BL58" s="300">
        <f>0.1*'Steel Column'!$F$50/$X58</f>
        <v>0.40131327080062801</v>
      </c>
      <c r="BM58" s="300">
        <f t="shared" si="18"/>
        <v>0.92089976165428666</v>
      </c>
      <c r="BN58" s="299">
        <f>'Steel Column'!$F$51/$AB58</f>
        <v>0.46388323536585369</v>
      </c>
      <c r="BO58" s="300">
        <f>0.1*'Steel Column'!$F$51/$AC58</f>
        <v>0.35828972025117739</v>
      </c>
      <c r="BP58" s="301">
        <f t="shared" si="19"/>
        <v>0.82217295561703108</v>
      </c>
      <c r="BQ58" s="299">
        <f>'Steel Column'!$F$52/$AG58</f>
        <v>0.46886448721524399</v>
      </c>
      <c r="BR58" s="300">
        <f>0.1*'Steel Column'!$F$52/$AH58</f>
        <v>0.36213709216624812</v>
      </c>
      <c r="BS58" s="301">
        <f t="shared" si="8"/>
        <v>0.83100157938149211</v>
      </c>
      <c r="BT58" s="300">
        <f>'Steel Column'!$F$53/$AL58</f>
        <v>0.34445300762195119</v>
      </c>
      <c r="BU58" s="300">
        <f>0.1*'Steel Column'!$F$53/$AM58</f>
        <v>0.2660453371271585</v>
      </c>
      <c r="BV58" s="300">
        <f t="shared" si="9"/>
        <v>0.61049834474910969</v>
      </c>
      <c r="BW58" s="299">
        <f>'Steel Column'!$F$54/$AQ58</f>
        <v>0.34883212939024394</v>
      </c>
      <c r="BX58" s="300">
        <f>0.1*'Steel Column'!$F$54/$AR58</f>
        <v>0.26942764153846155</v>
      </c>
      <c r="BY58" s="301">
        <f t="shared" si="10"/>
        <v>0.61825977092870543</v>
      </c>
    </row>
    <row r="59" spans="1:77" ht="15" thickBot="1">
      <c r="A59" s="284" t="s">
        <v>1331</v>
      </c>
      <c r="B59" s="284" t="s">
        <v>1340</v>
      </c>
      <c r="C59" s="298">
        <v>23</v>
      </c>
      <c r="D59" s="284" t="s">
        <v>1245</v>
      </c>
      <c r="E59" s="284">
        <v>955</v>
      </c>
      <c r="F59" s="284">
        <v>856</v>
      </c>
      <c r="G59" s="284">
        <v>746</v>
      </c>
      <c r="H59" s="284">
        <v>632</v>
      </c>
      <c r="I59" s="284">
        <v>524</v>
      </c>
      <c r="J59" s="284">
        <v>431</v>
      </c>
      <c r="K59" s="284">
        <v>356</v>
      </c>
      <c r="L59" s="284">
        <v>250</v>
      </c>
      <c r="M59" s="284">
        <v>183</v>
      </c>
      <c r="N59" s="284">
        <v>140</v>
      </c>
      <c r="O59" s="284">
        <v>110</v>
      </c>
      <c r="P59" s="284">
        <v>88.3</v>
      </c>
      <c r="Q59" s="284">
        <v>72.599999999999994</v>
      </c>
      <c r="R59" s="284">
        <v>60.7</v>
      </c>
      <c r="S59" s="284">
        <v>51.6</v>
      </c>
      <c r="T59" s="284">
        <v>44.3</v>
      </c>
      <c r="U59" s="284">
        <v>38.5</v>
      </c>
      <c r="V59" s="284" t="s">
        <v>1341</v>
      </c>
      <c r="W59" s="303" cm="1">
        <f t="array" ref="W59">INDEX($E59:$U59,,AA$12)</f>
        <v>356</v>
      </c>
      <c r="X59" s="304" t="str" cm="1">
        <f t="array" ref="X59">INDEX($E120:$U120,,AA$12)</f>
        <v>40.6</v>
      </c>
      <c r="Y59" s="304">
        <f>'Steel Column'!$F$32/W59</f>
        <v>2.053219702247191</v>
      </c>
      <c r="Z59" s="304">
        <f>0.1*'Steel Column'!$F$32/X59</f>
        <v>1.8003601330049261</v>
      </c>
      <c r="AA59" s="305">
        <f t="shared" si="11"/>
        <v>3.8535798352521171</v>
      </c>
      <c r="AB59" s="303" cm="1">
        <f t="array" ref="AB59">INDEX($E59:$U59,,AF$12)</f>
        <v>356</v>
      </c>
      <c r="AC59" s="304" t="str" cm="1">
        <f t="array" ref="AC59">INDEX($E120:$U120,,AF$12)</f>
        <v>40.6</v>
      </c>
      <c r="AD59" s="304">
        <f>'Steel Column'!$F$33/$AB59</f>
        <v>1.7452870988764047</v>
      </c>
      <c r="AE59" s="304">
        <f>0.1*'Steel Column'!$F$33/$AC59</f>
        <v>1.5303502640394091</v>
      </c>
      <c r="AF59" s="305">
        <f t="shared" si="12"/>
        <v>3.2756373629158135</v>
      </c>
      <c r="AG59" s="303" cm="1">
        <f t="array" ref="AG59">INDEX($E59:$U59,,AK$12)</f>
        <v>356</v>
      </c>
      <c r="AH59" s="304" t="str" cm="1">
        <f t="array" ref="AH59">INDEX($E120:$U120,,AK$12)</f>
        <v>40.6</v>
      </c>
      <c r="AI59" s="304">
        <f>'Steel Column'!$F$34/$AG59</f>
        <v>1.7728239068528096</v>
      </c>
      <c r="AJ59" s="304">
        <f>0.1*'Steel Column'!$F$34/$AH59</f>
        <v>1.5544958395064044</v>
      </c>
      <c r="AK59" s="305">
        <f t="shared" si="13"/>
        <v>3.3273197463592137</v>
      </c>
      <c r="AL59" s="303" cm="1">
        <f t="array" ref="AL59">INDEX($E59:$U59,,AP$12)</f>
        <v>356</v>
      </c>
      <c r="AM59" s="304" t="str" cm="1">
        <f t="array" ref="AM59">INDEX($E120:$U120,,AP$12)</f>
        <v>40.6</v>
      </c>
      <c r="AN59" s="304">
        <f>'Steel Column'!$F$35/$AL59</f>
        <v>1.0850660646067416</v>
      </c>
      <c r="AO59" s="304">
        <f>0.1*'Steel Column'!$F$35/$AM59</f>
        <v>0.95143723891625631</v>
      </c>
      <c r="AP59" s="305">
        <f t="shared" si="14"/>
        <v>2.036503303522998</v>
      </c>
      <c r="AQ59" s="304" cm="1">
        <f t="array" ref="AQ59">INDEX($E59:$U59,,AU$12)</f>
        <v>356</v>
      </c>
      <c r="AR59" s="304" t="str" cm="1">
        <f t="array" ref="AR59">INDEX($E120:$U120,,AU$12)</f>
        <v>40.6</v>
      </c>
      <c r="AS59" s="304">
        <f>'Steel Column'!$F$36/$AQ59</f>
        <v>1.1092742433707865</v>
      </c>
      <c r="AT59" s="304">
        <f>0.1*'Steel Column'!$F$36/$AR59</f>
        <v>0.97266411487684723</v>
      </c>
      <c r="AU59" s="305">
        <f t="shared" si="15"/>
        <v>2.0819383582476338</v>
      </c>
      <c r="AV59" s="303">
        <f>'Steel Column'!$F$41/$W59</f>
        <v>1.231385132022472</v>
      </c>
      <c r="AW59" s="304">
        <f>0.1*'Steel Column'!$F$41/$X59</f>
        <v>1.0797367167487686</v>
      </c>
      <c r="AX59" s="306">
        <f t="shared" si="16"/>
        <v>2.3111218487712408</v>
      </c>
      <c r="AY59" s="304">
        <f>'Steel Column'!$F$42/$AB59</f>
        <v>1.0774188303370786</v>
      </c>
      <c r="AZ59" s="304">
        <f>0.1*'Steel Column'!$F$42/$AC59</f>
        <v>0.94473178226600985</v>
      </c>
      <c r="BA59" s="304">
        <f t="shared" si="17"/>
        <v>2.0221506126030886</v>
      </c>
      <c r="BB59" s="303">
        <f>'Steel Column'!$F$43/$AG59</f>
        <v>1.0911872343252811</v>
      </c>
      <c r="BC59" s="304">
        <f>0.1*'Steel Column'!$F$43/$AH59</f>
        <v>0.95680456999950758</v>
      </c>
      <c r="BD59" s="305">
        <f t="shared" si="5"/>
        <v>2.0479918043247887</v>
      </c>
      <c r="BE59" s="304">
        <f>'Steel Column'!$F$44/$AL59</f>
        <v>0.74730831320224722</v>
      </c>
      <c r="BF59" s="304">
        <f>0.1*'Steel Column'!$F$44/$AM59</f>
        <v>0.65527526970443351</v>
      </c>
      <c r="BG59" s="304">
        <f t="shared" si="6"/>
        <v>1.4025835829066806</v>
      </c>
      <c r="BH59" s="303">
        <f>'Steel Column'!$F$45/$AQ59</f>
        <v>0.75941240258426956</v>
      </c>
      <c r="BI59" s="304">
        <f>0.1*'Steel Column'!$F$45/$AR59</f>
        <v>0.66588870768472908</v>
      </c>
      <c r="BJ59" s="305">
        <f t="shared" si="7"/>
        <v>1.4253011102689985</v>
      </c>
      <c r="BK59" s="303">
        <f>'Steel Column'!$F$50/$W59</f>
        <v>0.71808020646067416</v>
      </c>
      <c r="BL59" s="304">
        <f>0.1*'Steel Column'!$F$50/$X59</f>
        <v>0.62964668349753705</v>
      </c>
      <c r="BM59" s="304">
        <f t="shared" si="18"/>
        <v>1.3477268899582113</v>
      </c>
      <c r="BN59" s="303">
        <f>'Steel Column'!$F$51/$AB59</f>
        <v>0.64109705561797758</v>
      </c>
      <c r="BO59" s="304">
        <f>0.1*'Steel Column'!$F$51/$AC59</f>
        <v>0.56214421625615763</v>
      </c>
      <c r="BP59" s="305">
        <f t="shared" si="19"/>
        <v>1.2032412718741352</v>
      </c>
      <c r="BQ59" s="303">
        <f>'Steel Column'!$F$52/$AG59</f>
        <v>0.64798125761207881</v>
      </c>
      <c r="BR59" s="304">
        <f>0.1*'Steel Column'!$F$52/$AH59</f>
        <v>0.56818061012290655</v>
      </c>
      <c r="BS59" s="305">
        <f t="shared" si="8"/>
        <v>1.2161618677349852</v>
      </c>
      <c r="BT59" s="304">
        <f>'Steel Column'!$F$53/$AL59</f>
        <v>0.47604179705056177</v>
      </c>
      <c r="BU59" s="304">
        <f>0.1*'Steel Column'!$F$53/$AM59</f>
        <v>0.4174159599753694</v>
      </c>
      <c r="BV59" s="304">
        <f t="shared" si="9"/>
        <v>0.89345775702593122</v>
      </c>
      <c r="BW59" s="303">
        <f>'Steel Column'!$F$54/$AQ59</f>
        <v>0.48209384174157305</v>
      </c>
      <c r="BX59" s="304">
        <f>0.1*'Steel Column'!$F$54/$AR59</f>
        <v>0.4227226789655173</v>
      </c>
      <c r="BY59" s="305">
        <f t="shared" si="10"/>
        <v>0.9048165207070904</v>
      </c>
    </row>
    <row r="60" spans="1:77" ht="15" thickBot="1">
      <c r="W60" s="303"/>
      <c r="X60" s="304"/>
      <c r="Y60" s="304" t="s">
        <v>1342</v>
      </c>
      <c r="Z60" s="304">
        <f>MATCH(AA60,AA14:AA59,0)</f>
        <v>39</v>
      </c>
      <c r="AA60" s="305">
        <f>_xlfn.MAXIFS(AA14:AA59,AA14:AA59,"&lt;1")</f>
        <v>0.87703257907811405</v>
      </c>
      <c r="AB60" s="303"/>
      <c r="AC60" s="304"/>
      <c r="AD60" s="304" t="s">
        <v>1342</v>
      </c>
      <c r="AE60" s="304">
        <f>MATCH(AF60,AF14:AF59,0)</f>
        <v>41</v>
      </c>
      <c r="AF60" s="305">
        <f>_xlfn.MAXIFS(AF14:AF59,AF14:AF59,"&lt;1")</f>
        <v>0.99932942416783233</v>
      </c>
      <c r="AG60" s="303"/>
      <c r="AH60" s="304"/>
      <c r="AI60" s="304" t="s">
        <v>1342</v>
      </c>
      <c r="AJ60" s="304">
        <f>MATCH(AK60,AK14:AK59,0)</f>
        <v>40</v>
      </c>
      <c r="AK60" s="305">
        <f>_xlfn.MAXIFS(AK14:AK59,AK14:AK59,"&lt;1")</f>
        <v>0.87881245164909638</v>
      </c>
      <c r="AL60" s="303"/>
      <c r="AM60" s="304"/>
      <c r="AN60" s="304" t="s">
        <v>1342</v>
      </c>
      <c r="AO60" s="304">
        <f>MATCH(AP60,AP14:AP59,0)</f>
        <v>43</v>
      </c>
      <c r="AP60" s="305">
        <f>_xlfn.MAXIFS(AP14:AP59,AP14:AP59,"&lt;1")</f>
        <v>0.88639043349952074</v>
      </c>
      <c r="AQ60" s="304"/>
      <c r="AR60" s="304"/>
      <c r="AS60" s="304" t="s">
        <v>1342</v>
      </c>
      <c r="AT60" s="304">
        <f>MATCH(AU60,AU14:AU59,0)</f>
        <v>43</v>
      </c>
      <c r="AU60" s="305">
        <f>_xlfn.MAXIFS(AU14:AU59,AU14:AU59,"&lt;1")</f>
        <v>0.90616609395819747</v>
      </c>
      <c r="AV60" s="304" t="s">
        <v>1342</v>
      </c>
      <c r="AW60" s="304">
        <f>MATCH(AX60,AX14:AX59,0)</f>
        <v>42</v>
      </c>
      <c r="AX60" s="305">
        <f>_xlfn.MAXIFS(AX14:AX59,AX14:AX59,"&lt;1")</f>
        <v>0.8411969727789036</v>
      </c>
      <c r="AY60" s="304" t="s">
        <v>1342</v>
      </c>
      <c r="AZ60" s="304">
        <f>MATCH(BA60,BA14:BA59,0)</f>
        <v>43</v>
      </c>
      <c r="BA60" s="305">
        <f>_xlfn.MAXIFS(BA14:BA59,BA14:BA59,"&lt;1")</f>
        <v>0.88014340806903169</v>
      </c>
      <c r="BB60" s="304" t="s">
        <v>1342</v>
      </c>
      <c r="BC60" s="304">
        <f>MATCH(BD60,BD14:BD59,0)</f>
        <v>43</v>
      </c>
      <c r="BD60" s="305">
        <f>_xlfn.MAXIFS(BD14:BD59,BD14:BD59,"&lt;1")</f>
        <v>0.89139081684696864</v>
      </c>
      <c r="BE60" s="304" t="s">
        <v>1342</v>
      </c>
      <c r="BF60" s="304">
        <f>MATCH(BG60,BG14:BG59,0)</f>
        <v>45</v>
      </c>
      <c r="BG60" s="304">
        <f>_xlfn.MAXIFS(BG14:BG59,BG14:BG59,"&lt;1")</f>
        <v>0.95838325763391663</v>
      </c>
      <c r="BH60" s="303" t="s">
        <v>1342</v>
      </c>
      <c r="BI60" s="304">
        <f>MATCH(BJ60,BJ14:BJ59,0)</f>
        <v>45</v>
      </c>
      <c r="BJ60" s="305">
        <f>_xlfn.MAXIFS(BJ14:BJ59,BJ14:BJ59,"&lt;1")</f>
        <v>0.97390610999310789</v>
      </c>
      <c r="BK60" s="304" t="s">
        <v>1342</v>
      </c>
      <c r="BL60" s="304">
        <f>MATCH(BM60,BM14:BM59,0)</f>
        <v>45</v>
      </c>
      <c r="BM60" s="304">
        <f>_xlfn.MAXIFS(BM14:BM59,BM14:BM59,"&lt;1")</f>
        <v>0.92089976165428666</v>
      </c>
      <c r="BN60" s="303" t="s">
        <v>1342</v>
      </c>
      <c r="BO60" s="304">
        <f>MATCH(BP60,BP14:BP59,0)</f>
        <v>45</v>
      </c>
      <c r="BP60" s="305">
        <f>_xlfn.MAXIFS(BP14:BP59,BP14:BP59,"&lt;1")</f>
        <v>0.82217295561703108</v>
      </c>
      <c r="BQ60" s="304" t="s">
        <v>1342</v>
      </c>
      <c r="BR60" s="304">
        <f>MATCH(BS60,BS14:BS59,0)</f>
        <v>45</v>
      </c>
      <c r="BS60" s="305">
        <f>_xlfn.MAXIFS(BS14:BS59,BS14:BS59,"&lt;1")</f>
        <v>0.83100157938149211</v>
      </c>
      <c r="BT60" s="304" t="s">
        <v>1342</v>
      </c>
      <c r="BU60" s="304">
        <f>MATCH(BV60,BV14:BV59,0)</f>
        <v>46</v>
      </c>
      <c r="BV60" s="304">
        <f>_xlfn.MAXIFS(BV14:BV59,BV14:BV59,"&lt;1")</f>
        <v>0.89345775702593122</v>
      </c>
      <c r="BW60" s="303" t="s">
        <v>1342</v>
      </c>
      <c r="BX60" s="304">
        <f>MATCH(BY60,BY14:BY59,0)</f>
        <v>46</v>
      </c>
      <c r="BY60" s="305">
        <f>_xlfn.MAXIFS(BY14:BY59,BY14:BY59,"&lt;1")</f>
        <v>0.9048165207070904</v>
      </c>
    </row>
    <row r="61" spans="1:77">
      <c r="A61" s="284" t="s">
        <v>1343</v>
      </c>
    </row>
    <row r="62" spans="1:77">
      <c r="A62" s="284" t="s">
        <v>1344</v>
      </c>
    </row>
    <row r="63" spans="1:77">
      <c r="A63" s="284" t="s">
        <v>1345</v>
      </c>
    </row>
    <row r="64" spans="1:77">
      <c r="A64" s="284" t="s">
        <v>1346</v>
      </c>
    </row>
    <row r="67" spans="1:22">
      <c r="A67" s="284" t="s">
        <v>1347</v>
      </c>
    </row>
    <row r="68" spans="1:22">
      <c r="A68" s="284" t="s">
        <v>1348</v>
      </c>
    </row>
    <row r="71" spans="1:22">
      <c r="A71" s="284" t="s">
        <v>1349</v>
      </c>
    </row>
    <row r="73" spans="1:22">
      <c r="E73" s="284" t="s">
        <v>1350</v>
      </c>
    </row>
    <row r="74" spans="1:22">
      <c r="A74" s="284" t="s">
        <v>1351</v>
      </c>
      <c r="D74" s="284" t="s">
        <v>1229</v>
      </c>
      <c r="E74" s="284" t="s">
        <v>1352</v>
      </c>
      <c r="F74" s="284" t="s">
        <v>1353</v>
      </c>
      <c r="G74" s="284" t="s">
        <v>1354</v>
      </c>
      <c r="H74" s="284" t="s">
        <v>1355</v>
      </c>
      <c r="I74" s="284" t="s">
        <v>1356</v>
      </c>
      <c r="J74" s="284" t="s">
        <v>1357</v>
      </c>
      <c r="K74" s="284" t="s">
        <v>1358</v>
      </c>
      <c r="L74" s="284" t="s">
        <v>1359</v>
      </c>
      <c r="M74" s="284" t="s">
        <v>1360</v>
      </c>
      <c r="N74" s="284" t="s">
        <v>1361</v>
      </c>
      <c r="O74" s="284" t="s">
        <v>1362</v>
      </c>
      <c r="P74" s="284" t="s">
        <v>1363</v>
      </c>
      <c r="Q74" s="284" t="s">
        <v>1316</v>
      </c>
      <c r="R74" s="284" t="s">
        <v>1364</v>
      </c>
      <c r="S74" s="284" t="s">
        <v>1365</v>
      </c>
      <c r="T74" s="284" t="s">
        <v>1366</v>
      </c>
      <c r="U74" s="284" t="s">
        <v>1367</v>
      </c>
      <c r="V74" s="284" t="s">
        <v>1368</v>
      </c>
    </row>
    <row r="75" spans="1:22">
      <c r="A75" s="284" t="s">
        <v>1243</v>
      </c>
      <c r="B75" s="284" t="s">
        <v>1244</v>
      </c>
      <c r="C75" s="284">
        <v>1299</v>
      </c>
      <c r="D75" s="284" t="s">
        <v>1369</v>
      </c>
      <c r="E75" s="284" t="s">
        <v>1370</v>
      </c>
      <c r="F75" s="284" t="s">
        <v>1370</v>
      </c>
      <c r="G75" s="284" t="s">
        <v>1370</v>
      </c>
      <c r="H75" s="284" t="s">
        <v>1370</v>
      </c>
      <c r="I75" s="284" t="s">
        <v>1370</v>
      </c>
      <c r="J75" s="284" t="s">
        <v>1370</v>
      </c>
      <c r="K75" s="284" t="s">
        <v>1370</v>
      </c>
      <c r="L75" s="284" t="s">
        <v>1370</v>
      </c>
      <c r="M75" s="284" t="s">
        <v>1370</v>
      </c>
      <c r="N75" s="284" t="s">
        <v>1370</v>
      </c>
      <c r="O75" s="284" t="s">
        <v>1370</v>
      </c>
      <c r="P75" s="284" t="s">
        <v>1370</v>
      </c>
      <c r="Q75" s="284" t="s">
        <v>1370</v>
      </c>
      <c r="R75" s="284" t="s">
        <v>1371</v>
      </c>
      <c r="S75" s="284" t="s">
        <v>1372</v>
      </c>
      <c r="T75" s="284" t="s">
        <v>1373</v>
      </c>
      <c r="U75" s="284" t="s">
        <v>1374</v>
      </c>
      <c r="V75" s="284" t="s">
        <v>1375</v>
      </c>
    </row>
    <row r="76" spans="1:22">
      <c r="A76" s="284" t="s">
        <v>1243</v>
      </c>
      <c r="B76" s="284" t="s">
        <v>1247</v>
      </c>
      <c r="C76" s="284">
        <v>1202</v>
      </c>
      <c r="D76" s="284" t="s">
        <v>1369</v>
      </c>
      <c r="E76" s="284" t="s">
        <v>1376</v>
      </c>
      <c r="F76" s="284" t="s">
        <v>1376</v>
      </c>
      <c r="G76" s="284" t="s">
        <v>1376</v>
      </c>
      <c r="H76" s="284" t="s">
        <v>1376</v>
      </c>
      <c r="I76" s="284" t="s">
        <v>1376</v>
      </c>
      <c r="J76" s="284" t="s">
        <v>1376</v>
      </c>
      <c r="K76" s="284" t="s">
        <v>1376</v>
      </c>
      <c r="L76" s="284" t="s">
        <v>1376</v>
      </c>
      <c r="M76" s="284" t="s">
        <v>1376</v>
      </c>
      <c r="N76" s="284" t="s">
        <v>1376</v>
      </c>
      <c r="O76" s="284" t="s">
        <v>1376</v>
      </c>
      <c r="P76" s="284" t="s">
        <v>1376</v>
      </c>
      <c r="Q76" s="284" t="s">
        <v>1377</v>
      </c>
      <c r="R76" s="284" t="s">
        <v>1378</v>
      </c>
      <c r="S76" s="284" t="s">
        <v>1379</v>
      </c>
      <c r="T76" s="284" t="s">
        <v>1380</v>
      </c>
      <c r="U76" s="284" t="s">
        <v>1381</v>
      </c>
      <c r="V76" s="284" t="s">
        <v>1382</v>
      </c>
    </row>
    <row r="77" spans="1:22">
      <c r="A77" s="284" t="s">
        <v>1243</v>
      </c>
      <c r="B77" s="284" t="s">
        <v>1249</v>
      </c>
      <c r="C77" s="284">
        <v>1086</v>
      </c>
      <c r="D77" s="284" t="s">
        <v>1369</v>
      </c>
      <c r="E77" s="284" t="s">
        <v>1383</v>
      </c>
      <c r="F77" s="284" t="s">
        <v>1383</v>
      </c>
      <c r="G77" s="284" t="s">
        <v>1383</v>
      </c>
      <c r="H77" s="284" t="s">
        <v>1383</v>
      </c>
      <c r="I77" s="284" t="s">
        <v>1383</v>
      </c>
      <c r="J77" s="284" t="s">
        <v>1383</v>
      </c>
      <c r="K77" s="284" t="s">
        <v>1383</v>
      </c>
      <c r="L77" s="284" t="s">
        <v>1383</v>
      </c>
      <c r="M77" s="284" t="s">
        <v>1383</v>
      </c>
      <c r="N77" s="284" t="s">
        <v>1383</v>
      </c>
      <c r="O77" s="284" t="s">
        <v>1383</v>
      </c>
      <c r="P77" s="284" t="s">
        <v>1383</v>
      </c>
      <c r="Q77" s="284" t="s">
        <v>1384</v>
      </c>
      <c r="R77" s="284" t="s">
        <v>1385</v>
      </c>
      <c r="S77" s="284" t="s">
        <v>1386</v>
      </c>
      <c r="T77" s="284" t="s">
        <v>1387</v>
      </c>
      <c r="U77" s="284" t="s">
        <v>1388</v>
      </c>
      <c r="V77" s="284" t="s">
        <v>1389</v>
      </c>
    </row>
    <row r="78" spans="1:22">
      <c r="A78" s="284" t="s">
        <v>1243</v>
      </c>
      <c r="B78" s="284" t="s">
        <v>1251</v>
      </c>
      <c r="C78" s="284">
        <v>990</v>
      </c>
      <c r="D78" s="284" t="s">
        <v>1369</v>
      </c>
      <c r="E78" s="284" t="s">
        <v>1390</v>
      </c>
      <c r="F78" s="284" t="s">
        <v>1390</v>
      </c>
      <c r="G78" s="284" t="s">
        <v>1390</v>
      </c>
      <c r="H78" s="284" t="s">
        <v>1390</v>
      </c>
      <c r="I78" s="284" t="s">
        <v>1390</v>
      </c>
      <c r="J78" s="284" t="s">
        <v>1390</v>
      </c>
      <c r="K78" s="284" t="s">
        <v>1390</v>
      </c>
      <c r="L78" s="284" t="s">
        <v>1390</v>
      </c>
      <c r="M78" s="284" t="s">
        <v>1390</v>
      </c>
      <c r="N78" s="284" t="s">
        <v>1390</v>
      </c>
      <c r="O78" s="284" t="s">
        <v>1390</v>
      </c>
      <c r="P78" s="284" t="s">
        <v>1391</v>
      </c>
      <c r="Q78" s="284" t="s">
        <v>1392</v>
      </c>
      <c r="R78" s="284" t="s">
        <v>1393</v>
      </c>
      <c r="S78" s="284" t="s">
        <v>1394</v>
      </c>
      <c r="T78" s="284" t="s">
        <v>1395</v>
      </c>
      <c r="U78" s="284" t="s">
        <v>1396</v>
      </c>
      <c r="V78" s="284" t="s">
        <v>1397</v>
      </c>
    </row>
    <row r="79" spans="1:22">
      <c r="A79" s="284" t="s">
        <v>1243</v>
      </c>
      <c r="B79" s="284" t="s">
        <v>1253</v>
      </c>
      <c r="C79" s="284">
        <v>900</v>
      </c>
      <c r="D79" s="284" t="s">
        <v>1369</v>
      </c>
      <c r="E79" s="284" t="s">
        <v>1398</v>
      </c>
      <c r="F79" s="284" t="s">
        <v>1398</v>
      </c>
      <c r="G79" s="284" t="s">
        <v>1398</v>
      </c>
      <c r="H79" s="284" t="s">
        <v>1398</v>
      </c>
      <c r="I79" s="284" t="s">
        <v>1398</v>
      </c>
      <c r="J79" s="284" t="s">
        <v>1398</v>
      </c>
      <c r="K79" s="284" t="s">
        <v>1398</v>
      </c>
      <c r="L79" s="284" t="s">
        <v>1398</v>
      </c>
      <c r="M79" s="284" t="s">
        <v>1398</v>
      </c>
      <c r="N79" s="284" t="s">
        <v>1398</v>
      </c>
      <c r="O79" s="284" t="s">
        <v>1398</v>
      </c>
      <c r="P79" s="284" t="s">
        <v>1399</v>
      </c>
      <c r="Q79" s="284" t="s">
        <v>1400</v>
      </c>
      <c r="R79" s="284" t="s">
        <v>1401</v>
      </c>
      <c r="S79" s="284" t="s">
        <v>1402</v>
      </c>
      <c r="T79" s="284" t="s">
        <v>1403</v>
      </c>
      <c r="U79" s="284" t="s">
        <v>1404</v>
      </c>
      <c r="V79" s="284" t="s">
        <v>1405</v>
      </c>
    </row>
    <row r="80" spans="1:22">
      <c r="A80" s="284" t="s">
        <v>1243</v>
      </c>
      <c r="B80" s="284" t="s">
        <v>1255</v>
      </c>
      <c r="C80" s="284">
        <v>818</v>
      </c>
      <c r="D80" s="284" t="s">
        <v>1369</v>
      </c>
      <c r="E80" s="284" t="s">
        <v>1406</v>
      </c>
      <c r="F80" s="284" t="s">
        <v>1406</v>
      </c>
      <c r="G80" s="284" t="s">
        <v>1406</v>
      </c>
      <c r="H80" s="284" t="s">
        <v>1406</v>
      </c>
      <c r="I80" s="284" t="s">
        <v>1406</v>
      </c>
      <c r="J80" s="284" t="s">
        <v>1406</v>
      </c>
      <c r="K80" s="284" t="s">
        <v>1406</v>
      </c>
      <c r="L80" s="284" t="s">
        <v>1406</v>
      </c>
      <c r="M80" s="284" t="s">
        <v>1406</v>
      </c>
      <c r="N80" s="284" t="s">
        <v>1406</v>
      </c>
      <c r="O80" s="284" t="s">
        <v>1407</v>
      </c>
      <c r="P80" s="284" t="s">
        <v>1408</v>
      </c>
      <c r="Q80" s="284" t="s">
        <v>1409</v>
      </c>
      <c r="R80" s="284" t="s">
        <v>1410</v>
      </c>
      <c r="S80" s="284" t="s">
        <v>1411</v>
      </c>
      <c r="T80" s="284" t="s">
        <v>1412</v>
      </c>
      <c r="U80" s="284" t="s">
        <v>1413</v>
      </c>
      <c r="V80" s="284" t="s">
        <v>1414</v>
      </c>
    </row>
    <row r="81" spans="1:22">
      <c r="A81" s="284" t="s">
        <v>1243</v>
      </c>
      <c r="B81" s="284" t="s">
        <v>1257</v>
      </c>
      <c r="C81" s="284">
        <v>744</v>
      </c>
      <c r="D81" s="284" t="s">
        <v>1369</v>
      </c>
      <c r="E81" s="284" t="s">
        <v>1415</v>
      </c>
      <c r="F81" s="284" t="s">
        <v>1415</v>
      </c>
      <c r="G81" s="284" t="s">
        <v>1415</v>
      </c>
      <c r="H81" s="284" t="s">
        <v>1415</v>
      </c>
      <c r="I81" s="284" t="s">
        <v>1415</v>
      </c>
      <c r="J81" s="284" t="s">
        <v>1415</v>
      </c>
      <c r="K81" s="284" t="s">
        <v>1415</v>
      </c>
      <c r="L81" s="284" t="s">
        <v>1415</v>
      </c>
      <c r="M81" s="284" t="s">
        <v>1415</v>
      </c>
      <c r="N81" s="284" t="s">
        <v>1416</v>
      </c>
      <c r="O81" s="284" t="s">
        <v>1417</v>
      </c>
      <c r="P81" s="284" t="s">
        <v>1418</v>
      </c>
      <c r="Q81" s="284" t="s">
        <v>1419</v>
      </c>
      <c r="R81" s="284" t="s">
        <v>1420</v>
      </c>
      <c r="S81" s="284" t="s">
        <v>1421</v>
      </c>
      <c r="T81" s="284" t="s">
        <v>1422</v>
      </c>
      <c r="U81" s="284" t="s">
        <v>1423</v>
      </c>
      <c r="V81" s="284" t="s">
        <v>1424</v>
      </c>
    </row>
    <row r="82" spans="1:22">
      <c r="A82" s="284" t="s">
        <v>1243</v>
      </c>
      <c r="B82" s="284" t="s">
        <v>1259</v>
      </c>
      <c r="C82" s="284">
        <v>677</v>
      </c>
      <c r="D82" s="284" t="s">
        <v>1369</v>
      </c>
      <c r="E82" s="284" t="s">
        <v>1425</v>
      </c>
      <c r="F82" s="284" t="s">
        <v>1425</v>
      </c>
      <c r="G82" s="284" t="s">
        <v>1425</v>
      </c>
      <c r="H82" s="284" t="s">
        <v>1425</v>
      </c>
      <c r="I82" s="284" t="s">
        <v>1425</v>
      </c>
      <c r="J82" s="284" t="s">
        <v>1425</v>
      </c>
      <c r="K82" s="284" t="s">
        <v>1425</v>
      </c>
      <c r="L82" s="284" t="s">
        <v>1425</v>
      </c>
      <c r="M82" s="284" t="s">
        <v>1425</v>
      </c>
      <c r="N82" s="284" t="s">
        <v>1426</v>
      </c>
      <c r="O82" s="284" t="s">
        <v>1427</v>
      </c>
      <c r="P82" s="284" t="s">
        <v>1428</v>
      </c>
      <c r="Q82" s="284" t="s">
        <v>1429</v>
      </c>
      <c r="R82" s="284" t="s">
        <v>1430</v>
      </c>
      <c r="S82" s="284" t="s">
        <v>1431</v>
      </c>
      <c r="T82" s="284" t="s">
        <v>1432</v>
      </c>
      <c r="U82" s="284" t="s">
        <v>1433</v>
      </c>
      <c r="V82" s="284" t="s">
        <v>1434</v>
      </c>
    </row>
    <row r="83" spans="1:22">
      <c r="A83" s="284" t="s">
        <v>1243</v>
      </c>
      <c r="B83" s="284" t="s">
        <v>1261</v>
      </c>
      <c r="C83" s="284">
        <v>634</v>
      </c>
      <c r="D83" s="284" t="s">
        <v>1369</v>
      </c>
      <c r="E83" s="284" t="s">
        <v>1435</v>
      </c>
      <c r="F83" s="284" t="s">
        <v>1435</v>
      </c>
      <c r="G83" s="284" t="s">
        <v>1435</v>
      </c>
      <c r="H83" s="284" t="s">
        <v>1435</v>
      </c>
      <c r="I83" s="284" t="s">
        <v>1435</v>
      </c>
      <c r="J83" s="284" t="s">
        <v>1435</v>
      </c>
      <c r="K83" s="284" t="s">
        <v>1435</v>
      </c>
      <c r="L83" s="284" t="s">
        <v>1435</v>
      </c>
      <c r="M83" s="284" t="s">
        <v>1429</v>
      </c>
      <c r="N83" s="284" t="s">
        <v>1436</v>
      </c>
      <c r="O83" s="284" t="s">
        <v>1437</v>
      </c>
      <c r="P83" s="284" t="s">
        <v>1438</v>
      </c>
      <c r="Q83" s="284" t="s">
        <v>1439</v>
      </c>
      <c r="R83" s="284" t="s">
        <v>1440</v>
      </c>
      <c r="S83" s="284" t="s">
        <v>1441</v>
      </c>
      <c r="T83" s="284" t="s">
        <v>1442</v>
      </c>
      <c r="U83" s="284" t="s">
        <v>1443</v>
      </c>
      <c r="V83" s="284" t="s">
        <v>1444</v>
      </c>
    </row>
    <row r="84" spans="1:22">
      <c r="A84" s="284" t="s">
        <v>1243</v>
      </c>
      <c r="B84" s="284" t="s">
        <v>1263</v>
      </c>
      <c r="C84" s="284">
        <v>592</v>
      </c>
      <c r="D84" s="284" t="s">
        <v>1369</v>
      </c>
      <c r="E84" s="284" t="s">
        <v>1445</v>
      </c>
      <c r="F84" s="284" t="s">
        <v>1445</v>
      </c>
      <c r="G84" s="284" t="s">
        <v>1445</v>
      </c>
      <c r="H84" s="284" t="s">
        <v>1445</v>
      </c>
      <c r="I84" s="284" t="s">
        <v>1445</v>
      </c>
      <c r="J84" s="284" t="s">
        <v>1445</v>
      </c>
      <c r="K84" s="284" t="s">
        <v>1445</v>
      </c>
      <c r="L84" s="284" t="s">
        <v>1445</v>
      </c>
      <c r="M84" s="284" t="s">
        <v>1446</v>
      </c>
      <c r="N84" s="284" t="s">
        <v>1447</v>
      </c>
      <c r="O84" s="284" t="s">
        <v>1448</v>
      </c>
      <c r="P84" s="284" t="s">
        <v>1449</v>
      </c>
      <c r="Q84" s="284" t="s">
        <v>1450</v>
      </c>
      <c r="R84" s="284" t="s">
        <v>1451</v>
      </c>
      <c r="S84" s="284" t="s">
        <v>1452</v>
      </c>
      <c r="T84" s="284" t="s">
        <v>1453</v>
      </c>
      <c r="U84" s="284" t="s">
        <v>1454</v>
      </c>
      <c r="V84" s="284" t="s">
        <v>1455</v>
      </c>
    </row>
    <row r="85" spans="1:22">
      <c r="A85" s="284" t="s">
        <v>1243</v>
      </c>
      <c r="B85" s="284" t="s">
        <v>1265</v>
      </c>
      <c r="C85" s="284">
        <v>551</v>
      </c>
      <c r="D85" s="284" t="s">
        <v>1369</v>
      </c>
      <c r="E85" s="284" t="s">
        <v>1456</v>
      </c>
      <c r="F85" s="284" t="s">
        <v>1456</v>
      </c>
      <c r="G85" s="284" t="s">
        <v>1456</v>
      </c>
      <c r="H85" s="284" t="s">
        <v>1456</v>
      </c>
      <c r="I85" s="284" t="s">
        <v>1456</v>
      </c>
      <c r="J85" s="284" t="s">
        <v>1456</v>
      </c>
      <c r="K85" s="284" t="s">
        <v>1456</v>
      </c>
      <c r="L85" s="284" t="s">
        <v>1456</v>
      </c>
      <c r="M85" s="284" t="s">
        <v>1452</v>
      </c>
      <c r="N85" s="284" t="s">
        <v>1457</v>
      </c>
      <c r="O85" s="284" t="s">
        <v>1458</v>
      </c>
      <c r="P85" s="284" t="s">
        <v>1459</v>
      </c>
      <c r="Q85" s="284" t="s">
        <v>1460</v>
      </c>
      <c r="R85" s="284" t="s">
        <v>1461</v>
      </c>
      <c r="S85" s="284" t="s">
        <v>1462</v>
      </c>
      <c r="T85" s="284" t="s">
        <v>1463</v>
      </c>
      <c r="U85" s="284" t="s">
        <v>1464</v>
      </c>
      <c r="V85" s="284" t="s">
        <v>1465</v>
      </c>
    </row>
    <row r="86" spans="1:22">
      <c r="A86" s="284" t="s">
        <v>1243</v>
      </c>
      <c r="B86" s="284" t="s">
        <v>1267</v>
      </c>
      <c r="C86" s="284">
        <v>509</v>
      </c>
      <c r="D86" s="284" t="s">
        <v>1369</v>
      </c>
      <c r="E86" s="284" t="s">
        <v>1459</v>
      </c>
      <c r="F86" s="284" t="s">
        <v>1459</v>
      </c>
      <c r="G86" s="284" t="s">
        <v>1459</v>
      </c>
      <c r="H86" s="284" t="s">
        <v>1459</v>
      </c>
      <c r="I86" s="284" t="s">
        <v>1459</v>
      </c>
      <c r="J86" s="284" t="s">
        <v>1459</v>
      </c>
      <c r="K86" s="284" t="s">
        <v>1459</v>
      </c>
      <c r="L86" s="284" t="s">
        <v>1466</v>
      </c>
      <c r="M86" s="284" t="s">
        <v>1467</v>
      </c>
      <c r="N86" s="284" t="s">
        <v>1468</v>
      </c>
      <c r="O86" s="284" t="s">
        <v>1469</v>
      </c>
      <c r="P86" s="284" t="s">
        <v>1464</v>
      </c>
      <c r="Q86" s="284" t="s">
        <v>1470</v>
      </c>
      <c r="R86" s="284" t="s">
        <v>1471</v>
      </c>
      <c r="S86" s="284" t="s">
        <v>1472</v>
      </c>
      <c r="T86" s="284" t="s">
        <v>1473</v>
      </c>
      <c r="U86" s="284" t="s">
        <v>1474</v>
      </c>
      <c r="V86" s="284" t="s">
        <v>1475</v>
      </c>
    </row>
    <row r="87" spans="1:22">
      <c r="A87" s="284" t="s">
        <v>1243</v>
      </c>
      <c r="B87" s="284" t="s">
        <v>1269</v>
      </c>
      <c r="C87" s="284">
        <v>467</v>
      </c>
      <c r="D87" s="284" t="s">
        <v>1369</v>
      </c>
      <c r="E87" s="284" t="s">
        <v>1476</v>
      </c>
      <c r="F87" s="284" t="s">
        <v>1476</v>
      </c>
      <c r="G87" s="284" t="s">
        <v>1476</v>
      </c>
      <c r="H87" s="284" t="s">
        <v>1476</v>
      </c>
      <c r="I87" s="284" t="s">
        <v>1476</v>
      </c>
      <c r="J87" s="284" t="s">
        <v>1476</v>
      </c>
      <c r="K87" s="284" t="s">
        <v>1476</v>
      </c>
      <c r="L87" s="284" t="s">
        <v>1471</v>
      </c>
      <c r="M87" s="284" t="s">
        <v>1477</v>
      </c>
      <c r="N87" s="284" t="s">
        <v>1478</v>
      </c>
      <c r="O87" s="284" t="s">
        <v>1479</v>
      </c>
      <c r="P87" s="284" t="s">
        <v>1480</v>
      </c>
      <c r="Q87" s="284" t="s">
        <v>1481</v>
      </c>
      <c r="R87" s="284" t="s">
        <v>1482</v>
      </c>
      <c r="S87" s="284" t="s">
        <v>1483</v>
      </c>
      <c r="T87" s="284" t="s">
        <v>1484</v>
      </c>
      <c r="U87" s="284" t="s">
        <v>1485</v>
      </c>
      <c r="V87" s="284" t="s">
        <v>1486</v>
      </c>
    </row>
    <row r="88" spans="1:22">
      <c r="A88" s="284" t="s">
        <v>1243</v>
      </c>
      <c r="B88" s="284" t="s">
        <v>1271</v>
      </c>
      <c r="C88" s="284">
        <v>393</v>
      </c>
      <c r="D88" s="284" t="s">
        <v>1369</v>
      </c>
      <c r="E88" s="284" t="s">
        <v>1487</v>
      </c>
      <c r="F88" s="284" t="s">
        <v>1487</v>
      </c>
      <c r="G88" s="284" t="s">
        <v>1487</v>
      </c>
      <c r="H88" s="284" t="s">
        <v>1487</v>
      </c>
      <c r="I88" s="284" t="s">
        <v>1487</v>
      </c>
      <c r="J88" s="284" t="s">
        <v>1487</v>
      </c>
      <c r="K88" s="284" t="s">
        <v>1487</v>
      </c>
      <c r="L88" s="284" t="s">
        <v>1488</v>
      </c>
      <c r="M88" s="284" t="s">
        <v>1489</v>
      </c>
      <c r="N88" s="284" t="s">
        <v>1490</v>
      </c>
      <c r="O88" s="284" t="s">
        <v>1491</v>
      </c>
      <c r="P88" s="284" t="s">
        <v>1492</v>
      </c>
      <c r="Q88" s="284" t="s">
        <v>1493</v>
      </c>
      <c r="R88" s="284" t="s">
        <v>1494</v>
      </c>
      <c r="S88" s="284" t="s">
        <v>1495</v>
      </c>
      <c r="T88" s="284" t="s">
        <v>1496</v>
      </c>
      <c r="U88" s="284" t="s">
        <v>1497</v>
      </c>
      <c r="V88" s="284" t="s">
        <v>1498</v>
      </c>
    </row>
    <row r="89" spans="1:22">
      <c r="A89" s="284" t="s">
        <v>1243</v>
      </c>
      <c r="B89" s="284" t="s">
        <v>1273</v>
      </c>
      <c r="C89" s="284">
        <v>340</v>
      </c>
      <c r="D89" s="284" t="s">
        <v>1369</v>
      </c>
      <c r="E89" s="284" t="s">
        <v>1495</v>
      </c>
      <c r="F89" s="284" t="s">
        <v>1495</v>
      </c>
      <c r="G89" s="284" t="s">
        <v>1495</v>
      </c>
      <c r="H89" s="284" t="s">
        <v>1495</v>
      </c>
      <c r="I89" s="284" t="s">
        <v>1495</v>
      </c>
      <c r="J89" s="284" t="s">
        <v>1495</v>
      </c>
      <c r="K89" s="284" t="s">
        <v>1495</v>
      </c>
      <c r="L89" s="284" t="s">
        <v>1496</v>
      </c>
      <c r="M89" s="284" t="s">
        <v>1499</v>
      </c>
      <c r="N89" s="284" t="s">
        <v>1500</v>
      </c>
      <c r="O89" s="284" t="s">
        <v>1501</v>
      </c>
      <c r="P89" s="284" t="s">
        <v>1502</v>
      </c>
      <c r="Q89" s="284" t="s">
        <v>1503</v>
      </c>
      <c r="R89" s="284" t="s">
        <v>1504</v>
      </c>
      <c r="S89" s="284" t="s">
        <v>1505</v>
      </c>
      <c r="T89" s="284" t="s">
        <v>1506</v>
      </c>
      <c r="U89" s="284" t="s">
        <v>1507</v>
      </c>
      <c r="V89" s="284" t="s">
        <v>1508</v>
      </c>
    </row>
    <row r="90" spans="1:22">
      <c r="A90" s="284" t="s">
        <v>1243</v>
      </c>
      <c r="B90" s="284" t="s">
        <v>1275</v>
      </c>
      <c r="C90" s="284">
        <v>287</v>
      </c>
      <c r="D90" s="284" t="s">
        <v>1369</v>
      </c>
      <c r="E90" s="284" t="s">
        <v>1509</v>
      </c>
      <c r="F90" s="284" t="s">
        <v>1509</v>
      </c>
      <c r="G90" s="284" t="s">
        <v>1509</v>
      </c>
      <c r="H90" s="284" t="s">
        <v>1509</v>
      </c>
      <c r="I90" s="284" t="s">
        <v>1509</v>
      </c>
      <c r="J90" s="284" t="s">
        <v>1509</v>
      </c>
      <c r="K90" s="284" t="s">
        <v>1510</v>
      </c>
      <c r="L90" s="284" t="s">
        <v>1505</v>
      </c>
      <c r="M90" s="284" t="s">
        <v>1511</v>
      </c>
      <c r="N90" s="284" t="s">
        <v>1512</v>
      </c>
      <c r="O90" s="284" t="s">
        <v>1513</v>
      </c>
      <c r="P90" s="284" t="s">
        <v>1514</v>
      </c>
      <c r="Q90" s="284" t="s">
        <v>1515</v>
      </c>
      <c r="R90" s="284" t="s">
        <v>1516</v>
      </c>
      <c r="S90" s="284" t="s">
        <v>1517</v>
      </c>
      <c r="T90" s="284" t="s">
        <v>1518</v>
      </c>
      <c r="U90" s="284" t="s">
        <v>1519</v>
      </c>
      <c r="V90" s="284" t="s">
        <v>1520</v>
      </c>
    </row>
    <row r="91" spans="1:22">
      <c r="A91" s="284" t="s">
        <v>1243</v>
      </c>
      <c r="B91" s="284" t="s">
        <v>1277</v>
      </c>
      <c r="C91" s="284">
        <v>235</v>
      </c>
      <c r="D91" s="284" t="s">
        <v>1369</v>
      </c>
      <c r="E91" s="284" t="s">
        <v>1516</v>
      </c>
      <c r="F91" s="284" t="s">
        <v>1516</v>
      </c>
      <c r="G91" s="284" t="s">
        <v>1516</v>
      </c>
      <c r="H91" s="284" t="s">
        <v>1516</v>
      </c>
      <c r="I91" s="284" t="s">
        <v>1516</v>
      </c>
      <c r="J91" s="284" t="s">
        <v>1516</v>
      </c>
      <c r="K91" s="284" t="s">
        <v>1521</v>
      </c>
      <c r="L91" s="284" t="s">
        <v>1522</v>
      </c>
      <c r="M91" s="284" t="s">
        <v>1523</v>
      </c>
      <c r="N91" s="284" t="s">
        <v>1524</v>
      </c>
      <c r="O91" s="284" t="s">
        <v>1525</v>
      </c>
      <c r="P91" s="284" t="s">
        <v>1526</v>
      </c>
      <c r="Q91" s="284" t="s">
        <v>1527</v>
      </c>
      <c r="R91" s="284" t="s">
        <v>1528</v>
      </c>
      <c r="S91" s="284" t="s">
        <v>1529</v>
      </c>
      <c r="T91" s="284" t="s">
        <v>1530</v>
      </c>
      <c r="U91" s="284" t="s">
        <v>1531</v>
      </c>
      <c r="V91" s="284" t="s">
        <v>1532</v>
      </c>
    </row>
    <row r="92" spans="1:22">
      <c r="A92" s="284" t="s">
        <v>1279</v>
      </c>
      <c r="B92" s="284" t="s">
        <v>1280</v>
      </c>
      <c r="C92" s="284">
        <v>202</v>
      </c>
      <c r="D92" s="284" t="s">
        <v>1369</v>
      </c>
      <c r="E92" s="284" t="s">
        <v>1533</v>
      </c>
      <c r="F92" s="284" t="s">
        <v>1533</v>
      </c>
      <c r="G92" s="284" t="s">
        <v>1533</v>
      </c>
      <c r="H92" s="284" t="s">
        <v>1533</v>
      </c>
      <c r="I92" s="284" t="s">
        <v>1533</v>
      </c>
      <c r="J92" s="284" t="s">
        <v>1534</v>
      </c>
      <c r="K92" s="284" t="s">
        <v>1526</v>
      </c>
      <c r="L92" s="284" t="s">
        <v>1527</v>
      </c>
      <c r="M92" s="284" t="s">
        <v>1535</v>
      </c>
      <c r="N92" s="284" t="s">
        <v>1536</v>
      </c>
      <c r="O92" s="284" t="s">
        <v>1537</v>
      </c>
      <c r="P92" s="284" t="s">
        <v>1538</v>
      </c>
      <c r="Q92" s="284" t="s">
        <v>1539</v>
      </c>
      <c r="R92" s="284" t="s">
        <v>1540</v>
      </c>
      <c r="S92" s="284" t="s">
        <v>1541</v>
      </c>
      <c r="T92" s="284" t="s">
        <v>1542</v>
      </c>
      <c r="U92" s="284" t="s">
        <v>1543</v>
      </c>
      <c r="V92" s="284" t="s">
        <v>1544</v>
      </c>
    </row>
    <row r="93" spans="1:22">
      <c r="A93" s="284" t="s">
        <v>1279</v>
      </c>
      <c r="B93" s="284" t="s">
        <v>1282</v>
      </c>
      <c r="C93" s="284">
        <v>177</v>
      </c>
      <c r="D93" s="284" t="s">
        <v>1369</v>
      </c>
      <c r="E93" s="284" t="s">
        <v>1536</v>
      </c>
      <c r="F93" s="284" t="s">
        <v>1536</v>
      </c>
      <c r="G93" s="284" t="s">
        <v>1536</v>
      </c>
      <c r="H93" s="284" t="s">
        <v>1536</v>
      </c>
      <c r="I93" s="284" t="s">
        <v>1536</v>
      </c>
      <c r="J93" s="284" t="s">
        <v>1545</v>
      </c>
      <c r="K93" s="284" t="s">
        <v>1530</v>
      </c>
      <c r="L93" s="284" t="s">
        <v>1546</v>
      </c>
      <c r="M93" s="284" t="s">
        <v>1547</v>
      </c>
      <c r="N93" s="284" t="s">
        <v>1548</v>
      </c>
      <c r="O93" s="284" t="s">
        <v>1549</v>
      </c>
      <c r="P93" s="284" t="s">
        <v>1550</v>
      </c>
      <c r="Q93" s="284" t="s">
        <v>1551</v>
      </c>
      <c r="R93" s="284" t="s">
        <v>1552</v>
      </c>
      <c r="S93" s="284" t="s">
        <v>1553</v>
      </c>
      <c r="T93" s="284" t="s">
        <v>1554</v>
      </c>
      <c r="U93" s="284" t="s">
        <v>1555</v>
      </c>
      <c r="V93" s="284" t="s">
        <v>1556</v>
      </c>
    </row>
    <row r="94" spans="1:22">
      <c r="A94" s="284" t="s">
        <v>1279</v>
      </c>
      <c r="B94" s="284" t="s">
        <v>1284</v>
      </c>
      <c r="C94" s="284">
        <v>153</v>
      </c>
      <c r="D94" s="284" t="s">
        <v>1369</v>
      </c>
      <c r="E94" s="284" t="s">
        <v>1548</v>
      </c>
      <c r="F94" s="284" t="s">
        <v>1548</v>
      </c>
      <c r="G94" s="284" t="s">
        <v>1548</v>
      </c>
      <c r="H94" s="284" t="s">
        <v>1548</v>
      </c>
      <c r="I94" s="284" t="s">
        <v>1548</v>
      </c>
      <c r="J94" s="284" t="s">
        <v>1557</v>
      </c>
      <c r="K94" s="284" t="s">
        <v>1558</v>
      </c>
      <c r="L94" s="284" t="s">
        <v>1559</v>
      </c>
      <c r="M94" s="284" t="s">
        <v>1560</v>
      </c>
      <c r="N94" s="284" t="s">
        <v>1561</v>
      </c>
      <c r="O94" s="284" t="s">
        <v>1562</v>
      </c>
      <c r="P94" s="284" t="s">
        <v>1563</v>
      </c>
      <c r="Q94" s="284" t="s">
        <v>1564</v>
      </c>
      <c r="R94" s="284" t="s">
        <v>1565</v>
      </c>
      <c r="S94" s="284" t="s">
        <v>1566</v>
      </c>
      <c r="T94" s="284" t="s">
        <v>1567</v>
      </c>
      <c r="U94" s="284" t="s">
        <v>1568</v>
      </c>
      <c r="V94" s="284" t="s">
        <v>1569</v>
      </c>
    </row>
    <row r="95" spans="1:22">
      <c r="A95" s="284" t="s">
        <v>1279</v>
      </c>
      <c r="B95" s="284" t="s">
        <v>1286</v>
      </c>
      <c r="C95" s="284">
        <v>129</v>
      </c>
      <c r="D95" s="284" t="s">
        <v>1369</v>
      </c>
      <c r="E95" s="284" t="s">
        <v>1570</v>
      </c>
      <c r="F95" s="284" t="s">
        <v>1570</v>
      </c>
      <c r="G95" s="284" t="s">
        <v>1570</v>
      </c>
      <c r="H95" s="284" t="s">
        <v>1570</v>
      </c>
      <c r="I95" s="284" t="s">
        <v>1570</v>
      </c>
      <c r="J95" s="284" t="s">
        <v>1571</v>
      </c>
      <c r="K95" s="284" t="s">
        <v>1572</v>
      </c>
      <c r="L95" s="284" t="s">
        <v>1573</v>
      </c>
      <c r="M95" s="284" t="s">
        <v>1574</v>
      </c>
      <c r="N95" s="284" t="s">
        <v>1575</v>
      </c>
      <c r="O95" s="284" t="s">
        <v>1576</v>
      </c>
      <c r="P95" s="284" t="s">
        <v>1577</v>
      </c>
      <c r="Q95" s="284" t="s">
        <v>1578</v>
      </c>
      <c r="R95" s="284" t="s">
        <v>1579</v>
      </c>
      <c r="S95" s="284" t="s">
        <v>1580</v>
      </c>
      <c r="T95" s="284" t="s">
        <v>1581</v>
      </c>
      <c r="U95" s="284" t="s">
        <v>1582</v>
      </c>
      <c r="V95" s="284" t="s">
        <v>1583</v>
      </c>
    </row>
    <row r="96" spans="1:22">
      <c r="A96" s="284" t="s">
        <v>1288</v>
      </c>
      <c r="B96" s="284" t="s">
        <v>1289</v>
      </c>
      <c r="C96" s="284">
        <v>283</v>
      </c>
      <c r="D96" s="284" t="s">
        <v>1369</v>
      </c>
      <c r="E96" s="284" t="s">
        <v>1584</v>
      </c>
      <c r="F96" s="284" t="s">
        <v>1584</v>
      </c>
      <c r="G96" s="284" t="s">
        <v>1584</v>
      </c>
      <c r="H96" s="284" t="s">
        <v>1584</v>
      </c>
      <c r="I96" s="284" t="s">
        <v>1584</v>
      </c>
      <c r="J96" s="284" t="s">
        <v>1584</v>
      </c>
      <c r="K96" s="284" t="s">
        <v>1585</v>
      </c>
      <c r="L96" s="284" t="s">
        <v>1586</v>
      </c>
      <c r="M96" s="284" t="s">
        <v>1521</v>
      </c>
      <c r="N96" s="284" t="s">
        <v>1587</v>
      </c>
      <c r="O96" s="284" t="s">
        <v>1588</v>
      </c>
      <c r="P96" s="284" t="s">
        <v>1519</v>
      </c>
      <c r="Q96" s="284" t="s">
        <v>1524</v>
      </c>
      <c r="R96" s="284" t="s">
        <v>1589</v>
      </c>
      <c r="S96" s="284" t="s">
        <v>1533</v>
      </c>
      <c r="T96" s="284" t="s">
        <v>1590</v>
      </c>
      <c r="U96" s="284" t="s">
        <v>1591</v>
      </c>
      <c r="V96" s="284" t="s">
        <v>1592</v>
      </c>
    </row>
    <row r="97" spans="1:22">
      <c r="A97" s="284" t="s">
        <v>1288</v>
      </c>
      <c r="B97" s="284" t="s">
        <v>1291</v>
      </c>
      <c r="C97" s="284">
        <v>240</v>
      </c>
      <c r="D97" s="284" t="s">
        <v>1369</v>
      </c>
      <c r="E97" s="284" t="s">
        <v>1593</v>
      </c>
      <c r="F97" s="284" t="s">
        <v>1593</v>
      </c>
      <c r="G97" s="284" t="s">
        <v>1593</v>
      </c>
      <c r="H97" s="284" t="s">
        <v>1593</v>
      </c>
      <c r="I97" s="284" t="s">
        <v>1593</v>
      </c>
      <c r="J97" s="284" t="s">
        <v>1594</v>
      </c>
      <c r="K97" s="284" t="s">
        <v>1595</v>
      </c>
      <c r="L97" s="284" t="s">
        <v>1596</v>
      </c>
      <c r="M97" s="284" t="s">
        <v>1526</v>
      </c>
      <c r="N97" s="284" t="s">
        <v>1591</v>
      </c>
      <c r="O97" s="284" t="s">
        <v>1597</v>
      </c>
      <c r="P97" s="284" t="s">
        <v>1598</v>
      </c>
      <c r="Q97" s="284" t="s">
        <v>1545</v>
      </c>
      <c r="R97" s="284" t="s">
        <v>1599</v>
      </c>
      <c r="S97" s="284" t="s">
        <v>1546</v>
      </c>
      <c r="T97" s="284" t="s">
        <v>1600</v>
      </c>
      <c r="U97" s="284" t="s">
        <v>1601</v>
      </c>
      <c r="V97" s="284" t="s">
        <v>1602</v>
      </c>
    </row>
    <row r="98" spans="1:22">
      <c r="A98" s="284" t="s">
        <v>1288</v>
      </c>
      <c r="B98" s="284" t="s">
        <v>1293</v>
      </c>
      <c r="C98" s="284">
        <v>198</v>
      </c>
      <c r="D98" s="284" t="s">
        <v>1369</v>
      </c>
      <c r="E98" s="284" t="s">
        <v>1536</v>
      </c>
      <c r="F98" s="284" t="s">
        <v>1536</v>
      </c>
      <c r="G98" s="284" t="s">
        <v>1536</v>
      </c>
      <c r="H98" s="284" t="s">
        <v>1536</v>
      </c>
      <c r="I98" s="284" t="s">
        <v>1536</v>
      </c>
      <c r="J98" s="284" t="s">
        <v>1530</v>
      </c>
      <c r="K98" s="284" t="s">
        <v>1537</v>
      </c>
      <c r="L98" s="284" t="s">
        <v>1603</v>
      </c>
      <c r="M98" s="284" t="s">
        <v>1547</v>
      </c>
      <c r="N98" s="284" t="s">
        <v>1548</v>
      </c>
      <c r="O98" s="284" t="s">
        <v>1604</v>
      </c>
      <c r="P98" s="284" t="s">
        <v>1605</v>
      </c>
      <c r="Q98" s="284" t="s">
        <v>1606</v>
      </c>
      <c r="R98" s="284" t="s">
        <v>1607</v>
      </c>
      <c r="S98" s="284" t="s">
        <v>1608</v>
      </c>
      <c r="T98" s="284" t="s">
        <v>1609</v>
      </c>
      <c r="U98" s="284" t="s">
        <v>1610</v>
      </c>
      <c r="V98" s="284" t="s">
        <v>1611</v>
      </c>
    </row>
    <row r="99" spans="1:22">
      <c r="A99" s="284" t="s">
        <v>1288</v>
      </c>
      <c r="B99" s="284" t="s">
        <v>1295</v>
      </c>
      <c r="C99" s="284">
        <v>158</v>
      </c>
      <c r="D99" s="284" t="s">
        <v>1369</v>
      </c>
      <c r="E99" s="284" t="s">
        <v>1550</v>
      </c>
      <c r="F99" s="284" t="s">
        <v>1550</v>
      </c>
      <c r="G99" s="284" t="s">
        <v>1550</v>
      </c>
      <c r="H99" s="284" t="s">
        <v>1550</v>
      </c>
      <c r="I99" s="284" t="s">
        <v>1612</v>
      </c>
      <c r="J99" s="284" t="s">
        <v>1613</v>
      </c>
      <c r="K99" s="284" t="s">
        <v>1607</v>
      </c>
      <c r="L99" s="284" t="s">
        <v>1552</v>
      </c>
      <c r="M99" s="284" t="s">
        <v>1614</v>
      </c>
      <c r="N99" s="284" t="s">
        <v>1615</v>
      </c>
      <c r="O99" s="284" t="s">
        <v>1616</v>
      </c>
      <c r="P99" s="284" t="s">
        <v>1617</v>
      </c>
      <c r="Q99" s="284" t="s">
        <v>1618</v>
      </c>
      <c r="R99" s="284" t="s">
        <v>1619</v>
      </c>
      <c r="S99" s="284" t="s">
        <v>1620</v>
      </c>
      <c r="T99" s="284" t="s">
        <v>1621</v>
      </c>
      <c r="U99" s="284" t="s">
        <v>1622</v>
      </c>
      <c r="V99" s="284" t="s">
        <v>1623</v>
      </c>
    </row>
    <row r="100" spans="1:22">
      <c r="A100" s="284" t="s">
        <v>1288</v>
      </c>
      <c r="B100" s="284" t="s">
        <v>1297</v>
      </c>
      <c r="C100" s="284">
        <v>137</v>
      </c>
      <c r="D100" s="284" t="s">
        <v>1369</v>
      </c>
      <c r="E100" s="284" t="s">
        <v>1624</v>
      </c>
      <c r="F100" s="284" t="s">
        <v>1624</v>
      </c>
      <c r="G100" s="284" t="s">
        <v>1624</v>
      </c>
      <c r="H100" s="284" t="s">
        <v>1624</v>
      </c>
      <c r="I100" s="284" t="s">
        <v>1625</v>
      </c>
      <c r="J100" s="284" t="s">
        <v>1626</v>
      </c>
      <c r="K100" s="284" t="s">
        <v>1627</v>
      </c>
      <c r="L100" s="284" t="s">
        <v>1628</v>
      </c>
      <c r="M100" s="284" t="s">
        <v>1629</v>
      </c>
      <c r="N100" s="284" t="s">
        <v>1630</v>
      </c>
      <c r="O100" s="284" t="s">
        <v>1631</v>
      </c>
      <c r="P100" s="284" t="s">
        <v>1632</v>
      </c>
      <c r="Q100" s="284" t="s">
        <v>1633</v>
      </c>
      <c r="R100" s="284" t="s">
        <v>1634</v>
      </c>
      <c r="S100" s="284" t="s">
        <v>1635</v>
      </c>
      <c r="T100" s="284" t="s">
        <v>1636</v>
      </c>
      <c r="U100" s="284" t="s">
        <v>1637</v>
      </c>
      <c r="V100" s="284" t="s">
        <v>1638</v>
      </c>
    </row>
    <row r="101" spans="1:22">
      <c r="A101" s="284" t="s">
        <v>1288</v>
      </c>
      <c r="B101" s="284" t="s">
        <v>1299</v>
      </c>
      <c r="C101" s="284">
        <v>118</v>
      </c>
      <c r="D101" s="284" t="s">
        <v>1369</v>
      </c>
      <c r="E101" s="284" t="s">
        <v>1639</v>
      </c>
      <c r="F101" s="284" t="s">
        <v>1639</v>
      </c>
      <c r="G101" s="284" t="s">
        <v>1639</v>
      </c>
      <c r="H101" s="284" t="s">
        <v>1639</v>
      </c>
      <c r="I101" s="284" t="s">
        <v>1640</v>
      </c>
      <c r="J101" s="284" t="s">
        <v>1641</v>
      </c>
      <c r="K101" s="284" t="s">
        <v>1619</v>
      </c>
      <c r="L101" s="284" t="s">
        <v>1642</v>
      </c>
      <c r="M101" s="284" t="s">
        <v>1643</v>
      </c>
      <c r="N101" s="284" t="s">
        <v>1644</v>
      </c>
      <c r="O101" s="284" t="s">
        <v>1645</v>
      </c>
      <c r="P101" s="284" t="s">
        <v>1646</v>
      </c>
      <c r="Q101" s="284" t="s">
        <v>1582</v>
      </c>
      <c r="R101" s="284" t="s">
        <v>1647</v>
      </c>
      <c r="S101" s="284" t="s">
        <v>1648</v>
      </c>
      <c r="T101" s="284" t="s">
        <v>1649</v>
      </c>
      <c r="U101" s="284" t="s">
        <v>1650</v>
      </c>
      <c r="V101" s="284" t="s">
        <v>1651</v>
      </c>
    </row>
    <row r="102" spans="1:22">
      <c r="A102" s="284" t="s">
        <v>1288</v>
      </c>
      <c r="B102" s="284" t="s">
        <v>1301</v>
      </c>
      <c r="C102" s="284">
        <v>97</v>
      </c>
      <c r="D102" s="284" t="s">
        <v>1369</v>
      </c>
      <c r="E102" s="284" t="s">
        <v>1652</v>
      </c>
      <c r="F102" s="284" t="s">
        <v>1652</v>
      </c>
      <c r="G102" s="284" t="s">
        <v>1652</v>
      </c>
      <c r="H102" s="284" t="s">
        <v>1652</v>
      </c>
      <c r="I102" s="284" t="s">
        <v>1653</v>
      </c>
      <c r="J102" s="284" t="s">
        <v>1654</v>
      </c>
      <c r="K102" s="284" t="s">
        <v>1655</v>
      </c>
      <c r="L102" s="284" t="s">
        <v>1656</v>
      </c>
      <c r="M102" s="284" t="s">
        <v>1657</v>
      </c>
      <c r="N102" s="284" t="s">
        <v>1658</v>
      </c>
      <c r="O102" s="284" t="s">
        <v>1659</v>
      </c>
      <c r="P102" s="284" t="s">
        <v>1650</v>
      </c>
      <c r="Q102" s="284" t="s">
        <v>1660</v>
      </c>
      <c r="R102" s="284" t="s">
        <v>1661</v>
      </c>
      <c r="S102" s="284" t="s">
        <v>1662</v>
      </c>
      <c r="T102" s="284" t="s">
        <v>1663</v>
      </c>
      <c r="U102" s="284" t="s">
        <v>1664</v>
      </c>
      <c r="V102" s="284" t="s">
        <v>1665</v>
      </c>
    </row>
    <row r="103" spans="1:22">
      <c r="A103" s="284" t="s">
        <v>1303</v>
      </c>
      <c r="B103" s="284" t="s">
        <v>1304</v>
      </c>
      <c r="C103" s="284">
        <v>167</v>
      </c>
      <c r="D103" s="284" t="s">
        <v>1369</v>
      </c>
      <c r="E103" s="284" t="s">
        <v>1666</v>
      </c>
      <c r="F103" s="284" t="s">
        <v>1666</v>
      </c>
      <c r="G103" s="284" t="s">
        <v>1666</v>
      </c>
      <c r="H103" s="284" t="s">
        <v>1666</v>
      </c>
      <c r="I103" s="284" t="s">
        <v>1667</v>
      </c>
      <c r="J103" s="284" t="s">
        <v>1668</v>
      </c>
      <c r="K103" s="284" t="s">
        <v>1669</v>
      </c>
      <c r="L103" s="284" t="s">
        <v>1615</v>
      </c>
      <c r="M103" s="284" t="s">
        <v>1670</v>
      </c>
      <c r="N103" s="284" t="s">
        <v>1671</v>
      </c>
      <c r="O103" s="284" t="s">
        <v>1672</v>
      </c>
      <c r="P103" s="284" t="s">
        <v>1618</v>
      </c>
      <c r="Q103" s="284" t="s">
        <v>1673</v>
      </c>
      <c r="R103" s="284" t="s">
        <v>1674</v>
      </c>
      <c r="S103" s="284" t="s">
        <v>1675</v>
      </c>
      <c r="T103" s="284" t="s">
        <v>1676</v>
      </c>
      <c r="U103" s="284" t="s">
        <v>1677</v>
      </c>
      <c r="V103" s="284" t="s">
        <v>1678</v>
      </c>
    </row>
    <row r="104" spans="1:22">
      <c r="A104" s="284" t="s">
        <v>1303</v>
      </c>
      <c r="B104" s="284" t="s">
        <v>1306</v>
      </c>
      <c r="C104" s="284">
        <v>132</v>
      </c>
      <c r="D104" s="284" t="s">
        <v>1369</v>
      </c>
      <c r="E104" s="284" t="s">
        <v>1679</v>
      </c>
      <c r="F104" s="284" t="s">
        <v>1679</v>
      </c>
      <c r="G104" s="284" t="s">
        <v>1679</v>
      </c>
      <c r="H104" s="284" t="s">
        <v>1679</v>
      </c>
      <c r="I104" s="284" t="s">
        <v>1680</v>
      </c>
      <c r="J104" s="284" t="s">
        <v>1681</v>
      </c>
      <c r="K104" s="284" t="s">
        <v>1682</v>
      </c>
      <c r="L104" s="284" t="s">
        <v>1621</v>
      </c>
      <c r="M104" s="284" t="s">
        <v>1622</v>
      </c>
      <c r="N104" s="284" t="s">
        <v>1683</v>
      </c>
      <c r="O104" s="284" t="s">
        <v>1684</v>
      </c>
      <c r="P104" s="284" t="s">
        <v>1685</v>
      </c>
      <c r="Q104" s="284" t="s">
        <v>1686</v>
      </c>
      <c r="R104" s="284" t="s">
        <v>1637</v>
      </c>
      <c r="S104" s="284" t="s">
        <v>1687</v>
      </c>
      <c r="T104" s="284" t="s">
        <v>1688</v>
      </c>
      <c r="U104" s="284" t="s">
        <v>1689</v>
      </c>
      <c r="V104" s="284" t="s">
        <v>1690</v>
      </c>
    </row>
    <row r="105" spans="1:22">
      <c r="A105" s="284" t="s">
        <v>1303</v>
      </c>
      <c r="B105" s="284" t="s">
        <v>1308</v>
      </c>
      <c r="C105" s="284">
        <v>107</v>
      </c>
      <c r="D105" s="284" t="s">
        <v>1369</v>
      </c>
      <c r="E105" s="284" t="s">
        <v>1634</v>
      </c>
      <c r="F105" s="284" t="s">
        <v>1634</v>
      </c>
      <c r="G105" s="284" t="s">
        <v>1634</v>
      </c>
      <c r="H105" s="284" t="s">
        <v>1653</v>
      </c>
      <c r="I105" s="284" t="s">
        <v>1691</v>
      </c>
      <c r="J105" s="284" t="s">
        <v>1655</v>
      </c>
      <c r="K105" s="284" t="s">
        <v>1692</v>
      </c>
      <c r="L105" s="284" t="s">
        <v>1693</v>
      </c>
      <c r="M105" s="284" t="s">
        <v>1694</v>
      </c>
      <c r="N105" s="284" t="s">
        <v>1695</v>
      </c>
      <c r="O105" s="284" t="s">
        <v>1696</v>
      </c>
      <c r="P105" s="284" t="s">
        <v>1697</v>
      </c>
      <c r="Q105" s="284" t="s">
        <v>1698</v>
      </c>
      <c r="R105" s="284" t="s">
        <v>1699</v>
      </c>
      <c r="S105" s="284" t="s">
        <v>1700</v>
      </c>
      <c r="T105" s="284" t="s">
        <v>1701</v>
      </c>
      <c r="U105" s="284" t="s">
        <v>1702</v>
      </c>
      <c r="V105" s="284" t="s">
        <v>1703</v>
      </c>
    </row>
    <row r="106" spans="1:22">
      <c r="A106" s="284" t="s">
        <v>1303</v>
      </c>
      <c r="B106" s="284" t="s">
        <v>1310</v>
      </c>
      <c r="C106" s="284">
        <v>89</v>
      </c>
      <c r="D106" s="284" t="s">
        <v>1369</v>
      </c>
      <c r="E106" s="284" t="s">
        <v>1704</v>
      </c>
      <c r="F106" s="284" t="s">
        <v>1704</v>
      </c>
      <c r="G106" s="284" t="s">
        <v>1704</v>
      </c>
      <c r="H106" s="284" t="s">
        <v>1705</v>
      </c>
      <c r="I106" s="284" t="s">
        <v>1706</v>
      </c>
      <c r="J106" s="284" t="s">
        <v>1707</v>
      </c>
      <c r="K106" s="284" t="s">
        <v>1708</v>
      </c>
      <c r="L106" s="284" t="s">
        <v>1709</v>
      </c>
      <c r="M106" s="284" t="s">
        <v>1698</v>
      </c>
      <c r="N106" s="284" t="s">
        <v>1710</v>
      </c>
      <c r="O106" s="284" t="s">
        <v>1711</v>
      </c>
      <c r="P106" s="284" t="s">
        <v>1712</v>
      </c>
      <c r="Q106" s="284" t="s">
        <v>1713</v>
      </c>
      <c r="R106" s="284" t="s">
        <v>1714</v>
      </c>
      <c r="S106" s="284" t="s">
        <v>1715</v>
      </c>
      <c r="T106" s="284" t="s">
        <v>1716</v>
      </c>
      <c r="U106" s="284" t="s">
        <v>1717</v>
      </c>
      <c r="V106" s="284" t="s">
        <v>1718</v>
      </c>
    </row>
    <row r="107" spans="1:22">
      <c r="A107" s="284" t="s">
        <v>1303</v>
      </c>
      <c r="B107" s="284" t="s">
        <v>1312</v>
      </c>
      <c r="C107" s="284">
        <v>73</v>
      </c>
      <c r="D107" s="284" t="s">
        <v>1369</v>
      </c>
      <c r="E107" s="284" t="s">
        <v>1719</v>
      </c>
      <c r="F107" s="284" t="s">
        <v>1719</v>
      </c>
      <c r="G107" s="284" t="s">
        <v>1719</v>
      </c>
      <c r="H107" s="284" t="s">
        <v>1720</v>
      </c>
      <c r="I107" s="284" t="s">
        <v>1721</v>
      </c>
      <c r="J107" s="284" t="s">
        <v>1722</v>
      </c>
      <c r="K107" s="284" t="s">
        <v>1710</v>
      </c>
      <c r="L107" s="284" t="s">
        <v>1723</v>
      </c>
      <c r="M107" s="284" t="s">
        <v>1724</v>
      </c>
      <c r="N107" s="284" t="s">
        <v>1725</v>
      </c>
      <c r="O107" s="284" t="s">
        <v>1726</v>
      </c>
      <c r="P107" s="284" t="s">
        <v>1727</v>
      </c>
      <c r="Q107" s="284" t="s">
        <v>1728</v>
      </c>
      <c r="R107" s="284" t="s">
        <v>1729</v>
      </c>
      <c r="S107" s="284" t="s">
        <v>1730</v>
      </c>
      <c r="T107" s="284" t="s">
        <v>1731</v>
      </c>
      <c r="U107" s="284" t="s">
        <v>1732</v>
      </c>
      <c r="V107" s="284" t="s">
        <v>1733</v>
      </c>
    </row>
    <row r="108" spans="1:22">
      <c r="A108" s="284" t="s">
        <v>1314</v>
      </c>
      <c r="B108" s="284" t="s">
        <v>1315</v>
      </c>
      <c r="C108" s="284">
        <v>127</v>
      </c>
      <c r="D108" s="284" t="s">
        <v>1369</v>
      </c>
      <c r="E108" s="284" t="s">
        <v>1734</v>
      </c>
      <c r="F108" s="284" t="s">
        <v>1734</v>
      </c>
      <c r="G108" s="284" t="s">
        <v>1734</v>
      </c>
      <c r="H108" s="284" t="s">
        <v>1735</v>
      </c>
      <c r="I108" s="284" t="s">
        <v>1736</v>
      </c>
      <c r="J108" s="284" t="s">
        <v>1737</v>
      </c>
      <c r="K108" s="284" t="s">
        <v>1738</v>
      </c>
      <c r="L108" s="284" t="s">
        <v>1739</v>
      </c>
      <c r="M108" s="284" t="s">
        <v>1740</v>
      </c>
      <c r="N108" s="284" t="s">
        <v>1637</v>
      </c>
      <c r="O108" s="284" t="s">
        <v>1741</v>
      </c>
      <c r="P108" s="284" t="s">
        <v>1706</v>
      </c>
      <c r="Q108" s="284" t="s">
        <v>1742</v>
      </c>
      <c r="R108" s="284" t="s">
        <v>1696</v>
      </c>
      <c r="S108" s="284" t="s">
        <v>1743</v>
      </c>
      <c r="T108" s="284" t="s">
        <v>1720</v>
      </c>
      <c r="U108" s="284" t="s">
        <v>1744</v>
      </c>
      <c r="V108" s="284" t="s">
        <v>1745</v>
      </c>
    </row>
    <row r="109" spans="1:22">
      <c r="A109" s="284" t="s">
        <v>1314</v>
      </c>
      <c r="B109" s="284" t="s">
        <v>1317</v>
      </c>
      <c r="C109" s="284">
        <v>113</v>
      </c>
      <c r="D109" s="284" t="s">
        <v>1369</v>
      </c>
      <c r="E109" s="284" t="s">
        <v>1636</v>
      </c>
      <c r="F109" s="284" t="s">
        <v>1636</v>
      </c>
      <c r="G109" s="284" t="s">
        <v>1636</v>
      </c>
      <c r="H109" s="284" t="s">
        <v>1656</v>
      </c>
      <c r="I109" s="284" t="s">
        <v>1746</v>
      </c>
      <c r="J109" s="284" t="s">
        <v>1747</v>
      </c>
      <c r="K109" s="284" t="s">
        <v>1748</v>
      </c>
      <c r="L109" s="284" t="s">
        <v>1749</v>
      </c>
      <c r="M109" s="284" t="s">
        <v>1742</v>
      </c>
      <c r="N109" s="284" t="s">
        <v>1750</v>
      </c>
      <c r="O109" s="284" t="s">
        <v>1709</v>
      </c>
      <c r="P109" s="284" t="s">
        <v>1751</v>
      </c>
      <c r="Q109" s="284" t="s">
        <v>1752</v>
      </c>
      <c r="R109" s="284" t="s">
        <v>1753</v>
      </c>
      <c r="S109" s="284" t="s">
        <v>1754</v>
      </c>
      <c r="T109" s="284" t="s">
        <v>1755</v>
      </c>
      <c r="U109" s="284" t="s">
        <v>1756</v>
      </c>
      <c r="V109" s="284" t="s">
        <v>1757</v>
      </c>
    </row>
    <row r="110" spans="1:22">
      <c r="A110" s="284" t="s">
        <v>1314</v>
      </c>
      <c r="B110" s="284" t="s">
        <v>1319</v>
      </c>
      <c r="C110" s="284">
        <v>100</v>
      </c>
      <c r="D110" s="284" t="s">
        <v>1369</v>
      </c>
      <c r="E110" s="284" t="s">
        <v>1758</v>
      </c>
      <c r="F110" s="284" t="s">
        <v>1758</v>
      </c>
      <c r="G110" s="284" t="s">
        <v>1758</v>
      </c>
      <c r="H110" s="284" t="s">
        <v>1742</v>
      </c>
      <c r="I110" s="284" t="s">
        <v>1759</v>
      </c>
      <c r="J110" s="284" t="s">
        <v>1760</v>
      </c>
      <c r="K110" s="284" t="s">
        <v>1761</v>
      </c>
      <c r="L110" s="284" t="s">
        <v>1762</v>
      </c>
      <c r="M110" s="284" t="s">
        <v>1763</v>
      </c>
      <c r="N110" s="284" t="s">
        <v>1710</v>
      </c>
      <c r="O110" s="284" t="s">
        <v>1764</v>
      </c>
      <c r="P110" s="284" t="s">
        <v>1765</v>
      </c>
      <c r="Q110" s="284" t="s">
        <v>1766</v>
      </c>
      <c r="R110" s="284" t="s">
        <v>1767</v>
      </c>
      <c r="S110" s="284" t="s">
        <v>1725</v>
      </c>
      <c r="T110" s="284" t="s">
        <v>1768</v>
      </c>
      <c r="U110" s="284" t="s">
        <v>1769</v>
      </c>
      <c r="V110" s="284" t="s">
        <v>1770</v>
      </c>
    </row>
    <row r="111" spans="1:22">
      <c r="A111" s="284" t="s">
        <v>1314</v>
      </c>
      <c r="B111" s="284" t="s">
        <v>1321</v>
      </c>
      <c r="C111" s="284">
        <v>86</v>
      </c>
      <c r="D111" s="284" t="s">
        <v>1369</v>
      </c>
      <c r="E111" s="284" t="s">
        <v>1771</v>
      </c>
      <c r="F111" s="284" t="s">
        <v>1771</v>
      </c>
      <c r="G111" s="284" t="s">
        <v>1771</v>
      </c>
      <c r="H111" s="284" t="s">
        <v>1763</v>
      </c>
      <c r="I111" s="284" t="s">
        <v>1660</v>
      </c>
      <c r="J111" s="284" t="s">
        <v>1772</v>
      </c>
      <c r="K111" s="284" t="s">
        <v>1773</v>
      </c>
      <c r="L111" s="284" t="s">
        <v>1774</v>
      </c>
      <c r="M111" s="284" t="s">
        <v>1702</v>
      </c>
      <c r="N111" s="284" t="s">
        <v>1713</v>
      </c>
      <c r="O111" s="284" t="s">
        <v>1775</v>
      </c>
      <c r="P111" s="284" t="s">
        <v>1776</v>
      </c>
      <c r="Q111" s="284" t="s">
        <v>1777</v>
      </c>
      <c r="R111" s="284" t="s">
        <v>1778</v>
      </c>
      <c r="S111" s="284" t="s">
        <v>1779</v>
      </c>
      <c r="T111" s="284" t="s">
        <v>1780</v>
      </c>
      <c r="U111" s="284" t="s">
        <v>1781</v>
      </c>
      <c r="V111" s="284" t="s">
        <v>1782</v>
      </c>
    </row>
    <row r="112" spans="1:22">
      <c r="A112" s="284" t="s">
        <v>1314</v>
      </c>
      <c r="B112" s="284" t="s">
        <v>1323</v>
      </c>
      <c r="C112" s="284">
        <v>71</v>
      </c>
      <c r="D112" s="284" t="s">
        <v>1369</v>
      </c>
      <c r="E112" s="284" t="s">
        <v>1783</v>
      </c>
      <c r="F112" s="284" t="s">
        <v>1783</v>
      </c>
      <c r="G112" s="284" t="s">
        <v>1784</v>
      </c>
      <c r="H112" s="284" t="s">
        <v>1724</v>
      </c>
      <c r="I112" s="284" t="s">
        <v>1767</v>
      </c>
      <c r="J112" s="284" t="s">
        <v>1785</v>
      </c>
      <c r="K112" s="284" t="s">
        <v>1775</v>
      </c>
      <c r="L112" s="284" t="s">
        <v>1715</v>
      </c>
      <c r="M112" s="284" t="s">
        <v>1786</v>
      </c>
      <c r="N112" s="284" t="s">
        <v>1787</v>
      </c>
      <c r="O112" s="284" t="s">
        <v>1788</v>
      </c>
      <c r="P112" s="284" t="s">
        <v>1789</v>
      </c>
      <c r="Q112" s="284" t="s">
        <v>1790</v>
      </c>
      <c r="R112" s="284" t="s">
        <v>1791</v>
      </c>
      <c r="S112" s="284" t="s">
        <v>1792</v>
      </c>
      <c r="T112" s="284" t="s">
        <v>1793</v>
      </c>
      <c r="U112" s="284" t="s">
        <v>1794</v>
      </c>
      <c r="V112" s="284" t="s">
        <v>1795</v>
      </c>
    </row>
    <row r="113" spans="1:22">
      <c r="A113" s="284" t="s">
        <v>1314</v>
      </c>
      <c r="B113" s="284" t="s">
        <v>1325</v>
      </c>
      <c r="C113" s="284">
        <v>60</v>
      </c>
      <c r="D113" s="284" t="s">
        <v>1369</v>
      </c>
      <c r="E113" s="284" t="s">
        <v>1796</v>
      </c>
      <c r="F113" s="284" t="s">
        <v>1796</v>
      </c>
      <c r="G113" s="284" t="s">
        <v>1797</v>
      </c>
      <c r="H113" s="284" t="s">
        <v>1798</v>
      </c>
      <c r="I113" s="284" t="s">
        <v>1799</v>
      </c>
      <c r="J113" s="284" t="s">
        <v>1800</v>
      </c>
      <c r="K113" s="284" t="s">
        <v>1787</v>
      </c>
      <c r="L113" s="284" t="s">
        <v>1801</v>
      </c>
      <c r="M113" s="284" t="s">
        <v>1802</v>
      </c>
      <c r="N113" s="284" t="s">
        <v>1803</v>
      </c>
      <c r="O113" s="284" t="s">
        <v>1804</v>
      </c>
      <c r="P113" s="284" t="s">
        <v>1805</v>
      </c>
      <c r="Q113" s="284" t="s">
        <v>1806</v>
      </c>
      <c r="R113" s="284" t="s">
        <v>1807</v>
      </c>
      <c r="S113" s="284" t="s">
        <v>1808</v>
      </c>
      <c r="T113" s="284" t="s">
        <v>1809</v>
      </c>
      <c r="U113" s="284" t="s">
        <v>1810</v>
      </c>
      <c r="V113" s="284" t="s">
        <v>1811</v>
      </c>
    </row>
    <row r="114" spans="1:22">
      <c r="A114" s="284" t="s">
        <v>1314</v>
      </c>
      <c r="B114" s="284" t="s">
        <v>1327</v>
      </c>
      <c r="C114" s="284">
        <v>52</v>
      </c>
      <c r="D114" s="284" t="s">
        <v>1369</v>
      </c>
      <c r="E114" s="284" t="s">
        <v>1812</v>
      </c>
      <c r="F114" s="284" t="s">
        <v>1812</v>
      </c>
      <c r="G114" s="284" t="s">
        <v>1813</v>
      </c>
      <c r="H114" s="284" t="s">
        <v>1814</v>
      </c>
      <c r="I114" s="284" t="s">
        <v>1780</v>
      </c>
      <c r="J114" s="284" t="s">
        <v>1815</v>
      </c>
      <c r="K114" s="284" t="s">
        <v>1816</v>
      </c>
      <c r="L114" s="284" t="s">
        <v>1817</v>
      </c>
      <c r="M114" s="284" t="s">
        <v>1818</v>
      </c>
      <c r="N114" s="284" t="s">
        <v>1819</v>
      </c>
      <c r="O114" s="284" t="s">
        <v>1820</v>
      </c>
      <c r="P114" s="284" t="s">
        <v>1808</v>
      </c>
      <c r="Q114" s="284" t="s">
        <v>1821</v>
      </c>
      <c r="R114" s="284" t="s">
        <v>1822</v>
      </c>
      <c r="S114" s="284" t="s">
        <v>1823</v>
      </c>
      <c r="T114" s="284" t="s">
        <v>1824</v>
      </c>
      <c r="U114" s="284" t="s">
        <v>1825</v>
      </c>
      <c r="V114" s="284" t="s">
        <v>1826</v>
      </c>
    </row>
    <row r="115" spans="1:22">
      <c r="A115" s="284" t="s">
        <v>1314</v>
      </c>
      <c r="B115" s="284" t="s">
        <v>1329</v>
      </c>
      <c r="C115" s="284">
        <v>46</v>
      </c>
      <c r="D115" s="284" t="s">
        <v>1369</v>
      </c>
      <c r="E115" s="284" t="s">
        <v>1729</v>
      </c>
      <c r="F115" s="284" t="s">
        <v>1729</v>
      </c>
      <c r="G115" s="284" t="s">
        <v>1781</v>
      </c>
      <c r="H115" s="284" t="s">
        <v>1802</v>
      </c>
      <c r="I115" s="284" t="s">
        <v>1827</v>
      </c>
      <c r="J115" s="284" t="s">
        <v>1817</v>
      </c>
      <c r="K115" s="284" t="s">
        <v>1828</v>
      </c>
      <c r="L115" s="284" t="s">
        <v>1805</v>
      </c>
      <c r="M115" s="284" t="s">
        <v>1829</v>
      </c>
      <c r="N115" s="284" t="s">
        <v>1808</v>
      </c>
      <c r="O115" s="284" t="s">
        <v>1830</v>
      </c>
      <c r="P115" s="284" t="s">
        <v>1831</v>
      </c>
      <c r="Q115" s="284" t="s">
        <v>1832</v>
      </c>
      <c r="R115" s="284" t="s">
        <v>1833</v>
      </c>
      <c r="S115" s="284" t="s">
        <v>1834</v>
      </c>
      <c r="T115" s="284" t="s">
        <v>1835</v>
      </c>
      <c r="U115" s="284" t="s">
        <v>1836</v>
      </c>
      <c r="V115" s="284" t="s">
        <v>1837</v>
      </c>
    </row>
    <row r="116" spans="1:22">
      <c r="A116" s="284" t="s">
        <v>1331</v>
      </c>
      <c r="B116" s="284" t="s">
        <v>1332</v>
      </c>
      <c r="C116" s="284">
        <v>51</v>
      </c>
      <c r="D116" s="284" t="s">
        <v>1369</v>
      </c>
      <c r="E116" s="284" t="s">
        <v>1838</v>
      </c>
      <c r="F116" s="284" t="s">
        <v>1838</v>
      </c>
      <c r="G116" s="284" t="s">
        <v>1839</v>
      </c>
      <c r="H116" s="284" t="s">
        <v>1828</v>
      </c>
      <c r="I116" s="284" t="s">
        <v>1840</v>
      </c>
      <c r="J116" s="284" t="s">
        <v>1793</v>
      </c>
      <c r="K116" s="284" t="s">
        <v>1841</v>
      </c>
      <c r="L116" s="284" t="s">
        <v>1842</v>
      </c>
      <c r="M116" s="284" t="s">
        <v>1843</v>
      </c>
      <c r="N116" s="284" t="s">
        <v>1844</v>
      </c>
      <c r="O116" s="284" t="s">
        <v>1845</v>
      </c>
      <c r="P116" s="284" t="s">
        <v>1846</v>
      </c>
      <c r="Q116" s="284" t="s">
        <v>1847</v>
      </c>
      <c r="R116" s="284" t="s">
        <v>1848</v>
      </c>
      <c r="S116" s="284" t="s">
        <v>1825</v>
      </c>
      <c r="T116" s="284" t="s">
        <v>1849</v>
      </c>
      <c r="U116" s="284" t="s">
        <v>1850</v>
      </c>
      <c r="V116" s="284" t="s">
        <v>1851</v>
      </c>
    </row>
    <row r="117" spans="1:22">
      <c r="A117" s="284" t="s">
        <v>1331</v>
      </c>
      <c r="B117" s="284" t="s">
        <v>1334</v>
      </c>
      <c r="C117" s="284">
        <v>44</v>
      </c>
      <c r="D117" s="284" t="s">
        <v>1369</v>
      </c>
      <c r="E117" s="284" t="s">
        <v>1852</v>
      </c>
      <c r="F117" s="284" t="s">
        <v>1853</v>
      </c>
      <c r="G117" s="284" t="s">
        <v>1819</v>
      </c>
      <c r="H117" s="284" t="s">
        <v>1806</v>
      </c>
      <c r="I117" s="284" t="s">
        <v>1829</v>
      </c>
      <c r="J117" s="284" t="s">
        <v>1843</v>
      </c>
      <c r="K117" s="284" t="s">
        <v>1854</v>
      </c>
      <c r="L117" s="284" t="s">
        <v>1855</v>
      </c>
      <c r="M117" s="284" t="s">
        <v>1856</v>
      </c>
      <c r="N117" s="284" t="s">
        <v>1857</v>
      </c>
      <c r="O117" s="284" t="s">
        <v>1858</v>
      </c>
      <c r="P117" s="284" t="s">
        <v>1859</v>
      </c>
      <c r="Q117" s="284" t="s">
        <v>1860</v>
      </c>
      <c r="R117" s="284" t="s">
        <v>1861</v>
      </c>
      <c r="S117" s="284" t="s">
        <v>1862</v>
      </c>
      <c r="T117" s="284" t="s">
        <v>1863</v>
      </c>
      <c r="U117" s="284" t="s">
        <v>1864</v>
      </c>
      <c r="V117" s="284" t="s">
        <v>1865</v>
      </c>
    </row>
    <row r="118" spans="1:22">
      <c r="A118" s="284" t="s">
        <v>1331</v>
      </c>
      <c r="B118" s="284" t="s">
        <v>1336</v>
      </c>
      <c r="C118" s="284">
        <v>37</v>
      </c>
      <c r="D118" s="284" t="s">
        <v>1369</v>
      </c>
      <c r="E118" s="284" t="s">
        <v>1843</v>
      </c>
      <c r="F118" s="284" t="s">
        <v>1866</v>
      </c>
      <c r="G118" s="284" t="s">
        <v>1867</v>
      </c>
      <c r="H118" s="284" t="s">
        <v>1868</v>
      </c>
      <c r="I118" s="284" t="s">
        <v>1869</v>
      </c>
      <c r="J118" s="284" t="s">
        <v>1870</v>
      </c>
      <c r="K118" s="284" t="s">
        <v>1871</v>
      </c>
      <c r="L118" s="284" t="s">
        <v>1872</v>
      </c>
      <c r="M118" s="284" t="s">
        <v>1849</v>
      </c>
      <c r="N118" s="284" t="s">
        <v>1835</v>
      </c>
      <c r="O118" s="284" t="s">
        <v>1873</v>
      </c>
      <c r="P118" s="284" t="s">
        <v>1874</v>
      </c>
      <c r="Q118" s="284" t="s">
        <v>1875</v>
      </c>
      <c r="R118" s="284" t="s">
        <v>1876</v>
      </c>
      <c r="S118" s="284" t="s">
        <v>1877</v>
      </c>
      <c r="T118" s="284" t="s">
        <v>1878</v>
      </c>
      <c r="U118" s="284" t="s">
        <v>1879</v>
      </c>
      <c r="V118" s="284" t="s">
        <v>1880</v>
      </c>
    </row>
    <row r="119" spans="1:22">
      <c r="A119" s="284" t="s">
        <v>1331</v>
      </c>
      <c r="B119" s="284" t="s">
        <v>1338</v>
      </c>
      <c r="C119" s="284">
        <v>30</v>
      </c>
      <c r="D119" s="284" t="s">
        <v>1369</v>
      </c>
      <c r="E119" s="284" t="s">
        <v>1856</v>
      </c>
      <c r="F119" s="284" t="s">
        <v>1881</v>
      </c>
      <c r="G119" s="284" t="s">
        <v>1882</v>
      </c>
      <c r="H119" s="284" t="s">
        <v>1883</v>
      </c>
      <c r="I119" s="284" t="s">
        <v>1884</v>
      </c>
      <c r="J119" s="284" t="s">
        <v>1885</v>
      </c>
      <c r="K119" s="284" t="s">
        <v>1886</v>
      </c>
      <c r="L119" s="284" t="s">
        <v>1887</v>
      </c>
      <c r="M119" s="284" t="s">
        <v>1888</v>
      </c>
      <c r="N119" s="284" t="s">
        <v>1889</v>
      </c>
      <c r="O119" s="284" t="s">
        <v>1890</v>
      </c>
      <c r="P119" s="284" t="s">
        <v>1891</v>
      </c>
      <c r="Q119" s="284" t="s">
        <v>1892</v>
      </c>
      <c r="R119" s="284" t="s">
        <v>1893</v>
      </c>
      <c r="S119" s="284" t="s">
        <v>1894</v>
      </c>
      <c r="T119" s="284" t="s">
        <v>1895</v>
      </c>
      <c r="U119" s="284" t="s">
        <v>1896</v>
      </c>
      <c r="V119" s="284" t="s">
        <v>1897</v>
      </c>
    </row>
    <row r="120" spans="1:22">
      <c r="A120" s="284" t="s">
        <v>1331</v>
      </c>
      <c r="B120" s="284" t="s">
        <v>1340</v>
      </c>
      <c r="C120" s="284">
        <v>23</v>
      </c>
      <c r="D120" s="284" t="s">
        <v>1369</v>
      </c>
      <c r="E120" s="284" t="s">
        <v>1898</v>
      </c>
      <c r="F120" s="284" t="s">
        <v>1899</v>
      </c>
      <c r="G120" s="284" t="s">
        <v>1900</v>
      </c>
      <c r="H120" s="284" t="s">
        <v>1901</v>
      </c>
      <c r="I120" s="284" t="s">
        <v>1902</v>
      </c>
      <c r="J120" s="284" t="s">
        <v>1903</v>
      </c>
      <c r="K120" s="284" t="s">
        <v>1904</v>
      </c>
      <c r="L120" s="284" t="s">
        <v>1905</v>
      </c>
      <c r="M120" s="284" t="s">
        <v>1906</v>
      </c>
      <c r="N120" s="284" t="s">
        <v>1907</v>
      </c>
      <c r="O120" s="284" t="s">
        <v>1908</v>
      </c>
      <c r="P120" s="284" t="s">
        <v>1909</v>
      </c>
      <c r="Q120" s="284" t="s">
        <v>1910</v>
      </c>
      <c r="R120" s="284" t="s">
        <v>1911</v>
      </c>
      <c r="S120" s="284" t="s">
        <v>1912</v>
      </c>
      <c r="T120" s="284" t="s">
        <v>1367</v>
      </c>
      <c r="U120" s="284" t="s">
        <v>1913</v>
      </c>
      <c r="V120" s="284" t="s">
        <v>1528</v>
      </c>
    </row>
  </sheetData>
  <mergeCells count="18">
    <mergeCell ref="AV11:AX11"/>
    <mergeCell ref="BK10:BY10"/>
    <mergeCell ref="BK11:BM11"/>
    <mergeCell ref="BN11:BP11"/>
    <mergeCell ref="BQ11:BS11"/>
    <mergeCell ref="BT11:BV11"/>
    <mergeCell ref="BW11:BY11"/>
    <mergeCell ref="AV10:BJ10"/>
    <mergeCell ref="BH11:BJ11"/>
    <mergeCell ref="BE11:BG11"/>
    <mergeCell ref="BB11:BD11"/>
    <mergeCell ref="AY11:BA11"/>
    <mergeCell ref="AQ11:AU11"/>
    <mergeCell ref="W10:AU10"/>
    <mergeCell ref="W11:AA11"/>
    <mergeCell ref="AB11:AF11"/>
    <mergeCell ref="AG11:AK11"/>
    <mergeCell ref="AL11:AP11"/>
  </mergeCells>
  <pageMargins left="0.7" right="0.7" top="0.75" bottom="0.75" header="0.3" footer="0.3"/>
  <pageSetup paperSize="9" orientation="portrait" horizont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865F4-071C-4CFF-A036-97DBC8278D76}">
  <sheetPr codeName="Sheet14">
    <tabColor theme="9" tint="0.59999389629810485"/>
  </sheetPr>
  <dimension ref="A1:BV139"/>
  <sheetViews>
    <sheetView workbookViewId="0">
      <selection sqref="A1:XFD1048576"/>
    </sheetView>
  </sheetViews>
  <sheetFormatPr defaultColWidth="9.140625" defaultRowHeight="15"/>
  <cols>
    <col min="1" max="1" width="30.85546875" style="308" customWidth="1"/>
    <col min="2" max="2" width="20" style="308" customWidth="1"/>
    <col min="3" max="3" width="27" style="308" customWidth="1"/>
    <col min="4" max="4" width="23.42578125" style="308" customWidth="1"/>
    <col min="5" max="5" width="27.42578125" style="308" customWidth="1"/>
    <col min="6" max="6" width="37.5703125" style="308" customWidth="1"/>
    <col min="7" max="7" width="6" style="308" customWidth="1"/>
    <col min="8" max="13" width="20" style="308" customWidth="1"/>
    <col min="14" max="14" width="6" style="308" customWidth="1"/>
    <col min="15" max="44" width="20" style="308" customWidth="1"/>
    <col min="45" max="16384" width="9.140625" style="308"/>
  </cols>
  <sheetData>
    <row r="1" spans="1:74" ht="75.2" customHeight="1" thickBot="1">
      <c r="A1" s="1393" t="s">
        <v>1914</v>
      </c>
      <c r="B1" s="1394"/>
      <c r="C1" s="1394"/>
      <c r="D1" s="1394"/>
      <c r="E1" s="1394"/>
      <c r="F1" s="1394"/>
      <c r="G1" s="1394"/>
      <c r="H1" s="1394"/>
      <c r="I1" s="1395"/>
      <c r="J1" s="307"/>
      <c r="K1" s="307"/>
      <c r="L1" s="307"/>
      <c r="M1" s="307"/>
      <c r="N1" s="307"/>
      <c r="O1" s="307"/>
      <c r="P1" s="307"/>
      <c r="Q1" s="307"/>
    </row>
    <row r="2" spans="1:74" s="314" customFormat="1" ht="24" customHeight="1" thickBot="1">
      <c r="A2" s="1179"/>
      <c r="B2" s="1179"/>
      <c r="C2" s="1179"/>
      <c r="D2" s="1179"/>
      <c r="E2" s="1179"/>
      <c r="F2" s="1179"/>
      <c r="G2" s="1179"/>
      <c r="H2" s="1179"/>
      <c r="I2" s="1179"/>
      <c r="J2" s="1180"/>
      <c r="K2" s="1180"/>
      <c r="L2" s="1180"/>
      <c r="M2" s="1180"/>
      <c r="N2" s="1180"/>
      <c r="O2" s="1180"/>
      <c r="P2" s="1180"/>
      <c r="Q2" s="1180"/>
    </row>
    <row r="3" spans="1:74" s="1182" customFormat="1" ht="28.5" thickBot="1">
      <c r="A3" s="1181" t="s">
        <v>1915</v>
      </c>
    </row>
    <row r="4" spans="1:74" s="314" customFormat="1" ht="27.75">
      <c r="A4" s="1183"/>
    </row>
    <row r="5" spans="1:74" s="314" customFormat="1" ht="15.75" customHeight="1" thickBot="1">
      <c r="B5" s="1396" t="e">
        <f>IF((HLOOKUP(#REF!,'Ground Model Results'!$D$5:$G$10,6)+HLOOKUP(#REF!,'Ground Model Results'!$D$5:$G$10,6))&lt;5,"WARNING! Thin layers may return shallow foundations as failing and does not consider a third layer. Therefore ground coditions maybe suitable although returning as failing.","")</f>
        <v>#REF!</v>
      </c>
      <c r="C5" s="1396"/>
      <c r="D5" s="1396"/>
      <c r="E5" s="1396"/>
      <c r="F5" s="1396"/>
    </row>
    <row r="6" spans="1:74" ht="17.45" customHeight="1" thickBot="1">
      <c r="A6" s="1184" t="s">
        <v>22</v>
      </c>
      <c r="B6" s="447" t="s">
        <v>1916</v>
      </c>
      <c r="C6" s="1185"/>
      <c r="D6" s="1185"/>
      <c r="E6" s="1185"/>
      <c r="F6" s="1186"/>
      <c r="G6" s="314"/>
      <c r="H6" s="314"/>
      <c r="I6" s="314"/>
      <c r="J6" s="314"/>
      <c r="K6" s="314"/>
      <c r="L6" s="314"/>
      <c r="M6" s="314"/>
      <c r="N6" s="314"/>
      <c r="O6" s="314"/>
      <c r="P6" s="314"/>
      <c r="Q6" s="314"/>
      <c r="R6" s="314"/>
      <c r="S6" s="314"/>
      <c r="T6" s="314"/>
      <c r="U6" s="314"/>
      <c r="V6" s="314"/>
      <c r="W6" s="314"/>
      <c r="X6" s="314"/>
      <c r="Y6" s="314"/>
      <c r="Z6" s="314"/>
      <c r="AA6" s="314"/>
      <c r="AB6" s="314"/>
      <c r="AC6" s="314"/>
      <c r="AD6" s="314"/>
      <c r="AE6" s="314"/>
      <c r="AF6" s="314"/>
      <c r="AG6" s="314"/>
      <c r="AH6" s="314"/>
      <c r="AI6" s="314"/>
      <c r="AJ6" s="314"/>
      <c r="AK6" s="314"/>
      <c r="AL6" s="314"/>
      <c r="AM6" s="314"/>
      <c r="AN6" s="314"/>
      <c r="AO6" s="314"/>
      <c r="AP6" s="314"/>
      <c r="AQ6" s="314"/>
      <c r="AR6" s="314"/>
      <c r="AS6" s="314"/>
      <c r="AT6" s="314"/>
      <c r="AU6" s="314"/>
      <c r="AV6" s="314"/>
      <c r="AW6" s="314"/>
      <c r="AX6" s="314"/>
      <c r="AY6" s="314"/>
      <c r="AZ6" s="314"/>
      <c r="BA6" s="314"/>
      <c r="BB6" s="314"/>
      <c r="BC6" s="314"/>
      <c r="BD6" s="314"/>
      <c r="BE6" s="314"/>
      <c r="BF6" s="314"/>
      <c r="BG6" s="314"/>
      <c r="BH6" s="314"/>
      <c r="BI6" s="314"/>
      <c r="BJ6" s="314"/>
      <c r="BK6" s="314"/>
      <c r="BL6" s="314"/>
      <c r="BM6" s="314"/>
      <c r="BN6" s="314"/>
      <c r="BO6" s="314"/>
      <c r="BP6" s="314"/>
      <c r="BQ6" s="314"/>
      <c r="BR6" s="314"/>
      <c r="BS6" s="314"/>
      <c r="BT6" s="314"/>
      <c r="BU6" s="314"/>
      <c r="BV6" s="314"/>
    </row>
    <row r="7" spans="1:74" ht="15.75" thickBot="1">
      <c r="A7" s="1187" t="s">
        <v>1917</v>
      </c>
      <c r="B7" s="1390" t="e">
        <f>IF(#REF!&gt;0,"Volume of concrete required = "&amp;#REF!&amp;" m3.","Bearing resistance of shallow foundations does not meet loading requirements, please use another foundation type.")</f>
        <v>#REF!</v>
      </c>
      <c r="C7" s="1391"/>
      <c r="D7" s="1391"/>
      <c r="E7" s="1391"/>
      <c r="F7" s="1392"/>
      <c r="G7" s="314"/>
      <c r="H7" s="314"/>
      <c r="I7" s="314"/>
      <c r="J7" s="314"/>
      <c r="K7" s="314"/>
      <c r="L7" s="314"/>
      <c r="M7" s="314"/>
      <c r="N7" s="314"/>
      <c r="O7" s="314"/>
      <c r="P7" s="314"/>
      <c r="Q7" s="314"/>
      <c r="R7" s="314"/>
      <c r="S7" s="314"/>
      <c r="T7" s="314"/>
      <c r="U7" s="314"/>
      <c r="V7" s="314"/>
      <c r="W7" s="314"/>
      <c r="X7" s="314"/>
      <c r="Y7" s="314"/>
      <c r="Z7" s="314"/>
      <c r="AA7" s="314"/>
      <c r="AB7" s="314"/>
      <c r="AC7" s="314"/>
      <c r="AD7" s="314"/>
      <c r="AE7" s="314"/>
      <c r="AF7" s="314"/>
      <c r="AG7" s="314"/>
      <c r="AH7" s="314"/>
      <c r="AI7" s="314"/>
      <c r="AJ7" s="314"/>
      <c r="AK7" s="314"/>
      <c r="AL7" s="314"/>
      <c r="AM7" s="314"/>
      <c r="AN7" s="314"/>
      <c r="AO7" s="314"/>
      <c r="AP7" s="314"/>
      <c r="AQ7" s="314"/>
      <c r="AR7" s="314"/>
      <c r="AS7" s="314"/>
      <c r="AT7" s="314"/>
      <c r="AU7" s="314"/>
      <c r="AV7" s="314"/>
      <c r="AW7" s="314"/>
      <c r="AX7" s="314"/>
      <c r="AY7" s="314"/>
      <c r="AZ7" s="314"/>
      <c r="BA7" s="314"/>
      <c r="BB7" s="314"/>
      <c r="BC7" s="314"/>
      <c r="BD7" s="314"/>
      <c r="BE7" s="314"/>
      <c r="BF7" s="314"/>
      <c r="BG7" s="314"/>
      <c r="BH7" s="314"/>
      <c r="BI7" s="314"/>
      <c r="BJ7" s="314"/>
      <c r="BK7" s="314"/>
      <c r="BL7" s="314"/>
      <c r="BM7" s="314"/>
      <c r="BN7" s="314"/>
      <c r="BO7" s="314"/>
      <c r="BP7" s="314"/>
      <c r="BQ7" s="314"/>
      <c r="BR7" s="314"/>
      <c r="BS7" s="314"/>
      <c r="BT7" s="314"/>
      <c r="BU7" s="314"/>
      <c r="BV7" s="314"/>
    </row>
    <row r="8" spans="1:74" s="314" customFormat="1" ht="15.75" thickBot="1">
      <c r="A8" s="1188" t="s">
        <v>1918</v>
      </c>
      <c r="B8" s="1390" t="e">
        <f>IF(#REF!&gt;0,"Volume of concrete required = "&amp;#REF!&amp;" m3.","Bearing resistance of shallow foundations does not meet loading requirements, please use another foundation type.")</f>
        <v>#REF!</v>
      </c>
      <c r="C8" s="1391"/>
      <c r="D8" s="1391"/>
      <c r="E8" s="1391"/>
      <c r="F8" s="1392"/>
      <c r="G8" s="1189"/>
      <c r="H8" s="1189"/>
      <c r="I8" s="1189"/>
      <c r="J8" s="1189"/>
    </row>
    <row r="9" spans="1:74" s="314" customFormat="1" ht="15.75" thickBot="1">
      <c r="A9" s="1190" t="s">
        <v>1919</v>
      </c>
      <c r="B9" s="1390" t="e">
        <f>IF(#REF!&gt;0,"Volume of concrete required = "&amp;#REF!&amp;" m3.","Bearing resistance of shallow foundations does not meet loading requirements, please use another foundation type.")</f>
        <v>#REF!</v>
      </c>
      <c r="C9" s="1391"/>
      <c r="D9" s="1391"/>
      <c r="E9" s="1391"/>
      <c r="F9" s="1392"/>
      <c r="G9" s="1189"/>
      <c r="H9" s="1189"/>
      <c r="I9" s="1189"/>
      <c r="J9" s="1189"/>
    </row>
    <row r="10" spans="1:74" s="314" customFormat="1" ht="15.75" thickBot="1">
      <c r="A10" s="1188" t="s">
        <v>1920</v>
      </c>
      <c r="B10" s="1390" t="e">
        <f>IF(#REF!&gt;0,"Volume of concrete required = "&amp;#REF!&amp;" m3.","Bearing resistance of shallow foundations does not meet loading requirements, please use another foundation type.")</f>
        <v>#REF!</v>
      </c>
      <c r="C10" s="1391"/>
      <c r="D10" s="1391"/>
      <c r="E10" s="1391"/>
      <c r="F10" s="1392"/>
      <c r="G10" s="1189"/>
      <c r="H10" s="1189"/>
      <c r="I10" s="1189"/>
      <c r="J10" s="1189"/>
    </row>
    <row r="11" spans="1:74" s="314" customFormat="1" ht="15.75" thickBot="1">
      <c r="A11" s="1190" t="s">
        <v>1921</v>
      </c>
      <c r="B11" s="1390" t="e">
        <f>IF(#REF!&gt;0,"Volume of concrete required = "&amp;#REF!&amp;" m3.","Bearing resistance of shallow foundations does not meet loading requirements, please use another foundation type.")</f>
        <v>#REF!</v>
      </c>
      <c r="C11" s="1391"/>
      <c r="D11" s="1391"/>
      <c r="E11" s="1391"/>
      <c r="F11" s="1392"/>
      <c r="G11" s="1189"/>
      <c r="H11" s="1189"/>
      <c r="I11" s="1189"/>
      <c r="J11" s="1189"/>
    </row>
    <row r="12" spans="1:74" s="314" customFormat="1" ht="15.75" thickBot="1">
      <c r="A12" s="1188" t="s">
        <v>1922</v>
      </c>
      <c r="B12" s="1397" t="e">
        <f>IF(#REF!&gt;0,"Volume of concrete required = "&amp;#REF!&amp;" m3.","Bearing resistance of shallow foundations does not meet loading requirements, please use another foundation type.")</f>
        <v>#REF!</v>
      </c>
      <c r="C12" s="1398"/>
      <c r="D12" s="1398"/>
      <c r="E12" s="1398"/>
      <c r="F12" s="1399"/>
      <c r="G12" s="1189"/>
      <c r="H12" s="1189"/>
      <c r="I12" s="1189"/>
      <c r="J12" s="1189"/>
    </row>
    <row r="13" spans="1:74" s="314" customFormat="1" ht="15.75" thickBot="1">
      <c r="A13" s="1190" t="s">
        <v>1923</v>
      </c>
      <c r="B13" s="1390" t="e">
        <f>IF(#REF!&gt;0,"Volume of concrete required = "&amp;#REF!&amp;" m3.","Bearing resistance of shallow foundations does not meet loading requirements, please use another foundation type.")</f>
        <v>#REF!</v>
      </c>
      <c r="C13" s="1391"/>
      <c r="D13" s="1391"/>
      <c r="E13" s="1391"/>
      <c r="F13" s="1392"/>
      <c r="G13" s="1189"/>
      <c r="H13" s="1189"/>
      <c r="I13" s="1189"/>
      <c r="J13" s="1189"/>
    </row>
    <row r="14" spans="1:74" s="314" customFormat="1" ht="15.75" thickBot="1">
      <c r="A14" s="1188" t="s">
        <v>1924</v>
      </c>
      <c r="B14" s="1390" t="e">
        <f>IF(#REF!&gt;0,"Volume of concrete required = "&amp;#REF!&amp;" m3.","Bearing resistance of shallow foundations does not meet loading requirements, please use another foundation type.")</f>
        <v>#REF!</v>
      </c>
      <c r="C14" s="1391"/>
      <c r="D14" s="1391"/>
      <c r="E14" s="1391"/>
      <c r="F14" s="1392"/>
      <c r="G14" s="1189"/>
      <c r="H14" s="1189"/>
      <c r="I14" s="1189"/>
      <c r="J14" s="1189"/>
    </row>
    <row r="15" spans="1:74" s="314" customFormat="1" ht="15.75" thickBot="1">
      <c r="A15" s="1190" t="s">
        <v>1925</v>
      </c>
      <c r="B15" s="1390" t="e">
        <f>IF(#REF!&gt;0,"Volume of concrete required = "&amp;#REF!&amp;" m3.","Bearing resistance of shallow foundations does not meet loading requirements, please use another foundation type.")</f>
        <v>#REF!</v>
      </c>
      <c r="C15" s="1391"/>
      <c r="D15" s="1391"/>
      <c r="E15" s="1391"/>
      <c r="F15" s="1392"/>
      <c r="G15" s="1189"/>
      <c r="H15" s="1189"/>
      <c r="I15" s="1189"/>
      <c r="J15" s="1189"/>
    </row>
    <row r="16" spans="1:74" s="314" customFormat="1" ht="15.75" thickBot="1">
      <c r="A16" s="1188" t="s">
        <v>861</v>
      </c>
      <c r="B16" s="1390" t="e">
        <f>IF(#REF!&gt;0,"Volume of concrete required = "&amp;#REF!&amp;" m3.","Bearing resistance of shallow foundations does not meet loading requirements, please use another foundation type.")</f>
        <v>#REF!</v>
      </c>
      <c r="C16" s="1391"/>
      <c r="D16" s="1391"/>
      <c r="E16" s="1391"/>
      <c r="F16" s="1392"/>
      <c r="G16" s="1189"/>
      <c r="H16" s="1189"/>
      <c r="I16" s="1189"/>
      <c r="J16" s="1189"/>
    </row>
    <row r="17" spans="1:74" s="314" customFormat="1" ht="15.75" thickBot="1">
      <c r="A17" s="1190" t="s">
        <v>862</v>
      </c>
      <c r="B17" s="1390" t="e">
        <f>IF(#REF!&gt;0,"Volume of concrete required = "&amp;#REF!&amp;" m3.","Bearing resistance of shallow foundations does not meet loading requirements, please use another foundation type.")</f>
        <v>#REF!</v>
      </c>
      <c r="C17" s="1391"/>
      <c r="D17" s="1391"/>
      <c r="E17" s="1391"/>
      <c r="F17" s="1392"/>
      <c r="G17" s="1189"/>
      <c r="H17" s="1189"/>
      <c r="I17" s="1189"/>
      <c r="J17" s="1189"/>
    </row>
    <row r="18" spans="1:74" s="314" customFormat="1" ht="15.75" thickBot="1">
      <c r="A18" s="1191" t="s">
        <v>740</v>
      </c>
      <c r="B18" s="1390" t="e">
        <f>IF(#REF!&gt;0,"Volume of concrete required = "&amp;#REF!&amp;" m3.","Bearing resistance of shallow foundations does not meet loading requirements, please use another foundation type.")</f>
        <v>#REF!</v>
      </c>
      <c r="C18" s="1391"/>
      <c r="D18" s="1391"/>
      <c r="E18" s="1391"/>
      <c r="F18" s="1392"/>
      <c r="G18" s="1189"/>
      <c r="H18" s="1189"/>
      <c r="I18" s="1189"/>
      <c r="J18" s="1189"/>
    </row>
    <row r="19" spans="1:74" s="314" customFormat="1"/>
    <row r="20" spans="1:74" s="314" customFormat="1" ht="15.75" thickBot="1"/>
    <row r="21" spans="1:74" s="1193" customFormat="1" ht="27" customHeight="1" thickBot="1">
      <c r="A21" s="1192" t="s">
        <v>1926</v>
      </c>
    </row>
    <row r="22" spans="1:74" s="314" customFormat="1" ht="15.75" thickBot="1"/>
    <row r="23" spans="1:74" ht="15.75" thickBot="1">
      <c r="A23" s="1184" t="s">
        <v>1927</v>
      </c>
      <c r="B23" s="450" t="s">
        <v>1916</v>
      </c>
      <c r="C23" s="1194"/>
      <c r="D23" s="1194"/>
      <c r="E23" s="1194"/>
      <c r="F23" s="1195"/>
      <c r="G23" s="450" t="s">
        <v>1928</v>
      </c>
      <c r="H23" s="1194"/>
      <c r="I23" s="1194"/>
      <c r="J23" s="1194"/>
      <c r="K23" s="1195"/>
      <c r="L23" s="314"/>
      <c r="M23" s="314"/>
      <c r="N23" s="314"/>
      <c r="O23" s="314"/>
      <c r="P23" s="314"/>
      <c r="Q23" s="314"/>
      <c r="R23" s="314"/>
      <c r="S23" s="314"/>
      <c r="T23" s="314"/>
      <c r="U23" s="314"/>
      <c r="V23" s="314"/>
      <c r="W23" s="314"/>
      <c r="X23" s="314"/>
      <c r="Y23" s="314"/>
      <c r="Z23" s="314"/>
      <c r="AA23" s="314"/>
      <c r="AB23" s="314"/>
      <c r="AC23" s="314"/>
      <c r="AD23" s="314"/>
      <c r="AE23" s="314"/>
      <c r="AF23" s="314"/>
      <c r="AG23" s="314"/>
      <c r="AH23" s="314"/>
      <c r="AI23" s="314"/>
      <c r="AJ23" s="314"/>
      <c r="AK23" s="314"/>
      <c r="AL23" s="314"/>
      <c r="AM23" s="314"/>
      <c r="AN23" s="314"/>
      <c r="AO23" s="314"/>
      <c r="AP23" s="314"/>
      <c r="AQ23" s="314"/>
      <c r="AR23" s="314"/>
      <c r="AS23" s="314"/>
      <c r="AT23" s="314"/>
      <c r="AU23" s="314"/>
      <c r="AV23" s="314"/>
      <c r="AW23" s="314"/>
      <c r="AX23" s="314"/>
      <c r="AY23" s="314"/>
      <c r="AZ23" s="314"/>
      <c r="BA23" s="314"/>
      <c r="BB23" s="314"/>
      <c r="BC23" s="314"/>
      <c r="BD23" s="314"/>
      <c r="BE23" s="314"/>
      <c r="BF23" s="314"/>
      <c r="BG23" s="314"/>
      <c r="BH23" s="314"/>
      <c r="BI23" s="314"/>
      <c r="BJ23" s="314"/>
      <c r="BK23" s="314"/>
      <c r="BL23" s="314"/>
      <c r="BM23" s="314"/>
      <c r="BN23" s="314"/>
      <c r="BO23" s="314"/>
      <c r="BP23" s="314"/>
      <c r="BQ23" s="314"/>
      <c r="BR23" s="314"/>
      <c r="BS23" s="314"/>
      <c r="BT23" s="314"/>
      <c r="BU23" s="314"/>
      <c r="BV23" s="314"/>
    </row>
    <row r="24" spans="1:74" ht="15.75" thickBot="1">
      <c r="A24" s="1196" t="s">
        <v>1917</v>
      </c>
      <c r="B24" s="1400" t="e">
        <f>IF(ISNUMBER(SEARCH("chalk",#REF!)),_xlfn.IFS(AND(#REF!&gt;#REF!,#REF!&gt;MAX(#REF!)),"Proposed foundation is likely to work, subject to further soil-structure interface analysis. The volume of concrete required = "&amp;Inputs!$B$27*Inputs!$B$28*Inputs!$E$28&amp;" m3.",AND(#REF!&gt;#REF!,#REF!&lt;MAX(#REF!),1.3*#REF!&gt;MAX(#REF!)),"Proposed foundation might work, subject to further soil-structure interface analysis. The volume of concrete required = "&amp;Inputs!$B$27*Inputs!$B$28*Inputs!$E$28&amp;" m3.",OR(#REF!&lt;#REF!,1.3*#REF!&lt;MAX(#REF!)),"Bearing resistance of foundation is insufficient, please use an alternative foundation method."),_xlfn.IFS(AND(#REF!&gt;#REF!,#REF!&gt;#REF!,#REF!&gt;MAX(#REF!),#REF!&gt;MAX(#REF!)),"Proposed foundation is likely to work, subject to further soil-structure interface analysis. The volume of concrete required = "&amp;Inputs!$B$27*Inputs!$B$28*Inputs!$E$28&amp;" m3.",AND(#REF!&gt;#REF!,#REF!&gt;#REF!,OR(#REF!&lt;MAX(#REF!),#REF!&lt;MAX(#REF!)),1.3*#REF!&gt;MAX(#REF!),1.3*#REF!&gt;MAX(#REF!)),"Proposed foundation might work, subject to further soil-structure interface analysis. The volume of concrete required = "&amp;Inputs!$B$27*Inputs!$B$28*Inputs!$E$28&amp;" m3.",OR(#REF!&lt;#REF!,#REF!&lt;#REF!,1.3*#REF!&lt;MAX(#REF!),1.3*#REF!&lt;MAX(#REF!)),"Bearing resistance of foundation is insufficient, please use an alternative foundation method."))</f>
        <v>#REF!</v>
      </c>
      <c r="C24" s="1401"/>
      <c r="D24" s="1401"/>
      <c r="E24" s="1401"/>
      <c r="F24" s="1402"/>
      <c r="G24" s="1400" t="e">
        <f>IF(B24="Bearing resistance of foundation is insufficient, please use an alternative foundation method.","N/A",_xlfn.IFS(#REF!="OK","The proposed foundation is unlikely to require tension piles.",#REF!="NOT OK","The proposed foundation is likely to require tension piles."))</f>
        <v>#REF!</v>
      </c>
      <c r="H24" s="1401"/>
      <c r="I24" s="1401"/>
      <c r="J24" s="1401"/>
      <c r="K24" s="1402"/>
      <c r="L24" s="314"/>
      <c r="M24" s="314"/>
      <c r="N24" s="314"/>
      <c r="O24" s="314"/>
      <c r="P24" s="314"/>
      <c r="Q24" s="314"/>
      <c r="R24" s="314"/>
      <c r="S24" s="314"/>
      <c r="T24" s="314"/>
      <c r="U24" s="314"/>
      <c r="V24" s="314"/>
      <c r="W24" s="314"/>
      <c r="X24" s="314"/>
      <c r="Y24" s="314"/>
      <c r="Z24" s="314"/>
      <c r="AA24" s="314"/>
      <c r="AB24" s="314"/>
      <c r="AC24" s="314"/>
      <c r="AD24" s="314"/>
      <c r="AE24" s="314"/>
      <c r="AF24" s="314"/>
      <c r="AG24" s="314"/>
      <c r="AH24" s="314"/>
      <c r="AI24" s="314"/>
      <c r="AJ24" s="314"/>
      <c r="AK24" s="314"/>
      <c r="AL24" s="314"/>
      <c r="AM24" s="314"/>
      <c r="AN24" s="314"/>
      <c r="AO24" s="314"/>
      <c r="AP24" s="314"/>
      <c r="AQ24" s="314"/>
      <c r="AR24" s="314"/>
      <c r="AS24" s="314"/>
      <c r="AT24" s="314"/>
      <c r="AU24" s="314"/>
      <c r="AV24" s="314"/>
      <c r="AW24" s="314"/>
      <c r="AX24" s="314"/>
      <c r="AY24" s="314"/>
      <c r="AZ24" s="314"/>
      <c r="BA24" s="314"/>
      <c r="BB24" s="314"/>
      <c r="BC24" s="314"/>
      <c r="BD24" s="314"/>
      <c r="BE24" s="314"/>
      <c r="BF24" s="314"/>
      <c r="BG24" s="314"/>
      <c r="BH24" s="314"/>
      <c r="BI24" s="314"/>
      <c r="BJ24" s="314"/>
      <c r="BK24" s="314"/>
      <c r="BL24" s="314"/>
      <c r="BM24" s="314"/>
      <c r="BN24" s="314"/>
      <c r="BO24" s="314"/>
      <c r="BP24" s="314"/>
      <c r="BQ24" s="314"/>
      <c r="BR24" s="314"/>
      <c r="BS24" s="314"/>
      <c r="BT24" s="314"/>
      <c r="BU24" s="314"/>
      <c r="BV24" s="314"/>
    </row>
    <row r="25" spans="1:74" s="314" customFormat="1" ht="15.75" thickBot="1">
      <c r="A25" s="1196" t="s">
        <v>1918</v>
      </c>
      <c r="B25" s="1400" t="e">
        <f>IF(ISNUMBER(SEARCH("chalk",#REF!)),_xlfn.IFS(AND(#REF!&gt;#REF!,#REF!&gt;MAX(#REF!)),"Proposed foundation is likely to work, subject to further soil-structure interface analysis. The volume of concrete required = "&amp;Inputs!B27*Inputs!B28*Inputs!$E$28&amp;" m3.",AND(#REF!&gt;#REF!,#REF!&lt;MAX(#REF!),1.3*#REF!&gt;MAX(#REF!)),"Proposed foundation might work, subject to further soil-structure interface analysis. The volume of concrete required = "&amp;Inputs!B27*Inputs!B28*Inputs!$E$28&amp;" m3.",OR(#REF!&lt;#REF!,1.3*#REF!&lt;MAX(#REF!)),"Bearing resistance of foundation is insufficient, please use an alternative foundation method."),_xlfn.IFS(AND(#REF!&gt;#REF!,#REF!&gt;#REF!,#REF!&gt;MAX(#REF!),#REF!&gt;MAX(#REF!)),"Proposed foundation is likely to work, subject to further soil-structure interface analysis. The volume of concrete required = "&amp;Inputs!B27*Inputs!B28*Inputs!$E$28&amp;" m3.",AND(#REF!&gt;#REF!,#REF!&gt;#REF!,OR(#REF!&lt;MAX(#REF!),#REF!&lt;MAX(#REF!)),1.3*#REF!&gt;MAX(#REF!),1.3*#REF!&gt;MAX(#REF!)),"Proposed foundation might work, subject to further soil-structure interface analysis. The volume of concrete required = "&amp;Inputs!B27*Inputs!B28*Inputs!$E$28&amp;" m3.",OR(#REF!&lt;#REF!,#REF!&lt;#REF!,1.3*#REF!&lt;MAX(#REF!),1.3*#REF!&lt;MAX(#REF!)),"Bearing resistance of foundation is insufficient, please use an alternative foundation method."))</f>
        <v>#REF!</v>
      </c>
      <c r="C25" s="1401"/>
      <c r="D25" s="1401"/>
      <c r="E25" s="1401"/>
      <c r="F25" s="1402"/>
      <c r="G25" s="1400" t="e">
        <f>IF(B25="Bearing resistance of foundation is insufficient, please use an alternative foundation method.","N/A",_xlfn.IFS(#REF!="OK","The proposed foundation is unlikely to require tension piles.",#REF!="NOT OK","The proposed foundation is likely to require tension piles."))</f>
        <v>#REF!</v>
      </c>
      <c r="H25" s="1401"/>
      <c r="I25" s="1401"/>
      <c r="J25" s="1401"/>
      <c r="K25" s="1402"/>
    </row>
    <row r="26" spans="1:74" ht="15.75" thickBot="1">
      <c r="A26" s="1196" t="s">
        <v>1919</v>
      </c>
      <c r="B26" s="1400" t="e">
        <f>IF(ISNUMBER(SEARCH("chalk",#REF!)),_xlfn.IFS(AND(#REF!&gt;#REF!,#REF!&gt;MAX(#REF!)),"Proposed foundation is likely to work, subject to further soil-structure interface analysis. The volume of concrete required = "&amp;Inputs!B27*Inputs!B28*Inputs!$E$28&amp;" m3.",AND(#REF!&gt;#REF!,#REF!&lt;MAX(#REF!),1.3*#REF!&gt;MAX(#REF!)),"Proposed foundation might work, subject to further soil-structure interface analysis. The volume of concrete required = "&amp;Inputs!B27*Inputs!B28*Inputs!$E$28&amp;" m3.",OR(#REF!&lt;#REF!,1.3*#REF!&lt;MAX(#REF!)),"Bearing resistance of foundation is insufficient, please use an alternative foundation method."),_xlfn.IFS(AND(#REF!&gt;#REF!,#REF!&gt;#REF!,#REF!&gt;MAX(#REF!),#REF!&gt;MAX(#REF!)),"Proposed foundation is likely to work, subject to further soil-structure interface analysis. The volume of concrete required = "&amp;Inputs!B27*Inputs!B28*Inputs!$E$28&amp;" m3.",AND(#REF!&gt;#REF!,#REF!&gt;#REF!,OR(#REF!&lt;MAX(#REF!),#REF!&lt;MAX(#REF!)),1.3*#REF!&gt;MAX(#REF!),1.3*#REF!&gt;MAX(#REF!)),"Proposed foundation might work, subject to further soil-structure interface analysis. The volume of concrete required = "&amp;Inputs!B27*Inputs!B28*Inputs!$E$28&amp;" m3.",OR(#REF!&lt;#REF!,#REF!&lt;#REF!,1.3*#REF!&lt;MAX(#REF!),1.3*#REF!&lt;MAX(#REF!)),"Bearing resistance of foundation is insufficient, please use an alternative foundation method."))</f>
        <v>#REF!</v>
      </c>
      <c r="C26" s="1401"/>
      <c r="D26" s="1401"/>
      <c r="E26" s="1401"/>
      <c r="F26" s="1402"/>
      <c r="G26" s="1400" t="e">
        <f>IF(B26="Bearing resistance of foundation is insufficient, please use an alternative foundation method.","N/A",_xlfn.IFS(#REF!="OK","The proposed foundation is unlikely to require tension piles.",#REF!="NOT OK","The proposed foundation is likely to require tension piles."))</f>
        <v>#REF!</v>
      </c>
      <c r="H26" s="1401"/>
      <c r="I26" s="1401"/>
      <c r="J26" s="1401"/>
      <c r="K26" s="1402"/>
      <c r="L26" s="314"/>
      <c r="M26" s="314"/>
      <c r="N26" s="314"/>
      <c r="O26" s="314"/>
      <c r="P26" s="314"/>
      <c r="Q26" s="314"/>
      <c r="R26" s="314"/>
      <c r="S26" s="314"/>
      <c r="T26" s="314"/>
      <c r="U26" s="314"/>
      <c r="V26" s="314"/>
      <c r="W26" s="314"/>
      <c r="X26" s="314"/>
      <c r="Y26" s="314"/>
      <c r="Z26" s="314"/>
      <c r="AA26" s="314"/>
      <c r="AB26" s="314"/>
      <c r="AC26" s="314"/>
      <c r="AD26" s="314"/>
      <c r="AE26" s="314"/>
      <c r="AF26" s="314"/>
      <c r="AG26" s="314"/>
      <c r="AH26" s="314"/>
      <c r="AI26" s="314"/>
      <c r="AJ26" s="314"/>
      <c r="AK26" s="314"/>
      <c r="AL26" s="314"/>
      <c r="AM26" s="314"/>
      <c r="AN26" s="314"/>
      <c r="AO26" s="314"/>
      <c r="AP26" s="314"/>
      <c r="AQ26" s="314"/>
      <c r="AR26" s="314"/>
      <c r="AS26" s="314"/>
      <c r="AT26" s="314"/>
      <c r="AU26" s="314"/>
      <c r="AV26" s="314"/>
      <c r="AW26" s="314"/>
      <c r="AX26" s="314"/>
      <c r="AY26" s="314"/>
      <c r="AZ26" s="314"/>
      <c r="BA26" s="314"/>
      <c r="BB26" s="314"/>
      <c r="BC26" s="314"/>
      <c r="BD26" s="314"/>
      <c r="BE26" s="314"/>
      <c r="BF26" s="314"/>
      <c r="BG26" s="314"/>
      <c r="BH26" s="314"/>
      <c r="BI26" s="314"/>
      <c r="BJ26" s="314"/>
      <c r="BK26" s="314"/>
      <c r="BL26" s="314"/>
      <c r="BM26" s="314"/>
      <c r="BN26" s="314"/>
      <c r="BO26" s="314"/>
      <c r="BP26" s="314"/>
      <c r="BQ26" s="314"/>
      <c r="BR26" s="314"/>
      <c r="BS26" s="314"/>
      <c r="BT26" s="314"/>
      <c r="BU26" s="314"/>
      <c r="BV26" s="314"/>
    </row>
    <row r="27" spans="1:74" ht="15.75" thickBot="1">
      <c r="A27" s="1196" t="s">
        <v>1920</v>
      </c>
      <c r="B27" s="1400" t="e">
        <f>IF(ISNUMBER(SEARCH("chalk",#REF!)),_xlfn.IFS(AND(#REF!&gt;#REF!,#REF!&gt;MAX(#REF!)),"Proposed foundation is likely to work, subject to further soil-structure interface analysis. The volume of concrete required = "&amp;Inputs!B27*Inputs!B28*Inputs!$E$28&amp;" m3.",AND(#REF!&gt;#REF!,#REF!&lt;MAX(#REF!),1.3*#REF!&gt;MAX(#REF!)),"Proposed foundation might work, subject to further soil-structure interface analysis. The volume of concrete required = "&amp;Inputs!B27*Inputs!B28*Inputs!$E$28&amp;" m3.",OR(#REF!&lt;#REF!,1.3*#REF!&lt;MAX(#REF!)),"Bearing resistance of foundation is insufficient, please use an alternative foundation method."),_xlfn.IFS(AND(#REF!&gt;#REF!,#REF!&gt;#REF!,#REF!&gt;MAX(#REF!),#REF!&gt;MAX(#REF!)),"Proposed foundation is likely to work, subject to further soil-structure interface analysis. The volume of concrete required = "&amp;Inputs!B27*Inputs!B28*Inputs!$E$28&amp;" m3.",AND(#REF!&gt;#REF!,#REF!&gt;#REF!,OR(#REF!&lt;MAX(#REF!),#REF!&lt;MAX(#REF!)),1.3*#REF!&gt;MAX(#REF!),1.3*#REF!&gt;MAX(#REF!)),"Proposed foundation might work, subject to further soil-structure interface analysis. The volume of concrete required = "&amp;Inputs!B27*Inputs!B28*Inputs!$E$28&amp;" m3.",OR(#REF!&lt;#REF!,#REF!&lt;#REF!,1.3*#REF!&lt;MAX(#REF!),1.3*#REF!&lt;MAX(#REF!)),"Bearing resistance of foundation is insufficient, please use an alternative foundation method."))</f>
        <v>#REF!</v>
      </c>
      <c r="C27" s="1401"/>
      <c r="D27" s="1401"/>
      <c r="E27" s="1401"/>
      <c r="F27" s="1402"/>
      <c r="G27" s="1400" t="e">
        <f>IF(B27="Bearing resistance of foundation is insufficient, please use an alternative foundation method.","N/A",_xlfn.IFS(#REF!="OK","The proposed foundation is unlikely to require tension piles.",#REF!="NOT OK","The proposed foundation is likely to require tension piles."))</f>
        <v>#REF!</v>
      </c>
      <c r="H27" s="1401"/>
      <c r="I27" s="1401"/>
      <c r="J27" s="1401"/>
      <c r="K27" s="1402"/>
      <c r="L27" s="314"/>
      <c r="M27" s="314"/>
      <c r="N27" s="314"/>
      <c r="O27" s="314"/>
      <c r="P27" s="314"/>
      <c r="Q27" s="314"/>
      <c r="R27" s="314"/>
      <c r="S27" s="314"/>
      <c r="T27" s="314"/>
      <c r="U27" s="314"/>
      <c r="V27" s="314"/>
      <c r="W27" s="314"/>
      <c r="X27" s="314"/>
      <c r="Y27" s="314"/>
      <c r="Z27" s="314"/>
      <c r="AA27" s="314"/>
      <c r="AB27" s="314"/>
      <c r="AC27" s="314"/>
      <c r="AD27" s="314"/>
      <c r="AE27" s="314"/>
      <c r="AF27" s="314"/>
      <c r="AG27" s="314"/>
      <c r="AH27" s="314"/>
      <c r="AI27" s="314"/>
      <c r="AJ27" s="314"/>
      <c r="AK27" s="314"/>
      <c r="AL27" s="314"/>
      <c r="AM27" s="314"/>
      <c r="AN27" s="314"/>
      <c r="AO27" s="314"/>
      <c r="AP27" s="314"/>
      <c r="AQ27" s="314"/>
      <c r="AR27" s="314"/>
      <c r="AS27" s="314"/>
      <c r="AT27" s="314"/>
      <c r="AU27" s="314"/>
      <c r="AV27" s="314"/>
      <c r="AW27" s="314"/>
      <c r="AX27" s="314"/>
      <c r="AY27" s="314"/>
      <c r="AZ27" s="314"/>
      <c r="BA27" s="314"/>
      <c r="BB27" s="314"/>
      <c r="BC27" s="314"/>
      <c r="BD27" s="314"/>
      <c r="BE27" s="314"/>
      <c r="BF27" s="314"/>
      <c r="BG27" s="314"/>
      <c r="BH27" s="314"/>
      <c r="BI27" s="314"/>
      <c r="BJ27" s="314"/>
      <c r="BK27" s="314"/>
      <c r="BL27" s="314"/>
      <c r="BM27" s="314"/>
      <c r="BN27" s="314"/>
      <c r="BO27" s="314"/>
      <c r="BP27" s="314"/>
      <c r="BQ27" s="314"/>
      <c r="BR27" s="314"/>
      <c r="BS27" s="314"/>
      <c r="BT27" s="314"/>
      <c r="BU27" s="314"/>
      <c r="BV27" s="314"/>
    </row>
    <row r="28" spans="1:74" ht="15.75" thickBot="1">
      <c r="A28" s="1196" t="s">
        <v>1921</v>
      </c>
      <c r="B28" s="1400" t="e">
        <f>IF(ISNUMBER(SEARCH("chalk",#REF!)),_xlfn.IFS(AND(#REF!&gt;#REF!,#REF!&gt;MAX(#REF!)),"Proposed foundation is likely to work, subject to further soil-structure interface analysis. The volume of concrete required = "&amp;Inputs!B27*Inputs!B28*Inputs!$E$28&amp;" m3.",AND(#REF!&gt;#REF!,#REF!&lt;MAX(#REF!),1.3*#REF!&gt;MAX(#REF!)),"Proposed foundation might work, subject to further soil-structure interface analysis. The volume of concrete required = "&amp;Inputs!B27*Inputs!B28*Inputs!$E$28&amp;" m3.",OR(#REF!&lt;#REF!,1.3*#REF!&lt;MAX(#REF!)),"Bearing resistance of foundation is insufficient, please use an alternative foundation method."),_xlfn.IFS(AND(#REF!&gt;#REF!,#REF!&gt;#REF!,#REF!&gt;MAX(#REF!),#REF!&gt;MAX(#REF!)),"Proposed foundation is likely to work, subject to further soil-structure interface analysis. The volume of concrete required = "&amp;Inputs!B27*Inputs!B28*Inputs!$E$28&amp;" m3.",AND(#REF!&gt;#REF!,#REF!&gt;#REF!,OR(#REF!&lt;MAX(#REF!),#REF!&lt;MAX(#REF!)),1.3*#REF!&gt;MAX(#REF!),1.3*#REF!&gt;MAX(#REF!)),"Proposed foundation might work, subject to further soil-structure interface analysis. The volume of concrete required = "&amp;Inputs!B27*Inputs!B28*Inputs!$E$28&amp;" m3.",OR(#REF!&lt;#REF!,#REF!&lt;#REF!,1.3*#REF!&lt;MAX(#REF!),1.3*#REF!&lt;MAX(#REF!)),"Bearing resistance of foundation is insufficient, please use an alternative foundation method."))</f>
        <v>#REF!</v>
      </c>
      <c r="C28" s="1401"/>
      <c r="D28" s="1401"/>
      <c r="E28" s="1401"/>
      <c r="F28" s="1402"/>
      <c r="G28" s="1400" t="e">
        <f>IF(B28="Bearing resistance of foundation is insufficient, please use an alternative foundation method.","N/A",_xlfn.IFS(#REF!="OK","The proposed foundation is unlikely to require tension piles.",#REF!="NOT OK","The proposed foundation is likely to require tension piles."))</f>
        <v>#REF!</v>
      </c>
      <c r="H28" s="1401"/>
      <c r="I28" s="1401"/>
      <c r="J28" s="1401"/>
      <c r="K28" s="1402"/>
      <c r="L28" s="314"/>
      <c r="M28" s="314"/>
      <c r="N28" s="314"/>
      <c r="O28" s="314"/>
      <c r="P28" s="314"/>
      <c r="Q28" s="314"/>
      <c r="R28" s="314"/>
      <c r="S28" s="314"/>
      <c r="T28" s="314"/>
      <c r="U28" s="314"/>
      <c r="V28" s="314"/>
      <c r="W28" s="314"/>
      <c r="X28" s="314"/>
      <c r="Y28" s="314"/>
      <c r="Z28" s="314"/>
      <c r="AA28" s="314"/>
      <c r="AB28" s="314"/>
      <c r="AC28" s="314"/>
      <c r="AD28" s="314"/>
      <c r="AE28" s="314"/>
      <c r="AF28" s="314"/>
      <c r="AG28" s="314"/>
      <c r="AH28" s="314"/>
      <c r="AI28" s="314"/>
      <c r="AJ28" s="314"/>
      <c r="AK28" s="314"/>
      <c r="AL28" s="314"/>
      <c r="AM28" s="314"/>
      <c r="AN28" s="314"/>
      <c r="AO28" s="314"/>
      <c r="AP28" s="314"/>
      <c r="AQ28" s="314"/>
      <c r="AR28" s="314"/>
      <c r="AS28" s="314"/>
      <c r="AT28" s="314"/>
      <c r="AU28" s="314"/>
      <c r="AV28" s="314"/>
      <c r="AW28" s="314"/>
      <c r="AX28" s="314"/>
      <c r="AY28" s="314"/>
      <c r="AZ28" s="314"/>
      <c r="BA28" s="314"/>
      <c r="BB28" s="314"/>
      <c r="BC28" s="314"/>
      <c r="BD28" s="314"/>
      <c r="BE28" s="314"/>
      <c r="BF28" s="314"/>
      <c r="BG28" s="314"/>
      <c r="BH28" s="314"/>
      <c r="BI28" s="314"/>
      <c r="BJ28" s="314"/>
      <c r="BK28" s="314"/>
      <c r="BL28" s="314"/>
      <c r="BM28" s="314"/>
      <c r="BN28" s="314"/>
      <c r="BO28" s="314"/>
      <c r="BP28" s="314"/>
      <c r="BQ28" s="314"/>
      <c r="BR28" s="314"/>
      <c r="BS28" s="314"/>
      <c r="BT28" s="314"/>
      <c r="BU28" s="314"/>
      <c r="BV28" s="314"/>
    </row>
    <row r="29" spans="1:74" ht="15.75" thickBot="1">
      <c r="A29" s="1196" t="s">
        <v>1922</v>
      </c>
      <c r="B29" s="1400" t="e">
        <f>IF(ISNUMBER(SEARCH("chalk",#REF!)),_xlfn.IFS(AND(#REF!&gt;#REF!,#REF!&gt;MAX(#REF!)),"Proposed foundation is likely to work, subject to further soil-structure interface analysis. The volume of concrete required = "&amp;Inputs!B27*Inputs!B28*Inputs!$E$28&amp;" m3.",AND(#REF!&gt;#REF!,#REF!&lt;MAX(#REF!),1.3*#REF!&gt;MAX(#REF!)),"Proposed foundation might work, subject to further soil-structure interface analysis. The volume of concrete required = "&amp;Inputs!B27*Inputs!B28*Inputs!$E$28&amp;" m3.",OR(#REF!&lt;#REF!,1.3*#REF!&lt;MAX(#REF!)),"Bearing resistance of foundation is insufficient, please use an alternative foundation method."),_xlfn.IFS(AND(#REF!&gt;#REF!,#REF!&gt;#REF!,#REF!&gt;MAX(#REF!),#REF!&gt;MAX(#REF!)),"Proposed foundation is likely to work, subject to further soil-structure interface analysis. The volume of concrete required = "&amp;Inputs!B27*Inputs!B28*Inputs!$E$28&amp;" m3.",AND(#REF!&gt;#REF!,#REF!&gt;#REF!,OR(#REF!&lt;MAX(#REF!),#REF!&lt;MAX(#REF!)),1.3*#REF!&gt;MAX(#REF!),1.3*#REF!&gt;MAX(#REF!)),"Proposed foundation might work, subject to further soil-structure interface analysis. The volume of concrete required = "&amp;Inputs!B27*Inputs!B28*Inputs!$E$28&amp;" m3.",OR(#REF!&lt;#REF!,#REF!&lt;#REF!,1.3*#REF!&lt;MAX(#REF!),1.3*#REF!&lt;MAX(#REF!)),"Bearing resistance of foundation is insufficient, please use an alternative foundation method."))</f>
        <v>#REF!</v>
      </c>
      <c r="C29" s="1401"/>
      <c r="D29" s="1401"/>
      <c r="E29" s="1401"/>
      <c r="F29" s="1402"/>
      <c r="G29" s="1400" t="e">
        <f>IF(B29="Bearing resistance of foundation is insufficient, please use an alternative foundation method.","N/A",_xlfn.IFS(#REF!="OK","The proposed foundation is unlikely to require tension piles.",#REF!="NOT OK","The proposed foundation is likely to require tension piles."))</f>
        <v>#REF!</v>
      </c>
      <c r="H29" s="1401"/>
      <c r="I29" s="1401"/>
      <c r="J29" s="1401"/>
      <c r="K29" s="1402"/>
      <c r="L29" s="314"/>
      <c r="M29" s="314"/>
      <c r="N29" s="314"/>
      <c r="O29" s="314"/>
      <c r="P29" s="314"/>
      <c r="Q29" s="314"/>
      <c r="R29" s="314"/>
      <c r="S29" s="314"/>
      <c r="T29" s="314"/>
      <c r="U29" s="314"/>
      <c r="V29" s="314"/>
      <c r="W29" s="314"/>
      <c r="X29" s="314"/>
      <c r="Y29" s="314"/>
      <c r="Z29" s="314"/>
      <c r="AA29" s="314"/>
      <c r="AB29" s="314"/>
      <c r="AC29" s="314"/>
      <c r="AD29" s="314"/>
      <c r="AE29" s="314"/>
      <c r="AF29" s="314"/>
      <c r="AG29" s="314"/>
      <c r="AH29" s="314"/>
      <c r="AI29" s="314"/>
      <c r="AJ29" s="314"/>
      <c r="AK29" s="314"/>
      <c r="AL29" s="314"/>
      <c r="AM29" s="314"/>
      <c r="AN29" s="314"/>
      <c r="AO29" s="314"/>
      <c r="AP29" s="314"/>
      <c r="AQ29" s="314"/>
      <c r="AR29" s="314"/>
      <c r="AS29" s="314"/>
      <c r="AT29" s="314"/>
      <c r="AU29" s="314"/>
      <c r="AV29" s="314"/>
      <c r="AW29" s="314"/>
      <c r="AX29" s="314"/>
      <c r="AY29" s="314"/>
      <c r="AZ29" s="314"/>
      <c r="BA29" s="314"/>
      <c r="BB29" s="314"/>
      <c r="BC29" s="314"/>
      <c r="BD29" s="314"/>
      <c r="BE29" s="314"/>
      <c r="BF29" s="314"/>
      <c r="BG29" s="314"/>
      <c r="BH29" s="314"/>
      <c r="BI29" s="314"/>
      <c r="BJ29" s="314"/>
      <c r="BK29" s="314"/>
      <c r="BL29" s="314"/>
      <c r="BM29" s="314"/>
      <c r="BN29" s="314"/>
      <c r="BO29" s="314"/>
      <c r="BP29" s="314"/>
      <c r="BQ29" s="314"/>
      <c r="BR29" s="314"/>
      <c r="BS29" s="314"/>
      <c r="BT29" s="314"/>
      <c r="BU29" s="314"/>
      <c r="BV29" s="314"/>
    </row>
    <row r="30" spans="1:74" ht="15.75" thickBot="1">
      <c r="A30" s="1196" t="s">
        <v>1923</v>
      </c>
      <c r="B30" s="1400" t="e">
        <f>IF(ISNUMBER(SEARCH("chalk",#REF!)),_xlfn.IFS(AND(#REF!&gt;#REF!,#REF!&gt;MAX(#REF!)),"Proposed foundation is likely to work, subject to further soil-structure interface analysis. The volume of concrete required = "&amp;Inputs!B27*Inputs!B28*Inputs!$E$28&amp;" m3.",AND(#REF!&gt;#REF!,#REF!&lt;MAX(#REF!),1.3*#REF!&gt;MAX(#REF!)),"Proposed foundation might work, subject to further soil-structure interface analysis. The volume of concrete required = "&amp;Inputs!B27*Inputs!B28*Inputs!$E$28&amp;" m3.",OR(#REF!&lt;#REF!,1.3*#REF!&lt;MAX(#REF!)),"Bearing resistance of foundation is insufficient, please use an alternative foundation method."),_xlfn.IFS(AND(#REF!&gt;#REF!,#REF!&gt;#REF!,#REF!&gt;MAX(#REF!),#REF!&gt;MAX(#REF!)),"Proposed foundation is likely to work, subject to further soil-structure interface analysis. The volume of concrete required = "&amp;Inputs!B27*Inputs!B28*Inputs!$E$28&amp;" m3.",AND(#REF!&gt;#REF!,#REF!&gt;#REF!,OR(#REF!&lt;MAX(#REF!),#REF!&lt;MAX(#REF!)),1.3*#REF!&gt;MAX(#REF!),1.3*#REF!&gt;MAX(#REF!)),"Proposed foundation might work, subject to further soil-structure interface analysis. The volume of concrete required = "&amp;Inputs!B27*Inputs!B28*Inputs!$E$28&amp;" m3.",OR(#REF!&lt;#REF!,#REF!&lt;#REF!,1.3*#REF!&lt;MAX(#REF!),1.3*#REF!&lt;MAX(#REF!)),"Bearing resistance of foundation is insufficient, please use an alternative foundation method."))</f>
        <v>#REF!</v>
      </c>
      <c r="C30" s="1401"/>
      <c r="D30" s="1401"/>
      <c r="E30" s="1401"/>
      <c r="F30" s="1402"/>
      <c r="G30" s="1400" t="e">
        <f>IF(B30="Bearing resistance of foundation is insufficient, please use an alternative foundation method.","N/A",_xlfn.IFS(#REF!="OK","The proposed foundation is unlikely to require tension piles.",#REF!="NOT OK","The proposed foundation is likely to require tension piles."))</f>
        <v>#REF!</v>
      </c>
      <c r="H30" s="1401"/>
      <c r="I30" s="1401"/>
      <c r="J30" s="1401"/>
      <c r="K30" s="1402"/>
      <c r="L30" s="314"/>
      <c r="M30" s="314"/>
      <c r="N30" s="314"/>
      <c r="O30" s="314"/>
      <c r="P30" s="314"/>
      <c r="Q30" s="314"/>
      <c r="R30" s="314"/>
      <c r="S30" s="314"/>
      <c r="T30" s="314"/>
      <c r="U30" s="314"/>
      <c r="V30" s="314"/>
      <c r="W30" s="314"/>
      <c r="X30" s="314"/>
      <c r="Y30" s="314"/>
      <c r="Z30" s="314"/>
      <c r="AA30" s="314"/>
      <c r="AB30" s="314"/>
      <c r="AC30" s="314"/>
      <c r="AD30" s="314"/>
      <c r="AE30" s="314"/>
      <c r="AF30" s="314"/>
      <c r="AG30" s="314"/>
      <c r="AH30" s="314"/>
      <c r="AI30" s="314"/>
      <c r="AJ30" s="314"/>
      <c r="AK30" s="314"/>
      <c r="AL30" s="314"/>
      <c r="AM30" s="314"/>
      <c r="AN30" s="314"/>
      <c r="AO30" s="314"/>
      <c r="AP30" s="314"/>
      <c r="AQ30" s="314"/>
      <c r="AR30" s="314"/>
      <c r="AS30" s="314"/>
      <c r="AT30" s="314"/>
      <c r="AU30" s="314"/>
      <c r="AV30" s="314"/>
      <c r="AW30" s="314"/>
      <c r="AX30" s="314"/>
      <c r="AY30" s="314"/>
      <c r="AZ30" s="314"/>
      <c r="BA30" s="314"/>
      <c r="BB30" s="314"/>
      <c r="BC30" s="314"/>
      <c r="BD30" s="314"/>
      <c r="BE30" s="314"/>
      <c r="BF30" s="314"/>
      <c r="BG30" s="314"/>
      <c r="BH30" s="314"/>
      <c r="BI30" s="314"/>
      <c r="BJ30" s="314"/>
      <c r="BK30" s="314"/>
      <c r="BL30" s="314"/>
      <c r="BM30" s="314"/>
      <c r="BN30" s="314"/>
      <c r="BO30" s="314"/>
      <c r="BP30" s="314"/>
      <c r="BQ30" s="314"/>
      <c r="BR30" s="314"/>
      <c r="BS30" s="314"/>
      <c r="BT30" s="314"/>
      <c r="BU30" s="314"/>
      <c r="BV30" s="314"/>
    </row>
    <row r="31" spans="1:74" ht="15.75" thickBot="1">
      <c r="A31" s="1196" t="s">
        <v>1924</v>
      </c>
      <c r="B31" s="1400" t="e">
        <f>IF(ISNUMBER(SEARCH("chalk",#REF!)),_xlfn.IFS(AND(#REF!&gt;#REF!,#REF!&gt;MAX(#REF!)),"Proposed foundation is likely to work, subject to further soil-structure interface analysis. The volume of concrete required = "&amp;Inputs!B27*Inputs!B28*Inputs!$E$28&amp;" m3.",AND(#REF!&gt;#REF!,#REF!&lt;MAX(#REF!),1.3*#REF!&gt;MAX(#REF!)),"Proposed foundation might work, subject to further soil-structure interface analysis. The volume of concrete required = "&amp;Inputs!B27*Inputs!B28*Inputs!$E$28&amp;" m3.",OR(#REF!&lt;#REF!,1.3*#REF!&lt;MAX(#REF!)),"Bearing resistance of foundation is insufficient, please use an alternative foundation method."),_xlfn.IFS(AND(#REF!&gt;#REF!,#REF!&gt;#REF!,#REF!&gt;MAX(#REF!),#REF!&gt;MAX(#REF!)),"Proposed foundation is likely to work, subject to further soil-structure interface analysis. The volume of concrete required = "&amp;Inputs!B27*Inputs!B28*Inputs!$E$28&amp;" m3.",AND(#REF!&gt;#REF!,#REF!&gt;#REF!,OR(#REF!&lt;MAX(#REF!),#REF!&lt;MAX(#REF!)),1.3*#REF!&gt;MAX(#REF!),1.3*#REF!&gt;MAX(#REF!)),"Proposed foundation might work, subject to further soil-structure interface analysis. The volume of concrete required = "&amp;Inputs!B27*Inputs!B28*Inputs!$E$28&amp;" m3.",OR(#REF!&lt;#REF!,#REF!&lt;#REF!,1.3*#REF!&lt;MAX(#REF!),1.3*#REF!&lt;MAX(#REF!)),"Bearing resistance of foundation is insufficient, please use an alternative foundation method."))</f>
        <v>#REF!</v>
      </c>
      <c r="C31" s="1401"/>
      <c r="D31" s="1401"/>
      <c r="E31" s="1401"/>
      <c r="F31" s="1402"/>
      <c r="G31" s="1400" t="e">
        <f>IF(B31="Bearing resistance of foundation is insufficient, please use an alternative foundation method.","N/A",_xlfn.IFS(#REF!="OK","The proposed foundation is unlikely to require tension piles.",#REF!="NOT OK","The proposed foundation is likely to require tension piles."))</f>
        <v>#REF!</v>
      </c>
      <c r="H31" s="1401"/>
      <c r="I31" s="1401"/>
      <c r="J31" s="1401"/>
      <c r="K31" s="1402"/>
      <c r="L31" s="314"/>
      <c r="M31" s="314"/>
      <c r="N31" s="314"/>
      <c r="O31" s="314"/>
      <c r="P31" s="314"/>
      <c r="Q31" s="314"/>
      <c r="R31" s="314"/>
      <c r="S31" s="314"/>
      <c r="T31" s="314"/>
      <c r="U31" s="314"/>
      <c r="V31" s="314"/>
      <c r="W31" s="314"/>
      <c r="X31" s="314"/>
      <c r="Y31" s="314"/>
      <c r="Z31" s="314"/>
      <c r="AA31" s="314"/>
      <c r="AB31" s="314"/>
      <c r="AC31" s="314"/>
      <c r="AD31" s="314"/>
      <c r="AE31" s="314"/>
      <c r="AF31" s="314"/>
      <c r="AG31" s="314"/>
      <c r="AH31" s="314"/>
      <c r="AI31" s="314"/>
      <c r="AJ31" s="314"/>
      <c r="AK31" s="314"/>
      <c r="AL31" s="314"/>
      <c r="AM31" s="314"/>
      <c r="AN31" s="314"/>
      <c r="AO31" s="314"/>
      <c r="AP31" s="314"/>
      <c r="AQ31" s="314"/>
      <c r="AR31" s="314"/>
      <c r="AS31" s="314"/>
      <c r="AT31" s="314"/>
      <c r="AU31" s="314"/>
      <c r="AV31" s="314"/>
      <c r="AW31" s="314"/>
      <c r="AX31" s="314"/>
      <c r="AY31" s="314"/>
      <c r="AZ31" s="314"/>
      <c r="BA31" s="314"/>
      <c r="BB31" s="314"/>
      <c r="BC31" s="314"/>
      <c r="BD31" s="314"/>
      <c r="BE31" s="314"/>
      <c r="BF31" s="314"/>
      <c r="BG31" s="314"/>
      <c r="BH31" s="314"/>
      <c r="BI31" s="314"/>
      <c r="BJ31" s="314"/>
      <c r="BK31" s="314"/>
      <c r="BL31" s="314"/>
      <c r="BM31" s="314"/>
      <c r="BN31" s="314"/>
      <c r="BO31" s="314"/>
      <c r="BP31" s="314"/>
      <c r="BQ31" s="314"/>
      <c r="BR31" s="314"/>
      <c r="BS31" s="314"/>
      <c r="BT31" s="314"/>
      <c r="BU31" s="314"/>
      <c r="BV31" s="314"/>
    </row>
    <row r="32" spans="1:74" ht="15.75" thickBot="1">
      <c r="A32" s="1196" t="s">
        <v>1925</v>
      </c>
      <c r="B32" s="1400" t="e">
        <f>IF(ISNUMBER(SEARCH("chalk",#REF!)),_xlfn.IFS(AND(#REF!&gt;#REF!,#REF!&gt;MAX(#REF!)),"Proposed foundation is likely to work, subject to further soil-structure interface analysis. The volume of concrete required = "&amp;Inputs!B27*Inputs!B28*Inputs!$E$28&amp;" m3.",AND(#REF!&gt;#REF!,#REF!&lt;MAX(#REF!),1.3*#REF!&gt;MAX(#REF!)),"Proposed foundation might work, subject to further soil-structure interface analysis. The volume of concrete required = "&amp;Inputs!B27*Inputs!B28*Inputs!$E$28&amp;" m3.",OR(#REF!&lt;#REF!,1.3*#REF!&lt;MAX(#REF!)),"Bearing resistance of foundation is insufficient, please use an alternative foundation method."),_xlfn.IFS(AND(#REF!&gt;#REF!,#REF!&gt;#REF!,#REF!&gt;MAX(#REF!),#REF!&gt;MAX(#REF!)),"Proposed foundation is likely to work, subject to further soil-structure interface analysis. The volume of concrete required = "&amp;Inputs!B27*Inputs!B28*Inputs!$E$28&amp;" m3.",AND(#REF!&gt;#REF!,#REF!&gt;#REF!,OR(#REF!&lt;MAX(#REF!),#REF!&lt;MAX(#REF!)),1.3*#REF!&gt;MAX(#REF!),1.3*#REF!&gt;MAX(#REF!)),"Proposed foundation might work, subject to further soil-structure interface analysis. The volume of concrete required = "&amp;Inputs!B27*Inputs!B28*Inputs!$E$28&amp;" m3.",OR(#REF!&lt;#REF!,#REF!&lt;#REF!,1.3*#REF!&lt;MAX(#REF!),1.3*#REF!&lt;MAX(#REF!)),"Bearing resistance of foundation is insufficient, please use an alternative foundation method."))</f>
        <v>#REF!</v>
      </c>
      <c r="C32" s="1401"/>
      <c r="D32" s="1401"/>
      <c r="E32" s="1401"/>
      <c r="F32" s="1402"/>
      <c r="G32" s="1400" t="e">
        <f>IF(B32="Bearing resistance of foundation is insufficient, please use an alternative foundation method.","N/A",_xlfn.IFS(#REF!="OK","The proposed foundation is unlikely to require tension piles.",#REF!="NOT OK","The proposed foundation is likely to require tension piles."))</f>
        <v>#REF!</v>
      </c>
      <c r="H32" s="1401"/>
      <c r="I32" s="1401"/>
      <c r="J32" s="1401"/>
      <c r="K32" s="1402"/>
      <c r="L32" s="314"/>
      <c r="M32" s="314"/>
      <c r="N32" s="314"/>
      <c r="O32" s="314"/>
      <c r="P32" s="314"/>
      <c r="Q32" s="314"/>
      <c r="R32" s="314"/>
      <c r="S32" s="314"/>
      <c r="T32" s="314"/>
      <c r="U32" s="314"/>
      <c r="V32" s="314"/>
      <c r="W32" s="314"/>
      <c r="X32" s="314"/>
      <c r="Y32" s="314"/>
      <c r="Z32" s="314"/>
      <c r="AA32" s="314"/>
      <c r="AB32" s="314"/>
      <c r="AC32" s="314"/>
      <c r="AD32" s="314"/>
      <c r="AE32" s="314"/>
      <c r="AF32" s="314"/>
      <c r="AG32" s="314"/>
      <c r="AH32" s="314"/>
      <c r="AI32" s="314"/>
      <c r="AJ32" s="314"/>
      <c r="AK32" s="314"/>
      <c r="AL32" s="314"/>
      <c r="AM32" s="314"/>
      <c r="AN32" s="314"/>
      <c r="AO32" s="314"/>
      <c r="AP32" s="314"/>
      <c r="AQ32" s="314"/>
      <c r="AR32" s="314"/>
      <c r="AS32" s="314"/>
      <c r="AT32" s="314"/>
      <c r="AU32" s="314"/>
      <c r="AV32" s="314"/>
      <c r="AW32" s="314"/>
      <c r="AX32" s="314"/>
      <c r="AY32" s="314"/>
      <c r="AZ32" s="314"/>
      <c r="BA32" s="314"/>
      <c r="BB32" s="314"/>
      <c r="BC32" s="314"/>
      <c r="BD32" s="314"/>
      <c r="BE32" s="314"/>
      <c r="BF32" s="314"/>
      <c r="BG32" s="314"/>
      <c r="BH32" s="314"/>
      <c r="BI32" s="314"/>
      <c r="BJ32" s="314"/>
      <c r="BK32" s="314"/>
      <c r="BL32" s="314"/>
      <c r="BM32" s="314"/>
      <c r="BN32" s="314"/>
      <c r="BO32" s="314"/>
      <c r="BP32" s="314"/>
      <c r="BQ32" s="314"/>
      <c r="BR32" s="314"/>
      <c r="BS32" s="314"/>
      <c r="BT32" s="314"/>
      <c r="BU32" s="314"/>
      <c r="BV32" s="314"/>
    </row>
    <row r="33" spans="1:74" ht="15.75" thickBot="1">
      <c r="A33" s="1196" t="s">
        <v>861</v>
      </c>
      <c r="B33" s="1400" t="e">
        <f>IF(ISNUMBER(SEARCH("chalk",#REF!)),_xlfn.IFS(AND(#REF!&gt;#REF!,#REF!&gt;MAX(#REF!)),"Proposed foundation is likely to work, subject to further soil-structure interface analysis. The volume of concrete required = "&amp;Inputs!B27*Inputs!B28*Inputs!$E$28&amp;" m3.",AND(#REF!&gt;#REF!,#REF!&lt;MAX(#REF!),1.3*#REF!&gt;MAX(#REF!)),"Proposed foundation might work, subject to further soil-structure interface analysis. The volume of concrete required = "&amp;Inputs!B27*Inputs!B28*Inputs!$E$28&amp;" m3.",OR(#REF!&lt;#REF!,1.3*#REF!&lt;MAX(#REF!)),"Bearing resistance of foundation is insufficient, please use an alternative foundation method."),_xlfn.IFS(AND(#REF!&gt;#REF!,#REF!&gt;#REF!,#REF!&gt;MAX(#REF!),#REF!&gt;MAX(#REF!)),"Proposed foundation is likely to work, subject to further soil-structure interface analysis. The volume of concrete required = "&amp;Inputs!B27*Inputs!B28*Inputs!$E$28&amp;" m3.",AND(#REF!&gt;#REF!,#REF!&gt;#REF!,OR(#REF!&lt;MAX(#REF!),#REF!&lt;MAX(#REF!)),1.3*#REF!&gt;MAX(#REF!),1.3*#REF!&gt;MAX(#REF!)),"Proposed foundation might work, subject to further soil-structure interface analysis. The volume of concrete required = "&amp;Inputs!B27*Inputs!B28*Inputs!$E$28&amp;" m3.",OR(#REF!&lt;#REF!,#REF!&lt;#REF!,1.3*#REF!&lt;MAX(#REF!),1.3*#REF!&lt;MAX(#REF!)),"Bearing resistance of foundation is insufficient, please use an alternative foundation method."))</f>
        <v>#REF!</v>
      </c>
      <c r="C33" s="1401"/>
      <c r="D33" s="1401"/>
      <c r="E33" s="1401"/>
      <c r="F33" s="1402"/>
      <c r="G33" s="1400" t="e">
        <f>IF(B33="Bearing resistance of foundation is insufficient, please use an alternative foundation method.","N/A",_xlfn.IFS(#REF!="OK","The proposed foundation is unlikely to require tension piles.",#REF!="NOT OK","The proposed foundation is likely to require tension piles."))</f>
        <v>#REF!</v>
      </c>
      <c r="H33" s="1401"/>
      <c r="I33" s="1401"/>
      <c r="J33" s="1401"/>
      <c r="K33" s="1402"/>
      <c r="L33" s="314"/>
      <c r="M33" s="314"/>
      <c r="N33" s="314"/>
      <c r="O33" s="314"/>
      <c r="P33" s="314"/>
      <c r="Q33" s="314"/>
      <c r="R33" s="314"/>
      <c r="S33" s="314"/>
      <c r="T33" s="314"/>
      <c r="U33" s="314"/>
      <c r="V33" s="314"/>
      <c r="W33" s="314"/>
      <c r="X33" s="314"/>
      <c r="Y33" s="314"/>
      <c r="Z33" s="314"/>
      <c r="AA33" s="314"/>
      <c r="AB33" s="314"/>
      <c r="AC33" s="314"/>
      <c r="AD33" s="314"/>
      <c r="AE33" s="314"/>
      <c r="AF33" s="314"/>
      <c r="AG33" s="314"/>
      <c r="AH33" s="314"/>
      <c r="AI33" s="314"/>
      <c r="AJ33" s="314"/>
      <c r="AK33" s="314"/>
      <c r="AL33" s="314"/>
      <c r="AM33" s="314"/>
      <c r="AN33" s="314"/>
      <c r="AO33" s="314"/>
      <c r="AP33" s="314"/>
      <c r="AQ33" s="314"/>
      <c r="AR33" s="314"/>
      <c r="AS33" s="314"/>
      <c r="AT33" s="314"/>
      <c r="AU33" s="314"/>
      <c r="AV33" s="314"/>
      <c r="AW33" s="314"/>
      <c r="AX33" s="314"/>
      <c r="AY33" s="314"/>
      <c r="AZ33" s="314"/>
      <c r="BA33" s="314"/>
      <c r="BB33" s="314"/>
      <c r="BC33" s="314"/>
      <c r="BD33" s="314"/>
      <c r="BE33" s="314"/>
      <c r="BF33" s="314"/>
      <c r="BG33" s="314"/>
      <c r="BH33" s="314"/>
      <c r="BI33" s="314"/>
      <c r="BJ33" s="314"/>
      <c r="BK33" s="314"/>
      <c r="BL33" s="314"/>
      <c r="BM33" s="314"/>
      <c r="BN33" s="314"/>
      <c r="BO33" s="314"/>
      <c r="BP33" s="314"/>
      <c r="BQ33" s="314"/>
      <c r="BR33" s="314"/>
      <c r="BS33" s="314"/>
      <c r="BT33" s="314"/>
      <c r="BU33" s="314"/>
      <c r="BV33" s="314"/>
    </row>
    <row r="34" spans="1:74" ht="15.75" thickBot="1">
      <c r="A34" s="1196" t="s">
        <v>862</v>
      </c>
      <c r="B34" s="1400" t="e">
        <f>IF(ISNUMBER(SEARCH("chalk",#REF!)),_xlfn.IFS(AND(#REF!&gt;#REF!,#REF!&gt;MAX(#REF!)),"Proposed foundation is likely to work, subject to further soil-structure interface analysis. The volume of concrete required = "&amp;Inputs!B27*Inputs!B28*Inputs!$E$28&amp;" m3.",AND(#REF!&gt;#REF!,#REF!&lt;MAX(#REF!),1.3*#REF!&gt;MAX(#REF!)),"Proposed foundation might work, subject to further soil-structure interface analysis. The volume of concrete required = "&amp;Inputs!B27*Inputs!B28*Inputs!$E$28&amp;" m3.",OR(#REF!&lt;#REF!,1.3*#REF!&lt;MAX(#REF!)),"Bearing resistance of foundation is insufficient, please use an alternative foundation method."),_xlfn.IFS(AND(#REF!&gt;#REF!,#REF!&gt;#REF!,#REF!&gt;MAX(#REF!),#REF!&gt;MAX(#REF!)),"Proposed foundation is likely to work, subject to further soil-structure interface analysis. The volume of concrete required = "&amp;Inputs!B27*Inputs!B28*Inputs!$E$28&amp;" m3.",AND(#REF!&gt;#REF!,#REF!&gt;#REF!,OR(#REF!&lt;MAX(#REF!),#REF!&lt;MAX(#REF!)),1.3*#REF!&gt;MAX(#REF!),1.3*#REF!&gt;MAX(#REF!)),"Proposed foundation might work, subject to further soil-structure interface analysis. The volume of concrete required = "&amp;Inputs!B27*Inputs!B28*Inputs!$E$28&amp;" m3.",OR(#REF!&lt;#REF!,#REF!&lt;#REF!,1.3*#REF!&lt;MAX(#REF!),1.3*#REF!&lt;MAX(#REF!)),"Bearing resistance of foundation is insufficient, please use an alternative foundation method."))</f>
        <v>#REF!</v>
      </c>
      <c r="C34" s="1401"/>
      <c r="D34" s="1401"/>
      <c r="E34" s="1401"/>
      <c r="F34" s="1402"/>
      <c r="G34" s="1400" t="e">
        <f>IF(B34="Bearing resistance of foundation is insufficient, please use an alternative foundation method.","N/A",_xlfn.IFS(#REF!="OK","The proposed foundation is unlikely to require tension piles.",#REF!="NOT OK","The proposed foundation is likely to require tension piles."))</f>
        <v>#REF!</v>
      </c>
      <c r="H34" s="1401"/>
      <c r="I34" s="1401"/>
      <c r="J34" s="1401"/>
      <c r="K34" s="1402"/>
      <c r="L34" s="314"/>
      <c r="M34" s="314"/>
      <c r="N34" s="314"/>
      <c r="O34" s="314"/>
      <c r="P34" s="314"/>
      <c r="Q34" s="314"/>
      <c r="R34" s="314"/>
      <c r="S34" s="314"/>
      <c r="T34" s="314"/>
      <c r="U34" s="314"/>
      <c r="V34" s="314"/>
      <c r="W34" s="314"/>
      <c r="X34" s="314"/>
      <c r="Y34" s="314"/>
      <c r="Z34" s="314"/>
      <c r="AA34" s="314"/>
      <c r="AB34" s="314"/>
      <c r="AC34" s="314"/>
      <c r="AD34" s="314"/>
      <c r="AE34" s="314"/>
      <c r="AF34" s="314"/>
      <c r="AG34" s="314"/>
      <c r="AH34" s="314"/>
      <c r="AI34" s="314"/>
      <c r="AJ34" s="314"/>
      <c r="AK34" s="314"/>
      <c r="AL34" s="314"/>
      <c r="AM34" s="314"/>
      <c r="AN34" s="314"/>
      <c r="AO34" s="314"/>
      <c r="AP34" s="314"/>
      <c r="AQ34" s="314"/>
      <c r="AR34" s="314"/>
      <c r="AS34" s="314"/>
      <c r="AT34" s="314"/>
      <c r="AU34" s="314"/>
      <c r="AV34" s="314"/>
      <c r="AW34" s="314"/>
      <c r="AX34" s="314"/>
      <c r="AY34" s="314"/>
      <c r="AZ34" s="314"/>
      <c r="BA34" s="314"/>
      <c r="BB34" s="314"/>
      <c r="BC34" s="314"/>
      <c r="BD34" s="314"/>
      <c r="BE34" s="314"/>
      <c r="BF34" s="314"/>
      <c r="BG34" s="314"/>
      <c r="BH34" s="314"/>
      <c r="BI34" s="314"/>
      <c r="BJ34" s="314"/>
      <c r="BK34" s="314"/>
      <c r="BL34" s="314"/>
      <c r="BM34" s="314"/>
      <c r="BN34" s="314"/>
      <c r="BO34" s="314"/>
      <c r="BP34" s="314"/>
      <c r="BQ34" s="314"/>
      <c r="BR34" s="314"/>
      <c r="BS34" s="314"/>
      <c r="BT34" s="314"/>
      <c r="BU34" s="314"/>
      <c r="BV34" s="314"/>
    </row>
    <row r="35" spans="1:74" ht="15.75" thickBot="1">
      <c r="A35" s="1196" t="s">
        <v>740</v>
      </c>
      <c r="B35" s="1400" t="e">
        <f>IF(ISNUMBER(SEARCH("chalk",#REF!)),_xlfn.IFS(AND(#REF!&gt;#REF!,#REF!&gt;MAX(#REF!)),"Proposed foundation is likely to work, subject to further soil-structure interface analysis. The volume of concrete required = "&amp;Inputs!B27*Inputs!B28*Inputs!$E$28&amp;" m3.",AND(#REF!&gt;#REF!,#REF!&lt;MAX(#REF!),1.3*#REF!&gt;MAX(#REF!)),"Proposed foundation might work, subject to further soil-structure interface analysis. The volume of concrete required = "&amp;Inputs!B27*Inputs!B28*Inputs!$E$28&amp;" m3.",OR(#REF!&lt;#REF!,1.3*#REF!&lt;MAX(#REF!)),"Bearing resistance of foundation is insufficient, please use an alternative foundation method."),_xlfn.IFS(AND(#REF!&gt;#REF!,#REF!&gt;#REF!,#REF!&gt;MAX(#REF!),#REF!&gt;MAX(#REF!)),"Proposed foundation is likely to work, subject to further soil-structure interface analysis. The volume of concrete required = "&amp;Inputs!B27*Inputs!B28*Inputs!$E$28&amp;" m3.",AND(#REF!&gt;#REF!,#REF!&gt;#REF!,OR(#REF!&lt;MAX(#REF!),#REF!&lt;MAX(#REF!)),1.3*#REF!&gt;MAX(#REF!),1.3*#REF!&gt;MAX(#REF!)),"Proposed foundation might work, subject to further soil-structure interface analysis. The volume of concrete required = "&amp;Inputs!B27*Inputs!B28*Inputs!$E$28&amp;" m3.",OR(#REF!&lt;#REF!,#REF!&lt;#REF!,1.3*#REF!&lt;MAX(#REF!),1.3*#REF!&lt;MAX(#REF!)),"Bearing resistance of foundation is insufficient, please use an alternative foundation method."))</f>
        <v>#REF!</v>
      </c>
      <c r="C35" s="1401"/>
      <c r="D35" s="1401"/>
      <c r="E35" s="1401"/>
      <c r="F35" s="1402"/>
      <c r="G35" s="1400" t="e">
        <f>IF(B35="Bearing resistance of foundation is insufficient, please use an alternative foundation method.","N/A",_xlfn.IFS(#REF!="OK","The proposed foundation is unlikely to require tension piles.",#REF!="NOT OK","The proposed foundation is likely to require tension piles."))</f>
        <v>#REF!</v>
      </c>
      <c r="H35" s="1401"/>
      <c r="I35" s="1401"/>
      <c r="J35" s="1401"/>
      <c r="K35" s="1402"/>
      <c r="L35" s="314"/>
      <c r="M35" s="314"/>
      <c r="N35" s="314"/>
      <c r="O35" s="314"/>
      <c r="P35" s="314"/>
      <c r="Q35" s="314"/>
      <c r="R35" s="314"/>
      <c r="S35" s="314"/>
      <c r="T35" s="314"/>
      <c r="U35" s="314"/>
      <c r="V35" s="314"/>
      <c r="W35" s="314"/>
      <c r="X35" s="314"/>
      <c r="Y35" s="314"/>
      <c r="Z35" s="314"/>
      <c r="AA35" s="314"/>
      <c r="AB35" s="314"/>
      <c r="AC35" s="314"/>
      <c r="AD35" s="314"/>
      <c r="AE35" s="314"/>
      <c r="AF35" s="314"/>
      <c r="AG35" s="314"/>
      <c r="AH35" s="314"/>
      <c r="AI35" s="314"/>
      <c r="AJ35" s="314"/>
      <c r="AK35" s="314"/>
      <c r="AL35" s="314"/>
      <c r="AM35" s="314"/>
      <c r="AN35" s="314"/>
      <c r="AO35" s="314"/>
      <c r="AP35" s="314"/>
      <c r="AQ35" s="314"/>
      <c r="AR35" s="314"/>
      <c r="AS35" s="314"/>
      <c r="AT35" s="314"/>
      <c r="AU35" s="314"/>
      <c r="AV35" s="314"/>
      <c r="AW35" s="314"/>
      <c r="AX35" s="314"/>
      <c r="AY35" s="314"/>
      <c r="AZ35" s="314"/>
      <c r="BA35" s="314"/>
      <c r="BB35" s="314"/>
      <c r="BC35" s="314"/>
      <c r="BD35" s="314"/>
      <c r="BE35" s="314"/>
      <c r="BF35" s="314"/>
      <c r="BG35" s="314"/>
      <c r="BH35" s="314"/>
      <c r="BI35" s="314"/>
      <c r="BJ35" s="314"/>
      <c r="BK35" s="314"/>
      <c r="BL35" s="314"/>
      <c r="BM35" s="314"/>
      <c r="BN35" s="314"/>
      <c r="BO35" s="314"/>
      <c r="BP35" s="314"/>
      <c r="BQ35" s="314"/>
      <c r="BR35" s="314"/>
      <c r="BS35" s="314"/>
      <c r="BT35" s="314"/>
      <c r="BU35" s="314"/>
      <c r="BV35" s="314"/>
    </row>
    <row r="36" spans="1:74">
      <c r="A36" s="957"/>
      <c r="B36" s="957"/>
      <c r="C36" s="957"/>
      <c r="D36" s="957"/>
      <c r="E36" s="957"/>
      <c r="F36" s="314"/>
      <c r="G36" s="314"/>
      <c r="H36" s="314"/>
      <c r="I36" s="314"/>
      <c r="J36" s="314"/>
      <c r="K36" s="314"/>
      <c r="L36" s="314"/>
      <c r="M36" s="314"/>
      <c r="N36" s="314"/>
      <c r="O36" s="314"/>
      <c r="P36" s="314"/>
      <c r="Q36" s="314"/>
      <c r="R36" s="314"/>
      <c r="S36" s="314"/>
      <c r="T36" s="314"/>
      <c r="U36" s="314"/>
      <c r="V36" s="314"/>
      <c r="W36" s="314"/>
      <c r="X36" s="314"/>
      <c r="Y36" s="314"/>
      <c r="Z36" s="314"/>
      <c r="AA36" s="314"/>
      <c r="AB36" s="314"/>
      <c r="AC36" s="314"/>
      <c r="AD36" s="314"/>
      <c r="AE36" s="314"/>
      <c r="AF36" s="314"/>
      <c r="AG36" s="314"/>
      <c r="AH36" s="314"/>
      <c r="AI36" s="314"/>
      <c r="AJ36" s="314"/>
      <c r="AK36" s="314"/>
      <c r="AL36" s="314"/>
      <c r="AM36" s="314"/>
      <c r="AN36" s="314"/>
      <c r="AO36" s="314"/>
      <c r="AP36" s="314"/>
      <c r="AQ36" s="314"/>
      <c r="AR36" s="314"/>
      <c r="AS36" s="314"/>
      <c r="AT36" s="314"/>
      <c r="AU36" s="314"/>
      <c r="AV36" s="314"/>
      <c r="AW36" s="314"/>
      <c r="AX36" s="314"/>
      <c r="AY36" s="314"/>
      <c r="AZ36" s="314"/>
      <c r="BA36" s="314"/>
      <c r="BB36" s="314"/>
      <c r="BC36" s="314"/>
      <c r="BD36" s="314"/>
      <c r="BE36" s="314"/>
      <c r="BF36" s="314"/>
      <c r="BG36" s="314"/>
      <c r="BH36" s="314"/>
      <c r="BI36" s="314"/>
      <c r="BJ36" s="314"/>
      <c r="BK36" s="314"/>
      <c r="BL36" s="314"/>
      <c r="BM36" s="314"/>
      <c r="BN36" s="314"/>
      <c r="BO36" s="314"/>
      <c r="BP36" s="314"/>
      <c r="BQ36" s="314"/>
      <c r="BR36" s="314"/>
      <c r="BS36" s="314"/>
      <c r="BT36" s="314"/>
      <c r="BU36" s="314"/>
      <c r="BV36" s="314"/>
    </row>
    <row r="37" spans="1:74" s="314" customFormat="1"/>
    <row r="38" spans="1:74" s="314" customFormat="1" ht="15.75" thickBot="1"/>
    <row r="39" spans="1:74" s="1193" customFormat="1" ht="28.5" thickBot="1">
      <c r="A39" s="1197" t="s">
        <v>1929</v>
      </c>
    </row>
    <row r="40" spans="1:74" s="314" customFormat="1" ht="15.75" thickBot="1">
      <c r="G40" s="1198"/>
      <c r="N40" s="1198"/>
    </row>
    <row r="41" spans="1:74" ht="18" customHeight="1" thickBot="1">
      <c r="A41" s="1199" t="s">
        <v>1930</v>
      </c>
      <c r="B41" s="314"/>
      <c r="C41" s="314"/>
      <c r="D41" s="314"/>
      <c r="E41" s="314"/>
      <c r="F41" s="314"/>
      <c r="G41" s="1198"/>
      <c r="H41" s="314"/>
      <c r="I41" s="314"/>
      <c r="J41" s="314"/>
      <c r="K41" s="314"/>
      <c r="L41" s="314"/>
      <c r="M41" s="314"/>
      <c r="N41" s="1198"/>
      <c r="O41" s="314"/>
      <c r="P41" s="314"/>
      <c r="Q41" s="314"/>
      <c r="R41" s="314"/>
      <c r="S41" s="314"/>
      <c r="T41" s="314"/>
      <c r="U41" s="314"/>
      <c r="V41" s="314"/>
      <c r="W41" s="314"/>
      <c r="X41" s="314"/>
      <c r="Y41" s="314"/>
      <c r="Z41" s="314"/>
      <c r="AA41" s="314"/>
      <c r="AB41" s="314"/>
      <c r="AC41" s="314"/>
      <c r="AD41" s="314"/>
      <c r="AE41" s="314"/>
      <c r="AF41" s="314"/>
      <c r="AG41" s="314"/>
      <c r="AH41" s="314"/>
      <c r="AI41" s="314"/>
      <c r="AJ41" s="314"/>
      <c r="AK41" s="314"/>
      <c r="AL41" s="314"/>
      <c r="AM41" s="314"/>
      <c r="AN41" s="314"/>
      <c r="AO41" s="314"/>
      <c r="AP41" s="314"/>
      <c r="AQ41" s="314"/>
      <c r="AR41" s="314"/>
      <c r="AS41" s="314"/>
      <c r="AT41" s="314"/>
      <c r="AU41" s="314"/>
      <c r="AV41" s="314"/>
      <c r="AW41" s="314"/>
      <c r="AX41" s="314"/>
      <c r="AY41" s="314"/>
      <c r="AZ41" s="314"/>
      <c r="BA41" s="314"/>
      <c r="BB41" s="314"/>
      <c r="BC41" s="314"/>
      <c r="BD41" s="314"/>
      <c r="BE41" s="314"/>
      <c r="BF41" s="314"/>
      <c r="BG41" s="314"/>
      <c r="BH41" s="314"/>
      <c r="BI41" s="314"/>
      <c r="BJ41" s="314"/>
      <c r="BK41" s="314"/>
      <c r="BL41" s="314"/>
      <c r="BM41" s="314"/>
      <c r="BN41" s="314"/>
      <c r="BO41" s="314"/>
      <c r="BP41" s="314"/>
      <c r="BQ41" s="314"/>
      <c r="BR41" s="314"/>
      <c r="BS41" s="314"/>
      <c r="BT41" s="314"/>
      <c r="BU41" s="314"/>
      <c r="BV41" s="314"/>
    </row>
    <row r="42" spans="1:74" ht="18" customHeight="1">
      <c r="A42" s="1200" t="s">
        <v>1931</v>
      </c>
      <c r="B42" s="314"/>
      <c r="C42" s="314"/>
      <c r="D42" s="314"/>
      <c r="E42" s="314"/>
      <c r="F42" s="314"/>
      <c r="G42" s="1198"/>
      <c r="H42" s="314"/>
      <c r="I42" s="314"/>
      <c r="J42" s="314"/>
      <c r="K42" s="314"/>
      <c r="L42" s="314"/>
      <c r="M42" s="314"/>
      <c r="N42" s="1198"/>
      <c r="O42" s="314"/>
      <c r="P42" s="314"/>
      <c r="Q42" s="314"/>
      <c r="R42" s="314"/>
      <c r="S42" s="314"/>
      <c r="T42" s="314"/>
      <c r="U42" s="314"/>
      <c r="V42" s="314"/>
      <c r="W42" s="314"/>
      <c r="X42" s="314"/>
      <c r="Y42" s="314"/>
      <c r="Z42" s="314"/>
      <c r="AA42" s="314"/>
      <c r="AB42" s="314"/>
      <c r="AC42" s="314"/>
      <c r="AD42" s="314"/>
      <c r="AE42" s="314"/>
      <c r="AF42" s="314"/>
      <c r="AG42" s="314"/>
      <c r="AH42" s="314"/>
      <c r="AI42" s="314"/>
      <c r="AJ42" s="314"/>
      <c r="AK42" s="314"/>
      <c r="AL42" s="314"/>
      <c r="AM42" s="314"/>
      <c r="AN42" s="314"/>
      <c r="AO42" s="314"/>
      <c r="AP42" s="314"/>
      <c r="AQ42" s="314"/>
      <c r="AR42" s="314"/>
      <c r="AS42" s="314"/>
      <c r="AT42" s="314"/>
      <c r="AU42" s="314"/>
      <c r="AV42" s="314"/>
      <c r="AW42" s="314"/>
      <c r="AX42" s="314"/>
      <c r="AY42" s="314"/>
      <c r="AZ42" s="314"/>
      <c r="BA42" s="314"/>
      <c r="BB42" s="314"/>
      <c r="BC42" s="314"/>
      <c r="BD42" s="314"/>
      <c r="BE42" s="314"/>
      <c r="BF42" s="314"/>
      <c r="BG42" s="314"/>
      <c r="BH42" s="314"/>
      <c r="BI42" s="314"/>
      <c r="BJ42" s="314"/>
      <c r="BK42" s="314"/>
      <c r="BL42" s="314"/>
      <c r="BM42" s="314"/>
      <c r="BN42" s="314"/>
      <c r="BO42" s="314"/>
      <c r="BP42" s="314"/>
      <c r="BQ42" s="314"/>
      <c r="BR42" s="314"/>
      <c r="BS42" s="314"/>
      <c r="BT42" s="314"/>
      <c r="BU42" s="314"/>
      <c r="BV42" s="314"/>
    </row>
    <row r="43" spans="1:74" ht="18" customHeight="1">
      <c r="A43" s="1201"/>
      <c r="B43" s="314"/>
      <c r="C43" s="314"/>
      <c r="D43" s="314"/>
      <c r="E43" s="314"/>
      <c r="F43" s="314"/>
      <c r="G43" s="1198"/>
      <c r="H43" s="314"/>
      <c r="I43" s="314"/>
      <c r="J43" s="314"/>
      <c r="K43" s="314"/>
      <c r="L43" s="314"/>
      <c r="M43" s="314"/>
      <c r="N43" s="1198"/>
      <c r="O43" s="314"/>
      <c r="P43" s="314"/>
      <c r="Q43" s="314"/>
      <c r="R43" s="314"/>
      <c r="S43" s="314"/>
      <c r="T43" s="314"/>
      <c r="U43" s="314"/>
      <c r="V43" s="314"/>
      <c r="W43" s="314"/>
      <c r="X43" s="314"/>
      <c r="Y43" s="314"/>
      <c r="Z43" s="314"/>
      <c r="AA43" s="314"/>
      <c r="AB43" s="314"/>
      <c r="AC43" s="314"/>
      <c r="AD43" s="314"/>
      <c r="AE43" s="314"/>
      <c r="AF43" s="314"/>
      <c r="AG43" s="314"/>
      <c r="AH43" s="314"/>
      <c r="AI43" s="314"/>
      <c r="AJ43" s="314"/>
      <c r="AK43" s="314"/>
      <c r="AL43" s="314"/>
      <c r="AM43" s="314"/>
      <c r="AN43" s="314"/>
      <c r="AO43" s="314"/>
      <c r="AP43" s="314"/>
      <c r="AQ43" s="314"/>
      <c r="AR43" s="314"/>
      <c r="AS43" s="314"/>
      <c r="AT43" s="314"/>
      <c r="AU43" s="314"/>
      <c r="AV43" s="314"/>
      <c r="AW43" s="314"/>
      <c r="AX43" s="314"/>
      <c r="AY43" s="314"/>
      <c r="AZ43" s="314"/>
      <c r="BA43" s="314"/>
      <c r="BB43" s="314"/>
      <c r="BC43" s="314"/>
      <c r="BD43" s="314"/>
      <c r="BE43" s="314"/>
      <c r="BF43" s="314"/>
      <c r="BG43" s="314"/>
      <c r="BH43" s="314"/>
      <c r="BI43" s="314"/>
      <c r="BJ43" s="314"/>
      <c r="BK43" s="314"/>
      <c r="BL43" s="314"/>
      <c r="BM43" s="314"/>
      <c r="BN43" s="314"/>
      <c r="BO43" s="314"/>
      <c r="BP43" s="314"/>
      <c r="BQ43" s="314"/>
      <c r="BR43" s="314"/>
      <c r="BS43" s="314"/>
      <c r="BT43" s="314"/>
      <c r="BU43" s="314"/>
      <c r="BV43" s="314"/>
    </row>
    <row r="44" spans="1:74" s="314" customFormat="1" ht="19.5" thickBot="1">
      <c r="A44" s="1202" t="s">
        <v>1917</v>
      </c>
      <c r="G44" s="1198"/>
      <c r="H44" s="1202" t="s">
        <v>1918</v>
      </c>
      <c r="N44" s="1198"/>
      <c r="O44" s="1202" t="s">
        <v>1919</v>
      </c>
    </row>
    <row r="45" spans="1:74" s="314" customFormat="1" ht="15.75" thickBot="1">
      <c r="A45" s="1203" t="str">
        <f>IF(OR(Inputs!E32="Continuous Flight Auger",Inputs!E32="All Types"),"Continuous Flight Auger", IF(Inputs!E32="Bored Cast in Place Concrete","Bored Cast In Place Concrete","Driven Precast Concrete"))</f>
        <v>Continuous Flight Auger</v>
      </c>
      <c r="B45" s="1204" t="s">
        <v>821</v>
      </c>
      <c r="C45" s="1205" t="s">
        <v>847</v>
      </c>
      <c r="D45" s="1206" t="s">
        <v>883</v>
      </c>
      <c r="E45" s="1206" t="s">
        <v>884</v>
      </c>
      <c r="F45" s="1207" t="s">
        <v>885</v>
      </c>
      <c r="G45" s="1198"/>
      <c r="H45" s="1203" t="str">
        <f>IF(OR(Inputs!E32="Continuous Flight Auger",Inputs!E32="All Types"),"Continuous Flight Auger", IF(Inputs!E32="Bored Cast in Place Concrete","Bored Cast In Place Concrete","Driven Precast Concrete"))</f>
        <v>Continuous Flight Auger</v>
      </c>
      <c r="I45" s="1204" t="s">
        <v>821</v>
      </c>
      <c r="J45" s="1205" t="s">
        <v>847</v>
      </c>
      <c r="K45" s="1206" t="s">
        <v>883</v>
      </c>
      <c r="L45" s="1206" t="s">
        <v>884</v>
      </c>
      <c r="M45" s="1207" t="s">
        <v>885</v>
      </c>
      <c r="N45" s="1198"/>
      <c r="O45" s="1203" t="str">
        <f>IF(OR(Inputs!E32="Continuous Flight Auger",Inputs!E32="All Types"),"Continuous Flight Auger", IF(Inputs!E32="Bored Cast in Place Concrete","Bored Cast In Place Concrete","Driven Precast Concrete"))</f>
        <v>Continuous Flight Auger</v>
      </c>
      <c r="P45" s="1204" t="s">
        <v>821</v>
      </c>
      <c r="Q45" s="1205" t="s">
        <v>847</v>
      </c>
      <c r="R45" s="1206" t="s">
        <v>883</v>
      </c>
      <c r="S45" s="1206" t="s">
        <v>884</v>
      </c>
      <c r="T45" s="1207" t="s">
        <v>885</v>
      </c>
    </row>
    <row r="46" spans="1:74" ht="15.75" thickBot="1">
      <c r="A46" s="572" t="s">
        <v>1932</v>
      </c>
      <c r="B46" s="1208" cm="1">
        <f t="array" ref="B46">_xlfn.SINGLE(IF(SUMPRODUCT(--ISNUMBER(Pile!$M$336:$M$359))&lt;=0,"Not Suitable",_xlfn.IFS(AND(OR(Inputs!$E$32="Continuous Flight Auger",Inputs!$E$32="All Types"),$A$42="Concrete Volume"),(IFERROR(_xlfn.SINGLE(INDEX(Pile!$C$336:$C$359,_xlfn.AGGREGATE(15,3,((Pile!$M$336:$M$359=F46)/(Pile!$M$336:$M$359=F46)*ROW(Pile!$M$336:$M$359))-ROW(Pile!$C$335),ROWS(A46)))),"Not Suitable")),AND(OR(Inputs!$E$32="Continuous Flight Auger",Inputs!$E$32="All Types"),$A$42="Number of Piles"),(IFERROR(_xlfn.SINGLE(INDEX(Pile!$C$336:$C$359,_xlfn.AGGREGATE(15,3,((Pile!$M$336:$M$359=F46)/(Pile!$M$336:$M$359=F46)*ROW(Pile!$M$336:$M$359))-ROW(Pile!$C$335),ROWS(A46)))),"Not Suitable")),AND(Inputs!$E$32="Driven Precast Concrete",$A$42="Concrete Volume"),(IFERROR(_xlfn.SINGLE(INDEX(Pile!$C$336:$C$359,_xlfn.AGGREGATE(15,3,((Pile!$L$336:$L$359=F46)/(Pile!$L$336:$L$359=F46)*ROW(Pile!$L$336:$L$359))-ROW(Pile!$C$335),ROWS(A46)))),"Not Suitable")),AND(Inputs!$E$32="Driven Precast Concrete",$A$42="Number of Piles"),(IFERROR(_xlfn.SINGLE(INDEX(Pile!$C$336:$C$359,_xlfn.AGGREGATE(15,3,((Pile!$L$336:$L$359=F46)/(Pile!$L$336:$L$359=F46)*ROW(Pile!$L$336:$L$359))-ROW(Pile!$C$335),ROWS(A46)))),"Not Suitable")),AND(Inputs!$E$32="Bored Cast in Place Concrete",$A$42="Concrete Volume"),(IFERROR(_xlfn.SINGLE(INDEX(Pile!$C$336:$C$359,_xlfn.AGGREGATE(15,3,((Pile!$K$336:$K$359=F46)/(Pile!$K$336:$K$359=F46)*ROW(Pile!$K$336:$K$359))-ROW(Pile!$C$335),ROWS(A46)))),"Not Suitable")),AND(Inputs!$E$32="Bored Cast in Place Concrete",$A$42="Number of Piles"),(IFERROR(_xlfn.SINGLE(INDEX(Pile!$C$336:$C$359,_xlfn.AGGREGATE(15,3,((Pile!$K$336:$K$359=F46)/(Pile!$K$336:$K$359=F46)*ROW(Pile!$K$336:$K$359))-ROW(Pile!$C$335),ROWS(A46)))),"Not Suitable")))))</f>
        <v>450</v>
      </c>
      <c r="C46" s="1209">
        <f>IF(F46="Not Suitable","Not Suitable",F46/(E46*PI()*(B46/2000)^2))</f>
        <v>18.536776513153224</v>
      </c>
      <c r="D46" s="1208" cm="1">
        <f t="array" ref="D46">_xlfn.SINGLE(IF(SUMPRODUCT(--ISNUMBER(Pile!$M$336:$M$359))&lt;=0,"Not Suitable",_xlfn.IFS(AND(OR(Inputs!$E$32="Continuous Flight Auger",Inputs!$E$32="All Types"),$A$42="Concrete Volume"),(IFERROR(_xlfn.SINGLE(INDEX(Pile!$B$336:$B$359,_xlfn.AGGREGATE(15,3,((Pile!$M$336:$M$359=Pile!$G433)/(Pile!$M$336:$M$359=Pile!$G433)*ROW(Pile!$M$336:$M$359))-ROW(Pile!$C$335),ROWS(Pile!$B433)))),"Not Suitable")),AND(OR(Inputs!$E$32="Continuous Flight Auger",Inputs!$E$32="All Types"),$A$42="Number of Piles"),(IF(SUMPRODUCT(--ISNUMBER(Pile!$M$336:$M$341)),Pile!$B$336,IF(SUMPRODUCT(--ISNUMBER(Pile!$M$342:$M$347)),Pile!$B$342,IF(SUMPRODUCT(--ISNUMBER(Pile!$M$348:$M$353)),Pile!$B$348,IF(SUMPRODUCT(--ISNUMBER(Pile!$M$354:$M$359)),Pile!$B$354,"Not Suitable"))))),AND(Inputs!$E$32="Driven Precast Concrete",$A$42="Concrete Volume"),(IFERROR(_xlfn.SINGLE(INDEX(Pile!$B$336:$B$359,_xlfn.AGGREGATE(15,3,((Pile!$L$336:$L$359=Pile!$G437)/(Pile!$L$336:$L$359=Pile!$G437)*ROW(Pile!$L$336:$L$359))-ROW(Pile!$C$335),ROWS(Pile!$B437)))),"Not Suitable")),AND(Inputs!$E$32="Driven Precast Concrete",$A$42="Number of Piles"),(IF(SUMPRODUCT(--ISNUMBER(Pile!$L$336:$L$341)),Pile!$B$336,IF(SUMPRODUCT(--ISNUMBER(Pile!$L$342:$L$347)),Pile!$B$342,IF(SUMPRODUCT(--ISNUMBER(Pile!$L$348:$L$353)),Pile!$B$348,IF(SUMPRODUCT(--ISNUMBER(Pile!$L$354:$L$359)),Pile!$B$354,"Not Suitable"))))),AND(Inputs!$E$32="Bored Cast in Place Concrete",$A$42="Concrete Volume"),(IFERROR(_xlfn.SINGLE(INDEX(Pile!$B$336:$B$359,_xlfn.AGGREGATE(15,3,((Pile!$K$336:$K$359=Pile!$G441)/(Pile!$K$336:$K$359=Pile!$G441)*ROW(Pile!$K$336:$K$359))-ROW(Pile!$C$335),ROWS(Pile!$B441)))),"Not Suitable")),AND(Inputs!$E$32="Bored Cast in Place Concrete",$A$42="Number of Piles"),(IF(SUMPRODUCT(--ISNUMBER(Pile!$K$336:$K$341)),Pile!$B$336,IF(SUMPRODUCT(--ISNUMBER(Pile!$K$342:$K$347)),Pile!$B$342,IF(SUMPRODUCT(--ISNUMBER(Pile!$K$348:$K$353)),Pile!$B$348,IF(SUMPRODUCT(--ISNUMBER(Pile!$K$354:$K$359)),Pile!$B$354,"Not Suitable"))))))))</f>
        <v>1</v>
      </c>
      <c r="E46" s="1208" cm="1">
        <f t="array" ref="E46">_xlfn.SINGLE(IF(SUMPRODUCT(--ISNUMBER(Pile!$M$336:$M$359))&lt;=0,"Not Suitable",_xlfn.IFS(AND(OR(Inputs!$E$32="Continuous Flight Auger",Inputs!$E$32="All Types"),$A$42="Concrete Volume"),(IFERROR(_xlfn.SINGLE(INDEX(Pile!$D$336:$D$359,_xlfn.AGGREGATE(15,3,((Pile!$M$336:$M$359=F46)/(Pile!$M$336:$M$359=F46)*ROW(Pile!$M$336:$M$359))-ROW(Pile!$C$335),ROWS(A46)))),"Not Suitable")),AND(OR(Inputs!$E$32="Continuous Flight Auger",Inputs!$E$32="All Types"),$A$42="Number of Piles"),(IF(SUMPRODUCT(--ISNUMBER(Pile!$M$336:$M$341)),Pile!$D$336,IF(SUMPRODUCT(--ISNUMBER(Pile!$M$342:$M$347)),Pile!$D$342,IF(SUMPRODUCT(--ISNUMBER(Pile!$M$348:$M$353)),Pile!$D$348,IF(SUMPRODUCT(--ISNUMBER(Pile!$M$354:$M$359)),Pile!$D$354,"Not Suitable"))))),AND(Inputs!$E$32="Driven Precast Concrete",$A$42="Concrete Volume"),(IFERROR(_xlfn.SINGLE(INDEX(Pile!$D$336:$D$359,_xlfn.AGGREGATE(15,3,((Pile!$L$336:$L$359=F46)/(Pile!$L$336:$L$359=F46)*ROW(Pile!$L$336:$L$359))-ROW(Pile!$C$335),ROWS(A46)))),"Not Suitable")),AND(Inputs!$E$32="Driven Precast Concrete",$A$42="Number of Piles"),(IF(SUMPRODUCT(--ISNUMBER(Pile!$L$336:$L$341)),Pile!$D$336,IF(SUMPRODUCT(--ISNUMBER(Pile!$L$342:$L$347)),Pile!$D$342,IF(SUMPRODUCT(--ISNUMBER(Pile!$L$348:$L$353)),Pile!$D$348,IF(SUMPRODUCT(--ISNUMBER(Pile!$L$354:$L$359)),Pile!$D$354,"Not Suitable"))))),AND(Inputs!$E$32="Bored Cast in Place Concrete",$A$42="Concrete Volume"),(IFERROR(_xlfn.SINGLE(INDEX(Pile!$D$336:$D$359,_xlfn.AGGREGATE(15,3,((Pile!$K$336:$K$359=F46)/(Pile!$K$336:$K$359=F46)*ROW(Pile!$K$336:$K$359))-ROW(Pile!$C$335),ROWS(A46)))),"Not Suitable")),AND(Inputs!$E$32="Bored Cast in Place Concrete",$A$42="Number of Piles"),(IF(SUMPRODUCT(--ISNUMBER(Pile!$K$336:$K$341)),Pile!$D$336,IF(SUMPRODUCT(--ISNUMBER(Pile!$K$342:$K$347)),Pile!$D$342,IF(SUMPRODUCT(--ISNUMBER(Pile!$K$348:$K$353)),Pile!$D$348,IF(SUMPRODUCT(--ISNUMBER(Pile!$K$354:$K$359)),Pile!$D$354,"Not Suitable"))))))))</f>
        <v>63</v>
      </c>
      <c r="F46" s="1209" cm="1">
        <f t="array" ref="F46">_xlfn.SINGLE(IF(SUMPRODUCT(--ISNUMBER(Pile!$M$336:$M$359))&lt;=0,"Not Suitable",_xlfn.IFS(AND(OR(Inputs!$E$32="Continuous Flight Auger",Inputs!$E$32="All Types"),$A$42="Concrete Volume"),(IF(MIN(Pile!$M$336:$M$359)&gt;0,MIN(Pile!$M$336:$M$359),"Not Suitable")),AND(OR(Inputs!$E$32="Continuous Flight Auger",Inputs!$E$32="All Types"),$A$42="Number of Piles"),(IF(Pile!#REF!=Pile!$D$336,MIN(Pile!$M$336:$M$341),IF(Pile!#REF!=Pile!$D$342,MIN(Pile!$M$342:$M$347),IF(Pile!#REF!=Pile!$D$348,MIN(Pile!$M$348:$M$353),IF(Pile!#REF!=Pile!$D$354,MIN(Pile!$M$354:$M$359),"Not Suitable"))))),AND(Inputs!$E$32="Driven Precast Concrete",$A$42="Concrete Volume"),(IF(MIN(Pile!$L$336:$L$359)&gt;0,MIN(Pile!$L$336:$L$359),"Not Suitable")),AND(Inputs!$E$32="Driven Precast Concrete",$A$42="Number of Piles"),(IF(Pile!#REF!=Pile!$D$336,MIN(Pile!$L$336:$L$341),IF(Pile!#REF!=Pile!$D$342,MIN(Pile!$L$342:$L$347),IF(Pile!#REF!=Pile!$D$348,MIN(Pile!$L$348:$L$353),IF(Pile!#REF!=Pile!$D$354,MIN(Pile!$L$354:$L$359),"Not Suitable"))))),AND(Inputs!$E$32="Bored Cast in Place Concrete",$A$42="Concrete Volume"),(IF(MIN(Pile!$K$336:$K$359)&gt;0,MIN(Pile!$K$336:$K$359),"Not Suitable")),AND(Inputs!$E$32="Bored Cast in Place Concrete",$A$42="Number of Piles"),(IF(Pile!#REF!=Pile!$D$336,MIN(Pile!$K$336:$K$341),IF(Pile!#REF!=Pile!$D$342,MIN(Pile!$K$342:$K$347),IF(Pile!#REF!=Pile!$D$348,MIN(Pile!$K$348:$K$353),IF(Pile!#REF!=Pile!$D$354,MIN(Pile!$K$354:$K$359),"Not Suitable"))))))))</f>
        <v>185.73325604314417</v>
      </c>
      <c r="G46" s="1198"/>
      <c r="H46" s="572" t="s">
        <v>1932</v>
      </c>
      <c r="I46" s="1208" cm="1">
        <f t="array" ref="I46">_xlfn.SINGLE(IF(SUMPRODUCT(--ISNUMBER(Pile!$Z$336:$Z$359))&lt;=0,"Not Suitable",_xlfn.IFS(AND(OR(Inputs!$E$32="Continuous Flight Auger",Inputs!$E$32="All Types"),$A$42="Concrete Volume"),(IFERROR(_xlfn.SINGLE(INDEX(Pile!$P$336:$P$359,_xlfn.AGGREGATE(15,3,((Pile!$Z$336:$Z$359=M46)/(Pile!$Z$336:$Z$359=M46)*ROW(Pile!$Z$336:$Z$359))-ROW(Pile!$P$335),ROWS(H46)))),"Not Suitable")),AND(OR(Inputs!$E$32="Continuous Flight Auger",Inputs!$E$32="All Types"),$A$42="Number of Piles"),(IFERROR(_xlfn.SINGLE(INDEX(Pile!$P$336:$P$359,_xlfn.AGGREGATE(15,3,((Pile!$Z$336:$Z$359=M46)/(Pile!$Z$336:$Z$359=M46)*ROW(Pile!$Z$336:$Z$359))-ROW(Pile!$P$335),ROWS(H46)))),"Not Suitable")),AND(Inputs!$E$32="Driven Precast Concrete",$A$42="Concrete Volume"),(IFERROR(_xlfn.SINGLE(INDEX(Pile!$P$336:$P$359,_xlfn.AGGREGATE(15,3,((Pile!$Y$336:$Y$359=M46)/(Pile!$Y$336:$Y$359=M46)*ROW(Pile!$Y$336:$Y$359))-ROW(Pile!$P$335),ROWS(H46)))),"Not Suitable")),AND(Inputs!$E$32="Driven Precast Concrete",$A$42="Number of Piles"),(IFERROR(_xlfn.SINGLE(INDEX(Pile!$P$336:$P$359,_xlfn.AGGREGATE(15,3,((Pile!$Y$336:$Y$359=M46)/(Pile!$Y$336:$Y$359=M46)*ROW(Pile!$Y$336:$Y$359))-ROW(Pile!$P$335),ROWS(H46)))),"Not Suitable")),AND(Inputs!$E$32="Bored Cast in Place Concrete",$A$42="Concrete Volume"),(IFERROR(_xlfn.SINGLE(INDEX(Pile!$P$336:$P$359,_xlfn.AGGREGATE(15,3,((Pile!$X$336:$X$359=M46)/(Pile!$X$336:$X$359=M46)*ROW(Pile!$X$336:$X$359))-ROW(Pile!$P$335),ROWS(H46)))),"Not Suitable")),AND(Inputs!$E$32="Bored Cast in Place Concrete",$A$42="Number of Piles"),(IFERROR(_xlfn.SINGLE(INDEX(Pile!$P$336:$P$359,_xlfn.AGGREGATE(15,3,((Pile!$X$336:$X$359=M46)/(Pile!$X$336:$X$359=M46)*ROW(Pile!$X$336:$X$359))-ROW(Pile!$P$335),ROWS(H46)))),"Not Suitable")))))</f>
        <v>450</v>
      </c>
      <c r="J46" s="1209">
        <f>IF(M46="Not Suitable","Not Suitable",M46/(L46*PI()*(I46/2000)^2))</f>
        <v>18.536776513153224</v>
      </c>
      <c r="K46" s="1208" cm="1">
        <f t="array" ref="K46">_xlfn.SINGLE(IF(SUMPRODUCT(--ISNUMBER(Pile!$Z$336:$Z$359))&lt;=0,"Not Suitable",_xlfn.IFS(AND(OR(Inputs!$E$32="Continuous Flight Auger",Inputs!$E$32="All Types"),$A$42="Concrete Volume"),(IFERROR(_xlfn.SINGLE(INDEX(Pile!$O$336:$O$359,_xlfn.AGGREGATE(15,3,((Pile!$Z$336:$Z$359=Pile!$G433)/(Pile!$Z$336:$Z$359=Pile!$G433)*ROW(Pile!$Z$336:$Z$359))-ROW(Pile!$P$335),ROWS(Pile!$O433)))),"Not Suitable")),AND(OR(Inputs!$E$32="Continuous Flight Auger",Inputs!$E$32="All Types"),$A$42="Number of Piles"),(IF(SUMPRODUCT(--ISNUMBER(Pile!$Z$336:$Z$341)),Pile!$O$336,IF(SUMPRODUCT(--ISNUMBER(Pile!$Z$342:$Z$347)),Pile!$O$342,IF(SUMPRODUCT(--ISNUMBER(Pile!$Z$348:$Z$353)),Pile!$O$348,IF(SUMPRODUCT(--ISNUMBER(Pile!$Z$354:$Z$359)),Pile!$O$354,"Not Suitable"))))),AND(Inputs!$E$32="Driven Precast Concrete",$A$42="Concrete Volume"),(IFERROR(_xlfn.SINGLE(INDEX(Pile!$O$336:$O$359,_xlfn.AGGREGATE(15,3,((Pile!$Y$336:$Y$359=Pile!$G437)/(Pile!$Y$336:$Y$359=Pile!$G437)*ROW(Pile!$Y$336:$Y$359))-ROW(Pile!$P$335),ROWS(Pile!$O437)))),"Not Suitable")),AND(Inputs!$E$32="Driven Precast Concrete",$A$42="Number of Piles"),(IF(SUMPRODUCT(--ISNUMBER(Pile!$Y$336:$Y$341)),Pile!$O$336,IF(SUMPRODUCT(--ISNUMBER(Pile!$Y$342:$Y$347)),Pile!$O$342,IF(SUMPRODUCT(--ISNUMBER(Pile!$Y$348:$Y$353)),Pile!$O$348,IF(SUMPRODUCT(--ISNUMBER(Pile!$Y$354:$Y$359)),Pile!$O$354,"Not Suitable"))))),AND(Inputs!$E$32="Bored Cast in Place Concrete",$A$42="Concrete Volume"),(IFERROR(_xlfn.SINGLE(INDEX(Pile!$O$336:$O$359,_xlfn.AGGREGATE(15,3,((Pile!$X$336:$X$359=M46)/(Pile!$X$336:$X$359=M46)*ROW(Pile!$X$336:$X$359))-ROW(Pile!$P$335),ROWS(Pile!$O441)))),"Not Suitable")),AND(Inputs!$E$32="Bored Cast in Place Concrete",$A$42="Number of Piles"),(IF(SUMPRODUCT(--ISNUMBER(Pile!$X$336:$X$341)),Pile!$O$336,IF(SUMPRODUCT(--ISNUMBER(Pile!$X$342:$X$347)),Pile!$O$342,IF(SUMPRODUCT(--ISNUMBER(Pile!$X$348:$X$353)),Pile!$O$348,IF(SUMPRODUCT(--ISNUMBER(Pile!$X$354:$X$359)),Pile!$O$354,"Not Suitable"))))))))</f>
        <v>1</v>
      </c>
      <c r="L46" s="1208" cm="1">
        <f t="array" ref="L46">_xlfn.SINGLE(IF(SUMPRODUCT(--ISNUMBER(Pile!$Z$336:$Z$359))&lt;=0,"Not Suitable",_xlfn.IFS(AND(OR(Inputs!$E$32="Continuous Flight Auger",Inputs!$E$32="All Types"),$A$42="Concrete Volume"),(IFERROR(_xlfn.SINGLE(INDEX(Pile!$Q$336:$Q$359,_xlfn.AGGREGATE(15,3,((Pile!$Z$336:$Z$359=M46)/(Pile!$Z$336:$Z$359=M46)*ROW(Pile!$Z$336:$Z$359))-ROW(Pile!$P$335),ROWS(H46)))),"Not Suitable")),AND(OR(Inputs!$E$32="Continuous Flight Auger",Inputs!$E$32="All Types"),$A$42="Number of Piles"),(IF(SUMPRODUCT(--ISNUMBER(Pile!$Z$336:$Z$341)),Pile!$Q$336,IF(SUMPRODUCT(--ISNUMBER(Pile!$Z$342:$Z$347)),Pile!$Q$342,IF(SUMPRODUCT(--ISNUMBER(Pile!$Z$348:$Z$353)),Pile!$Q$348,IF(SUMPRODUCT(--ISNUMBER(Pile!$Z$354:$Z$359)),Pile!$Q$354,"Not Suitable"))))),AND(Inputs!$E$32="Driven Precast Concrete",$A$42="Concrete Volume"),(IFERROR(_xlfn.SINGLE(INDEX(Pile!$Q$336:$Q$359,_xlfn.AGGREGATE(15,3,((Pile!$Y$336:$Y$359=M46)/(Pile!$Y$336:$Y$359=M46)*ROW(Pile!$Y$336:$Y$359))-ROW(Pile!$P$335),ROWS(H46)))),"Not Suitable")),AND(Inputs!$E$32="Driven Precast Concrete",$A$42="Number of Piles"),(IF(SUMPRODUCT(--ISNUMBER(Pile!$Y$336:$Y$341)),Pile!$Q$336,IF(SUMPRODUCT(--ISNUMBER(Pile!$Y$342:$Y$347)),Pile!$Q$342,IF(SUMPRODUCT(--ISNUMBER(Pile!$Y$348:$Y$353)),Pile!$Q$348,IF(SUMPRODUCT(--ISNUMBER(Pile!$Y$354:$Y$359)),Pile!$Q$354,"Not Suitable"))))),AND(Inputs!$E$32="Bored Cast in Place Concrete",$A$42="Concrete Volume"),(IFERROR(_xlfn.SINGLE(INDEX(Pile!$Q$336:$Q$359,_xlfn.AGGREGATE(15,3,((Pile!$X$336:$X$359=M46)/(Pile!$X$336:$X$359=M46)*ROW(Pile!$X$336:$X$359))-ROW(Pile!$P$335),ROWS(H46)))),"Not Suitable")),AND(Inputs!$E$32="Bored Cast in Place Concrete",$A$42="Number of Piles"),(IF(SUMPRODUCT(--ISNUMBER(Pile!$X$336:$X$341)),Pile!$Q$336,IF(SUMPRODUCT(--ISNUMBER(Pile!$X$342:$X$347)),Pile!$Q$342,IF(SUMPRODUCT(--ISNUMBER(Pile!$X$348:$X$353)),Pile!$Q$348,IF(SUMPRODUCT(--ISNUMBER(Pile!$X$354:$X$359)),Pile!$Q$354,"Not Suitable"))))))))</f>
        <v>63</v>
      </c>
      <c r="M46" s="1209" cm="1">
        <f t="array" ref="M46">_xlfn.SINGLE(IF(SUMPRODUCT(--ISNUMBER(Pile!$Z$336:$Z$359))&lt;=0,"Not Suitable",_xlfn.IFS(AND(OR(Inputs!$E$32="Continuous Flight Auger",Inputs!$E$32="All Types"),$A$42="Concrete Volume"),(IF(MIN(Pile!$Z$336:$Z$359)&gt;0,MIN(Pile!$Z$336:$Z$359),"Not Suitable")),AND(OR(Inputs!$E$32="Continuous Flight Auger",Inputs!$E$32="All Types"),$A$42="Number of Piles"),(IF(Pile!#REF!=Pile!$Q$336,MIN(Pile!$Z$336:$Z$341),IF(Pile!#REF!=Pile!$Q$342,MIN(Pile!$Z$342:$Z$347),IF(Pile!#REF!=Pile!$Q$348,MIN(Pile!$Z$348:$Z$353),IF(Pile!#REF!=Pile!$Q$354,MIN(Pile!$Z$354:$Z$359),"Not Suitable"))))),AND(Inputs!$E$32="Driven Precast Concrete",$A$42="Concrete Volume"),(IF(MIN(Pile!$Y$336:$Y$359)&gt;0,MIN(Pile!$Y$336:$Y$359),"Not Suitable")),AND(Inputs!$E$32="Driven Precast Concrete",$A$42="Number of Piles"),(IF(Pile!#REF!=Pile!$Q$336,MIN(Pile!$Y$336:$Y$341),IF(Pile!#REF!=Pile!$Q$342,MIN(Pile!$Y$342:$Y$347),IF(Pile!#REF!=Pile!$Q$348,MIN(Pile!$Y$348:$Y$353),IF(Pile!#REF!=Pile!$Q$354,MIN(Pile!$Y$354:$Y$359),"Not Suitable"))))),AND(Inputs!$E$32="Bored Cast in Place Concrete",$A$42="Concrete Volume"),(IF(MIN(Pile!$X$336:$X$359)&gt;0,MIN(Pile!$X$336:$X$359),"Not Suitable")),AND(Inputs!$E$32="Bored Cast in Place Concrete",$A$42="Number of Piles"),(IF(Pile!#REF!=Pile!$Q$336,MIN(Pile!$X$336:$X$341),IF(Pile!#REF!=Pile!$Q$342,MIN(Pile!$X$342:$X$347),IF(Pile!#REF!=Pile!$Q$348,MIN(Pile!$X$348:$X$353),IF(Pile!#REF!=Pile!$Q$354,MIN(Pile!$X$354:$X$359),"Not Suitable"))))))))</f>
        <v>185.73325604314417</v>
      </c>
      <c r="N46" s="1198"/>
      <c r="O46" s="572" t="s">
        <v>1932</v>
      </c>
      <c r="P46" s="1208" cm="1">
        <f t="array" ref="P46">_xlfn.SINGLE(IF(SUMPRODUCT(--ISNUMBER(Pile!$AM$336:$AM$359))&lt;=0,"Not Suitable",_xlfn.IFS(AND(OR(Inputs!$E$32="Continuous Flight Auger",Inputs!$E$32="All Types"),$A$42="Concrete Volume"),(IFERROR(_xlfn.SINGLE(INDEX(Pile!$AC$336:$AC$359,_xlfn.AGGREGATE(15,3,((Pile!$AM$336:$AM$359=T46)/(Pile!$AM$336:$AM$359=T46)*ROW(Pile!$AM$336:$AM$359))-ROW(Pile!$AC$335),ROWS(O46)))),"Not Suitable")),AND(OR(Inputs!$E$32="Continuous Flight Auger",Inputs!$E$32="All Types"),$A$42="Number of Piles"),(IFERROR(_xlfn.SINGLE(INDEX(Pile!$AC$336:$AC$359,_xlfn.AGGREGATE(15,3,((Pile!$AM$336:$AM$359=T46)/(Pile!$AM$336:$AM$359=T46)*ROW(Pile!$AM$336:$AM$359))-ROW(Pile!$AC$335),ROWS(O46)))),"Not Suitable")),AND(Inputs!$E$32="Driven Precast Concrete",$A$42="Concrete Volume"),(IFERROR(_xlfn.SINGLE(INDEX(Pile!$AC$336:$AC$359,_xlfn.AGGREGATE(15,3,((Pile!$AL$336:$AL$359=T46)/(Pile!$AL$336:$AL$359=T46)*ROW(Pile!$AL$336:$AL$359))-ROW(Pile!$AC$335),ROWS(O46)))),"Not Suitable")),AND(Inputs!$E$32="Driven Precast Concrete",$A$42="Number of Piles"),(IFERROR(_xlfn.SINGLE(INDEX(Pile!$AC$336:$AC$359,_xlfn.AGGREGATE(15,3,((Pile!$AL$336:$AL$359=T46)/(Pile!$AL$336:$AL$359=T46)*ROW(Pile!$AL$336:$AL$359))-ROW(Pile!$AC$335),ROWS(O46)))),"Not Suitable")),AND(Inputs!$E$32="Bored Cast in Place Concrete",$A$42="Concrete Volume"),(IFERROR(_xlfn.SINGLE(INDEX(Pile!$AC$336:$AC$359,_xlfn.AGGREGATE(15,3,((Pile!$AK$336:$AK$359=T46)/(Pile!$AK$336:$AK$359=T46)*ROW(Pile!$AK$336:$AK$359))-ROW(Pile!$AC$335),ROWS(O46)))),"Not Suitable")),AND(Inputs!$E$32="Bored Cast in Place Concrete",$A$42="Number of Piles"),(IFERROR(_xlfn.SINGLE(INDEX(Pile!$AC$336:$AC$359,_xlfn.AGGREGATE(15,3,((Pile!$AK$336:$AK$359=T46)/(Pile!$AK$336:$AK$359=T46)*ROW(Pile!$AK$336:$AK$359))-ROW(Pile!$AC$335),ROWS(O46)))),"Not Suitable")))))</f>
        <v>450</v>
      </c>
      <c r="Q46" s="1209">
        <f>IF(T46="Not Suitable","Not Suitable",T46/(S46*PI()*(P46/2000)^2))</f>
        <v>17.036776513153228</v>
      </c>
      <c r="R46" s="1208" t="str" cm="1">
        <f t="array" ref="R46">_xlfn.SINGLE(IF(SUMPRODUCT(--ISNUMBER(Pile!$AM$336:$AM$359))&lt;=0,"Not Suitable",_xlfn.IFS(AND(OR(Inputs!$E$32="Continuous Flight Auger",Inputs!$E$32="All Types"),$A$42="Concrete Volume"),(IFERROR(_xlfn.SINGLE(INDEX(Pile!$AB$336:$AB$359,_xlfn.AGGREGATE(15,3,((Pile!$AM$336:$AM$359=Pile!$G433)/(Pile!$AM$336:$AM$359=Pile!$G433)*ROW(Pile!$AM$336:$AM$359))-ROW(Pile!$AC$335),ROWS(Pile!$AB433)))),"Not Suitable")),AND(OR(Inputs!$E$32="Continuous Flight Auger",Inputs!$E$32="All Types"),$A$42="Number of Piles"),(IF(SUMPRODUCT(--ISNUMBER(Pile!$AM$336:$AM$341)),Pile!$AB$336,IF(SUMPRODUCT(--ISNUMBER(Pile!$AM$342:$AM$347)),Pile!$AB$342,IF(SUMPRODUCT(--ISNUMBER(Pile!$AM$348:$AM$353)),Pile!$AB$348,IF(SUMPRODUCT(--ISNUMBER(Pile!$AM$354:$AM$359)),Pile!$AB$354,"Not Suitable"))))),AND(Inputs!$E$32="Driven Precast Concrete",$A$42="Concrete Volume"),(IFERROR(_xlfn.SINGLE(INDEX(Pile!$AB$336:$AB$359,_xlfn.AGGREGATE(15,3,((Pile!$AL$336:$AL$359=Pile!$G437)/(Pile!$AL$336:$AL$359=Pile!$G437)*ROW(Pile!$AL$336:$AL$359))-ROW(Pile!$AC$335),ROWS(Pile!$AB437)))),"Not Suitable")),AND(Inputs!$E$32="Driven Precast Concrete",$A$42="Number of Piles"),(IF(SUMPRODUCT(--ISNUMBER(Pile!$AL$336:$AL$341)),Pile!$AB$336,IF(SUMPRODUCT(--ISNUMBER(Pile!$AL$342:$AL$347)),Pile!$AB$342,IF(SUMPRODUCT(--ISNUMBER(Pile!$AL$348:$AL$353)),Pile!$AB$348,IF(SUMPRODUCT(--ISNUMBER(Pile!$AL$354:$AL$359)),Pile!$AB$354,"Not Suitable"))))),AND(Inputs!$E$32="Bored Cast in Place Concrete",$A$42="Concrete Volume"),(IFERROR(_xlfn.SINGLE(INDEX(Pile!$AB$336:$AB$359,_xlfn.AGGREGATE(15,3,((Pile!$AK$336:$AK$359=T46)/(Pile!$AK$336:$AK$359=T46)*ROW(Pile!$AK$336:$AK$359))-ROW(Pile!$AC$335),ROWS(Pile!$AB441)))),"Not Suitable")),AND(Inputs!$E$32="Bored Cast in Place Concrete",$A$42="Number of Piles"),(IF(SUMPRODUCT(--ISNUMBER(Pile!$AK$336:$AK$341)),Pile!$AB$336,IF(SUMPRODUCT(--ISNUMBER(Pile!$AK$342:$AK$347)),Pile!$AB$342,IF(SUMPRODUCT(--ISNUMBER(Pile!$AK$348:$AK$353)),Pile!$AB$348,IF(SUMPRODUCT(--ISNUMBER(Pile!$AK$354:$AK$359)),Pile!$AB$354,"Not Suitable"))))))))</f>
        <v>Not Suitable</v>
      </c>
      <c r="S46" s="1208" cm="1">
        <f t="array" ref="S46">_xlfn.SINGLE(IF(SUMPRODUCT(--ISNUMBER(Pile!$AM$336:$AM$359))&lt;=0,"Not Suitable",_xlfn.IFS(AND(OR(Inputs!$E$32="Continuous Flight Auger",Inputs!$E$32="All Types"),$A$42="Concrete Volume"),(IFERROR(_xlfn.SINGLE(INDEX(Pile!$AD$336:$AD$359,_xlfn.AGGREGATE(15,3,((Pile!$AM$336:$AM$359=T46)/(Pile!$AM$336:$AM$359=T46)*ROW(Pile!$AM$336:$AM$359))-ROW(Pile!$AC$335),ROWS(O46)))),"Not Suitable")),AND(OR(Inputs!$E$32="Continuous Flight Auger",Inputs!$E$32="All Types"),$A$42="Number of Piles"),(IF(SUMPRODUCT(--ISNUMBER(Pile!$AM$336:$AM$341)),Pile!$AD$336,IF(SUMPRODUCT(--ISNUMBER(Pile!$AM$342:$AM$347)),Pile!$AD$342,IF(SUMPRODUCT(--ISNUMBER(Pile!$AM$348:$AM$353)),Pile!$AD$348,IF(SUMPRODUCT(--ISNUMBER(Pile!$AM$354:$AM$359)),Pile!$AD$354,"Not Suitable"))))),AND(Inputs!$E$32="Driven Precast Concrete",$A$42="Concrete Volume"),(IFERROR(_xlfn.SINGLE(INDEX(Pile!$AD$336:$AD$359,_xlfn.AGGREGATE(15,3,((Pile!$AL$336:$AL$359=T46)/(Pile!$AL$336:$AL$359=T46)*ROW(Pile!$AL$336:$AL$359))-ROW(Pile!$AC$335),ROWS(O46)))),"Not Suitable")),AND(Inputs!$E$32="Driven Precast Concrete",$A$42="Number of Piles"),(IF(SUMPRODUCT(--ISNUMBER(Pile!$AL$336:$AL$341)),Pile!$AD$336,IF(SUMPRODUCT(--ISNUMBER(Pile!$AL$342:$AL$347)),Pile!$AD$342,IF(SUMPRODUCT(--ISNUMBER(Pile!$AL$348:$AL$353)),Pile!$AD$348,IF(SUMPRODUCT(--ISNUMBER(Pile!$AL$354:$AL$359)),Pile!$AD$354,"Not Suitable"))))),AND(Inputs!$E$32="Bored Cast in Place Concrete",$A$42="Concrete Volume"),(IFERROR(_xlfn.SINGLE(INDEX(Pile!$AD$336:$AD$359,_xlfn.AGGREGATE(15,3,((Pile!$AK$336:$AK$359=T46)/(Pile!$AK$336:$AK$359=T46)*ROW(Pile!$AK$336:$AK$359))-ROW(Pile!$AC$335),ROWS(O46)))),"Not Suitable")),AND(Inputs!$E$32="Bored Cast in Place Concrete",$A$42="Number of Piles"),(IF(SUMPRODUCT(--ISNUMBER(Pile!$AK$336:$AK$341)),Pile!$AD$336,IF(SUMPRODUCT(--ISNUMBER(Pile!$AK$342:$AK$347)),Pile!$AD$342,IF(SUMPRODUCT(--ISNUMBER(Pile!$AK$348:$AK$353)),Pile!$AD$348,IF(SUMPRODUCT(--ISNUMBER(Pile!$AK$354:$AK$359)),Pile!$AD$354,"Not Suitable"))))))))</f>
        <v>63</v>
      </c>
      <c r="T46" s="1209" cm="1">
        <f t="array" ref="T46">_xlfn.SINGLE(IF(SUMPRODUCT(--ISNUMBER(Pile!$AM$336:$AM$359))&lt;=0,"Not Suitable",_xlfn.IFS(AND(OR(Inputs!$E$32="Continuous Flight Auger",Inputs!$E$32="All Types"),$A$42="Concrete Volume"),(IF(MIN(Pile!$AM$336:$AM$359)&gt;0,MIN(Pile!$AM$336:$AM$359),"Not Suitable")),AND(OR(Inputs!$E$32="Continuous Flight Auger",Inputs!$E$32="All Types"),$A$42="Number of Piles"),(IF(Pile!#REF!=Pile!$AD$336,MIN(Pile!$AM$336:$AM$341),IF(Pile!#REF!=Pile!$AD$342,MIN(Pile!$AM$342:$AM$347),IF(Pile!#REF!=Pile!$AD$348,MIN(Pile!$AM$348:$AM$353),IF(Pile!#REF!=Pile!$AD$354,MIN(Pile!$AM$354:$AM$359),"Not Suitable"))))),AND(Inputs!$E$32="Driven Precast Concrete",$A$42="Concrete Volume"),(IF(MIN(Pile!$AL$336:$AL$359)&gt;0,MIN(Pile!$AL$336:$AL$359),"Not Suitable")),AND(Inputs!$E$32="Driven Precast Concrete",$A$42="Number of Piles"),(IF(Pile!#REF!=Pile!$AD$336,MIN(Pile!$AL$336:$AL$341),IF(Pile!#REF!=Pile!$AD$342,MIN(Pile!$AL$342:$AL$347),IF(Pile!#REF!=Pile!$AD$348,MIN(Pile!$AL$348:$AL$353),IF(Pile!#REF!=Pile!$AD$354,MIN(Pile!$AL$354:$AL$359),"Not Suitable"))))),AND(Inputs!$E$32="Bored Cast in Place Concrete",$A$42="Concrete Volume"),(IF(MIN(Pile!$AK$336:$AK$359)&gt;0,MIN(Pile!$AK$336:$AK$359),"Not Suitable")),AND(Inputs!$E$32="Bored Cast in Place Concrete",$A$42="Number of Piles"),(IF(Pile!#REF!=Pile!$AD$336,MIN(Pile!$AK$336:$AK$341),IF(Pile!#REF!=Pile!$AD$342,MIN(Pile!$AK$342:$AK$347),IF(Pile!#REF!=Pile!$AD$348,MIN(Pile!$AK$348:$AK$353),IF(Pile!#REF!=Pile!$AD$354,MIN(Pile!$AK$354:$AK$359),"Not Suitable"))))))))</f>
        <v>170.70368043882976</v>
      </c>
      <c r="U46" s="314"/>
      <c r="V46" s="314"/>
      <c r="W46" s="314"/>
      <c r="X46" s="314"/>
      <c r="Y46" s="314"/>
      <c r="Z46" s="314"/>
      <c r="AA46" s="314"/>
      <c r="AB46" s="314"/>
      <c r="AC46" s="314"/>
      <c r="AD46" s="314"/>
      <c r="AE46" s="314"/>
      <c r="AF46" s="314"/>
      <c r="AG46" s="314"/>
      <c r="AH46" s="314"/>
      <c r="AI46" s="314"/>
      <c r="AJ46" s="314"/>
      <c r="AK46" s="314"/>
      <c r="AL46" s="314"/>
      <c r="AM46" s="314"/>
      <c r="AN46" s="314"/>
      <c r="AO46" s="314"/>
      <c r="AP46" s="314"/>
      <c r="AQ46" s="314"/>
      <c r="AR46" s="314"/>
      <c r="AS46" s="314"/>
      <c r="AT46" s="314"/>
      <c r="AU46" s="314"/>
      <c r="AV46" s="314"/>
      <c r="AW46" s="314"/>
      <c r="AX46" s="314"/>
      <c r="AY46" s="314"/>
      <c r="AZ46" s="314"/>
      <c r="BA46" s="314"/>
      <c r="BB46" s="314"/>
      <c r="BC46" s="314"/>
      <c r="BD46" s="314"/>
      <c r="BE46" s="314"/>
      <c r="BF46" s="314"/>
      <c r="BG46" s="314"/>
      <c r="BH46" s="314"/>
      <c r="BI46" s="314"/>
      <c r="BJ46" s="314"/>
      <c r="BK46" s="314"/>
      <c r="BL46" s="314"/>
      <c r="BM46" s="314"/>
      <c r="BN46" s="314"/>
      <c r="BO46" s="314"/>
      <c r="BP46" s="314"/>
      <c r="BQ46" s="314"/>
      <c r="BR46" s="314"/>
      <c r="BS46" s="314"/>
      <c r="BT46" s="314"/>
      <c r="BU46" s="314"/>
      <c r="BV46" s="314"/>
    </row>
    <row r="47" spans="1:74" ht="15.75" thickBot="1">
      <c r="A47" s="572" t="s">
        <v>1933</v>
      </c>
      <c r="B47" s="1210" cm="1">
        <f t="array" ref="B47">_xlfn.SINGLE(IF(SUMPRODUCT(--ISNUMBER(Pile!$M$368:$M$391))&lt;=0,"Not Suitable",_xlfn.IFS(AND(OR(Inputs!$E$32="Continuous Flight Auger",Inputs!$E$32="All Types"),$A$42="Concrete Volume"),(IFERROR(_xlfn.SINGLE(INDEX(Pile!$C$368:$C$391,_xlfn.AGGREGATE(15,3,((Pile!$M$368:$M$391=F47)/(Pile!$M$368:$M$391=F47)*ROW(Pile!$M$368:$M$391))-ROW(Pile!$C$367),ROWS(A47)))),"Not Suitable")),AND(OR(Inputs!$E$32="Continuous Flight Auger",Inputs!$E$32="All Types"),$A$42="Number of Piles"),(IFERROR(_xlfn.SINGLE(INDEX(Pile!$C$368:$C$391,_xlfn.AGGREGATE(15,3,((Pile!$M$368:$M$391=F47)/(Pile!$M$368:$M$391=F47)*ROW(Pile!$M$368:$M$391))-ROW(Pile!$C$367),ROWS(A47)))),"Not Suitable")),AND(Inputs!$E$32="Driven Precast Concrete",$A$42="Concrete Volume"),(IFERROR(_xlfn.SINGLE(INDEX(Pile!$C$368:$C$391,_xlfn.AGGREGATE(15,3,((Pile!$L$368:$L$391=F47)/(Pile!$L$368:$L$391=F47)*ROW(Pile!$L$368:$L$391))-ROW(Pile!$C$367),ROWS(A47)))),"Not Suitable")),AND(Inputs!$E$32="Driven Precast Concrete",$A$42="Number of Piles"),(IFERROR(_xlfn.SINGLE(INDEX(Pile!$C$368:$C$391,_xlfn.AGGREGATE(15,3,((Pile!$L$368:$L$391=F47)/(Pile!$L$368:$L$391=F47)*ROW(Pile!$L$368:$L$391))-ROW(Pile!$C$367),ROWS(A47)))),"Not Suitable")),AND(Inputs!$E$32="Bored Cast in Place Concrete",$A$42="Concrete Volume"),(IFERROR(_xlfn.SINGLE(INDEX(Pile!$C$368:$C$391,_xlfn.AGGREGATE(15,3,((Pile!$K$368:$K$391=F47)/(Pile!$K$368:$K$391=F47)*ROW(Pile!$K$368:$K$391))-ROW(Pile!$C$367),ROWS(A47)))),"Not Suitable")),AND(Inputs!$E$32="Bored Cast in Place Concrete",$A$42="Number of Piles"),(IFERROR(_xlfn.SINGLE(INDEX(Pile!$C$368:$C$391,_xlfn.AGGREGATE(15,3,((Pile!$K$368:$K$391=F47)/(Pile!$K$368:$K$391=F47)*ROW(Pile!$K$368:$K$391))-ROW(Pile!$C$367),ROWS(A47)))),"Not Suitable")))))</f>
        <v>450</v>
      </c>
      <c r="C47" s="1211">
        <f>IF(F47="Not Suitable","Not Suitable",F47/(E47*PI()*(B47/2000)^2))</f>
        <v>17.036776513153224</v>
      </c>
      <c r="D47" s="1210" cm="1">
        <f t="array" ref="D47">_xlfn.SINGLE(IF(SUMPRODUCT(--ISNUMBER(Pile!$M$368:$M$391))&lt;=0,"Not Suitable",_xlfn.IFS(AND(OR(Inputs!$E$32="Continuous Flight Auger",Inputs!$E$32="All Types"),$A$42="Concrete Volume"),(IFERROR(_xlfn.SINGLE(INDEX(Pile!$B$368:$B$391,_xlfn.AGGREGATE(15,3,((Pile!$M$368:$M$391=F47)/(Pile!$M$368:$M$391=F47)*ROW(Pile!$M$368:$M$391))-ROW(Pile!$C$367),ROWS(A47)))),"Not Suitable")),AND(OR(Inputs!$E$32="Continuous Flight Auger",Inputs!$E$32="All Types"),$A$42="Number of Piles"),(IF(SUMPRODUCT(--ISNUMBER(Pile!$M$368:$M$373)),Pile!$B$368,IF(SUMPRODUCT(--ISNUMBER(Pile!$M$374:$M$379)),Pile!$B$374,IF(SUMPRODUCT(--ISNUMBER(Pile!$M$380:$M$385)),Pile!$B$380,IF(SUMPRODUCT(--ISNUMBER(Pile!$M$386:$M$391)),Pile!$B$386,"Not Suitable"))))),AND(Inputs!$E$32="Driven Precast Concrete",$A$42="Concrete Volume"),(IFERROR(_xlfn.SINGLE(INDEX(Pile!$B$368:$B$391,_xlfn.AGGREGATE(15,3,((Pile!$L$368:$L$391=F47)/(Pile!$L$368:$L$391=F47)*ROW(Pile!$L$368:$L$391))-ROW(Pile!$C$367),ROWS(A47)))),"Not Suitable")),AND(Inputs!$E$32="Driven Precast Concrete",$A$42="Number of Piles"),(IF(SUMPRODUCT(--ISNUMBER(Pile!$L$368:$L$373)),Pile!$B$368,IF(SUMPRODUCT(--ISNUMBER(Pile!$L$374:$L$379)),Pile!$B$374,IF(SUMPRODUCT(--ISNUMBER(Pile!$L$380:$L$385)),Pile!$B$380,IF(SUMPRODUCT(--ISNUMBER(Pile!$L$386:$L$391)),Pile!$B$386,"Not Suitable"))))),AND(Inputs!$E$32="Bored Cast in Place Concrete",$A$42="Concrete Volume"),(IFERROR(_xlfn.SINGLE(INDEX(Pile!$B$368:$B$391,_xlfn.AGGREGATE(15,3,((Pile!$K$368:$K$391=F47)/(Pile!$K$368:$K$391=Pile!$G442)*ROW(Pile!$K$368:$K$391))-ROW(Pile!$C$367),ROWS(A47)))),"Not Suitable")),AND(Inputs!$E$32="Bored Cast in Place Concrete",$A$42="Number of Piles"),(IF(SUMPRODUCT(--ISNUMBER(Pile!$K$368:$K$373)),Pile!$B$368,IF(SUMPRODUCT(--ISNUMBER(Pile!$K$374:$K$379)),Pile!$B$374,IF(SUMPRODUCT(--ISNUMBER(Pile!$K$380:$K$385)),Pile!$B$380,IF(SUMPRODUCT(--ISNUMBER(Pile!$K$386:$K$391)),Pile!$B$386,"Not Suitable"))))))))</f>
        <v>1</v>
      </c>
      <c r="E47" s="1210" cm="1">
        <f t="array" ref="E47">_xlfn.SINGLE(IF(SUMPRODUCT(--ISNUMBER(Pile!$M$368:$M$391))&lt;=0,"Not Suitable",_xlfn.IFS(AND(OR(Inputs!$E$32="Continuous Flight Auger",Inputs!$E$32="All Types"),$A$42="Concrete Volume"),(IFERROR(_xlfn.SINGLE(INDEX(Pile!$D$368:$D$391,_xlfn.AGGREGATE(15,3,((Pile!$M$368:$M$391=F47)/(Pile!$M$368:$M$391=F47)*ROW(Pile!$M$368:$M$391))-ROW(Pile!$C$367),ROWS(A47)))),"Not Suitable")),AND(OR(Inputs!$E$32="Continuous Flight Auger",Inputs!$E$32="All Types"),$A$42="Number of Piles"),(IF(SUMPRODUCT(--ISNUMBER(Pile!$M$368:$M$373)),Pile!$D$368,IF(SUMPRODUCT(--ISNUMBER(Pile!$M$374:$M$379)),Pile!$D$374,IF(SUMPRODUCT(--ISNUMBER(Pile!$M$380:$M$385)),Pile!$D$380,IF(SUMPRODUCT(--ISNUMBER(Pile!$M$386:$M$391)),Pile!$D$386,"Not Suitable"))))),AND(Inputs!$E$32="Driven Precast Concrete",$A$42="Concrete Volume"),(IFERROR(_xlfn.SINGLE(INDEX(Pile!$D$368:$D$391,_xlfn.AGGREGATE(15,3,((Pile!$L$368:$L$391=F47)/(Pile!$L$368:$L$391=F47)*ROW(Pile!$L$368:$L$391))-ROW(Pile!$C$367),ROWS(A47)))),"Not Suitable")),AND(Inputs!$E$32="Driven Precast Concrete",$A$42="Number of Piles"),(IF(SUMPRODUCT(--ISNUMBER(Pile!$L$368:$L$373)),Pile!$D$368,IF(SUMPRODUCT(--ISNUMBER(Pile!$L$374:$L$379)),Pile!$D$374,IF(SUMPRODUCT(--ISNUMBER(Pile!$L$380:$L$385)),Pile!$D$380,IF(SUMPRODUCT(--ISNUMBER(Pile!$L$386:$L$391)),Pile!$D$386,"Not Suitable"))))),AND(Inputs!$E$32="Bored Cast in Place Concrete",$A$42="Concrete Volume"),(IFERROR(_xlfn.SINGLE(INDEX(Pile!$D$368:$D$391,_xlfn.AGGREGATE(15,3,((Pile!$K$368:$K$391=F47)/(Pile!$K$368:$K$391=F47)*ROW(Pile!$K$368:$K$391))-ROW(Pile!$C$367),ROWS(A47)))),"Not Suitable")),AND(Inputs!$E$32="Bored Cast in Place Concrete",$A$42="Number of Piles"),(IF(SUMPRODUCT(--ISNUMBER(Pile!$K$368:$K$373)),Pile!$D$368,IF(SUMPRODUCT(--ISNUMBER(Pile!$K$374:$K$379)),Pile!$D$374,IF(SUMPRODUCT(--ISNUMBER(Pile!$K$380:$K$385)),Pile!$D$380,IF(SUMPRODUCT(--ISNUMBER(Pile!$K$386:$K$391)),Pile!$D$386,"Not Suitable"))))))))</f>
        <v>32</v>
      </c>
      <c r="F47" s="1211" cm="1">
        <f t="array" ref="F47">_xlfn.SINGLE(IF(SUMPRODUCT(--ISNUMBER(Pile!$M$368:$M$391))&lt;=0,"Not Suitable",_xlfn.IFS(AND(OR(Inputs!$E$32="Continuous Flight Auger",Inputs!$E$32="All Types"),$A$42="Concrete Volume"),(IF(MIN(Pile!$M$368:$M$391)&gt;0,MIN(Pile!$M$368:$M$391), "Not Suitable")),AND(OR(Inputs!$E$32="Continuous Flight Auger",Inputs!$E$32="All Types"),$A$42="Number of Piles"),(IF(Pile!#REF!=Pile!$D$368,MIN(Pile!$M$368:$M$373),IF(Pile!#REF!=Pile!$D$374,MIN(Pile!$M$374:$M$379),IF(Pile!#REF!=Pile!$D$380,MIN(Pile!$M$380:$M$385),IF(Pile!#REF!=Pile!$D$386,MIN(Pile!$M$386:$M$391),"Not Suitable"))))),AND(Inputs!$E$32="Driven Precast Concrete",$A$42="Concrete Volume"),(IF(MIN(Pile!$L$368:$L$391)&gt;0,MIN(Pile!$L$368:$L$391), "Not Suitable")),AND(Inputs!$E$32="Driven Precast Concrete",$A$42="Number of Piles"),(IF(Pile!#REF!=Pile!$D$368,MIN(Pile!$L$368:$L$373),IF(Pile!#REF!=Pile!$D$374,MIN(Pile!$L$374:$L$379),IF(Pile!#REF!=Pile!$D$380,MIN(Pile!$L$380:$L$385),IF(Pile!#REF!=Pile!$D$386,MIN(Pile!$L$386:$L$391),"Not Suitable"))))),AND(Inputs!$E$32="Bored Cast in Place Concrete",$A$42="Concrete Volume"),(IF(MIN(Pile!$K$368:$K$391)&gt;0,MIN(Pile!$K$368:$K$391), "Not Suitable")),AND(Inputs!$E$32="Bored Cast in Place Concrete",$A$42="Number of Piles"),(IF(Pile!#REF!=Pile!$D$368,MIN(Pile!$K$368:$K$373),IF(Pile!#REF!=Pile!$D$374,MIN(Pile!$K$374:$K$379),IF(Pile!#REF!=Pile!$D$380,MIN(Pile!$K$380:$K$385),IF(Pile!#REF!=Pile!$D$386,MIN(Pile!$K$386:$K$391),"Not Suitable"))))))))</f>
        <v>86.706631334008762</v>
      </c>
      <c r="G47" s="1198"/>
      <c r="H47" s="572" t="s">
        <v>1933</v>
      </c>
      <c r="I47" s="1210" cm="1">
        <f t="array" ref="I47">_xlfn.SINGLE(IF(SUMPRODUCT(--ISNUMBER(Pile!$Z$368:$Z$391))&lt;=0,"Not Suitable",_xlfn.IFS(AND(OR(Inputs!$E$32="Continuous Flight Auger",Inputs!$E$32="All Types"),$A$42="Concrete Volume"),(IFERROR(_xlfn.SINGLE(INDEX(Pile!$P$368:$P$391,_xlfn.AGGREGATE(15,3,((Pile!$Z$368:$Z$391=M47)/(Pile!$Z$368:$Z$391=M47)*ROW(Pile!$Z$368:$Z$391))-ROW(Pile!$P$367),ROWS(H47)))),"Not Suitable")),AND(OR(Inputs!$E$32="Continuous Flight Auger",Inputs!$E$32="All Types"),$A$42="Number of Piles"),(IFERROR(_xlfn.SINGLE(INDEX(Pile!$P$368:$P$391,_xlfn.AGGREGATE(15,3,((Pile!$Z$368:$Z$391=M47)/(Pile!$Z$368:$Z$391=M47)*ROW(Pile!$Z$368:$Z$391))-ROW(Pile!$P$367),ROWS(H47)))),"Not Suitable")),AND(Inputs!$E$32="Driven Precast Concrete",$A$42="Concrete Volume"),(IFERROR(_xlfn.SINGLE(INDEX(Pile!$P$368:$P$391,_xlfn.AGGREGATE(15,3,((Pile!$Y$368:$Y$391=M47)/(Pile!$Y$368:$Y$391=M47)*ROW(Pile!$Y$368:$Y$391))-ROW(Pile!$P$367),ROWS(H47)))),"Not Suitable")),AND(Inputs!$E$32="Driven Precast Concrete",$A$42="Number of Piles"),(IFERROR(_xlfn.SINGLE(INDEX(Pile!$P$368:$P$391,_xlfn.AGGREGATE(15,3,((Pile!$Y$368:$Y$391=M47)/(Pile!$Y$368:$Y$391=M47)*ROW(Pile!$Y$368:$Y$391))-ROW(Pile!$P$367),ROWS(H47)))),"Not Suitable")),AND(Inputs!$E$32="Bored Cast in Place Concrete",$A$42="Concrete Volume"),(IFERROR(_xlfn.SINGLE(INDEX(Pile!$P$368:$P$391,_xlfn.AGGREGATE(15,3,((Pile!$X$368:$X$391=M47)/(Pile!$X$368:$X$391=M47)*ROW(Pile!$X$368:$X$391))-ROW(Pile!$P$367),ROWS(H47)))),"Not Suitable")),AND(Inputs!$E$32="Bored Cast in Place Concrete",$A$42="Number of Piles"),(IFERROR(_xlfn.SINGLE(INDEX(Pile!$P$368:$P$391,_xlfn.AGGREGATE(15,3,((Pile!$X$368:$X$391=M47)/(Pile!$X$368:$X$391=M47)*ROW(Pile!$X$368:$X$391))-ROW(Pile!$P$367),ROWS(H47)))),"Not Suitable")))))</f>
        <v>450</v>
      </c>
      <c r="J47" s="1211">
        <f>IF(M47="Not Suitable","Not Suitable",M47/(L47*PI()*(I47/2000)^2))</f>
        <v>17.036776513153224</v>
      </c>
      <c r="K47" s="1210" cm="1">
        <f t="array" ref="K47">_xlfn.SINGLE(IF(SUMPRODUCT(--ISNUMBER(Pile!$Z$368:$Z$391))&lt;=0,"Not Suitable",_xlfn.IFS(AND(OR(Inputs!$E$32="Continuous Flight Auger",Inputs!$E$32="All Types"),$A$42="Concrete Volume"),(IFERROR(_xlfn.SINGLE(INDEX(Pile!$O$368:$O$391,_xlfn.AGGREGATE(15,3,((Pile!$Z$368:$Z$391=M47)/(Pile!$Z$368:$Z$391=M47)*ROW(Pile!$Z$368:$Z$391))-ROW(Pile!$P$367),ROWS(H47)))),"Not Suitable")),AND(OR(Inputs!$E$32="Continuous Flight Auger",Inputs!$E$32="All Types"),$A$42="Number of Piles"),(IF(SUMPRODUCT(--ISNUMBER(Pile!$Z$368:$Z$373)),Pile!$O$368,IF(SUMPRODUCT(--ISNUMBER(Pile!$Z$374:$Z$379)),Pile!$O$374,IF(SUMPRODUCT(--ISNUMBER(Pile!$Z$380:$Z$385)),Pile!$O$380,IF(SUMPRODUCT(--ISNUMBER(Pile!$Z$386:$Z$391)),Pile!$O$386,"Not Suitable"))))),AND(Inputs!$E$32="Driven Precast Concrete",$A$42="Concrete Volume"),(IFERROR(_xlfn.SINGLE(INDEX(Pile!$O$368:$O$391,_xlfn.AGGREGATE(15,3,((Pile!$Y$368:$Y$391=M47)/(Pile!$Y$368:$Y$391=M47)*ROW(Pile!$Y$368:$Y$391))-ROW(Pile!$P$367),ROWS(H47)))),"Not Suitable")),AND(Inputs!$E$32="Driven Precast Concrete",$A$42="Number of Piles"),(IF(SUMPRODUCT(--ISNUMBER(Pile!$Y$368:$Y$373)),Pile!$O$368,IF(SUMPRODUCT(--ISNUMBER(Pile!$Y$374:$Y$379)),Pile!$O$374,IF(SUMPRODUCT(--ISNUMBER(Pile!$Y$380:$Y$385)),Pile!$O$380,IF(SUMPRODUCT(--ISNUMBER(Pile!$Y$386:$Y$391)),Pile!$O$386,"Not Suitable"))))),AND(Inputs!$E$32="Bored Cast in Place Concrete",$A$42="Concrete Volume"),(IFERROR(_xlfn.SINGLE(INDEX(Pile!$O$368:$O$391,_xlfn.AGGREGATE(15,3,((Pile!$X$368:$X$391=M47)/(Pile!$X$368:$X$391=M47)*ROW(Pile!$X$368:$X$391))-ROW(Pile!$P$367),ROWS(H47)))),"Not Suitable")),AND(Inputs!$E$32="Bored Cast in Place Concrete",$A$42="Number of Piles"),(IF(SUMPRODUCT(--ISNUMBER(Pile!$X$368:$X$373)),Pile!$O$368,IF(SUMPRODUCT(--ISNUMBER(Pile!$X$374:$X$379)),Pile!$O$374,IF(SUMPRODUCT(--ISNUMBER(Pile!$X$380:$X$385)),Pile!$O$380,IF(SUMPRODUCT(--ISNUMBER(Pile!$X$386:$X$391)),Pile!$O$386,"Not Suitable"))))))))</f>
        <v>1</v>
      </c>
      <c r="L47" s="1210" cm="1">
        <f t="array" ref="L47">_xlfn.SINGLE(IF(SUMPRODUCT(--ISNUMBER(Pile!$Z$368:$Z$391))&lt;=0,"Not Suitable",_xlfn.IFS(AND(OR(Inputs!$E$32="Continuous Flight Auger",Inputs!$E$32="All Types"),$A$42="Concrete Volume"),(IFERROR(_xlfn.SINGLE(INDEX(Pile!$Q$368:$Q$391,_xlfn.AGGREGATE(15,3,((Pile!$Z$368:$Z$391=M47)/(Pile!$Z$368:$Z$391=M47)*ROW(Pile!$Z$368:$Z$391))-ROW(Pile!$P$367),ROWS(H47)))),"Not Suitable")),AND(OR(Inputs!$E$32="Continuous Flight Auger",Inputs!$E$32="All Types"),$A$42="Number of Piles"),(IF(SUMPRODUCT(--ISNUMBER(Pile!$Z$368:$Z$373)),Pile!$Q$368,IF(SUMPRODUCT(--ISNUMBER(Pile!$Z$374:$Z$379)),Pile!$Q$374,IF(SUMPRODUCT(--ISNUMBER(Pile!$Z$380:$Z$385)),Pile!$Q$380,IF(SUMPRODUCT(--ISNUMBER(Pile!$Z$386:$Z$391)),Pile!$Q$386,"Not Suitable"))))),AND(Inputs!$E$32="Driven Precast Concrete",$A$42="Concrete Volume"),(IFERROR(_xlfn.SINGLE(INDEX(Pile!$Q$368:$Q$391,_xlfn.AGGREGATE(15,3,((Pile!$Y$368:$Y$391=M47)/(Pile!$Y$368:$Y$391=M47)*ROW(Pile!$Y$368:$Y$391))-ROW(Pile!$P$367),ROWS(H47)))),"Not Suitable")),AND(Inputs!$E$32="Driven Precast Concrete",$A$42="Number of Piles"),(IF(SUMPRODUCT(--ISNUMBER(Pile!$Y$368:$Y$373)),Pile!$Q$368,IF(SUMPRODUCT(--ISNUMBER(Pile!$Y$374:$Y$379)),Pile!$Q$374,IF(SUMPRODUCT(--ISNUMBER(Pile!$Y$380:$Y$385)),Pile!$Q$380,IF(SUMPRODUCT(--ISNUMBER(Pile!$Y$386:$Y$391)),Pile!$Q$386,"Not Suitable"))))),AND(Inputs!$E$32="Bored Cast in Place Concrete",$A$42="Concrete Volume"),(IFERROR(_xlfn.SINGLE(INDEX(Pile!$Q$368:$Q$391,_xlfn.AGGREGATE(15,3,((Pile!$X$368:$X$391=M47)/(Pile!$X$368:$X$391=M47)*ROW(Pile!$X$368:$X$391))-ROW(Pile!$P$367),ROWS(H47)))),"Not Suitable")),AND(Inputs!$E$32="Bored Cast in Place Concrete",$A$42="Number of Piles"),(IF(SUMPRODUCT(--ISNUMBER(Pile!$X$368:$X$373)),Pile!$Q$368,IF(SUMPRODUCT(--ISNUMBER(Pile!$X$374:$X$379)),Pile!$Q$374,IF(SUMPRODUCT(--ISNUMBER(Pile!$X$380:$X$385)),Pile!$Q$380,IF(SUMPRODUCT(--ISNUMBER(Pile!$X$386:$X$391)),Pile!$Q$386,"Not Suitable"))))))))</f>
        <v>32</v>
      </c>
      <c r="M47" s="1211" cm="1">
        <f t="array" ref="M47">_xlfn.SINGLE(IF(SUMPRODUCT(--ISNUMBER(Pile!$Z$368:$Z$391))&lt;=0,"Not Suitable",_xlfn.IFS(AND(OR(Inputs!$E$32="Continuous Flight Auger",Inputs!$E$32="All Types"),$A$42="Concrete Volume"),(IF(MIN(Pile!$Z$368:$Z$391)&gt;0,MIN(Pile!$Z$368:$Z$391), "Not Suitable")),AND(OR(Inputs!$E$32="Continuous Flight Auger",Inputs!$E$32="All Types"),$A$42="Number of Piles"),(IF(Pile!#REF!=Pile!$Q$368,MIN(Pile!$Z$368:$Z$373),IF(Pile!#REF!=Pile!$Q$374,MIN(Pile!$Z$374:$Z$379),IF(Pile!#REF!=Pile!$Q$380,MIN(Pile!$Z$380:$Z$385),IF(Pile!#REF!=Pile!$Q$386,MIN(Pile!$Z$386:$Z$391),"Not Suitable"))))),AND(Inputs!$E$32="Driven Precast Concrete",$A$42="Concrete Volume"),(IF(MIN(Pile!$Y$368:$Y$391)&gt;0,MIN(Pile!$Y$368:$Y$391), "Not Suitable")),AND(Inputs!$E$32="Driven Precast Concrete",$A$42="Number of Piles"),(IF(Pile!#REF!=Pile!$Q$368,MIN(Pile!$Y$368:$Y$373),IF(Pile!#REF!=Pile!$Q$374,MIN(Pile!$Y$374:$Y$379),IF(Pile!#REF!=Pile!$Q$380,MIN(Pile!$Y$380:$Y$385),IF(Pile!#REF!=Pile!$Q$386,MIN(Pile!$Y$386:$Y$391),"Not Suitable"))))),AND(Inputs!$E$32="Bored Cast in Place Concrete",$A$42="Concrete Volume"),(IF(MIN(Pile!$X$368:$X$391)&gt;0,MIN(Pile!$X$368:$X$391), "Not Suitable")),AND(Inputs!$E$32="Bored Cast in Place Concrete",$A$42="Number of Piles"),(IF(Pile!#REF!=Pile!$Q$368,MIN(Pile!$X$368:$X$373),IF(Pile!#REF!=Pile!$Q$374,MIN(Pile!$X$374:$X$379),IF(Pile!#REF!=Pile!$Q$380,MIN(Pile!$X$380:$X$385),IF(Pile!#REF!=Pile!$Q$386,MIN(Pile!$X$386:$X$391),"Not Suitable"))))))))</f>
        <v>86.706631334008762</v>
      </c>
      <c r="N47" s="1198"/>
      <c r="O47" s="572" t="s">
        <v>1933</v>
      </c>
      <c r="P47" s="1210" cm="1">
        <f t="array" ref="P47">_xlfn.SINGLE(IF(SUMPRODUCT(--ISNUMBER(Pile!$AM$368:$AM$391))&lt;=0,"Not Suitable",_xlfn.IFS(AND(OR(Inputs!$E$32="Continuous Flight Auger",Inputs!$E$32="All Types"),$A$42="Concrete Volume"),(IFERROR(_xlfn.SINGLE(INDEX(Pile!$AC$368:$AC$391,_xlfn.AGGREGATE(15,3,((Pile!$AM$368:$AM$391=T47)/(Pile!$AM$368:$AM$391=T47)*ROW(Pile!$AM$368:$AM$391))-ROW(Pile!$AC$367),ROWS(O47)))),"Not Suitable")),AND(OR(Inputs!$E$32="Continuous Flight Auger",Inputs!$E$32="All Types"),$A$42="Number of Piles"),(IFERROR(_xlfn.SINGLE(INDEX(Pile!$AC$368:$AC$391,_xlfn.AGGREGATE(15,3,((Pile!$AM$368:$AM$391=T47)/(Pile!$AM$368:$AM$391=T47)*ROW(Pile!$AM$368:$AM$391))-ROW(Pile!$AC$367),ROWS(O47)))),"Not Suitable")),AND(Inputs!$E$32="Driven Precast Concrete",$A$42="Concrete Volume"),(IFERROR(_xlfn.SINGLE(INDEX(Pile!$AC$368:$AC$391,_xlfn.AGGREGATE(15,3,((Pile!$AL$368:$AL$391=T47)/(Pile!$AL$368:$AL$391=T47)*ROW(Pile!$AL$368:$AL$391))-ROW(Pile!$AC$367),ROWS(O47)))),"Not Suitable")),AND(Inputs!$E$32="Driven Precast Concrete",$A$42="Number of Piles"),(IFERROR(_xlfn.SINGLE(INDEX(Pile!$AC$368:$AC$391,_xlfn.AGGREGATE(15,3,((Pile!$AL$368:$AL$391=T47)/(Pile!$AL$368:$AL$391=T47)*ROW(Pile!$AL$368:$AL$391))-ROW(Pile!$AC$367),ROWS(O47)))),"Not Suitable")),AND(Inputs!$E$32="Bored Cast in Place Concrete",$A$42="Concrete Volume"),(IFERROR(_xlfn.SINGLE(INDEX(Pile!$AC$368:$AC$391,_xlfn.AGGREGATE(15,3,((Pile!$AK$368:$AK$391=T47)/(Pile!$AK$368:$AK$391=T47)*ROW(Pile!$AK$368:$AK$391))-ROW(Pile!$AC$367),ROWS(O47)))),"Not Suitable")),AND(Inputs!$E$32="Bored Cast in Place Concrete",$A$42="Number of Piles"),(IFERROR(_xlfn.SINGLE(INDEX(Pile!$AC$368:$AC$391,_xlfn.AGGREGATE(15,3,((Pile!$AK$368:$AK$391=T47)/(Pile!$AK$368:$AK$391=T47)*ROW(Pile!$AK$368:$AK$391))-ROW(Pile!$AC$367),ROWS(O47)))),"Not Suitable")))))</f>
        <v>450</v>
      </c>
      <c r="Q47" s="1211">
        <f>IF(T47="Not Suitable","Not Suitable",T47/(S47*PI()*(P47/2000)^2))</f>
        <v>17.036776513153224</v>
      </c>
      <c r="R47" s="1210" cm="1">
        <f t="array" ref="R47">_xlfn.SINGLE(IF(SUMPRODUCT(--ISNUMBER(Pile!$AM$368:$AM$391))&lt;=0,"Not Suitable",_xlfn.IFS(AND(OR(Inputs!$E$32="Continuous Flight Auger",Inputs!$E$32="All Types"),$A$42="Concrete Volume"),(IFERROR(_xlfn.SINGLE(INDEX(Pile!$AB$368:$AB$391,_xlfn.AGGREGATE(15,3,((Pile!$AM$368:$AM$391=T47)/(Pile!$AM$368:$AM$391=T47)*ROW(Pile!$AM$368:$AM$391))-ROW(Pile!$AC$367),ROWS(O47)))),"Not Suitable")),AND(OR(Inputs!$E$32="Continuous Flight Auger",Inputs!$E$32="All Types"),$A$42="Number of Piles"),(IF(SUMPRODUCT(--ISNUMBER(Pile!$AM$368:$AM$373)),Pile!$AB$368,IF(SUMPRODUCT(--ISNUMBER(Pile!$AM$374:$AM$379)),Pile!$AB$374,IF(SUMPRODUCT(--ISNUMBER(Pile!$AM$380:$AM$385)),Pile!$AB$380,IF(SUMPRODUCT(--ISNUMBER(Pile!$AM$386:$AM$391)),Pile!$AB$386,"Not Suitable"))))),AND(Inputs!$E$32="Driven Precast Concrete",$A$42="Concrete Volume"),(IFERROR(_xlfn.SINGLE(INDEX(Pile!$AB$368:$AB$391,_xlfn.AGGREGATE(15,3,((Pile!$AL$368:$AL$391=T47)/(Pile!$AL$368:$AL$391=T47)*ROW(Pile!$AL$368:$AL$391))-ROW(Pile!$AC$367),ROWS(O47)))),"Not Suitable")),AND(Inputs!$E$32="Driven Precast Concrete",$A$42="Number of Piles"),(IF(SUMPRODUCT(--ISNUMBER(Pile!$AL$368:$AL$373)),Pile!$AB$368,IF(SUMPRODUCT(--ISNUMBER(Pile!$AL$374:$AL$379)),Pile!$AB$374,IF(SUMPRODUCT(--ISNUMBER(Pile!$AL$380:$AL$385)),Pile!$AB$380,IF(SUMPRODUCT(--ISNUMBER(Pile!$AL$386:$AL$391)),Pile!$AB$386,"Not Suitable"))))),AND(Inputs!$E$32="Bored Cast in Place Concrete",$A$42="Concrete Volume"),(IFERROR(_xlfn.SINGLE(INDEX(Pile!$AB$368:$AB$391,_xlfn.AGGREGATE(15,3,((Pile!$AK$368:$AK$391=T47)/(Pile!$AK$368:$AK$391=T47)*ROW(Pile!$AK$368:$AK$391))-ROW(Pile!$AC$367),ROWS(O47)))),"Not Suitable")),AND(Inputs!$E$32="Bored Cast in Place Concrete",$A$42="Number of Piles"),(IF(SUMPRODUCT(--ISNUMBER(Pile!$AK$368:$AK$373)),Pile!$AB$368,IF(SUMPRODUCT(--ISNUMBER(Pile!$AK$374:$AK$379)),Pile!$AB$374,IF(SUMPRODUCT(--ISNUMBER(Pile!$AK$380:$AK$385)),Pile!$AB$380,IF(SUMPRODUCT(--ISNUMBER(Pile!$AK$386:$AK$391)),Pile!$AB$386,"Not Suitable"))))))))</f>
        <v>1</v>
      </c>
      <c r="S47" s="1210" cm="1">
        <f t="array" ref="S47">_xlfn.SINGLE(IF(SUMPRODUCT(--ISNUMBER(Pile!$AM$368:$AM$391))&lt;=0,"Not Suitable",_xlfn.IFS(AND(OR(Inputs!$E$32="Continuous Flight Auger",Inputs!$E$32="All Types"),$A$42="Concrete Volume"),(IFERROR(_xlfn.SINGLE(INDEX(Pile!$AD$368:$AD$391,_xlfn.AGGREGATE(15,3,((Pile!$AM$368:$AM$391=T47)/(Pile!$AM$368:$AM$391=T47)*ROW(Pile!$AM$368:$AM$391))-ROW(Pile!$AC$367),ROWS(O47)))),"Not Suitable")),AND(OR(Inputs!$E$32="Continuous Flight Auger",Inputs!$E$32="All Types"),$A$42="Number of Piles"),(IF(SUMPRODUCT(--ISNUMBER(Pile!$AM$368:$AM$373)),Pile!$AD$368,IF(SUMPRODUCT(--ISNUMBER(Pile!$AM$374:$AM$379)),Pile!$AD$374,IF(SUMPRODUCT(--ISNUMBER(Pile!$AM$380:$AM$385)),Pile!$AD$380,IF(SUMPRODUCT(--ISNUMBER(Pile!$AM$386:$AM$391)),Pile!$AD$386,"Not Suitable"))))),AND(Inputs!$E$32="Driven Precast Concrete",$A$42="Concrete Volume"),(IFERROR(_xlfn.SINGLE(INDEX(Pile!$AD$368:$AD$391,_xlfn.AGGREGATE(15,3,((Pile!$AL$368:$AL$391=T47)/(Pile!$AL$368:$AL$391=T47)*ROW(Pile!$AL$368:$AL$391))-ROW(Pile!$AC$367),ROWS(O47)))),"Not Suitable")),AND(Inputs!$E$32="Driven Precast Concrete",$A$42="Number of Piles"),(IF(SUMPRODUCT(--ISNUMBER(Pile!$AL$368:$AL$373)),Pile!$AD$368,IF(SUMPRODUCT(--ISNUMBER(Pile!$AL$374:$AL$379)),Pile!$AD$374,IF(SUMPRODUCT(--ISNUMBER(Pile!$AL$380:$AL$385)),Pile!$AD$380,IF(SUMPRODUCT(--ISNUMBER(Pile!$AL$386:$AL$391)),Pile!$AD$386,"Not Suitable"))))),AND(Inputs!$E$32="Bored Cast in Place Concrete",$A$42="Concrete Volume"),(IFERROR(_xlfn.SINGLE(INDEX(Pile!$AD$368:$AD$391,_xlfn.AGGREGATE(15,3,((Pile!$AK$368:$AK$391=T47)/(Pile!$AK$368:$AK$391=T47)*ROW(Pile!$AK$368:$AK$391))-ROW(Pile!$AC$367),ROWS(O47)))),"Not Suitable")),AND(Inputs!$E$32="Bored Cast in Place Concrete",$A$42="Number of Piles"),(IF(SUMPRODUCT(--ISNUMBER(Pile!$AK$368:$AK$373)),Pile!$AD$368,IF(SUMPRODUCT(--ISNUMBER(Pile!$AK$374:$AK$379)),Pile!$AD$374,IF(SUMPRODUCT(--ISNUMBER(Pile!$AK$380:$AK$385)),Pile!$AD$380,IF(SUMPRODUCT(--ISNUMBER(Pile!$AK$386:$AK$391)),Pile!$AD$386,"Not Suitable"))))))))</f>
        <v>32</v>
      </c>
      <c r="T47" s="1211" cm="1">
        <f t="array" ref="T47">_xlfn.SINGLE(IF(SUMPRODUCT(--ISNUMBER(Pile!$AM$368:$AM$391))&lt;=0,"Not Suitable",_xlfn.IFS(AND(OR(Inputs!$E$32="Continuous Flight Auger",Inputs!$E$32="All Types"),$A$42="Concrete Volume"),(IF(MIN(Pile!$AM$368:$AM$391)&gt;0,MIN(Pile!$AM$368:$AM$391), "Not Suitable")),AND(OR(Inputs!$E$32="Continuous Flight Auger",Inputs!$E$32="All Types"),$A$42="Number of Piles"),(IF(Pile!#REF!=Pile!$AD$368,MIN(Pile!$AM$368:$AM$373),IF(Pile!#REF!=Pile!$AD$374,MIN(Pile!$AM$374:$AM$379),IF(Pile!#REF!=Pile!$AD$380,MIN(Pile!$AM$380:$AM$385),IF(Pile!#REF!=Pile!$AD$386,MIN(Pile!$AM$386:$AM$391),"Not Suitable"))))),AND(Inputs!$E$32="Driven Precast Concrete",$A$42="Concrete Volume"),(IF(MIN(Pile!$AL$368:$AL$391)&gt;0,MIN(Pile!$AL$368:$AL$391), "Not Suitable")),AND(Inputs!$E$32="Driven Precast Concrete",$A$42="Number of Piles"),(IF(Pile!#REF!=Pile!$AD$368,MIN(Pile!$AL$368:$AL$373),IF(Pile!#REF!=Pile!$AD$374,MIN(Pile!$AL$374:$AL$379),IF(Pile!#REF!=Pile!$AD$380,MIN(Pile!$AL$380:$AL$385),IF(Pile!#REF!=Pile!$AD$386,MIN(Pile!$AL$386:$AL$391),"Not Suitable"))))),AND(Inputs!$E$32="Bored Cast in Place Concrete",$A$42="Concrete Volume"),(IF(MIN(Pile!$AK$368:$AK$391)&gt;0,MIN(Pile!$AK$368:$AK$391), "Not Suitable")),AND(Inputs!$E$32="Bored Cast in Place Concrete",$A$42="Number of Piles"),(IF(Pile!#REF!=Pile!$AD$368,MIN(Pile!$AK$368:$AK$373),IF(Pile!#REF!=Pile!$AD$374,MIN(Pile!$AK$374:$AK$379),IF(Pile!#REF!=Pile!$AD$380,MIN(Pile!$AK$380:$AK$385),IF(Pile!#REF!=Pile!$AD$386,MIN(Pile!$AK$386:$AK$391),"Not Suitable"))))))))</f>
        <v>86.706631334008762</v>
      </c>
      <c r="U47" s="314"/>
      <c r="V47" s="314"/>
      <c r="W47" s="314"/>
      <c r="X47" s="314"/>
      <c r="Y47" s="314"/>
      <c r="Z47" s="314"/>
      <c r="AA47" s="314"/>
      <c r="AB47" s="314"/>
      <c r="AC47" s="314"/>
      <c r="AD47" s="314"/>
      <c r="AE47" s="314"/>
      <c r="AF47" s="314"/>
      <c r="AG47" s="314"/>
      <c r="AH47" s="314"/>
      <c r="AI47" s="314"/>
      <c r="AJ47" s="314"/>
      <c r="AK47" s="314"/>
      <c r="AL47" s="314"/>
      <c r="AM47" s="314"/>
      <c r="AN47" s="314"/>
      <c r="AO47" s="314"/>
      <c r="AP47" s="314"/>
      <c r="AQ47" s="314"/>
      <c r="AR47" s="314"/>
      <c r="AS47" s="314"/>
      <c r="AT47" s="314"/>
      <c r="AU47" s="314"/>
      <c r="AV47" s="314"/>
      <c r="AW47" s="314"/>
      <c r="AX47" s="314"/>
      <c r="AY47" s="314"/>
      <c r="AZ47" s="314"/>
      <c r="BA47" s="314"/>
      <c r="BB47" s="314"/>
      <c r="BC47" s="314"/>
      <c r="BD47" s="314"/>
      <c r="BE47" s="314"/>
      <c r="BF47" s="314"/>
      <c r="BG47" s="314"/>
      <c r="BH47" s="314"/>
      <c r="BI47" s="314"/>
      <c r="BJ47" s="314"/>
      <c r="BK47" s="314"/>
      <c r="BL47" s="314"/>
      <c r="BM47" s="314"/>
      <c r="BN47" s="314"/>
      <c r="BO47" s="314"/>
      <c r="BP47" s="314"/>
      <c r="BQ47" s="314"/>
      <c r="BR47" s="314"/>
      <c r="BS47" s="314"/>
      <c r="BT47" s="314"/>
      <c r="BU47" s="314"/>
      <c r="BV47" s="314"/>
    </row>
    <row r="48" spans="1:74" ht="15.75" thickBot="1">
      <c r="A48" s="578" t="s">
        <v>1934</v>
      </c>
      <c r="B48" s="1210" cm="1">
        <f t="array" ref="B48">_xlfn.SINGLE(IF(SUMPRODUCT(--ISNUMBER(Pile!$M$399:$M$422))&lt;=0,"Not Suitable",_xlfn.IFS(AND(OR(Inputs!$E$32="Continuous Flight Auger",Inputs!$E$32="All Types"),$A$42="Concrete Volume"),(IFERROR(_xlfn.SINGLE(INDEX(Pile!$C$399:$C$422,_xlfn.AGGREGATE(15,3,((Pile!$M$399:$M$422=F48)/(Pile!$M$399:$M$422=F48)*ROW(Pile!$M$399:$M$422))-ROW(Pile!$C$398),ROWS(A48)))),"Not Suitable")),AND(OR(Inputs!$E$32="Continuous Flight Auger",Inputs!$E$32="All Types"),$A$42="Number of Piles"),(IFERROR(_xlfn.SINGLE(INDEX(Pile!$C$399:$C$422,_xlfn.AGGREGATE(15,3,((Pile!$M$399:$M$422=F48)/(Pile!$M$399:$M$422=F48)*ROW(Pile!$M$399:$M$422))-ROW(Pile!$C$398),ROWS(A48)))),"Not Suitable")),AND(Inputs!$E$32="Driven Precast Concrete",$A$42="Concrete Volume"),(IFERROR(_xlfn.SINGLE(INDEX(Pile!$C$399:$C$422,_xlfn.AGGREGATE(15,3,((Pile!$L$399:$L$422=F48)/(Pile!$L$399:$L$422=F48)*ROW(Pile!$L$399:$L$422))-ROW(Pile!$C$398),ROWS(A48)))),"Not Suitable")),AND(Inputs!$E$32="Driven Precast Concrete",$A$42="Number of Piles"),(IFERROR(_xlfn.SINGLE(INDEX(Pile!$C$399:$C$422,_xlfn.AGGREGATE(15,3,((Pile!$L$399:$L$422=F48)/(Pile!$L$399:$L$422=F48)*ROW(Pile!$L$399:$L$422))-ROW(Pile!$C$398),ROWS(A48)))),"Not Suitable")),AND(Inputs!$E$32="Bored Cast in Place Concrete",$A$42="Concrete Volume"),(IFERROR(_xlfn.SINGLE(INDEX(Pile!$C$399:$C$422,_xlfn.AGGREGATE(15,3,((Pile!$K$399:$K$422=F48)/(Pile!$K$399:$K$422=F48)*ROW(Pile!$K$399:$K$422))-ROW(Pile!$C$398),ROWS(A48)))),"Not Suitable")),AND(Inputs!$E$32="Bored Cast in Place Concrete",$A$42="Number of Piles"),(IFERROR(_xlfn.SINGLE(INDEX(Pile!$C$399:$C$422,_xlfn.AGGREGATE(15,3,((Pile!$K$399:$K$422=F48)/(Pile!$K$399:$K$422=F48)*ROW(Pile!$K$399:$K$422))-ROW(Pile!$C$398),ROWS(A48)))),"Not Suitable")))))</f>
        <v>450</v>
      </c>
      <c r="C48" s="1211">
        <f>IF(F48="Not Suitable","Not Suitable",F48/(E48*PI()*(B48/2000)^2))</f>
        <v>17.036776513153224</v>
      </c>
      <c r="D48" s="1210" cm="1">
        <f t="array" ref="D48">_xlfn.SINGLE(IF(SUMPRODUCT(--ISNUMBER(Pile!$M$399:$M$422))&lt;=0,"Not Suitable",_xlfn.IFS(AND(OR(Inputs!$E$32="Continuous Flight Auger",Inputs!$E$32="All Types"),$A$42="Concrete Volume"),(IFERROR(_xlfn.SINGLE(INDEX(Pile!$B$399:$B$422,_xlfn.AGGREGATE(15,3,((Pile!$M$399:$M$422=F48)/(Pile!$M$399:$M$422=F48)*ROW(Pile!$M$399:$M$422))-ROW(Pile!$C$398),ROWS(A48)))),"Not Suitable")),AND(OR(Inputs!$E$32="Continuous Flight Auger",Inputs!$E$32="All Types"),$A$42="Number of Piles"),(IF(SUMPRODUCT(--ISNUMBER(Pile!$M$399:$M$404)),Pile!$B$399,IF(SUMPRODUCT(--ISNUMBER(Pile!$M$405:$M$410)),Pile!$B$405,IF(SUMPRODUCT(--ISNUMBER(Pile!$M$411:$M$416)),Pile!$B$411,IF(SUMPRODUCT(--ISNUMBER(Pile!$M$417:$M$422)),Pile!$B$417,"Not Suitable"))))),AND(Inputs!$E$32="Driven Precast Concrete",$A$42="Concrete Volume"),(IFERROR(_xlfn.SINGLE(INDEX(Pile!$B$399:$B$422,_xlfn.AGGREGATE(15,3,((Pile!$L$399:$L$422=F48)/(Pile!$L$399:$L$422=F48)*ROW(Pile!$L$399:$L$422))-ROW(Pile!$C$398),ROWS(A48)))),"Not Suitable")),AND(Inputs!$E$32="Driven Precast Concrete",$A$42="Number of Piles"),(IF(SUMPRODUCT(--ISNUMBER(Pile!$L$399:$L$404)),Pile!$B$399,IF(SUMPRODUCT(--ISNUMBER(Pile!$L$405:$L$410)),Pile!$B$405,IF(SUMPRODUCT(--ISNUMBER(Pile!$L$411:$L$416)),Pile!$B$411,IF(SUMPRODUCT(--ISNUMBER(Pile!$L$417:$L$422)),Pile!$B$417,"Not Suitable"))))),AND(Inputs!$E$32="Bored Cast in Place Concrete",$A$42="Concrete Volume"),(IFERROR(_xlfn.SINGLE(INDEX(Pile!$B$399:$B$422,_xlfn.AGGREGATE(15,3,((Pile!$K$399:$K$422=F48)/(Pile!$K$399:$K$422=F48)*ROW(Pile!$K$399:$K$422))-ROW(Pile!$C$398),ROWS(A48)))),"Not Suitable")),AND(Inputs!$E$32="Bored Cast in Place Concrete",$A$42="Number of Piles"),(IF(SUMPRODUCT(--ISNUMBER(Pile!$K$399:$K$404)),Pile!$B$399,IF(SUMPRODUCT(--ISNUMBER(Pile!$K$405:$K$410)),Pile!$B$405,IF(SUMPRODUCT(--ISNUMBER(Pile!$K$411:$K$416)),Pile!$B$411,IF(SUMPRODUCT(--ISNUMBER(Pile!$K$417:$K$422)),Pile!$B$417,"Not Suitable"))))))))</f>
        <v>1</v>
      </c>
      <c r="E48" s="1210" cm="1">
        <f t="array" ref="E48">_xlfn.SINGLE(IF(SUMPRODUCT(--ISNUMBER(Pile!$M$399:$M$422))&lt;=0,"Not Suitable",_xlfn.IFS(AND(OR(Inputs!$E$32="Continuous Flight Auger",Inputs!$E$32="All Types"),$A$42="Concrete Volume"),(IFERROR(_xlfn.SINGLE(INDEX(Pile!$D$399:$D$422,_xlfn.AGGREGATE(15,3,((Pile!$M$399:$M$422=F48)/(Pile!$M$399:$M$422=F48)*ROW(Pile!$M$399:$M$422))-ROW(Pile!$C$398),ROWS(A48)))),"Not Suitable")),AND(OR(Inputs!$E$32="Continuous Flight Auger",Inputs!$E$32="All Types"),$A$42="Number of Piles"),(IF(SUMPRODUCT(--ISNUMBER(Pile!$M$399:$M$404)),Pile!$D$399,IF(SUMPRODUCT(--ISNUMBER(Pile!$M$405:$M$410)),Pile!$D$405,IF(SUMPRODUCT(--ISNUMBER(Pile!$M$411:$M$416)),Pile!$D$411,IF(SUMPRODUCT(--ISNUMBER(Pile!$M$417:$M$422)),Pile!$D$417,"Not Suitable"))))),AND(Inputs!$E$32="Driven Precast Concrete",$A$42="Concrete Volume"),(IFERROR(_xlfn.SINGLE(INDEX(Pile!$D$399:$D$422,_xlfn.AGGREGATE(15,3,((Pile!$L$399:$L$422=F48)/(Pile!$L$399:$L$422=F48)*ROW(Pile!$L$399:$L$422))-ROW(Pile!$C$398),ROWS(A48)))),"Not Suitable")),AND(Inputs!$E$32="Driven Precast Concrete",$A$42="Number of Piles"),(IF(SUMPRODUCT(--ISNUMBER(Pile!$L$399:$L$404)),Pile!$D$399,IF(SUMPRODUCT(--ISNUMBER(Pile!$L$405:$L$410)),Pile!$D$405,IF(SUMPRODUCT(--ISNUMBER(Pile!$L$411:$L$416)),Pile!$D$411,IF(SUMPRODUCT(--ISNUMBER(Pile!$L$417:$L$422)),Pile!$D$417,"Not Suitable"))))),AND(Inputs!$E$32="Bored Cast in Place Concrete",$A$42="Concrete Volume"),(IFERROR(_xlfn.SINGLE(INDEX(Pile!$D$399:$D$422,_xlfn.AGGREGATE(15,3,((Pile!$K$399:$K$422=F48)/(Pile!$K$399:$K$422=F48)*ROW(Pile!$K$399:$K$422))-ROW(Pile!$C$398),ROWS(A48)))),"Not Suitable")),AND(Inputs!$E$32="Bored Cast in Place Concrete",$A$42="Number of Piles"),(IF(SUMPRODUCT(--ISNUMBER(Pile!$K$399:$K$404)),Pile!$D$399,IF(SUMPRODUCT(--ISNUMBER(Pile!$K$405:$K$410)),Pile!$D$405,IF(SUMPRODUCT(--ISNUMBER(Pile!$K$411:$K$416)),Pile!$D$411,IF(SUMPRODUCT(--ISNUMBER(Pile!$K$417:$K$422)),Pile!$D$417,"Not Suitable"))))))))</f>
        <v>4</v>
      </c>
      <c r="F48" s="1211" cm="1">
        <f t="array" ref="F48">_xlfn.SINGLE(IF(SUMPRODUCT(--ISNUMBER(Pile!$M$399:$M$422))&lt;=0,"Not Suitable",_xlfn.IFS(AND(OR(Inputs!$E$32="Continuous Flight Auger",Inputs!$E$32="All Types"),$A$42="Concrete Volume"),(IF(MIN(Pile!$M$399:$M$422)&gt;0,MIN(Pile!$M$399:$M$422), "Not Suitable")),AND(OR(Inputs!$E$32="Continuous Flight Auger",Inputs!$E$32="All Types"),$A$42="Number of Piles"),(IF(Pile!#REF!=Pile!$D$399,MIN(Pile!$M$399:$M$404),IF(Pile!#REF!=Pile!$D$405,MIN(Pile!$M$405:$M$410),IF(Pile!#REF!=Pile!$D$411,MIN(Pile!$M$411:$M$416),IF(Pile!#REF!=Pile!$D$417,MIN(Pile!$M$417:$M$422),"Not Suitable"))))),AND(Inputs!$E$32="Driven Precast Concrete",$A$42="Concrete Volume"),(IF(MIN(Pile!$L$399:$L$422)&gt;0,MIN(Pile!$L$399:$L$422), "Not Suitable")),AND(Inputs!$E$32="Driven Precast Concrete",$A$42="Number of Piles"),(IF(Pile!#REF!=Pile!$D$399,MIN(Pile!$L$399:$L$404),IF(Pile!#REF!=Pile!$D$405,MIN(Pile!$L$405:$L$410),IF(Pile!#REF!=Pile!$D$411,MIN(Pile!$L$411:$L$416),IF(Pile!#REF!=Pile!$D$417,MIN(Pile!$L$417:$L$422),"Not Suitable"))))),AND(Inputs!$E$32="Bored Cast in Place Concrete",$A$42="Concrete Volume"),(IF(MIN(Pile!$K$399:$K$422)&gt;0,MIN(Pile!$K$399:$K$422), "Not Suitable")),AND(Inputs!$E$32="Bored Cast in Place Concrete",$A$42="Number of Piles"),(IF(Pile!#REF!=Pile!$D$399,MIN(Pile!$K$399:$K$404),IF(Pile!#REF!=Pile!$D$405,MIN(Pile!$K$405:$K$410),IF(Pile!#REF!=Pile!$D$411,MIN(Pile!$K$411:$K$416),IF(Pile!#REF!=Pile!$D$417,MIN(Pile!$K$417:$K$422),"Not Suitable"))))))))</f>
        <v>10.838328916751095</v>
      </c>
      <c r="G48" s="1198"/>
      <c r="H48" s="578" t="s">
        <v>1934</v>
      </c>
      <c r="I48" s="1210" cm="1">
        <f t="array" ref="I48">_xlfn.SINGLE(IF(SUMPRODUCT(--ISNUMBER(Pile!$Z$399:$Z$422))&lt;=0,"Not Suitable",_xlfn.IFS(AND(OR(Inputs!$E$32="Continuous Flight Auger",Inputs!$E$32="All Types"),$A$42="Concrete Volume"),(IFERROR(_xlfn.SINGLE(INDEX(Pile!$P$399:$P$422,_xlfn.AGGREGATE(15,3,((Pile!$Z$399:$Z$422=M48)/(Pile!$Z$399:$Z$422=M48)*ROW(Pile!$Z$399:$Z$422))-ROW(Pile!$P$398),ROWS(H48)))),"Not Suitable")),AND(OR(Inputs!$E$32="Continuous Flight Auger",Inputs!$E$32="All Types"),$A$42="Number of Piles"),(IFERROR(_xlfn.SINGLE(INDEX(Pile!$P$399:$P$422,_xlfn.AGGREGATE(15,3,((Pile!$Z$399:$Z$422=M48)/(Pile!$Z$399:$Z$422=M48)*ROW(Pile!$Z$399:$Z$422))-ROW(Pile!$P$398),ROWS(H48)))),"Not Suitable")),AND(Inputs!$E$32="Driven Precast Concrete",$A$42="Concrete Volume"),(IFERROR(_xlfn.SINGLE(INDEX(Pile!$P$399:$P$422,_xlfn.AGGREGATE(15,3,((Pile!$Y$399:$Y$422=M48)/(Pile!$Y$399:$Y$422=M48)*ROW(Pile!$Y$399:$Y$422))-ROW(Pile!$P$398),ROWS(H48)))),"Not Suitable")),AND(Inputs!$E$32="Driven Precast Concrete",$A$42="Number of Piles"),(IFERROR(_xlfn.SINGLE(INDEX(Pile!$P$399:$P$422,_xlfn.AGGREGATE(15,3,((Pile!$Y$399:$Y$422=M48)/(Pile!$Y$399:$Y$422=M48)*ROW(Pile!$Y$399:$Y$422))-ROW(Pile!$P$398),ROWS(H48)))),"Not Suitable")),AND(Inputs!$E$32="Bored Cast in Place Concrete",$A$42="Concrete Volume"),(IFERROR(_xlfn.SINGLE(INDEX(Pile!$P$399:$P$422,_xlfn.AGGREGATE(15,3,((Pile!$X$399:$X$422=M48)/(Pile!$X$399:$X$422=M48)*ROW(Pile!$X$399:$X$422))-ROW(Pile!$P$398),ROWS(H48)))),"Not Suitable")),AND(Inputs!$E$32="Bored Cast in Place Concrete",$A$42="Number of Piles"),(IFERROR(_xlfn.SINGLE(INDEX(Pile!$P$399:$P$422,_xlfn.AGGREGATE(15,3,((Pile!$X$399:$X$422=M48)/(Pile!$X$399:$X$422=M48)*ROW(Pile!$X$399:$X$422))-ROW(Pile!$P$398),ROWS(H48)))),"Not Suitable")))))</f>
        <v>450</v>
      </c>
      <c r="J48" s="1211">
        <f>IF(M48="Not Suitable","Not Suitable",M48/(L48*PI()*(I48/2000)^2))</f>
        <v>17.036776513153224</v>
      </c>
      <c r="K48" s="1210" cm="1">
        <f t="array" ref="K48">_xlfn.SINGLE(IF(SUMPRODUCT(--ISNUMBER(Pile!$Z$399:$Z$422))&lt;=0,"Not Suitable",_xlfn.IFS(AND(OR(Inputs!$E$32="Continuous Flight Auger",Inputs!$E$32="All Types"),$A$42="Concrete Volume"),(IFERROR(_xlfn.SINGLE(INDEX(Pile!$O$399:$O$422,_xlfn.AGGREGATE(15,3,((Pile!$Z$399:$Z$422=M48)/(Pile!$Z$399:$Z$422=M48)*ROW(Pile!$Z$399:$Z$422))-ROW(Pile!$P$398),ROWS(H48)))),"Not Suitable")),AND(OR(Inputs!$E$32="Continuous Flight Auger",Inputs!$E$32="All Types"),$A$42="Number of Piles"),(IF(SUMPRODUCT(--ISNUMBER(Pile!$Z$399:$Z$404)),Pile!$O$399,IF(SUMPRODUCT(--ISNUMBER(Pile!$Z$405:$Z$410)),Pile!$O$405,IF(SUMPRODUCT(--ISNUMBER(Pile!$Z$411:$Z$416)),Pile!$O$411,IF(SUMPRODUCT(--ISNUMBER(Pile!$Z$417:$Z$422)),Pile!$O$417,"Not Suitable"))))),AND(Inputs!$E$32="Driven Precast Concrete",$A$42="Concrete Volume"),(IFERROR(_xlfn.SINGLE(INDEX(Pile!$O$399:$O$422,_xlfn.AGGREGATE(15,3,((Pile!$Y$399:$Y$422=M48)/(Pile!$Y$399:$Y$422=M48)*ROW(Pile!$Y$399:$Y$422))-ROW(Pile!$P$398),ROWS(H48)))),"Not Suitable")),AND(Inputs!$E$32="Driven Precast Concrete",$A$42="Number of Piles"),(IF(SUMPRODUCT(--ISNUMBER(Pile!$Y$399:$Y$404)),Pile!$O$399,IF(SUMPRODUCT(--ISNUMBER(Pile!$Y$405:$Y$410)),Pile!$O$405,IF(SUMPRODUCT(--ISNUMBER(Pile!$Y$411:$Y$416)),Pile!$O$411,IF(SUMPRODUCT(--ISNUMBER(Pile!$Y$417:$Y$422)),Pile!$O$417,"Not Suitable"))))),AND(Inputs!$E$32="Bored Cast in Place Concrete",$A$42="Concrete Volume"),(IFERROR(_xlfn.SINGLE(INDEX(Pile!$O$399:$O$422,_xlfn.AGGREGATE(15,3,((Pile!$X$399:$X$422=M48)/(Pile!$X$399:$X$422=M48)*ROW(Pile!$X$399:$X$422))-ROW(Pile!$P$398),ROWS(H48)))),"Not Suitable")),AND(Inputs!$E$32="Bored Cast in Place Concrete",$A$42="Number of Piles"),(IF(SUMPRODUCT(--ISNUMBER(Pile!$X$399:$X$404)),Pile!$O$399,IF(SUMPRODUCT(--ISNUMBER(Pile!$X$405:$X$410)),Pile!$O$405,IF(SUMPRODUCT(--ISNUMBER(Pile!$X$411:$X$416)),Pile!$O$411,IF(SUMPRODUCT(--ISNUMBER(Pile!$X$417:$X$422)),Pile!$O$417,"Not Suitable"))))))))</f>
        <v>1</v>
      </c>
      <c r="L48" s="1210" cm="1">
        <f t="array" ref="L48">_xlfn.SINGLE(IF(SUMPRODUCT(--ISNUMBER(Pile!$Z$399:$Z$422))&lt;=0,"Not Suitable",_xlfn.IFS(AND(OR(Inputs!$E$32="Continuous Flight Auger",Inputs!$E$32="All Types"),$A$42="Concrete Volume"),(IFERROR(_xlfn.SINGLE(INDEX(Pile!$Q$399:$Q$422,_xlfn.AGGREGATE(15,3,((Pile!$Z$399:$Z$422=M48)/(Pile!$Z$399:$Z$422=M48)*ROW(Pile!$Z$399:$Z$422))-ROW(Pile!$P$398),ROWS(H48)))),"Not Suitable")),AND(OR(Inputs!$E$32="Continuous Flight Auger",Inputs!$E$32="All Types"),$A$42="Number of Piles"),(IF(SUMPRODUCT(--ISNUMBER(Pile!$Z$399:$Z$404)),Pile!$Q$399,IF(SUMPRODUCT(--ISNUMBER(Pile!$Z$405:$Z$410)),Pile!$Q$405,IF(SUMPRODUCT(--ISNUMBER(Pile!$Z$411:$Z$416)),Pile!$Q$411,IF(SUMPRODUCT(--ISNUMBER(Pile!$Z$417:$Z$422)),Pile!$Q$417,"Not Suitable"))))),AND(Inputs!$E$32="Driven Precast Concrete",$A$42="Concrete Volume"),(IFERROR(_xlfn.SINGLE(INDEX(Pile!$Q$399:$Q$422,_xlfn.AGGREGATE(15,3,((Pile!$Y$399:$Y$422=M48)/(Pile!$Y$399:$Y$422=M48)*ROW(Pile!$Y$399:$Y$422))-ROW(Pile!$P$398),ROWS(H48)))),"Not Suitable")),AND(Inputs!$E$32="Driven Precast Concrete",$A$42="Number of Piles"),(IF(SUMPRODUCT(--ISNUMBER(Pile!$Y$399:$Y$404)),Pile!$Q$399,IF(SUMPRODUCT(--ISNUMBER(Pile!$Y$405:$Y$410)),Pile!$Q$405,IF(SUMPRODUCT(--ISNUMBER(Pile!$Y$411:$Y$416)),Pile!$Q$411,IF(SUMPRODUCT(--ISNUMBER(Pile!$Y$417:$Y$422)),Pile!$Q$417,"Not Suitable"))))),AND(Inputs!$E$32="Bored Cast in Place Concrete",$A$42="Concrete Volume"),(IFERROR(_xlfn.SINGLE(INDEX(Pile!$Q$399:$Q$422,_xlfn.AGGREGATE(15,3,((Pile!$X$399:$X$422=M48)/(Pile!$X$399:$X$422=M48)*ROW(Pile!$X$399:$X$422))-ROW(Pile!$P$398),ROWS(H48)))),"Not Suitable")),AND(Inputs!$E$32="Bored Cast in Place Concrete",$A$42="Number of Piles"),(IF(SUMPRODUCT(--ISNUMBER(Pile!$X$399:$X$404)),Pile!$Q$399,IF(SUMPRODUCT(--ISNUMBER(Pile!$X$405:$X$410)),Pile!$Q$405,IF(SUMPRODUCT(--ISNUMBER(Pile!$X$411:$X$416)),Pile!$Q$411,IF(SUMPRODUCT(--ISNUMBER(Pile!$X$417:$X$422)),Pile!$Q$417,"Not Suitable"))))))))</f>
        <v>4</v>
      </c>
      <c r="M48" s="1211" cm="1">
        <f t="array" ref="M48">_xlfn.SINGLE(IF(SUMPRODUCT(--ISNUMBER(Pile!$Z$399:$Z$422))&lt;=0,"Not Suitable",_xlfn.IFS(AND(OR(Inputs!$E$32="Continuous Flight Auger",Inputs!$E$32="All Types"),$A$42="Concrete Volume"),(IF(MIN(Pile!$Z$399:$Z$422)&gt;0,MIN(Pile!$Z$399:$Z$422), "Not Suitable")),AND(OR(Inputs!$E$32="Continuous Flight Auger",Inputs!$E$32="All Types"),$A$42="Number of Piles"),(IF(Pile!#REF!=Pile!$Q$399,MIN(Pile!$Z$399:$Z$404),IF(Pile!#REF!=Pile!$Q$405,MIN(Pile!$Z$405:$Z$410),IF(Pile!#REF!=Pile!$Q$411,MIN(Pile!$Z$411:$Z$416),IF(Pile!#REF!=Pile!$Q$417,MIN(Pile!$Z$417:$Z$422),"Not Suitable"))))),AND(Inputs!$E$32="Driven Precast Concrete",$A$42="Concrete Volume"),(IF(MIN(Pile!$Y$399:$Y$422)&gt;0,MIN(Pile!$Y$399:$Y$422), "Not Suitable")),AND(Inputs!$E$32="Driven Precast Concrete",$A$42="Number of Piles"),(IF(Pile!#REF!=Pile!$Q$399,MIN(Pile!$Y$399:$Y$404),IF(Pile!#REF!=Pile!$Q$405,MIN(Pile!$Y$405:$Y$410),IF(Pile!#REF!=Pile!$Q$411,MIN(Pile!$Y$411:$Y$416),IF(Pile!#REF!=Pile!$Q$417,MIN(Pile!$Y$417:$Y$422),"Not Suitable"))))),AND(Inputs!$E$32="Bored Cast in Place Concrete",$A$42="Concrete Volume"),(IF(MIN(Pile!$X$399:$X$422)&gt;0,MIN(Pile!$X$399:$X$422), "Not Suitable")),AND(Inputs!$E$32="Bored Cast in Place Concrete",$A$42="Number of Piles"),(IF(Pile!#REF!=Pile!$Q$399,MIN(Pile!$X$399:$X$404),IF(Pile!#REF!=Pile!$Q$405,MIN(Pile!$X$405:$X$410),IF(Pile!#REF!=Pile!$Q$411,MIN(Pile!$X$411:$X$416),IF(Pile!#REF!=Pile!$Q$417,MIN(Pile!$X$417:$X$422),"Not Suitable"))))))))</f>
        <v>10.838328916751095</v>
      </c>
      <c r="N48" s="1198"/>
      <c r="O48" s="578" t="s">
        <v>1934</v>
      </c>
      <c r="P48" s="1210" cm="1">
        <f t="array" ref="P48">_xlfn.SINGLE(IF(SUMPRODUCT(--ISNUMBER(Pile!$AM$399:$AM$422))&lt;=0,"Not Suitable",_xlfn.IFS(AND(OR(Inputs!$E$32="Continuous Flight Auger",Inputs!$E$32="All Types"),$A$42="Concrete Volume"),(IFERROR(_xlfn.SINGLE(INDEX(Pile!$AC$399:$AC$422,_xlfn.AGGREGATE(15,3,((Pile!$AM$399:$AM$422=T48)/(Pile!$AM$399:$AM$422=T48)*ROW(Pile!$AM$399:$AM$422))-ROW(Pile!$AC$398),ROWS(O48)))),"Not Suitable")),AND(OR(Inputs!$E$32="Continuous Flight Auger",Inputs!$E$32="All Types"),$A$42="Number of Piles"),(IFERROR(_xlfn.SINGLE(INDEX(Pile!$AC$399:$AC$422,_xlfn.AGGREGATE(15,3,((Pile!$AM$399:$AM$422=T48)/(Pile!$AM$399:$AM$422=T48)*ROW(Pile!$AM$399:$AM$422))-ROW(Pile!$AC$398),ROWS(O48)))),"Not Suitable")),AND(Inputs!$E$32="Driven Precast Concrete",$A$42="Concrete Volume"),(IFERROR(_xlfn.SINGLE(INDEX(Pile!$AC$399:$AC$422,_xlfn.AGGREGATE(15,3,((Pile!$AL$399:$AL$422=T48)/(Pile!$AL$399:$AL$422=T48)*ROW(Pile!$AL$399:$AL$422))-ROW(Pile!$AC$398),ROWS(O48)))),"Not Suitable")),AND(Inputs!$E$32="Driven Precast Concrete",$A$42="Number of Piles"),(IFERROR(_xlfn.SINGLE(INDEX(Pile!$AC$399:$AC$422,_xlfn.AGGREGATE(15,3,((Pile!$AL$399:$AL$422=T48)/(Pile!$AL$399:$AL$422=T48)*ROW(Pile!$AL$399:$AL$422))-ROW(Pile!$AC$398),ROWS(O48)))),"Not Suitable")),AND(Inputs!$E$32="Bored Cast in Place Concrete",$A$42="Concrete Volume"),(IFERROR(_xlfn.SINGLE(INDEX(Pile!$AC$399:$AC$422,_xlfn.AGGREGATE(15,3,((Pile!$AK$399:$AK$422=T48)/(Pile!$AK$399:$AK$422=T48)*ROW(Pile!$AK$399:$AK$422))-ROW(Pile!$AC$398),ROWS(O48)))),"Not Suitable")),AND(Inputs!$E$32="Bored Cast in Place Concrete",$A$42="Number of Piles"),(IFERROR(_xlfn.SINGLE(INDEX(Pile!$AC$399:$AC$422,_xlfn.AGGREGATE(15,3,((Pile!$AK$399:$AK$422=T48)/(Pile!$AK$399:$AK$422=T48)*ROW(Pile!$AK$399:$AK$422))-ROW(Pile!$AC$398),ROWS(O48)))),"Not Suitable")))))</f>
        <v>450</v>
      </c>
      <c r="Q48" s="1211">
        <f>IF(T48="Not Suitable","Not Suitable",T48/(S48*PI()*(P48/2000)^2))</f>
        <v>17.036776513153224</v>
      </c>
      <c r="R48" s="1210" cm="1">
        <f t="array" ref="R48">_xlfn.SINGLE(IF(SUMPRODUCT(--ISNUMBER(Pile!$AM$399:$AM$422))&lt;=0,"Not Suitable",_xlfn.IFS(AND(OR(Inputs!$E$32="Continuous Flight Auger",Inputs!$E$32="All Types"),$A$42="Concrete Volume"),(IFERROR(_xlfn.SINGLE(INDEX(Pile!$AB$399:$AB$422,_xlfn.AGGREGATE(15,3,((Pile!$AM$399:$AM$422=T48)/(Pile!$AM$399:$AM$422=T48)*ROW(Pile!$AM$399:$AM$422))-ROW(Pile!$AC$398),ROWS(O48)))),"Not Suitable")),AND(OR(Inputs!$E$32="Continuous Flight Auger",Inputs!$E$32="All Types"),$A$42="Number of Piles"),(IF(SUMPRODUCT(--ISNUMBER(Pile!$AM$399:$AM$404)),Pile!$AB$399,IF(SUMPRODUCT(--ISNUMBER(Pile!$AM$405:$AM$410)),Pile!$AB$405,IF(SUMPRODUCT(--ISNUMBER(Pile!$AM$411:$AM$416)),Pile!$AB$411,IF(SUMPRODUCT(--ISNUMBER(Pile!$AM$417:$AM$422)),Pile!$AB$417,"Not Suitable"))))),AND(Inputs!$E$32="Driven Precast Concrete",$A$42="Concrete Volume"),(IFERROR(_xlfn.SINGLE(INDEX(Pile!$AB$399:$AB$422,_xlfn.AGGREGATE(15,3,((Pile!$AL$399:$AL$422=T48)/(Pile!$AL$399:$AL$422=T48)*ROW(Pile!$AL$399:$AL$422))-ROW(Pile!$AC$398),ROWS(O48)))),"Not Suitable")),AND(Inputs!$E$32="Driven Precast Concrete",$A$42="Number of Piles"),(IF(SUMPRODUCT(--ISNUMBER(Pile!$AL$399:$AL$404)),Pile!$AB$399,IF(SUMPRODUCT(--ISNUMBER(Pile!$AL$405:$AL$410)),Pile!$AB$405,IF(SUMPRODUCT(--ISNUMBER(Pile!$AL$411:$AL$416)),Pile!$AB$411,IF(SUMPRODUCT(--ISNUMBER(Pile!$AL$417:$AL$422)),Pile!$AB$417,"Not Suitable"))))),AND(Inputs!$E$32="Bored Cast in Place Concrete",$A$42="Concrete Volume"),(IFERROR(_xlfn.SINGLE(INDEX(Pile!$AB$399:$AB$422,_xlfn.AGGREGATE(15,3,((Pile!$AK$399:$AK$422=T48)/(Pile!$AK$399:$AK$422=T48)*ROW(Pile!$AK$399:$AK$422))-ROW(Pile!$AC$398),ROWS(O48)))),"Not Suitable")),AND(Inputs!$E$32="Bored Cast in Place Concrete",$A$42="Number of Piles"),(IF(SUMPRODUCT(--ISNUMBER(Pile!$AK$399:$AK$404)),Pile!$AB$399,IF(SUMPRODUCT(--ISNUMBER(Pile!$AK$405:$AK$410)),Pile!$AB$405,IF(SUMPRODUCT(--ISNUMBER(Pile!$AK$411:$AK$416)),Pile!$AB$411,IF(SUMPRODUCT(--ISNUMBER(Pile!$AK$417:$AK$422)),Pile!$AB$417,"Not Suitable"))))))))</f>
        <v>1</v>
      </c>
      <c r="S48" s="1210" cm="1">
        <f t="array" ref="S48">_xlfn.SINGLE(IF(SUMPRODUCT(--ISNUMBER(Pile!$AM$399:$AM$422))&lt;=0,"Not Suitable",_xlfn.IFS(AND(OR(Inputs!$E$32="Continuous Flight Auger",Inputs!$E$32="All Types"),$A$42="Concrete Volume"),(IFERROR(_xlfn.SINGLE(INDEX(Pile!$AD$399:$AD$422,_xlfn.AGGREGATE(15,3,((Pile!$AM$399:$AM$422=T48)/(Pile!$AM$399:$AM$422=T48)*ROW(Pile!$AM$399:$AM$422))-ROW(Pile!$AC$398),ROWS(O48)))),"Not Suitable")),AND(OR(Inputs!$E$32="Continuous Flight Auger",Inputs!$E$32="All Types"),$A$42="Number of Piles"),(IF(SUMPRODUCT(--ISNUMBER(Pile!$AM$399:$AM$404)),Pile!$AD$399,IF(SUMPRODUCT(--ISNUMBER(Pile!$AM$405:$AM$410)),Pile!$AD$405,IF(SUMPRODUCT(--ISNUMBER(Pile!$AM$411:$AM$416)),Pile!$AD$411,IF(SUMPRODUCT(--ISNUMBER(Pile!$AM$417:$AM$422)),Pile!$AD$417,"Not Suitable"))))),AND(Inputs!$E$32="Driven Precast Concrete",$A$42="Concrete Volume"),(IFERROR(_xlfn.SINGLE(INDEX(Pile!$AD$399:$AD$422,_xlfn.AGGREGATE(15,3,((Pile!$AL$399:$AL$422=T48)/(Pile!$AL$399:$AL$422=T48)*ROW(Pile!$AL$399:$AL$422))-ROW(Pile!$AC$398),ROWS(O48)))),"Not Suitable")),AND(Inputs!$E$32="Driven Precast Concrete",$A$42="Number of Piles"),(IF(SUMPRODUCT(--ISNUMBER(Pile!$AL$399:$AL$404)),Pile!$AD$399,IF(SUMPRODUCT(--ISNUMBER(Pile!$AL$405:$AL$410)),Pile!$AD$405,IF(SUMPRODUCT(--ISNUMBER(Pile!$AL$411:$AL$416)),Pile!$AD$411,IF(SUMPRODUCT(--ISNUMBER(Pile!$AL$417:$AL$422)),Pile!$AD$417,"Not Suitable"))))),AND(Inputs!$E$32="Bored Cast in Place Concrete",$A$42="Concrete Volume"),(IFERROR(_xlfn.SINGLE(INDEX(Pile!$AD$399:$AD$422,_xlfn.AGGREGATE(15,3,((Pile!$AK$399:$AK$422=T48)/(Pile!$AK$399:$AK$422=T48)*ROW(Pile!$AK$399:$AK$422))-ROW(Pile!$AC$398),ROWS(O48)))),"Not Suitable")),AND(Inputs!$E$32="Bored Cast in Place Concrete",$A$42="Number of Piles"),(IF(SUMPRODUCT(--ISNUMBER(Pile!$AK$399:$AK$404)),Pile!$AD$399,IF(SUMPRODUCT(--ISNUMBER(Pile!$AK$405:$AK$410)),Pile!$AD$405,IF(SUMPRODUCT(--ISNUMBER(Pile!$AK$411:$AK$416)),Pile!$AD$411,IF(SUMPRODUCT(--ISNUMBER(Pile!$AK$417:$AK$422)),Pile!$AD$417,"Not Suitable"))))))))</f>
        <v>4</v>
      </c>
      <c r="T48" s="1211" cm="1">
        <f t="array" ref="T48">_xlfn.SINGLE(IF(SUMPRODUCT(--ISNUMBER(Pile!$AM$399:$AM$422))&lt;=0,"Not Suitable",_xlfn.IFS(AND(OR(Inputs!$E$32="Continuous Flight Auger",Inputs!$E$32="All Types"),$A$42="Concrete Volume"),(IF(MIN(Pile!$AM$399:$AM$422)&gt;0,MIN(Pile!$AM$399:$AM$422), "Not Suitable")),AND(OR(Inputs!$E$32="Continuous Flight Auger",Inputs!$E$32="All Types"),$A$42="Number of Piles"),(IF(Pile!#REF!=Pile!$AD$399,MIN(Pile!$AM$399:$AM$404),IF(Pile!#REF!=Pile!$AD$405,MIN(Pile!$AM$405:$AM$410),IF(Pile!#REF!=Pile!$AD$411,MIN(Pile!$AM$411:$AM$416),IF(Pile!#REF!=Pile!$AD$417,MIN(Pile!$AM$417:$AM$422),"Not Suitable"))))),AND(Inputs!$E$32="Driven Precast Concrete",$A$42="Concrete Volume"),(IF(MIN(Pile!$AL$399:$AL$422)&gt;0,MIN(Pile!$AL$399:$AL$422), "Not Suitable")),AND(Inputs!$E$32="Driven Precast Concrete",$A$42="Number of Piles"),(IF(Pile!#REF!=Pile!$AD$399,MIN(Pile!$AL$399:$AL$404),IF(Pile!#REF!=Pile!$AD$405,MIN(Pile!$AL$405:$AL$410),IF(Pile!#REF!=Pile!$AD$411,MIN(Pile!$AL$411:$AL$416),IF(Pile!#REF!=Pile!$AD$417,MIN(Pile!$AL$417:$AL$422),"Not Suitable"))))),AND(Inputs!$E$32="Bored Cast in Place Concrete",$A$42="Concrete Volume"),(IF(MIN(Pile!$AK$399:$AK$422)&gt;0,MIN(Pile!$AK$399:$AK$422), "Not Suitable")),AND(Inputs!$E$32="Bored Cast in Place Concrete",$A$42="Number of Piles"),(IF(Pile!#REF!=Pile!$AD$399,MIN(Pile!$AK$399:$AK$404),IF(Pile!#REF!=Pile!$AD$405,MIN(Pile!$AK$405:$AK$410),IF(Pile!#REF!=Pile!$AD$411,MIN(Pile!$AK$411:$AK$416),IF(Pile!#REF!=Pile!$AD$417,MIN(Pile!$AK$417:$AK$422),"Not Suitable"))))))))</f>
        <v>10.838328916751095</v>
      </c>
      <c r="U48" s="314"/>
      <c r="V48" s="314"/>
      <c r="W48" s="314"/>
      <c r="X48" s="314"/>
      <c r="Y48" s="314"/>
      <c r="Z48" s="314"/>
      <c r="AA48" s="314"/>
      <c r="AB48" s="314"/>
      <c r="AC48" s="314"/>
      <c r="AD48" s="314"/>
      <c r="AE48" s="314"/>
      <c r="AF48" s="314"/>
      <c r="AG48" s="314"/>
      <c r="AH48" s="314"/>
      <c r="AI48" s="314"/>
      <c r="AJ48" s="314"/>
      <c r="AK48" s="314"/>
      <c r="AL48" s="314"/>
      <c r="AM48" s="314"/>
      <c r="AN48" s="314"/>
      <c r="AO48" s="314"/>
      <c r="AP48" s="314"/>
      <c r="AQ48" s="314"/>
      <c r="AR48" s="314"/>
      <c r="AS48" s="314"/>
      <c r="AT48" s="314"/>
      <c r="AU48" s="314"/>
      <c r="AV48" s="314"/>
      <c r="AW48" s="314"/>
      <c r="AX48" s="314"/>
      <c r="AY48" s="314"/>
      <c r="AZ48" s="314"/>
      <c r="BA48" s="314"/>
      <c r="BB48" s="314"/>
      <c r="BC48" s="314"/>
      <c r="BD48" s="314"/>
      <c r="BE48" s="314"/>
      <c r="BF48" s="314"/>
      <c r="BG48" s="314"/>
      <c r="BH48" s="314"/>
      <c r="BI48" s="314"/>
      <c r="BJ48" s="314"/>
      <c r="BK48" s="314"/>
      <c r="BL48" s="314"/>
      <c r="BM48" s="314"/>
      <c r="BN48" s="314"/>
      <c r="BO48" s="314"/>
      <c r="BP48" s="314"/>
      <c r="BQ48" s="314"/>
      <c r="BR48" s="314"/>
      <c r="BS48" s="314"/>
      <c r="BT48" s="314"/>
      <c r="BU48" s="314"/>
      <c r="BV48" s="314"/>
    </row>
    <row r="49" spans="1:74" ht="15.75" thickBot="1">
      <c r="B49" s="1212"/>
      <c r="C49" s="1213"/>
      <c r="D49" s="1212"/>
      <c r="E49" s="1212"/>
      <c r="F49" s="1212"/>
      <c r="G49" s="1198"/>
      <c r="I49" s="1212"/>
      <c r="J49" s="1213"/>
      <c r="K49" s="1212"/>
      <c r="L49" s="1212"/>
      <c r="M49" s="1212"/>
      <c r="N49" s="1198"/>
      <c r="P49" s="1212"/>
      <c r="Q49" s="1213"/>
      <c r="R49" s="1212"/>
      <c r="S49" s="1212"/>
      <c r="T49" s="1212"/>
      <c r="U49" s="314"/>
      <c r="V49" s="314"/>
      <c r="W49" s="314"/>
      <c r="X49" s="314"/>
      <c r="Y49" s="314"/>
      <c r="Z49" s="314"/>
      <c r="AA49" s="314"/>
      <c r="AB49" s="314"/>
      <c r="AC49" s="314"/>
      <c r="AD49" s="314"/>
      <c r="AE49" s="314"/>
      <c r="AF49" s="314"/>
      <c r="AG49" s="314"/>
      <c r="AH49" s="314"/>
      <c r="AI49" s="314"/>
      <c r="AJ49" s="314"/>
      <c r="AK49" s="314"/>
      <c r="AL49" s="314"/>
      <c r="AM49" s="314"/>
      <c r="AN49" s="314"/>
      <c r="AO49" s="314"/>
      <c r="AP49" s="314"/>
      <c r="AQ49" s="314"/>
      <c r="AR49" s="314"/>
      <c r="AS49" s="314"/>
      <c r="AT49" s="314"/>
      <c r="AU49" s="314"/>
      <c r="AV49" s="314"/>
      <c r="AW49" s="314"/>
      <c r="AX49" s="314"/>
      <c r="AY49" s="314"/>
      <c r="AZ49" s="314"/>
      <c r="BA49" s="314"/>
      <c r="BB49" s="314"/>
      <c r="BC49" s="314"/>
      <c r="BD49" s="314"/>
      <c r="BE49" s="314"/>
      <c r="BF49" s="314"/>
      <c r="BG49" s="314"/>
      <c r="BH49" s="314"/>
      <c r="BI49" s="314"/>
      <c r="BJ49" s="314"/>
      <c r="BK49" s="314"/>
      <c r="BL49" s="314"/>
      <c r="BM49" s="314"/>
      <c r="BN49" s="314"/>
      <c r="BO49" s="314"/>
      <c r="BP49" s="314"/>
      <c r="BQ49" s="314"/>
      <c r="BR49" s="314"/>
      <c r="BS49" s="314"/>
      <c r="BT49" s="314"/>
      <c r="BU49" s="314"/>
      <c r="BV49" s="314"/>
    </row>
    <row r="50" spans="1:74" ht="15.75" thickBot="1">
      <c r="A50" s="1203" t="s">
        <v>871</v>
      </c>
      <c r="B50" s="1204" t="s">
        <v>821</v>
      </c>
      <c r="C50" s="1205" t="s">
        <v>847</v>
      </c>
      <c r="D50" s="1206" t="s">
        <v>883</v>
      </c>
      <c r="E50" s="1206" t="s">
        <v>884</v>
      </c>
      <c r="F50" s="1207" t="s">
        <v>885</v>
      </c>
      <c r="G50" s="1198"/>
      <c r="H50" s="1203" t="s">
        <v>871</v>
      </c>
      <c r="I50" s="1204" t="s">
        <v>821</v>
      </c>
      <c r="J50" s="1205" t="s">
        <v>847</v>
      </c>
      <c r="K50" s="1206" t="s">
        <v>883</v>
      </c>
      <c r="L50" s="1206" t="s">
        <v>884</v>
      </c>
      <c r="M50" s="1207" t="s">
        <v>885</v>
      </c>
      <c r="N50" s="1198"/>
      <c r="O50" s="1203" t="s">
        <v>871</v>
      </c>
      <c r="P50" s="1204" t="s">
        <v>821</v>
      </c>
      <c r="Q50" s="1205" t="s">
        <v>847</v>
      </c>
      <c r="R50" s="1206" t="s">
        <v>883</v>
      </c>
      <c r="S50" s="1206" t="s">
        <v>884</v>
      </c>
      <c r="T50" s="1207" t="s">
        <v>885</v>
      </c>
      <c r="U50" s="314"/>
      <c r="V50" s="314"/>
      <c r="W50" s="314"/>
      <c r="X50" s="314"/>
      <c r="Y50" s="314"/>
      <c r="Z50" s="314"/>
      <c r="AA50" s="314"/>
      <c r="AB50" s="314"/>
      <c r="AC50" s="314"/>
      <c r="AD50" s="314"/>
      <c r="AE50" s="314"/>
      <c r="AF50" s="314"/>
      <c r="AG50" s="314"/>
      <c r="AH50" s="314"/>
      <c r="AI50" s="314"/>
      <c r="AJ50" s="314"/>
      <c r="AK50" s="314"/>
      <c r="AL50" s="314"/>
      <c r="AM50" s="314"/>
      <c r="AN50" s="314"/>
      <c r="AO50" s="314"/>
      <c r="AP50" s="314"/>
      <c r="AQ50" s="314"/>
      <c r="AR50" s="314"/>
      <c r="AS50" s="314"/>
      <c r="AT50" s="314"/>
      <c r="AU50" s="314"/>
      <c r="AV50" s="314"/>
      <c r="AW50" s="314"/>
      <c r="AX50" s="314"/>
      <c r="AY50" s="314"/>
      <c r="AZ50" s="314"/>
      <c r="BA50" s="314"/>
      <c r="BB50" s="314"/>
      <c r="BC50" s="314"/>
      <c r="BD50" s="314"/>
      <c r="BE50" s="314"/>
      <c r="BF50" s="314"/>
      <c r="BG50" s="314"/>
      <c r="BH50" s="314"/>
      <c r="BI50" s="314"/>
      <c r="BJ50" s="314"/>
      <c r="BK50" s="314"/>
      <c r="BL50" s="314"/>
      <c r="BM50" s="314"/>
      <c r="BN50" s="314"/>
      <c r="BO50" s="314"/>
      <c r="BP50" s="314"/>
      <c r="BQ50" s="314"/>
      <c r="BR50" s="314"/>
      <c r="BS50" s="314"/>
      <c r="BT50" s="314"/>
      <c r="BU50" s="314"/>
      <c r="BV50" s="314"/>
    </row>
    <row r="51" spans="1:74" ht="15.75" thickBot="1">
      <c r="A51" s="572" t="s">
        <v>1932</v>
      </c>
      <c r="B51" s="1208" cm="1">
        <f t="array" ref="B51">_xlfn.SINGLE(_xlfn.IFS(AND(Inputs!$E$32="All Types",$A$42="Concrete Volume"),(IFERROR(_xlfn.SINGLE(INDEX(Pile!$C$336:$C$359,_xlfn.AGGREGATE(15,3,((Pile!$L$336:$L$359=F51)/(Pile!$L$336:$L$359=F51)*ROW(Pile!$L$336:$L$359))-ROW(Pile!$C$335),ROWS(A51)))),"Not Suitable")),AND(Inputs!$E$32="All Types",$A$42="Number of Piles"),(IFERROR(_xlfn.SINGLE(INDEX(Pile!$C$336:$C$359,_xlfn.AGGREGATE(15,3,((Pile!$L$336:$L$359=F51)/(Pile!$L$336:$L$359=F51)*ROW(Pile!$L$336:$L$359))-ROW(Pile!$C$335),ROWS(A51)))),"Not Suitable"))))</f>
        <v>450</v>
      </c>
      <c r="C51" s="1209">
        <f>IF(F51="Not Suitable","Not Suitable",F51/(E51*PI()*(B51/2000)^2))</f>
        <v>17.036776513153228</v>
      </c>
      <c r="D51" s="1208" cm="1">
        <f t="array" ref="D51">_xlfn.SINGLE(_xlfn.IFS(AND(Inputs!$E$32="All Types",$A$42="Concrete Volume"),(IFERROR(_xlfn.SINGLE(INDEX(Pile!$B$336:$B$359,_xlfn.AGGREGATE(15,3,((Pile!$L$336:$L$359=F51)/(Pile!$L$336:$L$359=F51)*ROW(Pile!$L$336:$L$359))-ROW(Pile!$C$335),ROWS(A51)))),"Not Suitable")),AND(Inputs!$E$32="All Types",$A$42="Number of Piles"),(IF(SUMPRODUCT(--ISNUMBER(Pile!$L$336:$L$341)),Pile!$B$336,IF(SUMPRODUCT(--ISNUMBER(Pile!$L$342:$L$347)),Pile!$B$342,IF(SUMPRODUCT(--ISNUMBER(Pile!$L$348:$L$353)),Pile!$B$348,IF(SUMPRODUCT(--ISNUMBER(Pile!$L$354:$L$359)),Pile!$B$354,"Not Suitable")))))))</f>
        <v>1</v>
      </c>
      <c r="E51" s="1208" cm="1">
        <f t="array" ref="E51">_xlfn.SINGLE(_xlfn.IFS(AND(Inputs!$E$32="All Types",$A$42="Concrete Volume"),(IFERROR(_xlfn.SINGLE(INDEX(Pile!$D$336:$D$359,_xlfn.AGGREGATE(15,3,((Pile!$L$336:$L$359=F51)/(Pile!$L$336:$L$359=F51)*ROW(Pile!$L$336:$L$359))-ROW(Pile!$C$335),ROWS(A51)))),"Not Suitable")),AND(Inputs!$E$32="All Types",$A$42="Number of Piles"),(IF(SUMPRODUCT(--ISNUMBER(Pile!$L$336:$L$341)),Pile!$D$336,IF(SUMPRODUCT(--ISNUMBER(Pile!$L$342:$L$347)),Pile!$D$342,IF(SUMPRODUCT(--ISNUMBER(Pile!$L$348:$L$353)),Pile!$D$348,IF(SUMPRODUCT(--ISNUMBER(Pile!$L$354:$L$359)),Pile!$D$354,"Not Suitable")))))))</f>
        <v>63</v>
      </c>
      <c r="F51" s="1209">
        <f>_xlfn.IFS(AND(Inputs!$E$32="All Types",$A$42="Concrete Volume"),(IF(MIN(Pile!$L$336:$L$359)&gt;0, MIN(Pile!$L$336:$L$359), "Not Suitable")),AND(Inputs!$E$32="All Types",$A$42="Number of Piles"),(IF(Pile!#REF!=Pile!$D$336,MIN(Pile!$L$336:$L$341),IF(Pile!#REF!=Pile!$D$342,MIN(Pile!$L$342:$L$347),IF(Pile!#REF!=Pile!$D$348,MIN(Pile!$L$348:$L$353),IF(Pile!#REF!=Pile!$D$354,MIN(Pile!$L$354:$L$359),"Not Suitable"))))))</f>
        <v>170.70368043882976</v>
      </c>
      <c r="G51" s="1198"/>
      <c r="H51" s="572" t="s">
        <v>1932</v>
      </c>
      <c r="I51" s="1208" cm="1">
        <f t="array" ref="I51">_xlfn.SINGLE(_xlfn.IFS(AND(Inputs!$E$32="All Types",$A$42="Concrete Volume"),(IFERROR(_xlfn.SINGLE(INDEX(Pile!$P$336:$P$359,_xlfn.AGGREGATE(15,3,((Pile!$Y$336:$Y$359=M51)/(Pile!$Y$336:$Y$359=M51)*ROW(Pile!$Y$336:$Y$359))-ROW(Pile!$P$335),ROWS(H51)))),"Not Suitable")),AND(Inputs!$E$32="All Types",$A$42="Number of Piles"),(IFERROR(_xlfn.SINGLE(INDEX(Pile!$P$336:$P$359,_xlfn.AGGREGATE(15,3,((Pile!$Y$336:$Y$359=M51)/(Pile!$Y$336:$Y$359=M51)*ROW(Pile!$Y$336:$Y$359))-ROW(Pile!$P$335),ROWS(H51)))),"Not Suitable"))))</f>
        <v>450</v>
      </c>
      <c r="J51" s="1209">
        <f>IF(M51="Not Suitable","Not Suitable",M51/(L51*PI()*(I51/2000)^2))</f>
        <v>17.036776513153228</v>
      </c>
      <c r="K51" s="1208" cm="1">
        <f t="array" ref="K51">_xlfn.SINGLE(_xlfn.IFS(AND(Inputs!$E$32="All Types",$A$42="Concrete Volume"),(IFERROR(_xlfn.SINGLE(INDEX(Pile!$O$336:$O$359,_xlfn.AGGREGATE(15,3,((Pile!$Y$336:$Y$359=M51)/(Pile!$Y$336:$Y$359=M51)*ROW(Pile!$Y$336:$Y$359))-ROW(Pile!$P$335),ROWS(H51)))),"Not Suitable")),AND(Inputs!$E$32="All Types",$A$42="Number of Piles"),(IF(SUMPRODUCT(--ISNUMBER(Pile!$Y$336:$Y$341)),Pile!$O$336,IF(SUMPRODUCT(--ISNUMBER(Pile!$Y$342:$Y$347)),Pile!$O$342,IF(SUMPRODUCT(--ISNUMBER(Pile!$Y$348:$Y$353)),Pile!$O$348,IF(SUMPRODUCT(--ISNUMBER(Pile!$Y$354:$Y$359)),Pile!$O$354,"Not Suitable")))))))</f>
        <v>1</v>
      </c>
      <c r="L51" s="1208" cm="1">
        <f t="array" ref="L51">_xlfn.SINGLE(_xlfn.IFS(AND(Inputs!$E$32="All Types",$A$42="Concrete Volume"),(IFERROR(_xlfn.SINGLE(INDEX(Pile!$Q$336:$Q$359,_xlfn.AGGREGATE(15,3,((Pile!$Y$336:$Y$359=M51)/(Pile!$Y$336:$Y$359=M51)*ROW(Pile!$Y$336:$Y$359))-ROW(Pile!$P$335),ROWS(H51)))),"Not Suitable")),AND(Inputs!$E$32="All Types",$A$42="Number of Piles"),(IF(SUMPRODUCT(--ISNUMBER(Pile!$Y$336:$Y$341)),Pile!$Q$336,IF(SUMPRODUCT(--ISNUMBER(Pile!$Y$342:$Y$347)),Pile!$Q$342,IF(SUMPRODUCT(--ISNUMBER(Pile!$Y$348:$Y$353)),Pile!$Q$348,IF(SUMPRODUCT(--ISNUMBER(Pile!$Y$354:$Y$359)),Pile!$Q$354,"Not Suitable")))))))</f>
        <v>63</v>
      </c>
      <c r="M51" s="1209">
        <f>_xlfn.IFS(AND(Inputs!$E$32="All Types",$A$42="Concrete Volume"),(IF(MIN(Pile!$Y$336:$Y$359)&gt;0, MIN(Pile!$Y$336:$Y$359), "Not Suitable")),AND(Inputs!$E$32="All Types",$A$42="Number of Piles"),(IF(Pile!#REF!=Pile!$Q$336,MIN(Pile!$Y$336:$Y$341),IF(Pile!#REF!=Pile!$Q$342,MIN(Pile!$Y$342:$Y$347),IF(Pile!#REF!=Pile!$Q$348,MIN(Pile!$Y$348:$Y$353),IF(Pile!#REF!=Pile!$Q$354,MIN(Pile!$Y$354:$Y$359),"Not Suitable"))))))</f>
        <v>170.70368043882976</v>
      </c>
      <c r="N51" s="1198"/>
      <c r="O51" s="572" t="s">
        <v>1932</v>
      </c>
      <c r="P51" s="1208" cm="1">
        <f t="array" ref="P51">_xlfn.SINGLE(_xlfn.IFS(AND(Inputs!$E$32="All Types",$A$42="Concrete Volume"),(IFERROR(_xlfn.SINGLE(INDEX(Pile!$AC$336:$AC$359,_xlfn.AGGREGATE(15,3,((Pile!$AL$336:$AL$359=T51)/(Pile!$AL$336:$AL$359=T51)*ROW(Pile!$AL$336:$AL$359))-ROW(Pile!$AC$335),ROWS(O51)))),"Not Suitable")),AND(Inputs!$E$32="All Types",$A$42="Number of Piles"),(IFERROR(_xlfn.SINGLE(INDEX(Pile!$AC$336:$AC$359,_xlfn.AGGREGATE(15,3,((Pile!$AL$336:$AL$359=T51)/(Pile!$AL$336:$AL$359=T51)*ROW(Pile!$AL$336:$AL$359))-ROW(Pile!$AC$335),ROWS(O51)))),"Not Suitable"))))</f>
        <v>450</v>
      </c>
      <c r="Q51" s="1209">
        <f>IF(T51="Not Suitable","Not Suitable",T51/(S51*PI()*(P51/2000)^2))</f>
        <v>17.036776513153228</v>
      </c>
      <c r="R51" s="1208" cm="1">
        <f t="array" ref="R51">_xlfn.SINGLE(_xlfn.IFS(AND(Inputs!$E$32="All Types",$A$42="Concrete Volume"),(IFERROR(_xlfn.SINGLE(INDEX(Pile!$AB$336:$AB$359,_xlfn.AGGREGATE(15,3,((Pile!$AL$336:$AL$359=T51)/(Pile!$AL$336:$AL$359=T51)*ROW(Pile!$AL$336:$AL$359))-ROW(Pile!$AC$335),ROWS(O51)))),"Not Suitable")),AND(Inputs!$E$32="All Types",$A$42="Number of Piles"),(IF(SUMPRODUCT(--ISNUMBER(Pile!$AL$336:$AL$341)),Pile!$AB$336,IF(SUMPRODUCT(--ISNUMBER(Pile!$AL$342:$AL$347)),Pile!$AB$342,IF(SUMPRODUCT(--ISNUMBER(Pile!$AL$348:$AL$353)),Pile!$AB$348,IF(SUMPRODUCT(--ISNUMBER(Pile!$AL$354:$AL$359)),Pile!$AB$354,"Not Suitable")))))))</f>
        <v>1</v>
      </c>
      <c r="S51" s="1208" cm="1">
        <f t="array" ref="S51">_xlfn.SINGLE(_xlfn.IFS(AND(Inputs!$E$32="All Types",$A$42="Concrete Volume"),(IFERROR(_xlfn.SINGLE(INDEX(Pile!$AD$336:$AD$359,_xlfn.AGGREGATE(15,3,((Pile!$AL$336:$AL$359=T51)/(Pile!$AL$336:$AL$359=T51)*ROW(Pile!$AL$336:$AL$359))-ROW(Pile!$AC$335),ROWS(O51)))),"Not Suitable")),AND(Inputs!$E$32="All Types",$A$42="Number of Piles"),(IF(SUMPRODUCT(--ISNUMBER(Pile!$AL$336:$AL$341)),Pile!$AD$336,IF(SUMPRODUCT(--ISNUMBER(Pile!$AL$342:$AL$347)),Pile!$AD$342,IF(SUMPRODUCT(--ISNUMBER(Pile!$AL$348:$AL$353)),Pile!$AD$348,IF(SUMPRODUCT(--ISNUMBER(Pile!$AL$354:$AL$359)),Pile!$AD$354,"Not Suitable")))))))</f>
        <v>63</v>
      </c>
      <c r="T51" s="1209">
        <f>_xlfn.IFS(AND(Inputs!$E$32="All Types",$A$42="Concrete Volume"),(IF(MIN(Pile!$AL$336:$AL$359)&gt;0, MIN(Pile!$AL$336:$AL$359), "Not Suitable")),AND(Inputs!$E$32="All Types",$A$42="Number of Piles"),(IF(Pile!#REF!=Pile!$AD$336,MIN(Pile!$AL$336:$AL$341),IF(Pile!#REF!=Pile!$AD$342,MIN(Pile!$AL$342:$AL$347),IF(Pile!#REF!=Pile!$AD$348,MIN(Pile!$AL$348:$AL$353),IF(Pile!#REF!=Pile!$AD$354,MIN(Pile!$AL$354:$AL$359),"Not Suitable"))))))</f>
        <v>170.70368043882976</v>
      </c>
      <c r="U51" s="314"/>
      <c r="V51" s="314"/>
      <c r="W51" s="314"/>
      <c r="X51" s="314"/>
      <c r="Y51" s="314"/>
      <c r="Z51" s="314"/>
      <c r="AA51" s="314"/>
      <c r="AB51" s="314"/>
      <c r="AC51" s="314"/>
      <c r="AD51" s="314"/>
      <c r="AE51" s="314"/>
      <c r="AF51" s="314"/>
      <c r="AG51" s="314"/>
      <c r="AH51" s="314"/>
      <c r="AI51" s="314"/>
      <c r="AJ51" s="314"/>
      <c r="AK51" s="314"/>
      <c r="AL51" s="314"/>
      <c r="AM51" s="314"/>
      <c r="AN51" s="314"/>
      <c r="AO51" s="314"/>
      <c r="AP51" s="314"/>
      <c r="AQ51" s="314"/>
      <c r="AR51" s="314"/>
      <c r="AS51" s="314"/>
      <c r="AT51" s="314"/>
      <c r="AU51" s="314"/>
      <c r="AV51" s="314"/>
      <c r="AW51" s="314"/>
      <c r="AX51" s="314"/>
      <c r="AY51" s="314"/>
      <c r="AZ51" s="314"/>
      <c r="BA51" s="314"/>
      <c r="BB51" s="314"/>
      <c r="BC51" s="314"/>
      <c r="BD51" s="314"/>
      <c r="BE51" s="314"/>
      <c r="BF51" s="314"/>
      <c r="BG51" s="314"/>
      <c r="BH51" s="314"/>
      <c r="BI51" s="314"/>
      <c r="BJ51" s="314"/>
      <c r="BK51" s="314"/>
      <c r="BL51" s="314"/>
      <c r="BM51" s="314"/>
      <c r="BN51" s="314"/>
      <c r="BO51" s="314"/>
      <c r="BP51" s="314"/>
      <c r="BQ51" s="314"/>
      <c r="BR51" s="314"/>
      <c r="BS51" s="314"/>
      <c r="BT51" s="314"/>
      <c r="BU51" s="314"/>
      <c r="BV51" s="314"/>
    </row>
    <row r="52" spans="1:74" ht="15.75" thickBot="1">
      <c r="A52" s="572" t="s">
        <v>1933</v>
      </c>
      <c r="B52" s="1210" cm="1">
        <f t="array" ref="B52">_xlfn.SINGLE(_xlfn.IFS(AND(Inputs!$E$32="All Types",$A$42="Concrete Volume"),(IFERROR(_xlfn.SINGLE(INDEX(Pile!$C$368:$C$391,_xlfn.AGGREGATE(15,3,((Pile!$L$368:$L$391=F52)/(Pile!$L$368:$L$391=F52)*ROW(Pile!$L$368:$L$391))-ROW(Pile!$C$367),ROWS(A52)))),"Not Suitable")),AND(Inputs!$E$32="All Types",$A$42="Number of Piles"),(IFERROR(_xlfn.SINGLE(INDEX(Pile!$C$368:$C$391,_xlfn.AGGREGATE(15,3,((Pile!$L$368:$L$391=F52)/(Pile!$L$368:$L$391=F52)*ROW(Pile!$L$368:$L$391))-ROW(Pile!$C$367),ROWS(A52)))),"Not Suitable"))))</f>
        <v>450</v>
      </c>
      <c r="C52" s="1211">
        <f>IF(F52="Not Suitable","Not Suitable",F52/(E52*PI()*(B52/2000)^2))</f>
        <v>17.036776513153224</v>
      </c>
      <c r="D52" s="1210" cm="1">
        <f t="array" ref="D52">_xlfn.SINGLE(_xlfn.IFS(AND(Inputs!$E$32="All Types",$A$42="Concrete Volume"),(IFERROR(_xlfn.SINGLE(INDEX(Pile!$B$368:$B$391,_xlfn.AGGREGATE(15,3,((Pile!$L$368:$L$391=F52)/(Pile!$L$368:$L$391=F52)*ROW(Pile!$L$368:$L$391))-ROW(Pile!$C$367),ROWS(A52)))),"Not Suitable")),AND(Inputs!$E$32="All Types",$A$42="Number of Piles"),(IF(SUMPRODUCT(--ISNUMBER(Pile!$L$368:$L$373)),Pile!$B$368,IF(SUMPRODUCT(--ISNUMBER(Pile!$L$374:$L$379)),Pile!$B$374,IF(SUMPRODUCT(--ISNUMBER(Pile!$L$380:$L$385)),Pile!$B$380,IF(SUMPRODUCT(--ISNUMBER(Pile!$L$386:$L$391)),Pile!$B$386,"Not Suitable")))))))</f>
        <v>1</v>
      </c>
      <c r="E52" s="1210" cm="1">
        <f t="array" ref="E52">_xlfn.SINGLE(_xlfn.IFS(AND(Inputs!$E$32="All Types",$A$42="Concrete Volume"),(IFERROR(_xlfn.SINGLE(INDEX(Pile!$D$368:$D$391,_xlfn.AGGREGATE(15,3,((Pile!$L$368:$L$391=F52)/(Pile!$L$368:$L$391=F52)*ROW(Pile!$L$368:$L$391))-ROW(Pile!$C$367),ROWS(A52)))),"Not Suitable")),AND(Inputs!$E$32="All Types",$A$42="Number of Piles"),(IF(SUMPRODUCT(--ISNUMBER(Pile!$L$368:$L$373)),Pile!$D$368,IF(SUMPRODUCT(--ISNUMBER(Pile!$L$374:$L$379)),Pile!$D$374,IF(SUMPRODUCT(--ISNUMBER(Pile!$L$380:$L$385)),Pile!$D$380,IF(SUMPRODUCT(--ISNUMBER(Pile!$L$386:$L$391)),Pile!$D$386,"Not Suitable")))))))</f>
        <v>32</v>
      </c>
      <c r="F52" s="1211">
        <f>_xlfn.IFS(AND(Inputs!$E$32="All Types",$A$42="Concrete Volume"),(IF(MIN(Pile!$L$368:$L$391)&gt;0,MIN(Pile!$L$368:$L$391), "Not Suitable")),AND(Inputs!$E$32="All Types",$A$42="Number of Piles"),(IF(Pile!#REF!=Pile!$D$368,MIN(Pile!$L$368:$L$373),IF(Pile!#REF!=Pile!$D$374,MIN(Pile!$L$374:$L$379),IF(Pile!#REF!=Pile!$D$380,MIN(Pile!$L$380:$L$385),IF(Pile!#REF!=Pile!$D$386,MIN(Pile!$L$386:$L$391),"Not Suitable"))))))</f>
        <v>86.706631334008762</v>
      </c>
      <c r="G52" s="1198"/>
      <c r="H52" s="572" t="s">
        <v>1933</v>
      </c>
      <c r="I52" s="1210" cm="1">
        <f t="array" ref="I52">_xlfn.SINGLE(_xlfn.IFS(AND(Inputs!$E$32="All Types",$A$42="Concrete Volume"),(IFERROR(_xlfn.SINGLE(INDEX(Pile!$P$368:$P$391,_xlfn.AGGREGATE(15,3,((Pile!$Y$368:$Y$391=M52)/(Pile!$Y$368:$Y$391=M52)*ROW(Pile!$Y$368:$Y$391))-ROW(Pile!$P$367),ROWS(H52)))),"Not Suitable")),AND(Inputs!$E$32="All Types",$A$42="Number of Piles"),(IFERROR(_xlfn.SINGLE(INDEX(Pile!$P$368:$P$391,_xlfn.AGGREGATE(15,3,((Pile!$Y$368:$Y$391=M52)/(Pile!$Y$368:$Y$391=M52)*ROW(Pile!$Y$368:$Y$391))-ROW(Pile!$P$367),ROWS(H52)))),"Not Suitable"))))</f>
        <v>450</v>
      </c>
      <c r="J52" s="1211">
        <f>IF(M52="Not Suitable","Not Suitable",M52/(L52*PI()*(I52/2000)^2))</f>
        <v>17.036776513153224</v>
      </c>
      <c r="K52" s="1210" cm="1">
        <f t="array" ref="K52">_xlfn.SINGLE(_xlfn.IFS(AND(Inputs!$E$32="All Types",$A$42="Concrete Volume"),(IFERROR(_xlfn.SINGLE(INDEX(Pile!$O$368:$O$391,_xlfn.AGGREGATE(15,3,((Pile!$Y$368:$Y$391=M52)/(Pile!$Y$368:$Y$391=M52)*ROW(Pile!$Y$368:$Y$391))-ROW(Pile!$P$367),ROWS(H52)))),"Not Suitable")),AND(Inputs!$E$32="All Types",$A$42="Number of Piles"),(IF(SUMPRODUCT(--ISNUMBER(Pile!$Y$368:$Y$373)),Pile!$O$368,IF(SUMPRODUCT(--ISNUMBER(Pile!$Y$374:$Y$379)),Pile!$O$374,IF(SUMPRODUCT(--ISNUMBER(Pile!$Y$380:$Y$385)),Pile!$O$380,IF(SUMPRODUCT(--ISNUMBER(Pile!$Y$386:$Y$391)),Pile!$O$386,"Not Suitable")))))))</f>
        <v>1</v>
      </c>
      <c r="L52" s="1210" cm="1">
        <f t="array" ref="L52">_xlfn.SINGLE(_xlfn.IFS(AND(Inputs!$E$32="All Types",$A$42="Concrete Volume"),(IFERROR(_xlfn.SINGLE(INDEX(Pile!$Q$368:$Q$391,_xlfn.AGGREGATE(15,3,((Pile!$Y$368:$Y$391=M52)/(Pile!$Y$368:$Y$391=M52)*ROW(Pile!$Y$368:$Y$391))-ROW(Pile!$P$367),ROWS(H52)))),"Not Suitable")),AND(Inputs!$E$32="All Types",$A$42="Number of Piles"),(IF(SUMPRODUCT(--ISNUMBER(Pile!$Y$368:$Y$373)),Pile!$Q$368,IF(SUMPRODUCT(--ISNUMBER(Pile!$Y$374:$Y$379)),Pile!$Q$374,IF(SUMPRODUCT(--ISNUMBER(Pile!$Y$380:$Y$385)),Pile!$Q$380,IF(SUMPRODUCT(--ISNUMBER(Pile!$Y$386:$Y$391)),Pile!$Q$386,"Not Suitable")))))))</f>
        <v>32</v>
      </c>
      <c r="M52" s="1211">
        <f>_xlfn.IFS(AND(Inputs!$E$32="All Types",$A$42="Concrete Volume"),(IF(MIN(Pile!$Y$368:$Y$391)&gt;0,MIN(Pile!$Y$368:$Y$391), "Not Suitable")),AND(Inputs!$E$32="All Types",$A$42="Number of Piles"),(IF(Pile!#REF!=Pile!$Q$368,MIN(Pile!$Y$368:$Y$373),IF(Pile!#REF!=Pile!$Q$374,MIN(Pile!$Y$374:$Y$379),IF(Pile!#REF!=Pile!$Q$380,MIN(Pile!$Y$380:$Y$385),IF(Pile!#REF!=Pile!$Q$386,MIN(Pile!$Y$386:$Y$391),"Not Suitable"))))))</f>
        <v>86.706631334008762</v>
      </c>
      <c r="N52" s="1198"/>
      <c r="O52" s="572" t="s">
        <v>1933</v>
      </c>
      <c r="P52" s="1210" cm="1">
        <f t="array" ref="P52">_xlfn.SINGLE(_xlfn.IFS(AND(Inputs!$E$32="All Types",$A$42="Concrete Volume"),(IFERROR(_xlfn.SINGLE(INDEX(Pile!$AC$368:$AC$391,_xlfn.AGGREGATE(15,3,((Pile!$AL$368:$AL$391=T52)/(Pile!$AL$368:$AL$391=T52)*ROW(Pile!$AL$368:$AL$391))-ROW(Pile!$AC$367),ROWS(O52)))),"Not Suitable")),AND(Inputs!$E$32="All Types",$A$42="Number of Piles"),(IFERROR(_xlfn.SINGLE(INDEX(Pile!$AC$368:$AC$391,_xlfn.AGGREGATE(15,3,((Pile!$AL$368:$AL$391=T52)/(Pile!$AL$368:$AL$391=T52)*ROW(Pile!$AL$368:$AL$391))-ROW(Pile!$AC$367),ROWS(O52)))),"Not Suitable"))))</f>
        <v>450</v>
      </c>
      <c r="Q52" s="1211">
        <f>IF(T52="Not Suitable","Not Suitable",T52/(S52*PI()*(P52/2000)^2))</f>
        <v>17.036776513153224</v>
      </c>
      <c r="R52" s="1210" cm="1">
        <f t="array" ref="R52">_xlfn.SINGLE(_xlfn.IFS(AND(Inputs!$E$32="All Types",$A$42="Concrete Volume"),(IFERROR(_xlfn.SINGLE(INDEX(Pile!$AB$368:$AB$391,_xlfn.AGGREGATE(15,3,((Pile!$AL$368:$AL$391=T52)/(Pile!$AL$368:$AL$391=T52)*ROW(Pile!$AL$368:$AL$391))-ROW(Pile!$AC$367),ROWS(O52)))),"Not Suitable")),AND(Inputs!$E$32="All Types",$A$42="Number of Piles"),(IF(SUMPRODUCT(--ISNUMBER(Pile!$AL$368:$AL$373)),Pile!$AB$368,IF(SUMPRODUCT(--ISNUMBER(Pile!$AL$374:$AL$379)),Pile!$AB$374,IF(SUMPRODUCT(--ISNUMBER(Pile!$AL$380:$AL$385)),Pile!$AB$380,IF(SUMPRODUCT(--ISNUMBER(Pile!$AL$386:$AL$391)),Pile!$AB$386,"Not Suitable")))))))</f>
        <v>1</v>
      </c>
      <c r="S52" s="1210" cm="1">
        <f t="array" ref="S52">_xlfn.SINGLE(_xlfn.IFS(AND(Inputs!$E$32="All Types",$A$42="Concrete Volume"),(IFERROR(_xlfn.SINGLE(INDEX(Pile!$AD$368:$AD$391,_xlfn.AGGREGATE(15,3,((Pile!$AL$368:$AL$391=T52)/(Pile!$AL$368:$AL$391=T52)*ROW(Pile!$AL$368:$AL$391))-ROW(Pile!$AC$367),ROWS(O52)))),"Not Suitable")),AND(Inputs!$E$32="All Types",$A$42="Number of Piles"),(IF(SUMPRODUCT(--ISNUMBER(Pile!$AL$368:$AL$373)),Pile!$AD$368,IF(SUMPRODUCT(--ISNUMBER(Pile!$AL$374:$AL$379)),Pile!$AD$374,IF(SUMPRODUCT(--ISNUMBER(Pile!$AL$380:$AL$385)),Pile!$AD$380,IF(SUMPRODUCT(--ISNUMBER(Pile!$AL$386:$AL$391)),Pile!$AD$386,"Not Suitable")))))))</f>
        <v>32</v>
      </c>
      <c r="T52" s="1211">
        <f>_xlfn.IFS(AND(Inputs!$E$32="All Types",$A$42="Concrete Volume"),(IF(MIN(Pile!$AL$368:$AL$391)&gt;0,MIN(Pile!$AL$368:$AL$391), "Not Suitable")),AND(Inputs!$E$32="All Types",$A$42="Number of Piles"),(IF(Pile!#REF!=Pile!$AD$368,MIN(Pile!$AL$368:$AL$373),IF(Pile!#REF!=Pile!$AD$374,MIN(Pile!$AL$374:$AL$379),IF(Pile!#REF!=Pile!$AD$380,MIN(Pile!$AL$380:$AL$385),IF(Pile!#REF!=Pile!$AD$386,MIN(Pile!$AL$386:$AL$391),"Not Suitable"))))))</f>
        <v>86.706631334008762</v>
      </c>
      <c r="U52" s="314"/>
      <c r="V52" s="314"/>
      <c r="W52" s="314"/>
      <c r="X52" s="314"/>
      <c r="Y52" s="314"/>
      <c r="Z52" s="314"/>
      <c r="AA52" s="314"/>
      <c r="AB52" s="314"/>
      <c r="AC52" s="314"/>
      <c r="AD52" s="314"/>
      <c r="AE52" s="314"/>
      <c r="AF52" s="314"/>
      <c r="AG52" s="314"/>
      <c r="AH52" s="314"/>
      <c r="AI52" s="314"/>
      <c r="AJ52" s="314"/>
      <c r="AK52" s="314"/>
      <c r="AL52" s="314"/>
      <c r="AM52" s="314"/>
      <c r="AN52" s="314"/>
      <c r="AO52" s="314"/>
      <c r="AP52" s="314"/>
      <c r="AQ52" s="314"/>
      <c r="AR52" s="314"/>
      <c r="AS52" s="314"/>
      <c r="AT52" s="314"/>
      <c r="AU52" s="314"/>
      <c r="AV52" s="314"/>
      <c r="AW52" s="314"/>
      <c r="AX52" s="314"/>
      <c r="AY52" s="314"/>
      <c r="AZ52" s="314"/>
      <c r="BA52" s="314"/>
      <c r="BB52" s="314"/>
      <c r="BC52" s="314"/>
      <c r="BD52" s="314"/>
      <c r="BE52" s="314"/>
      <c r="BF52" s="314"/>
      <c r="BG52" s="314"/>
      <c r="BH52" s="314"/>
      <c r="BI52" s="314"/>
      <c r="BJ52" s="314"/>
      <c r="BK52" s="314"/>
      <c r="BL52" s="314"/>
      <c r="BM52" s="314"/>
      <c r="BN52" s="314"/>
      <c r="BO52" s="314"/>
      <c r="BP52" s="314"/>
      <c r="BQ52" s="314"/>
      <c r="BR52" s="314"/>
      <c r="BS52" s="314"/>
      <c r="BT52" s="314"/>
      <c r="BU52" s="314"/>
      <c r="BV52" s="314"/>
    </row>
    <row r="53" spans="1:74" ht="15.75" thickBot="1">
      <c r="A53" s="578" t="s">
        <v>1934</v>
      </c>
      <c r="B53" s="1210" cm="1">
        <f t="array" ref="B53">_xlfn.SINGLE(_xlfn.IFS(AND(Inputs!$E$32="All Types",$A$42="Concrete Volume"),(IFERROR(_xlfn.SINGLE(INDEX(Pile!$C$399:$C$422,_xlfn.AGGREGATE(15,3,((Pile!$L$399:$L$422=F53)/(Pile!$L$399:$L$422=F53)*ROW(Pile!$L$399:$L$422))-ROW(Pile!$C$398),ROWS(A53)))),"Not Suitable")),AND(Inputs!$E$32="All Types",$A$42="Number of Piles"),(IFERROR(_xlfn.SINGLE(INDEX(Pile!$C$399:$C$422,_xlfn.AGGREGATE(15,3,((Pile!$L$399:$L$422=F53)/(Pile!$L$399:$L$422=F53)*ROW(Pile!$L$399:$L$422))-ROW(Pile!$C$398),ROWS(A53)))),"Not Suitable"))))</f>
        <v>450</v>
      </c>
      <c r="C53" s="1211">
        <f>IF(F53="Not Suitable","Not Suitable",F53/(E53*PI()*(B53/2000)^2))</f>
        <v>17.036776513153224</v>
      </c>
      <c r="D53" s="1210" cm="1">
        <f t="array" ref="D53">_xlfn.SINGLE(_xlfn.IFS(AND(Inputs!$E$32="All Types",$A$42="Concrete Volume"),(IFERROR(_xlfn.SINGLE(INDEX(Pile!$B$399:$B$422,_xlfn.AGGREGATE(15,3,((Pile!$L$399:$L$422=F53)/(Pile!$L$399:$L$422=F53)*ROW(Pile!$L$399:$L$422))-ROW(Pile!$C$398),ROWS(A53)))),"Not Suitable")),AND(Inputs!$E$32="All Types",$A$42="Number of Piles"),(IF(SUMPRODUCT(--ISNUMBER(Pile!$L$399:$L$404)),Pile!$B$399,IF(SUMPRODUCT(--ISNUMBER(Pile!$L$405:$L$410)),Pile!$B$405,IF(SUMPRODUCT(--ISNUMBER(Pile!$L$411:$L$416)),Pile!$B$411,IF(SUMPRODUCT(--ISNUMBER(Pile!$L$417:$L$422)),Pile!$B$417,"Not Suitable")))))))</f>
        <v>1</v>
      </c>
      <c r="E53" s="1210" cm="1">
        <f t="array" ref="E53">_xlfn.SINGLE(_xlfn.IFS(AND(Inputs!$E$32="All Types",$A$42="Concrete Volume"),(IFERROR(_xlfn.SINGLE(INDEX(Pile!$D$399:$D$422,_xlfn.AGGREGATE(15,3,((Pile!$L$399:$L$422=F53)/(Pile!$L$399:$L$422=F53)*ROW(Pile!$L$399:$L$422))-ROW(Pile!$C$398),ROWS(A53)))),"Not Suitable")),AND(Inputs!$E$32="All Types",$A$42="Number of Piles"),(IF(SUMPRODUCT(--ISNUMBER(Pile!$L$399:$L$404)),Pile!$D$399,IF(SUMPRODUCT(--ISNUMBER(Pile!$L$405:$L$410)),Pile!$D$405,IF(SUMPRODUCT(--ISNUMBER(Pile!$L$411:$L$416)),Pile!$D$411,IF(SUMPRODUCT(--ISNUMBER(Pile!$L$417:$L$422)),Pile!$D$417,"Not Suitable")))))))</f>
        <v>4</v>
      </c>
      <c r="F53" s="1211">
        <f>_xlfn.IFS(AND(Inputs!$E$32="All Types",$A$42="Concrete Volume"),(IF(MIN(Pile!$L$399:$L$422)&gt;0,MIN(Pile!$L$399:$L$422), "Not Suitable")),AND(Inputs!$E$32="All Types",$A$42="Number of Piles"),(IF(Pile!#REF!=Pile!$D$399,MIN(Pile!$L$399:$L$404),IF(Pile!#REF!=Pile!$D$405,MIN(Pile!$L$405:$L$410),IF(Pile!#REF!=Pile!$D$411,MIN(Pile!$L$411:$L$416),IF(Pile!#REF!=Pile!$D$417,MIN(Pile!$L$417:$L$422),"Not Suitable"))))))</f>
        <v>10.838328916751095</v>
      </c>
      <c r="G53" s="1198"/>
      <c r="H53" s="578" t="s">
        <v>1934</v>
      </c>
      <c r="I53" s="1210" cm="1">
        <f t="array" ref="I53">_xlfn.SINGLE(_xlfn.IFS(AND(Inputs!$E$32="All Types",$A$42="Concrete Volume"),(IFERROR(_xlfn.SINGLE(INDEX(Pile!$P$399:$P$422,_xlfn.AGGREGATE(15,3,((Pile!$Y$399:$Y$422=M53)/(Pile!$Y$399:$Y$422=M53)*ROW(Pile!$Y$399:$Y$422))-ROW(Pile!$P$398),ROWS(H53)))),"Not Suitable")),AND(Inputs!$E$32="All Types",$A$42="Number of Piles"),(IFERROR(_xlfn.SINGLE(INDEX(Pile!$P$399:$P$422,_xlfn.AGGREGATE(15,3,((Pile!$Y$399:$Y$422=M53)/(Pile!$Y$399:$Y$422=M53)*ROW(Pile!$Y$399:$Y$422))-ROW(Pile!$P$398),ROWS(H53)))),"Not Suitable"))))</f>
        <v>450</v>
      </c>
      <c r="J53" s="1211">
        <f>IF(M53="Not Suitable","Not Suitable",M53/(L53*PI()*(I53/2000)^2))</f>
        <v>17.036776513153224</v>
      </c>
      <c r="K53" s="1210" cm="1">
        <f t="array" ref="K53">_xlfn.SINGLE(_xlfn.IFS(AND(Inputs!$E$32="All Types",$A$42="Concrete Volume"),(IFERROR(_xlfn.SINGLE(INDEX(Pile!$O$399:$O$422,_xlfn.AGGREGATE(15,3,((Pile!$Y$399:$Y$422=M53)/(Pile!$Y$399:$Y$422=M53)*ROW(Pile!$Y$399:$Y$422))-ROW(Pile!$P$398),ROWS(H53)))),"Not Suitable")),AND(Inputs!$E$32="All Types",$A$42="Number of Piles"),(IF(SUMPRODUCT(--ISNUMBER(Pile!$Y$399:$Y$404)),Pile!$O$399,IF(SUMPRODUCT(--ISNUMBER(Pile!$Y$405:$Y$410)),Pile!$O$405,IF(SUMPRODUCT(--ISNUMBER(Pile!$Y$411:$Y$416)),Pile!$O$411,IF(SUMPRODUCT(--ISNUMBER(Pile!$Y$417:$Y$422)),Pile!$O$417,"Not Suitable")))))))</f>
        <v>1</v>
      </c>
      <c r="L53" s="1210" cm="1">
        <f t="array" ref="L53">_xlfn.SINGLE(_xlfn.IFS(AND(Inputs!$E$32="All Types",$A$42="Concrete Volume"),(IFERROR(_xlfn.SINGLE(INDEX(Pile!$Q$399:$Q$422,_xlfn.AGGREGATE(15,3,((Pile!$Y$399:$Y$422=M53)/(Pile!$Y$399:$Y$422=M53)*ROW(Pile!$Y$399:$Y$422))-ROW(Pile!$P$398),ROWS(H53)))),"Not Suitable")),AND(Inputs!$E$32="All Types",$A$42="Number of Piles"),(IF(SUMPRODUCT(--ISNUMBER(Pile!$Y$399:$Y$404)),Pile!$Q$399,IF(SUMPRODUCT(--ISNUMBER(Pile!$Y$405:$Y$410)),Pile!$Q$405,IF(SUMPRODUCT(--ISNUMBER(Pile!$Y$411:$Y$416)),Pile!$Q$411,IF(SUMPRODUCT(--ISNUMBER(Pile!$Y$417:$Y$422)),Pile!$Q$417,"Not Suitable")))))))</f>
        <v>4</v>
      </c>
      <c r="M53" s="1211">
        <f>_xlfn.IFS(AND(Inputs!$E$32="All Types",$A$42="Concrete Volume"),(IF(MIN(Pile!$Y$399:$Y$422)&gt;0,MIN(Pile!$Y$399:$Y$422), "Not Suitable")),AND(Inputs!$E$32="All Types",$A$42="Number of Piles"),(IF(Pile!#REF!=Pile!$Q$399,MIN(Pile!$Y$399:$Y$404),IF(Pile!#REF!=Pile!$Q$405,MIN(Pile!$Y$405:$Y$410),IF(Pile!#REF!=Pile!$Q$411,MIN(Pile!$Y$411:$Y$416),IF(Pile!#REF!=Pile!$Q$417,MIN(Pile!$Y$417:$Y$422),"Not Suitable"))))))</f>
        <v>10.838328916751095</v>
      </c>
      <c r="N53" s="1198"/>
      <c r="O53" s="578" t="s">
        <v>1934</v>
      </c>
      <c r="P53" s="1210" cm="1">
        <f t="array" ref="P53">_xlfn.SINGLE(_xlfn.IFS(AND(Inputs!$E$32="All Types",$A$42="Concrete Volume"),(IFERROR(_xlfn.SINGLE(INDEX(Pile!$AC$399:$AC$422,_xlfn.AGGREGATE(15,3,((Pile!$AL$399:$AL$422=T53)/(Pile!$AL$399:$AL$422=T53)*ROW(Pile!$AL$399:$AL$422))-ROW(Pile!$AC$398),ROWS(O53)))),"Not Suitable")),AND(Inputs!$E$32="All Types",$A$42="Number of Piles"),(IFERROR(_xlfn.SINGLE(INDEX(Pile!$AC$399:$AC$422,_xlfn.AGGREGATE(15,3,((Pile!$AL$399:$AL$422=T53)/(Pile!$AL$399:$AL$422=T53)*ROW(Pile!$AL$399:$AL$422))-ROW(Pile!$AC$398),ROWS(O53)))),"Not Suitable"))))</f>
        <v>450</v>
      </c>
      <c r="Q53" s="1211">
        <f>IF(T53="Not Suitable","Not Suitable",T53/(S53*PI()*(P53/2000)^2))</f>
        <v>17.036776513153224</v>
      </c>
      <c r="R53" s="1210" cm="1">
        <f t="array" ref="R53">_xlfn.SINGLE(_xlfn.IFS(AND(Inputs!$E$32="All Types",$A$42="Concrete Volume"),(IFERROR(_xlfn.SINGLE(INDEX(Pile!$AB$399:$AB$422,_xlfn.AGGREGATE(15,3,((Pile!$AL$399:$AL$422=T53)/(Pile!$AL$399:$AL$422=T53)*ROW(Pile!$AL$399:$AL$422))-ROW(Pile!$AC$398),ROWS(O53)))),"Not Suitable")),AND(Inputs!$E$32="All Types",$A$42="Number of Piles"),(IF(SUMPRODUCT(--ISNUMBER(Pile!$AL$399:$AL$404)),Pile!$AB$399,IF(SUMPRODUCT(--ISNUMBER(Pile!$AL$405:$AL$410)),Pile!$AB$405,IF(SUMPRODUCT(--ISNUMBER(Pile!$AL$411:$AL$416)),Pile!$AB$411,IF(SUMPRODUCT(--ISNUMBER(Pile!$AL$417:$AL$422)),Pile!$AB$417,"Not Suitable")))))))</f>
        <v>1</v>
      </c>
      <c r="S53" s="1210" cm="1">
        <f t="array" ref="S53">_xlfn.SINGLE(_xlfn.IFS(AND(Inputs!$E$32="All Types",$A$42="Concrete Volume"),(IFERROR(_xlfn.SINGLE(INDEX(Pile!$AD$399:$AD$422,_xlfn.AGGREGATE(15,3,((Pile!$AL$399:$AL$422=T53)/(Pile!$AL$399:$AL$422=T53)*ROW(Pile!$AL$399:$AL$422))-ROW(Pile!$AC$398),ROWS(O53)))),"Not Suitable")),AND(Inputs!$E$32="All Types",$A$42="Number of Piles"),(IF(SUMPRODUCT(--ISNUMBER(Pile!$AL$399:$AL$404)),Pile!$AD$399,IF(SUMPRODUCT(--ISNUMBER(Pile!$AL$405:$AL$410)),Pile!$AD$405,IF(SUMPRODUCT(--ISNUMBER(Pile!$AL$411:$AL$416)),Pile!$AD$411,IF(SUMPRODUCT(--ISNUMBER(Pile!$AL$417:$AL$422)),Pile!$AD$417,"Not Suitable")))))))</f>
        <v>4</v>
      </c>
      <c r="T53" s="1211">
        <f>_xlfn.IFS(AND(Inputs!$E$32="All Types",$A$42="Concrete Volume"),(IF(MIN(Pile!$AL$399:$AL$422)&gt;0,MIN(Pile!$AL$399:$AL$422), "Not Suitable")),AND(Inputs!$E$32="All Types",$A$42="Number of Piles"),(IF(Pile!#REF!=Pile!$AD$399,MIN(Pile!$AL$399:$AL$404),IF(Pile!#REF!=Pile!$AD$405,MIN(Pile!$AL$405:$AL$410),IF(Pile!#REF!=Pile!$AD$411,MIN(Pile!$AL$411:$AL$416),IF(Pile!#REF!=Pile!$AD$417,MIN(Pile!$AL$417:$AL$422),"Not Suitable"))))))</f>
        <v>10.838328916751095</v>
      </c>
      <c r="U53" s="314"/>
      <c r="V53" s="314"/>
      <c r="W53" s="314"/>
      <c r="X53" s="314"/>
      <c r="Y53" s="314"/>
      <c r="Z53" s="314"/>
      <c r="AA53" s="314"/>
      <c r="AB53" s="314"/>
      <c r="AC53" s="314"/>
      <c r="AD53" s="314"/>
      <c r="AE53" s="314"/>
      <c r="AF53" s="314"/>
      <c r="AG53" s="314"/>
      <c r="AH53" s="314"/>
      <c r="AI53" s="314"/>
      <c r="AJ53" s="314"/>
      <c r="AK53" s="314"/>
      <c r="AL53" s="314"/>
      <c r="AM53" s="314"/>
      <c r="AN53" s="314"/>
      <c r="AO53" s="314"/>
      <c r="AP53" s="314"/>
      <c r="AQ53" s="314"/>
      <c r="AR53" s="314"/>
      <c r="AS53" s="314"/>
      <c r="AT53" s="314"/>
      <c r="AU53" s="314"/>
      <c r="AV53" s="314"/>
      <c r="AW53" s="314"/>
      <c r="AX53" s="314"/>
      <c r="AY53" s="314"/>
      <c r="AZ53" s="314"/>
      <c r="BA53" s="314"/>
      <c r="BB53" s="314"/>
      <c r="BC53" s="314"/>
      <c r="BD53" s="314"/>
      <c r="BE53" s="314"/>
      <c r="BF53" s="314"/>
      <c r="BG53" s="314"/>
      <c r="BH53" s="314"/>
      <c r="BI53" s="314"/>
      <c r="BJ53" s="314"/>
      <c r="BK53" s="314"/>
      <c r="BL53" s="314"/>
      <c r="BM53" s="314"/>
      <c r="BN53" s="314"/>
      <c r="BO53" s="314"/>
      <c r="BP53" s="314"/>
      <c r="BQ53" s="314"/>
      <c r="BR53" s="314"/>
      <c r="BS53" s="314"/>
      <c r="BT53" s="314"/>
      <c r="BU53" s="314"/>
      <c r="BV53" s="314"/>
    </row>
    <row r="54" spans="1:74" ht="15.75" thickBot="1">
      <c r="A54" s="314"/>
      <c r="B54" s="1214"/>
      <c r="C54" s="1215"/>
      <c r="D54" s="1214"/>
      <c r="E54" s="1214"/>
      <c r="F54" s="1214"/>
      <c r="G54" s="1198"/>
      <c r="H54" s="314"/>
      <c r="I54" s="1214"/>
      <c r="J54" s="1215"/>
      <c r="K54" s="1214"/>
      <c r="L54" s="1214"/>
      <c r="M54" s="1214"/>
      <c r="N54" s="1198"/>
      <c r="O54" s="314"/>
      <c r="P54" s="1214"/>
      <c r="Q54" s="1215"/>
      <c r="R54" s="1214"/>
      <c r="S54" s="1214"/>
      <c r="T54" s="1214"/>
      <c r="U54" s="314"/>
      <c r="V54" s="314"/>
      <c r="W54" s="314"/>
      <c r="X54" s="314"/>
      <c r="Y54" s="314"/>
      <c r="Z54" s="314"/>
      <c r="AA54" s="314"/>
      <c r="AB54" s="314"/>
      <c r="AC54" s="314"/>
      <c r="AD54" s="314"/>
      <c r="AE54" s="314"/>
      <c r="AF54" s="314"/>
      <c r="AG54" s="314"/>
      <c r="AH54" s="314"/>
      <c r="AI54" s="314"/>
      <c r="AJ54" s="314"/>
      <c r="AK54" s="314"/>
      <c r="AL54" s="314"/>
      <c r="AM54" s="314"/>
      <c r="AN54" s="314"/>
      <c r="AO54" s="314"/>
      <c r="AP54" s="314"/>
      <c r="AQ54" s="314"/>
      <c r="AR54" s="314"/>
      <c r="AS54" s="314"/>
      <c r="AT54" s="314"/>
      <c r="AU54" s="314"/>
      <c r="AV54" s="314"/>
      <c r="AW54" s="314"/>
      <c r="AX54" s="314"/>
      <c r="AY54" s="314"/>
      <c r="AZ54" s="314"/>
      <c r="BA54" s="314"/>
      <c r="BB54" s="314"/>
      <c r="BC54" s="314"/>
      <c r="BD54" s="314"/>
      <c r="BE54" s="314"/>
      <c r="BF54" s="314"/>
      <c r="BG54" s="314"/>
      <c r="BH54" s="314"/>
      <c r="BI54" s="314"/>
      <c r="BJ54" s="314"/>
      <c r="BK54" s="314"/>
      <c r="BL54" s="314"/>
      <c r="BM54" s="314"/>
      <c r="BN54" s="314"/>
      <c r="BO54" s="314"/>
      <c r="BP54" s="314"/>
      <c r="BQ54" s="314"/>
      <c r="BR54" s="314"/>
      <c r="BS54" s="314"/>
      <c r="BT54" s="314"/>
      <c r="BU54" s="314"/>
      <c r="BV54" s="314"/>
    </row>
    <row r="55" spans="1:74" s="314" customFormat="1" ht="15.75" thickBot="1">
      <c r="A55" s="1203" t="s">
        <v>759</v>
      </c>
      <c r="B55" s="1204" t="s">
        <v>821</v>
      </c>
      <c r="C55" s="1205" t="s">
        <v>847</v>
      </c>
      <c r="D55" s="1206" t="s">
        <v>883</v>
      </c>
      <c r="E55" s="1206" t="s">
        <v>884</v>
      </c>
      <c r="F55" s="1207" t="s">
        <v>885</v>
      </c>
      <c r="G55" s="1198"/>
      <c r="H55" s="1203" t="s">
        <v>759</v>
      </c>
      <c r="I55" s="1204" t="s">
        <v>821</v>
      </c>
      <c r="J55" s="1205" t="s">
        <v>847</v>
      </c>
      <c r="K55" s="1206" t="s">
        <v>883</v>
      </c>
      <c r="L55" s="1206" t="s">
        <v>884</v>
      </c>
      <c r="M55" s="1207" t="s">
        <v>885</v>
      </c>
      <c r="N55" s="1198"/>
      <c r="O55" s="1203" t="s">
        <v>759</v>
      </c>
      <c r="P55" s="1204" t="s">
        <v>821</v>
      </c>
      <c r="Q55" s="1205" t="s">
        <v>847</v>
      </c>
      <c r="R55" s="1206" t="s">
        <v>883</v>
      </c>
      <c r="S55" s="1206" t="s">
        <v>884</v>
      </c>
      <c r="T55" s="1207" t="s">
        <v>885</v>
      </c>
    </row>
    <row r="56" spans="1:74" ht="15.75" thickBot="1">
      <c r="A56" s="572" t="s">
        <v>1932</v>
      </c>
      <c r="B56" s="1208" cm="1">
        <f t="array" ref="B56">_xlfn.SINGLE(_xlfn.IFS(AND(Inputs!$E$32="All Types",$A$42="Concrete Volume"),(IFERROR(_xlfn.SINGLE(INDEX(Pile!$C$336:$C$359,_xlfn.AGGREGATE(15,3,((Pile!$K$336:$K$359=F56)/(Pile!$K$336:$K$359=F56)*ROW(Pile!$K$336:$K$359))-ROW(Pile!$C$335),ROWS(A56)))),"Not Suitable")),AND(Inputs!$E$32="All Types",$A$42="Number of Piles"),(IFERROR(_xlfn.SINGLE(INDEX(Pile!$C$336:$C$359,_xlfn.AGGREGATE(15,3,((Pile!$K$336:$K$359=F56)/(Pile!$K$336:$K$359=F56)*ROW(Pile!$K$336:$K$359))-ROW(Pile!$C$335),ROWS(A56)))),"Not Suitable"))))</f>
        <v>450</v>
      </c>
      <c r="C56" s="1209">
        <f>IF(F56="Not Suitable","Not Suitable",F56/(E56*PI()*(B56/2000)^2))</f>
        <v>18.536776513153224</v>
      </c>
      <c r="D56" s="1208" cm="1">
        <f t="array" ref="D56">_xlfn.SINGLE(_xlfn.IFS(AND(Inputs!$E$32="All Types",$A$42="Concrete Volume"),(IFERROR(_xlfn.SINGLE(INDEX(Pile!$B$336:$B$359,_xlfn.AGGREGATE(15,3,((Pile!$K$336:$K$359=F56)/(Pile!$K$336:$K$359=F56)*ROW(Pile!$K$336:$K$359))-ROW(Pile!$C$335),ROWS(A56)))),"Not Suitable")),AND(Inputs!$E$32="All Types",$A$42="Number of Piles"),(IF(SUMPRODUCT(--ISNUMBER(Pile!$K$336:$K$341)),Pile!$B$336,IF(SUMPRODUCT(--ISNUMBER(Pile!$K$342:$K$347)),Pile!$B$342,IF(SUMPRODUCT(--ISNUMBER(Pile!$K$348:$K$353)),Pile!$B$348,IF(SUMPRODUCT(--ISNUMBER(Pile!$K$354:$K$359)),Pile!$B$354,"Not Suitable")))))))</f>
        <v>1</v>
      </c>
      <c r="E56" s="1208" cm="1">
        <f t="array" ref="E56">_xlfn.SINGLE(_xlfn.IFS(AND(Inputs!$E$32="All Types",$A$42="Concrete Volume"),(IFERROR(_xlfn.SINGLE(INDEX(Pile!$D$336:$D$359,_xlfn.AGGREGATE(15,3,((Pile!$K$336:$K$359=F56)/(Pile!$K$336:$K$359=F56)*ROW(Pile!$K$336:$K$359))-ROW(Pile!$C$335),ROWS(A56)))),"Not Suitable")),AND(Inputs!$E$32="All Types",$A$42="Number of Piles"),(IF(SUMPRODUCT(--ISNUMBER(Pile!$K$336:$K$341)),Pile!$D$336,IF(SUMPRODUCT(--ISNUMBER(Pile!$K$342:$K$347)),Pile!$D$342,IF(SUMPRODUCT(--ISNUMBER(Pile!$K$348:$K$353)),Pile!$D$348,IF(SUMPRODUCT(--ISNUMBER(Pile!$K$354:$K$359)),Pile!$D$354,"Not Suitable")))))))</f>
        <v>63</v>
      </c>
      <c r="F56" s="1209">
        <f>_xlfn.IFS(AND(Inputs!$E$32="All Types",$A$42="Concrete Volume"),(IF(MIN(Pile!$K$336:$K$359)&gt;0, MIN(Pile!$K$336:$K$359), "Not Suitable")),AND(Inputs!$E$32="All Types",$A$42="Number of Piles"),(IF(Pile!#REF!=Pile!$D$336,MIN(Pile!$K$336:$K$341),IF(Pile!#REF!=Pile!$D$342,MIN(Pile!$K$342:$K$347),IF(Pile!#REF!=Pile!$D$348,MIN(Pile!$K$348:$K$353),IF(Pile!#REF!=Pile!$D$354,MIN(Pile!$K$354:$K$359),"Not Suitable"))))))</f>
        <v>185.73325604314417</v>
      </c>
      <c r="G56" s="1198"/>
      <c r="H56" s="572" t="s">
        <v>1932</v>
      </c>
      <c r="I56" s="1208" cm="1">
        <f t="array" ref="I56">_xlfn.SINGLE(_xlfn.IFS(AND(Inputs!$E$32="All Types",$A$42="Concrete Volume"),(IFERROR(_xlfn.SINGLE(INDEX(Pile!$P$336:$P$359,_xlfn.AGGREGATE(15,3,((Pile!$X$336:$X$359=M56)/(Pile!$X$336:$X$359=M56)*ROW(Pile!$X$336:$X$359))-ROW(Pile!$P$335),ROWS(H56)))),"Not Suitable")),AND(Inputs!$E$32="All Types",$A$42="Number of Piles"),(IFERROR(_xlfn.SINGLE(INDEX(Pile!$P$336:$P$359,_xlfn.AGGREGATE(15,3,((Pile!$X$336:$X$359=M56)/(Pile!$X$336:$X$359=M56)*ROW(Pile!$X$336:$X$359))-ROW(Pile!$P$335),ROWS(H56)))),"Not Suitable"))))</f>
        <v>450</v>
      </c>
      <c r="J56" s="1209">
        <f>IF(M56="Not Suitable","Not Suitable",M56/(L56*PI()*(I56/2000)^2))</f>
        <v>18.536776513153224</v>
      </c>
      <c r="K56" s="1208" cm="1">
        <f t="array" ref="K56">_xlfn.SINGLE(_xlfn.IFS(AND(Inputs!$E$32="All Types",$A$42="Concrete Volume"),(IFERROR(_xlfn.SINGLE(INDEX(Pile!$O$336:$O$359,_xlfn.AGGREGATE(15,3,((Pile!$X$336:$X$359=M56)/(Pile!$X$336:$X$359=M56)*ROW(Pile!$X$336:$X$359))-ROW(Pile!$P$335),ROWS(H56)))),"Not Suitable")),AND(Inputs!$E$32="All Types",$A$42="Number of Piles"),(IF(SUMPRODUCT(--ISNUMBER(Pile!$X$336:$X$341)),Pile!$O$336,IF(SUMPRODUCT(--ISNUMBER(Pile!$X$342:$X$347)),Pile!$O$342,IF(SUMPRODUCT(--ISNUMBER(Pile!$X$348:$X$353)),Pile!$O$348,IF(SUMPRODUCT(--ISNUMBER(Pile!$X$354:$X$359)),Pile!$O$354,"Not Suitable")))))))</f>
        <v>1</v>
      </c>
      <c r="L56" s="1208" cm="1">
        <f t="array" ref="L56">_xlfn.SINGLE(_xlfn.IFS(AND(Inputs!$E$32="All Types",$A$42="Concrete Volume"),(IFERROR(_xlfn.SINGLE(INDEX(Pile!$Q$336:$Q$359,_xlfn.AGGREGATE(15,3,((Pile!$X$336:$X$359=M56)/(Pile!$X$336:$X$359=M56)*ROW(Pile!$X$336:$X$359))-ROW(Pile!$P$335),ROWS(H56)))),"Not Suitable")),AND(Inputs!$E$32="All Types",$A$42="Number of Piles"),(IF(SUMPRODUCT(--ISNUMBER(Pile!$X$336:$X$341)),Pile!$Q$336,IF(SUMPRODUCT(--ISNUMBER(Pile!$X$342:$X$347)),Pile!$Q$342,IF(SUMPRODUCT(--ISNUMBER(Pile!$X$348:$X$353)),Pile!$Q$348,IF(SUMPRODUCT(--ISNUMBER(Pile!$X$354:$X$359)),Pile!$Q$354,"Not Suitable")))))))</f>
        <v>63</v>
      </c>
      <c r="M56" s="1209">
        <f>_xlfn.IFS(AND(Inputs!$E$32="All Types",$A$42="Concrete Volume"),(IF(MIN(Pile!$X$336:$X$359)&gt;0, MIN(Pile!$X$336:$X$359), "Not Suitable")),AND(Inputs!$E$32="All Types",$A$42="Number of Piles"),(IF(Pile!#REF!=Pile!$Q$336,MIN(Pile!$X$336:$X$341),IF(Pile!#REF!=Pile!$Q$342,MIN(Pile!$X$342:$X$347),IF(Pile!#REF!=Pile!$Q$348,MIN(Pile!$X$348:$X$353),IF(Pile!#REF!=Pile!$Q$354,MIN(Pile!$X$354:$X$359),"Not Suitable"))))))</f>
        <v>185.73325604314417</v>
      </c>
      <c r="N56" s="1198"/>
      <c r="O56" s="572" t="s">
        <v>1932</v>
      </c>
      <c r="P56" s="1208" cm="1">
        <f t="array" ref="P56">_xlfn.SINGLE(_xlfn.IFS(AND(Inputs!$E$32="All Types",$A$42="Concrete Volume"),(IFERROR(_xlfn.SINGLE(INDEX(Pile!$AC$336:$AC$359,_xlfn.AGGREGATE(15,3,((Pile!$AK$336:$AK$359=T56)/(Pile!$AK$336:$AK$359=T56)*ROW(Pile!$AK$336:$AK$359))-ROW(Pile!$AC$335),ROWS(O56)))),"Not Suitable")),AND(Inputs!$E$32="All Types",$A$42="Number of Piles"),(IFERROR(_xlfn.SINGLE(INDEX(Pile!$AC$336:$AC$359,_xlfn.AGGREGATE(15,3,((Pile!$AK$336:$AK$359=T56)/(Pile!$AK$336:$AK$359=T56)*ROW(Pile!$AK$336:$AK$359))-ROW(Pile!$AC$335),ROWS(O56)))),"Not Suitable"))))</f>
        <v>450</v>
      </c>
      <c r="Q56" s="1209">
        <f>IF(T56="Not Suitable","Not Suitable",T56/(S56*PI()*(P56/2000)^2))</f>
        <v>18.536776513153224</v>
      </c>
      <c r="R56" s="1208" cm="1">
        <f t="array" ref="R56">_xlfn.SINGLE(_xlfn.IFS(AND(Inputs!$E$32="All Types",$A$42="Concrete Volume"),(IFERROR(_xlfn.SINGLE(INDEX(Pile!$AB$336:$AB$359,_xlfn.AGGREGATE(15,3,((Pile!$AK$336:$AK$359=T56)/(Pile!$AK$336:$AK$359=T56)*ROW(Pile!$AK$336:$AK$359))-ROW(Pile!$AC$335),ROWS(O56)))),"Not Suitable")),AND(Inputs!$E$32="All Types",$A$42="Number of Piles"),(IF(SUMPRODUCT(--ISNUMBER(Pile!$AK$336:$AK$341)),Pile!$AB$336,IF(SUMPRODUCT(--ISNUMBER(Pile!$AK$342:$AK$347)),Pile!$AB$342,IF(SUMPRODUCT(--ISNUMBER(Pile!$AK$348:$AK$353)),Pile!$AB$348,IF(SUMPRODUCT(--ISNUMBER(Pile!$AK$354:$AK$359)),Pile!$AB$354,"Not Suitable")))))))</f>
        <v>1</v>
      </c>
      <c r="S56" s="1208" cm="1">
        <f t="array" ref="S56">_xlfn.SINGLE(_xlfn.IFS(AND(Inputs!$E$32="All Types",$A$42="Concrete Volume"),(IFERROR(_xlfn.SINGLE(INDEX(Pile!$AD$336:$AD$359,_xlfn.AGGREGATE(15,3,((Pile!$AK$336:$AK$359=T56)/(Pile!$AK$336:$AK$359=T56)*ROW(Pile!$AK$336:$AK$359))-ROW(Pile!$AC$335),ROWS(O56)))),"Not Suitable")),AND(Inputs!$E$32="All Types",$A$42="Number of Piles"),(IF(SUMPRODUCT(--ISNUMBER(Pile!$AK$336:$AK$341)),Pile!$AD$336,IF(SUMPRODUCT(--ISNUMBER(Pile!$AK$342:$AK$347)),Pile!$AD$342,IF(SUMPRODUCT(--ISNUMBER(Pile!$AK$348:$AK$353)),Pile!$AD$348,IF(SUMPRODUCT(--ISNUMBER(Pile!$AK$354:$AK$359)),Pile!$AD$354,"Not Suitable")))))))</f>
        <v>63</v>
      </c>
      <c r="T56" s="1209">
        <f>_xlfn.IFS(AND(Inputs!$E$32="All Types",$A$42="Concrete Volume"),(IF(MIN(Pile!$AK$336:$AK$359)&gt;0, MIN(Pile!$AK$336:$AK$359), "Not Suitable")),AND(Inputs!$E$32="All Types",$A$42="Number of Piles"),(IF(Pile!#REF!=Pile!$AD$336,MIN(Pile!$AK$336:$AK$341),IF(Pile!#REF!=Pile!$AD$342,MIN(Pile!$AK$342:$AK$347),IF(Pile!#REF!=Pile!$AD$348,MIN(Pile!$AK$348:$AK$353),IF(Pile!#REF!=Pile!$AD$354,MIN(Pile!$AK$354:$AK$359),"Not Suitable"))))))</f>
        <v>185.73325604314417</v>
      </c>
      <c r="U56" s="314"/>
      <c r="V56" s="314"/>
      <c r="W56" s="314"/>
      <c r="X56" s="314"/>
      <c r="Y56" s="314"/>
      <c r="Z56" s="314"/>
      <c r="AA56" s="314"/>
      <c r="AB56" s="314"/>
      <c r="AC56" s="314"/>
      <c r="AD56" s="314"/>
      <c r="AE56" s="314"/>
      <c r="AF56" s="314"/>
      <c r="AG56" s="314"/>
      <c r="AH56" s="314"/>
      <c r="AI56" s="314"/>
      <c r="AJ56" s="314"/>
      <c r="AK56" s="314"/>
      <c r="AL56" s="314"/>
      <c r="AM56" s="314"/>
      <c r="AN56" s="314"/>
      <c r="AO56" s="314"/>
      <c r="AP56" s="314"/>
      <c r="AQ56" s="314"/>
      <c r="AR56" s="314"/>
      <c r="AS56" s="314"/>
      <c r="AT56" s="314"/>
      <c r="AU56" s="314"/>
      <c r="AV56" s="314"/>
      <c r="AW56" s="314"/>
      <c r="AX56" s="314"/>
      <c r="AY56" s="314"/>
      <c r="AZ56" s="314"/>
      <c r="BA56" s="314"/>
      <c r="BB56" s="314"/>
      <c r="BC56" s="314"/>
      <c r="BD56" s="314"/>
      <c r="BE56" s="314"/>
      <c r="BF56" s="314"/>
      <c r="BG56" s="314"/>
      <c r="BH56" s="314"/>
      <c r="BI56" s="314"/>
      <c r="BJ56" s="314"/>
      <c r="BK56" s="314"/>
      <c r="BL56" s="314"/>
      <c r="BM56" s="314"/>
      <c r="BN56" s="314"/>
      <c r="BO56" s="314"/>
      <c r="BP56" s="314"/>
      <c r="BQ56" s="314"/>
      <c r="BR56" s="314"/>
      <c r="BS56" s="314"/>
      <c r="BT56" s="314"/>
      <c r="BU56" s="314"/>
      <c r="BV56" s="314"/>
    </row>
    <row r="57" spans="1:74" ht="15.75" thickBot="1">
      <c r="A57" s="572" t="s">
        <v>1933</v>
      </c>
      <c r="B57" s="1210" cm="1">
        <f t="array" ref="B57">_xlfn.SINGLE(_xlfn.IFS(AND(Inputs!$E$32="All Types",$A$42="Concrete Volume"),(IFERROR(_xlfn.SINGLE(INDEX(Pile!$C$368:$C$391,_xlfn.AGGREGATE(15,3,((Pile!$K$368:$K$391=F57)/(Pile!$K$368:$K$391=F57)*ROW(Pile!$K$368:$K$391))-ROW(Pile!$C$367),ROWS(A57)))),"Not Suitable")),AND(Inputs!$E$32="All Types",$A$42="Number of Piles"),(IFERROR(_xlfn.SINGLE(INDEX(Pile!$C$368:$C$391,_xlfn.AGGREGATE(15,3,((Pile!$K$368:$K$391=F57)/(Pile!$K$368:$K$391=F57)*ROW(Pile!$K$368:$K$391))-ROW(Pile!$C$367),ROWS(A57)))),"Not Suitable"))))</f>
        <v>450</v>
      </c>
      <c r="C57" s="1211">
        <f>IF(F57="Not Suitable","Not Suitable",F57/(E57*PI()*(B57/2000)^2))</f>
        <v>18.536776513153224</v>
      </c>
      <c r="D57" s="1210" cm="1">
        <f t="array" ref="D57">_xlfn.SINGLE(_xlfn.IFS(AND(Inputs!$E$32="All Types",$A$42="Concrete Volume"),(IFERROR(_xlfn.SINGLE(INDEX(Pile!$B$368:$B$391,_xlfn.AGGREGATE(15,3,((Pile!$K$368:$K$391=F57)/(Pile!$K$368:$K$391=F57)*ROW(Pile!$K$368:$K$391))-ROW(Pile!$C$367),ROWS(A57)))),"Not Suitable")),AND(Inputs!$E$32="All Types",$A$42="Number of Piles"),(IF(SUMPRODUCT(--ISNUMBER(Pile!$K$368:$K$373)),Pile!$B$368,IF(SUMPRODUCT(--ISNUMBER(Pile!$K$374:$K$379)),Pile!$B$374,IF(SUMPRODUCT(--ISNUMBER(Pile!$K$380:$K$385)),Pile!$B$380,IF(SUMPRODUCT(--ISNUMBER(Pile!$K$386:$K$391)),Pile!$B$386,"Not Suitable")))))))</f>
        <v>1</v>
      </c>
      <c r="E57" s="1210" cm="1">
        <f t="array" ref="E57">_xlfn.SINGLE(_xlfn.IFS(AND(Inputs!$E$32="All Types",$A$42="Concrete Volume"),(IFERROR(_xlfn.SINGLE(INDEX(Pile!$D$368:$D$391,_xlfn.AGGREGATE(15,3,((Pile!$K$368:$K$391=F57)/(Pile!$K$368:$K$391=F57)*ROW(Pile!$K$368:$K$391))-ROW(Pile!$C$367),ROWS(A57)))),"Not Suitable")),AND(Inputs!$E$32="All Types",$A$42="Number of Piles"),(IF(SUMPRODUCT(--ISNUMBER(Pile!$K$368:$K$373)),Pile!$D$368,IF(SUMPRODUCT(--ISNUMBER(Pile!$K$374:$K$379)),Pile!$D$374,IF(SUMPRODUCT(--ISNUMBER(Pile!$K$380:$K$385)),Pile!$D$380,IF(SUMPRODUCT(--ISNUMBER(Pile!$K$386:$K$391)),Pile!$D$386,"Not Suitable")))))))</f>
        <v>32</v>
      </c>
      <c r="F57" s="1211">
        <f>_xlfn.IFS(AND(Inputs!$E$32="All Types",$A$42="Concrete Volume"),(IF(MIN(Pile!$K$368:$K$391)&gt;0,MIN(Pile!$K$368:$K$391), "Not Suitable")),AND(Inputs!$E$32="All Types",$A$42="Number of Piles"),(IF(Pile!#REF!=Pile!$D$368,MIN(Pile!$K$368:$K$373),IF(Pile!#REF!=Pile!$D$374,MIN(Pile!$K$374:$K$379),IF(Pile!#REF!=Pile!$D$380,MIN(Pile!$K$380:$K$385),IF(Pile!#REF!=Pile!$D$386,MIN(Pile!$K$386:$K$391),"Not Suitable"))))))</f>
        <v>94.340701482231964</v>
      </c>
      <c r="G57" s="1198"/>
      <c r="H57" s="572" t="s">
        <v>1933</v>
      </c>
      <c r="I57" s="1210" cm="1">
        <f t="array" ref="I57">_xlfn.SINGLE(_xlfn.IFS(AND(Inputs!$E$32="All Types",$A$42="Concrete Volume"),(IFERROR(_xlfn.SINGLE(INDEX(Pile!$P$368:$P$391,_xlfn.AGGREGATE(15,3,((Pile!$X$368:$X$391=M57)/(Pile!$X$368:$X$391=M57)*ROW(Pile!$X$368:$X$391))-ROW(Pile!$P$367),ROWS(H57)))),"Not Suitable")),AND(Inputs!$E$32="All Types",$A$42="Number of Piles"),(IFERROR(_xlfn.SINGLE(INDEX(Pile!$P$368:$P$391,_xlfn.AGGREGATE(15,3,((Pile!$X$368:$X$391=M57)/(Pile!$X$368:$X$391=M57)*ROW(Pile!$X$368:$X$391))-ROW(Pile!$P$367),ROWS(H57)))),"Not Suitable"))))</f>
        <v>450</v>
      </c>
      <c r="J57" s="1211">
        <f>IF(M57="Not Suitable","Not Suitable",M57/(L57*PI()*(I57/2000)^2))</f>
        <v>18.536776513153224</v>
      </c>
      <c r="K57" s="1210" cm="1">
        <f t="array" ref="K57">_xlfn.SINGLE(_xlfn.IFS(AND(Inputs!$E$32="All Types",$A$42="Concrete Volume"),(IFERROR(_xlfn.SINGLE(INDEX(Pile!$O$368:$O$391,_xlfn.AGGREGATE(15,3,((Pile!$X$368:$X$391=M57)/(Pile!$X$368:$X$391=M57)*ROW(Pile!$X$368:$X$391))-ROW(Pile!$P$367),ROWS(H57)))),"Not Suitable")),AND(Inputs!$E$32="All Types",$A$42="Number of Piles"),(IF(SUMPRODUCT(--ISNUMBER(Pile!$X$368:$X$373)),Pile!$O$368,IF(SUMPRODUCT(--ISNUMBER(Pile!$X$374:$X$379)),Pile!$O$374,IF(SUMPRODUCT(--ISNUMBER(Pile!$X$380:$X$385)),Pile!$O$380,IF(SUMPRODUCT(--ISNUMBER(Pile!$X$386:$X$391)),Pile!$O$386,"Not Suitable")))))))</f>
        <v>1</v>
      </c>
      <c r="L57" s="1210" cm="1">
        <f t="array" ref="L57">_xlfn.SINGLE(_xlfn.IFS(AND(Inputs!$E$32="All Types",$A$42="Concrete Volume"),(IFERROR(_xlfn.SINGLE(INDEX(Pile!$Q$368:$Q$391,_xlfn.AGGREGATE(15,3,((Pile!$X$368:$X$391=M57)/(Pile!$X$368:$X$391=M57)*ROW(Pile!$X$368:$X$391))-ROW(Pile!$P$367),ROWS(H57)))),"Not Suitable")),AND(Inputs!$E$32="All Types",$A$42="Number of Piles"),(IF(SUMPRODUCT(--ISNUMBER(Pile!$X$368:$X$373)),Pile!$Q$368,IF(SUMPRODUCT(--ISNUMBER(Pile!$X$374:$X$379)),Pile!$Q$374,IF(SUMPRODUCT(--ISNUMBER(Pile!$X$380:$X$385)),Pile!$Q$380,IF(SUMPRODUCT(--ISNUMBER(Pile!$X$386:$X$391)),Pile!$Q$386,"Not Suitable")))))))</f>
        <v>32</v>
      </c>
      <c r="M57" s="1211">
        <f>_xlfn.IFS(AND(Inputs!$E$32="All Types",$A$42="Concrete Volume"),(IF(MIN(Pile!$X$368:$X$391)&gt;0,MIN(Pile!$X$368:$X$391), "Not Suitable")),AND(Inputs!$E$32="All Types",$A$42="Number of Piles"),(IF(Pile!#REF!=Pile!$Q$368,MIN(Pile!$X$368:$X$373),IF(Pile!#REF!=Pile!$Q$374,MIN(Pile!$X$374:$X$379),IF(Pile!#REF!=Pile!$Q$380,MIN(Pile!$X$380:$X$385),IF(Pile!#REF!=Pile!$Q$386,MIN(Pile!$X$386:$X$391),"Not Suitable"))))))</f>
        <v>94.340701482231964</v>
      </c>
      <c r="N57" s="1198"/>
      <c r="O57" s="572" t="s">
        <v>1933</v>
      </c>
      <c r="P57" s="1210" cm="1">
        <f t="array" ref="P57">_xlfn.SINGLE(_xlfn.IFS(AND(Inputs!$E$32="All Types",$A$42="Concrete Volume"),(IFERROR(_xlfn.SINGLE(INDEX(Pile!$AC$368:$AC$391,_xlfn.AGGREGATE(15,3,((Pile!$AK$368:$AK$391=T57)/(Pile!$AK$368:$AK$391=T57)*ROW(Pile!$AK$368:$AK$391))-ROW(Pile!$AC$367),ROWS(O57)))),"Not Suitable")),AND(Inputs!$E$32="All Types",$A$42="Number of Piles"),(IFERROR(_xlfn.SINGLE(INDEX(Pile!$AC$368:$AC$391,_xlfn.AGGREGATE(15,3,((Pile!$AK$368:$AK$391=T57)/(Pile!$AK$368:$AK$391=T57)*ROW(Pile!$AK$368:$AK$391))-ROW(Pile!$AC$367),ROWS(O57)))),"Not Suitable"))))</f>
        <v>450</v>
      </c>
      <c r="Q57" s="1211">
        <f>IF(T57="Not Suitable","Not Suitable",T57/(S57*PI()*(P57/2000)^2))</f>
        <v>17.036776513153224</v>
      </c>
      <c r="R57" s="1210" cm="1">
        <f t="array" ref="R57">_xlfn.SINGLE(_xlfn.IFS(AND(Inputs!$E$32="All Types",$A$42="Concrete Volume"),(IFERROR(_xlfn.SINGLE(INDEX(Pile!$AB$368:$AB$391,_xlfn.AGGREGATE(15,3,((Pile!$AK$368:$AK$391=T57)/(Pile!$AK$368:$AK$391=T57)*ROW(Pile!$AK$368:$AK$391))-ROW(Pile!$AC$367),ROWS(O57)))),"Not Suitable")),AND(Inputs!$E$32="All Types",$A$42="Number of Piles"),(IF(SUMPRODUCT(--ISNUMBER(Pile!$AK$368:$AK$373)),Pile!$AB$368,IF(SUMPRODUCT(--ISNUMBER(Pile!$AK$374:$AK$379)),Pile!$AB$374,IF(SUMPRODUCT(--ISNUMBER(Pile!$AK$380:$AK$385)),Pile!$AB$380,IF(SUMPRODUCT(--ISNUMBER(Pile!$AK$386:$AK$391)),Pile!$AB$386,"Not Suitable")))))))</f>
        <v>1</v>
      </c>
      <c r="S57" s="1210" cm="1">
        <f t="array" ref="S57">_xlfn.SINGLE(_xlfn.IFS(AND(Inputs!$E$32="All Types",$A$42="Concrete Volume"),(IFERROR(_xlfn.SINGLE(INDEX(Pile!$AD$368:$AD$391,_xlfn.AGGREGATE(15,3,((Pile!$AK$368:$AK$391=T57)/(Pile!$AK$368:$AK$391=T57)*ROW(Pile!$AK$368:$AK$391))-ROW(Pile!$AC$367),ROWS(O57)))),"Not Suitable")),AND(Inputs!$E$32="All Types",$A$42="Number of Piles"),(IF(SUMPRODUCT(--ISNUMBER(Pile!$AK$368:$AK$373)),Pile!$AD$368,IF(SUMPRODUCT(--ISNUMBER(Pile!$AK$374:$AK$379)),Pile!$AD$374,IF(SUMPRODUCT(--ISNUMBER(Pile!$AK$380:$AK$385)),Pile!$AD$380,IF(SUMPRODUCT(--ISNUMBER(Pile!$AK$386:$AK$391)),Pile!$AD$386,"Not Suitable")))))))</f>
        <v>32</v>
      </c>
      <c r="T57" s="1211">
        <f>_xlfn.IFS(AND(Inputs!$E$32="All Types",$A$42="Concrete Volume"),(IF(MIN(Pile!$AK$368:$AK$391)&gt;0,MIN(Pile!$AK$368:$AK$391), "Not Suitable")),AND(Inputs!$E$32="All Types",$A$42="Number of Piles"),(IF(Pile!#REF!=Pile!$AD$368,MIN(Pile!$AK$368:$AK$373),IF(Pile!#REF!=Pile!$AD$374,MIN(Pile!$AK$374:$AK$379),IF(Pile!#REF!=Pile!$AD$380,MIN(Pile!$AK$380:$AK$385),IF(Pile!#REF!=Pile!$AD$386,MIN(Pile!$AK$386:$AK$391),"Not Suitable"))))))</f>
        <v>86.706631334008762</v>
      </c>
      <c r="U57" s="314"/>
      <c r="V57" s="314"/>
      <c r="W57" s="314"/>
      <c r="X57" s="314"/>
      <c r="Y57" s="314"/>
      <c r="Z57" s="314"/>
      <c r="AA57" s="314"/>
      <c r="AB57" s="314"/>
      <c r="AC57" s="314"/>
      <c r="AD57" s="314"/>
      <c r="AE57" s="314"/>
      <c r="AF57" s="314"/>
      <c r="AG57" s="314"/>
      <c r="AH57" s="314"/>
      <c r="AI57" s="314"/>
      <c r="AJ57" s="314"/>
      <c r="AK57" s="314"/>
      <c r="AL57" s="314"/>
      <c r="AM57" s="314"/>
      <c r="AN57" s="314"/>
      <c r="AO57" s="314"/>
      <c r="AP57" s="314"/>
      <c r="AQ57" s="314"/>
      <c r="AR57" s="314"/>
      <c r="AS57" s="314"/>
      <c r="AT57" s="314"/>
      <c r="AU57" s="314"/>
      <c r="AV57" s="314"/>
      <c r="AW57" s="314"/>
      <c r="AX57" s="314"/>
      <c r="AY57" s="314"/>
      <c r="AZ57" s="314"/>
      <c r="BA57" s="314"/>
      <c r="BB57" s="314"/>
      <c r="BC57" s="314"/>
      <c r="BD57" s="314"/>
      <c r="BE57" s="314"/>
      <c r="BF57" s="314"/>
      <c r="BG57" s="314"/>
      <c r="BH57" s="314"/>
      <c r="BI57" s="314"/>
      <c r="BJ57" s="314"/>
      <c r="BK57" s="314"/>
      <c r="BL57" s="314"/>
      <c r="BM57" s="314"/>
      <c r="BN57" s="314"/>
      <c r="BO57" s="314"/>
      <c r="BP57" s="314"/>
      <c r="BQ57" s="314"/>
      <c r="BR57" s="314"/>
      <c r="BS57" s="314"/>
      <c r="BT57" s="314"/>
      <c r="BU57" s="314"/>
      <c r="BV57" s="314"/>
    </row>
    <row r="58" spans="1:74">
      <c r="A58" s="572" t="s">
        <v>1934</v>
      </c>
      <c r="B58" s="1216" cm="1">
        <f t="array" ref="B58">_xlfn.SINGLE(_xlfn.IFS(AND(Inputs!$E$32="All Types",$A$42="Concrete Volume"),(IFERROR(_xlfn.SINGLE(INDEX(Pile!$C$399:$C$422,_xlfn.AGGREGATE(15,3,((Pile!$K$399:$K$422=F58)/(Pile!$K$399:$K$422=F58)*ROW(Pile!$K$399:$K$422))-ROW(Pile!$C$398),ROWS(A58)))),"Not Suitable")),AND(Inputs!$E$32="All Types",$A$42="Number of Piles"),(IFERROR(_xlfn.SINGLE(INDEX(Pile!$C$399:$C$422,_xlfn.AGGREGATE(15,3,((Pile!$K$399:$K$422=F58)/(Pile!$K$399:$K$422=F58)*ROW(Pile!$K$399:$K$422))-ROW(Pile!$C$398),ROWS(A58)))),"Not Suitable"))))</f>
        <v>450</v>
      </c>
      <c r="C58" s="1217">
        <f>IF(F58="Not Suitable","Not Suitable",F58/(E58*PI()*(B58/2000)^2))</f>
        <v>17.036776513153224</v>
      </c>
      <c r="D58" s="1216" cm="1">
        <f t="array" ref="D58">_xlfn.SINGLE(_xlfn.IFS(AND(Inputs!$E$32="All Types",$A$42="Concrete Volume"),(IFERROR(_xlfn.SINGLE(INDEX(Pile!$B$399:$B$422,_xlfn.AGGREGATE(15,3,((Pile!$K$399:$K$422=F58)/(Pile!$K$399:$K$422=F58)*ROW(Pile!$K$399:$K$422))-ROW(Pile!$C$398),ROWS(A58)))),"Not Suitable")),AND(Inputs!$E$32="All Types",$A$42="Number of Piles"),(IF(SUMPRODUCT(--ISNUMBER(Pile!$K$399:$K$404)),Pile!$B$399,IF(SUMPRODUCT(--ISNUMBER(Pile!$K$405:$K$410)),Pile!$B$405,IF(SUMPRODUCT(--ISNUMBER(Pile!$K$411:$K$416)),Pile!$B$411,IF(SUMPRODUCT(--ISNUMBER(Pile!$K$417:$K$422)),Pile!$B$417,"Not Suitable")))))))</f>
        <v>1</v>
      </c>
      <c r="E58" s="1216" cm="1">
        <f t="array" ref="E58">_xlfn.SINGLE(_xlfn.IFS(AND(Inputs!$E$32="All Types",$A$42="Concrete Volume"),(IFERROR(_xlfn.SINGLE(INDEX(Pile!$D$399:$D$422,_xlfn.AGGREGATE(15,3,((Pile!$K$399:$K$422=F58)/(Pile!$K$399:$K$422=F58)*ROW(Pile!$K$399:$K$422))-ROW(Pile!$C$398),ROWS(A58)))),"Not Suitable")),AND(Inputs!$E$32="All Types",$A$42="Number of Piles"),(IF(SUMPRODUCT(--ISNUMBER(Pile!$K$399:$K$404)),Pile!$D$399,IF(SUMPRODUCT(--ISNUMBER(Pile!$K$405:$K$410)),Pile!$D$405,IF(SUMPRODUCT(--ISNUMBER(Pile!$K$411:$K$416)),Pile!$D$411,IF(SUMPRODUCT(--ISNUMBER(Pile!$K$417:$K$422)),Pile!$D$417,"Not Suitable")))))))</f>
        <v>4</v>
      </c>
      <c r="F58" s="1217">
        <f>_xlfn.IFS(AND(Inputs!$E$32="All Types",$A$42="Concrete Volume"),(IF(MIN(Pile!$K$399:$K$422)&gt;0,MIN(Pile!$K$399:$K$422), "Not Suitable")),AND(Inputs!$E$32="All Types",$A$42="Number of Piles"),(IF(Pile!#REF!=Pile!$D$399,MIN(Pile!$K$399:$K$404),IF(Pile!#REF!=Pile!$D$405,MIN(Pile!$K$405:$K$410),IF(Pile!#REF!=Pile!$D$411,MIN(Pile!$K$411:$K$416),IF(Pile!#REF!=Pile!$D$417,MIN(Pile!$K$417:$K$422),"Not Suitable"))))))</f>
        <v>10.838328916751095</v>
      </c>
      <c r="G58" s="1198"/>
      <c r="H58" s="572" t="s">
        <v>1934</v>
      </c>
      <c r="I58" s="1216" cm="1">
        <f t="array" ref="I58">_xlfn.SINGLE(_xlfn.IFS(AND(Inputs!$E$32="All Types",$A$42="Concrete Volume"),(IFERROR(_xlfn.SINGLE(INDEX(Pile!$P$399:$P$422,_xlfn.AGGREGATE(15,3,((Pile!$X$399:$X$422=M58)/(Pile!$X$399:$X$422=M58)*ROW(Pile!$X$399:$X$422))-ROW(Pile!$P$398),ROWS(H58)))),"Not Suitable")),AND(Inputs!$E$32="All Types",$A$42="Number of Piles"),(IFERROR(_xlfn.SINGLE(INDEX(Pile!$P$399:$P$422,_xlfn.AGGREGATE(15,3,((Pile!$X$399:$X$422=M58)/(Pile!$X$399:$X$422=M58)*ROW(Pile!$X$399:$X$422))-ROW(Pile!$P$398),ROWS(H58)))),"Not Suitable"))))</f>
        <v>450</v>
      </c>
      <c r="J58" s="1217">
        <f>IF(M58="Not Suitable","Not Suitable",M58/(L58*PI()*(I58/2000)^2))</f>
        <v>17.036776513153224</v>
      </c>
      <c r="K58" s="1216" cm="1">
        <f t="array" ref="K58">_xlfn.SINGLE(_xlfn.IFS(AND(Inputs!$E$32="All Types",$A$42="Concrete Volume"),(IFERROR(_xlfn.SINGLE(INDEX(Pile!$O$399:$O$422,_xlfn.AGGREGATE(15,3,((Pile!$X$399:$X$422=M58)/(Pile!$X$399:$X$422=M58)*ROW(Pile!$X$399:$X$422))-ROW(Pile!$P$398),ROWS(H58)))),"Not Suitable")),AND(Inputs!$E$32="All Types",$A$42="Number of Piles"),(IF(SUMPRODUCT(--ISNUMBER(Pile!$X$399:$X$404)),Pile!$O$399,IF(SUMPRODUCT(--ISNUMBER(Pile!$X$405:$X$410)),Pile!$O$405,IF(SUMPRODUCT(--ISNUMBER(Pile!$X$411:$X$416)),Pile!$O$411,IF(SUMPRODUCT(--ISNUMBER(Pile!$X$417:$X$422)),Pile!$O$417,"Not Suitable")))))))</f>
        <v>1</v>
      </c>
      <c r="L58" s="1216" cm="1">
        <f t="array" ref="L58">_xlfn.SINGLE(_xlfn.IFS(AND(Inputs!$E$32="All Types",$A$42="Concrete Volume"),(IFERROR(_xlfn.SINGLE(INDEX(Pile!$Q$399:$Q$422,_xlfn.AGGREGATE(15,3,((Pile!$X$399:$X$422=M58)/(Pile!$X$399:$X$422=M58)*ROW(Pile!$X$399:$X$422))-ROW(Pile!$P$398),ROWS(H58)))),"Not Suitable")),AND(Inputs!$E$32="All Types",$A$42="Number of Piles"),(IF(SUMPRODUCT(--ISNUMBER(Pile!$X$399:$X$404)),Pile!$Q$399,IF(SUMPRODUCT(--ISNUMBER(Pile!$X$405:$X$410)),Pile!$Q$405,IF(SUMPRODUCT(--ISNUMBER(Pile!$X$411:$X$416)),Pile!$Q$411,IF(SUMPRODUCT(--ISNUMBER(Pile!$X$417:$X$422)),Pile!$Q$417,"Not Suitable")))))))</f>
        <v>4</v>
      </c>
      <c r="M58" s="1217">
        <f>_xlfn.IFS(AND(Inputs!$E$32="All Types",$A$42="Concrete Volume"),(IF(MIN(Pile!$X$399:$X$422)&gt;0,MIN(Pile!$X$399:$X$422), "Not Suitable")),AND(Inputs!$E$32="All Types",$A$42="Number of Piles"),(IF(Pile!#REF!=Pile!$Q$399,MIN(Pile!$X$399:$X$404),IF(Pile!#REF!=Pile!$Q$405,MIN(Pile!$X$405:$X$410),IF(Pile!#REF!=Pile!$Q$411,MIN(Pile!$X$411:$X$416),IF(Pile!#REF!=Pile!$Q$417,MIN(Pile!$X$417:$X$422),"Not Suitable"))))))</f>
        <v>10.838328916751095</v>
      </c>
      <c r="N58" s="1198"/>
      <c r="O58" s="572" t="s">
        <v>1934</v>
      </c>
      <c r="P58" s="1216" cm="1">
        <f t="array" ref="P58">_xlfn.SINGLE(_xlfn.IFS(AND(Inputs!$E$32="All Types",$A$42="Concrete Volume"),(IFERROR(_xlfn.SINGLE(INDEX(Pile!$AC$399:$AC$422,_xlfn.AGGREGATE(15,3,((Pile!$AK$399:$AK$422=T58)/(Pile!$AK$399:$AK$422=T58)*ROW(Pile!$AK$399:$AK$422))-ROW(Pile!$AC$398),ROWS(O58)))),"Not Suitable")),AND(Inputs!$E$32="All Types",$A$42="Number of Piles"),(IFERROR(_xlfn.SINGLE(INDEX(Pile!$AC$399:$AC$422,_xlfn.AGGREGATE(15,3,((Pile!$AK$399:$AK$422=T58)/(Pile!$AK$399:$AK$422=T58)*ROW(Pile!$AK$399:$AK$422))-ROW(Pile!$AC$398),ROWS(O58)))),"Not Suitable"))))</f>
        <v>450</v>
      </c>
      <c r="Q58" s="1217">
        <f>IF(T58="Not Suitable","Not Suitable",T58/(S58*PI()*(P58/2000)^2))</f>
        <v>17.036776513153224</v>
      </c>
      <c r="R58" s="1216" cm="1">
        <f t="array" ref="R58">_xlfn.SINGLE(_xlfn.IFS(AND(Inputs!$E$32="All Types",$A$42="Concrete Volume"),(IFERROR(_xlfn.SINGLE(INDEX(Pile!$AB$399:$AB$422,_xlfn.AGGREGATE(15,3,((Pile!$AK$399:$AK$422=T58)/(Pile!$AK$399:$AK$422=T58)*ROW(Pile!$AK$399:$AK$422))-ROW(Pile!$AC$398),ROWS(O58)))),"Not Suitable")),AND(Inputs!$E$32="All Types",$A$42="Number of Piles"),(IF(SUMPRODUCT(--ISNUMBER(Pile!$AK$399:$AK$404)),Pile!$AB$399,IF(SUMPRODUCT(--ISNUMBER(Pile!$AK$405:$AK$410)),Pile!$AB$405,IF(SUMPRODUCT(--ISNUMBER(Pile!$AK$411:$AK$416)),Pile!$AB$411,IF(SUMPRODUCT(--ISNUMBER(Pile!$AK$417:$AK$422)),Pile!$AB$417,"Not Suitable")))))))</f>
        <v>1</v>
      </c>
      <c r="S58" s="1216" cm="1">
        <f t="array" ref="S58">_xlfn.SINGLE(_xlfn.IFS(AND(Inputs!$E$32="All Types",$A$42="Concrete Volume"),(IFERROR(_xlfn.SINGLE(INDEX(Pile!$AD$399:$AD$422,_xlfn.AGGREGATE(15,3,((Pile!$AK$399:$AK$422=T58)/(Pile!$AK$399:$AK$422=T58)*ROW(Pile!$AK$399:$AK$422))-ROW(Pile!$AC$398),ROWS(O58)))),"Not Suitable")),AND(Inputs!$E$32="All Types",$A$42="Number of Piles"),(IF(SUMPRODUCT(--ISNUMBER(Pile!$AK$399:$AK$404)),Pile!$AD$399,IF(SUMPRODUCT(--ISNUMBER(Pile!$AK$405:$AK$410)),Pile!$AD$405,IF(SUMPRODUCT(--ISNUMBER(Pile!$AK$411:$AK$416)),Pile!$AD$411,IF(SUMPRODUCT(--ISNUMBER(Pile!$AK$417:$AK$422)),Pile!$AD$417,"Not Suitable")))))))</f>
        <v>4</v>
      </c>
      <c r="T58" s="1217">
        <f>_xlfn.IFS(AND(Inputs!$E$32="All Types",$A$42="Concrete Volume"),(IF(MIN(Pile!$AK$399:$AK$422)&gt;0,MIN(Pile!$AK$399:$AK$422), "Not Suitable")),AND(Inputs!$E$32="All Types",$A$42="Number of Piles"),(IF(Pile!#REF!=Pile!$AD$399,MIN(Pile!$AK$399:$AK$404),IF(Pile!#REF!=Pile!$AD$405,MIN(Pile!$AK$405:$AK$410),IF(Pile!#REF!=Pile!$AD$411,MIN(Pile!$AK$411:$AK$416),IF(Pile!#REF!=Pile!$AD$417,MIN(Pile!$AK$417:$AK$422),"Not Suitable"))))))</f>
        <v>10.838328916751095</v>
      </c>
      <c r="U58" s="314"/>
      <c r="V58" s="314"/>
      <c r="W58" s="314"/>
      <c r="X58" s="314"/>
      <c r="Y58" s="314"/>
      <c r="Z58" s="314"/>
      <c r="AA58" s="314"/>
      <c r="AB58" s="314"/>
      <c r="AC58" s="314"/>
      <c r="AD58" s="314"/>
      <c r="AE58" s="314"/>
      <c r="AF58" s="314"/>
      <c r="AG58" s="314"/>
      <c r="AH58" s="314"/>
      <c r="AI58" s="314"/>
      <c r="AJ58" s="314"/>
      <c r="AK58" s="314"/>
      <c r="AL58" s="314"/>
      <c r="AM58" s="314"/>
      <c r="AN58" s="314"/>
      <c r="AO58" s="314"/>
      <c r="AP58" s="314"/>
      <c r="AQ58" s="314"/>
      <c r="AR58" s="314"/>
      <c r="AS58" s="314"/>
      <c r="AT58" s="314"/>
      <c r="AU58" s="314"/>
      <c r="AV58" s="314"/>
      <c r="AW58" s="314"/>
      <c r="AX58" s="314"/>
      <c r="AY58" s="314"/>
      <c r="AZ58" s="314"/>
      <c r="BA58" s="314"/>
      <c r="BB58" s="314"/>
      <c r="BC58" s="314"/>
      <c r="BD58" s="314"/>
      <c r="BE58" s="314"/>
      <c r="BF58" s="314"/>
      <c r="BG58" s="314"/>
      <c r="BH58" s="314"/>
      <c r="BI58" s="314"/>
      <c r="BJ58" s="314"/>
      <c r="BK58" s="314"/>
      <c r="BL58" s="314"/>
      <c r="BM58" s="314"/>
      <c r="BN58" s="314"/>
      <c r="BO58" s="314"/>
      <c r="BP58" s="314"/>
      <c r="BQ58" s="314"/>
      <c r="BR58" s="314"/>
      <c r="BS58" s="314"/>
      <c r="BT58" s="314"/>
      <c r="BU58" s="314"/>
      <c r="BV58" s="314"/>
    </row>
    <row r="59" spans="1:74">
      <c r="A59" s="316"/>
      <c r="B59" s="1214"/>
      <c r="C59" s="1215"/>
      <c r="D59" s="1214"/>
      <c r="E59" s="1214"/>
      <c r="F59" s="1215"/>
      <c r="G59" s="1198"/>
      <c r="H59" s="316"/>
      <c r="I59" s="1214"/>
      <c r="J59" s="1215"/>
      <c r="K59" s="1214"/>
      <c r="L59" s="1214"/>
      <c r="M59" s="1215"/>
      <c r="N59" s="1198"/>
      <c r="P59" s="314"/>
      <c r="Q59" s="314"/>
      <c r="R59" s="314"/>
      <c r="S59" s="314"/>
      <c r="T59" s="314"/>
      <c r="U59" s="314"/>
      <c r="V59" s="314"/>
      <c r="W59" s="314"/>
      <c r="X59" s="314"/>
      <c r="Y59" s="314"/>
      <c r="Z59" s="314"/>
      <c r="AA59" s="314"/>
      <c r="AB59" s="314"/>
      <c r="AT59" s="314"/>
      <c r="AU59" s="314"/>
      <c r="AV59" s="314"/>
      <c r="AW59" s="314"/>
      <c r="AX59" s="314"/>
      <c r="AY59" s="314"/>
      <c r="AZ59" s="314"/>
      <c r="BA59" s="314"/>
      <c r="BB59" s="314"/>
      <c r="BC59" s="314"/>
      <c r="BD59" s="314"/>
      <c r="BE59" s="314"/>
      <c r="BF59" s="314"/>
      <c r="BG59" s="314"/>
      <c r="BH59" s="314"/>
      <c r="BI59" s="314"/>
      <c r="BJ59" s="314"/>
      <c r="BK59" s="314"/>
      <c r="BL59" s="314"/>
      <c r="BM59" s="314"/>
      <c r="BN59" s="314"/>
      <c r="BO59" s="314"/>
      <c r="BP59" s="314"/>
      <c r="BQ59" s="314"/>
      <c r="BR59" s="314"/>
      <c r="BS59" s="314"/>
      <c r="BT59" s="314"/>
      <c r="BU59" s="314"/>
      <c r="BV59" s="314"/>
    </row>
    <row r="60" spans="1:74" s="314" customFormat="1">
      <c r="A60" s="1198"/>
      <c r="B60" s="1198"/>
      <c r="C60" s="1198"/>
      <c r="D60" s="1198"/>
      <c r="E60" s="1198"/>
      <c r="F60" s="1198"/>
      <c r="G60" s="1198"/>
      <c r="H60" s="1198"/>
      <c r="I60" s="1198"/>
      <c r="J60" s="1198"/>
      <c r="K60" s="1198"/>
      <c r="L60" s="1198"/>
      <c r="M60" s="1198"/>
      <c r="N60" s="1198"/>
      <c r="O60" s="1198"/>
      <c r="P60" s="1198"/>
      <c r="Q60" s="1198"/>
      <c r="R60" s="1198"/>
      <c r="S60" s="1198"/>
      <c r="T60" s="1198"/>
      <c r="U60" s="1218"/>
    </row>
    <row r="61" spans="1:74" s="314" customFormat="1" ht="19.5" thickBot="1">
      <c r="A61" s="1202" t="s">
        <v>1920</v>
      </c>
      <c r="G61" s="1198"/>
      <c r="H61" s="1202" t="s">
        <v>1921</v>
      </c>
      <c r="N61" s="1198"/>
      <c r="O61" s="1202" t="s">
        <v>1922</v>
      </c>
    </row>
    <row r="62" spans="1:74" s="314" customFormat="1" ht="15.75" thickBot="1">
      <c r="A62" s="1203" t="str">
        <f>IF(OR(Inputs!E32="Continuous Flight Auger",Inputs!E32="All Types"),"Continuous Flight Auger", IF(Inputs!E32="Bored Cast in Place Concrete","Bored Cast In Place Concrete","Driven Precast Concrete"))</f>
        <v>Continuous Flight Auger</v>
      </c>
      <c r="B62" s="1204" t="s">
        <v>821</v>
      </c>
      <c r="C62" s="1205" t="s">
        <v>847</v>
      </c>
      <c r="D62" s="1206" t="s">
        <v>883</v>
      </c>
      <c r="E62" s="1206" t="s">
        <v>884</v>
      </c>
      <c r="F62" s="1207" t="s">
        <v>885</v>
      </c>
      <c r="G62" s="1198"/>
      <c r="H62" s="1203" t="str">
        <f>IF(OR(Inputs!E32="Continuous Flight Auger",Inputs!E32="All Types"),"Continuous Flight Auger", IF(Inputs!E32="Bored Cast in Place Concrete","Bored Cast In Place Concrete","Driven Precast Concrete"))</f>
        <v>Continuous Flight Auger</v>
      </c>
      <c r="I62" s="1204" t="s">
        <v>821</v>
      </c>
      <c r="J62" s="1205" t="s">
        <v>847</v>
      </c>
      <c r="K62" s="1206" t="s">
        <v>883</v>
      </c>
      <c r="L62" s="1206" t="s">
        <v>884</v>
      </c>
      <c r="M62" s="1207" t="s">
        <v>885</v>
      </c>
      <c r="N62" s="1198"/>
      <c r="O62" s="1203" t="str">
        <f>IF(OR(Inputs!E32="Continuous Flight Auger",Inputs!E32="All Types"),"Continuous Flight Auger", IF(Inputs!E32="Bored Cast in Place Concrete","Bored Cast In Place Concrete","Driven Precast Concrete"))</f>
        <v>Continuous Flight Auger</v>
      </c>
      <c r="P62" s="1204" t="s">
        <v>821</v>
      </c>
      <c r="Q62" s="1205" t="s">
        <v>847</v>
      </c>
      <c r="R62" s="1206" t="s">
        <v>883</v>
      </c>
      <c r="S62" s="1206" t="s">
        <v>884</v>
      </c>
      <c r="T62" s="1207" t="s">
        <v>885</v>
      </c>
    </row>
    <row r="63" spans="1:74" s="314" customFormat="1" ht="15.75" thickBot="1">
      <c r="A63" s="572" t="s">
        <v>1932</v>
      </c>
      <c r="B63" s="1208" cm="1">
        <f t="array" ref="B63">_xlfn.SINGLE(IF(SUMPRODUCT(--ISNUMBER(Pile!$AZ$336:$AZ$359))&lt;=0,"Not Suitable",_xlfn.IFS(AND(OR(Inputs!$E$32="Continuous Flight Auger",Inputs!$E$32="All Types"),$A$42="Concrete Volume"),(IFERROR(_xlfn.SINGLE(INDEX(Pile!$AP$336:$AP$359,_xlfn.AGGREGATE(15,3,((Pile!$AZ$336:$AZ$359=F63)/(Pile!$AZ$336:$AZ$359=F63)*ROW(Pile!$AZ$336:$AZ$359))-ROW(Pile!$AP$335),ROWS(A63)))),"Not Suitable")),AND(OR(Inputs!$E$32="Continuous Flight Auger",Inputs!$E$32="All Types"),$A$42="Number of Piles"),(IFERROR(_xlfn.SINGLE(INDEX(Pile!$AP$336:$AP$359,_xlfn.AGGREGATE(15,3,((Pile!$AZ$336:$AZ$359=F63)/(Pile!$AZ$336:$AZ$359=F63)*ROW(Pile!$AZ$336:$AZ$359))-ROW(Pile!$AP$335),ROWS(A63)))),"Not Suitable")),AND(Inputs!$E$32="Driven Precast Concrete",$A$42="Concrete Volume"),(IFERROR(_xlfn.SINGLE(INDEX(Pile!$AP$336:$AP$359,_xlfn.AGGREGATE(15,3,((Pile!$AY$336:$AY$359=F63)/(Pile!$AY$336:$AY$359=F63)*ROW(Pile!$AY$336:$AY$359))-ROW(Pile!$AP$335),ROWS(A63)))),"Not Suitable")),AND(Inputs!$E$32="Driven Precast Concrete",$A$42="Number of Piles"),(IFERROR(_xlfn.SINGLE(INDEX(Pile!$AP$336:$AP$359,_xlfn.AGGREGATE(15,3,((Pile!$AY$336:$AY$359=F63)/(Pile!$AY$336:$AY$359=F63)*ROW(Pile!$AY$336:$AY$359))-ROW(Pile!$AP$335),ROWS(A63)))),"Not Suitable")),AND(Inputs!$E$32="Bored Cast in Place Concrete",$A$42="Concrete Volume"),(IFERROR(_xlfn.SINGLE(INDEX(Pile!$AP$336:$AP$359,_xlfn.AGGREGATE(15,3,((Pile!$AX$336:$AX$359=F63)/(Pile!$AX$336:$AX$359=F63)*ROW(Pile!$AX$336:$AX$359))-ROW(Pile!$AP$335),ROWS(A63)))),"Not Suitable")),AND(Inputs!$E$32="Bored Cast in Place Concrete",$A$42="Number of Piles"),(IFERROR(_xlfn.SINGLE(INDEX(Pile!$AP$336:$AP$359,_xlfn.AGGREGATE(15,3,((Pile!$AX$336:$AX$359=F63)/(Pile!$AX$336:$AX$359=F63)*ROW(Pile!$AX$336:$AX$359))-ROW(Pile!$AP$335),ROWS(A63)))),"Not Suitable")))))</f>
        <v>450</v>
      </c>
      <c r="C63" s="1209">
        <f>IF(F63="Not Suitable","Not Suitable",F63/(E63*PI()*(B63/2000)^2))</f>
        <v>17.036776513153228</v>
      </c>
      <c r="D63" s="1208" t="str" cm="1">
        <f t="array" ref="D63">_xlfn.SINGLE(IF(SUMPRODUCT(--ISNUMBER(Pile!$AZ$336:$AZ$359))&lt;=0,"Not Suitable",_xlfn.IFS(AND(OR(Inputs!$E$32="Continuous Flight Auger",Inputs!$E$32="All Types"),$A$42="Concrete Volume"),(IFERROR(_xlfn.SINGLE(INDEX(Pile!$AO$336:$AO$359,_xlfn.AGGREGATE(15,3,((Pile!$AZ$336:$AZ$359=Pile!#REF!)/(Pile!$AZ$336:$AZ$359=Pile!#REF!)*ROW(Pile!$AZ$336:$AZ$359))-ROW(Pile!$AP$335),ROWS(Pile!#REF!)))),"Not Suitable")),AND(OR(Inputs!$E$32="Continuous Flight Auger",Inputs!$E$32="All Types"),$A$42="Number of Piles"),(IF(SUMPRODUCT(--ISNUMBER(Pile!$AZ$336:$AZ$341)),Pile!$AO$336,IF(SUMPRODUCT(--ISNUMBER(Pile!$AZ$342:$AZ$347)),Pile!$AO$342,IF(SUMPRODUCT(--ISNUMBER(Pile!$AZ$348:$AZ$353)),Pile!$AO$348,IF(SUMPRODUCT(--ISNUMBER(Pile!$AZ$354:$AZ$359)),Pile!$AO$354,"Not Suitable"))))),AND(Inputs!$E$32="Driven Precast Concrete",$A$42="Concrete Volume"),(IFERROR(_xlfn.SINGLE(INDEX(Pile!$AO$336:$AO$359,_xlfn.AGGREGATE(15,3,((Pile!$AY$336:$AY$359=Pile!#REF!)/(Pile!$AY$336:$AY$359=Pile!#REF!)*ROW(Pile!$AY$336:$AY$359))-ROW(Pile!$AP$335),ROWS(Pile!#REF!)))),"Not Suitable")),AND(Inputs!$E$32="Driven Precast Concrete",$A$42="Number of Piles"),(IF(SUMPRODUCT(--ISNUMBER(Pile!$AY$336:$AY$341)),Pile!$AO$336,IF(SUMPRODUCT(--ISNUMBER(Pile!$AY$342:$AY$347)),Pile!$AO$342,IF(SUMPRODUCT(--ISNUMBER(Pile!$AY$348:$AY$353)),Pile!$AO$348,IF(SUMPRODUCT(--ISNUMBER(Pile!$AY$354:$AY$359)),Pile!$AO$354,"Not Suitable"))))),AND(Inputs!$E$32="Bored Cast in Place Concrete",$A$42="Concrete Volume"),(IFERROR(_xlfn.SINGLE(INDEX(Pile!$AO$336:$AO$359,_xlfn.AGGREGATE(15,3,((Pile!$AX$336:$AX$359=F63)/(Pile!$AX$336:$AX$359=F63)*ROW(Pile!$AX$336:$AX$359))-ROW(Pile!$AP$335),ROWS(Pile!#REF!)))),"Not Suitable")),AND(Inputs!$E$32="Bored Cast in Place Concrete",$A$42="Number of Piles"),(IF(SUMPRODUCT(--ISNUMBER(Pile!$AX$336:$AX$341)),Pile!$AO$336,IF(SUMPRODUCT(--ISNUMBER(Pile!$AX$342:$AX$347)),Pile!$AO$342,IF(SUMPRODUCT(--ISNUMBER(Pile!$AX$348:$AX$353)),Pile!$AO$348,IF(SUMPRODUCT(--ISNUMBER(Pile!$AX$354:$AX$359)),Pile!$AO$354,"Not Suitable"))))))))</f>
        <v>Not Suitable</v>
      </c>
      <c r="E63" s="1208" cm="1">
        <f t="array" ref="E63">_xlfn.SINGLE(IF(SUMPRODUCT(--ISNUMBER(Pile!$AZ$336:$AZ$359))&lt;=0,"Not Suitable",_xlfn.IFS(AND(OR(Inputs!$E$32="Continuous Flight Auger",Inputs!$E$32="All Types"),$A$42="Concrete Volume"),(IFERROR(_xlfn.SINGLE(INDEX(Pile!$AQ$336:$AQ$359,_xlfn.AGGREGATE(15,3,((Pile!$AZ$336:$AZ$359=F63)/(Pile!$AZ$336:$AZ$359=F63)*ROW(Pile!$AZ$336:$AZ$359))-ROW(Pile!$AP$335),ROWS(A63)))),"Not Suitable")),AND(OR(Inputs!$E$32="Continuous Flight Auger",Inputs!$E$32="All Types"),$A$42="Number of Piles"),(IF(SUMPRODUCT(--ISNUMBER(Pile!$AZ$336:$AZ$341)),Pile!$AQ$336,IF(SUMPRODUCT(--ISNUMBER(Pile!$AZ$342:$AZ$347)),Pile!$AQ$342,IF(SUMPRODUCT(--ISNUMBER(Pile!$AZ$348:$AZ$353)),Pile!$AQ$348,IF(SUMPRODUCT(--ISNUMBER(Pile!$AZ$354:$AZ$359)),Pile!$AQ$354,"Not Suitable"))))),AND(Inputs!$E$32="Driven Precast Concrete",$A$42="Concrete Volume"),(IFERROR(_xlfn.SINGLE(INDEX(Pile!$AQ$336:$AQ$359,_xlfn.AGGREGATE(15,3,((Pile!$AY$336:$AY$359=F63)/(Pile!$AY$336:$AY$359=F63)*ROW(Pile!$AY$336:$AY$359))-ROW(Pile!$AP$335),ROWS(A63)))),"Not Suitable")),AND(Inputs!$E$32="Driven Precast Concrete",$A$42="Number of Piles"),(IF(SUMPRODUCT(--ISNUMBER(Pile!$AY$336:$AY$341)),Pile!$AQ$336,IF(SUMPRODUCT(--ISNUMBER(Pile!$AY$342:$AY$347)),Pile!$AQ$342,IF(SUMPRODUCT(--ISNUMBER(Pile!$AY$348:$AY$353)),Pile!$AQ$348,IF(SUMPRODUCT(--ISNUMBER(Pile!$AY$354:$AY$359)),Pile!$AQ$354,"Not Suitable"))))),AND(Inputs!$E$32="Bored Cast in Place Concrete",$A$42="Concrete Volume"),(IFERROR(_xlfn.SINGLE(INDEX(Pile!$AQ$336:$AQ$359,_xlfn.AGGREGATE(15,3,((Pile!$AX$336:$AX$359=F63)/(Pile!$AX$336:$AX$359=F63)*ROW(Pile!$AX$336:$AX$359))-ROW(Pile!$AP$335),ROWS(A63)))),"Not Suitable")),AND(Inputs!$E$32="Bored Cast in Place Concrete",$A$42="Number of Piles"),(IF(SUMPRODUCT(--ISNUMBER(Pile!$AX$336:$AX$341)),Pile!$AQ$336,IF(SUMPRODUCT(--ISNUMBER(Pile!$AX$342:$AX$347)),Pile!$AQ$342,IF(SUMPRODUCT(--ISNUMBER(Pile!$AX$348:$AX$353)),Pile!$AQ$348,IF(SUMPRODUCT(--ISNUMBER(Pile!$AX$354:$AX$359)),Pile!$AQ$354,"Not Suitable"))))))))</f>
        <v>63</v>
      </c>
      <c r="F63" s="1209" cm="1">
        <f t="array" ref="F63">_xlfn.SINGLE(IF(SUMPRODUCT(--ISNUMBER(Pile!$AZ$336:$AZ$359))&lt;=0,"Not Suitable",_xlfn.IFS(AND(OR(Inputs!$E$32="Continuous Flight Auger",Inputs!$E$32="All Types"),$A$42="Concrete Volume"),(IF(MIN(Pile!$AZ$336:$AZ$359)&gt;0,MIN(Pile!$AZ$336:$AZ$359),"Not Suitable")),AND(OR(Inputs!$E$32="Continuous Flight Auger",Inputs!$E$32="All Types"),$A$42="Number of Piles"),(IF(Pile!#REF!=Pile!$AQ$336,MIN(Pile!$AZ$336:$AZ$341),IF(Pile!#REF!=Pile!$AQ$342,MIN(Pile!$AZ$342:$AZ$347),IF(Pile!#REF!=Pile!$AQ$348,MIN(Pile!$AZ$348:$AZ$353),IF(Pile!#REF!=Pile!$AQ$354,MIN(Pile!$AZ$354:$AZ$359),"Not Suitable"))))),AND(Inputs!$E$32="Driven Precast Concrete",$A$42="Concrete Volume"),(IF(MIN(Pile!$AY$336:$AY$359)&gt;0,MIN(Pile!$AY$336:$AY$359),"Not Suitable")),AND(Inputs!$E$32="Driven Precast Concrete",$A$42="Number of Piles"),(IF(Pile!#REF!=Pile!$AQ$336,MIN(Pile!$AY$336:$AY$341),IF(Pile!#REF!=Pile!$AQ$342,MIN(Pile!$AY$342:$AY$347),IF(Pile!#REF!=Pile!$AQ$348,MIN(Pile!$AY$348:$AY$353),IF(Pile!#REF!=Pile!$AQ$354,MIN(Pile!$AY$354:$AY$359),"Not Suitable"))))),AND(Inputs!$E$32="Bored Cast in Place Concrete",$A$42="Concrete Volume"),(IF(MIN(Pile!$AX$336:$AX$359)&gt;0,MIN(Pile!$AX$336:$AX$359),"Not Suitable")),AND(Inputs!$E$32="Bored Cast in Place Concrete",$A$42="Number of Piles"),(IF(Pile!#REF!=Pile!$AQ$336,MIN(Pile!$AX$336:$AX$341),IF(Pile!#REF!=Pile!$AQ$342,MIN(Pile!$AX$342:$AX$347),IF(Pile!#REF!=Pile!$AQ$348,MIN(Pile!$AX$348:$AX$353),IF(Pile!#REF!=Pile!$AQ$354,MIN(Pile!$AX$354:$AX$359),"Not Suitable"))))))))</f>
        <v>170.70368043882976</v>
      </c>
      <c r="G63" s="1198"/>
      <c r="H63" s="572" t="s">
        <v>1932</v>
      </c>
      <c r="I63" s="1208" cm="1">
        <f t="array" ref="I63">_xlfn.SINGLE(IF(SUMPRODUCT(--ISNUMBER(Pile!$BM$336:$BM$359))&lt;=0,"Not Suitable",_xlfn.IFS(AND(OR(Inputs!$E$32="Continuous Flight Auger",Inputs!$E$32="All Types"),$A$42="Concrete Volume"),(IFERROR(_xlfn.SINGLE(INDEX(Pile!$BC$336:$BC$359,_xlfn.AGGREGATE(15,3,((Pile!$BM$336:$BM$359=M63)/(Pile!$BM$336:$BM$359=M63)*ROW(Pile!$BM$336:$BM$359))-ROW(Pile!$BC$335),ROWS(H63)))),"Not Suitable")),AND(OR(Inputs!$E$32="Continuous Flight Auger",Inputs!$E$32="All Types"),$A$42="Number of Piles"),(IFERROR(_xlfn.SINGLE(INDEX(Pile!$BC$336:$BC$359,_xlfn.AGGREGATE(15,3,((Pile!$BM$336:$BM$359=M63)/(Pile!$BM$336:$BM$359=M63)*ROW(Pile!$BM$336:$BM$359))-ROW(Pile!$BC$335),ROWS(H63)))),"Not Suitable")),AND(Inputs!$E$32="Driven Precast Concrete",$A$42="Concrete Volume"),(IFERROR(_xlfn.SINGLE(INDEX(Pile!$BC$336:$BC$359,_xlfn.AGGREGATE(15,3,((Pile!$BL$336:$BL$359=M63)/(Pile!$BL$336:$BL$359=M63)*ROW(Pile!$BL$336:$BL$359))-ROW(Pile!$BC$335),ROWS(H63)))),"Not Suitable")),AND(Inputs!$E$32="Driven Precast Concrete",$A$42="Number of Piles"),(IFERROR(_xlfn.SINGLE(INDEX(Pile!$BC$336:$BC$359,_xlfn.AGGREGATE(15,3,((Pile!$BL$336:$BL$359=M63)/(Pile!$BL$336:$BL$359=M63)*ROW(Pile!$BL$336:$BL$359))-ROW(Pile!$BC$335),ROWS(H63)))),"Not Suitable")),AND(Inputs!$E$32="Bored Cast in Place Concrete",$A$42="Concrete Volume"),(IFERROR(_xlfn.SINGLE(INDEX(Pile!$BC$336:$BC$359,_xlfn.AGGREGATE(15,3,((Pile!$BK$336:$BK$359=M63)/(Pile!$BK$336:$BK$359=M63)*ROW(Pile!$BK$336:$BK$359))-ROW(Pile!$BC$335),ROWS(H63)))),"Not Suitable")),AND(Inputs!$E$32="Bored Cast in Place Concrete",$A$42="Number of Piles"),(IFERROR(_xlfn.SINGLE(INDEX(Pile!$BC$336:$BC$359,_xlfn.AGGREGATE(15,3,((Pile!$BK$336:$BK$359=M63)/(Pile!$BK$336:$BK$359=M63)*ROW(Pile!$BK$336:$BK$359))-ROW(Pile!$BC$335),ROWS(H63)))),"Not Suitable")))))</f>
        <v>450</v>
      </c>
      <c r="J63" s="1209">
        <f>IF(M63="Not Suitable","Not Suitable",M63/(L63*PI()*(I63/2000)^2))</f>
        <v>18.536776513153224</v>
      </c>
      <c r="K63" s="1208" t="str" cm="1">
        <f t="array" ref="K63">_xlfn.SINGLE(IF(SUMPRODUCT(--ISNUMBER(Pile!$BM$336:$BM$359))&lt;=0,"Not Suitable",_xlfn.IFS(AND(OR(Inputs!$E$32="Continuous Flight Auger",Inputs!$E$32="All Types"),$A$42="Concrete Volume"),(IFERROR(_xlfn.SINGLE(INDEX(Pile!$BB$336:$BB$359,_xlfn.AGGREGATE(15,3,((Pile!$BM$336:$BM$359=Pile!#REF!)/(Pile!$BM$336:$BM$359=Pile!#REF!)*ROW(Pile!$BM$336:$BM$359))-ROW(Pile!$BC$335),ROWS(Pile!#REF!)))),"Not Suitable")),AND(OR(Inputs!$E$32="Continuous Flight Auger",Inputs!$E$32="All Types"),$A$42="Number of Piles"),(IF(SUMPRODUCT(--ISNUMBER(Pile!$BM$336:$BM$341)),Pile!$BB$336,IF(SUMPRODUCT(--ISNUMBER(Pile!$BM$342:$BM$347)),Pile!$BB$342,IF(SUMPRODUCT(--ISNUMBER(Pile!$BM$348:$BM$353)),Pile!$BB$348,IF(SUMPRODUCT(--ISNUMBER(Pile!$BM$354:$BM$359)),Pile!$BB$354,"Not Suitable"))))),AND(Inputs!$E$32="Driven Precast Concrete",$A$42="Concrete Volume"),(IFERROR(_xlfn.SINGLE(INDEX(Pile!$BB$336:$BB$359,_xlfn.AGGREGATE(15,3,((Pile!$BL$336:$BL$359=Pile!#REF!)/(Pile!$BL$336:$BL$359=Pile!#REF!)*ROW(Pile!$BL$336:$BL$359))-ROW(Pile!$BC$335),ROWS(Pile!#REF!)))),"Not Suitable")),AND(Inputs!$E$32="Driven Precast Concrete",$A$42="Number of Piles"),(IF(SUMPRODUCT(--ISNUMBER(Pile!$BL$336:$BL$341)),Pile!$BB$336,IF(SUMPRODUCT(--ISNUMBER(Pile!$BL$342:$BL$347)),Pile!$BB$342,IF(SUMPRODUCT(--ISNUMBER(Pile!$BL$348:$BL$353)),Pile!$BB$348,IF(SUMPRODUCT(--ISNUMBER(Pile!$BL$354:$BL$359)),Pile!$BB$354,"Not Suitable"))))),AND(Inputs!$E$32="Bored Cast in Place Concrete",$A$42="Concrete Volume"),(IFERROR(_xlfn.SINGLE(INDEX(Pile!$BB$336:$BB$359,_xlfn.AGGREGATE(15,3,((Pile!$BK$336:$BK$359=M63)/(Pile!$BK$336:$BK$359=M63)*ROW(Pile!$BK$336:$BK$359))-ROW(Pile!$BC$335),ROWS(Pile!#REF!)))),"Not Suitable")),AND(Inputs!$E$32="Bored Cast in Place Concrete",$A$42="Number of Piles"),(IF(SUMPRODUCT(--ISNUMBER(Pile!$BK$336:$BK$341)),Pile!$BB$336,IF(SUMPRODUCT(--ISNUMBER(Pile!$BK$342:$BK$347)),Pile!$BB$342,IF(SUMPRODUCT(--ISNUMBER(Pile!$BK$348:$BK$353)),Pile!$BB$348,IF(SUMPRODUCT(--ISNUMBER(Pile!$BK$354:$BK$359)),Pile!$BB$354,"Not Suitable"))))))))</f>
        <v>Not Suitable</v>
      </c>
      <c r="L63" s="1208" cm="1">
        <f t="array" ref="L63">_xlfn.SINGLE(IF(SUMPRODUCT(--ISNUMBER(Pile!$BM$336:$BM$359))&lt;=0,"Not Suitable",_xlfn.IFS(AND(OR(Inputs!$E$32="Continuous Flight Auger",Inputs!$E$32="All Types"),$A$42="Concrete Volume"),(IFERROR(_xlfn.SINGLE(INDEX(Pile!$BD$336:$BD$359,_xlfn.AGGREGATE(15,3,((Pile!$BM$336:$BM$359=M63)/(Pile!$BM$336:$BM$359=M63)*ROW(Pile!$BM$336:$BM$359))-ROW(Pile!$BC$335),ROWS(H63)))),"Not Suitable")),AND(OR(Inputs!$E$32="Continuous Flight Auger",Inputs!$E$32="All Types"),$A$42="Number of Piles"),(IF(SUMPRODUCT(--ISNUMBER(Pile!$BM$336:$BM$341)),Pile!$BD$336,IF(SUMPRODUCT(--ISNUMBER(Pile!$BM$342:$BM$347)),Pile!$BD$342,IF(SUMPRODUCT(--ISNUMBER(Pile!$BM$348:$BM$353)),Pile!$BD$348,IF(SUMPRODUCT(--ISNUMBER(Pile!$BM$354:$BM$359)),Pile!$BD$354,"Not Suitable"))))),AND(Inputs!$E$32="Driven Precast Concrete",$A$42="Concrete Volume"),(IFERROR(_xlfn.SINGLE(INDEX(Pile!$BD$336:$BD$359,_xlfn.AGGREGATE(15,3,((Pile!$BL$336:$BL$359=M63)/(Pile!$BL$336:$BL$359=M63)*ROW(Pile!$BL$336:$BL$359))-ROW(Pile!$BC$335),ROWS(H63)))),"Not Suitable")),AND(Inputs!$E$32="Driven Precast Concrete",$A$42="Number of Piles"),(IF(SUMPRODUCT(--ISNUMBER(Pile!$BL$336:$BL$341)),Pile!$BD$336,IF(SUMPRODUCT(--ISNUMBER(Pile!$BL$342:$BL$347)),Pile!$BD$342,IF(SUMPRODUCT(--ISNUMBER(Pile!$BL$348:$BL$353)),Pile!$BD$348,IF(SUMPRODUCT(--ISNUMBER(Pile!$BL$354:$BL$359)),Pile!$BD$354,"Not Suitable"))))),AND(Inputs!$E$32="Bored Cast in Place Concrete",$A$42="Concrete Volume"),(IFERROR(_xlfn.SINGLE(INDEX(Pile!$BD$336:$BD$359,_xlfn.AGGREGATE(15,3,((Pile!$BK$336:$BK$359=M63)/(Pile!$BK$336:$BK$359=M63)*ROW(Pile!$BK$336:$BK$359))-ROW(Pile!$BC$335),ROWS(H63)))),"Not Suitable")),AND(Inputs!$E$32="Bored Cast in Place Concrete",$A$42="Number of Piles"),(IF(SUMPRODUCT(--ISNUMBER(Pile!$BK$336:$BK$341)),Pile!$BD$336,IF(SUMPRODUCT(--ISNUMBER(Pile!$BK$342:$BK$347)),Pile!$BD$342,IF(SUMPRODUCT(--ISNUMBER(Pile!$BK$348:$BK$353)),Pile!$BD$348,IF(SUMPRODUCT(--ISNUMBER(Pile!$BK$354:$BK$359)),Pile!$BD$354,"Not Suitable"))))))))</f>
        <v>63</v>
      </c>
      <c r="M63" s="1209" cm="1">
        <f t="array" ref="M63">_xlfn.SINGLE(IF(SUMPRODUCT(--ISNUMBER(Pile!$BM$336:$BM$359))&lt;=0,"Not Suitable",_xlfn.IFS(AND(OR(Inputs!$E$32="Continuous Flight Auger",Inputs!$E$32="All Types"),$A$42="Concrete Volume"),(IF(MIN(Pile!$BM$336:$BM$359)&gt;0,MIN(Pile!$BM$336:$BM$359),"Not Suitable")),AND(OR(Inputs!$E$32="Continuous Flight Auger",Inputs!$E$32="All Types"),$A$42="Number of Piles"),(IF(Pile!#REF!=Pile!$BD$336,MIN(Pile!$BM$336:$BM$341),IF(Pile!#REF!=Pile!$BD$342,MIN(Pile!$BM$342:$BM$347),IF(Pile!#REF!=Pile!$BD$348,MIN(Pile!$BM$348:$BM$353),IF(Pile!#REF!=Pile!$BD$354,MIN(Pile!$BM$354:$BM$359),"Not Suitable"))))),AND(Inputs!$E$32="Driven Precast Concrete",$A$42="Concrete Volume"),(IF(MIN(Pile!$BL$336:$BL$359)&gt;0,MIN(Pile!$BL$336:$BL$359),"Not Suitable")),AND(Inputs!$E$32="Driven Precast Concrete",$A$42="Number of Piles"),(IF(Pile!#REF!=Pile!$BD$336,MIN(Pile!$BL$336:$BL$341),IF(Pile!#REF!=Pile!$BD$342,MIN(Pile!$BL$342:$BL$347),IF(Pile!#REF!=Pile!$BD$348,MIN(Pile!$BL$348:$BL$353),IF(Pile!#REF!=Pile!$BD$354,MIN(Pile!$BL$354:$BL$359),"Not Suitable"))))),AND(Inputs!$E$32="Bored Cast in Place Concrete",$A$42="Concrete Volume"),(IF(MIN(Pile!$BK$336:$BK$359)&gt;0,MIN(Pile!$BK$336:$BK$359),"Not Suitable")),AND(Inputs!$E$32="Bored Cast in Place Concrete",$A$42="Number of Piles"),(IF(Pile!#REF!=Pile!$BD$336,MIN(Pile!$BK$336:$BK$341),IF(Pile!#REF!=Pile!$BD$342,MIN(Pile!$BK$342:$BK$347),IF(Pile!#REF!=Pile!$BD$348,MIN(Pile!$BK$348:$BK$353),IF(Pile!#REF!=Pile!$BD$354,MIN(Pile!$BK$354:$BK$359),"Not Suitable"))))))))</f>
        <v>185.73325604314417</v>
      </c>
      <c r="N63" s="1198"/>
      <c r="O63" s="572" t="s">
        <v>1932</v>
      </c>
      <c r="P63" s="1208" cm="1">
        <f t="array" ref="P63">_xlfn.SINGLE(IF(SUMPRODUCT(--ISNUMBER(Pile!$BZ$336:$BZ$359))&lt;=0,"Not Suitable",_xlfn.IFS(AND(OR(Inputs!$E$32="Continuous Flight Auger",Inputs!$E$32="All Types"),$A$42="Concrete Volume"),(IFERROR(_xlfn.SINGLE(INDEX(Pile!$BP$336:$BP$359,_xlfn.AGGREGATE(15,3,((Pile!$BZ$336:$BZ$359=T63)/(Pile!$BZ$336:$BZ$359=T63)*ROW(Pile!$BZ$336:$BZ$359))-ROW(Pile!$BP$335),ROWS(O63)))),"Not Suitable")),AND(OR(Inputs!$E$32="Continuous Flight Auger",Inputs!$E$32="All Types"),$A$42="Number of Piles"),(IFERROR(_xlfn.SINGLE(INDEX(Pile!$BP$336:$BP$359,_xlfn.AGGREGATE(15,3,((Pile!$BZ$336:$BZ$359=T63)/(Pile!$BZ$336:$BZ$359=T63)*ROW(Pile!$BZ$336:$BZ$359))-ROW(Pile!$BP$335),ROWS(O63)))),"Not Suitable")),AND(Inputs!$E$32="Driven Precast Concrete",$A$42="Concrete Volume"),(IFERROR(_xlfn.SINGLE(INDEX(Pile!$BP$336:$BP$359,_xlfn.AGGREGATE(15,3,((Pile!$BY$336:$BY$359=T63)/(Pile!$BY$336:$BY$359=T63)*ROW(Pile!$BY$336:$BY$359))-ROW(Pile!$BP$335),ROWS(O63)))),"Not Suitable")),AND(Inputs!$E$32="Driven Precast Concrete",$A$42="Number of Piles"),(IFERROR(_xlfn.SINGLE(INDEX(Pile!$BP$336:$BP$359,_xlfn.AGGREGATE(15,3,((Pile!$BY$336:$BY$359=T63)/(Pile!$BY$336:$BY$359=T63)*ROW(Pile!$BY$336:$BY$359))-ROW(Pile!$BP$335),ROWS(O63)))),"Not Suitable")),AND(Inputs!$E$32="Bored Cast in Place Concrete",$A$42="Concrete Volume"),(IFERROR(_xlfn.SINGLE(INDEX(Pile!$BP$336:$BP$359,_xlfn.AGGREGATE(15,3,((Pile!$BX$336:$BX$359=T63)/(Pile!$BX$336:$BX$359=T63)*ROW(Pile!$BX$336:$BX$359))-ROW(Pile!$BP$335),ROWS(O63)))),"Not Suitable")),AND(Inputs!$E$32="Bored Cast in Place Concrete",$A$42="Number of Piles"),(IFERROR(_xlfn.SINGLE(INDEX(Pile!$BP$336:$BP$359,_xlfn.AGGREGATE(15,3,((Pile!$BX$336:$BX$359=T63)/(Pile!$BX$336:$BX$359=T63)*ROW(Pile!$BX$336:$BX$359))-ROW(Pile!$BP$335),ROWS(O63)))),"Not Suitable")))))</f>
        <v>450</v>
      </c>
      <c r="Q63" s="1209">
        <f>IF(T63="Not Suitable","Not Suitable",T63/(S63*PI()*(P63/2000)^2))</f>
        <v>18.536776513153224</v>
      </c>
      <c r="R63" s="1208" t="str" cm="1">
        <f t="array" ref="R63">_xlfn.SINGLE(IF(SUMPRODUCT(--ISNUMBER(Pile!$BZ$336:$BZ$359))&lt;=0,"Not Suitable",_xlfn.IFS(AND(OR(Inputs!$E$32="Continuous Flight Auger",Inputs!$E$32="All Types"),$A$42="Concrete Volume"),(IFERROR(_xlfn.SINGLE(INDEX(Pile!$BO$336:$BO$359,_xlfn.AGGREGATE(15,3,((Pile!$BZ$336:$BZ$359=Pile!#REF!)/(Pile!$BZ$336:$BZ$359=Pile!#REF!)*ROW(Pile!$BZ$336:$BZ$359))-ROW(Pile!$BP$335),ROWS(Pile!#REF!)))),"Not Suitable")),AND(OR(Inputs!$E$32="Continuous Flight Auger",Inputs!$E$32="All Types"),$A$42="Number of Piles"),(IF(SUMPRODUCT(--ISNUMBER(Pile!$BZ$336:$BZ$341)),Pile!$BO$336,IF(SUMPRODUCT(--ISNUMBER(Pile!$BZ$342:$BZ$347)),Pile!$BO$342,IF(SUMPRODUCT(--ISNUMBER(Pile!$BZ$348:$BZ$353)),Pile!$BO$348,IF(SUMPRODUCT(--ISNUMBER(Pile!$BZ$354:$BZ$359)),Pile!$BO$354,"Not Suitable"))))),AND(Inputs!$E$32="Driven Precast Concrete",$A$42="Concrete Volume"),(IFERROR(_xlfn.SINGLE(INDEX(Pile!$BO$336:$BO$359,_xlfn.AGGREGATE(15,3,((Pile!$BY$336:$BY$359=Pile!#REF!)/(Pile!$BY$336:$BY$359=Pile!#REF!)*ROW(Pile!$BY$336:$BY$359))-ROW(Pile!$BP$335),ROWS(Pile!#REF!)))),"Not Suitable")),AND(Inputs!$E$32="Driven Precast Concrete",$A$42="Number of Piles"),(IF(SUMPRODUCT(--ISNUMBER(Pile!$BY$336:$BY$341)),Pile!$BO$336,IF(SUMPRODUCT(--ISNUMBER(Pile!$BY$342:$BY$347)),Pile!$BO$342,IF(SUMPRODUCT(--ISNUMBER(Pile!$BY$348:$BY$353)),Pile!$BO$348,IF(SUMPRODUCT(--ISNUMBER(Pile!$BY$354:$BY$359)),Pile!$BO$354,"Not Suitable"))))),AND(Inputs!$E$32="Bored Cast in Place Concrete",$A$42="Concrete Volume"),(IFERROR(_xlfn.SINGLE(INDEX(Pile!$BO$336:$BO$359,_xlfn.AGGREGATE(15,3,((Pile!$BX$336:$BX$359=T63)/(Pile!$BX$336:$BX$359=T63)*ROW(Pile!$BX$336:$BX$359))-ROW(Pile!$BP$335),ROWS(Pile!#REF!)))),"Not Suitable")),AND(Inputs!$E$32="Bored Cast in Place Concrete",$A$42="Number of Piles"),(IF(SUMPRODUCT(--ISNUMBER(Pile!$BX$336:$BX$341)),Pile!$BO$336,IF(SUMPRODUCT(--ISNUMBER(Pile!$BX$342:$BX$347)),Pile!$BO$342,IF(SUMPRODUCT(--ISNUMBER(Pile!$BX$348:$BX$353)),Pile!$BO$348,IF(SUMPRODUCT(--ISNUMBER(Pile!$BX$354:$BX$359)),Pile!$BO$354,"Not Suitable"))))))))</f>
        <v>Not Suitable</v>
      </c>
      <c r="S63" s="1208" cm="1">
        <f t="array" ref="S63">_xlfn.SINGLE(IF(SUMPRODUCT(--ISNUMBER(Pile!$BZ$336:$BZ$359))&lt;=0,"Not Suitable",_xlfn.IFS(AND(OR(Inputs!$E$32="Continuous Flight Auger",Inputs!$E$32="All Types"),$A$42="Concrete Volume"),(IFERROR(_xlfn.SINGLE(INDEX(Pile!$BQ$336:$BQ$359,_xlfn.AGGREGATE(15,3,((Pile!$BZ$336:$BZ$359=T63)/(Pile!$BZ$336:$BZ$359=T63)*ROW(Pile!$BZ$336:$BZ$359))-ROW(Pile!$BP$335),ROWS(O63)))),"Not Suitable")),AND(OR(Inputs!$E$32="Continuous Flight Auger",Inputs!$E$32="All Types"),$A$42="Number of Piles"),(IF(SUMPRODUCT(--ISNUMBER(Pile!$BZ$336:$BZ$341)),Pile!$BQ$336,IF(SUMPRODUCT(--ISNUMBER(Pile!$BZ$342:$BZ$347)),Pile!$BQ$342,IF(SUMPRODUCT(--ISNUMBER(Pile!$BZ$348:$BZ$353)),Pile!$BQ$348,IF(SUMPRODUCT(--ISNUMBER(Pile!$BZ$354:$BZ$359)),Pile!$BQ$354,"Not Suitable"))))),AND(Inputs!$E$32="Driven Precast Concrete",$A$42="Concrete Volume"),(IFERROR(_xlfn.SINGLE(INDEX(Pile!$BQ$336:$BQ$359,_xlfn.AGGREGATE(15,3,((Pile!$BY$336:$BY$359=T63)/(Pile!$BY$336:$BY$359=T63)*ROW(Pile!$BY$336:$BY$359))-ROW(Pile!$BP$335),ROWS(O63)))),"Not Suitable")),AND(Inputs!$E$32="Driven Precast Concrete",$A$42="Number of Piles"),(IF(SUMPRODUCT(--ISNUMBER(Pile!$BY$336:$BY$341)),Pile!$BQ$336,IF(SUMPRODUCT(--ISNUMBER(Pile!$BY$342:$BY$347)),Pile!$BQ$342,IF(SUMPRODUCT(--ISNUMBER(Pile!$BY$348:$BY$353)),Pile!$BQ$348,IF(SUMPRODUCT(--ISNUMBER(Pile!$BY$354:$BY$359)),Pile!$BQ$354,"Not Suitable"))))),AND(Inputs!$E$32="Bored Cast in Place Concrete",$A$42="Concrete Volume"),(IFERROR(_xlfn.SINGLE(INDEX(Pile!$BQ$336:$BQ$359,_xlfn.AGGREGATE(15,3,((Pile!$BX$336:$BX$359=T63)/(Pile!$BX$336:$BX$359=T63)*ROW(Pile!$BX$336:$BX$359))-ROW(Pile!$BP$335),ROWS(O63)))),"Not Suitable")),AND(Inputs!$E$32="Bored Cast in Place Concrete",$A$42="Number of Piles"),(IF(SUMPRODUCT(--ISNUMBER(Pile!$BX$336:$BX$341)),Pile!$BQ$336,IF(SUMPRODUCT(--ISNUMBER(Pile!$BX$342:$BX$347)),Pile!$BQ$342,IF(SUMPRODUCT(--ISNUMBER(Pile!$BX$348:$BX$353)),Pile!$BQ$348,IF(SUMPRODUCT(--ISNUMBER(Pile!$BX$354:$BX$359)),Pile!$BQ$354,"Not Suitable"))))))))</f>
        <v>63</v>
      </c>
      <c r="T63" s="1209" cm="1">
        <f t="array" ref="T63">_xlfn.SINGLE(IF(SUMPRODUCT(--ISNUMBER(Pile!$BZ$336:$BZ$359))&lt;=0,"Not Suitable",_xlfn.IFS(AND(OR(Inputs!$E$32="Continuous Flight Auger",Inputs!$E$32="All Types"),$A$42="Concrete Volume"),(IF(MIN(Pile!$BZ$336:$BZ$359)&gt;0,MIN(Pile!$BZ$336:$BZ$359),"Not Suitable")),AND(OR(Inputs!$E$32="Continuous Flight Auger",Inputs!$E$32="All Types"),$A$42="Number of Piles"),(IF(Pile!#REF!=Pile!$BQ$336,MIN(Pile!$BZ$336:$BZ$341),IF(Pile!#REF!=Pile!$BQ$342,MIN(Pile!$BZ$342:$BZ$347),IF(Pile!#REF!=Pile!$BQ$348,MIN(Pile!$BZ$348:$BZ$353),IF(Pile!#REF!=Pile!$BQ$354,MIN(Pile!$BZ$354:$BZ$359),"Not Suitable"))))),AND(Inputs!$E$32="Driven Precast Concrete",$A$42="Concrete Volume"),(IF(MIN(Pile!$BY$336:$BY$359)&gt;0,MIN(Pile!$BY$336:$BY$359),"Not Suitable")),AND(Inputs!$E$32="Driven Precast Concrete",$A$42="Number of Piles"),(IF(Pile!#REF!=Pile!$BQ$336,MIN(Pile!$BY$336:$BY$341),IF(Pile!#REF!=Pile!$BQ$342,MIN(Pile!$BY$342:$BY$347),IF(Pile!#REF!=Pile!$BQ$348,MIN(Pile!$BY$348:$BY$353),IF(Pile!#REF!=Pile!$BQ$354,MIN(Pile!$BY$354:$BY$359),"Not Suitable"))))),AND(Inputs!$E$32="Bored Cast in Place Concrete",$A$42="Concrete Volume"),(IF(MIN(Pile!$BX$336:$BX$359)&gt;0,MIN(Pile!$BX$336:$BX$359),"Not Suitable")),AND(Inputs!$E$32="Bored Cast in Place Concrete",$A$42="Number of Piles"),(IF(Pile!#REF!=Pile!$BQ$336,MIN(Pile!$BX$336:$BX$341),IF(Pile!#REF!=Pile!$BQ$342,MIN(Pile!$BX$342:$BX$347),IF(Pile!#REF!=Pile!$BQ$348,MIN(Pile!$BX$348:$BX$353),IF(Pile!#REF!=Pile!$BQ$354,MIN(Pile!$BX$354:$BX$359),"Not Suitable"))))))))</f>
        <v>185.73325604314417</v>
      </c>
    </row>
    <row r="64" spans="1:74" s="314" customFormat="1" ht="15.75" thickBot="1">
      <c r="A64" s="572" t="s">
        <v>1933</v>
      </c>
      <c r="B64" s="1210" cm="1">
        <f t="array" ref="B64">_xlfn.SINGLE(IF(SUMPRODUCT(--ISNUMBER(Pile!$AZ$368:$AZ$391))&lt;=0,"Not Suitable",_xlfn.IFS(AND(OR(Inputs!$E$32="Continuous Flight Auger",Inputs!$E$32="All Types"),$A$42="Concrete Volume"),(IFERROR(_xlfn.SINGLE(INDEX(Pile!$AP$368:$AP$391,_xlfn.AGGREGATE(15,3,((Pile!$AZ$368:$AZ$391=F64)/(Pile!$AZ$368:$AZ$391=F64)*ROW(Pile!$AZ$368:$AZ$391))-ROW(Pile!$AP$367),ROWS(A64)))),"Not Suitable")),AND(OR(Inputs!$E$32="Continuous Flight Auger",Inputs!$E$32="All Types"),$A$42="Number of Piles"),(IFERROR(_xlfn.SINGLE(INDEX(Pile!$AP$368:$AP$391,_xlfn.AGGREGATE(15,3,((Pile!$AZ$368:$AZ$391=F64)/(Pile!$AZ$368:$AZ$391=F64)*ROW(Pile!$AZ$368:$AZ$391))-ROW(Pile!$AP$367),ROWS(A64)))),"Not Suitable")),AND(Inputs!$E$32="Driven Precast Concrete",$A$42="Concrete Volume"),(IFERROR(_xlfn.SINGLE(INDEX(Pile!$AP$368:$AP$391,_xlfn.AGGREGATE(15,3,((Pile!$AY$368:$AY$391=F64)/(Pile!$AY$368:$AY$391=F64)*ROW(Pile!$AY$368:$AY$391))-ROW(Pile!$AP$367),ROWS(A64)))),"Not Suitable")),AND(Inputs!$E$32="Driven Precast Concrete",$A$42="Number of Piles"),(IFERROR(_xlfn.SINGLE(INDEX(Pile!$AP$368:$AP$391,_xlfn.AGGREGATE(15,3,((Pile!$AY$368:$AY$391=F64)/(Pile!$AY$368:$AY$391=F64)*ROW(Pile!$AY$368:$AY$391))-ROW(Pile!$AP$367),ROWS(A64)))),"Not Suitable")),AND(Inputs!$E$32="Bored Cast in Place Concrete",$A$42="Concrete Volume"),(IFERROR(_xlfn.SINGLE(INDEX(Pile!$AP$368:$AP$391,_xlfn.AGGREGATE(15,3,((Pile!$AX$368:$AX$391=F64)/(Pile!$AX$368:$AX$391=F64)*ROW(Pile!$AX$368:$AX$391))-ROW(Pile!$AP$367),ROWS(A64)))),"Not Suitable")),AND(Inputs!$E$32="Bored Cast in Place Concrete",$A$42="Number of Piles"),(IFERROR(_xlfn.SINGLE(INDEX(Pile!$AP$368:$AP$391,_xlfn.AGGREGATE(15,3,((Pile!$AX$368:$AX$391=F64)/(Pile!$AX$368:$AX$391=F64)*ROW(Pile!$AX$368:$AX$391))-ROW(Pile!$AP$367),ROWS(A64)))),"Not Suitable")))))</f>
        <v>450</v>
      </c>
      <c r="C64" s="1211">
        <f>IF(F64="Not Suitable","Not Suitable",F64/(E64*PI()*(B64/2000)^2))</f>
        <v>17.036776513153224</v>
      </c>
      <c r="D64" s="1210" cm="1">
        <f t="array" ref="D64">_xlfn.SINGLE(IF(SUMPRODUCT(--ISNUMBER(Pile!$AZ$368:$AZ$391))&lt;=0,"Not Suitable",_xlfn.IFS(AND(OR(Inputs!$E$32="Continuous Flight Auger",Inputs!$E$32="All Types"),$A$42="Concrete Volume"),(IFERROR(_xlfn.SINGLE(INDEX(Pile!$AO$368:$AO$391,_xlfn.AGGREGATE(15,3,((Pile!$AZ$368:$AZ$391=F64)/(Pile!$AZ$368:$AZ$391=F64)*ROW(Pile!$AZ$368:$AZ$391))-ROW(Pile!$AP$367),ROWS(A64)))),"Not Suitable")),AND(OR(Inputs!$E$32="Continuous Flight Auger",Inputs!$E$32="All Types"),$A$42="Number of Piles"),(IF(SUMPRODUCT(--ISNUMBER(Pile!$AZ$368:$AZ$373)),Pile!$AO$368,IF(SUMPRODUCT(--ISNUMBER(Pile!$AZ$374:$AZ$379)),Pile!$AO$374,IF(SUMPRODUCT(--ISNUMBER(Pile!$AZ$380:$AZ$385)),Pile!$AO$380,IF(SUMPRODUCT(--ISNUMBER(Pile!$AZ$386:$AZ$391)),Pile!$AO$386,"Not Suitable"))))),AND(Inputs!$E$32="Driven Precast Concrete",$A$42="Concrete Volume"),(IFERROR(_xlfn.SINGLE(INDEX(Pile!$AO$368:$AO$391,_xlfn.AGGREGATE(15,3,((Pile!$AY$368:$AY$391=F64)/(Pile!$AY$368:$AY$391=F64)*ROW(Pile!$AY$368:$AY$391))-ROW(Pile!$AP$367),ROWS(A64)))),"Not Suitable")),AND(Inputs!$E$32="Driven Precast Concrete",$A$42="Number of Piles"),(IF(SUMPRODUCT(--ISNUMBER(Pile!$AY$368:$AY$373)),Pile!$AO$368,IF(SUMPRODUCT(--ISNUMBER(Pile!$AY$374:$AY$379)),Pile!$AO$374,IF(SUMPRODUCT(--ISNUMBER(Pile!$AY$380:$AY$385)),Pile!$AO$380,IF(SUMPRODUCT(--ISNUMBER(Pile!$AY$386:$AY$391)),Pile!$AO$386,"Not Suitable"))))),AND(Inputs!$E$32="Bored Cast in Place Concrete",$A$42="Concrete Volume"),(IFERROR(_xlfn.SINGLE(INDEX(Pile!$AO$368:$AO$391,_xlfn.AGGREGATE(15,3,((Pile!$AX$368:$AX$391=F64)/(Pile!$AX$368:$AX$391=F64)*ROW(Pile!$AX$368:$AX$391))-ROW(Pile!$AP$367),ROWS(A64)))),"Not Suitable")),AND(Inputs!$E$32="Bored Cast in Place Concrete",$A$42="Number of Piles"),(IF(SUMPRODUCT(--ISNUMBER(Pile!$AX$368:$AX$373)),Pile!$AO$368,IF(SUMPRODUCT(--ISNUMBER(Pile!$AX$374:$AX$379)),Pile!$AO$374,IF(SUMPRODUCT(--ISNUMBER(Pile!$AX$380:$AX$385)),Pile!$AO$380,IF(SUMPRODUCT(--ISNUMBER(Pile!$AX$386:$AX$391)),Pile!$AO$386,"Not Suitable"))))))))</f>
        <v>1</v>
      </c>
      <c r="E64" s="1210" cm="1">
        <f t="array" ref="E64">_xlfn.SINGLE(IF(SUMPRODUCT(--ISNUMBER(Pile!$AZ$368:$AZ$391))&lt;=0,"Not Suitable",_xlfn.IFS(AND(OR(Inputs!$E$32="Continuous Flight Auger",Inputs!$E$32="All Types"),$A$42="Concrete Volume"),(IFERROR(_xlfn.SINGLE(INDEX(Pile!$AQ$368:$AQ$391,_xlfn.AGGREGATE(15,3,((Pile!$AZ$368:$AZ$391=F64)/(Pile!$AZ$368:$AZ$391=F64)*ROW(Pile!$AZ$368:$AZ$391))-ROW(Pile!$AP$367),ROWS(A64)))),"Not Suitable")),AND(OR(Inputs!$E$32="Continuous Flight Auger",Inputs!$E$32="All Types"),$A$42="Number of Piles"),(IF(SUMPRODUCT(--ISNUMBER(Pile!$AZ$368:$AZ$373)),Pile!$AQ$368,IF(SUMPRODUCT(--ISNUMBER(Pile!$AZ$374:$AZ$379)),Pile!$AQ$374,IF(SUMPRODUCT(--ISNUMBER(Pile!$AZ$380:$AZ$385)),Pile!$AQ$380,IF(SUMPRODUCT(--ISNUMBER(Pile!$AZ$386:$AZ$391)),Pile!$AQ$386,"Not Suitable"))))),AND(Inputs!$E$32="Driven Precast Concrete",$A$42="Concrete Volume"),(IFERROR(_xlfn.SINGLE(INDEX(Pile!$AQ$368:$AQ$391,_xlfn.AGGREGATE(15,3,((Pile!$AY$368:$AY$391=F64)/(Pile!$AY$368:$AY$391=F64)*ROW(Pile!$AY$368:$AY$391))-ROW(Pile!$AP$367),ROWS(A64)))),"Not Suitable")),AND(Inputs!$E$32="Driven Precast Concrete",$A$42="Number of Piles"),(IF(SUMPRODUCT(--ISNUMBER(Pile!$AY$368:$AY$373)),Pile!$AQ$368,IF(SUMPRODUCT(--ISNUMBER(Pile!$AY$374:$AY$379)),Pile!$AQ$374,IF(SUMPRODUCT(--ISNUMBER(Pile!$AY$380:$AY$385)),Pile!$AQ$380,IF(SUMPRODUCT(--ISNUMBER(Pile!$AY$386:$AY$391)),Pile!$AQ$386,"Not Suitable"))))),AND(Inputs!$E$32="Bored Cast in Place Concrete",$A$42="Concrete Volume"),(IFERROR(_xlfn.SINGLE(INDEX(Pile!$AQ$368:$AQ$391,_xlfn.AGGREGATE(15,3,((Pile!$AX$368:$AX$391=F64)/(Pile!$AX$368:$AX$391=F64)*ROW(Pile!$AX$368:$AX$391))-ROW(Pile!$AP$367),ROWS(A64)))),"Not Suitable")),AND(Inputs!$E$32="Bored Cast in Place Concrete",$A$42="Number of Piles"),(IF(SUMPRODUCT(--ISNUMBER(Pile!$AX$368:$AX$373)),Pile!$AQ$368,IF(SUMPRODUCT(--ISNUMBER(Pile!$AX$374:$AX$379)),Pile!$AQ$374,IF(SUMPRODUCT(--ISNUMBER(Pile!$AX$380:$AX$385)),Pile!$AQ$380,IF(SUMPRODUCT(--ISNUMBER(Pile!$AX$386:$AX$391)),Pile!$AQ$386,"Not Suitable"))))))))</f>
        <v>32</v>
      </c>
      <c r="F64" s="1211" cm="1">
        <f t="array" ref="F64">_xlfn.SINGLE(IF(SUMPRODUCT(--ISNUMBER(Pile!$AZ$368:$AZ$391))&lt;=0,"Not Suitable",_xlfn.IFS(AND(OR(Inputs!$E$32="Continuous Flight Auger",Inputs!$E$32="All Types"),$A$42="Concrete Volume"),(IF(MIN(Pile!$AZ$368:$AZ$391)&gt;0,MIN(Pile!$AZ$368:$AZ$391), "Not Suitable")),AND(OR(Inputs!$E$32="Continuous Flight Auger",Inputs!$E$32="All Types"),$A$42="Number of Piles"),(IF(Pile!#REF!=Pile!$AQ$368,MIN(Pile!$AZ$368:$AZ$373),IF(Pile!#REF!=Pile!$AQ$374,MIN(Pile!$AZ$374:$AZ$379),IF(Pile!#REF!=Pile!$AQ$380,MIN(Pile!$AZ$380:$AZ$385),IF(Pile!#REF!=Pile!$AQ$386,MIN(Pile!$AZ$386:$AZ$391),"Not Suitable"))))),AND(Inputs!$E$32="Driven Precast Concrete",$A$42="Concrete Volume"),(IF(MIN(Pile!$AY$368:$AY$391)&gt;0,MIN(Pile!$AY$368:$AY$391), "Not Suitable")),AND(Inputs!$E$32="Driven Precast Concrete",$A$42="Number of Piles"),(IF(Pile!#REF!=Pile!$AQ$368,MIN(Pile!$AY$368:$AY$373),IF(Pile!#REF!=Pile!$AQ$374,MIN(Pile!$AY$374:$AY$379),IF(Pile!#REF!=Pile!$AQ$380,MIN(Pile!$AY$380:$AY$385),IF(Pile!#REF!=Pile!$AQ$386,MIN(Pile!$AY$386:$AY$391),"Not Suitable"))))),AND(Inputs!$E$32="Bored Cast in Place Concrete",$A$42="Concrete Volume"),(IF(MIN(Pile!$AX$368:$AX$391)&gt;0,MIN(Pile!$AX$368:$AX$391), "Not Suitable")),AND(Inputs!$E$32="Bored Cast in Place Concrete",$A$42="Number of Piles"),(IF(Pile!#REF!=Pile!$AQ$368,MIN(Pile!$AX$368:$AX$373),IF(Pile!#REF!=Pile!$AQ$374,MIN(Pile!$AX$374:$AX$379),IF(Pile!#REF!=Pile!$AQ$380,MIN(Pile!$AX$380:$AX$385),IF(Pile!#REF!=Pile!$AQ$386,MIN(Pile!$AX$386:$AX$391),"Not Suitable"))))))))</f>
        <v>86.706631334008762</v>
      </c>
      <c r="G64" s="1198"/>
      <c r="H64" s="572" t="s">
        <v>1933</v>
      </c>
      <c r="I64" s="1210" cm="1">
        <f t="array" ref="I64">_xlfn.SINGLE(IF(SUMPRODUCT(--ISNUMBER(Pile!$BM$368:$BM$391))&lt;=0,"Not Suitable",_xlfn.IFS(AND(OR(Inputs!$E$32="Continuous Flight Auger",Inputs!$E$32="All Types"),$A$42="Concrete Volume"),(IFERROR(_xlfn.SINGLE(INDEX(Pile!$BC$368:$BC$391,_xlfn.AGGREGATE(15,3,((Pile!$BM$368:$BM$391=M64)/(Pile!$BM$368:$BM$391=M64)*ROW(Pile!$BM$368:$BM$391))-ROW(Pile!$BC$367),ROWS(H64)))),"Not Suitable")),AND(OR(Inputs!$E$32="Continuous Flight Auger",Inputs!$E$32="All Types"),$A$42="Number of Piles"),(IFERROR(_xlfn.SINGLE(INDEX(Pile!$BC$368:$BC$391,_xlfn.AGGREGATE(15,3,((Pile!$BM$368:$BM$391=M64)/(Pile!$BM$368:$BM$391=M64)*ROW(Pile!$BM$368:$BM$391))-ROW(Pile!$BC$367),ROWS(H64)))),"Not Suitable")),AND(Inputs!$E$32="Driven Precast Concrete",$A$42="Concrete Volume"),(IFERROR(_xlfn.SINGLE(INDEX(Pile!$BC$368:$BC$391,_xlfn.AGGREGATE(15,3,((Pile!$BL$368:$BL$391=M64)/(Pile!$BL$368:$BL$391=M64)*ROW(Pile!$BL$368:$BL$391))-ROW(Pile!$BC$367),ROWS(H64)))),"Not Suitable")),AND(Inputs!$E$32="Driven Precast Concrete",$A$42="Number of Piles"),(IFERROR(_xlfn.SINGLE(INDEX(Pile!$BC$368:$BC$391,_xlfn.AGGREGATE(15,3,((Pile!$BL$368:$BL$391=M64)/(Pile!$BL$368:$BL$391=M64)*ROW(Pile!$BL$368:$BL$391))-ROW(Pile!$BC$367),ROWS(H64)))),"Not Suitable")),AND(Inputs!$E$32="Bored Cast in Place Concrete",$A$42="Concrete Volume"),(IFERROR(_xlfn.SINGLE(INDEX(Pile!$BC$368:$BC$391,_xlfn.AGGREGATE(15,3,((Pile!$BK$368:$BK$391=M64)/(Pile!$BK$368:$BK$391=M64)*ROW(Pile!$BK$368:$BK$391))-ROW(Pile!$BC$367),ROWS(H64)))),"Not Suitable")),AND(Inputs!$E$32="Bored Cast in Place Concrete",$A$42="Number of Piles"),(IFERROR(_xlfn.SINGLE(INDEX(Pile!$BC$368:$BC$391,_xlfn.AGGREGATE(15,3,((Pile!$BK$368:$BK$391=M64)/(Pile!$BK$368:$BK$391=M64)*ROW(Pile!$BK$368:$BK$391))-ROW(Pile!$BC$367),ROWS(H64)))),"Not Suitable")))))</f>
        <v>450</v>
      </c>
      <c r="J64" s="1211">
        <f>IF(M64="Not Suitable","Not Suitable",M64/(L64*PI()*(I64/2000)^2))</f>
        <v>17.036776513153224</v>
      </c>
      <c r="K64" s="1210" cm="1">
        <f t="array" ref="K64">_xlfn.SINGLE(IF(SUMPRODUCT(--ISNUMBER(Pile!$BM$368:$BM$391))&lt;=0,"Not Suitable",_xlfn.IFS(AND(OR(Inputs!$E$32="Continuous Flight Auger",Inputs!$E$32="All Types"),$A$42="Concrete Volume"),(IFERROR(_xlfn.SINGLE(INDEX(Pile!$BB$368:$BB$391,_xlfn.AGGREGATE(15,3,((Pile!$BM$368:$BM$391=M64)/(Pile!$BM$368:$BM$391=M64)*ROW(Pile!$BM$368:$BM$391))-ROW(Pile!$BC$367),ROWS(H64)))),"Not Suitable")),AND(OR(Inputs!$E$32="Continuous Flight Auger",Inputs!$E$32="All Types"),$A$42="Number of Piles"),(IF(SUMPRODUCT(--ISNUMBER(Pile!$BM$368:$BM$373)),Pile!$BB$368,IF(SUMPRODUCT(--ISNUMBER(Pile!$BM$374:$BM$379)),Pile!$BB$374,IF(SUMPRODUCT(--ISNUMBER(Pile!$BM$380:$BM$385)),Pile!$BB$380,IF(SUMPRODUCT(--ISNUMBER(Pile!$BM$386:$BM$391)),Pile!$BB$386,"Not Suitable"))))),AND(Inputs!$E$32="Driven Precast Concrete",$A$42="Concrete Volume"),(IFERROR(_xlfn.SINGLE(INDEX(Pile!$BB$368:$BB$391,_xlfn.AGGREGATE(15,3,((Pile!$BL$368:$BL$391=M64)/(Pile!$BL$368:$BL$391=M64)*ROW(Pile!$BL$368:$BL$391))-ROW(Pile!$BC$367),ROWS(H64)))),"Not Suitable")),AND(Inputs!$E$32="Driven Precast Concrete",$A$42="Number of Piles"),(IF(SUMPRODUCT(--ISNUMBER(Pile!$BL$368:$BL$373)),Pile!$BB$368,IF(SUMPRODUCT(--ISNUMBER(Pile!$BL$374:$BL$379)),Pile!$BB$374,IF(SUMPRODUCT(--ISNUMBER(Pile!$BL$380:$BL$385)),Pile!$BB$380,IF(SUMPRODUCT(--ISNUMBER(Pile!$BL$386:$BL$391)),Pile!$BB$386,"Not Suitable"))))),AND(Inputs!$E$32="Bored Cast in Place Concrete",$A$42="Concrete Volume"),(IFERROR(_xlfn.SINGLE(INDEX(Pile!$BB$368:$BB$391,_xlfn.AGGREGATE(15,3,((Pile!$BK$368:$BK$391=M64)/(Pile!$BK$368:$BK$391=M64)*ROW(Pile!$BK$368:$BK$391))-ROW(Pile!$BC$367),ROWS(H64)))),"Not Suitable")),AND(Inputs!$E$32="Bored Cast in Place Concrete",$A$42="Number of Piles"),(IF(SUMPRODUCT(--ISNUMBER(Pile!$BK$368:$BK$373)),Pile!$BB$368,IF(SUMPRODUCT(--ISNUMBER(Pile!$BK$374:$BK$379)),Pile!$BB$374,IF(SUMPRODUCT(--ISNUMBER(Pile!$BK$380:$BK$385)),Pile!$BB$380,IF(SUMPRODUCT(--ISNUMBER(Pile!$BK$386:$BK$391)),Pile!$BB$386,"Not Suitable"))))))))</f>
        <v>1</v>
      </c>
      <c r="L64" s="1210" cm="1">
        <f t="array" ref="L64">_xlfn.SINGLE(IF(SUMPRODUCT(--ISNUMBER(Pile!$BM$368:$BM$391))&lt;=0,"Not Suitable",_xlfn.IFS(AND(OR(Inputs!$E$32="Continuous Flight Auger",Inputs!$E$32="All Types"),$A$42="Concrete Volume"),(IFERROR(_xlfn.SINGLE(INDEX(Pile!$BD$368:$BD$391,_xlfn.AGGREGATE(15,3,((Pile!$BM$368:$BM$391=M64)/(Pile!$BM$368:$BM$391=M64)*ROW(Pile!$BM$368:$BM$391))-ROW(Pile!$BC$367),ROWS(H64)))),"Not Suitable")),AND(OR(Inputs!$E$32="Continuous Flight Auger",Inputs!$E$32="All Types"),$A$42="Number of Piles"),(IF(SUMPRODUCT(--ISNUMBER(Pile!$BM$368:$BM$373)),Pile!$BD$368,IF(SUMPRODUCT(--ISNUMBER(Pile!$BM$374:$BM$379)),Pile!$BD$374,IF(SUMPRODUCT(--ISNUMBER(Pile!$BM$380:$BM$385)),Pile!$BD$380,IF(SUMPRODUCT(--ISNUMBER(Pile!$BM$386:$BM$391)),Pile!$BD$386,"Not Suitable"))))),AND(Inputs!$E$32="Driven Precast Concrete",$A$42="Concrete Volume"),(IFERROR(_xlfn.SINGLE(INDEX(Pile!$BD$368:$BD$391,_xlfn.AGGREGATE(15,3,((Pile!$BL$368:$BL$391=M64)/(Pile!$BL$368:$BL$391=M64)*ROW(Pile!$BL$368:$BL$391))-ROW(Pile!$BC$367),ROWS(H64)))),"Not Suitable")),AND(Inputs!$E$32="Driven Precast Concrete",$A$42="Number of Piles"),(IF(SUMPRODUCT(--ISNUMBER(Pile!$BL$368:$BL$373)),Pile!$BD$368,IF(SUMPRODUCT(--ISNUMBER(Pile!$BL$374:$BL$379)),Pile!$BD$374,IF(SUMPRODUCT(--ISNUMBER(Pile!$BL$380:$BL$385)),Pile!$BD$380,IF(SUMPRODUCT(--ISNUMBER(Pile!$BL$386:$BL$391)),Pile!$BD$386,"Not Suitable"))))),AND(Inputs!$E$32="Bored Cast in Place Concrete",$A$42="Concrete Volume"),(IFERROR(_xlfn.SINGLE(INDEX(Pile!$BD$368:$BD$391,_xlfn.AGGREGATE(15,3,((Pile!$BK$368:$BK$391=M64)/(Pile!$BK$368:$BK$391=M64)*ROW(Pile!$BK$368:$BK$391))-ROW(Pile!$BC$367),ROWS(H64)))),"Not Suitable")),AND(Inputs!$E$32="Bored Cast in Place Concrete",$A$42="Number of Piles"),(IF(SUMPRODUCT(--ISNUMBER(Pile!$BK$368:$BK$373)),Pile!$BD$368,IF(SUMPRODUCT(--ISNUMBER(Pile!$BK$374:$BK$379)),Pile!$BD$374,IF(SUMPRODUCT(--ISNUMBER(Pile!$BK$380:$BK$385)),Pile!$BD$380,IF(SUMPRODUCT(--ISNUMBER(Pile!$BK$386:$BK$391)),Pile!$BD$386,"Not Suitable"))))))))</f>
        <v>32</v>
      </c>
      <c r="M64" s="1211" cm="1">
        <f t="array" ref="M64">_xlfn.SINGLE(IF(SUMPRODUCT(--ISNUMBER(Pile!$BM$368:$BM$391))&lt;=0,"Not Suitable",_xlfn.IFS(AND(OR(Inputs!$E$32="Continuous Flight Auger",Inputs!$E$32="All Types"),$A$42="Concrete Volume"),(IF(MIN(Pile!$BM$368:$BM$391)&gt;0,MIN(Pile!$BM$368:$BM$391), "Not Suitable")),AND(OR(Inputs!$E$32="Continuous Flight Auger",Inputs!$E$32="All Types"),$A$42="Number of Piles"),(IF(Pile!#REF!=Pile!$BD$368,MIN(Pile!$BM$368:$BM$373),IF(Pile!#REF!=Pile!$BD$374,MIN(Pile!$BM$374:$BM$379),IF(Pile!#REF!=Pile!$BD$380,MIN(Pile!$BM$380:$BM$385),IF(Pile!#REF!=Pile!$BD$386,MIN(Pile!$BM$386:$BM$391),"Not Suitable"))))),AND(Inputs!$E$32="Driven Precast Concrete",$A$42="Concrete Volume"),(IF(MIN(Pile!$BL$368:$BL$391)&gt;0,MIN(Pile!$BL$368:$BL$391), "Not Suitable")),AND(Inputs!$E$32="Driven Precast Concrete",$A$42="Number of Piles"),(IF(Pile!#REF!=Pile!$BD$368,MIN(Pile!$BL$368:$BL$373),IF(Pile!#REF!=Pile!$BD$374,MIN(Pile!$BL$374:$BL$379),IF(Pile!#REF!=Pile!$BD$380,MIN(Pile!$BL$380:$BL$385),IF(Pile!#REF!=Pile!$BD$386,MIN(Pile!$BL$386:$BL$391),"Not Suitable"))))),AND(Inputs!$E$32="Bored Cast in Place Concrete",$A$42="Concrete Volume"),(IF(MIN(Pile!$BK$368:$BK$391)&gt;0,MIN(Pile!$BK$368:$BK$391), "Not Suitable")),AND(Inputs!$E$32="Bored Cast in Place Concrete",$A$42="Number of Piles"),(IF(Pile!#REF!=Pile!$BD$368,MIN(Pile!$BK$368:$BK$373),IF(Pile!#REF!=Pile!$BD$374,MIN(Pile!$BK$374:$BK$379),IF(Pile!#REF!=Pile!$BD$380,MIN(Pile!$BK$380:$BK$385),IF(Pile!#REF!=Pile!$BD$386,MIN(Pile!$BK$386:$BK$391),"Not Suitable"))))))))</f>
        <v>86.706631334008762</v>
      </c>
      <c r="N64" s="1198"/>
      <c r="O64" s="572" t="s">
        <v>1933</v>
      </c>
      <c r="P64" s="1210" cm="1">
        <f t="array" ref="P64">_xlfn.SINGLE(IF(SUMPRODUCT(--ISNUMBER(Pile!$BZ$368:$BZ$391))&lt;=0,"Not Suitable",_xlfn.IFS(AND(OR(Inputs!$E$32="Continuous Flight Auger",Inputs!$E$32="All Types"),$A$42="Concrete Volume"),(IFERROR(_xlfn.SINGLE(INDEX(Pile!$BP$368:$BP$391,_xlfn.AGGREGATE(15,3,((Pile!$BZ$368:$BZ$391=T64)/(Pile!$BZ$368:$BZ$391=T64)*ROW(Pile!$BZ$368:$BZ$391))-ROW(Pile!$BP$367),ROWS(O64)))),"Not Suitable")),AND(OR(Inputs!$E$32="Continuous Flight Auger",Inputs!$E$32="All Types"),$A$42="Number of Piles"),(IFERROR(_xlfn.SINGLE(INDEX(Pile!$BP$368:$BP$391,_xlfn.AGGREGATE(15,3,((Pile!$BZ$368:$BZ$391=T64)/(Pile!$BZ$368:$BZ$391=T64)*ROW(Pile!$BZ$368:$BZ$391))-ROW(Pile!$BP$367),ROWS(O64)))),"Not Suitable")),AND(Inputs!$E$32="Driven Precast Concrete",$A$42="Concrete Volume"),(IFERROR(_xlfn.SINGLE(INDEX(Pile!$BP$368:$BP$391,_xlfn.AGGREGATE(15,3,((Pile!$BY$368:$BY$391=T64)/(Pile!$BY$368:$BY$391=T64)*ROW(Pile!$BY$368:$BY$391))-ROW(Pile!$BP$367),ROWS(O64)))),"Not Suitable")),AND(Inputs!$E$32="Driven Precast Concrete",$A$42="Number of Piles"),(IFERROR(_xlfn.SINGLE(INDEX(Pile!$BP$368:$BP$391,_xlfn.AGGREGATE(15,3,((Pile!$BY$368:$BY$391=T64)/(Pile!$BY$368:$BY$391=T64)*ROW(Pile!$BY$368:$BY$391))-ROW(Pile!$BP$367),ROWS(O64)))),"Not Suitable")),AND(Inputs!$E$32="Bored Cast in Place Concrete",$A$42="Concrete Volume"),(IFERROR(_xlfn.SINGLE(INDEX(Pile!$BP$368:$BP$391,_xlfn.AGGREGATE(15,3,((Pile!$BX$368:$BX$391=T64)/(Pile!$BX$368:$BX$391=T64)*ROW(Pile!$BX$368:$BX$391))-ROW(Pile!$BP$367),ROWS(O64)))),"Not Suitable")),AND(Inputs!$E$32="Bored Cast in Place Concrete",$A$42="Number of Piles"),(IFERROR(_xlfn.SINGLE(INDEX(Pile!$BP$368:$BP$391,_xlfn.AGGREGATE(15,3,((Pile!$BX$368:$BX$391=T64)/(Pile!$BX$368:$BX$391=T64)*ROW(Pile!$BX$368:$BX$391))-ROW(Pile!$BP$367),ROWS(O64)))),"Not Suitable")))))</f>
        <v>450</v>
      </c>
      <c r="Q64" s="1211">
        <f>IF(T64="Not Suitable","Not Suitable",T64/(S64*PI()*(P64/2000)^2))</f>
        <v>18.536776513153224</v>
      </c>
      <c r="R64" s="1210" cm="1">
        <f t="array" ref="R64">_xlfn.SINGLE(IF(SUMPRODUCT(--ISNUMBER(Pile!$BZ$368:$BZ$391))&lt;=0,"Not Suitable",_xlfn.IFS(AND(OR(Inputs!$E$32="Continuous Flight Auger",Inputs!$E$32="All Types"),$A$42="Concrete Volume"),(IFERROR(_xlfn.SINGLE(INDEX(Pile!$BO$368:$BO$391,_xlfn.AGGREGATE(15,3,((Pile!$BZ$368:$BZ$391=T64)/(Pile!$BZ$368:$BZ$391=T64)*ROW(Pile!$BZ$368:$BZ$391))-ROW(Pile!$BP$367),ROWS(O64)))),"Not Suitable")),AND(OR(Inputs!$E$32="Continuous Flight Auger",Inputs!$E$32="All Types"),$A$42="Number of Piles"),(IF(SUMPRODUCT(--ISNUMBER(Pile!$BZ$368:$BZ$373)),Pile!$BO$368,IF(SUMPRODUCT(--ISNUMBER(Pile!$BZ$374:$BZ$379)),Pile!$BO$374,IF(SUMPRODUCT(--ISNUMBER(Pile!$BZ$380:$BZ$385)),Pile!$BO$380,IF(SUMPRODUCT(--ISNUMBER(Pile!$BZ$386:$BZ$391)),Pile!$BO$386,"Not Suitable"))))),AND(Inputs!$E$32="Driven Precast Concrete",$A$42="Concrete Volume"),(IFERROR(_xlfn.SINGLE(INDEX(Pile!$BO$368:$BO$391,_xlfn.AGGREGATE(15,3,((Pile!$BY$368:$BY$391=T64)/(Pile!$BY$368:$BY$391=T64)*ROW(Pile!$BY$368:$BY$391))-ROW(Pile!$BP$367),ROWS(O64)))),"Not Suitable")),AND(Inputs!$E$32="Driven Precast Concrete",$A$42="Number of Piles"),(IF(SUMPRODUCT(--ISNUMBER(Pile!$BY$368:$BY$373)),Pile!$BO$368,IF(SUMPRODUCT(--ISNUMBER(Pile!$BY$374:$BY$379)),Pile!$BO$374,IF(SUMPRODUCT(--ISNUMBER(Pile!$BY$380:$BY$385)),Pile!$BO$380,IF(SUMPRODUCT(--ISNUMBER(Pile!$BY$386:$BY$391)),Pile!$BO$386,"Not Suitable"))))),AND(Inputs!$E$32="Bored Cast in Place Concrete",$A$42="Concrete Volume"),(IFERROR(_xlfn.SINGLE(INDEX(Pile!$BO$368:$BO$391,_xlfn.AGGREGATE(15,3,((Pile!$BX$368:$BX$391=T64)/(Pile!$BX$368:$BX$391=T64)*ROW(Pile!$BX$368:$BX$391))-ROW(Pile!$BP$367),ROWS(O64)))),"Not Suitable")),AND(Inputs!$E$32="Bored Cast in Place Concrete",$A$42="Number of Piles"),(IF(SUMPRODUCT(--ISNUMBER(Pile!$BX$368:$BX$373)),Pile!$BO$368,IF(SUMPRODUCT(--ISNUMBER(Pile!$BX$374:$BX$379)),Pile!$BO$374,IF(SUMPRODUCT(--ISNUMBER(Pile!$BX$380:$BX$385)),Pile!$BO$380,IF(SUMPRODUCT(--ISNUMBER(Pile!$BX$386:$BX$391)),Pile!$BO$386,"Not Suitable"))))))))</f>
        <v>1</v>
      </c>
      <c r="S64" s="1210" cm="1">
        <f t="array" ref="S64">_xlfn.SINGLE(IF(SUMPRODUCT(--ISNUMBER(Pile!$BZ$368:$BZ$391))&lt;=0,"Not Suitable",_xlfn.IFS(AND(OR(Inputs!$E$32="Continuous Flight Auger",Inputs!$E$32="All Types"),$A$42="Concrete Volume"),(IFERROR(_xlfn.SINGLE(INDEX(Pile!$BQ$368:$BQ$391,_xlfn.AGGREGATE(15,3,((Pile!$BZ$368:$BZ$391=T64)/(Pile!$BZ$368:$BZ$391=T64)*ROW(Pile!$BZ$368:$BZ$391))-ROW(Pile!$BP$367),ROWS(O64)))),"Not Suitable")),AND(OR(Inputs!$E$32="Continuous Flight Auger",Inputs!$E$32="All Types"),$A$42="Number of Piles"),(IF(SUMPRODUCT(--ISNUMBER(Pile!$BZ$368:$BZ$373)),Pile!$BQ$368,IF(SUMPRODUCT(--ISNUMBER(Pile!$BZ$374:$BZ$379)),Pile!$BQ$374,IF(SUMPRODUCT(--ISNUMBER(Pile!$BZ$380:$BZ$385)),Pile!$BQ$380,IF(SUMPRODUCT(--ISNUMBER(Pile!$BZ$386:$BZ$391)),Pile!$BQ$386,"Not Suitable"))))),AND(Inputs!$E$32="Driven Precast Concrete",$A$42="Concrete Volume"),(IFERROR(_xlfn.SINGLE(INDEX(Pile!$BQ$368:$BQ$391,_xlfn.AGGREGATE(15,3,((Pile!$BY$368:$BY$391=T64)/(Pile!$BY$368:$BY$391=T64)*ROW(Pile!$BY$368:$BY$391))-ROW(Pile!$BP$367),ROWS(O64)))),"Not Suitable")),AND(Inputs!$E$32="Driven Precast Concrete",$A$42="Number of Piles"),(IF(SUMPRODUCT(--ISNUMBER(Pile!$BY$368:$BY$373)),Pile!$BQ$368,IF(SUMPRODUCT(--ISNUMBER(Pile!$BY$374:$BY$379)),Pile!$BQ$374,IF(SUMPRODUCT(--ISNUMBER(Pile!$BY$380:$BY$385)),Pile!$BQ$380,IF(SUMPRODUCT(--ISNUMBER(Pile!$BY$386:$BY$391)),Pile!$BQ$386,"Not Suitable"))))),AND(Inputs!$E$32="Bored Cast in Place Concrete",$A$42="Concrete Volume"),(IFERROR(_xlfn.SINGLE(INDEX(Pile!$BQ$368:$BQ$391,_xlfn.AGGREGATE(15,3,((Pile!$BX$368:$BX$391=T64)/(Pile!$BX$368:$BX$391=T64)*ROW(Pile!$BX$368:$BX$391))-ROW(Pile!$BP$367),ROWS(O64)))),"Not Suitable")),AND(Inputs!$E$32="Bored Cast in Place Concrete",$A$42="Number of Piles"),(IF(SUMPRODUCT(--ISNUMBER(Pile!$BX$368:$BX$373)),Pile!$BQ$368,IF(SUMPRODUCT(--ISNUMBER(Pile!$BX$374:$BX$379)),Pile!$BQ$374,IF(SUMPRODUCT(--ISNUMBER(Pile!$BX$380:$BX$385)),Pile!$BQ$380,IF(SUMPRODUCT(--ISNUMBER(Pile!$BX$386:$BX$391)),Pile!$BQ$386,"Not Suitable"))))))))</f>
        <v>32</v>
      </c>
      <c r="T64" s="1211" cm="1">
        <f t="array" ref="T64">_xlfn.SINGLE(IF(SUMPRODUCT(--ISNUMBER(Pile!$BZ$368:$BZ$391))&lt;=0,"Not Suitable",_xlfn.IFS(AND(OR(Inputs!$E$32="Continuous Flight Auger",Inputs!$E$32="All Types"),$A$42="Concrete Volume"),(IF(MIN(Pile!$BZ$368:$BZ$391)&gt;0,MIN(Pile!$BZ$368:$BZ$391), "Not Suitable")),AND(OR(Inputs!$E$32="Continuous Flight Auger",Inputs!$E$32="All Types"),$A$42="Number of Piles"),(IF(Pile!#REF!=Pile!$BQ$368,MIN(Pile!$BZ$368:$BZ$373),IF(Pile!#REF!=Pile!$BQ$374,MIN(Pile!$BZ$374:$BZ$379),IF(Pile!#REF!=Pile!$BQ$380,MIN(Pile!$BZ$380:$BZ$385),IF(Pile!#REF!=Pile!$BQ$386,MIN(Pile!$BZ$386:$BZ$391),"Not Suitable"))))),AND(Inputs!$E$32="Driven Precast Concrete",$A$42="Concrete Volume"),(IF(MIN(Pile!$BY$368:$BY$391)&gt;0,MIN(Pile!$BY$368:$BY$391), "Not Suitable")),AND(Inputs!$E$32="Driven Precast Concrete",$A$42="Number of Piles"),(IF(Pile!#REF!=Pile!$BQ$368,MIN(Pile!$BY$368:$BY$373),IF(Pile!#REF!=Pile!$BQ$374,MIN(Pile!$BY$374:$BY$379),IF(Pile!#REF!=Pile!$BQ$380,MIN(Pile!$BY$380:$BY$385),IF(Pile!#REF!=Pile!$BQ$386,MIN(Pile!$BY$386:$BY$391),"Not Suitable"))))),AND(Inputs!$E$32="Bored Cast in Place Concrete",$A$42="Concrete Volume"),(IF(MIN(Pile!$BX$368:$BX$391)&gt;0,MIN(Pile!$BX$368:$BX$391), "Not Suitable")),AND(Inputs!$E$32="Bored Cast in Place Concrete",$A$42="Number of Piles"),(IF(Pile!#REF!=Pile!$BQ$368,MIN(Pile!$BX$368:$BX$373),IF(Pile!#REF!=Pile!$BQ$374,MIN(Pile!$BX$374:$BX$379),IF(Pile!#REF!=Pile!$BQ$380,MIN(Pile!$BX$380:$BX$385),IF(Pile!#REF!=Pile!$BQ$386,MIN(Pile!$BX$386:$BX$391),"Not Suitable"))))))))</f>
        <v>94.340701482231964</v>
      </c>
    </row>
    <row r="65" spans="1:20" s="314" customFormat="1" ht="15.75" thickBot="1">
      <c r="A65" s="578" t="s">
        <v>1934</v>
      </c>
      <c r="B65" s="1210" cm="1">
        <f t="array" ref="B65">_xlfn.SINGLE(IF(SUMPRODUCT(--ISNUMBER(Pile!$AZ$399:$AZ$422))&lt;=0,"Not Suitable",_xlfn.IFS(AND(OR(Inputs!$E$32="Continuous Flight Auger",Inputs!$E$32="All Types"),$A$42="Concrete Volume"),(IFERROR(_xlfn.SINGLE(INDEX(Pile!$AP$399:$AP$422,_xlfn.AGGREGATE(15,3,((Pile!$AZ$399:$AZ$422=F65)/(Pile!$AZ$399:$AZ$422=F65)*ROW(Pile!$AZ$399:$AZ$422))-ROW(Pile!$AP$398),ROWS(A65)))),"Not Suitable")),AND(OR(Inputs!$E$32="Continuous Flight Auger",Inputs!$E$32="All Types"),$A$42="Number of Piles"),(IFERROR(_xlfn.SINGLE(INDEX(Pile!$AP$399:$AP$422,_xlfn.AGGREGATE(15,3,((Pile!$AZ$399:$AZ$422=F65)/(Pile!$AZ$399:$AZ$422=F65)*ROW(Pile!$AZ$399:$AZ$422))-ROW(Pile!$AP$398),ROWS(A65)))),"Not Suitable")),AND(Inputs!$E$32="Driven Precast Concrete",$A$42="Concrete Volume"),(IFERROR(_xlfn.SINGLE(INDEX(Pile!$AP$399:$AP$422,_xlfn.AGGREGATE(15,3,((Pile!$AY$399:$AY$422=F65)/(Pile!$AY$399:$AY$422=F65)*ROW(Pile!$AY$399:$AY$422))-ROW(Pile!$AP$398),ROWS(A65)))),"Not Suitable")),AND(Inputs!$E$32="Driven Precast Concrete",$A$42="Number of Piles"),(IFERROR(_xlfn.SINGLE(INDEX(Pile!$AP$399:$AP$422,_xlfn.AGGREGATE(15,3,((Pile!$AY$399:$AY$422=F65)/(Pile!$AY$399:$AY$422=F65)*ROW(Pile!$AY$399:$AY$422))-ROW(Pile!$AP$398),ROWS(A65)))),"Not Suitable")),AND(Inputs!$E$32="Bored Cast in Place Concrete",$A$42="Concrete Volume"),(IFERROR(_xlfn.SINGLE(INDEX(Pile!$AP$399:$AP$422,_xlfn.AGGREGATE(15,3,((Pile!$AX$399:$AX$422=F65)/(Pile!$AX$399:$AX$422=F65)*ROW(Pile!$AX$399:$AX$422))-ROW(Pile!$AP$398),ROWS(A65)))),"Not Suitable")),AND(Inputs!$E$32="Bored Cast in Place Concrete",$A$42="Number of Piles"),(IFERROR(_xlfn.SINGLE(INDEX(Pile!$AP$399:$AP$422,_xlfn.AGGREGATE(15,3,((Pile!$AX$399:$AX$422=F65)/(Pile!$AX$399:$AX$422=F65)*ROW(Pile!$AX$399:$AX$422))-ROW(Pile!$AP$398),ROWS(A65)))),"Not Suitable")))))</f>
        <v>450</v>
      </c>
      <c r="C65" s="1211">
        <f>IF(F65="Not Suitable","Not Suitable",F65/(E65*PI()*(B65/2000)^2))</f>
        <v>17.036776513153224</v>
      </c>
      <c r="D65" s="1210" cm="1">
        <f t="array" ref="D65">_xlfn.SINGLE(IF(SUMPRODUCT(--ISNUMBER(Pile!$AZ$399:$AZ$422))&lt;=0,"Not Suitable",_xlfn.IFS(AND(OR(Inputs!$E$32="Continuous Flight Auger",Inputs!$E$32="All Types"),$A$42="Concrete Volume"),(IFERROR(_xlfn.SINGLE(INDEX(Pile!$AO$399:$AO$422,_xlfn.AGGREGATE(15,3,((Pile!$AZ$399:$AZ$422=F65)/(Pile!$AZ$399:$AZ$422=F65)*ROW(Pile!$AZ$399:$AZ$422))-ROW(Pile!$AP$398),ROWS(A65)))),"Not Suitable")),AND(OR(Inputs!$E$32="Continuous Flight Auger",Inputs!$E$32="All Types"),$A$42="Number of Piles"),(IF(SUMPRODUCT(--ISNUMBER(Pile!$AZ$399:$AZ$404)),Pile!$AO$399,IF(SUMPRODUCT(--ISNUMBER(Pile!$AZ$405:$AZ$410)),Pile!$AO$405,IF(SUMPRODUCT(--ISNUMBER(Pile!$AZ$411:$AZ$416)),Pile!$AO$411,IF(SUMPRODUCT(--ISNUMBER(Pile!$AZ$417:$AZ$422)),Pile!$AO$417,"Not Suitable"))))),AND(Inputs!$E$32="Driven Precast Concrete",$A$42="Concrete Volume"),(IFERROR(_xlfn.SINGLE(INDEX(Pile!$AO$399:$AO$422,_xlfn.AGGREGATE(15,3,((Pile!$AY$399:$AY$422=F65)/(Pile!$AY$399:$AY$422=F65)*ROW(Pile!$AY$399:$AY$422))-ROW(Pile!$AP$398),ROWS(A65)))),"Not Suitable")),AND(Inputs!$E$32="Driven Precast Concrete",$A$42="Number of Piles"),(IF(SUMPRODUCT(--ISNUMBER(Pile!$AY$399:$AY$404)),Pile!$AO$399,IF(SUMPRODUCT(--ISNUMBER(Pile!$AY$405:$AY$410)),Pile!$AO$405,IF(SUMPRODUCT(--ISNUMBER(Pile!$AY$411:$AY$416)),Pile!$AO$411,IF(SUMPRODUCT(--ISNUMBER(Pile!$AY$417:$AY$422)),Pile!$AO$417,"Not Suitable"))))),AND(Inputs!$E$32="Bored Cast in Place Concrete",$A$42="Concrete Volume"),(IFERROR(_xlfn.SINGLE(INDEX(Pile!$AO$399:$AO$422,_xlfn.AGGREGATE(15,3,((Pile!$AX$399:$AX$422=F65)/(Pile!$AX$399:$AX$422=F65)*ROW(Pile!$AX$399:$AX$422))-ROW(Pile!$AP$398),ROWS(A65)))),"Not Suitable")),AND(Inputs!$E$32="Bored Cast in Place Concrete",$A$42="Number of Piles"),(IF(SUMPRODUCT(--ISNUMBER(Pile!$AX$399:$AX$404)),Pile!$AO$399,IF(SUMPRODUCT(--ISNUMBER(Pile!$AX$405:$AX$410)),Pile!$AO$405,IF(SUMPRODUCT(--ISNUMBER(Pile!$AX$411:$AX$416)),Pile!$AO$411,IF(SUMPRODUCT(--ISNUMBER(Pile!$AX$417:$AX$422)),Pile!$AO$417,"Not Suitable"))))))))</f>
        <v>1</v>
      </c>
      <c r="E65" s="1210" cm="1">
        <f t="array" ref="E65">_xlfn.SINGLE(IF(SUMPRODUCT(--ISNUMBER(Pile!$AZ$399:$AZ$422))&lt;=0,"Not Suitable",_xlfn.IFS(AND(OR(Inputs!$E$32="Continuous Flight Auger",Inputs!$E$32="All Types"),$A$42="Concrete Volume"),(IFERROR(_xlfn.SINGLE(INDEX(Pile!$AQ$399:$AQ$422,_xlfn.AGGREGATE(15,3,((Pile!$AZ$399:$AZ$422=F65)/(Pile!$AZ$399:$AZ$422=F65)*ROW(Pile!$AZ$399:$AZ$422))-ROW(Pile!$AP$398),ROWS(A65)))),"Not Suitable")),AND(OR(Inputs!$E$32="Continuous Flight Auger",Inputs!$E$32="All Types"),$A$42="Number of Piles"),(IF(SUMPRODUCT(--ISNUMBER(Pile!$AZ$399:$AZ$404)),Pile!$AQ$399,IF(SUMPRODUCT(--ISNUMBER(Pile!$AZ$405:$AZ$410)),Pile!$AQ$405,IF(SUMPRODUCT(--ISNUMBER(Pile!$AZ$411:$AZ$416)),Pile!$AQ$411,IF(SUMPRODUCT(--ISNUMBER(Pile!$AZ$417:$AZ$422)),Pile!$AQ$417,"Not Suitable"))))),AND(Inputs!$E$32="Driven Precast Concrete",$A$42="Concrete Volume"),(IFERROR(_xlfn.SINGLE(INDEX(Pile!$AQ$399:$AQ$422,_xlfn.AGGREGATE(15,3,((Pile!$AY$399:$AY$422=F65)/(Pile!$AY$399:$AY$422=F65)*ROW(Pile!$AY$399:$AY$422))-ROW(Pile!$AP$398),ROWS(A65)))),"Not Suitable")),AND(Inputs!$E$32="Driven Precast Concrete",$A$42="Number of Piles"),(IF(SUMPRODUCT(--ISNUMBER(Pile!$AY$399:$AY$404)),Pile!$AQ$399,IF(SUMPRODUCT(--ISNUMBER(Pile!$AY$405:$AY$410)),Pile!$AQ$405,IF(SUMPRODUCT(--ISNUMBER(Pile!$AY$411:$AY$416)),Pile!$AQ$411,IF(SUMPRODUCT(--ISNUMBER(Pile!$AY$417:$AY$422)),Pile!$AQ$417,"Not Suitable"))))),AND(Inputs!$E$32="Bored Cast in Place Concrete",$A$42="Concrete Volume"),(IFERROR(_xlfn.SINGLE(INDEX(Pile!$AQ$399:$AQ$422,_xlfn.AGGREGATE(15,3,((Pile!$AX$399:$AX$422=F65)/(Pile!$AX$399:$AX$422=F65)*ROW(Pile!$AX$399:$AX$422))-ROW(Pile!$AP$398),ROWS(A65)))),"Not Suitable")),AND(Inputs!$E$32="Bored Cast in Place Concrete",$A$42="Number of Piles"),(IF(SUMPRODUCT(--ISNUMBER(Pile!$AX$399:$AX$404)),Pile!$AQ$399,IF(SUMPRODUCT(--ISNUMBER(Pile!$AX$405:$AX$410)),Pile!$AQ$405,IF(SUMPRODUCT(--ISNUMBER(Pile!$AX$411:$AX$416)),Pile!$AQ$411,IF(SUMPRODUCT(--ISNUMBER(Pile!$AX$417:$AX$422)),Pile!$AQ$417,"Not Suitable"))))))))</f>
        <v>4</v>
      </c>
      <c r="F65" s="1211" cm="1">
        <f t="array" ref="F65">_xlfn.SINGLE(IF(SUMPRODUCT(--ISNUMBER(Pile!$AZ$399:$AZ$422))&lt;=0,"Not Suitable",_xlfn.IFS(AND(OR(Inputs!$E$32="Continuous Flight Auger",Inputs!$E$32="All Types"),$A$42="Concrete Volume"),(IF(MIN(Pile!$AZ$399:$AZ$422)&gt;0,MIN(Pile!$AZ$399:$AZ$422), "Not Suitable")),AND(OR(Inputs!$E$32="Continuous Flight Auger",Inputs!$E$32="All Types"),$A$42="Number of Piles"),(IF(Pile!#REF!=Pile!$AQ$399,MIN(Pile!$AZ$399:$AZ$404),IF(Pile!#REF!=Pile!$AQ$405,MIN(Pile!$AZ$405:$AZ$410),IF(Pile!#REF!=Pile!$AQ$411,MIN(Pile!$AZ$411:$AZ$416),IF(Pile!#REF!=Pile!$AQ$417,MIN(Pile!$AZ$417:$AZ$422),"Not Suitable"))))),AND(Inputs!$E$32="Driven Precast Concrete",$A$42="Concrete Volume"),(IF(MIN(Pile!$AY$399:$AY$422)&gt;0,MIN(Pile!$AY$399:$AY$422), "Not Suitable")),AND(Inputs!$E$32="Driven Precast Concrete",$A$42="Number of Piles"),(IF(Pile!#REF!=Pile!$AQ$399,MIN(Pile!$AY$399:$AY$404),IF(Pile!#REF!=Pile!$AQ$405,MIN(Pile!$AY$405:$AY$410),IF(Pile!#REF!=Pile!$AQ$411,MIN(Pile!$AY$411:$AY$416),IF(Pile!#REF!=Pile!$AQ$417,MIN(Pile!$AY$417:$AY$422),"Not Suitable"))))),AND(Inputs!$E$32="Bored Cast in Place Concrete",$A$42="Concrete Volume"),(IF(MIN(Pile!$AX$399:$AX$422)&gt;0,MIN(Pile!$AX$399:$AX$422), "Not Suitable")),AND(Inputs!$E$32="Bored Cast in Place Concrete",$A$42="Number of Piles"),(IF(Pile!#REF!=Pile!$AQ$399,MIN(Pile!$AX$399:$AX$404),IF(Pile!#REF!=Pile!$AQ$405,MIN(Pile!$AX$405:$AX$410),IF(Pile!#REF!=Pile!$AQ$411,MIN(Pile!$AX$411:$AX$416),IF(Pile!#REF!=Pile!$AQ$417,MIN(Pile!$AX$417:$AX$422),"Not Suitable"))))))))</f>
        <v>10.838328916751095</v>
      </c>
      <c r="G65" s="1198"/>
      <c r="H65" s="578" t="s">
        <v>1934</v>
      </c>
      <c r="I65" s="1210" cm="1">
        <f t="array" ref="I65">_xlfn.SINGLE(IF(SUMPRODUCT(--ISNUMBER(Pile!$BM$399:$BM$422))&lt;=0,"Not Suitable",_xlfn.IFS(AND(OR(Inputs!$E$32="Continuous Flight Auger",Inputs!$E$32="All Types"),$A$42="Concrete Volume"),(IFERROR(_xlfn.SINGLE(INDEX(Pile!$BC$399:$BC$422,_xlfn.AGGREGATE(15,3,((Pile!$BM$399:$BM$422=M65)/(Pile!$BM$399:$BM$422=M65)*ROW(Pile!$BM$399:$BM$422))-ROW(Pile!$BC$398),ROWS(H65)))),"Not Suitable")),AND(OR(Inputs!$E$32="Continuous Flight Auger",Inputs!$E$32="All Types"),$A$42="Number of Piles"),(IFERROR(_xlfn.SINGLE(INDEX(Pile!$BC$399:$BC$422,_xlfn.AGGREGATE(15,3,((Pile!$BM$399:$BM$422=M65)/(Pile!$BM$399:$BM$422=M65)*ROW(Pile!$BM$399:$BM$422))-ROW(Pile!$BC$398),ROWS(H65)))),"Not Suitable")),AND(Inputs!$E$32="Driven Precast Concrete",$A$42="Concrete Volume"),(IFERROR(_xlfn.SINGLE(INDEX(Pile!$BC$399:$BC$422,_xlfn.AGGREGATE(15,3,((Pile!$BL$399:$BL$422=M65)/(Pile!$BL$399:$BL$422=M65)*ROW(Pile!$BL$399:$BL$422))-ROW(Pile!$BC$398),ROWS(H65)))),"Not Suitable")),AND(Inputs!$E$32="Driven Precast Concrete",$A$42="Number of Piles"),(IFERROR(_xlfn.SINGLE(INDEX(Pile!$BC$399:$BC$422,_xlfn.AGGREGATE(15,3,((Pile!$BL$399:$BL$422=M65)/(Pile!$BL$399:$BL$422=M65)*ROW(Pile!$BL$399:$BL$422))-ROW(Pile!$BC$398),ROWS(H65)))),"Not Suitable")),AND(Inputs!$E$32="Bored Cast in Place Concrete",$A$42="Concrete Volume"),(IFERROR(_xlfn.SINGLE(INDEX(Pile!$BC$399:$BC$422,_xlfn.AGGREGATE(15,3,((Pile!$BK$399:$BK$422=M65)/(Pile!$BK$399:$BK$422=M65)*ROW(Pile!$BK$399:$BK$422))-ROW(Pile!$BC$398),ROWS(H65)))),"Not Suitable")),AND(Inputs!$E$32="Bored Cast in Place Concrete",$A$42="Number of Piles"),(IFERROR(_xlfn.SINGLE(INDEX(Pile!$BC$399:$BC$422,_xlfn.AGGREGATE(15,3,((Pile!$BK$399:$BK$422=M65)/(Pile!$BK$399:$BK$422=M65)*ROW(Pile!$BK$399:$BK$422))-ROW(Pile!$BC$398),ROWS(H65)))),"Not Suitable")))))</f>
        <v>450</v>
      </c>
      <c r="J65" s="1211">
        <f>IF(M65="Not Suitable","Not Suitable",M65/(L65*PI()*(I65/2000)^2))</f>
        <v>17.036776513153224</v>
      </c>
      <c r="K65" s="1210" cm="1">
        <f t="array" ref="K65">_xlfn.SINGLE(IF(SUMPRODUCT(--ISNUMBER(Pile!$BM$399:$BM$422))&lt;=0,"Not Suitable",_xlfn.IFS(AND(OR(Inputs!$E$32="Continuous Flight Auger",Inputs!$E$32="All Types"),$A$42="Concrete Volume"),(IFERROR(_xlfn.SINGLE(INDEX(Pile!$BB$399:$BB$422,_xlfn.AGGREGATE(15,3,((Pile!$BM$399:$BM$422=M65)/(Pile!$BM$399:$BM$422=M65)*ROW(Pile!$BM$399:$BM$422))-ROW(Pile!$BC$398),ROWS(H65)))),"Not Suitable")),AND(OR(Inputs!$E$32="Continuous Flight Auger",Inputs!$E$32="All Types"),$A$42="Number of Piles"),(IF(SUMPRODUCT(--ISNUMBER(Pile!$BM$399:$BM$404)),Pile!$BB$399,IF(SUMPRODUCT(--ISNUMBER(Pile!$BM$405:$BM$410)),Pile!$BB$405,IF(SUMPRODUCT(--ISNUMBER(Pile!$BM$411:$BM$416)),Pile!$BB$411,IF(SUMPRODUCT(--ISNUMBER(Pile!$BM$417:$BM$422)),Pile!$BB$417,"Not Suitable"))))),AND(Inputs!$E$32="Driven Precast Concrete",$A$42="Concrete Volume"),(IFERROR(_xlfn.SINGLE(INDEX(Pile!$BB$399:$BB$422,_xlfn.AGGREGATE(15,3,((Pile!$BL$399:$BL$422=M65)/(Pile!$BL$399:$BL$422=M65)*ROW(Pile!$BL$399:$BL$422))-ROW(Pile!$BC$398),ROWS(H65)))),"Not Suitable")),AND(Inputs!$E$32="Driven Precast Concrete",$A$42="Number of Piles"),(IF(SUMPRODUCT(--ISNUMBER(Pile!$BL$399:$BL$404)),Pile!$BB$399,IF(SUMPRODUCT(--ISNUMBER(Pile!$BL$405:$BL$410)),Pile!$BB$405,IF(SUMPRODUCT(--ISNUMBER(Pile!$BL$411:$BL$416)),Pile!$BB$411,IF(SUMPRODUCT(--ISNUMBER(Pile!$BL$417:$BL$422)),Pile!$BB$417,"Not Suitable"))))),AND(Inputs!$E$32="Bored Cast in Place Concrete",$A$42="Concrete Volume"),(IFERROR(_xlfn.SINGLE(INDEX(Pile!$BB$399:$BB$422,_xlfn.AGGREGATE(15,3,((Pile!$BK$399:$BK$422=M65)/(Pile!$BK$399:$BK$422=M65)*ROW(Pile!$BK$399:$BK$422))-ROW(Pile!$BC$398),ROWS(H65)))),"Not Suitable")),AND(Inputs!$E$32="Bored Cast in Place Concrete",$A$42="Number of Piles"),(IF(SUMPRODUCT(--ISNUMBER(Pile!$BK$399:$BK$404)),Pile!$BB$399,IF(SUMPRODUCT(--ISNUMBER(Pile!$BK$405:$BK$410)),Pile!$BB$405,IF(SUMPRODUCT(--ISNUMBER(Pile!$BK$411:$BK$416)),Pile!$BB$411,IF(SUMPRODUCT(--ISNUMBER(Pile!$BK$417:$BK$422)),Pile!$BB$417,"Not Suitable"))))))))</f>
        <v>1</v>
      </c>
      <c r="L65" s="1210" cm="1">
        <f t="array" ref="L65">_xlfn.SINGLE(IF(SUMPRODUCT(--ISNUMBER(Pile!$BM$399:$BM$422))&lt;=0,"Not Suitable",_xlfn.IFS(AND(OR(Inputs!$E$32="Continuous Flight Auger",Inputs!$E$32="All Types"),$A$42="Concrete Volume"),(IFERROR(_xlfn.SINGLE(INDEX(Pile!$BD$399:$BD$422,_xlfn.AGGREGATE(15,3,((Pile!$BM$399:$BM$422=M65)/(Pile!$BM$399:$BM$422=M65)*ROW(Pile!$BM$399:$BM$422))-ROW(Pile!$BC$398),ROWS(H65)))),"Not Suitable")),AND(OR(Inputs!$E$32="Continuous Flight Auger",Inputs!$E$32="All Types"),$A$42="Number of Piles"),(IF(SUMPRODUCT(--ISNUMBER(Pile!$BM$399:$BM$404)),Pile!$BD$399,IF(SUMPRODUCT(--ISNUMBER(Pile!$BM$405:$BM$410)),Pile!$BD$405,IF(SUMPRODUCT(--ISNUMBER(Pile!$BM$411:$BM$416)),Pile!$BD$411,IF(SUMPRODUCT(--ISNUMBER(Pile!$BM$417:$BM$422)),Pile!$BD$417,"Not Suitable"))))),AND(Inputs!$E$32="Driven Precast Concrete",$A$42="Concrete Volume"),(IFERROR(_xlfn.SINGLE(INDEX(Pile!$BD$399:$BD$422,_xlfn.AGGREGATE(15,3,((Pile!$BL$399:$BL$422=M65)/(Pile!$BL$399:$BL$422=M65)*ROW(Pile!$BL$399:$BL$422))-ROW(Pile!$BC$398),ROWS(H65)))),"Not Suitable")),AND(Inputs!$E$32="Driven Precast Concrete",$A$42="Number of Piles"),(IF(SUMPRODUCT(--ISNUMBER(Pile!$BL$399:$BL$404)),Pile!$BD$399,IF(SUMPRODUCT(--ISNUMBER(Pile!$BL$405:$BL$410)),Pile!$BD$405,IF(SUMPRODUCT(--ISNUMBER(Pile!$BL$411:$BL$416)),Pile!$BD$411,IF(SUMPRODUCT(--ISNUMBER(Pile!$BL$417:$BL$422)),Pile!$BD$417,"Not Suitable"))))),AND(Inputs!$E$32="Bored Cast in Place Concrete",$A$42="Concrete Volume"),(IFERROR(_xlfn.SINGLE(INDEX(Pile!$BD$399:$BD$422,_xlfn.AGGREGATE(15,3,((Pile!$BK$399:$BK$422=M65)/(Pile!$BK$399:$BK$422=M65)*ROW(Pile!$BK$399:$BK$422))-ROW(Pile!$BC$398),ROWS(H65)))),"Not Suitable")),AND(Inputs!$E$32="Bored Cast in Place Concrete",$A$42="Number of Piles"),(IF(SUMPRODUCT(--ISNUMBER(Pile!$BK$399:$BK$404)),Pile!$BD$399,IF(SUMPRODUCT(--ISNUMBER(Pile!$BK$405:$BK$410)),Pile!$BD$405,IF(SUMPRODUCT(--ISNUMBER(Pile!$BK$411:$BK$416)),Pile!$BD$411,IF(SUMPRODUCT(--ISNUMBER(Pile!$BK$417:$BK$422)),Pile!$BD$417,"Not Suitable"))))))))</f>
        <v>4</v>
      </c>
      <c r="M65" s="1211" cm="1">
        <f t="array" ref="M65">_xlfn.SINGLE(IF(SUMPRODUCT(--ISNUMBER(Pile!$BM$399:$BM$422))&lt;=0,"Not Suitable",_xlfn.IFS(AND(OR(Inputs!$E$32="Continuous Flight Auger",Inputs!$E$32="All Types"),$A$42="Concrete Volume"),(IF(MIN(Pile!$BM$399:$BM$422)&gt;0,MIN(Pile!$BM$399:$BM$422), "Not Suitable")),AND(OR(Inputs!$E$32="Continuous Flight Auger",Inputs!$E$32="All Types"),$A$42="Number of Piles"),(IF(Pile!#REF!=Pile!$BD$399,MIN(Pile!$BM$399:$BM$404),IF(Pile!#REF!=Pile!$BD$405,MIN(Pile!$BM$405:$BM$410),IF(Pile!#REF!=Pile!$BD$411,MIN(Pile!$BM$411:$BM$416),IF(Pile!#REF!=Pile!$BD$417,MIN(Pile!$BM$417:$BM$422),"Not Suitable"))))),AND(Inputs!$E$32="Driven Precast Concrete",$A$42="Concrete Volume"),(IF(MIN(Pile!$BL$399:$BL$422)&gt;0,MIN(Pile!$BL$399:$BL$422), "Not Suitable")),AND(Inputs!$E$32="Driven Precast Concrete",$A$42="Number of Piles"),(IF(Pile!#REF!=Pile!$BD$399,MIN(Pile!$BL$399:$BL$404),IF(Pile!#REF!=Pile!$BD$405,MIN(Pile!$BL$405:$BL$410),IF(Pile!#REF!=Pile!$BD$411,MIN(Pile!$BL$411:$BL$416),IF(Pile!#REF!=Pile!$BD$417,MIN(Pile!$BL$417:$BL$422),"Not Suitable"))))),AND(Inputs!$E$32="Bored Cast in Place Concrete",$A$42="Concrete Volume"),(IF(MIN(Pile!$BK$399:$BK$422)&gt;0,MIN(Pile!$BK$399:$BK$422), "Not Suitable")),AND(Inputs!$E$32="Bored Cast in Place Concrete",$A$42="Number of Piles"),(IF(Pile!#REF!=Pile!$BD$399,MIN(Pile!$BK$399:$BK$404),IF(Pile!#REF!=Pile!$BD$405,MIN(Pile!$BK$405:$BK$410),IF(Pile!#REF!=Pile!$BD$411,MIN(Pile!$BK$411:$BK$416),IF(Pile!#REF!=Pile!$BD$417,MIN(Pile!$BK$417:$BK$422),"Not Suitable"))))))))</f>
        <v>10.838328916751095</v>
      </c>
      <c r="N65" s="1198"/>
      <c r="O65" s="578" t="s">
        <v>1934</v>
      </c>
      <c r="P65" s="1210" cm="1">
        <f t="array" ref="P65">_xlfn.SINGLE(IF(SUMPRODUCT(--ISNUMBER(Pile!$BZ$399:$BZ$422))&lt;=0,"Not Suitable",_xlfn.IFS(AND(OR(Inputs!$E$32="Continuous Flight Auger",Inputs!$E$32="All Types"),$A$42="Concrete Volume"),(IFERROR(_xlfn.SINGLE(INDEX(Pile!$BP$399:$BP$422,_xlfn.AGGREGATE(15,3,((Pile!$BZ$399:$BZ$422=T65)/(Pile!$BZ$399:$BZ$422=T65)*ROW(Pile!$BZ$399:$BZ$422))-ROW(Pile!$BP$398),ROWS(O65)))),"Not Suitable")),AND(OR(Inputs!$E$32="Continuous Flight Auger",Inputs!$E$32="All Types"),$A$42="Number of Piles"),(IFERROR(_xlfn.SINGLE(INDEX(Pile!$BP$399:$BP$422,_xlfn.AGGREGATE(15,3,((Pile!$BZ$399:$BZ$422=T65)/(Pile!$BZ$399:$BZ$422=T65)*ROW(Pile!$BZ$399:$BZ$422))-ROW(Pile!$BP$398),ROWS(O65)))),"Not Suitable")),AND(Inputs!$E$32="Driven Precast Concrete",$A$42="Concrete Volume"),(IFERROR(_xlfn.SINGLE(INDEX(Pile!$BP$399:$BP$422,_xlfn.AGGREGATE(15,3,((Pile!$BY$399:$BY$422=T65)/(Pile!$BY$399:$BY$422=T65)*ROW(Pile!$BY$399:$BY$422))-ROW(Pile!$BP$398),ROWS(O65)))),"Not Suitable")),AND(Inputs!$E$32="Driven Precast Concrete",$A$42="Number of Piles"),(IFERROR(_xlfn.SINGLE(INDEX(Pile!$BP$399:$BP$422,_xlfn.AGGREGATE(15,3,((Pile!$BY$399:$BY$422=T65)/(Pile!$BY$399:$BY$422=T65)*ROW(Pile!$BY$399:$BY$422))-ROW(Pile!$BP$398),ROWS(O65)))),"Not Suitable")),AND(Inputs!$E$32="Bored Cast in Place Concrete",$A$42="Concrete Volume"),(IFERROR(_xlfn.SINGLE(INDEX(Pile!$BP$399:$BP$422,_xlfn.AGGREGATE(15,3,((Pile!$BX$399:$BX$422=T65)/(Pile!$BX$399:$BX$422=T65)*ROW(Pile!$BX$399:$BX$422))-ROW(Pile!$BP$398),ROWS(O65)))),"Not Suitable")),AND(Inputs!$E$32="Bored Cast in Place Concrete",$A$42="Number of Piles"),(IFERROR(_xlfn.SINGLE(INDEX(Pile!$BP$399:$BP$422,_xlfn.AGGREGATE(15,3,((Pile!$BX$399:$BX$422=T65)/(Pile!$BX$399:$BX$422=T65)*ROW(Pile!$BX$399:$BX$422))-ROW(Pile!$BP$398),ROWS(O65)))),"Not Suitable")))))</f>
        <v>450</v>
      </c>
      <c r="Q65" s="1211">
        <f>IF(T65="Not Suitable","Not Suitable",T65/(S65*PI()*(P65/2000)^2))</f>
        <v>17.036776513153224</v>
      </c>
      <c r="R65" s="1210" cm="1">
        <f t="array" ref="R65">_xlfn.SINGLE(IF(SUMPRODUCT(--ISNUMBER(Pile!$BZ$399:$BZ$422))&lt;=0,"Not Suitable",_xlfn.IFS(AND(OR(Inputs!$E$32="Continuous Flight Auger",Inputs!$E$32="All Types"),$A$42="Concrete Volume"),(IFERROR(_xlfn.SINGLE(INDEX(Pile!$BO$399:$BO$422,_xlfn.AGGREGATE(15,3,((Pile!$BZ$399:$BZ$422=T65)/(Pile!$BZ$399:$BZ$422=T65)*ROW(Pile!$BZ$399:$BZ$422))-ROW(Pile!$BP$398),ROWS(O65)))),"Not Suitable")),AND(OR(Inputs!$E$32="Continuous Flight Auger",Inputs!$E$32="All Types"),$A$42="Number of Piles"),(IF(SUMPRODUCT(--ISNUMBER(Pile!$BZ$399:$BZ$404)),Pile!$BO$399,IF(SUMPRODUCT(--ISNUMBER(Pile!$BZ$405:$BZ$410)),Pile!$BO$405,IF(SUMPRODUCT(--ISNUMBER(Pile!$BZ$411:$BZ$416)),Pile!$BO$411,IF(SUMPRODUCT(--ISNUMBER(Pile!$BZ$417:$BZ$422)),Pile!$BO$417,"Not Suitable"))))),AND(Inputs!$E$32="Driven Precast Concrete",$A$42="Concrete Volume"),(IFERROR(_xlfn.SINGLE(INDEX(Pile!$BO$399:$BO$422,_xlfn.AGGREGATE(15,3,((Pile!$BY$399:$BY$422=T65)/(Pile!$BY$399:$BY$422=T65)*ROW(Pile!$BY$399:$BY$422))-ROW(Pile!$BP$398),ROWS(O65)))),"Not Suitable")),AND(Inputs!$E$32="Driven Precast Concrete",$A$42="Number of Piles"),(IF(SUMPRODUCT(--ISNUMBER(Pile!$BY$399:$BY$404)),Pile!$BO$399,IF(SUMPRODUCT(--ISNUMBER(Pile!$BY$405:$BY$410)),Pile!$BO$405,IF(SUMPRODUCT(--ISNUMBER(Pile!$BY$411:$BY$416)),Pile!$BO$411,IF(SUMPRODUCT(--ISNUMBER(Pile!$BY$417:$BY$422)),Pile!$BO$417,"Not Suitable"))))),AND(Inputs!$E$32="Bored Cast in Place Concrete",$A$42="Concrete Volume"),(IFERROR(_xlfn.SINGLE(INDEX(Pile!$BO$399:$BO$422,_xlfn.AGGREGATE(15,3,((Pile!$BX$399:$BX$422=T65)/(Pile!$BX$399:$BX$422=T65)*ROW(Pile!$BX$399:$BX$422))-ROW(Pile!$BP$398),ROWS(O65)))),"Not Suitable")),AND(Inputs!$E$32="Bored Cast in Place Concrete",$A$42="Number of Piles"),(IF(SUMPRODUCT(--ISNUMBER(Pile!$BX$399:$BX$404)),Pile!$BO$399,IF(SUMPRODUCT(--ISNUMBER(Pile!$BX$405:$BX$410)),Pile!$BO$405,IF(SUMPRODUCT(--ISNUMBER(Pile!$BX$411:$BX$416)),Pile!$BO$411,IF(SUMPRODUCT(--ISNUMBER(Pile!$BX$417:$BX$422)),Pile!$BO$417,"Not Suitable"))))))))</f>
        <v>1</v>
      </c>
      <c r="S65" s="1210" cm="1">
        <f t="array" ref="S65">_xlfn.SINGLE(IF(SUMPRODUCT(--ISNUMBER(Pile!$BZ$399:$BZ$422))&lt;=0,"Not Suitable",_xlfn.IFS(AND(OR(Inputs!$E$32="Continuous Flight Auger",Inputs!$E$32="All Types"),$A$42="Concrete Volume"),(IFERROR(_xlfn.SINGLE(INDEX(Pile!$BQ$399:$BQ$422,_xlfn.AGGREGATE(15,3,((Pile!$BZ$399:$BZ$422=T65)/(Pile!$BZ$399:$BZ$422=T65)*ROW(Pile!$BZ$399:$BZ$422))-ROW(Pile!$BP$398),ROWS(O65)))),"Not Suitable")),AND(OR(Inputs!$E$32="Continuous Flight Auger",Inputs!$E$32="All Types"),$A$42="Number of Piles"),(IF(SUMPRODUCT(--ISNUMBER(Pile!$BZ$399:$BZ$404)),Pile!$BQ$399,IF(SUMPRODUCT(--ISNUMBER(Pile!$BZ$405:$BZ$410)),Pile!$BQ$405,IF(SUMPRODUCT(--ISNUMBER(Pile!$BZ$411:$BZ$416)),Pile!$BQ$411,IF(SUMPRODUCT(--ISNUMBER(Pile!$BZ$417:$BZ$422)),Pile!$BQ$417,"Not Suitable"))))),AND(Inputs!$E$32="Driven Precast Concrete",$A$42="Concrete Volume"),(IFERROR(_xlfn.SINGLE(INDEX(Pile!$BQ$399:$BQ$422,_xlfn.AGGREGATE(15,3,((Pile!$BY$399:$BY$422=T65)/(Pile!$BY$399:$BY$422=T65)*ROW(Pile!$BY$399:$BY$422))-ROW(Pile!$BP$398),ROWS(O65)))),"Not Suitable")),AND(Inputs!$E$32="Driven Precast Concrete",$A$42="Number of Piles"),(IF(SUMPRODUCT(--ISNUMBER(Pile!$BY$399:$BY$404)),Pile!$BQ$399,IF(SUMPRODUCT(--ISNUMBER(Pile!$BY$405:$BY$410)),Pile!$BQ$405,IF(SUMPRODUCT(--ISNUMBER(Pile!$BY$411:$BY$416)),Pile!$BQ$411,IF(SUMPRODUCT(--ISNUMBER(Pile!$BY$417:$BY$422)),Pile!$BQ$417,"Not Suitable"))))),AND(Inputs!$E$32="Bored Cast in Place Concrete",$A$42="Concrete Volume"),(IFERROR(_xlfn.SINGLE(INDEX(Pile!$BQ$399:$BQ$422,_xlfn.AGGREGATE(15,3,((Pile!$BX$399:$BX$422=T65)/(Pile!$BX$399:$BX$422=T65)*ROW(Pile!$BX$399:$BX$422))-ROW(Pile!$BP$398),ROWS(O65)))),"Not Suitable")),AND(Inputs!$E$32="Bored Cast in Place Concrete",$A$42="Number of Piles"),(IF(SUMPRODUCT(--ISNUMBER(Pile!$BX$399:$BX$404)),Pile!$BQ$399,IF(SUMPRODUCT(--ISNUMBER(Pile!$BX$405:$BX$410)),Pile!$BQ$405,IF(SUMPRODUCT(--ISNUMBER(Pile!$BX$411:$BX$416)),Pile!$BQ$411,IF(SUMPRODUCT(--ISNUMBER(Pile!$BX$417:$BX$422)),Pile!$BQ$417,"Not Suitable"))))))))</f>
        <v>4</v>
      </c>
      <c r="T65" s="1211" cm="1">
        <f t="array" ref="T65">_xlfn.SINGLE(IF(SUMPRODUCT(--ISNUMBER(Pile!$BZ$399:$BZ$422))&lt;=0,"Not Suitable",_xlfn.IFS(AND(OR(Inputs!$E$32="Continuous Flight Auger",Inputs!$E$32="All Types"),$A$42="Concrete Volume"),(IF(MIN(Pile!$BZ$399:$BZ$422)&gt;0,MIN(Pile!$BZ$399:$BZ$422), "Not Suitable")),AND(OR(Inputs!$E$32="Continuous Flight Auger",Inputs!$E$32="All Types"),$A$42="Number of Piles"),(IF(Pile!#REF!=Pile!$BQ$399,MIN(Pile!$BZ$399:$BZ$404),IF(Pile!#REF!=Pile!$BQ$405,MIN(Pile!$BZ$405:$BZ$410),IF(Pile!#REF!=Pile!$BQ$411,MIN(Pile!$BZ$411:$BZ$416),IF(Pile!#REF!=Pile!$BQ$417,MIN(Pile!$BZ$417:$BZ$422),"Not Suitable"))))),AND(Inputs!$E$32="Driven Precast Concrete",$A$42="Concrete Volume"),(IF(MIN(Pile!$BY$399:$BY$422)&gt;0,MIN(Pile!$BY$399:$BY$422), "Not Suitable")),AND(Inputs!$E$32="Driven Precast Concrete",$A$42="Number of Piles"),(IF(Pile!#REF!=Pile!$BQ$399,MIN(Pile!$BY$399:$BY$404),IF(Pile!#REF!=Pile!$BQ$405,MIN(Pile!$BY$405:$BY$410),IF(Pile!#REF!=Pile!$BQ$411,MIN(Pile!$BY$411:$BY$416),IF(Pile!#REF!=Pile!$BQ$417,MIN(Pile!$BY$417:$BY$422),"Not Suitable"))))),AND(Inputs!$E$32="Bored Cast in Place Concrete",$A$42="Concrete Volume"),(IF(MIN(Pile!$BX$399:$BX$422)&gt;0,MIN(Pile!$BX$399:$BX$422), "Not Suitable")),AND(Inputs!$E$32="Bored Cast in Place Concrete",$A$42="Number of Piles"),(IF(Pile!#REF!=Pile!$BQ$399,MIN(Pile!$BX$399:$BX$404),IF(Pile!#REF!=Pile!$BQ$405,MIN(Pile!$BX$405:$BX$410),IF(Pile!#REF!=Pile!$BQ$411,MIN(Pile!$BX$411:$BX$416),IF(Pile!#REF!=Pile!$BQ$417,MIN(Pile!$BX$417:$BX$422),"Not Suitable"))))))))</f>
        <v>10.838328916751095</v>
      </c>
    </row>
    <row r="66" spans="1:20" s="314" customFormat="1" ht="15.75" thickBot="1">
      <c r="A66" s="308"/>
      <c r="B66" s="1212"/>
      <c r="C66" s="1213"/>
      <c r="D66" s="1212"/>
      <c r="E66" s="1212"/>
      <c r="F66" s="1212"/>
      <c r="G66" s="1198"/>
      <c r="H66" s="308"/>
      <c r="I66" s="1212"/>
      <c r="J66" s="1213"/>
      <c r="K66" s="1212"/>
      <c r="L66" s="1212"/>
      <c r="M66" s="1212"/>
      <c r="N66" s="1198"/>
      <c r="O66" s="308"/>
      <c r="P66" s="1212"/>
      <c r="Q66" s="1213"/>
      <c r="R66" s="1212"/>
      <c r="S66" s="1212"/>
      <c r="T66" s="1212"/>
    </row>
    <row r="67" spans="1:20" s="314" customFormat="1" ht="15.75" thickBot="1">
      <c r="A67" s="1203" t="s">
        <v>871</v>
      </c>
      <c r="B67" s="1204" t="s">
        <v>821</v>
      </c>
      <c r="C67" s="1205" t="s">
        <v>847</v>
      </c>
      <c r="D67" s="1206" t="s">
        <v>883</v>
      </c>
      <c r="E67" s="1206" t="s">
        <v>884</v>
      </c>
      <c r="F67" s="1207" t="s">
        <v>885</v>
      </c>
      <c r="G67" s="1198"/>
      <c r="H67" s="1203" t="s">
        <v>871</v>
      </c>
      <c r="I67" s="1204" t="s">
        <v>821</v>
      </c>
      <c r="J67" s="1205" t="s">
        <v>847</v>
      </c>
      <c r="K67" s="1206" t="s">
        <v>883</v>
      </c>
      <c r="L67" s="1206" t="s">
        <v>884</v>
      </c>
      <c r="M67" s="1207" t="s">
        <v>885</v>
      </c>
      <c r="N67" s="1198"/>
      <c r="O67" s="1203" t="s">
        <v>871</v>
      </c>
      <c r="P67" s="1204" t="s">
        <v>821</v>
      </c>
      <c r="Q67" s="1205" t="s">
        <v>847</v>
      </c>
      <c r="R67" s="1206" t="s">
        <v>883</v>
      </c>
      <c r="S67" s="1206" t="s">
        <v>884</v>
      </c>
      <c r="T67" s="1207" t="s">
        <v>885</v>
      </c>
    </row>
    <row r="68" spans="1:20" s="314" customFormat="1" ht="15.75" thickBot="1">
      <c r="A68" s="572" t="s">
        <v>1932</v>
      </c>
      <c r="B68" s="1208" cm="1">
        <f t="array" ref="B68">_xlfn.SINGLE(_xlfn.IFS(AND(Inputs!$E$32="All Types",$A$42="Concrete Volume"),(IFERROR(_xlfn.SINGLE(INDEX(Pile!$AP$336:$AP$359,_xlfn.AGGREGATE(15,3,((Pile!$AY$336:$AY$359=F68)/(Pile!$AY$336:$AY$359=F68)*ROW(Pile!$AY$336:$AY$359))-ROW(Pile!$AP$335),ROWS(A68)))),"Not Suitable")),AND(Inputs!$E$32="All Types",$A$42="Number of Piles"),(IFERROR(_xlfn.SINGLE(INDEX(Pile!$AP$336:$AP$359,_xlfn.AGGREGATE(15,3,((Pile!$AY$336:$AY$359=F68)/(Pile!$AY$336:$AY$359=F68)*ROW(Pile!$AY$336:$AY$359))-ROW(Pile!$AP$335),ROWS(A68)))),"Not Suitable"))))</f>
        <v>450</v>
      </c>
      <c r="C68" s="1209">
        <f>IF(F68="Not Suitable","Not Suitable",F68/(E68*PI()*(B68/2000)^2))</f>
        <v>17.036776513153228</v>
      </c>
      <c r="D68" s="1208" cm="1">
        <f t="array" ref="D68">_xlfn.SINGLE(_xlfn.IFS(AND(Inputs!$E$32="All Types",$A$42="Concrete Volume"),(IFERROR(_xlfn.SINGLE(INDEX(Pile!$AO$336:$AO$359,_xlfn.AGGREGATE(15,3,((Pile!$AY$336:$AY$359=F68)/(Pile!$AY$336:$AY$359=F68)*ROW(Pile!$AY$336:$AY$359))-ROW(Pile!$AP$335),ROWS(A68)))),"Not Suitable")),AND(Inputs!$E$32="All Types",$A$42="Number of Piles"),(IF(SUMPRODUCT(--ISNUMBER(Pile!$AY$336:$AY$341)),Pile!$AO$336,IF(SUMPRODUCT(--ISNUMBER(Pile!$AY$342:$AY$347)),Pile!$AO$342,IF(SUMPRODUCT(--ISNUMBER(Pile!$AY$348:$AY$353)),Pile!$AO$348,IF(SUMPRODUCT(--ISNUMBER(Pile!$AY$354:$AY$359)),Pile!$AO$354,"Not Suitable")))))))</f>
        <v>1</v>
      </c>
      <c r="E68" s="1208" cm="1">
        <f t="array" ref="E68">_xlfn.SINGLE(_xlfn.IFS(AND(Inputs!$E$32="All Types",$A$42="Concrete Volume"),(IFERROR(_xlfn.SINGLE(INDEX(Pile!$AQ$336:$AQ$359,_xlfn.AGGREGATE(15,3,((Pile!$AY$336:$AY$359=F68)/(Pile!$AY$336:$AY$359=F68)*ROW(Pile!$AY$336:$AY$359))-ROW(Pile!$AP$335),ROWS(A68)))),"Not Suitable")),AND(Inputs!$E$32="All Types",$A$42="Number of Piles"),(IF(SUMPRODUCT(--ISNUMBER(Pile!$AY$336:$AY$341)),Pile!$AQ$336,IF(SUMPRODUCT(--ISNUMBER(Pile!$AY$342:$AY$347)),Pile!$AQ$342,IF(SUMPRODUCT(--ISNUMBER(Pile!$AY$348:$AY$353)),Pile!$AQ$348,IF(SUMPRODUCT(--ISNUMBER(Pile!$AY$354:$AY$359)),Pile!$AQ$354,"Not Suitable")))))))</f>
        <v>63</v>
      </c>
      <c r="F68" s="1209">
        <f>_xlfn.IFS(AND(Inputs!$E$32="All Types",$A$42="Concrete Volume"),(IF(MIN(Pile!$AY$336:$AY$359)&gt;0, MIN(Pile!$AY$336:$AY$359), "Not Suitable")),AND(Inputs!$E$32="All Types",$A$42="Number of Piles"),(IF(Pile!#REF!=Pile!$AQ$336,MIN(Pile!$AY$336:$AY$341),IF(Pile!#REF!=Pile!$AQ$342,MIN(Pile!$AY$342:$AY$347),IF(Pile!#REF!=Pile!$AQ$348,MIN(Pile!$AY$348:$AY$353),IF(Pile!#REF!=Pile!$AQ$354,MIN(Pile!$AY$354:$AY$359),"Not Suitable"))))))</f>
        <v>170.70368043882976</v>
      </c>
      <c r="G68" s="1198"/>
      <c r="H68" s="572" t="s">
        <v>1932</v>
      </c>
      <c r="I68" s="1208" cm="1">
        <f t="array" ref="I68">_xlfn.SINGLE(_xlfn.IFS(AND(Inputs!$E$32="All Types",$A$42="Concrete Volume"),(IFERROR(_xlfn.SINGLE(INDEX(Pile!$BC$336:$BC$359,_xlfn.AGGREGATE(15,3,((Pile!$BL$336:$BL$359=M68)/(Pile!$BL$336:$BL$359=M68)*ROW(Pile!$BL$336:$BL$359))-ROW(Pile!$BC$335),ROWS(H68)))),"Not Suitable")),AND(Inputs!$E$32="All Types",$A$42="Number of Piles"),(IFERROR(_xlfn.SINGLE(INDEX(Pile!$BC$336:$BC$359,_xlfn.AGGREGATE(15,3,((Pile!$BL$336:$BL$359=M68)/(Pile!$BL$336:$BL$359=M68)*ROW(Pile!$BL$336:$BL$359))-ROW(Pile!$BC$335),ROWS(H68)))),"Not Suitable"))))</f>
        <v>450</v>
      </c>
      <c r="J68" s="1209">
        <f>IF(M68="Not Suitable","Not Suitable",M68/(L68*PI()*(I68/2000)^2))</f>
        <v>17.036776513153228</v>
      </c>
      <c r="K68" s="1208" cm="1">
        <f t="array" ref="K68">_xlfn.SINGLE(_xlfn.IFS(AND(Inputs!$E$32="All Types",$A$42="Concrete Volume"),(IFERROR(_xlfn.SINGLE(INDEX(Pile!$BB$336:$BB$359,_xlfn.AGGREGATE(15,3,((Pile!$BL$336:$BL$359=M68)/(Pile!$BL$336:$BL$359=M68)*ROW(Pile!$BL$336:$BL$359))-ROW(Pile!$BC$335),ROWS(H68)))),"Not Suitable")),AND(Inputs!$E$32="All Types",$A$42="Number of Piles"),(IF(SUMPRODUCT(--ISNUMBER(Pile!$BL$336:$BL$341)),Pile!$BB$336,IF(SUMPRODUCT(--ISNUMBER(Pile!$BL$342:$BL$347)),Pile!$BB$342,IF(SUMPRODUCT(--ISNUMBER(Pile!$BL$348:$BL$353)),Pile!$BB$348,IF(SUMPRODUCT(--ISNUMBER(Pile!$BL$354:$BL$359)),Pile!$BB$354,"Not Suitable")))))))</f>
        <v>1</v>
      </c>
      <c r="L68" s="1208" cm="1">
        <f t="array" ref="L68">_xlfn.SINGLE(_xlfn.IFS(AND(Inputs!$E$32="All Types",$A$42="Concrete Volume"),(IFERROR(_xlfn.SINGLE(INDEX(Pile!$BD$336:$BD$359,_xlfn.AGGREGATE(15,3,((Pile!$BL$336:$BL$359=M68)/(Pile!$BL$336:$BL$359=M68)*ROW(Pile!$BL$336:$BL$359))-ROW(Pile!$BC$335),ROWS(H68)))),"Not Suitable")),AND(Inputs!$E$32="All Types",$A$42="Number of Piles"),(IF(SUMPRODUCT(--ISNUMBER(Pile!$BL$336:$BL$341)),Pile!$BD$336,IF(SUMPRODUCT(--ISNUMBER(Pile!$BL$342:$BL$347)),Pile!$BD$342,IF(SUMPRODUCT(--ISNUMBER(Pile!$BL$348:$BL$353)),Pile!$BD$348,IF(SUMPRODUCT(--ISNUMBER(Pile!$BL$354:$BL$359)),Pile!$BD$354,"Not Suitable")))))))</f>
        <v>63</v>
      </c>
      <c r="M68" s="1209">
        <f>_xlfn.IFS(AND(Inputs!$E$32="All Types",$A$42="Concrete Volume"),(IF(MIN(Pile!$BL$336:$BL$359)&gt;0, MIN(Pile!$BL$336:$BL$359), "Not Suitable")),AND(Inputs!$E$32="All Types",$A$42="Number of Piles"),(IF(Pile!#REF!=Pile!$BD$336,MIN(Pile!$BL$336:$BL$341),IF(Pile!#REF!=Pile!$BD$342,MIN(Pile!$BL$342:$BL$347),IF(Pile!#REF!=Pile!$BD$348,MIN(Pile!$BL$348:$BL$353),IF(Pile!#REF!=Pile!$BD$354,MIN(Pile!$BL$354:$BL$359),"Not Suitable"))))))</f>
        <v>170.70368043882976</v>
      </c>
      <c r="N68" s="1198"/>
      <c r="O68" s="572" t="s">
        <v>1932</v>
      </c>
      <c r="P68" s="1208" cm="1">
        <f t="array" ref="P68">_xlfn.SINGLE(_xlfn.IFS(AND(Inputs!$E$32="All Types",$A$42="Concrete Volume"),(IFERROR(_xlfn.SINGLE(INDEX(Pile!$BP$336:$BP$359,_xlfn.AGGREGATE(15,3,((Pile!$BY$336:$BY$359=T68)/(Pile!$BY$336:$BY$359=T68)*ROW(Pile!$BY$336:$BY$359))-ROW(Pile!$BP$335),ROWS(O68)))),"Not Suitable")),AND(Inputs!$E$32="All Types",$A$42="Number of Piles"),(IFERROR(_xlfn.SINGLE(INDEX(Pile!$BP$336:$BP$359,_xlfn.AGGREGATE(15,3,((Pile!$BY$336:$BY$359=T68)/(Pile!$BY$336:$BY$359=T68)*ROW(Pile!$BY$336:$BY$359))-ROW(Pile!$BP$335),ROWS(O68)))),"Not Suitable"))))</f>
        <v>450</v>
      </c>
      <c r="Q68" s="1209">
        <f>IF(T68="Not Suitable","Not Suitable",T68/(S68*PI()*(P68/2000)^2))</f>
        <v>18.536776513153224</v>
      </c>
      <c r="R68" s="1208" cm="1">
        <f t="array" ref="R68">_xlfn.SINGLE(_xlfn.IFS(AND(Inputs!$E$32="All Types",$A$42="Concrete Volume"),(IFERROR(_xlfn.SINGLE(INDEX(Pile!$BO$336:$BO$359,_xlfn.AGGREGATE(15,3,((Pile!$BY$336:$BY$359=T68)/(Pile!$BY$336:$BY$359=T68)*ROW(Pile!$BY$336:$BY$359))-ROW(Pile!$BP$335),ROWS(O68)))),"Not Suitable")),AND(Inputs!$E$32="All Types",$A$42="Number of Piles"),(IF(SUMPRODUCT(--ISNUMBER(Pile!$BY$336:$BY$341)),Pile!$BO$336,IF(SUMPRODUCT(--ISNUMBER(Pile!$BY$342:$BY$347)),Pile!$BO$342,IF(SUMPRODUCT(--ISNUMBER(Pile!$BY$348:$BY$353)),Pile!$BO$348,IF(SUMPRODUCT(--ISNUMBER(Pile!$BY$354:$BY$359)),Pile!$BO$354,"Not Suitable")))))))</f>
        <v>1</v>
      </c>
      <c r="S68" s="1208" cm="1">
        <f t="array" ref="S68">_xlfn.SINGLE(_xlfn.IFS(AND(Inputs!$E$32="All Types",$A$42="Concrete Volume"),(IFERROR(_xlfn.SINGLE(INDEX(Pile!$BQ$336:$BQ$359,_xlfn.AGGREGATE(15,3,((Pile!$BY$336:$BY$359=T68)/(Pile!$BY$336:$BY$359=T68)*ROW(Pile!$BY$336:$BY$359))-ROW(Pile!$BP$335),ROWS(O68)))),"Not Suitable")),AND(Inputs!$E$32="All Types",$A$42="Number of Piles"),(IF(SUMPRODUCT(--ISNUMBER(Pile!$BY$336:$BY$341)),Pile!$BQ$336,IF(SUMPRODUCT(--ISNUMBER(Pile!$BY$342:$BY$347)),Pile!$BQ$342,IF(SUMPRODUCT(--ISNUMBER(Pile!$BY$348:$BY$353)),Pile!$BQ$348,IF(SUMPRODUCT(--ISNUMBER(Pile!$BY$354:$BY$359)),Pile!$BQ$354,"Not Suitable")))))))</f>
        <v>63</v>
      </c>
      <c r="T68" s="1209">
        <f>_xlfn.IFS(AND(Inputs!$E$32="All Types",$A$42="Concrete Volume"),(IF(MIN(Pile!$BY$336:$BY$359)&gt;0, MIN(Pile!$BY$336:$BY$359), "Not Suitable")),AND(Inputs!$E$32="All Types",$A$42="Number of Piles"),(IF(Pile!#REF!=Pile!$BQ$336,MIN(Pile!$BY$336:$BY$341),IF(Pile!#REF!=Pile!$BQ$342,MIN(Pile!$BY$342:$BY$347),IF(Pile!#REF!=Pile!$BQ$348,MIN(Pile!$BY$348:$BY$353),IF(Pile!#REF!=Pile!$BQ$354,MIN(Pile!$BY$354:$BY$359),"Not Suitable"))))))</f>
        <v>185.73325604314417</v>
      </c>
    </row>
    <row r="69" spans="1:20" s="314" customFormat="1" ht="15.75" thickBot="1">
      <c r="A69" s="572" t="s">
        <v>1933</v>
      </c>
      <c r="B69" s="1210" cm="1">
        <f t="array" ref="B69">_xlfn.SINGLE(_xlfn.IFS(AND(Inputs!$E$32="All Types",$A$42="Concrete Volume"),(IFERROR(_xlfn.SINGLE(INDEX(Pile!$AP$368:$AP$391,_xlfn.AGGREGATE(15,3,((Pile!$AY$368:$AY$391=F69)/(Pile!$AY$368:$AY$391=F69)*ROW(Pile!$AY$368:$AY$391))-ROW(Pile!$AP$367),ROWS(A69)))),"Not Suitable")),AND(Inputs!$E$32="All Types",$A$42="Number of Piles"),(IFERROR(_xlfn.SINGLE(INDEX(Pile!$AP$368:$AP$391,_xlfn.AGGREGATE(15,3,((Pile!$AY$368:$AY$391=F69)/(Pile!$AY$368:$AY$391=F69)*ROW(Pile!$AY$368:$AY$391))-ROW(Pile!$AP$367),ROWS(A69)))),"Not Suitable"))))</f>
        <v>450</v>
      </c>
      <c r="C69" s="1211">
        <f>IF(F69="Not Suitable","Not Suitable",F69/(E69*PI()*(B69/2000)^2))</f>
        <v>17.036776513153224</v>
      </c>
      <c r="D69" s="1210" cm="1">
        <f t="array" ref="D69">_xlfn.SINGLE(_xlfn.IFS(AND(Inputs!$E$32="All Types",$A$42="Concrete Volume"),(IFERROR(_xlfn.SINGLE(INDEX(Pile!$AO$368:$AO$391,_xlfn.AGGREGATE(15,3,((Pile!$AY$368:$AY$391=F69)/(Pile!$AY$368:$AY$391=F69)*ROW(Pile!$AY$368:$AY$391))-ROW(Pile!$AP$367),ROWS(A69)))),"Not Suitable")),AND(Inputs!$E$32="All Types",$A$42="Number of Piles"),(IF(SUMPRODUCT(--ISNUMBER(Pile!$AY$368:$AY$373)),Pile!$AO$368,IF(SUMPRODUCT(--ISNUMBER(Pile!$AY$374:$AY$379)),Pile!$AO$374,IF(SUMPRODUCT(--ISNUMBER(Pile!$AY$380:$AY$385)),Pile!$AO$380,IF(SUMPRODUCT(--ISNUMBER(Pile!$AY$386:$AY$391)),Pile!$AO$386,"Not Suitable")))))))</f>
        <v>1</v>
      </c>
      <c r="E69" s="1210" cm="1">
        <f t="array" ref="E69">_xlfn.SINGLE(_xlfn.IFS(AND(Inputs!$E$32="All Types",$A$42="Concrete Volume"),(IFERROR(_xlfn.SINGLE(INDEX(Pile!$AQ$368:$AQ$391,_xlfn.AGGREGATE(15,3,((Pile!$AY$368:$AY$391=F69)/(Pile!$AY$368:$AY$391=F69)*ROW(Pile!$AY$368:$AY$391))-ROW(Pile!$AP$367),ROWS(A69)))),"Not Suitable")),AND(Inputs!$E$32="All Types",$A$42="Number of Piles"),(IF(SUMPRODUCT(--ISNUMBER(Pile!$AY$368:$AY$373)),Pile!$AQ$368,IF(SUMPRODUCT(--ISNUMBER(Pile!$AY$374:$AY$379)),Pile!$AQ$374,IF(SUMPRODUCT(--ISNUMBER(Pile!$AY$380:$AY$385)),Pile!$AQ$380,IF(SUMPRODUCT(--ISNUMBER(Pile!$AY$386:$AY$391)),Pile!$AQ$386,"Not Suitable")))))))</f>
        <v>32</v>
      </c>
      <c r="F69" s="1211">
        <f>_xlfn.IFS(AND(Inputs!$E$32="All Types",$A$42="Concrete Volume"),(IF(MIN(Pile!$AY$368:$AY$391)&gt;0,MIN(Pile!$AY$368:$AY$391), "Not Suitable")),AND(Inputs!$E$32="All Types",$A$42="Number of Piles"),(IF(Pile!#REF!=Pile!$AQ$368,MIN(Pile!$AY$368:$AY$373),IF(Pile!#REF!=Pile!$AQ$374,MIN(Pile!$AY$374:$AY$379),IF(Pile!#REF!=Pile!$AQ$380,MIN(Pile!$AY$380:$AY$385),IF(Pile!#REF!=Pile!$AQ$386,MIN(Pile!$AY$386:$AY$391),"Not Suitable"))))))</f>
        <v>86.706631334008762</v>
      </c>
      <c r="G69" s="1198"/>
      <c r="H69" s="572" t="s">
        <v>1933</v>
      </c>
      <c r="I69" s="1210" cm="1">
        <f t="array" ref="I69">_xlfn.SINGLE(_xlfn.IFS(AND(Inputs!$E$32="All Types",$A$42="Concrete Volume"),(IFERROR(_xlfn.SINGLE(INDEX(Pile!$BC$368:$BC$391,_xlfn.AGGREGATE(15,3,((Pile!$BL$368:$BL$391=M69)/(Pile!$BL$368:$BL$391=M69)*ROW(Pile!$BL$368:$BL$391))-ROW(Pile!$BC$367),ROWS(H69)))),"Not Suitable")),AND(Inputs!$E$32="All Types",$A$42="Number of Piles"),(IFERROR(_xlfn.SINGLE(INDEX(Pile!$BC$368:$BC$391,_xlfn.AGGREGATE(15,3,((Pile!$BL$368:$BL$391=M69)/(Pile!$BL$368:$BL$391=M69)*ROW(Pile!$BL$368:$BL$391))-ROW(Pile!$BC$367),ROWS(H69)))),"Not Suitable"))))</f>
        <v>450</v>
      </c>
      <c r="J69" s="1211">
        <f>IF(M69="Not Suitable","Not Suitable",M69/(L69*PI()*(I69/2000)^2))</f>
        <v>17.036776513153224</v>
      </c>
      <c r="K69" s="1210" cm="1">
        <f t="array" ref="K69">_xlfn.SINGLE(_xlfn.IFS(AND(Inputs!$E$32="All Types",$A$42="Concrete Volume"),(IFERROR(_xlfn.SINGLE(INDEX(Pile!$BB$368:$BB$391,_xlfn.AGGREGATE(15,3,((Pile!$BL$368:$BL$391=M69)/(Pile!$BL$368:$BL$391=M69)*ROW(Pile!$BL$368:$BL$391))-ROW(Pile!$BC$367),ROWS(H69)))),"Not Suitable")),AND(Inputs!$E$32="All Types",$A$42="Number of Piles"),(IF(SUMPRODUCT(--ISNUMBER(Pile!$BL$368:$BL$373)),Pile!$BB$368,IF(SUMPRODUCT(--ISNUMBER(Pile!$BL$374:$BL$379)),Pile!$BB$374,IF(SUMPRODUCT(--ISNUMBER(Pile!$BL$380:$BL$385)),Pile!$BB$380,IF(SUMPRODUCT(--ISNUMBER(Pile!$BL$386:$BL$391)),Pile!$BB$386,"Not Suitable")))))))</f>
        <v>1</v>
      </c>
      <c r="L69" s="1210" cm="1">
        <f t="array" ref="L69">_xlfn.SINGLE(_xlfn.IFS(AND(Inputs!$E$32="All Types",$A$42="Concrete Volume"),(IFERROR(_xlfn.SINGLE(INDEX(Pile!$BD$368:$BD$391,_xlfn.AGGREGATE(15,3,((Pile!$BL$368:$BL$391=M69)/(Pile!$BL$368:$BL$391=M69)*ROW(Pile!$BL$368:$BL$391))-ROW(Pile!$BC$367),ROWS(H69)))),"Not Suitable")),AND(Inputs!$E$32="All Types",$A$42="Number of Piles"),(IF(SUMPRODUCT(--ISNUMBER(Pile!$BL$368:$BL$373)),Pile!$BD$368,IF(SUMPRODUCT(--ISNUMBER(Pile!$BL$374:$BL$379)),Pile!$BD$374,IF(SUMPRODUCT(--ISNUMBER(Pile!$BL$380:$BL$385)),Pile!$BD$380,IF(SUMPRODUCT(--ISNUMBER(Pile!$BL$386:$BL$391)),Pile!$BD$386,"Not Suitable")))))))</f>
        <v>32</v>
      </c>
      <c r="M69" s="1211">
        <f>_xlfn.IFS(AND(Inputs!$E$32="All Types",$A$42="Concrete Volume"),(IF(MIN(Pile!$BL$368:$BL$391)&gt;0,MIN(Pile!$BL$368:$BL$391), "Not Suitable")),AND(Inputs!$E$32="All Types",$A$42="Number of Piles"),(IF(Pile!#REF!=Pile!$BD$368,MIN(Pile!$BL$368:$BL$373),IF(Pile!#REF!=Pile!$BD$374,MIN(Pile!$BL$374:$BL$379),IF(Pile!#REF!=Pile!$BD$380,MIN(Pile!$BL$380:$BL$385),IF(Pile!#REF!=Pile!$BD$386,MIN(Pile!$BL$386:$BL$391),"Not Suitable"))))))</f>
        <v>86.706631334008762</v>
      </c>
      <c r="N69" s="1198"/>
      <c r="O69" s="572" t="s">
        <v>1933</v>
      </c>
      <c r="P69" s="1210" cm="1">
        <f t="array" ref="P69">_xlfn.SINGLE(_xlfn.IFS(AND(Inputs!$E$32="All Types",$A$42="Concrete Volume"),(IFERROR(_xlfn.SINGLE(INDEX(Pile!$BP$368:$BP$391,_xlfn.AGGREGATE(15,3,((Pile!$BY$368:$BY$391=T69)/(Pile!$BY$368:$BY$391=T69)*ROW(Pile!$BY$368:$BY$391))-ROW(Pile!$BP$367),ROWS(O69)))),"Not Suitable")),AND(Inputs!$E$32="All Types",$A$42="Number of Piles"),(IFERROR(_xlfn.SINGLE(INDEX(Pile!$BP$368:$BP$391,_xlfn.AGGREGATE(15,3,((Pile!$BY$368:$BY$391=T69)/(Pile!$BY$368:$BY$391=T69)*ROW(Pile!$BY$368:$BY$391))-ROW(Pile!$BP$367),ROWS(O69)))),"Not Suitable"))))</f>
        <v>450</v>
      </c>
      <c r="Q69" s="1211">
        <f>IF(T69="Not Suitable","Not Suitable",T69/(S69*PI()*(P69/2000)^2))</f>
        <v>17.036776513153224</v>
      </c>
      <c r="R69" s="1210" cm="1">
        <f t="array" ref="R69">_xlfn.SINGLE(_xlfn.IFS(AND(Inputs!$E$32="All Types",$A$42="Concrete Volume"),(IFERROR(_xlfn.SINGLE(INDEX(Pile!$BO$368:$BO$391,_xlfn.AGGREGATE(15,3,((Pile!$BY$368:$BY$391=T69)/(Pile!$BY$368:$BY$391=T69)*ROW(Pile!$BY$368:$BY$391))-ROW(Pile!$BP$367),ROWS(O69)))),"Not Suitable")),AND(Inputs!$E$32="All Types",$A$42="Number of Piles"),(IF(SUMPRODUCT(--ISNUMBER(Pile!$BY$368:$BY$373)),Pile!$BO$368,IF(SUMPRODUCT(--ISNUMBER(Pile!$BY$374:$BY$379)),Pile!$BO$374,IF(SUMPRODUCT(--ISNUMBER(Pile!$BY$380:$BY$385)),Pile!$BO$380,IF(SUMPRODUCT(--ISNUMBER(Pile!$BY$386:$BY$391)),Pile!$BO$386,"Not Suitable")))))))</f>
        <v>1</v>
      </c>
      <c r="S69" s="1210" cm="1">
        <f t="array" ref="S69">_xlfn.SINGLE(_xlfn.IFS(AND(Inputs!$E$32="All Types",$A$42="Concrete Volume"),(IFERROR(_xlfn.SINGLE(INDEX(Pile!$BQ$368:$BQ$391,_xlfn.AGGREGATE(15,3,((Pile!$BY$368:$BY$391=T69)/(Pile!$BY$368:$BY$391=T69)*ROW(Pile!$BY$368:$BY$391))-ROW(Pile!$BP$367),ROWS(O69)))),"Not Suitable")),AND(Inputs!$E$32="All Types",$A$42="Number of Piles"),(IF(SUMPRODUCT(--ISNUMBER(Pile!$BY$368:$BY$373)),Pile!$BQ$368,IF(SUMPRODUCT(--ISNUMBER(Pile!$BY$374:$BY$379)),Pile!$BQ$374,IF(SUMPRODUCT(--ISNUMBER(Pile!$BY$380:$BY$385)),Pile!$BQ$380,IF(SUMPRODUCT(--ISNUMBER(Pile!$BY$386:$BY$391)),Pile!$BQ$386,"Not Suitable")))))))</f>
        <v>32</v>
      </c>
      <c r="T69" s="1211">
        <f>_xlfn.IFS(AND(Inputs!$E$32="All Types",$A$42="Concrete Volume"),(IF(MIN(Pile!$BY$368:$BY$391)&gt;0,MIN(Pile!$BY$368:$BY$391), "Not Suitable")),AND(Inputs!$E$32="All Types",$A$42="Number of Piles"),(IF(Pile!#REF!=Pile!$BQ$368,MIN(Pile!$BY$368:$BY$373),IF(Pile!#REF!=Pile!$BQ$374,MIN(Pile!$BY$374:$BY$379),IF(Pile!#REF!=Pile!$BQ$380,MIN(Pile!$BY$380:$BY$385),IF(Pile!#REF!=Pile!$BQ$386,MIN(Pile!$BY$386:$BY$391),"Not Suitable"))))))</f>
        <v>86.706631334008762</v>
      </c>
    </row>
    <row r="70" spans="1:20" s="314" customFormat="1" ht="15.75" thickBot="1">
      <c r="A70" s="578" t="s">
        <v>1934</v>
      </c>
      <c r="B70" s="1210" cm="1">
        <f t="array" ref="B70">_xlfn.SINGLE(_xlfn.IFS(AND(Inputs!$E$32="All Types",$A$42="Concrete Volume"),(IFERROR(_xlfn.SINGLE(INDEX(Pile!$AP$399:$AP$422,_xlfn.AGGREGATE(15,3,((Pile!$AY$399:$AY$422=F70)/(Pile!$AY$399:$AY$422=F70)*ROW(Pile!$AY$399:$AY$422))-ROW(Pile!$AP$398),ROWS(A70)))),"Not Suitable")),AND(Inputs!$E$32="All Types",$A$42="Number of Piles"),(IFERROR(_xlfn.SINGLE(INDEX(Pile!$AP$399:$AP$422,_xlfn.AGGREGATE(15,3,((Pile!$AY$399:$AY$422=F70)/(Pile!$AY$399:$AY$422=F70)*ROW(Pile!$AY$399:$AY$422))-ROW(Pile!$AP$398),ROWS(A70)))),"Not Suitable"))))</f>
        <v>450</v>
      </c>
      <c r="C70" s="1211">
        <f>IF(F70="Not Suitable","Not Suitable",F70/(E70*PI()*(B70/2000)^2))</f>
        <v>17.036776513153224</v>
      </c>
      <c r="D70" s="1210" cm="1">
        <f t="array" ref="D70">_xlfn.SINGLE(_xlfn.IFS(AND(Inputs!$E$32="All Types",$A$42="Concrete Volume"),(IFERROR(_xlfn.SINGLE(INDEX(Pile!$AO$399:$AO$422,_xlfn.AGGREGATE(15,3,((Pile!$AY$399:$AY$422=F70)/(Pile!$AY$399:$AY$422=F70)*ROW(Pile!$AY$399:$AY$422))-ROW(Pile!$AP$398),ROWS(A70)))),"Not Suitable")),AND(Inputs!$E$32="All Types",$A$42="Number of Piles"),(IF(SUMPRODUCT(--ISNUMBER(Pile!$AY$399:$AY$404)),Pile!$AO$399,IF(SUMPRODUCT(--ISNUMBER(Pile!$AY$405:$AY$410)),Pile!$AO$405,IF(SUMPRODUCT(--ISNUMBER(Pile!$AY$411:$AY$416)),Pile!$AO$411,IF(SUMPRODUCT(--ISNUMBER(Pile!$AY$417:$AY$422)),Pile!$AO$417,"Not Suitable")))))))</f>
        <v>1</v>
      </c>
      <c r="E70" s="1210" cm="1">
        <f t="array" ref="E70">_xlfn.SINGLE(_xlfn.IFS(AND(Inputs!$E$32="All Types",$A$42="Concrete Volume"),(IFERROR(_xlfn.SINGLE(INDEX(Pile!$AQ$399:$AQ$422,_xlfn.AGGREGATE(15,3,((Pile!$AY$399:$AY$422=F70)/(Pile!$AY$399:$AY$422=F70)*ROW(Pile!$AY$399:$AY$422))-ROW(Pile!$AP$398),ROWS(A70)))),"Not Suitable")),AND(Inputs!$E$32="All Types",$A$42="Number of Piles"),(IF(SUMPRODUCT(--ISNUMBER(Pile!$AY$399:$AY$404)),Pile!$AQ$399,IF(SUMPRODUCT(--ISNUMBER(Pile!$AY$405:$AY$410)),Pile!$AQ$405,IF(SUMPRODUCT(--ISNUMBER(Pile!$AY$411:$AY$416)),Pile!$AQ$411,IF(SUMPRODUCT(--ISNUMBER(Pile!$AY$417:$AY$422)),Pile!$AQ$417,"Not Suitable")))))))</f>
        <v>4</v>
      </c>
      <c r="F70" s="1211">
        <f>_xlfn.IFS(AND(Inputs!$E$32="All Types",$A$42="Concrete Volume"),(IF(MIN(Pile!$AY$399:$AY$422)&gt;0,MIN(Pile!$AY$399:$AY$422), "Not Suitable")),AND(Inputs!$E$32="All Types",$A$42="Number of Piles"),(IF(Pile!#REF!=Pile!$AQ$399,MIN(Pile!$AY$399:$AY$404),IF(Pile!#REF!=Pile!$AQ$405,MIN(Pile!$AY$405:$AY$410),IF(Pile!#REF!=Pile!$AQ$411,MIN(Pile!$AY$411:$AY$416),IF(Pile!#REF!=Pile!$AQ$417,MIN(Pile!$AY$417:$AY$422),"Not Suitable"))))))</f>
        <v>10.838328916751095</v>
      </c>
      <c r="G70" s="1198"/>
      <c r="H70" s="578" t="s">
        <v>1934</v>
      </c>
      <c r="I70" s="1210" cm="1">
        <f t="array" ref="I70">_xlfn.SINGLE(_xlfn.IFS(AND(Inputs!$E$32="All Types",$A$42="Concrete Volume"),(IFERROR(_xlfn.SINGLE(INDEX(Pile!$BC$399:$BC$422,_xlfn.AGGREGATE(15,3,((Pile!$BL$399:$BL$422=M70)/(Pile!$BL$399:$BL$422=M70)*ROW(Pile!$BL$399:$BL$422))-ROW(Pile!$BC$398),ROWS(H70)))),"Not Suitable")),AND(Inputs!$E$32="All Types",$A$42="Number of Piles"),(IFERROR(_xlfn.SINGLE(INDEX(Pile!$BC$399:$BC$422,_xlfn.AGGREGATE(15,3,((Pile!$BL$399:$BL$422=M70)/(Pile!$BL$399:$BL$422=M70)*ROW(Pile!$BL$399:$BL$422))-ROW(Pile!$BC$398),ROWS(H70)))),"Not Suitable"))))</f>
        <v>450</v>
      </c>
      <c r="J70" s="1211">
        <f>IF(M70="Not Suitable","Not Suitable",M70/(L70*PI()*(I70/2000)^2))</f>
        <v>17.036776513153224</v>
      </c>
      <c r="K70" s="1210" cm="1">
        <f t="array" ref="K70">_xlfn.SINGLE(_xlfn.IFS(AND(Inputs!$E$32="All Types",$A$42="Concrete Volume"),(IFERROR(_xlfn.SINGLE(INDEX(Pile!$BB$399:$BB$422,_xlfn.AGGREGATE(15,3,((Pile!$BL$399:$BL$422=M70)/(Pile!$BL$399:$BL$422=M70)*ROW(Pile!$BL$399:$BL$422))-ROW(Pile!$BC$398),ROWS(H70)))),"Not Suitable")),AND(Inputs!$E$32="All Types",$A$42="Number of Piles"),(IF(SUMPRODUCT(--ISNUMBER(Pile!$BL$399:$BL$404)),Pile!$BB$399,IF(SUMPRODUCT(--ISNUMBER(Pile!$BL$405:$BL$410)),Pile!$BB$405,IF(SUMPRODUCT(--ISNUMBER(Pile!$BL$411:$BL$416)),Pile!$BB$411,IF(SUMPRODUCT(--ISNUMBER(Pile!$BL$417:$BL$422)),Pile!$BB$417,"Not Suitable")))))))</f>
        <v>1</v>
      </c>
      <c r="L70" s="1210" cm="1">
        <f t="array" ref="L70">_xlfn.SINGLE(_xlfn.IFS(AND(Inputs!$E$32="All Types",$A$42="Concrete Volume"),(IFERROR(_xlfn.SINGLE(INDEX(Pile!$BD$399:$BD$422,_xlfn.AGGREGATE(15,3,((Pile!$BL$399:$BL$422=M70)/(Pile!$BL$399:$BL$422=M70)*ROW(Pile!$BL$399:$BL$422))-ROW(Pile!$BC$398),ROWS(H70)))),"Not Suitable")),AND(Inputs!$E$32="All Types",$A$42="Number of Piles"),(IF(SUMPRODUCT(--ISNUMBER(Pile!$BL$399:$BL$404)),Pile!$BD$399,IF(SUMPRODUCT(--ISNUMBER(Pile!$BL$405:$BL$410)),Pile!$BD$405,IF(SUMPRODUCT(--ISNUMBER(Pile!$BL$411:$BL$416)),Pile!$BD$411,IF(SUMPRODUCT(--ISNUMBER(Pile!$BL$417:$BL$422)),Pile!$BD$417,"Not Suitable")))))))</f>
        <v>4</v>
      </c>
      <c r="M70" s="1211">
        <f>_xlfn.IFS(AND(Inputs!$E$32="All Types",$A$42="Concrete Volume"),(IF(MIN(Pile!$BL$399:$BL$422)&gt;0,MIN(Pile!$BL$399:$BL$422), "Not Suitable")),AND(Inputs!$E$32="All Types",$A$42="Number of Piles"),(IF(Pile!#REF!=Pile!$BD$399,MIN(Pile!$BL$399:$BL$404),IF(Pile!#REF!=Pile!$BD$405,MIN(Pile!$BL$405:$BL$410),IF(Pile!#REF!=Pile!$BD$411,MIN(Pile!$BL$411:$BL$416),IF(Pile!#REF!=Pile!$BD$417,MIN(Pile!$BL$417:$BL$422),"Not Suitable"))))))</f>
        <v>10.838328916751095</v>
      </c>
      <c r="N70" s="1198"/>
      <c r="O70" s="578" t="s">
        <v>1934</v>
      </c>
      <c r="P70" s="1210" cm="1">
        <f t="array" ref="P70">_xlfn.SINGLE(_xlfn.IFS(AND(Inputs!$E$32="All Types",$A$42="Concrete Volume"),(IFERROR(_xlfn.SINGLE(INDEX(Pile!$BP$399:$BP$422,_xlfn.AGGREGATE(15,3,((Pile!$BY$399:$BY$422=T70)/(Pile!$BY$399:$BY$422=T70)*ROW(Pile!$BY$399:$BY$422))-ROW(Pile!$BP$398),ROWS(O70)))),"Not Suitable")),AND(Inputs!$E$32="All Types",$A$42="Number of Piles"),(IFERROR(_xlfn.SINGLE(INDEX(Pile!$BP$399:$BP$422,_xlfn.AGGREGATE(15,3,((Pile!$BY$399:$BY$422=T70)/(Pile!$BY$399:$BY$422=T70)*ROW(Pile!$BY$399:$BY$422))-ROW(Pile!$BP$398),ROWS(O70)))),"Not Suitable"))))</f>
        <v>450</v>
      </c>
      <c r="Q70" s="1211">
        <f>IF(T70="Not Suitable","Not Suitable",T70/(S70*PI()*(P70/2000)^2))</f>
        <v>17.036776513153224</v>
      </c>
      <c r="R70" s="1210" cm="1">
        <f t="array" ref="R70">_xlfn.SINGLE(_xlfn.IFS(AND(Inputs!$E$32="All Types",$A$42="Concrete Volume"),(IFERROR(_xlfn.SINGLE(INDEX(Pile!$BO$399:$BO$422,_xlfn.AGGREGATE(15,3,((Pile!$BY$399:$BY$422=T70)/(Pile!$BY$399:$BY$422=T70)*ROW(Pile!$BY$399:$BY$422))-ROW(Pile!$BP$398),ROWS(O70)))),"Not Suitable")),AND(Inputs!$E$32="All Types",$A$42="Number of Piles"),(IF(SUMPRODUCT(--ISNUMBER(Pile!$BY$399:$BY$404)),Pile!$BO$399,IF(SUMPRODUCT(--ISNUMBER(Pile!$BY$405:$BY$410)),Pile!$BO$405,IF(SUMPRODUCT(--ISNUMBER(Pile!$BY$411:$BY$416)),Pile!$BO$411,IF(SUMPRODUCT(--ISNUMBER(Pile!$BY$417:$BY$422)),Pile!$BO$417,"Not Suitable")))))))</f>
        <v>1</v>
      </c>
      <c r="S70" s="1210" cm="1">
        <f t="array" ref="S70">_xlfn.SINGLE(_xlfn.IFS(AND(Inputs!$E$32="All Types",$A$42="Concrete Volume"),(IFERROR(_xlfn.SINGLE(INDEX(Pile!$BQ$399:$BQ$422,_xlfn.AGGREGATE(15,3,((Pile!$BY$399:$BY$422=T70)/(Pile!$BY$399:$BY$422=T70)*ROW(Pile!$BY$399:$BY$422))-ROW(Pile!$BP$398),ROWS(O70)))),"Not Suitable")),AND(Inputs!$E$32="All Types",$A$42="Number of Piles"),(IF(SUMPRODUCT(--ISNUMBER(Pile!$BY$399:$BY$404)),Pile!$BQ$399,IF(SUMPRODUCT(--ISNUMBER(Pile!$BY$405:$BY$410)),Pile!$BQ$405,IF(SUMPRODUCT(--ISNUMBER(Pile!$BY$411:$BY$416)),Pile!$BQ$411,IF(SUMPRODUCT(--ISNUMBER(Pile!$BY$417:$BY$422)),Pile!$BQ$417,"Not Suitable")))))))</f>
        <v>4</v>
      </c>
      <c r="T70" s="1211">
        <f>_xlfn.IFS(AND(Inputs!$E$32="All Types",$A$42="Concrete Volume"),(IF(MIN(Pile!$BY$399:$BY$422)&gt;0,MIN(Pile!$BY$399:$BY$422), "Not Suitable")),AND(Inputs!$E$32="All Types",$A$42="Number of Piles"),(IF(Pile!#REF!=Pile!$BQ$399,MIN(Pile!$BY$399:$BY$404),IF(Pile!#REF!=Pile!$BQ$405,MIN(Pile!$BY$405:$BY$410),IF(Pile!#REF!=Pile!$BQ$411,MIN(Pile!$BY$411:$BY$416),IF(Pile!#REF!=Pile!$BQ$417,MIN(Pile!$BY$417:$BY$422),"Not Suitable"))))))</f>
        <v>10.838328916751095</v>
      </c>
    </row>
    <row r="71" spans="1:20" s="314" customFormat="1" ht="15.75" thickBot="1">
      <c r="B71" s="1214"/>
      <c r="C71" s="1215"/>
      <c r="D71" s="1214"/>
      <c r="E71" s="1214"/>
      <c r="F71" s="1214"/>
      <c r="G71" s="1198"/>
      <c r="I71" s="1214"/>
      <c r="J71" s="1215"/>
      <c r="K71" s="1214"/>
      <c r="L71" s="1214"/>
      <c r="M71" s="1214"/>
      <c r="N71" s="1198"/>
      <c r="P71" s="1214"/>
      <c r="Q71" s="1215"/>
      <c r="R71" s="1214"/>
      <c r="S71" s="1214"/>
      <c r="T71" s="1214"/>
    </row>
    <row r="72" spans="1:20" s="314" customFormat="1" ht="15.75" thickBot="1">
      <c r="A72" s="1203" t="s">
        <v>759</v>
      </c>
      <c r="B72" s="1204" t="s">
        <v>821</v>
      </c>
      <c r="C72" s="1205" t="s">
        <v>847</v>
      </c>
      <c r="D72" s="1206" t="s">
        <v>883</v>
      </c>
      <c r="E72" s="1206" t="s">
        <v>884</v>
      </c>
      <c r="F72" s="1207" t="s">
        <v>885</v>
      </c>
      <c r="G72" s="1198"/>
      <c r="H72" s="1203" t="s">
        <v>759</v>
      </c>
      <c r="I72" s="1204" t="s">
        <v>821</v>
      </c>
      <c r="J72" s="1205" t="s">
        <v>847</v>
      </c>
      <c r="K72" s="1206" t="s">
        <v>883</v>
      </c>
      <c r="L72" s="1206" t="s">
        <v>884</v>
      </c>
      <c r="M72" s="1207" t="s">
        <v>885</v>
      </c>
      <c r="N72" s="1198"/>
      <c r="O72" s="1203" t="s">
        <v>759</v>
      </c>
      <c r="P72" s="1204" t="s">
        <v>821</v>
      </c>
      <c r="Q72" s="1205" t="s">
        <v>847</v>
      </c>
      <c r="R72" s="1206" t="s">
        <v>883</v>
      </c>
      <c r="S72" s="1206" t="s">
        <v>884</v>
      </c>
      <c r="T72" s="1207" t="s">
        <v>885</v>
      </c>
    </row>
    <row r="73" spans="1:20" s="314" customFormat="1" ht="15.75" thickBot="1">
      <c r="A73" s="572" t="s">
        <v>1932</v>
      </c>
      <c r="B73" s="1208" cm="1">
        <f t="array" ref="B73">_xlfn.SINGLE(_xlfn.IFS(AND(Inputs!$E$32="All Types",$A$42="Concrete Volume"),(IFERROR(_xlfn.SINGLE(INDEX(Pile!$AP$336:$AP$359,_xlfn.AGGREGATE(15,3,((Pile!$AX$336:$AX$359=F73)/(Pile!$AX$336:$AX$359=F73)*ROW(Pile!$AX$336:$AX$359))-ROW(Pile!$AP$335),ROWS(A73)))),"Not Suitable")),AND(Inputs!$E$32="All Types",$A$42="Number of Piles"),(IFERROR(_xlfn.SINGLE(INDEX(Pile!$AP$336:$AP$359,_xlfn.AGGREGATE(15,3,((Pile!$AX$336:$AX$359=F73)/(Pile!$AX$336:$AX$359=F73)*ROW(Pile!$AX$336:$AX$359))-ROW(Pile!$AP$335),ROWS(A73)))),"Not Suitable"))))</f>
        <v>450</v>
      </c>
      <c r="C73" s="1209">
        <f>IF(F73="Not Suitable","Not Suitable",F73/(E73*PI()*(B73/2000)^2))</f>
        <v>17.036776513153228</v>
      </c>
      <c r="D73" s="1208" cm="1">
        <f t="array" ref="D73">_xlfn.SINGLE(_xlfn.IFS(AND(Inputs!$E$32="All Types",$A$42="Concrete Volume"),(IFERROR(_xlfn.SINGLE(INDEX(Pile!$AO$336:$AO$359,_xlfn.AGGREGATE(15,3,((Pile!$AX$336:$AX$359=F73)/(Pile!$AX$336:$AX$359=F73)*ROW(Pile!$AX$336:$AX$359))-ROW(Pile!$AP$335),ROWS(A73)))),"Not Suitable")),AND(Inputs!$E$32="All Types",$A$42="Number of Piles"),(IF(SUMPRODUCT(--ISNUMBER(Pile!$AX$336:$AX$341)),Pile!$AO$336,IF(SUMPRODUCT(--ISNUMBER(Pile!$AX$342:$AX$347)),Pile!$AO$342,IF(SUMPRODUCT(--ISNUMBER(Pile!$AX$348:$AX$353)),Pile!$AO$348,IF(SUMPRODUCT(--ISNUMBER(Pile!$AX$354:$AX$359)),Pile!$AO$354,"Not Suitable")))))))</f>
        <v>1</v>
      </c>
      <c r="E73" s="1208" cm="1">
        <f t="array" ref="E73">_xlfn.SINGLE(_xlfn.IFS(AND(Inputs!$E$32="All Types",$A$42="Concrete Volume"),(IFERROR(_xlfn.SINGLE(INDEX(Pile!$AQ$336:$AQ$359,_xlfn.AGGREGATE(15,3,((Pile!$AX$336:$AX$359=F73)/(Pile!$AX$336:$AX$359=F73)*ROW(Pile!$AX$336:$AX$359))-ROW(Pile!$AP$335),ROWS(A73)))),"Not Suitable")),AND(Inputs!$E$32="All Types",$A$42="Number of Piles"),(IF(SUMPRODUCT(--ISNUMBER(Pile!$AX$336:$AX$341)),Pile!$AQ$336,IF(SUMPRODUCT(--ISNUMBER(Pile!$AX$342:$AX$347)),Pile!$AQ$342,IF(SUMPRODUCT(--ISNUMBER(Pile!$AX$348:$AX$353)),Pile!$AQ$348,IF(SUMPRODUCT(--ISNUMBER(Pile!$AX$354:$AX$359)),Pile!$AQ$354,"Not Suitable")))))))</f>
        <v>63</v>
      </c>
      <c r="F73" s="1209">
        <f>_xlfn.IFS(AND(Inputs!$E$32="All Types",$A$42="Concrete Volume"),(IF(MIN(Pile!$AX$336:$AX$359)&gt;0, MIN(Pile!$AX$336:$AX$359), "Not Suitable")),AND(Inputs!$E$32="All Types",$A$42="Number of Piles"),(IF(Pile!#REF!=Pile!$AQ$336,MIN(Pile!$AX$336:$AX$341),IF(Pile!#REF!=Pile!$AQ$342,MIN(Pile!$AX$342:$AX$347),IF(Pile!#REF!=Pile!$AQ$348,MIN(Pile!$AX$348:$AX$353),IF(Pile!#REF!=Pile!$AQ$354,MIN(Pile!$AX$354:$AX$359),"Not Suitable"))))))</f>
        <v>170.70368043882976</v>
      </c>
      <c r="G73" s="1198"/>
      <c r="H73" s="572" t="s">
        <v>1932</v>
      </c>
      <c r="I73" s="1208" cm="1">
        <f t="array" ref="I73">_xlfn.SINGLE(_xlfn.IFS(AND(Inputs!$E$32="All Types",$A$42="Concrete Volume"),(IFERROR(_xlfn.SINGLE(INDEX(Pile!$BC$336:$BC$359,_xlfn.AGGREGATE(15,3,((Pile!$BK$336:$BK$359=M73)/(Pile!$BK$336:$BK$359=M73)*ROW(Pile!$BK$336:$BK$359))-ROW(Pile!$BC$335),ROWS(H73)))),"Not Suitable")),AND(Inputs!$E$32="All Types",$A$42="Number of Piles"),(IFERROR(_xlfn.SINGLE(INDEX(Pile!$BC$336:$BC$359,_xlfn.AGGREGATE(15,3,((Pile!$BK$336:$BK$359=M73)/(Pile!$BK$336:$BK$359=M73)*ROW(Pile!$BK$336:$BK$359))-ROW(Pile!$BC$335),ROWS(H73)))),"Not Suitable"))))</f>
        <v>450</v>
      </c>
      <c r="J73" s="1209">
        <f>IF(M73="Not Suitable","Not Suitable",M73/(L73*PI()*(I73/2000)^2))</f>
        <v>18.536776513153224</v>
      </c>
      <c r="K73" s="1208" cm="1">
        <f t="array" ref="K73">_xlfn.SINGLE(_xlfn.IFS(AND(Inputs!$E$32="All Types",$A$42="Concrete Volume"),(IFERROR(_xlfn.SINGLE(INDEX(Pile!$BB$336:$BB$359,_xlfn.AGGREGATE(15,3,((Pile!$BK$336:$BK$359=M73)/(Pile!$BK$336:$BK$359=M73)*ROW(Pile!$BK$336:$BK$359))-ROW(Pile!$BC$335),ROWS(H73)))),"Not Suitable")),AND(Inputs!$E$32="All Types",$A$42="Number of Piles"),(IF(SUMPRODUCT(--ISNUMBER(Pile!$BK$336:$BK$341)),Pile!$BB$336,IF(SUMPRODUCT(--ISNUMBER(Pile!$BK$342:$BK$347)),Pile!$BB$342,IF(SUMPRODUCT(--ISNUMBER(Pile!$BK$348:$BK$353)),Pile!$BB$348,IF(SUMPRODUCT(--ISNUMBER(Pile!$BK$354:$BK$359)),Pile!$BB$354,"Not Suitable")))))))</f>
        <v>1</v>
      </c>
      <c r="L73" s="1208" cm="1">
        <f t="array" ref="L73">_xlfn.SINGLE(_xlfn.IFS(AND(Inputs!$E$32="All Types",$A$42="Concrete Volume"),(IFERROR(_xlfn.SINGLE(INDEX(Pile!$BD$336:$BD$359,_xlfn.AGGREGATE(15,3,((Pile!$BK$336:$BK$359=M73)/(Pile!$BK$336:$BK$359=M73)*ROW(Pile!$BK$336:$BK$359))-ROW(Pile!$BC$335),ROWS(H73)))),"Not Suitable")),AND(Inputs!$E$32="All Types",$A$42="Number of Piles"),(IF(SUMPRODUCT(--ISNUMBER(Pile!$BK$336:$BK$341)),Pile!$BD$336,IF(SUMPRODUCT(--ISNUMBER(Pile!$BK$342:$BK$347)),Pile!$BD$342,IF(SUMPRODUCT(--ISNUMBER(Pile!$BK$348:$BK$353)),Pile!$BD$348,IF(SUMPRODUCT(--ISNUMBER(Pile!$BK$354:$BK$359)),Pile!$BD$354,"Not Suitable")))))))</f>
        <v>63</v>
      </c>
      <c r="M73" s="1209">
        <f>_xlfn.IFS(AND(Inputs!$E$32="All Types",$A$42="Concrete Volume"),(IF(MIN(Pile!$BK$336:$BK$359)&gt;0, MIN(Pile!$BK$336:$BK$359), "Not Suitable")),AND(Inputs!$E$32="All Types",$A$42="Number of Piles"),(IF(Pile!#REF!=Pile!$BD$336,MIN(Pile!$BK$336:$BK$341),IF(Pile!#REF!=Pile!$BD$342,MIN(Pile!$BK$342:$BK$347),IF(Pile!#REF!=Pile!$BD$348,MIN(Pile!$BK$348:$BK$353),IF(Pile!#REF!=Pile!$BD$354,MIN(Pile!$BK$354:$BK$359),"Not Suitable"))))))</f>
        <v>185.73325604314417</v>
      </c>
      <c r="N73" s="1198"/>
      <c r="O73" s="572" t="s">
        <v>1932</v>
      </c>
      <c r="P73" s="1208" cm="1">
        <f t="array" ref="P73">_xlfn.SINGLE(_xlfn.IFS(AND(Inputs!$E$32="All Types",$A$42="Concrete Volume"),(IFERROR(_xlfn.SINGLE(INDEX(Pile!$BP$336:$BP$359,_xlfn.AGGREGATE(15,3,((Pile!$BX$336:$BX$359=T73)/(Pile!$BX$336:$BX$359=T73)*ROW(Pile!$BX$336:$BX$359))-ROW(Pile!$BP$335),ROWS(O73)))),"Not Suitable")),AND(Inputs!$E$32="All Types",$A$42="Number of Piles"),(IFERROR(_xlfn.SINGLE(INDEX(Pile!$BP$336:$BP$359,_xlfn.AGGREGATE(15,3,((Pile!$BX$336:$BX$359=T73)/(Pile!$BX$336:$BX$359=T73)*ROW(Pile!$BX$336:$BX$359))-ROW(Pile!$BP$335),ROWS(O73)))),"Not Suitable"))))</f>
        <v>450</v>
      </c>
      <c r="Q73" s="1209">
        <f>IF(T73="Not Suitable","Not Suitable",T73/(S73*PI()*(P73/2000)^2))</f>
        <v>20.036776513153224</v>
      </c>
      <c r="R73" s="1208" cm="1">
        <f t="array" ref="R73">_xlfn.SINGLE(_xlfn.IFS(AND(Inputs!$E$32="All Types",$A$42="Concrete Volume"),(IFERROR(_xlfn.SINGLE(INDEX(Pile!$BO$336:$BO$359,_xlfn.AGGREGATE(15,3,((Pile!$BX$336:$BX$359=T73)/(Pile!$BX$336:$BX$359=T73)*ROW(Pile!$BX$336:$BX$359))-ROW(Pile!$BP$335),ROWS(O73)))),"Not Suitable")),AND(Inputs!$E$32="All Types",$A$42="Number of Piles"),(IF(SUMPRODUCT(--ISNUMBER(Pile!$BX$336:$BX$341)),Pile!$BO$336,IF(SUMPRODUCT(--ISNUMBER(Pile!$BX$342:$BX$347)),Pile!$BO$342,IF(SUMPRODUCT(--ISNUMBER(Pile!$BX$348:$BX$353)),Pile!$BO$348,IF(SUMPRODUCT(--ISNUMBER(Pile!$BX$354:$BX$359)),Pile!$BO$354,"Not Suitable")))))))</f>
        <v>1</v>
      </c>
      <c r="S73" s="1208" cm="1">
        <f t="array" ref="S73">_xlfn.SINGLE(_xlfn.IFS(AND(Inputs!$E$32="All Types",$A$42="Concrete Volume"),(IFERROR(_xlfn.SINGLE(INDEX(Pile!$BQ$336:$BQ$359,_xlfn.AGGREGATE(15,3,((Pile!$BX$336:$BX$359=T73)/(Pile!$BX$336:$BX$359=T73)*ROW(Pile!$BX$336:$BX$359))-ROW(Pile!$BP$335),ROWS(O73)))),"Not Suitable")),AND(Inputs!$E$32="All Types",$A$42="Number of Piles"),(IF(SUMPRODUCT(--ISNUMBER(Pile!$BX$336:$BX$341)),Pile!$BQ$336,IF(SUMPRODUCT(--ISNUMBER(Pile!$BX$342:$BX$347)),Pile!$BQ$342,IF(SUMPRODUCT(--ISNUMBER(Pile!$BX$348:$BX$353)),Pile!$BQ$348,IF(SUMPRODUCT(--ISNUMBER(Pile!$BX$354:$BX$359)),Pile!$BQ$354,"Not Suitable")))))))</f>
        <v>63</v>
      </c>
      <c r="T73" s="1209">
        <f>_xlfn.IFS(AND(Inputs!$E$32="All Types",$A$42="Concrete Volume"),(IF(MIN(Pile!$BX$336:$BX$359)&gt;0, MIN(Pile!$BX$336:$BX$359), "Not Suitable")),AND(Inputs!$E$32="All Types",$A$42="Number of Piles"),(IF(Pile!#REF!=Pile!$BQ$336,MIN(Pile!$BX$336:$BX$341),IF(Pile!#REF!=Pile!$BQ$342,MIN(Pile!$BX$342:$BX$347),IF(Pile!#REF!=Pile!$BQ$348,MIN(Pile!$BX$348:$BX$353),IF(Pile!#REF!=Pile!$BQ$354,MIN(Pile!$BX$354:$BX$359),"Not Suitable"))))))</f>
        <v>200.7628316474586</v>
      </c>
    </row>
    <row r="74" spans="1:20" s="314" customFormat="1" ht="15.75" thickBot="1">
      <c r="A74" s="572" t="s">
        <v>1933</v>
      </c>
      <c r="B74" s="1210" cm="1">
        <f t="array" ref="B74">_xlfn.SINGLE(_xlfn.IFS(AND(Inputs!$E$32="All Types",$A$42="Concrete Volume"),(IFERROR(_xlfn.SINGLE(INDEX(Pile!$AP$368:$AP$391,_xlfn.AGGREGATE(15,3,((Pile!$AX$368:$AX$391=F74)/(Pile!$AX$368:$AX$391=F74)*ROW(Pile!$AX$368:$AX$391))-ROW(Pile!$AP$367),ROWS(A74)))),"Not Suitable")),AND(Inputs!$E$32="All Types",$A$42="Number of Piles"),(IFERROR(_xlfn.SINGLE(INDEX(Pile!$AP$368:$AP$391,_xlfn.AGGREGATE(15,3,((Pile!$AX$368:$AX$391=F74)/(Pile!$AX$368:$AX$391=F74)*ROW(Pile!$AX$368:$AX$391))-ROW(Pile!$AP$367),ROWS(A74)))),"Not Suitable"))))</f>
        <v>450</v>
      </c>
      <c r="C74" s="1211">
        <f>IF(F74="Not Suitable","Not Suitable",F74/(E74*PI()*(B74/2000)^2))</f>
        <v>17.036776513153224</v>
      </c>
      <c r="D74" s="1210" cm="1">
        <f t="array" ref="D74">_xlfn.SINGLE(_xlfn.IFS(AND(Inputs!$E$32="All Types",$A$42="Concrete Volume"),(IFERROR(_xlfn.SINGLE(INDEX(Pile!$AO$368:$AO$391,_xlfn.AGGREGATE(15,3,((Pile!$AX$368:$AX$391=F74)/(Pile!$AX$368:$AX$391=F74)*ROW(Pile!$AX$368:$AX$391))-ROW(Pile!$AP$367),ROWS(A74)))),"Not Suitable")),AND(Inputs!$E$32="All Types",$A$42="Number of Piles"),(IF(SUMPRODUCT(--ISNUMBER(Pile!$AX$368:$AX$373)),Pile!$AO$368,IF(SUMPRODUCT(--ISNUMBER(Pile!$AX$374:$AX$379)),Pile!$AO$374,IF(SUMPRODUCT(--ISNUMBER(Pile!$AX$380:$AX$385)),Pile!$AO$380,IF(SUMPRODUCT(--ISNUMBER(Pile!$AX$386:$AX$391)),Pile!$AO$386,"Not Suitable")))))))</f>
        <v>1</v>
      </c>
      <c r="E74" s="1210" cm="1">
        <f t="array" ref="E74">_xlfn.SINGLE(_xlfn.IFS(AND(Inputs!$E$32="All Types",$A$42="Concrete Volume"),(IFERROR(_xlfn.SINGLE(INDEX(Pile!$AQ$368:$AQ$391,_xlfn.AGGREGATE(15,3,((Pile!$AX$368:$AX$391=F74)/(Pile!$AX$368:$AX$391=F74)*ROW(Pile!$AX$368:$AX$391))-ROW(Pile!$AP$367),ROWS(A74)))),"Not Suitable")),AND(Inputs!$E$32="All Types",$A$42="Number of Piles"),(IF(SUMPRODUCT(--ISNUMBER(Pile!$AX$368:$AX$373)),Pile!$AQ$368,IF(SUMPRODUCT(--ISNUMBER(Pile!$AX$374:$AX$379)),Pile!$AQ$374,IF(SUMPRODUCT(--ISNUMBER(Pile!$AX$380:$AX$385)),Pile!$AQ$380,IF(SUMPRODUCT(--ISNUMBER(Pile!$AX$386:$AX$391)),Pile!$AQ$386,"Not Suitable")))))))</f>
        <v>32</v>
      </c>
      <c r="F74" s="1211">
        <f>_xlfn.IFS(AND(Inputs!$E$32="All Types",$A$42="Concrete Volume"),(IF(MIN(Pile!$AX$368:$AX$391)&gt;0,MIN(Pile!$AX$368:$AX$391), "Not Suitable")),AND(Inputs!$E$32="All Types",$A$42="Number of Piles"),(IF(Pile!#REF!=Pile!$AQ$368,MIN(Pile!$AX$368:$AX$373),IF(Pile!#REF!=Pile!$AQ$374,MIN(Pile!$AX$374:$AX$379),IF(Pile!#REF!=Pile!$AQ$380,MIN(Pile!$AX$380:$AX$385),IF(Pile!#REF!=Pile!$AQ$386,MIN(Pile!$AX$386:$AX$391),"Not Suitable"))))))</f>
        <v>86.706631334008762</v>
      </c>
      <c r="G74" s="1198"/>
      <c r="H74" s="572" t="s">
        <v>1933</v>
      </c>
      <c r="I74" s="1210" cm="1">
        <f t="array" ref="I74">_xlfn.SINGLE(_xlfn.IFS(AND(Inputs!$E$32="All Types",$A$42="Concrete Volume"),(IFERROR(_xlfn.SINGLE(INDEX(Pile!$BC$368:$BC$391,_xlfn.AGGREGATE(15,3,((Pile!$BK$368:$BK$391=M74)/(Pile!$BK$368:$BK$391=M74)*ROW(Pile!$BK$368:$BK$391))-ROW(Pile!$BC$367),ROWS(H74)))),"Not Suitable")),AND(Inputs!$E$32="All Types",$A$42="Number of Piles"),(IFERROR(_xlfn.SINGLE(INDEX(Pile!$BC$368:$BC$391,_xlfn.AGGREGATE(15,3,((Pile!$BK$368:$BK$391=M74)/(Pile!$BK$368:$BK$391=M74)*ROW(Pile!$BK$368:$BK$391))-ROW(Pile!$BC$367),ROWS(H74)))),"Not Suitable"))))</f>
        <v>450</v>
      </c>
      <c r="J74" s="1211">
        <f>IF(M74="Not Suitable","Not Suitable",M74/(L74*PI()*(I74/2000)^2))</f>
        <v>17.036776513153224</v>
      </c>
      <c r="K74" s="1210" cm="1">
        <f t="array" ref="K74">_xlfn.SINGLE(_xlfn.IFS(AND(Inputs!$E$32="All Types",$A$42="Concrete Volume"),(IFERROR(_xlfn.SINGLE(INDEX(Pile!$BB$368:$BB$391,_xlfn.AGGREGATE(15,3,((Pile!$BK$368:$BK$391=M74)/(Pile!$BK$368:$BK$391=M74)*ROW(Pile!$BK$368:$BK$391))-ROW(Pile!$BC$367),ROWS(H74)))),"Not Suitable")),AND(Inputs!$E$32="All Types",$A$42="Number of Piles"),(IF(SUMPRODUCT(--ISNUMBER(Pile!$BK$368:$BK$373)),Pile!$BB$368,IF(SUMPRODUCT(--ISNUMBER(Pile!$BK$374:$BK$379)),Pile!$BB$374,IF(SUMPRODUCT(--ISNUMBER(Pile!$BK$380:$BK$385)),Pile!$BB$380,IF(SUMPRODUCT(--ISNUMBER(Pile!$BK$386:$BK$391)),Pile!$BB$386,"Not Suitable")))))))</f>
        <v>1</v>
      </c>
      <c r="L74" s="1210" cm="1">
        <f t="array" ref="L74">_xlfn.SINGLE(_xlfn.IFS(AND(Inputs!$E$32="All Types",$A$42="Concrete Volume"),(IFERROR(_xlfn.SINGLE(INDEX(Pile!$BD$368:$BD$391,_xlfn.AGGREGATE(15,3,((Pile!$BK$368:$BK$391=M74)/(Pile!$BK$368:$BK$391=M74)*ROW(Pile!$BK$368:$BK$391))-ROW(Pile!$BC$367),ROWS(H74)))),"Not Suitable")),AND(Inputs!$E$32="All Types",$A$42="Number of Piles"),(IF(SUMPRODUCT(--ISNUMBER(Pile!$BK$368:$BK$373)),Pile!$BD$368,IF(SUMPRODUCT(--ISNUMBER(Pile!$BK$374:$BK$379)),Pile!$BD$374,IF(SUMPRODUCT(--ISNUMBER(Pile!$BK$380:$BK$385)),Pile!$BD$380,IF(SUMPRODUCT(--ISNUMBER(Pile!$BK$386:$BK$391)),Pile!$BD$386,"Not Suitable")))))))</f>
        <v>32</v>
      </c>
      <c r="M74" s="1211">
        <f>_xlfn.IFS(AND(Inputs!$E$32="All Types",$A$42="Concrete Volume"),(IF(MIN(Pile!$BK$368:$BK$391)&gt;0,MIN(Pile!$BK$368:$BK$391), "Not Suitable")),AND(Inputs!$E$32="All Types",$A$42="Number of Piles"),(IF(Pile!#REF!=Pile!$BD$368,MIN(Pile!$BK$368:$BK$373),IF(Pile!#REF!=Pile!$BD$374,MIN(Pile!$BK$374:$BK$379),IF(Pile!#REF!=Pile!$BD$380,MIN(Pile!$BK$380:$BK$385),IF(Pile!#REF!=Pile!$BD$386,MIN(Pile!$BK$386:$BK$391),"Not Suitable"))))))</f>
        <v>86.706631334008762</v>
      </c>
      <c r="N74" s="1198"/>
      <c r="O74" s="572" t="s">
        <v>1933</v>
      </c>
      <c r="P74" s="1210" cm="1">
        <f t="array" ref="P74">_xlfn.SINGLE(_xlfn.IFS(AND(Inputs!$E$32="All Types",$A$42="Concrete Volume"),(IFERROR(_xlfn.SINGLE(INDEX(Pile!$BP$368:$BP$391,_xlfn.AGGREGATE(15,3,((Pile!$BX$368:$BX$391=T74)/(Pile!$BX$368:$BX$391=T74)*ROW(Pile!$BX$368:$BX$391))-ROW(Pile!$BP$367),ROWS(O74)))),"Not Suitable")),AND(Inputs!$E$32="All Types",$A$42="Number of Piles"),(IFERROR(_xlfn.SINGLE(INDEX(Pile!$BP$368:$BP$391,_xlfn.AGGREGATE(15,3,((Pile!$BX$368:$BX$391=T74)/(Pile!$BX$368:$BX$391=T74)*ROW(Pile!$BX$368:$BX$391))-ROW(Pile!$BP$367),ROWS(O74)))),"Not Suitable"))))</f>
        <v>450</v>
      </c>
      <c r="Q74" s="1211">
        <f>IF(T74="Not Suitable","Not Suitable",T74/(S74*PI()*(P74/2000)^2))</f>
        <v>18.536776513153224</v>
      </c>
      <c r="R74" s="1210" cm="1">
        <f t="array" ref="R74">_xlfn.SINGLE(_xlfn.IFS(AND(Inputs!$E$32="All Types",$A$42="Concrete Volume"),(IFERROR(_xlfn.SINGLE(INDEX(Pile!$BO$368:$BO$391,_xlfn.AGGREGATE(15,3,((Pile!$BX$368:$BX$391=T74)/(Pile!$BX$368:$BX$391=T74)*ROW(Pile!$BX$368:$BX$391))-ROW(Pile!$BP$367),ROWS(O74)))),"Not Suitable")),AND(Inputs!$E$32="All Types",$A$42="Number of Piles"),(IF(SUMPRODUCT(--ISNUMBER(Pile!$BX$368:$BX$373)),Pile!$BO$368,IF(SUMPRODUCT(--ISNUMBER(Pile!$BX$374:$BX$379)),Pile!$BO$374,IF(SUMPRODUCT(--ISNUMBER(Pile!$BX$380:$BX$385)),Pile!$BO$380,IF(SUMPRODUCT(--ISNUMBER(Pile!$BX$386:$BX$391)),Pile!$BO$386,"Not Suitable")))))))</f>
        <v>1</v>
      </c>
      <c r="S74" s="1210" cm="1">
        <f t="array" ref="S74">_xlfn.SINGLE(_xlfn.IFS(AND(Inputs!$E$32="All Types",$A$42="Concrete Volume"),(IFERROR(_xlfn.SINGLE(INDEX(Pile!$BQ$368:$BQ$391,_xlfn.AGGREGATE(15,3,((Pile!$BX$368:$BX$391=T74)/(Pile!$BX$368:$BX$391=T74)*ROW(Pile!$BX$368:$BX$391))-ROW(Pile!$BP$367),ROWS(O74)))),"Not Suitable")),AND(Inputs!$E$32="All Types",$A$42="Number of Piles"),(IF(SUMPRODUCT(--ISNUMBER(Pile!$BX$368:$BX$373)),Pile!$BQ$368,IF(SUMPRODUCT(--ISNUMBER(Pile!$BX$374:$BX$379)),Pile!$BQ$374,IF(SUMPRODUCT(--ISNUMBER(Pile!$BX$380:$BX$385)),Pile!$BQ$380,IF(SUMPRODUCT(--ISNUMBER(Pile!$BX$386:$BX$391)),Pile!$BQ$386,"Not Suitable")))))))</f>
        <v>32</v>
      </c>
      <c r="T74" s="1211">
        <f>_xlfn.IFS(AND(Inputs!$E$32="All Types",$A$42="Concrete Volume"),(IF(MIN(Pile!$BX$368:$BX$391)&gt;0,MIN(Pile!$BX$368:$BX$391), "Not Suitable")),AND(Inputs!$E$32="All Types",$A$42="Number of Piles"),(IF(Pile!#REF!=Pile!$BQ$368,MIN(Pile!$BX$368:$BX$373),IF(Pile!#REF!=Pile!$BQ$374,MIN(Pile!$BX$374:$BX$379),IF(Pile!#REF!=Pile!$BQ$380,MIN(Pile!$BX$380:$BX$385),IF(Pile!#REF!=Pile!$BQ$386,MIN(Pile!$BX$386:$BX$391),"Not Suitable"))))))</f>
        <v>94.340701482231964</v>
      </c>
    </row>
    <row r="75" spans="1:20" s="314" customFormat="1">
      <c r="A75" s="572" t="s">
        <v>1934</v>
      </c>
      <c r="B75" s="1216" cm="1">
        <f t="array" ref="B75">_xlfn.SINGLE(_xlfn.IFS(AND(Inputs!$E$32="All Types",$A$42="Concrete Volume"),(IFERROR(_xlfn.SINGLE(INDEX(Pile!$AP$399:$AP$422,_xlfn.AGGREGATE(15,3,((Pile!$AX$399:$AX$422=F75)/(Pile!$AX$399:$AX$422=F75)*ROW(Pile!$AX$399:$AX$422))-ROW(Pile!$AP$398),ROWS(A75)))),"Not Suitable")),AND(Inputs!$E$32="All Types",$A$42="Number of Piles"),(IFERROR(_xlfn.SINGLE(INDEX(Pile!$AP$399:$AP$422,_xlfn.AGGREGATE(15,3,((Pile!$AX$399:$AX$422=F75)/(Pile!$AX$399:$AX$422=F75)*ROW(Pile!$AX$399:$AX$422))-ROW(Pile!$AP$398),ROWS(A75)))),"Not Suitable"))))</f>
        <v>450</v>
      </c>
      <c r="C75" s="1217">
        <f>IF(F75="Not Suitable","Not Suitable",F75/(E75*PI()*(B75/2000)^2))</f>
        <v>17.036776513153224</v>
      </c>
      <c r="D75" s="1216" cm="1">
        <f t="array" ref="D75">_xlfn.SINGLE(_xlfn.IFS(AND(Inputs!$E$32="All Types",$A$42="Concrete Volume"),(IFERROR(_xlfn.SINGLE(INDEX(Pile!$AO$399:$AO$422,_xlfn.AGGREGATE(15,3,((Pile!$AX$399:$AX$422=F75)/(Pile!$AX$399:$AX$422=F75)*ROW(Pile!$AX$399:$AX$422))-ROW(Pile!$AP$398),ROWS(A75)))),"Not Suitable")),AND(Inputs!$E$32="All Types",$A$42="Number of Piles"),(IF(SUMPRODUCT(--ISNUMBER(Pile!$AX$399:$AX$404)),Pile!$AO$399,IF(SUMPRODUCT(--ISNUMBER(Pile!$AX$405:$AX$410)),Pile!$AO$405,IF(SUMPRODUCT(--ISNUMBER(Pile!$AX$411:$AX$416)),Pile!$AO$411,IF(SUMPRODUCT(--ISNUMBER(Pile!$AX$417:$AX$422)),Pile!$AO$417,"Not Suitable")))))))</f>
        <v>1</v>
      </c>
      <c r="E75" s="1216" cm="1">
        <f t="array" ref="E75">_xlfn.SINGLE(_xlfn.IFS(AND(Inputs!$E$32="All Types",$A$42="Concrete Volume"),(IFERROR(_xlfn.SINGLE(INDEX(Pile!$AQ$399:$AQ$422,_xlfn.AGGREGATE(15,3,((Pile!$AX$399:$AX$422=F75)/(Pile!$AX$399:$AX$422=F75)*ROW(Pile!$AX$399:$AX$422))-ROW(Pile!$AP$398),ROWS(A75)))),"Not Suitable")),AND(Inputs!$E$32="All Types",$A$42="Number of Piles"),(IF(SUMPRODUCT(--ISNUMBER(Pile!$AX$399:$AX$404)),Pile!$AQ$399,IF(SUMPRODUCT(--ISNUMBER(Pile!$AX$405:$AX$410)),Pile!$AQ$405,IF(SUMPRODUCT(--ISNUMBER(Pile!$AX$411:$AX$416)),Pile!$AQ$411,IF(SUMPRODUCT(--ISNUMBER(Pile!$AX$417:$AX$422)),Pile!$AQ$417,"Not Suitable")))))))</f>
        <v>4</v>
      </c>
      <c r="F75" s="1217">
        <f>_xlfn.IFS(AND(Inputs!$E$32="All Types",$A$42="Concrete Volume"),(IF(MIN(Pile!$AX$399:$AX$422)&gt;0,MIN(Pile!$AX$399:$AX$422), "Not Suitable")),AND(Inputs!$E$32="All Types",$A$42="Number of Piles"),(IF(Pile!#REF!=Pile!$AQ$399,MIN(Pile!$AX$399:$AX$404),IF(Pile!#REF!=Pile!$AQ$405,MIN(Pile!$AX$405:$AX$410),IF(Pile!#REF!=Pile!$AQ$411,MIN(Pile!$AX$411:$AX$416),IF(Pile!#REF!=Pile!$AQ$417,MIN(Pile!$AX$417:$AX$422),"Not Suitable"))))))</f>
        <v>10.838328916751095</v>
      </c>
      <c r="G75" s="1198"/>
      <c r="H75" s="572" t="s">
        <v>1934</v>
      </c>
      <c r="I75" s="1216" cm="1">
        <f t="array" ref="I75">_xlfn.SINGLE(_xlfn.IFS(AND(Inputs!$E$32="All Types",$A$42="Concrete Volume"),(IFERROR(_xlfn.SINGLE(INDEX(Pile!$BC$399:$BC$422,_xlfn.AGGREGATE(15,3,((Pile!$BK$399:$BK$422=M75)/(Pile!$BK$399:$BK$422=M75)*ROW(Pile!$BK$399:$BK$422))-ROW(Pile!$BC$398),ROWS(H75)))),"Not Suitable")),AND(Inputs!$E$32="All Types",$A$42="Number of Piles"),(IFERROR(_xlfn.SINGLE(INDEX(Pile!$BC$399:$BC$422,_xlfn.AGGREGATE(15,3,((Pile!$BK$399:$BK$422=M75)/(Pile!$BK$399:$BK$422=M75)*ROW(Pile!$BK$399:$BK$422))-ROW(Pile!$BC$398),ROWS(H75)))),"Not Suitable"))))</f>
        <v>450</v>
      </c>
      <c r="J75" s="1217">
        <f>IF(M75="Not Suitable","Not Suitable",M75/(L75*PI()*(I75/2000)^2))</f>
        <v>17.036776513153224</v>
      </c>
      <c r="K75" s="1216" cm="1">
        <f t="array" ref="K75">_xlfn.SINGLE(_xlfn.IFS(AND(Inputs!$E$32="All Types",$A$42="Concrete Volume"),(IFERROR(_xlfn.SINGLE(INDEX(Pile!$BB$399:$BB$422,_xlfn.AGGREGATE(15,3,((Pile!$BK$399:$BK$422=M75)/(Pile!$BK$399:$BK$422=M75)*ROW(Pile!$BK$399:$BK$422))-ROW(Pile!$BC$398),ROWS(H75)))),"Not Suitable")),AND(Inputs!$E$32="All Types",$A$42="Number of Piles"),(IF(SUMPRODUCT(--ISNUMBER(Pile!$BK$399:$BK$404)),Pile!$BB$399,IF(SUMPRODUCT(--ISNUMBER(Pile!$BK$405:$BK$410)),Pile!$BB$405,IF(SUMPRODUCT(--ISNUMBER(Pile!$BK$411:$BK$416)),Pile!$BB$411,IF(SUMPRODUCT(--ISNUMBER(Pile!$BK$417:$BK$422)),Pile!$BB$417,"Not Suitable")))))))</f>
        <v>1</v>
      </c>
      <c r="L75" s="1216" cm="1">
        <f t="array" ref="L75">_xlfn.SINGLE(_xlfn.IFS(AND(Inputs!$E$32="All Types",$A$42="Concrete Volume"),(IFERROR(_xlfn.SINGLE(INDEX(Pile!$BD$399:$BD$422,_xlfn.AGGREGATE(15,3,((Pile!$BK$399:$BK$422=M75)/(Pile!$BK$399:$BK$422=M75)*ROW(Pile!$BK$399:$BK$422))-ROW(Pile!$BC$398),ROWS(H75)))),"Not Suitable")),AND(Inputs!$E$32="All Types",$A$42="Number of Piles"),(IF(SUMPRODUCT(--ISNUMBER(Pile!$BK$399:$BK$404)),Pile!$BD$399,IF(SUMPRODUCT(--ISNUMBER(Pile!$BK$405:$BK$410)),Pile!$BD$405,IF(SUMPRODUCT(--ISNUMBER(Pile!$BK$411:$BK$416)),Pile!$BD$411,IF(SUMPRODUCT(--ISNUMBER(Pile!$BK$417:$BK$422)),Pile!$BD$417,"Not Suitable")))))))</f>
        <v>4</v>
      </c>
      <c r="M75" s="1217">
        <f>_xlfn.IFS(AND(Inputs!$E$32="All Types",$A$42="Concrete Volume"),(IF(MIN(Pile!$BK$399:$BK$422)&gt;0,MIN(Pile!$BK$399:$BK$422), "Not Suitable")),AND(Inputs!$E$32="All Types",$A$42="Number of Piles"),(IF(Pile!#REF!=Pile!$BD$399,MIN(Pile!$BK$399:$BK$404),IF(Pile!#REF!=Pile!$BD$405,MIN(Pile!$BK$405:$BK$410),IF(Pile!#REF!=Pile!$BD$411,MIN(Pile!$BK$411:$BK$416),IF(Pile!#REF!=Pile!$BD$417,MIN(Pile!$BK$417:$BK$422),"Not Suitable"))))))</f>
        <v>10.838328916751095</v>
      </c>
      <c r="N75" s="1198"/>
      <c r="O75" s="572" t="s">
        <v>1934</v>
      </c>
      <c r="P75" s="1216" cm="1">
        <f t="array" ref="P75">_xlfn.SINGLE(_xlfn.IFS(AND(Inputs!$E$32="All Types",$A$42="Concrete Volume"),(IFERROR(_xlfn.SINGLE(INDEX(Pile!$BP$399:$BP$422,_xlfn.AGGREGATE(15,3,((Pile!$BX$399:$BX$422=T75)/(Pile!$BX$399:$BX$422=T75)*ROW(Pile!$BX$399:$BX$422))-ROW(Pile!$BP$398),ROWS(O75)))),"Not Suitable")),AND(Inputs!$E$32="All Types",$A$42="Number of Piles"),(IFERROR(_xlfn.SINGLE(INDEX(Pile!$BP$399:$BP$422,_xlfn.AGGREGATE(15,3,((Pile!$BX$399:$BX$422=T75)/(Pile!$BX$399:$BX$422=T75)*ROW(Pile!$BX$399:$BX$422))-ROW(Pile!$BP$398),ROWS(O75)))),"Not Suitable"))))</f>
        <v>450</v>
      </c>
      <c r="Q75" s="1217">
        <f>IF(T75="Not Suitable","Not Suitable",T75/(S75*PI()*(P75/2000)^2))</f>
        <v>17.036776513153224</v>
      </c>
      <c r="R75" s="1216" cm="1">
        <f t="array" ref="R75">_xlfn.SINGLE(_xlfn.IFS(AND(Inputs!$E$32="All Types",$A$42="Concrete Volume"),(IFERROR(_xlfn.SINGLE(INDEX(Pile!$BO$399:$BO$422,_xlfn.AGGREGATE(15,3,((Pile!$BX$399:$BX$422=T75)/(Pile!$BX$399:$BX$422=T75)*ROW(Pile!$BX$399:$BX$422))-ROW(Pile!$BP$398),ROWS(O75)))),"Not Suitable")),AND(Inputs!$E$32="All Types",$A$42="Number of Piles"),(IF(SUMPRODUCT(--ISNUMBER(Pile!$BX$399:$BX$404)),Pile!$BO$399,IF(SUMPRODUCT(--ISNUMBER(Pile!$BX$405:$BX$410)),Pile!$BO$405,IF(SUMPRODUCT(--ISNUMBER(Pile!$BX$411:$BX$416)),Pile!$BO$411,IF(SUMPRODUCT(--ISNUMBER(Pile!$BX$417:$BX$422)),Pile!$BO$417,"Not Suitable")))))))</f>
        <v>1</v>
      </c>
      <c r="S75" s="1216" cm="1">
        <f t="array" ref="S75">_xlfn.SINGLE(_xlfn.IFS(AND(Inputs!$E$32="All Types",$A$42="Concrete Volume"),(IFERROR(_xlfn.SINGLE(INDEX(Pile!$BQ$399:$BQ$422,_xlfn.AGGREGATE(15,3,((Pile!$BX$399:$BX$422=T75)/(Pile!$BX$399:$BX$422=T75)*ROW(Pile!$BX$399:$BX$422))-ROW(Pile!$BP$398),ROWS(O75)))),"Not Suitable")),AND(Inputs!$E$32="All Types",$A$42="Number of Piles"),(IF(SUMPRODUCT(--ISNUMBER(Pile!$BX$399:$BX$404)),Pile!$BQ$399,IF(SUMPRODUCT(--ISNUMBER(Pile!$BX$405:$BX$410)),Pile!$BQ$405,IF(SUMPRODUCT(--ISNUMBER(Pile!$BX$411:$BX$416)),Pile!$BQ$411,IF(SUMPRODUCT(--ISNUMBER(Pile!$BX$417:$BX$422)),Pile!$BQ$417,"Not Suitable")))))))</f>
        <v>4</v>
      </c>
      <c r="T75" s="1217">
        <f>_xlfn.IFS(AND(Inputs!$E$32="All Types",$A$42="Concrete Volume"),(IF(MIN(Pile!$BX$399:$BX$422)&gt;0,MIN(Pile!$BX$399:$BX$422), "Not Suitable")),AND(Inputs!$E$32="All Types",$A$42="Number of Piles"),(IF(Pile!#REF!=Pile!$BQ$399,MIN(Pile!$BX$399:$BX$404),IF(Pile!#REF!=Pile!$BQ$405,MIN(Pile!$BX$405:$BX$410),IF(Pile!#REF!=Pile!$BQ$411,MIN(Pile!$BX$411:$BX$416),IF(Pile!#REF!=Pile!$BQ$417,MIN(Pile!$BX$417:$BX$422),"Not Suitable"))))))</f>
        <v>10.838328916751095</v>
      </c>
    </row>
    <row r="76" spans="1:20" s="314" customFormat="1">
      <c r="G76" s="1198"/>
      <c r="N76" s="1198"/>
    </row>
    <row r="77" spans="1:20" s="314" customFormat="1">
      <c r="A77" s="1198"/>
      <c r="B77" s="1198"/>
      <c r="C77" s="1198"/>
      <c r="D77" s="1198"/>
      <c r="E77" s="1198"/>
      <c r="F77" s="1198"/>
      <c r="G77" s="1198"/>
      <c r="H77" s="1198"/>
      <c r="I77" s="1198"/>
      <c r="J77" s="1198"/>
      <c r="K77" s="1198"/>
      <c r="L77" s="1198"/>
      <c r="M77" s="1198"/>
      <c r="N77" s="1198"/>
      <c r="O77" s="1198"/>
      <c r="P77" s="1198"/>
      <c r="Q77" s="1198"/>
      <c r="R77" s="1198"/>
      <c r="S77" s="1198"/>
      <c r="T77" s="1198"/>
    </row>
    <row r="78" spans="1:20" s="314" customFormat="1" ht="19.5" thickBot="1">
      <c r="A78" s="1202" t="s">
        <v>1923</v>
      </c>
      <c r="G78" s="1198"/>
      <c r="H78" s="1202" t="s">
        <v>1924</v>
      </c>
      <c r="N78" s="1198"/>
      <c r="O78" s="1202" t="s">
        <v>1925</v>
      </c>
    </row>
    <row r="79" spans="1:20" s="314" customFormat="1" ht="15.75" thickBot="1">
      <c r="A79" s="1203" t="str">
        <f>IF(OR(Inputs!E32="Continuous Flight Auger",Inputs!E32="All Types"),"Continuous Flight Auger", IF(Inputs!E32="Bored Cast in Place Concrete","Bored Cast In Place Concrete","Driven Precast Concrete"))</f>
        <v>Continuous Flight Auger</v>
      </c>
      <c r="B79" s="1204" t="s">
        <v>821</v>
      </c>
      <c r="C79" s="1205" t="s">
        <v>847</v>
      </c>
      <c r="D79" s="1206" t="s">
        <v>883</v>
      </c>
      <c r="E79" s="1206" t="s">
        <v>884</v>
      </c>
      <c r="F79" s="1207" t="s">
        <v>885</v>
      </c>
      <c r="G79" s="1198"/>
      <c r="H79" s="1203" t="str">
        <f>IF(OR(Inputs!E32="Continuous Flight Auger",Inputs!E32="All Types"),"Continuous Flight Auger", IF(Inputs!E32="Bored Cast in Place Concrete","Bored Cast In Place Concrete","Driven Precast Concrete"))</f>
        <v>Continuous Flight Auger</v>
      </c>
      <c r="I79" s="1204" t="s">
        <v>821</v>
      </c>
      <c r="J79" s="1205" t="s">
        <v>847</v>
      </c>
      <c r="K79" s="1206" t="s">
        <v>883</v>
      </c>
      <c r="L79" s="1206" t="s">
        <v>884</v>
      </c>
      <c r="M79" s="1207" t="s">
        <v>885</v>
      </c>
      <c r="N79" s="1198"/>
      <c r="O79" s="1203" t="str">
        <f>IF(OR(Inputs!E32="Continuous Flight Auger",Inputs!E32="All Types"),"Continuous Flight Auger", IF(Inputs!E32="Bored Cast in Place Concrete","Bored Cast In Place Concrete","Driven Precast Concrete"))</f>
        <v>Continuous Flight Auger</v>
      </c>
      <c r="P79" s="1204" t="s">
        <v>821</v>
      </c>
      <c r="Q79" s="1205" t="s">
        <v>847</v>
      </c>
      <c r="R79" s="1206" t="s">
        <v>883</v>
      </c>
      <c r="S79" s="1206" t="s">
        <v>884</v>
      </c>
      <c r="T79" s="1207" t="s">
        <v>885</v>
      </c>
    </row>
    <row r="80" spans="1:20" s="314" customFormat="1" ht="15.75" thickBot="1">
      <c r="A80" s="572" t="s">
        <v>1932</v>
      </c>
      <c r="B80" s="1208" cm="1">
        <f t="array" ref="B80">_xlfn.SINGLE(IF(SUMPRODUCT(--ISNUMBER(Pile!$CM$336:$CM$359))&lt;=0,"Not Suitable",_xlfn.IFS(AND(OR(Inputs!$E$32="Continuous Flight Auger",Inputs!$E$32="All Types"),$A$42="Concrete Volume"),(IFERROR(_xlfn.SINGLE(INDEX(Pile!$CC$336:$CC$359,_xlfn.AGGREGATE(15,3,((Pile!$CM$336:$CM$359=F80)/(Pile!$CM$336:$CM$359=F80)*ROW(Pile!$CM$336:$CM$359))-ROW(Pile!$CC$335),ROWS(A80)))),"Not Suitable")),AND(OR(Inputs!$E$32="Continuous Flight Auger",Inputs!$E$32="All Types"),$A$42="Number of Piles"),(IFERROR(_xlfn.SINGLE(INDEX(Pile!$CC$336:$CC$359,_xlfn.AGGREGATE(15,3,((Pile!$CM$336:$CM$359=F80)/(Pile!$CM$336:$CM$359=F80)*ROW(Pile!$CM$336:$CM$359))-ROW(Pile!$CC$335),ROWS(A80)))),"Not Suitable")),AND(Inputs!$E$32="Driven Precast Concrete",$A$42="Concrete Volume"),(IFERROR(_xlfn.SINGLE(INDEX(Pile!$CC$336:$CC$359,_xlfn.AGGREGATE(15,3,((Pile!$CL$336:$CL$359=F80)/(Pile!$CL$336:$CL$359=F80)*ROW(Pile!$CL$336:$CL$359))-ROW(Pile!$CC$335),ROWS(A80)))),"Not Suitable")),AND(Inputs!$E$32="Driven Precast Concrete",$A$42="Number of Piles"),(IFERROR(_xlfn.SINGLE(INDEX(Pile!$CC$336:$CC$359,_xlfn.AGGREGATE(15,3,((Pile!$CL$336:$CL$359=F80)/(Pile!$CL$336:$CL$359=F80)*ROW(Pile!$CL$336:$CL$359))-ROW(Pile!$CC$335),ROWS(A80)))),"Not Suitable")),AND(Inputs!$E$32="Bored Cast in Place Concrete",$A$42="Concrete Volume"),(IFERROR(_xlfn.SINGLE(INDEX(Pile!$CC$336:$CC$359,_xlfn.AGGREGATE(15,3,((Pile!$CK$336:$CK$359=F80)/(Pile!$CK$336:$CK$359=F80)*ROW(Pile!$CK$336:$CK$359))-ROW(Pile!$CC$335),ROWS(A80)))),"Not Suitable")),AND(Inputs!$E$32="Bored Cast in Place Concrete",$A$42="Number of Piles"),(IFERROR(_xlfn.SINGLE(INDEX(Pile!$CC$336:$CC$359,_xlfn.AGGREGATE(15,3,((Pile!$CK$336:$CK$359=F80)/(Pile!$CK$336:$CK$359=F80)*ROW(Pile!$CK$336:$CK$359))-ROW(Pile!$CC$335),ROWS(A80)))),"Not Suitable")))))</f>
        <v>450</v>
      </c>
      <c r="C80" s="1209">
        <f>IF(F80="Not Suitable","Not Suitable",F80/(E80*PI()*(B80/2000)^2))</f>
        <v>17.036776513153228</v>
      </c>
      <c r="D80" s="1208" t="str" cm="1">
        <f t="array" ref="D80">_xlfn.SINGLE(IF(SUMPRODUCT(--ISNUMBER(Pile!$CM$336:$CM$359))&lt;=0,"Not Suitable",_xlfn.IFS(AND(OR(Inputs!$E$32="Continuous Flight Auger",Inputs!$E$32="All Types"),$A$42="Concrete Volume"),(IFERROR(_xlfn.SINGLE(INDEX(Pile!$CB$336:$CB$359,_xlfn.AGGREGATE(15,3,((Pile!$CM$336:$CM$359=Pile!$G454)/(Pile!$CM$336:$CM$359=Pile!$G454)*ROW(Pile!$CM$336:$CM$359))-ROW(Pile!$CC$335),ROWS(Pile!$CB454)))),"Not Suitable")),AND(OR(Inputs!$E$32="Continuous Flight Auger",Inputs!$E$32="All Types"),$A$42="Number of Piles"),(IF(SUMPRODUCT(--ISNUMBER(Pile!$CM$336:$CM$341)),Pile!$CB$336,IF(SUMPRODUCT(--ISNUMBER(Pile!$CM$342:$CM$347)),Pile!$CB$342,IF(SUMPRODUCT(--ISNUMBER(Pile!$CM$348:$CM$353)),Pile!$CB$348,IF(SUMPRODUCT(--ISNUMBER(Pile!$CM$354:$CM$359)),Pile!$CB$354,"Not Suitable"))))),AND(Inputs!$E$32="Driven Precast Concrete",$A$42="Concrete Volume"),(IFERROR(_xlfn.SINGLE(INDEX(Pile!$CB$336:$CB$359,_xlfn.AGGREGATE(15,3,((Pile!$CL$336:$CL$359=Pile!$F458)/(Pile!$CL$336:$CL$359=Pile!$F458)*ROW(Pile!$CL$336:$CL$359))-ROW(Pile!$CC$335),ROWS(Pile!$CB458)))),"Not Suitable")),AND(Inputs!$E$32="Driven Precast Concrete",$A$42="Number of Piles"),(IF(SUMPRODUCT(--ISNUMBER(Pile!$CL$336:$CL$341)),Pile!$CB$336,IF(SUMPRODUCT(--ISNUMBER(Pile!$CL$342:$CL$347)),Pile!$CB$342,IF(SUMPRODUCT(--ISNUMBER(Pile!$CL$348:$CL$353)),Pile!$CB$348,IF(SUMPRODUCT(--ISNUMBER(Pile!$CL$354:$CL$359)),Pile!$CB$354,"Not Suitable"))))),AND(Inputs!$E$32="Bored Cast in Place Concrete",$A$42="Concrete Volume"),(IFERROR(_xlfn.SINGLE(INDEX(Pile!$CB$336:$CB$359,_xlfn.AGGREGATE(15,3,((Pile!$CK$336:$CK$359=F80)/(Pile!$CK$336:$CK$359=F80)*ROW(Pile!$CK$336:$CK$359))-ROW(Pile!$CC$335),ROWS(Pile!$CB462)))),"Not Suitable")),AND(Inputs!$E$32="Bored Cast in Place Concrete",$A$42="Number of Piles"),(IF(SUMPRODUCT(--ISNUMBER(Pile!$CK$336:$CK$341)),Pile!$CB$336,IF(SUMPRODUCT(--ISNUMBER(Pile!$CK$342:$CK$347)),Pile!$CB$342,IF(SUMPRODUCT(--ISNUMBER(Pile!$CK$348:$CK$353)),Pile!$CB$348,IF(SUMPRODUCT(--ISNUMBER(Pile!$CK$354:$CK$359)),Pile!$CB$354,"Not Suitable"))))))))</f>
        <v>Not Suitable</v>
      </c>
      <c r="E80" s="1208" cm="1">
        <f t="array" ref="E80">_xlfn.SINGLE(IF(SUMPRODUCT(--ISNUMBER(Pile!$CM$336:$CM$359))&lt;=0,"Not Suitable",_xlfn.IFS(AND(OR(Inputs!$E$32="Continuous Flight Auger",Inputs!$E$32="All Types"),$A$42="Concrete Volume"),(IFERROR(_xlfn.SINGLE(INDEX(Pile!$CD$336:$CD$359,_xlfn.AGGREGATE(15,3,((Pile!$CM$336:$CM$359=F80)/(Pile!$CM$336:$CM$359=F80)*ROW(Pile!$CM$336:$CM$359))-ROW(Pile!$CC$335),ROWS(A80)))),"Not Suitable")),AND(OR(Inputs!$E$32="Continuous Flight Auger",Inputs!$E$32="All Types"),$A$42="Number of Piles"),(IF(SUMPRODUCT(--ISNUMBER(Pile!$CM$336:$CM$341)),Pile!$CD$336,IF(SUMPRODUCT(--ISNUMBER(Pile!$CM$342:$CM$347)),Pile!$CD$342,IF(SUMPRODUCT(--ISNUMBER(Pile!$CM$348:$CM$353)),Pile!$CD$348,IF(SUMPRODUCT(--ISNUMBER(Pile!$CM$354:$CM$359)),Pile!$CD$354,"Not Suitable"))))),AND(Inputs!$E$32="Driven Precast Concrete",$A$42="Concrete Volume"),(IFERROR(_xlfn.SINGLE(INDEX(Pile!$CD$336:$CD$359,_xlfn.AGGREGATE(15,3,((Pile!$CL$336:$CL$359=F80)/(Pile!$CL$336:$CL$359=F80)*ROW(Pile!$CL$336:$CL$359))-ROW(Pile!$CC$335),ROWS(A80)))),"Not Suitable")),AND(Inputs!$E$32="Driven Precast Concrete",$A$42="Number of Piles"),(IF(SUMPRODUCT(--ISNUMBER(Pile!$CL$336:$CL$341)),Pile!$CD$336,IF(SUMPRODUCT(--ISNUMBER(Pile!$CL$342:$CL$347)),Pile!$CD$342,IF(SUMPRODUCT(--ISNUMBER(Pile!$CL$348:$CL$353)),Pile!$CD$348,IF(SUMPRODUCT(--ISNUMBER(Pile!$CL$354:$CL$359)),Pile!$CD$354,"Not Suitable"))))),AND(Inputs!$E$32="Bored Cast in Place Concrete",$A$42="Concrete Volume"),(IFERROR(_xlfn.SINGLE(INDEX(Pile!$CD$336:$CD$359,_xlfn.AGGREGATE(15,3,((Pile!$CK$336:$CK$359=F80)/(Pile!$CK$336:$CK$359=F80)*ROW(Pile!$CK$336:$CK$359))-ROW(Pile!$CC$335),ROWS(A80)))),"Not Suitable")),AND(Inputs!$E$32="Bored Cast in Place Concrete",$A$42="Number of Piles"),(IF(SUMPRODUCT(--ISNUMBER(Pile!$CK$336:$CK$341)),Pile!$CD$336,IF(SUMPRODUCT(--ISNUMBER(Pile!$CK$342:$CK$347)),Pile!$CD$342,IF(SUMPRODUCT(--ISNUMBER(Pile!$CK$348:$CK$353)),Pile!$CD$348,IF(SUMPRODUCT(--ISNUMBER(Pile!$CK$354:$CK$359)),Pile!$CD$354,"Not Suitable"))))))))</f>
        <v>63</v>
      </c>
      <c r="F80" s="1209" cm="1">
        <f t="array" ref="F80">_xlfn.SINGLE(IF(SUMPRODUCT(--ISNUMBER(Pile!$CM$336:$CM$359))&lt;=0,"Not Suitable",_xlfn.IFS(AND(OR(Inputs!$E$32="Continuous Flight Auger",Inputs!$E$32="All Types"),$A$42="Concrete Volume"),(IF(MIN(Pile!$CM$336:$CM$359)&gt;0,MIN(Pile!$CM$336:$CM$359),"Not Suitable")),AND(OR(Inputs!$E$32="Continuous Flight Auger",Inputs!$E$32="All Types"),$A$42="Number of Piles"),(IF(Pile!#REF!=Pile!$CD$336,MIN(Pile!$CM$336:$CM$341),IF(Pile!#REF!=Pile!$CD$342,MIN(Pile!$CM$342:$CM$347),IF(Pile!#REF!=Pile!$CD$348,MIN(Pile!$CM$348:$CM$353),IF(Pile!#REF!=Pile!$CD$354,MIN(Pile!$CM$354:$CM$359),"Not Suitable"))))),AND(Inputs!$E$32="Driven Precast Concrete",$A$42="Concrete Volume"),(IF(MIN(Pile!$CL$336:$CL$359)&gt;0,MIN(Pile!$CL$336:$CL$359),"Not Suitable")),AND(Inputs!$E$32="Driven Precast Concrete",$A$42="Number of Piles"),(IF(Pile!#REF!=Pile!$CD$336,MIN(Pile!$CL$336:$CL$341),IF(Pile!#REF!=Pile!$CD$342,MIN(Pile!$CL$342:$CL$347),IF(Pile!#REF!=Pile!$CD$348,MIN(Pile!$CL$348:$CL$353),IF(Pile!#REF!=Pile!$CD$354,MIN(Pile!$CL$354:$CL$359),"Not Suitable"))))),AND(Inputs!$E$32="Bored Cast in Place Concrete",$A$42="Concrete Volume"),(IF(MIN(Pile!$CK$336:$CK$359)&gt;0,MIN(Pile!$CK$336:$CK$359),"Not Suitable")),AND(Inputs!$E$32="Bored Cast in Place Concrete",$A$42="Number of Piles"),(IF(Pile!#REF!=Pile!$CD$336,MIN(Pile!$CK$336:$CK$341),IF(Pile!#REF!=Pile!$CD$342,MIN(Pile!$CK$342:$CK$347),IF(Pile!#REF!=Pile!$CD$348,MIN(Pile!$CK$348:$CK$353),IF(Pile!#REF!=Pile!$CD$354,MIN(Pile!$CK$354:$CK$359),"Not Suitable"))))))))</f>
        <v>170.70368043882976</v>
      </c>
      <c r="G80" s="1198"/>
      <c r="H80" s="572" t="s">
        <v>1932</v>
      </c>
      <c r="I80" s="1208" cm="1">
        <f t="array" ref="I80">_xlfn.SINGLE(IF(SUMPRODUCT(--ISNUMBER(Pile!$CZ$336:$CZ$359))&lt;=0,"Not Suitable",_xlfn.IFS(AND(OR(Inputs!$E$32="Continuous Flight Auger",Inputs!$E$32="All Types"),$A$42="Concrete Volume"),(IFERROR(_xlfn.SINGLE(INDEX(Pile!$CP$336:$CP$359,_xlfn.AGGREGATE(15,3,((Pile!$CZ$336:$CZ$359=M80)/(Pile!$CZ$336:$CZ$359=M80)*ROW(Pile!$CZ$336:$CZ$359))-ROW(Pile!$CP$335),ROWS(H80)))),"Not Suitable")),AND(OR(Inputs!$E$32="Continuous Flight Auger",Inputs!$E$32="All Types"),$A$42="Number of Piles"),(IFERROR(_xlfn.SINGLE(INDEX(Pile!$CP$336:$CP$359,_xlfn.AGGREGATE(15,3,((Pile!$CZ$336:$CZ$359=M80)/(Pile!$CZ$336:$CZ$359=M80)*ROW(Pile!$CZ$336:$CZ$359))-ROW(Pile!$CP$335),ROWS(H80)))),"Not Suitable")),AND(Inputs!$E$32="Driven Precast Concrete",$A$42="Concrete Volume"),(IFERROR(_xlfn.SINGLE(INDEX(Pile!$CP$336:$CP$359,_xlfn.AGGREGATE(15,3,((Pile!$CY$336:$CY$359=M80)/(Pile!$CY$336:$CY$359=M80)*ROW(Pile!$CY$336:$CY$359))-ROW(Pile!$CP$335),ROWS(H80)))),"Not Suitable")),AND(Inputs!$E$32="Driven Precast Concrete",$A$42="Number of Piles"),(IFERROR(_xlfn.SINGLE(INDEX(Pile!$CP$336:$CP$359,_xlfn.AGGREGATE(15,3,((Pile!$CY$336:$CY$359=M80)/(Pile!$CY$336:$CY$359=M80)*ROW(Pile!$CY$336:$CY$359))-ROW(Pile!$CP$335),ROWS(H80)))),"Not Suitable")),AND(Inputs!$E$32="Bored Cast in Place Concrete",$A$42="Concrete Volume"),(IFERROR(_xlfn.SINGLE(INDEX(Pile!$CP$336:$CP$359,_xlfn.AGGREGATE(15,3,((Pile!$CX$336:$CX$359=M80)/(Pile!$CX$336:$CX$359=M80)*ROW(Pile!$CX$336:$CX$359))-ROW(Pile!$CP$335),ROWS(H80)))),"Not Suitable")),AND(Inputs!$E$32="Bored Cast in Place Concrete",$A$42="Number of Piles"),(IFERROR(_xlfn.SINGLE(INDEX(Pile!$CP$336:$CP$359,_xlfn.AGGREGATE(15,3,((Pile!$CX$336:$CX$359=M80)/(Pile!$CX$336:$CX$359=M80)*ROW(Pile!$CX$336:$CX$359))-ROW(Pile!$CP$335),ROWS(H80)))),"Not Suitable")))))</f>
        <v>450</v>
      </c>
      <c r="J80" s="1209">
        <f>IF(M80="Not Suitable","Not Suitable",M80/(L80*PI()*(I80/2000)^2))</f>
        <v>17.036776513153228</v>
      </c>
      <c r="K80" s="1208" t="str" cm="1">
        <f t="array" ref="K80">_xlfn.SINGLE(IF(SUMPRODUCT(--ISNUMBER(Pile!$CZ$336:$CZ$359))&lt;=0,"Not Suitable",_xlfn.IFS(AND(OR(Inputs!$E$32="Continuous Flight Auger",Inputs!$E$32="All Types"),$A$42="Concrete Volume"),(IFERROR(_xlfn.SINGLE(INDEX(Pile!$CO$336:$CO$359,_xlfn.AGGREGATE(15,3,((Pile!$CZ$336:$CZ$359=Pile!$G454)/(Pile!$CZ$336:$CZ$359=Pile!$G454)*ROW(Pile!$CZ$336:$CZ$359))-ROW(Pile!$CP$335),ROWS(Pile!$CO454)))),"Not Suitable")),AND(OR(Inputs!$E$32="Continuous Flight Auger",Inputs!$E$32="All Types"),$A$42="Number of Piles"),(IF(SUMPRODUCT(--ISNUMBER(Pile!$CZ$336:$CZ$341)),Pile!$CO$336,IF(SUMPRODUCT(--ISNUMBER(Pile!$CZ$342:$CZ$347)),Pile!$CO$342,IF(SUMPRODUCT(--ISNUMBER(Pile!$CZ$348:$CZ$353)),Pile!$CO$348,IF(SUMPRODUCT(--ISNUMBER(Pile!$CZ$354:$CZ$359)),Pile!$CO$354,"Not Suitable"))))),AND(Inputs!$E$32="Driven Precast Concrete",$A$42="Concrete Volume"),(IFERROR(_xlfn.SINGLE(INDEX(Pile!$CO$336:$CO$359,_xlfn.AGGREGATE(15,3,((Pile!$CY$336:$CY$359=Pile!$F458)/(Pile!$CY$336:$CY$359=Pile!$F458)*ROW(Pile!$CY$336:$CY$359))-ROW(Pile!$CP$335),ROWS(Pile!$CO458)))),"Not Suitable")),AND(Inputs!$E$32="Driven Precast Concrete",$A$42="Number of Piles"),(IF(SUMPRODUCT(--ISNUMBER(Pile!$CY$336:$CY$341)),Pile!$CO$336,IF(SUMPRODUCT(--ISNUMBER(Pile!$CY$342:$CY$347)),Pile!$CO$342,IF(SUMPRODUCT(--ISNUMBER(Pile!$CY$348:$CY$353)),Pile!$CO$348,IF(SUMPRODUCT(--ISNUMBER(Pile!$CY$354:$CY$359)),Pile!$CO$354,"Not Suitable"))))),AND(Inputs!$E$32="Bored Cast in Place Concrete",$A$42="Concrete Volume"),(IFERROR(_xlfn.SINGLE(INDEX(Pile!$CO$336:$CO$359,_xlfn.AGGREGATE(15,3,((Pile!$CX$336:$CX$359=M80)/(Pile!$CX$336:$CX$359=M80)*ROW(Pile!$CX$336:$CX$359))-ROW(Pile!$CP$335),ROWS(Pile!$CO462)))),"Not Suitable")),AND(Inputs!$E$32="Bored Cast in Place Concrete",$A$42="Number of Piles"),(IF(SUMPRODUCT(--ISNUMBER(Pile!$CX$336:$CX$341)),Pile!$CO$336,IF(SUMPRODUCT(--ISNUMBER(Pile!$CX$342:$CX$347)),Pile!$CO$342,IF(SUMPRODUCT(--ISNUMBER(Pile!$CX$348:$CX$353)),Pile!$CO$348,IF(SUMPRODUCT(--ISNUMBER(Pile!$CX$354:$CX$359)),Pile!$CO$354,"Not Suitable"))))))))</f>
        <v>Not Suitable</v>
      </c>
      <c r="L80" s="1208" cm="1">
        <f t="array" ref="L80">_xlfn.SINGLE(IF(SUMPRODUCT(--ISNUMBER(Pile!$CZ$336:$CZ$359))&lt;=0,"Not Suitable",_xlfn.IFS(AND(OR(Inputs!$E$32="Continuous Flight Auger",Inputs!$E$32="All Types"),$A$42="Concrete Volume"),(IFERROR(_xlfn.SINGLE(INDEX(Pile!$CQ$336:$CQ$359,_xlfn.AGGREGATE(15,3,((Pile!$CZ$336:$CZ$359=M80)/(Pile!$CZ$336:$CZ$359=M80)*ROW(Pile!$CZ$336:$CZ$359))-ROW(Pile!$CP$335),ROWS(H80)))),"Not Suitable")),AND(OR(Inputs!$E$32="Continuous Flight Auger",Inputs!$E$32="All Types"),$A$42="Number of Piles"),(IF(SUMPRODUCT(--ISNUMBER(Pile!$CZ$336:$CZ$341)),Pile!$CQ$336,IF(SUMPRODUCT(--ISNUMBER(Pile!$CZ$342:$CZ$347)),Pile!$CQ$342,IF(SUMPRODUCT(--ISNUMBER(Pile!$CZ$348:$CZ$353)),Pile!$CQ$348,IF(SUMPRODUCT(--ISNUMBER(Pile!$CZ$354:$CZ$359)),Pile!$CQ$354,"Not Suitable"))))),AND(Inputs!$E$32="Driven Precast Concrete",$A$42="Concrete Volume"),(IFERROR(_xlfn.SINGLE(INDEX(Pile!$CQ$336:$CQ$359,_xlfn.AGGREGATE(15,3,((Pile!$CY$336:$CY$359=M80)/(Pile!$CY$336:$CY$359=M80)*ROW(Pile!$CY$336:$CY$359))-ROW(Pile!$CP$335),ROWS(H80)))),"Not Suitable")),AND(Inputs!$E$32="Driven Precast Concrete",$A$42="Number of Piles"),(IF(SUMPRODUCT(--ISNUMBER(Pile!$CY$336:$CY$341)),Pile!$CQ$336,IF(SUMPRODUCT(--ISNUMBER(Pile!$CY$342:$CY$347)),Pile!$CQ$342,IF(SUMPRODUCT(--ISNUMBER(Pile!$CY$348:$CY$353)),Pile!$CQ$348,IF(SUMPRODUCT(--ISNUMBER(Pile!$CY$354:$CY$359)),Pile!$CQ$354,"Not Suitable"))))),AND(Inputs!$E$32="Bored Cast in Place Concrete",$A$42="Concrete Volume"),(IFERROR(_xlfn.SINGLE(INDEX(Pile!$CQ$336:$CQ$359,_xlfn.AGGREGATE(15,3,((Pile!$CX$336:$CX$359=M80)/(Pile!$CX$336:$CX$359=M80)*ROW(Pile!$CX$336:$CX$359))-ROW(Pile!$CP$335),ROWS(H80)))),"Not Suitable")),AND(Inputs!$E$32="Bored Cast in Place Concrete",$A$42="Number of Piles"),(IF(SUMPRODUCT(--ISNUMBER(Pile!$CX$336:$CX$341)),Pile!$CQ$336,IF(SUMPRODUCT(--ISNUMBER(Pile!$CX$342:$CX$347)),Pile!$CQ$342,IF(SUMPRODUCT(--ISNUMBER(Pile!$CX$348:$CX$353)),Pile!$CQ$348,IF(SUMPRODUCT(--ISNUMBER(Pile!$CX$354:$CX$359)),Pile!$CQ$354,"Not Suitable"))))))))</f>
        <v>63</v>
      </c>
      <c r="M80" s="1209" cm="1">
        <f t="array" ref="M80">_xlfn.SINGLE(IF(SUMPRODUCT(--ISNUMBER(Pile!$CZ$336:$CZ$359))&lt;=0,"Not Suitable",_xlfn.IFS(AND(OR(Inputs!$E$32="Continuous Flight Auger",Inputs!$E$32="All Types"),$A$42="Concrete Volume"),(IF(MIN(Pile!$CZ$336:$CZ$359)&gt;0,MIN(Pile!$CZ$336:$CZ$359),"Not Suitable")),AND(OR(Inputs!$E$32="Continuous Flight Auger",Inputs!$E$32="All Types"),$A$42="Number of Piles"),(IF(Pile!#REF!=Pile!$CQ$336,MIN(Pile!$CZ$336:$CZ$341),IF(Pile!#REF!=Pile!$CQ$342,MIN(Pile!$CZ$342:$CZ$347),IF(Pile!#REF!=Pile!$CQ$348,MIN(Pile!$CZ$348:$CZ$353),IF(Pile!#REF!=Pile!$CQ$354,MIN(Pile!$CZ$354:$CZ$359),"Not Suitable"))))),AND(Inputs!$E$32="Driven Precast Concrete",$A$42="Concrete Volume"),(IF(MIN(Pile!$CY$336:$CY$359)&gt;0,MIN(Pile!$CY$336:$CY$359),"Not Suitable")),AND(Inputs!$E$32="Driven Precast Concrete",$A$42="Number of Piles"),(IF(Pile!#REF!=Pile!$CQ$336,MIN(Pile!$CY$336:$CY$341),IF(Pile!#REF!=Pile!$CQ$342,MIN(Pile!$CY$342:$CY$347),IF(Pile!#REF!=Pile!$CQ$348,MIN(Pile!$CY$348:$CY$353),IF(Pile!#REF!=Pile!$CQ$354,MIN(Pile!$CY$354:$CY$359),"Not Suitable"))))),AND(Inputs!$E$32="Bored Cast in Place Concrete",$A$42="Concrete Volume"),(IF(MIN(Pile!$CX$336:$CX$359)&gt;0,MIN(Pile!$CX$336:$CX$359),"Not Suitable")),AND(Inputs!$E$32="Bored Cast in Place Concrete",$A$42="Number of Piles"),(IF(Pile!#REF!=Pile!$CQ$336,MIN(Pile!$CX$336:$CX$341),IF(Pile!#REF!=Pile!$CQ$342,MIN(Pile!$CX$342:$CX$347),IF(Pile!#REF!=Pile!$CQ$348,MIN(Pile!$CX$348:$CX$353),IF(Pile!#REF!=Pile!$CQ$354,MIN(Pile!$CX$354:$CX$359),"Not Suitable"))))))))</f>
        <v>170.70368043882976</v>
      </c>
      <c r="N80" s="1198"/>
      <c r="O80" s="572" t="s">
        <v>1932</v>
      </c>
      <c r="P80" s="1208" cm="1">
        <f t="array" ref="P80">_xlfn.SINGLE(IF(SUMPRODUCT(--ISNUMBER(Pile!$DM$336:$DM$359))&lt;=0,"Not Suitable",_xlfn.IFS(AND(OR(Inputs!$E$32="Continuous Flight Auger",Inputs!$E$32="All Types"),$A$42="Concrete Volume"),(IFERROR(_xlfn.SINGLE(INDEX(Pile!$DC$336:$DC$359,_xlfn.AGGREGATE(15,3,((Pile!$DM$336:$DM$359=T80)/(Pile!$DM$336:$DM$359=T80)*ROW(Pile!$DM$336:$DM$359))-ROW(Pile!$DC$335),ROWS(O80)))),"Not Suitable")),AND(OR(Inputs!$E$32="Continuous Flight Auger",Inputs!$E$32="All Types"),$A$42="Number of Piles"),(IFERROR(_xlfn.SINGLE(INDEX(Pile!$DC$336:$DC$359,_xlfn.AGGREGATE(15,3,((Pile!$DM$336:$DM$359=T80)/(Pile!$DM$336:$DM$359=T80)*ROW(Pile!$DM$336:$DM$359))-ROW(Pile!$DC$335),ROWS(O80)))),"Not Suitable")),AND(Inputs!$E$32="Driven Precast Concrete",$A$42="Concrete Volume"),(IFERROR(_xlfn.SINGLE(INDEX(Pile!$DC$336:$DC$359,_xlfn.AGGREGATE(15,3,((Pile!$DL$336:$DL$359=T80)/(Pile!$DL$336:$DL$359=T80)*ROW(Pile!$DL$336:$DL$359))-ROW(Pile!$DC$335),ROWS(O80)))),"Not Suitable")),AND(Inputs!$E$32="Driven Precast Concrete",$A$42="Number of Piles"),(IFERROR(_xlfn.SINGLE(INDEX(Pile!$DC$336:$DC$359,_xlfn.AGGREGATE(15,3,((Pile!$DL$336:$DL$359=T80)/(Pile!$DL$336:$DL$359=T80)*ROW(Pile!$DL$336:$DL$359))-ROW(Pile!$DC$335),ROWS(O80)))),"Not Suitable")),AND(Inputs!$E$32="Bored Cast in Place Concrete",$A$42="Concrete Volume"),(IFERROR(_xlfn.SINGLE(INDEX(Pile!$DC$336:$DC$359,_xlfn.AGGREGATE(15,3,((Pile!$DK$336:$DK$359=T80)/(Pile!$DK$336:$DK$359=T80)*ROW(Pile!$DK$336:$DK$359))-ROW(Pile!$DC$335),ROWS(O80)))),"Not Suitable")),AND(Inputs!$E$32="Bored Cast in Place Concrete",$A$42="Number of Piles"),(IFERROR(_xlfn.SINGLE(INDEX(Pile!$DC$336:$DC$359,_xlfn.AGGREGATE(15,3,((Pile!$DK$336:$DK$359=T80)/(Pile!$DK$336:$DK$359=T80)*ROW(Pile!$DK$336:$DK$359))-ROW(Pile!$DC$335),ROWS(O80)))),"Not Suitable")))))</f>
        <v>450</v>
      </c>
      <c r="Q80" s="1209">
        <f>IF(T80="Not Suitable","Not Suitable",T80/(S80*PI()*(P80/2000)^2))</f>
        <v>17.036776513153228</v>
      </c>
      <c r="R80" s="1208" t="str" cm="1">
        <f t="array" ref="R80">_xlfn.SINGLE(IF(SUMPRODUCT(--ISNUMBER(Pile!$DM$336:$DM$359))&lt;=0,"Not Suitable",_xlfn.IFS(AND(OR(Inputs!$E$32="Continuous Flight Auger",Inputs!$E$32="All Types"),$A$42="Concrete Volume"),(IFERROR(_xlfn.SINGLE(INDEX(Pile!$DB$336:$DB$359,_xlfn.AGGREGATE(15,3,((Pile!$DM$336:$DM$359=Pile!$G454)/(Pile!$DM$336:$DM$359=Pile!$G454)*ROW(Pile!$DM$336:$DM$359))-ROW(Pile!$DC$335),ROWS(Pile!$DB454)))),"Not Suitable")),AND(OR(Inputs!$E$32="Continuous Flight Auger",Inputs!$E$32="All Types"),$A$42="Number of Piles"),(IF(SUMPRODUCT(--ISNUMBER(Pile!$DM$336:$DM$341)),Pile!$DB$336,IF(SUMPRODUCT(--ISNUMBER(Pile!$DM$342:$DM$347)),Pile!$DB$342,IF(SUMPRODUCT(--ISNUMBER(Pile!$DM$348:$DM$353)),Pile!$DB$348,IF(SUMPRODUCT(--ISNUMBER(Pile!$DM$354:$DM$359)),Pile!$DB$354,"Not Suitable"))))),AND(Inputs!$E$32="Driven Precast Concrete",$A$42="Concrete Volume"),(IFERROR(_xlfn.SINGLE(INDEX(Pile!$DB$336:$DB$359,_xlfn.AGGREGATE(15,3,((Pile!$DL$336:$DL$359=Pile!$F458)/(Pile!$DL$336:$DL$359=Pile!$F458)*ROW(Pile!$DL$336:$DL$359))-ROW(Pile!$DC$335),ROWS(Pile!$DB458)))),"Not Suitable")),AND(Inputs!$E$32="Driven Precast Concrete",$A$42="Number of Piles"),(IF(SUMPRODUCT(--ISNUMBER(Pile!$DL$336:$DL$341)),Pile!$DB$336,IF(SUMPRODUCT(--ISNUMBER(Pile!$DL$342:$DL$347)),Pile!$DB$342,IF(SUMPRODUCT(--ISNUMBER(Pile!$DL$348:$DL$353)),Pile!$DB$348,IF(SUMPRODUCT(--ISNUMBER(Pile!$DL$354:$DL$359)),Pile!$DB$354,"Not Suitable"))))),AND(Inputs!$E$32="Bored Cast in Place Concrete",$A$42="Concrete Volume"),(IFERROR(_xlfn.SINGLE(INDEX(Pile!$DB$336:$DB$359,_xlfn.AGGREGATE(15,3,((Pile!$DK$336:$DK$359=T80)/(Pile!$DK$336:$DK$359=T80)*ROW(Pile!$DK$336:$DK$359))-ROW(Pile!$DC$335),ROWS(Pile!$DB462)))),"Not Suitable")),AND(Inputs!$E$32="Bored Cast in Place Concrete",$A$42="Number of Piles"),(IF(SUMPRODUCT(--ISNUMBER(Pile!$DK$336:$DK$341)),Pile!$DB$336,IF(SUMPRODUCT(--ISNUMBER(Pile!$DK$342:$DK$347)),Pile!$DB$342,IF(SUMPRODUCT(--ISNUMBER(Pile!$DK$348:$DK$353)),Pile!$DB$348,IF(SUMPRODUCT(--ISNUMBER(Pile!$DK$354:$DK$359)),Pile!$DB$354,"Not Suitable"))))))))</f>
        <v>Not Suitable</v>
      </c>
      <c r="S80" s="1208" cm="1">
        <f t="array" ref="S80">_xlfn.SINGLE(IF(SUMPRODUCT(--ISNUMBER(Pile!$DM$336:$DM$359))&lt;=0,"Not Suitable",_xlfn.IFS(AND(OR(Inputs!$E$32="Continuous Flight Auger",Inputs!$E$32="All Types"),$A$42="Concrete Volume"),(IFERROR(_xlfn.SINGLE(INDEX(Pile!$DD$336:$DD$359,_xlfn.AGGREGATE(15,3,((Pile!$DM$336:$DM$359=T80)/(Pile!$DM$336:$DM$359=T80)*ROW(Pile!$DM$336:$DM$359))-ROW(Pile!$DC$335),ROWS(O80)))),"Not Suitable")),AND(OR(Inputs!$E$32="Continuous Flight Auger",Inputs!$E$32="All Types"),$A$42="Number of Piles"),(IF(SUMPRODUCT(--ISNUMBER(Pile!$DM$336:$DM$341)),Pile!$DD$336,IF(SUMPRODUCT(--ISNUMBER(Pile!$DM$342:$DM$347)),Pile!$DD$342,IF(SUMPRODUCT(--ISNUMBER(Pile!$DM$348:$DM$353)),Pile!$DD$348,IF(SUMPRODUCT(--ISNUMBER(Pile!$DM$354:$DM$359)),Pile!$DD$354,"Not Suitable"))))),AND(Inputs!$E$32="Driven Precast Concrete",$A$42="Concrete Volume"),(IFERROR(_xlfn.SINGLE(INDEX(Pile!$DD$336:$DD$359,_xlfn.AGGREGATE(15,3,((Pile!$DL$336:$DL$359=T80)/(Pile!$DL$336:$DL$359=T80)*ROW(Pile!$DL$336:$DL$359))-ROW(Pile!$DC$335),ROWS(O80)))),"Not Suitable")),AND(Inputs!$E$32="Driven Precast Concrete",$A$42="Number of Piles"),(IF(SUMPRODUCT(--ISNUMBER(Pile!$DL$336:$DL$341)),Pile!$DD$336,IF(SUMPRODUCT(--ISNUMBER(Pile!$DL$342:$DL$347)),Pile!$DD$342,IF(SUMPRODUCT(--ISNUMBER(Pile!$DL$348:$DL$353)),Pile!$DD$348,IF(SUMPRODUCT(--ISNUMBER(Pile!$DL$354:$DL$359)),Pile!$DD$354,"Not Suitable"))))),AND(Inputs!$E$32="Bored Cast in Place Concrete",$A$42="Concrete Volume"),(IFERROR(_xlfn.SINGLE(INDEX(Pile!$DD$336:$DD$359,_xlfn.AGGREGATE(15,3,((Pile!$DK$336:$DK$359=T80)/(Pile!$DK$336:$DK$359=T80)*ROW(Pile!$DK$336:$DK$359))-ROW(Pile!$DC$335),ROWS(O80)))),"Not Suitable")),AND(Inputs!$E$32="Bored Cast in Place Concrete",$A$42="Number of Piles"),(IF(SUMPRODUCT(--ISNUMBER(Pile!$DK$336:$DK$341)),Pile!$DD$336,IF(SUMPRODUCT(--ISNUMBER(Pile!$DK$342:$DK$347)),Pile!$DD$342,IF(SUMPRODUCT(--ISNUMBER(Pile!$DK$348:$DK$353)),Pile!$DD$348,IF(SUMPRODUCT(--ISNUMBER(Pile!$DK$354:$DK$359)),Pile!$DD$354,"Not Suitable"))))))))</f>
        <v>63</v>
      </c>
      <c r="T80" s="1209" cm="1">
        <f t="array" ref="T80">_xlfn.SINGLE(IF(SUMPRODUCT(--ISNUMBER(Pile!$DM$336:$DM$359))&lt;=0,"Not Suitable",_xlfn.IFS(AND(OR(Inputs!$E$32="Continuous Flight Auger",Inputs!$E$32="All Types"),$A$42="Concrete Volume"),(IF(MIN(Pile!$DM$336:$DM$359)&gt;0,MIN(Pile!$DM$336:$DM$359),"Not Suitable")),AND(OR(Inputs!$E$32="Continuous Flight Auger",Inputs!$E$32="All Types"),$A$42="Number of Piles"),(IF(Pile!#REF!=Pile!$DD$336,MIN(Pile!$DM$336:$DM$341),IF(Pile!#REF!=Pile!$DD$342,MIN(Pile!$DM$342:$DM$347),IF(Pile!#REF!=Pile!$DD$348,MIN(Pile!$DM$348:$DM$353),IF(Pile!#REF!=Pile!$DD$354,MIN(Pile!$DM$354:$DM$359),"Not Suitable"))))),AND(Inputs!$E$32="Driven Precast Concrete",$A$42="Concrete Volume"),(IF(MIN(Pile!$DL$336:$DL$359)&gt;0,MIN(Pile!$DL$336:$DL$359),"Not Suitable")),AND(Inputs!$E$32="Driven Precast Concrete",$A$42="Number of Piles"),(IF(Pile!#REF!=Pile!$DD$336,MIN(Pile!$DL$336:$DL$341),IF(Pile!#REF!=Pile!$DD$342,MIN(Pile!$DL$342:$DL$347),IF(Pile!#REF!=Pile!$DD$348,MIN(Pile!$DL$348:$DL$353),IF(Pile!#REF!=Pile!$DD$354,MIN(Pile!$DL$354:$DL$359),"Not Suitable"))))),AND(Inputs!$E$32="Bored Cast in Place Concrete",$A$42="Concrete Volume"),(IF(MIN(Pile!$DK$336:$DK$359)&gt;0,MIN(Pile!$DK$336:$DK$359),"Not Suitable")),AND(Inputs!$E$32="Bored Cast in Place Concrete",$A$42="Number of Piles"),(IF(Pile!#REF!=Pile!$DD$336,MIN(Pile!$DK$336:$DK$341),IF(Pile!#REF!=Pile!$DD$342,MIN(Pile!$DK$342:$DK$347),IF(Pile!#REF!=Pile!$DD$348,MIN(Pile!$DK$348:$DK$353),IF(Pile!#REF!=Pile!$DD$354,MIN(Pile!$DK$354:$DK$359),"Not Suitable"))))))))</f>
        <v>170.70368043882976</v>
      </c>
    </row>
    <row r="81" spans="1:22" s="314" customFormat="1" ht="15.75" thickBot="1">
      <c r="A81" s="572" t="s">
        <v>1933</v>
      </c>
      <c r="B81" s="1210" cm="1">
        <f t="array" ref="B81">_xlfn.SINGLE(IF(SUMPRODUCT(--ISNUMBER(Pile!$CM$368:$CM$391))&lt;=0,"Not Suitable",_xlfn.IFS(AND(OR(Inputs!$E$32="Continuous Flight Auger",Inputs!$E$32="All Types"),$A$42="Concrete Volume"),(IFERROR(_xlfn.SINGLE(INDEX(Pile!$CC$368:$CC$391,_xlfn.AGGREGATE(15,3,((Pile!$CM$368:$CM$391=F81)/(Pile!$CM$368:$CM$391=F81)*ROW(Pile!$CM$368:$CM$391))-ROW(Pile!$CC$367),ROWS(A81)))),"Not Suitable")),AND(OR(Inputs!$E$32="Continuous Flight Auger",Inputs!$E$32="All Types"),$A$42="Number of Piles"),(IFERROR(_xlfn.SINGLE(INDEX(Pile!$CC$368:$CC$391,_xlfn.AGGREGATE(15,3,((Pile!$CM$368:$CM$391=F81)/(Pile!$CM$368:$CM$391=F81)*ROW(Pile!$CM$368:$CM$391))-ROW(Pile!$CC$367),ROWS(A81)))),"Not Suitable")),AND(Inputs!$E$32="Driven Precast Concrete",$A$42="Concrete Volume"),(IFERROR(_xlfn.SINGLE(INDEX(Pile!$CC$368:$CC$391,_xlfn.AGGREGATE(15,3,((Pile!$CL$368:$CL$391=F81)/(Pile!$CL$368:$CL$391=F81)*ROW(Pile!$CL$368:$CL$391))-ROW(Pile!$CC$367),ROWS(A81)))),"Not Suitable")),AND(Inputs!$E$32="Driven Precast Concrete",$A$42="Number of Piles"),(IFERROR(_xlfn.SINGLE(INDEX(Pile!$CC$368:$CC$391,_xlfn.AGGREGATE(15,3,((Pile!$CL$368:$CL$391=F81)/(Pile!$CL$368:$CL$391=F81)*ROW(Pile!$CL$368:$CL$391))-ROW(Pile!$CC$367),ROWS(A81)))),"Not Suitable")),AND(Inputs!$E$32="Bored Cast in Place Concrete",$A$42="Concrete Volume"),(IFERROR(_xlfn.SINGLE(INDEX(Pile!$CC$368:$CC$391,_xlfn.AGGREGATE(15,3,((Pile!$CK$368:$CK$391=F81)/(Pile!$CK$368:$CK$391=F81)*ROW(Pile!$CK$368:$CK$391))-ROW(Pile!$CC$367),ROWS(A81)))),"Not Suitable")),AND(Inputs!$E$32="Bored Cast in Place Concrete",$A$42="Number of Piles"),(IFERROR(_xlfn.SINGLE(INDEX(Pile!$CC$368:$CC$391,_xlfn.AGGREGATE(15,3,((Pile!$CK$368:$CK$391=F81)/(Pile!$CK$368:$CK$391=F81)*ROW(Pile!$CK$368:$CK$391))-ROW(Pile!$CC$367),ROWS(A81)))),"Not Suitable")))))</f>
        <v>450</v>
      </c>
      <c r="C81" s="1211">
        <f>IF(F81="Not Suitable","Not Suitable",F81/(E81*PI()*(B81/2000)^2))</f>
        <v>17.036776513153224</v>
      </c>
      <c r="D81" s="1210" cm="1">
        <f t="array" ref="D81">_xlfn.SINGLE(IF(SUMPRODUCT(--ISNUMBER(Pile!$CM$368:$CM$391))&lt;=0,"Not Suitable",_xlfn.IFS(AND(OR(Inputs!$E$32="Continuous Flight Auger",Inputs!$E$32="All Types"),$A$42="Concrete Volume"),(IFERROR(_xlfn.SINGLE(INDEX(Pile!$CB$368:$CB$391,_xlfn.AGGREGATE(15,3,((Pile!$CM$368:$CM$391=F81)/(Pile!$CM$368:$CM$391=F81)*ROW(Pile!$CM$368:$CM$391))-ROW(Pile!$CC$367),ROWS(A81)))),"Not Suitable")),AND(OR(Inputs!$E$32="Continuous Flight Auger",Inputs!$E$32="All Types"),$A$42="Number of Piles"),(IF(SUMPRODUCT(--ISNUMBER(Pile!$CM$368:$CM$373)),Pile!$CB$368,IF(SUMPRODUCT(--ISNUMBER(Pile!$CM$374:$CM$379)),Pile!$CB$374,IF(SUMPRODUCT(--ISNUMBER(Pile!$CM$380:$CM$385)),Pile!$CB$380,IF(SUMPRODUCT(--ISNUMBER(Pile!$CM$386:$CM$391)),Pile!$CB$386,"Not Suitable"))))),AND(Inputs!$E$32="Driven Precast Concrete",$A$42="Concrete Volume"),(IFERROR(_xlfn.SINGLE(INDEX(Pile!$CB$368:$CB$391,_xlfn.AGGREGATE(15,3,((Pile!$CL$368:$CL$391=F81)/(Pile!$CL$368:$CL$391=F81)*ROW(Pile!$CL$368:$CL$391))-ROW(Pile!$CC$367),ROWS(A81)))),"Not Suitable")),AND(Inputs!$E$32="Driven Precast Concrete",$A$42="Number of Piles"),(IF(SUMPRODUCT(--ISNUMBER(Pile!$CL$368:$CL$373)),Pile!$CB$368,IF(SUMPRODUCT(--ISNUMBER(Pile!$CL$374:$CL$379)),Pile!$CB$374,IF(SUMPRODUCT(--ISNUMBER(Pile!$CL$380:$CL$385)),Pile!$CB$380,IF(SUMPRODUCT(--ISNUMBER(Pile!$CL$386:$CL$391)),Pile!$CB$386,"Not Suitable"))))),AND(Inputs!$E$32="Bored Cast in Place Concrete",$A$42="Concrete Volume"),(IFERROR(_xlfn.SINGLE(INDEX(Pile!$CB$368:$CB$391,_xlfn.AGGREGATE(15,3,((Pile!$CK$368:$CK$391=F81)/(Pile!$CK$368:$CK$391=F81)*ROW(Pile!$CK$368:$CK$391))-ROW(Pile!$CC$367),ROWS(A81)))),"Not Suitable")),AND(Inputs!$E$32="Bored Cast in Place Concrete",$A$42="Number of Piles"),(IF(SUMPRODUCT(--ISNUMBER(Pile!$CK$368:$CK$373)),Pile!$CB$368,IF(SUMPRODUCT(--ISNUMBER(Pile!$CK$374:$CK$379)),Pile!$CB$374,IF(SUMPRODUCT(--ISNUMBER(Pile!$CK$380:$CK$385)),Pile!$CB$380,IF(SUMPRODUCT(--ISNUMBER(Pile!$CK$386:$CK$391)),Pile!$CB$386,"Not Suitable"))))))))</f>
        <v>1</v>
      </c>
      <c r="E81" s="1210" cm="1">
        <f t="array" ref="E81">_xlfn.SINGLE(IF(SUMPRODUCT(--ISNUMBER(Pile!$CM$368:$CM$391))&lt;=0,"Not Suitable",_xlfn.IFS(AND(OR(Inputs!$E$32="Continuous Flight Auger",Inputs!$E$32="All Types"),$A$42="Concrete Volume"),(IFERROR(_xlfn.SINGLE(INDEX(Pile!$CD$368:$CD$391,_xlfn.AGGREGATE(15,3,((Pile!$CM$368:$CM$391=F81)/(Pile!$CM$368:$CM$391=F81)*ROW(Pile!$CM$368:$CM$391))-ROW(Pile!$CC$367),ROWS(A81)))),"Not Suitable")),AND(OR(Inputs!$E$32="Continuous Flight Auger",Inputs!$E$32="All Types"),$A$42="Number of Piles"),(IF(SUMPRODUCT(--ISNUMBER(Pile!$CM$368:$CM$373)),Pile!$CD$368,IF(SUMPRODUCT(--ISNUMBER(Pile!$CM$374:$CM$379)),Pile!$CD$374,IF(SUMPRODUCT(--ISNUMBER(Pile!$CM$380:$CM$385)),Pile!$CD$380,IF(SUMPRODUCT(--ISNUMBER(Pile!$CM$386:$CM$391)),Pile!$CD$386,"Not Suitable"))))),AND(Inputs!$E$32="Driven Precast Concrete",$A$42="Concrete Volume"),(IFERROR(_xlfn.SINGLE(INDEX(Pile!$CD$368:$CD$391,_xlfn.AGGREGATE(15,3,((Pile!$CL$368:$CL$391=F81)/(Pile!$CL$368:$CL$391=F81)*ROW(Pile!$CL$368:$CL$391))-ROW(Pile!$CC$367),ROWS(A81)))),"Not Suitable")),AND(Inputs!$E$32="Driven Precast Concrete",$A$42="Number of Piles"),(IF(SUMPRODUCT(--ISNUMBER(Pile!$CL$368:$CL$373)),Pile!$CD$368,IF(SUMPRODUCT(--ISNUMBER(Pile!$CL$374:$CL$379)),Pile!$CD$374,IF(SUMPRODUCT(--ISNUMBER(Pile!$CL$380:$CL$385)),Pile!$CD$380,IF(SUMPRODUCT(--ISNUMBER(Pile!$CL$386:$CL$391)),Pile!$CD$386,"Not Suitable"))))),AND(Inputs!$E$32="Bored Cast in Place Concrete",$A$42="Concrete Volume"),(IFERROR(_xlfn.SINGLE(INDEX(Pile!$CD$368:$CD$391,_xlfn.AGGREGATE(15,3,((Pile!$CK$368:$CK$391=F81)/(Pile!$CK$368:$CK$391=F81)*ROW(Pile!$CK$368:$CK$391))-ROW(Pile!$CC$367),ROWS(A81)))),"Not Suitable")),AND(Inputs!$E$32="Bored Cast in Place Concrete",$A$42="Number of Piles"),(IF(SUMPRODUCT(--ISNUMBER(Pile!$CK$368:$CK$373)),Pile!$CD$368,IF(SUMPRODUCT(--ISNUMBER(Pile!$CK$374:$CK$379)),Pile!$CD$374,IF(SUMPRODUCT(--ISNUMBER(Pile!$CK$380:$CK$385)),Pile!$CD$380,IF(SUMPRODUCT(--ISNUMBER(Pile!$CK$386:$CK$391)),Pile!$CD$386,"Not Suitable"))))))))</f>
        <v>32</v>
      </c>
      <c r="F81" s="1211" cm="1">
        <f t="array" ref="F81">_xlfn.SINGLE(IF(SUMPRODUCT(--ISNUMBER(Pile!$CM$368:$CM$391))&lt;=0,"Not Suitable",_xlfn.IFS(AND(OR(Inputs!$E$32="Continuous Flight Auger",Inputs!$E$32="All Types"),$A$42="Concrete Volume"),(IF(MIN(Pile!$CM$368:$CM$391)&gt;0,MIN(Pile!$CM$368:$CM$391), "Not Suitable")),AND(OR(Inputs!$E$32="Continuous Flight Auger",Inputs!$E$32="All Types"),$A$42="Number of Piles"),(IF(Pile!#REF!=Pile!$CD$368,MIN(Pile!$CM$368:$CM$373),IF(Pile!#REF!=Pile!$CD$374,MIN(Pile!$CM$374:$CM$379),IF(Pile!#REF!=Pile!$CD$380,MIN(Pile!$CM$380:$CM$385),IF(Pile!#REF!=Pile!$CD$386,MIN(Pile!$CM$386:$CM$391),"Not Suitable"))))),AND(Inputs!$E$32="Driven Precast Concrete",$A$42="Concrete Volume"),(IF(MIN(Pile!$CL$368:$CL$391)&gt;0,MIN(Pile!$CL$368:$CL$391), "Not Suitable")),AND(Inputs!$E$32="Driven Precast Concrete",$A$42="Number of Piles"),(IF(Pile!#REF!=Pile!$CD$368,MIN(Pile!$CL$368:$CL$373),IF(Pile!#REF!=Pile!$CD$374,MIN(Pile!$CL$374:$CL$379),IF(Pile!#REF!=Pile!$CD$380,MIN(Pile!$CL$380:$CL$385),IF(Pile!#REF!=Pile!$CD$386,MIN(Pile!$CL$386:$CL$391),"Not Suitable"))))),AND(Inputs!$E$32="Bored Cast in Place Concrete",$A$42="Concrete Volume"),(IF(MIN(Pile!$CK$368:$CK$391)&gt;0,MIN(Pile!$CK$368:$CK$391), "Not Suitable")),AND(Inputs!$E$32="Bored Cast in Place Concrete",$A$42="Number of Piles"),(IF(Pile!#REF!=Pile!$CD$368,MIN(Pile!$CK$368:$CK$373),IF(Pile!#REF!=Pile!$CD$374,MIN(Pile!$CK$374:$CK$379),IF(Pile!#REF!=Pile!$CD$380,MIN(Pile!$CK$380:$CK$385),IF(Pile!#REF!=Pile!$CD$386,MIN(Pile!$CK$386:$CK$391),"Not Suitable"))))))))</f>
        <v>86.706631334008762</v>
      </c>
      <c r="G81" s="1198"/>
      <c r="H81" s="572" t="s">
        <v>1933</v>
      </c>
      <c r="I81" s="1210" cm="1">
        <f t="array" ref="I81">_xlfn.SINGLE(IF(SUMPRODUCT(--ISNUMBER(Pile!$CZ$368:$CZ$391))&lt;=0,"Not Suitable",_xlfn.IFS(AND(OR(Inputs!$E$32="Continuous Flight Auger",Inputs!$E$32="All Types"),$A$42="Concrete Volume"),(IFERROR(_xlfn.SINGLE(INDEX(Pile!$CP$368:$CP$391,_xlfn.AGGREGATE(15,3,((Pile!$CZ$368:$CZ$391=M81)/(Pile!$CZ$368:$CZ$391=M81)*ROW(Pile!$CZ$368:$CZ$391))-ROW(Pile!$CP$367),ROWS(H81)))),"Not Suitable")),AND(OR(Inputs!$E$32="Continuous Flight Auger",Inputs!$E$32="All Types"),$A$42="Number of Piles"),(IFERROR(_xlfn.SINGLE(INDEX(Pile!$CP$368:$CP$391,_xlfn.AGGREGATE(15,3,((Pile!$CZ$368:$CZ$391=M81)/(Pile!$CZ$368:$CZ$391=M81)*ROW(Pile!$CZ$368:$CZ$391))-ROW(Pile!$CP$367),ROWS(H81)))),"Not Suitable")),AND(Inputs!$E$32="Driven Precast Concrete",$A$42="Concrete Volume"),(IFERROR(_xlfn.SINGLE(INDEX(Pile!$CP$368:$CP$391,_xlfn.AGGREGATE(15,3,((Pile!$CY$368:$CY$391=M81)/(Pile!$CY$368:$CY$391=M81)*ROW(Pile!$CY$368:$CY$391))-ROW(Pile!$CP$367),ROWS(H81)))),"Not Suitable")),AND(Inputs!$E$32="Driven Precast Concrete",$A$42="Number of Piles"),(IFERROR(_xlfn.SINGLE(INDEX(Pile!$CP$368:$CP$391,_xlfn.AGGREGATE(15,3,((Pile!$CY$368:$CY$391=M81)/(Pile!$CY$368:$CY$391=M81)*ROW(Pile!$CY$368:$CY$391))-ROW(Pile!$CP$367),ROWS(H81)))),"Not Suitable")),AND(Inputs!$E$32="Bored Cast in Place Concrete",$A$42="Concrete Volume"),(IFERROR(_xlfn.SINGLE(INDEX(Pile!$CP$368:$CP$391,_xlfn.AGGREGATE(15,3,((Pile!$CX$368:$CX$391=M81)/(Pile!$CX$368:$CX$391=M81)*ROW(Pile!$CX$368:$CX$391))-ROW(Pile!$CP$367),ROWS(H81)))),"Not Suitable")),AND(Inputs!$E$32="Bored Cast in Place Concrete",$A$42="Number of Piles"),(IFERROR(_xlfn.SINGLE(INDEX(Pile!$CP$368:$CP$391,_xlfn.AGGREGATE(15,3,((Pile!$CX$368:$CX$391=M81)/(Pile!$CX$368:$CX$391=M81)*ROW(Pile!$CX$368:$CX$391))-ROW(Pile!$CP$367),ROWS(H81)))),"Not Suitable")))))</f>
        <v>450</v>
      </c>
      <c r="J81" s="1211">
        <f>IF(M81="Not Suitable","Not Suitable",M81/(L81*PI()*(I81/2000)^2))</f>
        <v>17.036776513153224</v>
      </c>
      <c r="K81" s="1210" cm="1">
        <f t="array" ref="K81">_xlfn.SINGLE(IF(SUMPRODUCT(--ISNUMBER(Pile!$CZ$368:$CZ$391))&lt;=0,"Not Suitable",_xlfn.IFS(AND(OR(Inputs!$E$32="Continuous Flight Auger",Inputs!$E$32="All Types"),$A$42="Concrete Volume"),(IFERROR(_xlfn.SINGLE(INDEX(Pile!$CO$368:$CO$391,_xlfn.AGGREGATE(15,3,((Pile!$CZ$368:$CZ$391=M81)/(Pile!$CZ$368:$CZ$391=M81)*ROW(Pile!$CZ$368:$CZ$391))-ROW(Pile!$CP$367),ROWS(H81)))),"Not Suitable")),AND(OR(Inputs!$E$32="Continuous Flight Auger",Inputs!$E$32="All Types"),$A$42="Number of Piles"),(IF(SUMPRODUCT(--ISNUMBER(Pile!$CZ$368:$CZ$373)),Pile!$CO$368,IF(SUMPRODUCT(--ISNUMBER(Pile!$CZ$374:$CZ$379)),Pile!$CO$374,IF(SUMPRODUCT(--ISNUMBER(Pile!$CZ$380:$CZ$385)),Pile!$CO$380,IF(SUMPRODUCT(--ISNUMBER(Pile!$CZ$386:$CZ$391)),Pile!$CO$386,"Not Suitable"))))),AND(Inputs!$E$32="Driven Precast Concrete",$A$42="Concrete Volume"),(IFERROR(_xlfn.SINGLE(INDEX(Pile!$CO$368:$CO$391,_xlfn.AGGREGATE(15,3,((Pile!$CY$368:$CY$391=M81)/(Pile!$CY$368:$CY$391=M81)*ROW(Pile!$CY$368:$CY$391))-ROW(Pile!$CP$367),ROWS(H81)))),"Not Suitable")),AND(Inputs!$E$32="Driven Precast Concrete",$A$42="Number of Piles"),(IF(SUMPRODUCT(--ISNUMBER(Pile!$CY$368:$CY$373)),Pile!$CO$368,IF(SUMPRODUCT(--ISNUMBER(Pile!$CY$374:$CY$379)),Pile!$CO$374,IF(SUMPRODUCT(--ISNUMBER(Pile!$CY$380:$CY$385)),Pile!$CO$380,IF(SUMPRODUCT(--ISNUMBER(Pile!$CY$386:$CY$391)),Pile!$CO$386,"Not Suitable"))))),AND(Inputs!$E$32="Bored Cast in Place Concrete",$A$42="Concrete Volume"),(IFERROR(_xlfn.SINGLE(INDEX(Pile!$CO$368:$CO$391,_xlfn.AGGREGATE(15,3,((Pile!$CX$368:$CX$391=M81)/(Pile!$CX$368:$CX$391=M81)*ROW(Pile!$CX$368:$CX$391))-ROW(Pile!$CP$367),ROWS(H81)))),"Not Suitable")),AND(Inputs!$E$32="Bored Cast in Place Concrete",$A$42="Number of Piles"),(IF(SUMPRODUCT(--ISNUMBER(Pile!$CX$368:$CX$373)),Pile!$CO$368,IF(SUMPRODUCT(--ISNUMBER(Pile!$CX$374:$CX$379)),Pile!$CO$374,IF(SUMPRODUCT(--ISNUMBER(Pile!$CX$380:$CX$385)),Pile!$CO$380,IF(SUMPRODUCT(--ISNUMBER(Pile!$CX$386:$CX$391)),Pile!$CO$386,"Not Suitable"))))))))</f>
        <v>1</v>
      </c>
      <c r="L81" s="1210" cm="1">
        <f t="array" ref="L81">_xlfn.SINGLE(IF(SUMPRODUCT(--ISNUMBER(Pile!$CZ$368:$CZ$391))&lt;=0,"Not Suitable",_xlfn.IFS(AND(OR(Inputs!$E$32="Continuous Flight Auger",Inputs!$E$32="All Types"),$A$42="Concrete Volume"),(IFERROR(_xlfn.SINGLE(INDEX(Pile!$CQ$368:$CQ$391,_xlfn.AGGREGATE(15,3,((Pile!$CZ$368:$CZ$391=M81)/(Pile!$CZ$368:$CZ$391=M81)*ROW(Pile!$CZ$368:$CZ$391))-ROW(Pile!$CP$367),ROWS(H81)))),"Not Suitable")),AND(OR(Inputs!$E$32="Continuous Flight Auger",Inputs!$E$32="All Types"),$A$42="Number of Piles"),(IF(SUMPRODUCT(--ISNUMBER(Pile!$CZ$368:$CZ$373)),Pile!$CQ$368,IF(SUMPRODUCT(--ISNUMBER(Pile!$CZ$374:$CZ$379)),Pile!$CQ$374,IF(SUMPRODUCT(--ISNUMBER(Pile!$CZ$380:$CZ$385)),Pile!$CQ$380,IF(SUMPRODUCT(--ISNUMBER(Pile!$CZ$386:$CZ$391)),Pile!$CQ$386,"Not Suitable"))))),AND(Inputs!$E$32="Driven Precast Concrete",$A$42="Concrete Volume"),(IFERROR(_xlfn.SINGLE(INDEX(Pile!$CQ$368:$CQ$391,_xlfn.AGGREGATE(15,3,((Pile!$CY$368:$CY$391=M81)/(Pile!$CY$368:$CY$391=M81)*ROW(Pile!$CY$368:$CY$391))-ROW(Pile!$CP$367),ROWS(H81)))),"Not Suitable")),AND(Inputs!$E$32="Driven Precast Concrete",$A$42="Number of Piles"),(IF(SUMPRODUCT(--ISNUMBER(Pile!$CY$368:$CY$373)),Pile!$CQ$368,IF(SUMPRODUCT(--ISNUMBER(Pile!$CY$374:$CY$379)),Pile!$CQ$374,IF(SUMPRODUCT(--ISNUMBER(Pile!$CY$380:$CY$385)),Pile!$CQ$380,IF(SUMPRODUCT(--ISNUMBER(Pile!$CY$386:$CY$391)),Pile!$CQ$386,"Not Suitable"))))),AND(Inputs!$E$32="Bored Cast in Place Concrete",$A$42="Concrete Volume"),(IFERROR(_xlfn.SINGLE(INDEX(Pile!$CQ$368:$CQ$391,_xlfn.AGGREGATE(15,3,((Pile!$CX$368:$CX$391=M81)/(Pile!$CX$368:$CX$391=M81)*ROW(Pile!$CX$368:$CX$391))-ROW(Pile!$CP$367),ROWS(H81)))),"Not Suitable")),AND(Inputs!$E$32="Bored Cast in Place Concrete",$A$42="Number of Piles"),(IF(SUMPRODUCT(--ISNUMBER(Pile!$CX$368:$CX$373)),Pile!$CQ$368,IF(SUMPRODUCT(--ISNUMBER(Pile!$CX$374:$CX$379)),Pile!$CQ$374,IF(SUMPRODUCT(--ISNUMBER(Pile!$CX$380:$CX$385)),Pile!$CQ$380,IF(SUMPRODUCT(--ISNUMBER(Pile!$CX$386:$CX$391)),Pile!$CQ$386,"Not Suitable"))))))))</f>
        <v>32</v>
      </c>
      <c r="M81" s="1211" cm="1">
        <f t="array" ref="M81">_xlfn.SINGLE(IF(SUMPRODUCT(--ISNUMBER(Pile!$CZ$368:$CZ$391))&lt;=0,"Not Suitable",_xlfn.IFS(AND(OR(Inputs!$E$32="Continuous Flight Auger",Inputs!$E$32="All Types"),$A$42="Concrete Volume"),(IF(MIN(Pile!$CZ$368:$CZ$391)&gt;0,MIN(Pile!$CZ$368:$CZ$391), "Not Suitable")),AND(OR(Inputs!$E$32="Continuous Flight Auger",Inputs!$E$32="All Types"),$A$42="Number of Piles"),(IF(Pile!#REF!=Pile!$CQ$368,MIN(Pile!$CZ$368:$CZ$373),IF(Pile!#REF!=Pile!$CQ$374,MIN(Pile!$CZ$374:$CZ$379),IF(Pile!#REF!=Pile!$CQ$380,MIN(Pile!$CZ$380:$CZ$385),IF(Pile!#REF!=Pile!$CQ$386,MIN(Pile!$CZ$386:$CZ$391),"Not Suitable"))))),AND(Inputs!$E$32="Driven Precast Concrete",$A$42="Concrete Volume"),(IF(MIN(Pile!$CY$368:$CY$391)&gt;0,MIN(Pile!$CY$368:$CY$391), "Not Suitable")),AND(Inputs!$E$32="Driven Precast Concrete",$A$42="Number of Piles"),(IF(Pile!#REF!=Pile!$CQ$368,MIN(Pile!$CY$368:$CY$373),IF(Pile!#REF!=Pile!$CQ$374,MIN(Pile!$CY$374:$CY$379),IF(Pile!#REF!=Pile!$CQ$380,MIN(Pile!$CY$380:$CY$385),IF(Pile!#REF!=Pile!$CQ$386,MIN(Pile!$CY$386:$CY$391),"Not Suitable"))))),AND(Inputs!$E$32="Bored Cast in Place Concrete",$A$42="Concrete Volume"),(IF(MIN(Pile!$CX$368:$CX$391)&gt;0,MIN(Pile!$CX$368:$CX$391), "Not Suitable")),AND(Inputs!$E$32="Bored Cast in Place Concrete",$A$42="Number of Piles"),(IF(Pile!#REF!=Pile!$CQ$368,MIN(Pile!$CX$368:$CX$373),IF(Pile!#REF!=Pile!$CQ$374,MIN(Pile!$CX$374:$CX$379),IF(Pile!#REF!=Pile!$CQ$380,MIN(Pile!$CX$380:$CX$385),IF(Pile!#REF!=Pile!$CQ$386,MIN(Pile!$CX$386:$CX$391),"Not Suitable"))))))))</f>
        <v>86.706631334008762</v>
      </c>
      <c r="N81" s="1198"/>
      <c r="O81" s="572" t="s">
        <v>1933</v>
      </c>
      <c r="P81" s="1210" cm="1">
        <f t="array" ref="P81">_xlfn.SINGLE(IF(SUMPRODUCT(--ISNUMBER(Pile!$DM$368:$DM$391))&lt;=0,"Not Suitable",_xlfn.IFS(AND(OR(Inputs!$E$32="Continuous Flight Auger",Inputs!$E$32="All Types"),$A$42="Concrete Volume"),(IFERROR(_xlfn.SINGLE(INDEX(Pile!$DC$368:$DC$391,_xlfn.AGGREGATE(15,3,((Pile!$DM$368:$DM$391=T81)/(Pile!$DM$368:$DM$391=T81)*ROW(Pile!$DM$368:$DM$391))-ROW(Pile!$DC$367),ROWS(O81)))),"Not Suitable")),AND(OR(Inputs!$E$32="Continuous Flight Auger",Inputs!$E$32="All Types"),$A$42="Number of Piles"),(IFERROR(_xlfn.SINGLE(INDEX(Pile!$DC$368:$DC$391,_xlfn.AGGREGATE(15,3,((Pile!$DM$368:$DM$391=T81)/(Pile!$DM$368:$DM$391=T81)*ROW(Pile!$DM$368:$DM$391))-ROW(Pile!$DC$367),ROWS(O81)))),"Not Suitable")),AND(Inputs!$E$32="Driven Precast Concrete",$A$42="Concrete Volume"),(IFERROR(_xlfn.SINGLE(INDEX(Pile!$DC$368:$DC$391,_xlfn.AGGREGATE(15,3,((Pile!$DL$368:$DL$391=T81)/(Pile!$DL$368:$DL$391=T81)*ROW(Pile!$DL$368:$DL$391))-ROW(Pile!$DC$367),ROWS(O81)))),"Not Suitable")),AND(Inputs!$E$32="Driven Precast Concrete",$A$42="Number of Piles"),(IFERROR(_xlfn.SINGLE(INDEX(Pile!$DC$368:$DC$391,_xlfn.AGGREGATE(15,3,((Pile!$DL$368:$DL$391=T81)/(Pile!$DL$368:$DL$391=T81)*ROW(Pile!$DL$368:$DL$391))-ROW(Pile!$DC$367),ROWS(O81)))),"Not Suitable")),AND(Inputs!$E$32="Bored Cast in Place Concrete",$A$42="Concrete Volume"),(IFERROR(_xlfn.SINGLE(INDEX(Pile!$DC$368:$DC$391,_xlfn.AGGREGATE(15,3,((Pile!$DK$368:$DK$391=T81)/(Pile!$DK$368:$DK$391=T81)*ROW(Pile!$DK$368:$DK$391))-ROW(Pile!$DC$367),ROWS(O81)))),"Not Suitable")),AND(Inputs!$E$32="Bored Cast in Place Concrete",$A$42="Number of Piles"),(IFERROR(_xlfn.SINGLE(INDEX(Pile!$DC$368:$DC$391,_xlfn.AGGREGATE(15,3,((Pile!$DK$368:$DK$391=T81)/(Pile!$DK$368:$DK$391=T81)*ROW(Pile!$DK$368:$DK$391))-ROW(Pile!$DC$367),ROWS(O81)))),"Not Suitable")))))</f>
        <v>450</v>
      </c>
      <c r="Q81" s="1211">
        <f>IF(T81="Not Suitable","Not Suitable",T81/(S81*PI()*(P81/2000)^2))</f>
        <v>17.036776513153224</v>
      </c>
      <c r="R81" s="1210" cm="1">
        <f t="array" ref="R81">_xlfn.SINGLE(IF(SUMPRODUCT(--ISNUMBER(Pile!$DM$368:$DM$391))&lt;=0,"Not Suitable",_xlfn.IFS(AND(OR(Inputs!$E$32="Continuous Flight Auger",Inputs!$E$32="All Types"),$A$42="Concrete Volume"),(IFERROR(_xlfn.SINGLE(INDEX(Pile!$DB$368:$DB$391,_xlfn.AGGREGATE(15,3,((Pile!$DM$368:$DM$391=T81)/(Pile!$DM$368:$DM$391=T81)*ROW(Pile!$DM$368:$DM$391))-ROW(Pile!$DC$367),ROWS(O81)))),"Not Suitable")),AND(OR(Inputs!$E$32="Continuous Flight Auger",Inputs!$E$32="All Types"),$A$42="Number of Piles"),(IF(SUMPRODUCT(--ISNUMBER(Pile!$DM$368:$DM$373)),Pile!$DB$368,IF(SUMPRODUCT(--ISNUMBER(Pile!$DM$374:$DM$379)),Pile!$DB$374,IF(SUMPRODUCT(--ISNUMBER(Pile!$DM$380:$DM$385)),Pile!$DB$380,IF(SUMPRODUCT(--ISNUMBER(Pile!$DM$386:$DM$391)),Pile!$DB$386,"Not Suitable"))))),AND(Inputs!$E$32="Driven Precast Concrete",$A$42="Concrete Volume"),(IFERROR(_xlfn.SINGLE(INDEX(Pile!$DB$368:$DB$391,_xlfn.AGGREGATE(15,3,((Pile!$DL$368:$DL$391=T81)/(Pile!$DL$368:$DL$391=T81)*ROW(Pile!$DL$368:$DL$391))-ROW(Pile!$DC$367),ROWS(O81)))),"Not Suitable")),AND(Inputs!$E$32="Driven Precast Concrete",$A$42="Number of Piles"),(IF(SUMPRODUCT(--ISNUMBER(Pile!$DL$368:$DL$373)),Pile!$DB$368,IF(SUMPRODUCT(--ISNUMBER(Pile!$DL$374:$DL$379)),Pile!$DB$374,IF(SUMPRODUCT(--ISNUMBER(Pile!$DL$380:$DL$385)),Pile!$DB$380,IF(SUMPRODUCT(--ISNUMBER(Pile!$DL$386:$DL$391)),Pile!$DB$386,"Not Suitable"))))),AND(Inputs!$E$32="Bored Cast in Place Concrete",$A$42="Concrete Volume"),(IFERROR(_xlfn.SINGLE(INDEX(Pile!$DB$368:$DB$391,_xlfn.AGGREGATE(15,3,((Pile!$DK$368:$DK$391=T81)/(Pile!$DK$368:$DK$391=T81)*ROW(Pile!$DK$368:$DK$391))-ROW(Pile!$DC$367),ROWS(O81)))),"Not Suitable")),AND(Inputs!$E$32="Bored Cast in Place Concrete",$A$42="Number of Piles"),(IF(SUMPRODUCT(--ISNUMBER(Pile!$DK$368:$DK$373)),Pile!$DB$368,IF(SUMPRODUCT(--ISNUMBER(Pile!$DK$374:$DK$379)),Pile!$DB$374,IF(SUMPRODUCT(--ISNUMBER(Pile!$DK$380:$DK$385)),Pile!$DB$380,IF(SUMPRODUCT(--ISNUMBER(Pile!$DK$386:$DK$391)),Pile!$DB$386,"Not Suitable"))))))))</f>
        <v>1</v>
      </c>
      <c r="S81" s="1210" cm="1">
        <f t="array" ref="S81">_xlfn.SINGLE(IF(SUMPRODUCT(--ISNUMBER(Pile!$DM$368:$DM$391))&lt;=0,"Not Suitable",_xlfn.IFS(AND(OR(Inputs!$E$32="Continuous Flight Auger",Inputs!$E$32="All Types"),$A$42="Concrete Volume"),(IFERROR(_xlfn.SINGLE(INDEX(Pile!$DD$368:$DD$391,_xlfn.AGGREGATE(15,3,((Pile!$DM$368:$DM$391=T81)/(Pile!$DM$368:$DM$391=T81)*ROW(Pile!$DM$368:$DM$391))-ROW(Pile!$DC$367),ROWS(O81)))),"Not Suitable")),AND(OR(Inputs!$E$32="Continuous Flight Auger",Inputs!$E$32="All Types"),$A$42="Number of Piles"),(IF(SUMPRODUCT(--ISNUMBER(Pile!$DM$368:$DM$373)),Pile!$DD$368,IF(SUMPRODUCT(--ISNUMBER(Pile!$DM$374:$DM$379)),Pile!$DD$374,IF(SUMPRODUCT(--ISNUMBER(Pile!$DM$380:$DM$385)),Pile!$DD$380,IF(SUMPRODUCT(--ISNUMBER(Pile!$DM$386:$DM$391)),Pile!$DD$386,"Not Suitable"))))),AND(Inputs!$E$32="Driven Precast Concrete",$A$42="Concrete Volume"),(IFERROR(_xlfn.SINGLE(INDEX(Pile!$DD$368:$DD$391,_xlfn.AGGREGATE(15,3,((Pile!$DL$368:$DL$391=T81)/(Pile!$DL$368:$DL$391=T81)*ROW(Pile!$DL$368:$DL$391))-ROW(Pile!$DC$367),ROWS(O81)))),"Not Suitable")),AND(Inputs!$E$32="Driven Precast Concrete",$A$42="Number of Piles"),(IF(SUMPRODUCT(--ISNUMBER(Pile!$DL$368:$DL$373)),Pile!$DD$368,IF(SUMPRODUCT(--ISNUMBER(Pile!$DL$374:$DL$379)),Pile!$DD$374,IF(SUMPRODUCT(--ISNUMBER(Pile!$DL$380:$DL$385)),Pile!$DD$380,IF(SUMPRODUCT(--ISNUMBER(Pile!$DL$386:$DL$391)),Pile!$DD$386,"Not Suitable"))))),AND(Inputs!$E$32="Bored Cast in Place Concrete",$A$42="Concrete Volume"),(IFERROR(_xlfn.SINGLE(INDEX(Pile!$DD$368:$DD$391,_xlfn.AGGREGATE(15,3,((Pile!$DK$368:$DK$391=T81)/(Pile!$DK$368:$DK$391=T81)*ROW(Pile!$DK$368:$DK$391))-ROW(Pile!$DC$367),ROWS(O81)))),"Not Suitable")),AND(Inputs!$E$32="Bored Cast in Place Concrete",$A$42="Number of Piles"),(IF(SUMPRODUCT(--ISNUMBER(Pile!$DK$368:$DK$373)),Pile!$DD$368,IF(SUMPRODUCT(--ISNUMBER(Pile!$DK$374:$DK$379)),Pile!$DD$374,IF(SUMPRODUCT(--ISNUMBER(Pile!$DK$380:$DK$385)),Pile!$DD$380,IF(SUMPRODUCT(--ISNUMBER(Pile!$DK$386:$DK$391)),Pile!$DD$386,"Not Suitable"))))))))</f>
        <v>32</v>
      </c>
      <c r="T81" s="1211" cm="1">
        <f t="array" ref="T81">_xlfn.SINGLE(IF(SUMPRODUCT(--ISNUMBER(Pile!$DM$368:$DM$391))&lt;=0,"Not Suitable",_xlfn.IFS(AND(OR(Inputs!$E$32="Continuous Flight Auger",Inputs!$E$32="All Types"),$A$42="Concrete Volume"),(IF(MIN(Pile!$DM$368:$DM$391)&gt;0,MIN(Pile!$DM$368:$DM$391), "Not Suitable")),AND(OR(Inputs!$E$32="Continuous Flight Auger",Inputs!$E$32="All Types"),$A$42="Number of Piles"),(IF(Pile!#REF!=Pile!$DD$368,MIN(Pile!$DM$368:$DM$373),IF(Pile!#REF!=Pile!$DD$374,MIN(Pile!$DM$374:$DM$379),IF(Pile!#REF!=Pile!$DD$380,MIN(Pile!$DM$380:$DM$385),IF(Pile!#REF!=Pile!$DD$386,MIN(Pile!$DM$386:$DM$391),"Not Suitable"))))),AND(Inputs!$E$32="Driven Precast Concrete",$A$42="Concrete Volume"),(IF(MIN(Pile!$DL$368:$DL$391)&gt;0,MIN(Pile!$DL$368:$DL$391), "Not Suitable")),AND(Inputs!$E$32="Driven Precast Concrete",$A$42="Number of Piles"),(IF(Pile!#REF!=Pile!$DD$368,MIN(Pile!$DL$368:$DL$373),IF(Pile!#REF!=Pile!$DD$374,MIN(Pile!$DL$374:$DL$379),IF(Pile!#REF!=Pile!$DD$380,MIN(Pile!$DL$380:$DL$385),IF(Pile!#REF!=Pile!$DD$386,MIN(Pile!$DL$386:$DL$391),"Not Suitable"))))),AND(Inputs!$E$32="Bored Cast in Place Concrete",$A$42="Concrete Volume"),(IF(MIN(Pile!$DK$368:$DK$391)&gt;0,MIN(Pile!$DK$368:$DK$391), "Not Suitable")),AND(Inputs!$E$32="Bored Cast in Place Concrete",$A$42="Number of Piles"),(IF(Pile!#REF!=Pile!$DD$368,MIN(Pile!$DK$368:$DK$373),IF(Pile!#REF!=Pile!$DD$374,MIN(Pile!$DK$374:$DK$379),IF(Pile!#REF!=Pile!$DD$380,MIN(Pile!$DK$380:$DK$385),IF(Pile!#REF!=Pile!$DD$386,MIN(Pile!$DK$386:$DK$391),"Not Suitable"))))))))</f>
        <v>86.706631334008762</v>
      </c>
    </row>
    <row r="82" spans="1:22" s="314" customFormat="1" ht="15.75" thickBot="1">
      <c r="A82" s="578" t="s">
        <v>1934</v>
      </c>
      <c r="B82" s="1210" cm="1">
        <f t="array" ref="B82">_xlfn.SINGLE(IF(SUMPRODUCT(--ISNUMBER(Pile!$CM$399:$CM$422))&lt;=0,"Not Suitable",_xlfn.IFS(AND(OR(Inputs!$E$32="Continuous Flight Auger",Inputs!$E$32="All Types"),$A$42="Concrete Volume"),(IFERROR(_xlfn.SINGLE(INDEX(Pile!$CC$399:$CC$422,_xlfn.AGGREGATE(15,3,((Pile!$CM$399:$CM$422=F82)/(Pile!$CM$399:$CM$422=F82)*ROW(Pile!$CM$399:$CM$422))-ROW(Pile!$CC$398),ROWS(A82)))),"Not Suitable")),AND(OR(Inputs!$E$32="Continuous Flight Auger",Inputs!$E$32="All Types"),$A$42="Number of Piles"),(IFERROR(_xlfn.SINGLE(INDEX(Pile!$CC$399:$CC$422,_xlfn.AGGREGATE(15,3,((Pile!$CM$399:$CM$422=F82)/(Pile!$CM$399:$CM$422=F82)*ROW(Pile!$CM$399:$CM$422))-ROW(Pile!$CC$398),ROWS(A82)))),"Not Suitable")),AND(Inputs!$E$32="Driven Precast Concrete",$A$42="Concrete Volume"),(IFERROR(_xlfn.SINGLE(INDEX(Pile!$CC$399:$CC$422,_xlfn.AGGREGATE(15,3,((Pile!$CL$399:$CL$422=F82)/(Pile!$CL$399:$CL$422=F82)*ROW(Pile!$CL$399:$CL$422))-ROW(Pile!$CC$398),ROWS(A82)))),"Not Suitable")),AND(Inputs!$E$32="Driven Precast Concrete",$A$42="Number of Piles"),(IFERROR(_xlfn.SINGLE(INDEX(Pile!$CC$399:$CC$422,_xlfn.AGGREGATE(15,3,((Pile!$CL$399:$CL$422=F82)/(Pile!$CL$399:$CL$422=F82)*ROW(Pile!$CL$399:$CL$422))-ROW(Pile!$CC$398),ROWS(A82)))),"Not Suitable")),AND(Inputs!$E$32="Bored Cast in Place Concrete",$A$42="Concrete Volume"),(IFERROR(_xlfn.SINGLE(INDEX(Pile!$CC$399:$CC$422,_xlfn.AGGREGATE(15,3,((Pile!$CK$399:$CK$422=F82)/(Pile!$CK$399:$CK$422=F82)*ROW(Pile!$CK$399:$CK$422))-ROW(Pile!$CC$398),ROWS(A82)))),"Not Suitable")),AND(Inputs!$E$32="Bored Cast in Place Concrete",$A$42="Number of Piles"),(IFERROR(_xlfn.SINGLE(INDEX(Pile!$CC$399:$CC$422,_xlfn.AGGREGATE(15,3,((Pile!$CK$399:$CK$422=F82)/(Pile!$CK$399:$CK$422=F82)*ROW(Pile!$CK$399:$CK$422))-ROW(Pile!$CC$398),ROWS(A82)))),"Not Suitable")))))</f>
        <v>600</v>
      </c>
      <c r="C82" s="1211">
        <f>IF(F82="Not Suitable","Not Suitable",F82/(E82*PI()*(B82/2000)^2))</f>
        <v>9.4107045659157613</v>
      </c>
      <c r="D82" s="1210" cm="1">
        <f t="array" ref="D82">_xlfn.SINGLE(IF(SUMPRODUCT(--ISNUMBER(Pile!$CM$399:$CM$422))&lt;=0,"Not Suitable",_xlfn.IFS(AND(OR(Inputs!$E$32="Continuous Flight Auger",Inputs!$E$32="All Types"),$A$42="Concrete Volume"),(IFERROR(_xlfn.SINGLE(INDEX(Pile!$CB$399:$CB$422,_xlfn.AGGREGATE(15,3,((Pile!$CM$399:$CM$422=F82)/(Pile!$CM$399:$CM$422=F82)*ROW(Pile!$CM$399:$CM$422))-ROW(Pile!$CC$398),ROWS(A82)))),"Not Suitable")),AND(OR(Inputs!$E$32="Continuous Flight Auger",Inputs!$E$32="All Types"),$A$42="Number of Piles"),(IF(SUMPRODUCT(--ISNUMBER(Pile!$CM$399:$CM$404)),Pile!$CB$399,IF(SUMPRODUCT(--ISNUMBER(Pile!$CM$405:$CM$410)),Pile!$CB$405,IF(SUMPRODUCT(--ISNUMBER(Pile!$CM$411:$CM$416)),Pile!$CB$411,IF(SUMPRODUCT(--ISNUMBER(Pile!$CM$417:$CM$422)),Pile!$CB$417,"Not Suitable"))))),AND(Inputs!$E$32="Driven Precast Concrete",$A$42="Concrete Volume"),(IFERROR(_xlfn.SINGLE(INDEX(Pile!$CB$399:$CB$422,_xlfn.AGGREGATE(15,3,((Pile!$CL$399:$CL$422=F82)/(Pile!$CL$399:$CL$422=F82)*ROW(Pile!$CL$399:$CL$422))-ROW(Pile!$CC$398),ROWS(A82)))),"Not Suitable")),AND(Inputs!$E$32="Driven Precast Concrete",$A$42="Number of Piles"),(IF(SUMPRODUCT(--ISNUMBER(Pile!$CL$399:$CL$404)),Pile!$CB$399,IF(SUMPRODUCT(--ISNUMBER(Pile!$CL$405:$CL$410)),Pile!$CB$405,IF(SUMPRODUCT(--ISNUMBER(Pile!$CL$411:$CL$416)),Pile!$CB$411,IF(SUMPRODUCT(--ISNUMBER(Pile!$CL$417:$CL$422)),Pile!$CB$417,"Not Suitable"))))),AND(Inputs!$E$32="Bored Cast in Place Concrete",$A$42="Concrete Volume"),(IFERROR(_xlfn.SINGLE(INDEX(Pile!$CB$399:$CB$422,_xlfn.AGGREGATE(15,3,((Pile!$CK$399:$CK$422=F82)/(Pile!$CK$399:$CK$422=F82)*ROW(Pile!$CK$399:$CK$422))-ROW(Pile!$CC$398),ROWS(A82)))),"Not Suitable")),AND(Inputs!$E$32="Bored Cast in Place Concrete",$A$42="Number of Piles"),(IF(SUMPRODUCT(--ISNUMBER(Pile!$CK$399:$CK$404)),Pile!$CB$399,IF(SUMPRODUCT(--ISNUMBER(Pile!$CK$405:$CK$410)),Pile!$CB$405,IF(SUMPRODUCT(--ISNUMBER(Pile!$CK$411:$CK$416)),Pile!$CB$411,IF(SUMPRODUCT(--ISNUMBER(Pile!$CK$417:$CK$422)),Pile!$CB$417,"Not Suitable"))))))))</f>
        <v>1</v>
      </c>
      <c r="E82" s="1210" cm="1">
        <f t="array" ref="E82">_xlfn.SINGLE(IF(SUMPRODUCT(--ISNUMBER(Pile!$CM$399:$CM$422))&lt;=0,"Not Suitable",_xlfn.IFS(AND(OR(Inputs!$E$32="Continuous Flight Auger",Inputs!$E$32="All Types"),$A$42="Concrete Volume"),(IFERROR(_xlfn.SINGLE(INDEX(Pile!$CD$399:$CD$422,_xlfn.AGGREGATE(15,3,((Pile!$CM$399:$CM$422=F82)/(Pile!$CM$399:$CM$422=F82)*ROW(Pile!$CM$399:$CM$422))-ROW(Pile!$CC$398),ROWS(A82)))),"Not Suitable")),AND(OR(Inputs!$E$32="Continuous Flight Auger",Inputs!$E$32="All Types"),$A$42="Number of Piles"),(IF(SUMPRODUCT(--ISNUMBER(Pile!$CM$399:$CM$404)),Pile!$CD$399,IF(SUMPRODUCT(--ISNUMBER(Pile!$CM$405:$CM$410)),Pile!$CD$405,IF(SUMPRODUCT(--ISNUMBER(Pile!$CM$411:$CM$416)),Pile!$CD$411,IF(SUMPRODUCT(--ISNUMBER(Pile!$CM$417:$CM$422)),Pile!$CD$417,"Not Suitable"))))),AND(Inputs!$E$32="Driven Precast Concrete",$A$42="Concrete Volume"),(IFERROR(_xlfn.SINGLE(INDEX(Pile!$CD$399:$CD$422,_xlfn.AGGREGATE(15,3,((Pile!$CL$399:$CL$422=F82)/(Pile!$CL$399:$CL$422=F82)*ROW(Pile!$CL$399:$CL$422))-ROW(Pile!$CC$398),ROWS(A82)))),"Not Suitable")),AND(Inputs!$E$32="Driven Precast Concrete",$A$42="Number of Piles"),(IF(SUMPRODUCT(--ISNUMBER(Pile!$CL$399:$CL$404)),Pile!$CD$399,IF(SUMPRODUCT(--ISNUMBER(Pile!$CL$405:$CL$410)),Pile!$CD$405,IF(SUMPRODUCT(--ISNUMBER(Pile!$CL$411:$CL$416)),Pile!$CD$411,IF(SUMPRODUCT(--ISNUMBER(Pile!$CL$417:$CL$422)),Pile!$CD$417,"Not Suitable"))))),AND(Inputs!$E$32="Bored Cast in Place Concrete",$A$42="Concrete Volume"),(IFERROR(_xlfn.SINGLE(INDEX(Pile!$CD$399:$CD$422,_xlfn.AGGREGATE(15,3,((Pile!$CK$399:$CK$422=F82)/(Pile!$CK$399:$CK$422=F82)*ROW(Pile!$CK$399:$CK$422))-ROW(Pile!$CC$398),ROWS(A82)))),"Not Suitable")),AND(Inputs!$E$32="Bored Cast in Place Concrete",$A$42="Number of Piles"),(IF(SUMPRODUCT(--ISNUMBER(Pile!$CK$399:$CK$404)),Pile!$CD$399,IF(SUMPRODUCT(--ISNUMBER(Pile!$CK$405:$CK$410)),Pile!$CD$405,IF(SUMPRODUCT(--ISNUMBER(Pile!$CK$411:$CK$416)),Pile!$CD$411,IF(SUMPRODUCT(--ISNUMBER(Pile!$CK$417:$CK$422)),Pile!$CD$417,"Not Suitable"))))))))</f>
        <v>4</v>
      </c>
      <c r="F82" s="1211" cm="1">
        <f t="array" ref="F82">_xlfn.SINGLE(IF(SUMPRODUCT(--ISNUMBER(Pile!$CM$399:$CM$422))&lt;=0,"Not Suitable",_xlfn.IFS(AND(OR(Inputs!$E$32="Continuous Flight Auger",Inputs!$E$32="All Types"),$A$42="Concrete Volume"),(IF(MIN(Pile!$CM$399:$CM$422)&gt;0,MIN(Pile!$CM$399:$CM$422), "Not Suitable")),AND(OR(Inputs!$E$32="Continuous Flight Auger",Inputs!$E$32="All Types"),$A$42="Number of Piles"),(IF(Pile!#REF!=Pile!$CD$399,MIN(Pile!$CM$399:$CM$404),IF(Pile!#REF!=Pile!$CD$405,MIN(Pile!$CM$405:$CM$410),IF(Pile!#REF!=Pile!$CD$411,MIN(Pile!$CM$411:$CM$416),IF(Pile!#REF!=Pile!$CD$417,MIN(Pile!$CM$417:$CM$422),"Not Suitable"))))),AND(Inputs!$E$32="Driven Precast Concrete",$A$42="Concrete Volume"),(IF(MIN(Pile!$CL$399:$CL$422)&gt;0,MIN(Pile!$CL$399:$CL$422), "Not Suitable")),AND(Inputs!$E$32="Driven Precast Concrete",$A$42="Number of Piles"),(IF(Pile!#REF!=Pile!$CD$399,MIN(Pile!$CL$399:$CL$404),IF(Pile!#REF!=Pile!$CD$405,MIN(Pile!$CL$405:$CL$410),IF(Pile!#REF!=Pile!$CD$411,MIN(Pile!$CL$411:$CL$416),IF(Pile!#REF!=Pile!$CD$417,MIN(Pile!$CL$417:$CL$422),"Not Suitable"))))),AND(Inputs!$E$32="Bored Cast in Place Concrete",$A$42="Concrete Volume"),(IF(MIN(Pile!$CK$399:$CK$422)&gt;0,MIN(Pile!$CK$399:$CK$422), "Not Suitable")),AND(Inputs!$E$32="Bored Cast in Place Concrete",$A$42="Number of Piles"),(IF(Pile!#REF!=Pile!$CD$399,MIN(Pile!$CK$399:$CK$404),IF(Pile!#REF!=Pile!$CD$405,MIN(Pile!$CK$405:$CK$410),IF(Pile!#REF!=Pile!$CD$411,MIN(Pile!$CK$411:$CK$416),IF(Pile!#REF!=Pile!$CD$417,MIN(Pile!$CK$417:$CK$422),"Not Suitable"))))))))</f>
        <v>10.643256118578556</v>
      </c>
      <c r="G82" s="1198"/>
      <c r="H82" s="578" t="s">
        <v>1934</v>
      </c>
      <c r="I82" s="1210" cm="1">
        <f t="array" ref="I82">_xlfn.SINGLE(IF(SUMPRODUCT(--ISNUMBER(Pile!$CZ$399:$CZ$422))&lt;=0,"Not Suitable",_xlfn.IFS(AND(OR(Inputs!$E$32="Continuous Flight Auger",Inputs!$E$32="All Types"),$A$42="Concrete Volume"),(IFERROR(_xlfn.SINGLE(INDEX(Pile!$CP$399:$CP$422,_xlfn.AGGREGATE(15,3,((Pile!$CZ$399:$CZ$422=M82)/(Pile!$CZ$399:$CZ$422=M82)*ROW(Pile!$CZ$399:$CZ$422))-ROW(Pile!$CP$398),ROWS(H82)))),"Not Suitable")),AND(OR(Inputs!$E$32="Continuous Flight Auger",Inputs!$E$32="All Types"),$A$42="Number of Piles"),(IFERROR(_xlfn.SINGLE(INDEX(Pile!$CP$399:$CP$422,_xlfn.AGGREGATE(15,3,((Pile!$CZ$399:$CZ$422=M82)/(Pile!$CZ$399:$CZ$422=M82)*ROW(Pile!$CZ$399:$CZ$422))-ROW(Pile!$CP$398),ROWS(H82)))),"Not Suitable")),AND(Inputs!$E$32="Driven Precast Concrete",$A$42="Concrete Volume"),(IFERROR(_xlfn.SINGLE(INDEX(Pile!$CP$399:$CP$422,_xlfn.AGGREGATE(15,3,((Pile!$CY$399:$CY$422=M82)/(Pile!$CY$399:$CY$422=M82)*ROW(Pile!$CY$399:$CY$422))-ROW(Pile!$CP$398),ROWS(H82)))),"Not Suitable")),AND(Inputs!$E$32="Driven Precast Concrete",$A$42="Number of Piles"),(IFERROR(_xlfn.SINGLE(INDEX(Pile!$CP$399:$CP$422,_xlfn.AGGREGATE(15,3,((Pile!$CY$399:$CY$422=M82)/(Pile!$CY$399:$CY$422=M82)*ROW(Pile!$CY$399:$CY$422))-ROW(Pile!$CP$398),ROWS(H82)))),"Not Suitable")),AND(Inputs!$E$32="Bored Cast in Place Concrete",$A$42="Concrete Volume"),(IFERROR(_xlfn.SINGLE(INDEX(Pile!$CP$399:$CP$422,_xlfn.AGGREGATE(15,3,((Pile!$CX$399:$CX$422=M82)/(Pile!$CX$399:$CX$422=M82)*ROW(Pile!$CX$399:$CX$422))-ROW(Pile!$CP$398),ROWS(H82)))),"Not Suitable")),AND(Inputs!$E$32="Bored Cast in Place Concrete",$A$42="Number of Piles"),(IFERROR(_xlfn.SINGLE(INDEX(Pile!$CP$399:$CP$422,_xlfn.AGGREGATE(15,3,((Pile!$CX$399:$CX$422=M82)/(Pile!$CX$399:$CX$422=M82)*ROW(Pile!$CX$399:$CX$422))-ROW(Pile!$CP$398),ROWS(H82)))),"Not Suitable")))))</f>
        <v>600</v>
      </c>
      <c r="J82" s="1211">
        <f>IF(M82="Not Suitable","Not Suitable",M82/(L82*PI()*(I82/2000)^2))</f>
        <v>9.1107045659157606</v>
      </c>
      <c r="K82" s="1210" cm="1">
        <f t="array" ref="K82">_xlfn.SINGLE(IF(SUMPRODUCT(--ISNUMBER(Pile!$CZ$399:$CZ$422))&lt;=0,"Not Suitable",_xlfn.IFS(AND(OR(Inputs!$E$32="Continuous Flight Auger",Inputs!$E$32="All Types"),$A$42="Concrete Volume"),(IFERROR(_xlfn.SINGLE(INDEX(Pile!$CO$399:$CO$422,_xlfn.AGGREGATE(15,3,((Pile!$CZ$399:$CZ$422=M82)/(Pile!$CZ$399:$CZ$422=M82)*ROW(Pile!$CZ$399:$CZ$422))-ROW(Pile!$CP$398),ROWS(H82)))),"Not Suitable")),AND(OR(Inputs!$E$32="Continuous Flight Auger",Inputs!$E$32="All Types"),$A$42="Number of Piles"),(IF(SUMPRODUCT(--ISNUMBER(Pile!$CZ$399:$CZ$404)),Pile!$CO$399,IF(SUMPRODUCT(--ISNUMBER(Pile!$CZ$405:$CZ$410)),Pile!$CO$405,IF(SUMPRODUCT(--ISNUMBER(Pile!$CZ$411:$CZ$416)),Pile!$CO$411,IF(SUMPRODUCT(--ISNUMBER(Pile!$CZ$417:$CZ$422)),Pile!$CO$417,"Not Suitable"))))),AND(Inputs!$E$32="Driven Precast Concrete",$A$42="Concrete Volume"),(IFERROR(_xlfn.SINGLE(INDEX(Pile!$CO$399:$CO$422,_xlfn.AGGREGATE(15,3,((Pile!$CY$399:$CY$422=M82)/(Pile!$CY$399:$CY$422=M82)*ROW(Pile!$CY$399:$CY$422))-ROW(Pile!$CP$398),ROWS(H82)))),"Not Suitable")),AND(Inputs!$E$32="Driven Precast Concrete",$A$42="Number of Piles"),(IF(SUMPRODUCT(--ISNUMBER(Pile!$CY$399:$CY$404)),Pile!$CO$399,IF(SUMPRODUCT(--ISNUMBER(Pile!$CY$405:$CY$410)),Pile!$CO$405,IF(SUMPRODUCT(--ISNUMBER(Pile!$CY$411:$CY$416)),Pile!$CO$411,IF(SUMPRODUCT(--ISNUMBER(Pile!$CY$417:$CY$422)),Pile!$CO$417,"Not Suitable"))))),AND(Inputs!$E$32="Bored Cast in Place Concrete",$A$42="Concrete Volume"),(IFERROR(_xlfn.SINGLE(INDEX(Pile!$CO$399:$CO$422,_xlfn.AGGREGATE(15,3,((Pile!$CX$399:$CX$422=M82)/(Pile!$CX$399:$CX$422=M82)*ROW(Pile!$CX$399:$CX$422))-ROW(Pile!$CP$398),ROWS(H82)))),"Not Suitable")),AND(Inputs!$E$32="Bored Cast in Place Concrete",$A$42="Number of Piles"),(IF(SUMPRODUCT(--ISNUMBER(Pile!$CX$399:$CX$404)),Pile!$CO$399,IF(SUMPRODUCT(--ISNUMBER(Pile!$CX$405:$CX$410)),Pile!$CO$405,IF(SUMPRODUCT(--ISNUMBER(Pile!$CX$411:$CX$416)),Pile!$CO$411,IF(SUMPRODUCT(--ISNUMBER(Pile!$CX$417:$CX$422)),Pile!$CO$417,"Not Suitable"))))))))</f>
        <v>1</v>
      </c>
      <c r="L82" s="1210" cm="1">
        <f t="array" ref="L82">_xlfn.SINGLE(IF(SUMPRODUCT(--ISNUMBER(Pile!$CZ$399:$CZ$422))&lt;=0,"Not Suitable",_xlfn.IFS(AND(OR(Inputs!$E$32="Continuous Flight Auger",Inputs!$E$32="All Types"),$A$42="Concrete Volume"),(IFERROR(_xlfn.SINGLE(INDEX(Pile!$CQ$399:$CQ$422,_xlfn.AGGREGATE(15,3,((Pile!$CZ$399:$CZ$422=M82)/(Pile!$CZ$399:$CZ$422=M82)*ROW(Pile!$CZ$399:$CZ$422))-ROW(Pile!$CP$398),ROWS(H82)))),"Not Suitable")),AND(OR(Inputs!$E$32="Continuous Flight Auger",Inputs!$E$32="All Types"),$A$42="Number of Piles"),(IF(SUMPRODUCT(--ISNUMBER(Pile!$CZ$399:$CZ$404)),Pile!$CQ$399,IF(SUMPRODUCT(--ISNUMBER(Pile!$CZ$405:$CZ$410)),Pile!$CQ$405,IF(SUMPRODUCT(--ISNUMBER(Pile!$CZ$411:$CZ$416)),Pile!$CQ$411,IF(SUMPRODUCT(--ISNUMBER(Pile!$CZ$417:$CZ$422)),Pile!$CQ$417,"Not Suitable"))))),AND(Inputs!$E$32="Driven Precast Concrete",$A$42="Concrete Volume"),(IFERROR(_xlfn.SINGLE(INDEX(Pile!$CQ$399:$CQ$422,_xlfn.AGGREGATE(15,3,((Pile!$CY$399:$CY$422=M82)/(Pile!$CY$399:$CY$422=M82)*ROW(Pile!$CY$399:$CY$422))-ROW(Pile!$CP$398),ROWS(H82)))),"Not Suitable")),AND(Inputs!$E$32="Driven Precast Concrete",$A$42="Number of Piles"),(IF(SUMPRODUCT(--ISNUMBER(Pile!$CY$399:$CY$404)),Pile!$CQ$399,IF(SUMPRODUCT(--ISNUMBER(Pile!$CY$405:$CY$410)),Pile!$CQ$405,IF(SUMPRODUCT(--ISNUMBER(Pile!$CY$411:$CY$416)),Pile!$CQ$411,IF(SUMPRODUCT(--ISNUMBER(Pile!$CY$417:$CY$422)),Pile!$CQ$417,"Not Suitable"))))),AND(Inputs!$E$32="Bored Cast in Place Concrete",$A$42="Concrete Volume"),(IFERROR(_xlfn.SINGLE(INDEX(Pile!$CQ$399:$CQ$422,_xlfn.AGGREGATE(15,3,((Pile!$CX$399:$CX$422=M82)/(Pile!$CX$399:$CX$422=M82)*ROW(Pile!$CX$399:$CX$422))-ROW(Pile!$CP$398),ROWS(H82)))),"Not Suitable")),AND(Inputs!$E$32="Bored Cast in Place Concrete",$A$42="Number of Piles"),(IF(SUMPRODUCT(--ISNUMBER(Pile!$CX$399:$CX$404)),Pile!$CQ$399,IF(SUMPRODUCT(--ISNUMBER(Pile!$CX$405:$CX$410)),Pile!$CQ$405,IF(SUMPRODUCT(--ISNUMBER(Pile!$CX$411:$CX$416)),Pile!$CQ$411,IF(SUMPRODUCT(--ISNUMBER(Pile!$CX$417:$CX$422)),Pile!$CQ$417,"Not Suitable"))))))))</f>
        <v>4</v>
      </c>
      <c r="M82" s="1211" cm="1">
        <f t="array" ref="M82">_xlfn.SINGLE(IF(SUMPRODUCT(--ISNUMBER(Pile!$CZ$399:$CZ$422))&lt;=0,"Not Suitable",_xlfn.IFS(AND(OR(Inputs!$E$32="Continuous Flight Auger",Inputs!$E$32="All Types"),$A$42="Concrete Volume"),(IF(MIN(Pile!$CZ$399:$CZ$422)&gt;0,MIN(Pile!$CZ$399:$CZ$422), "Not Suitable")),AND(OR(Inputs!$E$32="Continuous Flight Auger",Inputs!$E$32="All Types"),$A$42="Number of Piles"),(IF(Pile!#REF!=Pile!$CQ$399,MIN(Pile!$CZ$399:$CZ$404),IF(Pile!#REF!=Pile!$CQ$405,MIN(Pile!$CZ$405:$CZ$410),IF(Pile!#REF!=Pile!$CQ$411,MIN(Pile!$CZ$411:$CZ$416),IF(Pile!#REF!=Pile!$CQ$417,MIN(Pile!$CZ$417:$CZ$422),"Not Suitable"))))),AND(Inputs!$E$32="Driven Precast Concrete",$A$42="Concrete Volume"),(IF(MIN(Pile!$CY$399:$CY$422)&gt;0,MIN(Pile!$CY$399:$CY$422), "Not Suitable")),AND(Inputs!$E$32="Driven Precast Concrete",$A$42="Number of Piles"),(IF(Pile!#REF!=Pile!$CQ$399,MIN(Pile!$CY$399:$CY$404),IF(Pile!#REF!=Pile!$CQ$405,MIN(Pile!$CY$405:$CY$410),IF(Pile!#REF!=Pile!$CQ$411,MIN(Pile!$CY$411:$CY$416),IF(Pile!#REF!=Pile!$CQ$417,MIN(Pile!$CY$417:$CY$422),"Not Suitable"))))),AND(Inputs!$E$32="Bored Cast in Place Concrete",$A$42="Concrete Volume"),(IF(MIN(Pile!$CX$399:$CX$422)&gt;0,MIN(Pile!$CX$399:$CX$422), "Not Suitable")),AND(Inputs!$E$32="Bored Cast in Place Concrete",$A$42="Number of Piles"),(IF(Pile!#REF!=Pile!$CQ$399,MIN(Pile!$CX$399:$CX$404),IF(Pile!#REF!=Pile!$CQ$405,MIN(Pile!$CX$405:$CX$410),IF(Pile!#REF!=Pile!$CQ$411,MIN(Pile!$CX$411:$CX$416),IF(Pile!#REF!=Pile!$CQ$417,MIN(Pile!$CX$417:$CX$422),"Not Suitable"))))))))</f>
        <v>10.303964111990858</v>
      </c>
      <c r="N82" s="1198"/>
      <c r="O82" s="578" t="s">
        <v>1934</v>
      </c>
      <c r="P82" s="1210" cm="1">
        <f t="array" ref="P82">_xlfn.SINGLE(IF(SUMPRODUCT(--ISNUMBER(Pile!$DM$399:$DM$422))&lt;=0,"Not Suitable",_xlfn.IFS(AND(OR(Inputs!$E$32="Continuous Flight Auger",Inputs!$E$32="All Types"),$A$42="Concrete Volume"),(IFERROR(_xlfn.SINGLE(INDEX(Pile!$DC$399:$DC$422,_xlfn.AGGREGATE(15,3,((Pile!$DM$399:$DM$422=T82)/(Pile!$DM$399:$DM$422=T82)*ROW(Pile!$DM$399:$DM$422))-ROW(Pile!$DC$398),ROWS(O82)))),"Not Suitable")),AND(OR(Inputs!$E$32="Continuous Flight Auger",Inputs!$E$32="All Types"),$A$42="Number of Piles"),(IFERROR(_xlfn.SINGLE(INDEX(Pile!$DC$399:$DC$422,_xlfn.AGGREGATE(15,3,((Pile!$DM$399:$DM$422=T82)/(Pile!$DM$399:$DM$422=T82)*ROW(Pile!$DM$399:$DM$422))-ROW(Pile!$DC$398),ROWS(O82)))),"Not Suitable")),AND(Inputs!$E$32="Driven Precast Concrete",$A$42="Concrete Volume"),(IFERROR(_xlfn.SINGLE(INDEX(Pile!$DC$399:$DC$422,_xlfn.AGGREGATE(15,3,((Pile!$DL$399:$DL$422=T82)/(Pile!$DL$399:$DL$422=T82)*ROW(Pile!$DL$399:$DL$422))-ROW(Pile!$DC$398),ROWS(O82)))),"Not Suitable")),AND(Inputs!$E$32="Driven Precast Concrete",$A$42="Number of Piles"),(IFERROR(_xlfn.SINGLE(INDEX(Pile!$DC$399:$DC$422,_xlfn.AGGREGATE(15,3,((Pile!$DL$399:$DL$422=T82)/(Pile!$DL$399:$DL$422=T82)*ROW(Pile!$DL$399:$DL$422))-ROW(Pile!$DC$398),ROWS(O82)))),"Not Suitable")),AND(Inputs!$E$32="Bored Cast in Place Concrete",$A$42="Concrete Volume"),(IFERROR(_xlfn.SINGLE(INDEX(Pile!$DC$399:$DC$422,_xlfn.AGGREGATE(15,3,((Pile!$DK$399:$DK$422=T82)/(Pile!$DK$399:$DK$422=T82)*ROW(Pile!$DK$399:$DK$422))-ROW(Pile!$DC$398),ROWS(O82)))),"Not Suitable")),AND(Inputs!$E$32="Bored Cast in Place Concrete",$A$42="Number of Piles"),(IFERROR(_xlfn.SINGLE(INDEX(Pile!$DC$399:$DC$422,_xlfn.AGGREGATE(15,3,((Pile!$DK$399:$DK$422=T82)/(Pile!$DK$399:$DK$422=T82)*ROW(Pile!$DK$399:$DK$422))-ROW(Pile!$DC$398),ROWS(O82)))),"Not Suitable")))))</f>
        <v>600</v>
      </c>
      <c r="Q82" s="1211">
        <f>IF(T82="Not Suitable","Not Suitable",T82/(S82*PI()*(P82/2000)^2))</f>
        <v>9.1107045659157606</v>
      </c>
      <c r="R82" s="1210" cm="1">
        <f t="array" ref="R82">_xlfn.SINGLE(IF(SUMPRODUCT(--ISNUMBER(Pile!$DM$399:$DM$422))&lt;=0,"Not Suitable",_xlfn.IFS(AND(OR(Inputs!$E$32="Continuous Flight Auger",Inputs!$E$32="All Types"),$A$42="Concrete Volume"),(IFERROR(_xlfn.SINGLE(INDEX(Pile!$DB$399:$DB$422,_xlfn.AGGREGATE(15,3,((Pile!$DM$399:$DM$422=T82)/(Pile!$DM$399:$DM$422=T82)*ROW(Pile!$DM$399:$DM$422))-ROW(Pile!$DC$398),ROWS(O82)))),"Not Suitable")),AND(OR(Inputs!$E$32="Continuous Flight Auger",Inputs!$E$32="All Types"),$A$42="Number of Piles"),(IF(SUMPRODUCT(--ISNUMBER(Pile!$DM$399:$DM$404)),Pile!$DB$399,IF(SUMPRODUCT(--ISNUMBER(Pile!$DM$405:$DM$410)),Pile!$DB$405,IF(SUMPRODUCT(--ISNUMBER(Pile!$DM$411:$DM$416)),Pile!$DB$411,IF(SUMPRODUCT(--ISNUMBER(Pile!$DM$417:$DM$422)),Pile!$DB$417,"Not Suitable"))))),AND(Inputs!$E$32="Driven Precast Concrete",$A$42="Concrete Volume"),(IFERROR(_xlfn.SINGLE(INDEX(Pile!$DB$399:$DB$422,_xlfn.AGGREGATE(15,3,((Pile!$DL$399:$DL$422=T82)/(Pile!$DL$399:$DL$422=T82)*ROW(Pile!$DL$399:$DL$422))-ROW(Pile!$DC$398),ROWS(O82)))),"Not Suitable")),AND(Inputs!$E$32="Driven Precast Concrete",$A$42="Number of Piles"),(IF(SUMPRODUCT(--ISNUMBER(Pile!$DL$399:$DL$404)),Pile!$DB$399,IF(SUMPRODUCT(--ISNUMBER(Pile!$DL$405:$DL$410)),Pile!$DB$405,IF(SUMPRODUCT(--ISNUMBER(Pile!$DL$411:$DL$416)),Pile!$DB$411,IF(SUMPRODUCT(--ISNUMBER(Pile!$DL$417:$DL$422)),Pile!$DB$417,"Not Suitable"))))),AND(Inputs!$E$32="Bored Cast in Place Concrete",$A$42="Concrete Volume"),(IFERROR(_xlfn.SINGLE(INDEX(Pile!$DB$399:$DB$422,_xlfn.AGGREGATE(15,3,((Pile!$DK$399:$DK$422=T82)/(Pile!$DK$399:$DK$422=T82)*ROW(Pile!$DK$399:$DK$422))-ROW(Pile!$DC$398),ROWS(O82)))),"Not Suitable")),AND(Inputs!$E$32="Bored Cast in Place Concrete",$A$42="Number of Piles"),(IF(SUMPRODUCT(--ISNUMBER(Pile!$DK$399:$DK$404)),Pile!$DB$399,IF(SUMPRODUCT(--ISNUMBER(Pile!$DK$405:$DK$410)),Pile!$DB$405,IF(SUMPRODUCT(--ISNUMBER(Pile!$DK$411:$DK$416)),Pile!$DB$411,IF(SUMPRODUCT(--ISNUMBER(Pile!$DK$417:$DK$422)),Pile!$DB$417,"Not Suitable"))))))))</f>
        <v>1</v>
      </c>
      <c r="S82" s="1210" cm="1">
        <f t="array" ref="S82">_xlfn.SINGLE(IF(SUMPRODUCT(--ISNUMBER(Pile!$DM$399:$DM$422))&lt;=0,"Not Suitable",_xlfn.IFS(AND(OR(Inputs!$E$32="Continuous Flight Auger",Inputs!$E$32="All Types"),$A$42="Concrete Volume"),(IFERROR(_xlfn.SINGLE(INDEX(Pile!$DD$399:$DD$422,_xlfn.AGGREGATE(15,3,((Pile!$DM$399:$DM$422=T82)/(Pile!$DM$399:$DM$422=T82)*ROW(Pile!$DM$399:$DM$422))-ROW(Pile!$DC$398),ROWS(O82)))),"Not Suitable")),AND(OR(Inputs!$E$32="Continuous Flight Auger",Inputs!$E$32="All Types"),$A$42="Number of Piles"),(IF(SUMPRODUCT(--ISNUMBER(Pile!$DM$399:$DM$404)),Pile!$DD$399,IF(SUMPRODUCT(--ISNUMBER(Pile!$DM$405:$DM$410)),Pile!$DD$405,IF(SUMPRODUCT(--ISNUMBER(Pile!$DM$411:$DM$416)),Pile!$DD$411,IF(SUMPRODUCT(--ISNUMBER(Pile!$DM$417:$DM$422)),Pile!$DD$417,"Not Suitable"))))),AND(Inputs!$E$32="Driven Precast Concrete",$A$42="Concrete Volume"),(IFERROR(_xlfn.SINGLE(INDEX(Pile!$DD$399:$DD$422,_xlfn.AGGREGATE(15,3,((Pile!$DL$399:$DL$422=T82)/(Pile!$DL$399:$DL$422=T82)*ROW(Pile!$DL$399:$DL$422))-ROW(Pile!$DC$398),ROWS(O82)))),"Not Suitable")),AND(Inputs!$E$32="Driven Precast Concrete",$A$42="Number of Piles"),(IF(SUMPRODUCT(--ISNUMBER(Pile!$DL$399:$DL$404)),Pile!$DD$399,IF(SUMPRODUCT(--ISNUMBER(Pile!$DL$405:$DL$410)),Pile!$DD$405,IF(SUMPRODUCT(--ISNUMBER(Pile!$DL$411:$DL$416)),Pile!$DD$411,IF(SUMPRODUCT(--ISNUMBER(Pile!$DL$417:$DL$422)),Pile!$DD$417,"Not Suitable"))))),AND(Inputs!$E$32="Bored Cast in Place Concrete",$A$42="Concrete Volume"),(IFERROR(_xlfn.SINGLE(INDEX(Pile!$DD$399:$DD$422,_xlfn.AGGREGATE(15,3,((Pile!$DK$399:$DK$422=T82)/(Pile!$DK$399:$DK$422=T82)*ROW(Pile!$DK$399:$DK$422))-ROW(Pile!$DC$398),ROWS(O82)))),"Not Suitable")),AND(Inputs!$E$32="Bored Cast in Place Concrete",$A$42="Number of Piles"),(IF(SUMPRODUCT(--ISNUMBER(Pile!$DK$399:$DK$404)),Pile!$DD$399,IF(SUMPRODUCT(--ISNUMBER(Pile!$DK$405:$DK$410)),Pile!$DD$405,IF(SUMPRODUCT(--ISNUMBER(Pile!$DK$411:$DK$416)),Pile!$DD$411,IF(SUMPRODUCT(--ISNUMBER(Pile!$DK$417:$DK$422)),Pile!$DD$417,"Not Suitable"))))))))</f>
        <v>4</v>
      </c>
      <c r="T82" s="1211" cm="1">
        <f t="array" ref="T82">_xlfn.SINGLE(IF(SUMPRODUCT(--ISNUMBER(Pile!$DM$399:$DM$422))&lt;=0,"Not Suitable",_xlfn.IFS(AND(OR(Inputs!$E$32="Continuous Flight Auger",Inputs!$E$32="All Types"),$A$42="Concrete Volume"),(IF(MIN(Pile!$DM$399:$DM$422)&gt;0,MIN(Pile!$DM$399:$DM$422), "Not Suitable")),AND(OR(Inputs!$E$32="Continuous Flight Auger",Inputs!$E$32="All Types"),$A$42="Number of Piles"),(IF(Pile!#REF!=Pile!$DD$399,MIN(Pile!$DM$399:$DM$404),IF(Pile!#REF!=Pile!$DD$405,MIN(Pile!$DM$405:$DM$410),IF(Pile!#REF!=Pile!$DD$411,MIN(Pile!$DM$411:$DM$416),IF(Pile!#REF!=Pile!$DD$417,MIN(Pile!$DM$417:$DM$422),"Not Suitable"))))),AND(Inputs!$E$32="Driven Precast Concrete",$A$42="Concrete Volume"),(IF(MIN(Pile!$DL$399:$DL$422)&gt;0,MIN(Pile!$DL$399:$DL$422), "Not Suitable")),AND(Inputs!$E$32="Driven Precast Concrete",$A$42="Number of Piles"),(IF(Pile!#REF!=Pile!$DD$399,MIN(Pile!$DL$399:$DL$404),IF(Pile!#REF!=Pile!$DD$405,MIN(Pile!$DL$405:$DL$410),IF(Pile!#REF!=Pile!$DD$411,MIN(Pile!$DL$411:$DL$416),IF(Pile!#REF!=Pile!$DD$417,MIN(Pile!$DL$417:$DL$422),"Not Suitable"))))),AND(Inputs!$E$32="Bored Cast in Place Concrete",$A$42="Concrete Volume"),(IF(MIN(Pile!$DK$399:$DK$422)&gt;0,MIN(Pile!$DK$399:$DK$422), "Not Suitable")),AND(Inputs!$E$32="Bored Cast in Place Concrete",$A$42="Number of Piles"),(IF(Pile!#REF!=Pile!$DD$399,MIN(Pile!$DK$399:$DK$404),IF(Pile!#REF!=Pile!$DD$405,MIN(Pile!$DK$405:$DK$410),IF(Pile!#REF!=Pile!$DD$411,MIN(Pile!$DK$411:$DK$416),IF(Pile!#REF!=Pile!$DD$417,MIN(Pile!$DK$417:$DK$422),"Not Suitable"))))))))</f>
        <v>10.303964111990858</v>
      </c>
    </row>
    <row r="83" spans="1:22" s="314" customFormat="1" ht="15.75" thickBot="1">
      <c r="A83" s="308"/>
      <c r="B83" s="1212"/>
      <c r="C83" s="1213"/>
      <c r="D83" s="1212"/>
      <c r="E83" s="1212"/>
      <c r="F83" s="1212"/>
      <c r="G83" s="1198"/>
      <c r="H83" s="308"/>
      <c r="I83" s="1212"/>
      <c r="J83" s="1213"/>
      <c r="K83" s="1212"/>
      <c r="L83" s="1212"/>
      <c r="M83" s="1212"/>
      <c r="N83" s="1198"/>
      <c r="O83" s="308"/>
      <c r="P83" s="1212"/>
      <c r="Q83" s="1213"/>
      <c r="R83" s="1212"/>
      <c r="S83" s="1212"/>
      <c r="T83" s="1212"/>
    </row>
    <row r="84" spans="1:22" s="314" customFormat="1" ht="15.75" thickBot="1">
      <c r="A84" s="1203" t="s">
        <v>871</v>
      </c>
      <c r="B84" s="1204" t="s">
        <v>821</v>
      </c>
      <c r="C84" s="1205" t="s">
        <v>847</v>
      </c>
      <c r="D84" s="1206" t="s">
        <v>883</v>
      </c>
      <c r="E84" s="1206" t="s">
        <v>884</v>
      </c>
      <c r="F84" s="1207" t="s">
        <v>885</v>
      </c>
      <c r="G84" s="1198"/>
      <c r="H84" s="1203" t="s">
        <v>871</v>
      </c>
      <c r="I84" s="1204" t="s">
        <v>821</v>
      </c>
      <c r="J84" s="1205" t="s">
        <v>847</v>
      </c>
      <c r="K84" s="1206" t="s">
        <v>883</v>
      </c>
      <c r="L84" s="1206" t="s">
        <v>884</v>
      </c>
      <c r="M84" s="1207" t="s">
        <v>885</v>
      </c>
      <c r="N84" s="1198"/>
      <c r="O84" s="1203" t="s">
        <v>871</v>
      </c>
      <c r="P84" s="1204" t="s">
        <v>821</v>
      </c>
      <c r="Q84" s="1205" t="s">
        <v>847</v>
      </c>
      <c r="R84" s="1206" t="s">
        <v>883</v>
      </c>
      <c r="S84" s="1206" t="s">
        <v>884</v>
      </c>
      <c r="T84" s="1207" t="s">
        <v>885</v>
      </c>
    </row>
    <row r="85" spans="1:22" s="314" customFormat="1" ht="15.75" thickBot="1">
      <c r="A85" s="572" t="s">
        <v>1932</v>
      </c>
      <c r="B85" s="1208" cm="1">
        <f t="array" ref="B85">_xlfn.SINGLE(_xlfn.IFS(AND(Inputs!$E$32="All Types",$A$42="Concrete Volume"),(IFERROR(_xlfn.SINGLE(INDEX(Pile!$CC$336:$CC$359,_xlfn.AGGREGATE(15,3,((Pile!$CL$336:$CL$359=F85)/(Pile!$CL$336:$CL$359=F85)*ROW(Pile!$CL$336:$CL$359))-ROW(Pile!$CC$335),ROWS(A85)))),"Not Suitable")),AND(Inputs!$E$32="All Types",$A$42="Number of Piles"),(IFERROR(_xlfn.SINGLE(INDEX(Pile!$CC$336:$CC$359,_xlfn.AGGREGATE(15,3,((Pile!$CL$336:$CL$359=F85)/(Pile!$CL$336:$CL$359=F85)*ROW(Pile!$CL$336:$CL$359))-ROW(Pile!$CC$335),ROWS(A85)))),"Not Suitable"))))</f>
        <v>450</v>
      </c>
      <c r="C85" s="1209">
        <f>IF(F85="Not Suitable","Not Suitable",F85/(E85*PI()*(B85/2000)^2))</f>
        <v>17.036776513153228</v>
      </c>
      <c r="D85" s="1208" cm="1">
        <f t="array" ref="D85">_xlfn.SINGLE(_xlfn.IFS(AND(Inputs!$E$32="All Types",$A$42="Concrete Volume"),(IFERROR(_xlfn.SINGLE(INDEX(Pile!$CB$336:$CB$359,_xlfn.AGGREGATE(15,3,((Pile!$CL$336:$CL$359=F85)/(Pile!$CL$336:$CL$359=F85)*ROW(Pile!$CL$336:$CL$359))-ROW(Pile!$CC$335),ROWS(A85)))),"Not Suitable")),AND(Inputs!$E$32="All Types",$A$42="Number of Piles"),(IF(SUMPRODUCT(--ISNUMBER(Pile!$CL$336:$CL$341)),Pile!$CB$336,IF(SUMPRODUCT(--ISNUMBER(Pile!$CL$342:$CL$347)),Pile!$CB$342,IF(SUMPRODUCT(--ISNUMBER(Pile!$CL$348:$CL$353)),Pile!$CB$348,IF(SUMPRODUCT(--ISNUMBER(Pile!$CL$354:$CL$359)),Pile!$CB$354,"Not Suitable")))))))</f>
        <v>1</v>
      </c>
      <c r="E85" s="1208" cm="1">
        <f t="array" ref="E85">_xlfn.SINGLE(_xlfn.IFS(AND(Inputs!$E$32="All Types",$A$42="Concrete Volume"),(IFERROR(_xlfn.SINGLE(INDEX(Pile!$CD$336:$CD$359,_xlfn.AGGREGATE(15,3,((Pile!$CL$336:$CL$359=F85)/(Pile!$CL$336:$CL$359=F85)*ROW(Pile!$CL$336:$CL$359))-ROW(Pile!$CC$335),ROWS(A85)))),"Not Suitable")),AND(Inputs!$E$32="All Types",$A$42="Number of Piles"),(IF(SUMPRODUCT(--ISNUMBER(Pile!$CL$336:$CL$341)),Pile!$CD$336,IF(SUMPRODUCT(--ISNUMBER(Pile!$CL$342:$CL$347)),Pile!$CD$342,IF(SUMPRODUCT(--ISNUMBER(Pile!$CL$348:$CL$353)),Pile!$CD$348,IF(SUMPRODUCT(--ISNUMBER(Pile!$CL$354:$CL$359)),Pile!$CD$354,"Not Suitable")))))))</f>
        <v>63</v>
      </c>
      <c r="F85" s="1209">
        <f>_xlfn.IFS(AND(Inputs!$E$32="All Types",$A$42="Concrete Volume"),(IF(MIN(Pile!$CL$336:$CL$359)&gt;0, MIN(Pile!$CL$336:$CL$359), "Not Suitable")),AND(Inputs!$E$32="All Types",$A$42="Number of Piles"),(IF(Pile!#REF!=Pile!$CD$336,MIN(Pile!$CL$336:$CL$341),IF(Pile!#REF!=Pile!$CD$342,MIN(Pile!$CL$342:$CL$347),IF(Pile!#REF!=Pile!$CD$348,MIN(Pile!$CL$348:$CL$353),IF(Pile!#REF!=Pile!$CD$354,MIN(Pile!$CL$354:$CL$359),"Not Suitable"))))))</f>
        <v>170.70368043882976</v>
      </c>
      <c r="G85" s="1198"/>
      <c r="H85" s="572" t="s">
        <v>1932</v>
      </c>
      <c r="I85" s="1208" cm="1">
        <f t="array" ref="I85">_xlfn.SINGLE(_xlfn.IFS(AND(Inputs!$E$32="All Types",$A$42="Concrete Volume"),(IFERROR(_xlfn.SINGLE(INDEX(Pile!$CP$336:$CP$359,_xlfn.AGGREGATE(15,3,((Pile!$CY$336:$CY$359=M85)/(Pile!$CY$336:$CY$359=M85)*ROW(Pile!$CY$336:$CY$359))-ROW(Pile!$CP$335),ROWS(H85)))),"Not Suitable")),AND(Inputs!$E$32="All Types",$A$42="Number of Piles"),(IFERROR(_xlfn.SINGLE(INDEX(Pile!$CP$336:$CP$359,_xlfn.AGGREGATE(15,3,((Pile!$CY$336:$CY$359=M85)/(Pile!$CY$336:$CY$359=M85)*ROW(Pile!$CY$336:$CY$359))-ROW(Pile!$CP$335),ROWS(H85)))),"Not Suitable"))))</f>
        <v>450</v>
      </c>
      <c r="J85" s="1209">
        <f>IF(M85="Not Suitable","Not Suitable",M85/(L85*PI()*(I85/2000)^2))</f>
        <v>17.036776513153228</v>
      </c>
      <c r="K85" s="1208" cm="1">
        <f t="array" ref="K85">_xlfn.SINGLE(_xlfn.IFS(AND(Inputs!$E$32="All Types",$A$42="Concrete Volume"),(IFERROR(_xlfn.SINGLE(INDEX(Pile!$CO$336:$CO$359,_xlfn.AGGREGATE(15,3,((Pile!$CY$336:$CY$359=M85)/(Pile!$CY$336:$CY$359=M85)*ROW(Pile!$CY$336:$CY$359))-ROW(Pile!$CP$335),ROWS(H85)))),"Not Suitable")),AND(Inputs!$E$32="All Types",$A$42="Number of Piles"),(IF(SUMPRODUCT(--ISNUMBER(Pile!$CY$336:$CY$341)),Pile!$CO$336,IF(SUMPRODUCT(--ISNUMBER(Pile!$CY$342:$CY$347)),Pile!$CO$342,IF(SUMPRODUCT(--ISNUMBER(Pile!$CY$348:$CY$353)),Pile!$CO$348,IF(SUMPRODUCT(--ISNUMBER(Pile!$CY$354:$CY$359)),Pile!$CO$354,"Not Suitable")))))))</f>
        <v>1</v>
      </c>
      <c r="L85" s="1208" cm="1">
        <f t="array" ref="L85">_xlfn.SINGLE(_xlfn.IFS(AND(Inputs!$E$32="All Types",$A$42="Concrete Volume"),(IFERROR(_xlfn.SINGLE(INDEX(Pile!$CQ$336:$CQ$359,_xlfn.AGGREGATE(15,3,((Pile!$CY$336:$CY$359=M85)/(Pile!$CY$336:$CY$359=M85)*ROW(Pile!$CY$336:$CY$359))-ROW(Pile!$CP$335),ROWS(H85)))),"Not Suitable")),AND(Inputs!$E$32="All Types",$A$42="Number of Piles"),(IF(SUMPRODUCT(--ISNUMBER(Pile!$CY$336:$CY$341)),Pile!$CQ$336,IF(SUMPRODUCT(--ISNUMBER(Pile!$CY$342:$CY$347)),Pile!$CQ$342,IF(SUMPRODUCT(--ISNUMBER(Pile!$CY$348:$CY$353)),Pile!$CQ$348,IF(SUMPRODUCT(--ISNUMBER(Pile!$CY$354:$CY$359)),Pile!$CQ$354,"Not Suitable")))))))</f>
        <v>63</v>
      </c>
      <c r="M85" s="1209">
        <f>_xlfn.IFS(AND(Inputs!$E$32="All Types",$A$42="Concrete Volume"),(IF(MIN(Pile!$CY$336:$CY$359)&gt;0, MIN(Pile!$CY$336:$CY$359), "Not Suitable")),AND(Inputs!$E$32="All Types",$A$42="Number of Piles"),(IF(Pile!#REF!=Pile!$CQ$336,MIN(Pile!$CY$336:$CY$341),IF(Pile!#REF!=Pile!$CQ$342,MIN(Pile!$CY$342:$CY$347),IF(Pile!#REF!=Pile!$CQ$348,MIN(Pile!$CY$348:$CY$353),IF(Pile!#REF!=Pile!$CQ$354,MIN(Pile!$CY$354:$CY$359),"Not Suitable"))))))</f>
        <v>170.70368043882976</v>
      </c>
      <c r="N85" s="1198"/>
      <c r="O85" s="572" t="s">
        <v>1932</v>
      </c>
      <c r="P85" s="1208" cm="1">
        <f t="array" ref="P85">_xlfn.SINGLE(_xlfn.IFS(AND(Inputs!$E$32="All Types",$A$42="Concrete Volume"),(IFERROR(_xlfn.SINGLE(INDEX(Pile!$DC$336:$DC$359,_xlfn.AGGREGATE(15,3,((Pile!$DL$336:$DL$359=T85)/(Pile!$DL$336:$DL$359=T85)*ROW(Pile!$DL$336:$DL$359))-ROW(Pile!$DC$335),ROWS(O85)))),"Not Suitable")),AND(Inputs!$E$32="All Types",$A$42="Number of Piles"),(IFERROR(_xlfn.SINGLE(INDEX(Pile!$DC$336:$DC$359,_xlfn.AGGREGATE(15,3,((Pile!$DL$336:$DL$359=T85)/(Pile!$DL$336:$DL$359=T85)*ROW(Pile!$DL$336:$DL$359))-ROW(Pile!$DC$335),ROWS(O85)))),"Not Suitable"))))</f>
        <v>450</v>
      </c>
      <c r="Q85" s="1209">
        <f>IF(T85="Not Suitable","Not Suitable",T85/(S85*PI()*(P85/2000)^2))</f>
        <v>17.036776513153228</v>
      </c>
      <c r="R85" s="1208" cm="1">
        <f t="array" ref="R85">_xlfn.SINGLE(_xlfn.IFS(AND(Inputs!$E$32="All Types",$A$42="Concrete Volume"),(IFERROR(_xlfn.SINGLE(INDEX(Pile!$DB$336:$DB$359,_xlfn.AGGREGATE(15,3,((Pile!$DL$336:$DL$359=T85)/(Pile!$DL$336:$DL$359=T85)*ROW(Pile!$DL$336:$DL$359))-ROW(Pile!$DC$335),ROWS(O85)))),"Not Suitable")),AND(Inputs!$E$32="All Types",$A$42="Number of Piles"),(IF(SUMPRODUCT(--ISNUMBER(Pile!$DL$336:$DL$341)),Pile!$DB$336,IF(SUMPRODUCT(--ISNUMBER(Pile!$DL$342:$DL$347)),Pile!$DB$342,IF(SUMPRODUCT(--ISNUMBER(Pile!$DL$348:$DL$353)),Pile!$DB$348,IF(SUMPRODUCT(--ISNUMBER(Pile!$DL$354:$DL$359)),Pile!$DB$354,"Not Suitable")))))))</f>
        <v>1</v>
      </c>
      <c r="S85" s="1208" cm="1">
        <f t="array" ref="S85">_xlfn.SINGLE(_xlfn.IFS(AND(Inputs!$E$32="All Types",$A$42="Concrete Volume"),(IFERROR(_xlfn.SINGLE(INDEX(Pile!$DD$336:$DD$359,_xlfn.AGGREGATE(15,3,((Pile!$DL$336:$DL$359=T85)/(Pile!$DL$336:$DL$359=T85)*ROW(Pile!$DL$336:$DL$359))-ROW(Pile!$DC$335),ROWS(O85)))),"Not Suitable")),AND(Inputs!$E$32="All Types",$A$42="Number of Piles"),(IF(SUMPRODUCT(--ISNUMBER(Pile!$DL$336:$DL$341)),Pile!$DD$336,IF(SUMPRODUCT(--ISNUMBER(Pile!$DL$342:$DL$347)),Pile!$DD$342,IF(SUMPRODUCT(--ISNUMBER(Pile!$DL$348:$DL$353)),Pile!$DD$348,IF(SUMPRODUCT(--ISNUMBER(Pile!$DL$354:$DL$359)),Pile!$DD$354,"Not Suitable")))))))</f>
        <v>63</v>
      </c>
      <c r="T85" s="1209">
        <f>_xlfn.IFS(AND(Inputs!$E$32="All Types",$A$42="Concrete Volume"),(IF(MIN(Pile!$DL$336:$DL$359)&gt;0, MIN(Pile!$DL$336:$DL$359), "Not Suitable")),AND(Inputs!$E$32="All Types",$A$42="Number of Piles"),(IF(Pile!#REF!=Pile!$DD$336,MIN(Pile!$DL$336:$DL$341),IF(Pile!#REF!=Pile!$DD$342,MIN(Pile!$DL$342:$DL$347),IF(Pile!#REF!=Pile!$DD$348,MIN(Pile!$DL$348:$DL$353),IF(Pile!#REF!=Pile!$DD$354,MIN(Pile!$DL$354:$DL$359),"Not Suitable"))))))</f>
        <v>170.70368043882976</v>
      </c>
    </row>
    <row r="86" spans="1:22" s="314" customFormat="1" ht="15.75" thickBot="1">
      <c r="A86" s="572" t="s">
        <v>1933</v>
      </c>
      <c r="B86" s="1210" cm="1">
        <f t="array" ref="B86">_xlfn.SINGLE(_xlfn.IFS(AND(Inputs!$E$32="All Types",$A$42="Concrete Volume"),(IFERROR(_xlfn.SINGLE(INDEX(Pile!$CC$368:$CC$391,_xlfn.AGGREGATE(15,3,((Pile!$CL$368:$CL$391=F86)/(Pile!$CL$368:$CL$391=F86)*ROW(Pile!$CL$368:$CL$391))-ROW(Pile!$CC$367),ROWS(A86)))),"Not Suitable")),AND(Inputs!$E$32="All Types",$A$42="Number of Piles"),(IFERROR(_xlfn.SINGLE(INDEX(Pile!$CC$368:$CC$391,_xlfn.AGGREGATE(15,3,((Pile!$CL$368:$CL$391=F86)/(Pile!$CL$368:$CL$391=F86)*ROW(Pile!$CL$368:$CL$391))-ROW(Pile!$CC$367),ROWS(A86)))),"Not Suitable"))))</f>
        <v>450</v>
      </c>
      <c r="C86" s="1211">
        <f>IF(F86="Not Suitable","Not Suitable",F86/(E86*PI()*(B86/2000)^2))</f>
        <v>17.036776513153224</v>
      </c>
      <c r="D86" s="1210" cm="1">
        <f t="array" ref="D86">_xlfn.SINGLE(_xlfn.IFS(AND(Inputs!$E$32="All Types",$A$42="Concrete Volume"),(IFERROR(_xlfn.SINGLE(INDEX(Pile!$CB$368:$CB$391,_xlfn.AGGREGATE(15,3,((Pile!$CL$368:$CL$391=F86)/(Pile!$CL$368:$CL$391=F86)*ROW(Pile!$CL$368:$CL$391))-ROW(Pile!$CC$367),ROWS(A86)))),"Not Suitable")),AND(Inputs!$E$32="All Types",$A$42="Number of Piles"),(IF(SUMPRODUCT(--ISNUMBER(Pile!$CL$368:$CL$373)),Pile!$CB$368,IF(SUMPRODUCT(--ISNUMBER(Pile!$CL$374:$CL$379)),Pile!$CB$374,IF(SUMPRODUCT(--ISNUMBER(Pile!$CL$380:$CL$385)),Pile!$CB$380,IF(SUMPRODUCT(--ISNUMBER(Pile!$CL$386:$CL$391)),Pile!$CB$386,"Not Suitable")))))))</f>
        <v>1</v>
      </c>
      <c r="E86" s="1210" cm="1">
        <f t="array" ref="E86">_xlfn.SINGLE(_xlfn.IFS(AND(Inputs!$E$32="All Types",$A$42="Concrete Volume"),(IFERROR(_xlfn.SINGLE(INDEX(Pile!$CD$368:$CD$391,_xlfn.AGGREGATE(15,3,((Pile!$CL$368:$CL$391=F86)/(Pile!$CL$368:$CL$391=F86)*ROW(Pile!$CL$368:$CL$391))-ROW(Pile!$CC$367),ROWS(A86)))),"Not Suitable")),AND(Inputs!$E$32="All Types",$A$42="Number of Piles"),(IF(SUMPRODUCT(--ISNUMBER(Pile!$CL$368:$CL$373)),Pile!$CD$368,IF(SUMPRODUCT(--ISNUMBER(Pile!$CL$374:$CL$379)),Pile!$CD$374,IF(SUMPRODUCT(--ISNUMBER(Pile!$CL$380:$CL$385)),Pile!$CD$380,IF(SUMPRODUCT(--ISNUMBER(Pile!$CL$386:$CL$391)),Pile!$CD$386,"Not Suitable")))))))</f>
        <v>32</v>
      </c>
      <c r="F86" s="1211">
        <f>_xlfn.IFS(AND(Inputs!$E$32="All Types",$A$42="Concrete Volume"),(IF(MIN(Pile!$CL$368:$CL$391)&gt;0,MIN(Pile!$CL$368:$CL$391), "Not Suitable")),AND(Inputs!$E$32="All Types",$A$42="Number of Piles"),(IF(Pile!#REF!=Pile!$CD$368,MIN(Pile!$CL$368:$CL$373),IF(Pile!#REF!=Pile!$CD$374,MIN(Pile!$CL$374:$CL$379),IF(Pile!#REF!=Pile!$CD$380,MIN(Pile!$CL$380:$CL$385),IF(Pile!#REF!=Pile!$CD$386,MIN(Pile!$CL$386:$CL$391),"Not Suitable"))))))</f>
        <v>86.706631334008762</v>
      </c>
      <c r="G86" s="1198"/>
      <c r="H86" s="572" t="s">
        <v>1933</v>
      </c>
      <c r="I86" s="1210" cm="1">
        <f t="array" ref="I86">_xlfn.SINGLE(_xlfn.IFS(AND(Inputs!$E$32="All Types",$A$42="Concrete Volume"),(IFERROR(_xlfn.SINGLE(INDEX(Pile!$CP$368:$CP$391,_xlfn.AGGREGATE(15,3,((Pile!$CY$368:$CY$391=M86)/(Pile!$CY$368:$CY$391=M86)*ROW(Pile!$CY$368:$CY$391))-ROW(Pile!$CP$367),ROWS(H86)))),"Not Suitable")),AND(Inputs!$E$32="All Types",$A$42="Number of Piles"),(IFERROR(_xlfn.SINGLE(INDEX(Pile!$CP$368:$CP$391,_xlfn.AGGREGATE(15,3,((Pile!$CY$368:$CY$391=M86)/(Pile!$CY$368:$CY$391=M86)*ROW(Pile!$CY$368:$CY$391))-ROW(Pile!$CP$367),ROWS(H86)))),"Not Suitable"))))</f>
        <v>450</v>
      </c>
      <c r="J86" s="1211">
        <f>IF(M86="Not Suitable","Not Suitable",M86/(L86*PI()*(I86/2000)^2))</f>
        <v>17.036776513153224</v>
      </c>
      <c r="K86" s="1210" cm="1">
        <f t="array" ref="K86">_xlfn.SINGLE(_xlfn.IFS(AND(Inputs!$E$32="All Types",$A$42="Concrete Volume"),(IFERROR(_xlfn.SINGLE(INDEX(Pile!$CO$368:$CO$391,_xlfn.AGGREGATE(15,3,((Pile!$CY$368:$CY$391=M86)/(Pile!$CY$368:$CY$391=M86)*ROW(Pile!$CY$368:$CY$391))-ROW(Pile!$CP$367),ROWS(H86)))),"Not Suitable")),AND(Inputs!$E$32="All Types",$A$42="Number of Piles"),(IF(SUMPRODUCT(--ISNUMBER(Pile!$CY$368:$CY$373)),Pile!$CO$368,IF(SUMPRODUCT(--ISNUMBER(Pile!$CY$374:$CY$379)),Pile!$CO$374,IF(SUMPRODUCT(--ISNUMBER(Pile!$CY$380:$CY$385)),Pile!$CO$380,IF(SUMPRODUCT(--ISNUMBER(Pile!$CY$386:$CY$391)),Pile!$CO$386,"Not Suitable")))))))</f>
        <v>1</v>
      </c>
      <c r="L86" s="1210" cm="1">
        <f t="array" ref="L86">_xlfn.SINGLE(_xlfn.IFS(AND(Inputs!$E$32="All Types",$A$42="Concrete Volume"),(IFERROR(_xlfn.SINGLE(INDEX(Pile!$CQ$368:$CQ$391,_xlfn.AGGREGATE(15,3,((Pile!$CY$368:$CY$391=M86)/(Pile!$CY$368:$CY$391=M86)*ROW(Pile!$CY$368:$CY$391))-ROW(Pile!$CP$367),ROWS(H86)))),"Not Suitable")),AND(Inputs!$E$32="All Types",$A$42="Number of Piles"),(IF(SUMPRODUCT(--ISNUMBER(Pile!$CY$368:$CY$373)),Pile!$CQ$368,IF(SUMPRODUCT(--ISNUMBER(Pile!$CY$374:$CY$379)),Pile!$CQ$374,IF(SUMPRODUCT(--ISNUMBER(Pile!$CY$380:$CY$385)),Pile!$CQ$380,IF(SUMPRODUCT(--ISNUMBER(Pile!$CY$386:$CY$391)),Pile!$CQ$386,"Not Suitable")))))))</f>
        <v>32</v>
      </c>
      <c r="M86" s="1211">
        <f>_xlfn.IFS(AND(Inputs!$E$32="All Types",$A$42="Concrete Volume"),(IF(MIN(Pile!$CY$368:$CY$391)&gt;0,MIN(Pile!$CY$368:$CY$391), "Not Suitable")),AND(Inputs!$E$32="All Types",$A$42="Number of Piles"),(IF(Pile!#REF!=Pile!$CQ$368,MIN(Pile!$CY$368:$CY$373),IF(Pile!#REF!=Pile!$CQ$374,MIN(Pile!$CY$374:$CY$379),IF(Pile!#REF!=Pile!$CQ$380,MIN(Pile!$CY$380:$CY$385),IF(Pile!#REF!=Pile!$CQ$386,MIN(Pile!$CY$386:$CY$391),"Not Suitable"))))))</f>
        <v>86.706631334008762</v>
      </c>
      <c r="N86" s="1198"/>
      <c r="O86" s="572" t="s">
        <v>1933</v>
      </c>
      <c r="P86" s="1210" cm="1">
        <f t="array" ref="P86">_xlfn.SINGLE(_xlfn.IFS(AND(Inputs!$E$32="All Types",$A$42="Concrete Volume"),(IFERROR(_xlfn.SINGLE(INDEX(Pile!$DC$368:$DC$391,_xlfn.AGGREGATE(15,3,((Pile!$DL$368:$DL$391=T86)/(Pile!$DL$368:$DL$391=T86)*ROW(Pile!$DL$368:$DL$391))-ROW(Pile!$DC$367),ROWS(O86)))),"Not Suitable")),AND(Inputs!$E$32="All Types",$A$42="Number of Piles"),(IFERROR(_xlfn.SINGLE(INDEX(Pile!$DC$368:$DC$391,_xlfn.AGGREGATE(15,3,((Pile!$DL$368:$DL$391=T86)/(Pile!$DL$368:$DL$391=T86)*ROW(Pile!$DL$368:$DL$391))-ROW(Pile!$DC$367),ROWS(O86)))),"Not Suitable"))))</f>
        <v>450</v>
      </c>
      <c r="Q86" s="1211">
        <f>IF(T86="Not Suitable","Not Suitable",T86/(S86*PI()*(P86/2000)^2))</f>
        <v>17.036776513153224</v>
      </c>
      <c r="R86" s="1210" cm="1">
        <f t="array" ref="R86">_xlfn.SINGLE(_xlfn.IFS(AND(Inputs!$E$32="All Types",$A$42="Concrete Volume"),(IFERROR(_xlfn.SINGLE(INDEX(Pile!$DB$368:$DB$391,_xlfn.AGGREGATE(15,3,((Pile!$DL$368:$DL$391=T86)/(Pile!$DL$368:$DL$391=T86)*ROW(Pile!$DL$368:$DL$391))-ROW(Pile!$DC$367),ROWS(O86)))),"Not Suitable")),AND(Inputs!$E$32="All Types",$A$42="Number of Piles"),(IF(SUMPRODUCT(--ISNUMBER(Pile!$DL$368:$DL$373)),Pile!$DB$368,IF(SUMPRODUCT(--ISNUMBER(Pile!$DL$374:$DL$379)),Pile!$DB$374,IF(SUMPRODUCT(--ISNUMBER(Pile!$DL$380:$DL$385)),Pile!$DB$380,IF(SUMPRODUCT(--ISNUMBER(Pile!$DL$386:$DL$391)),Pile!$DB$386,"Not Suitable")))))))</f>
        <v>1</v>
      </c>
      <c r="S86" s="1210" cm="1">
        <f t="array" ref="S86">_xlfn.SINGLE(_xlfn.IFS(AND(Inputs!$E$32="All Types",$A$42="Concrete Volume"),(IFERROR(_xlfn.SINGLE(INDEX(Pile!$DD$368:$DD$391,_xlfn.AGGREGATE(15,3,((Pile!$DL$368:$DL$391=T86)/(Pile!$DL$368:$DL$391=T86)*ROW(Pile!$DL$368:$DL$391))-ROW(Pile!$DC$367),ROWS(O86)))),"Not Suitable")),AND(Inputs!$E$32="All Types",$A$42="Number of Piles"),(IF(SUMPRODUCT(--ISNUMBER(Pile!$DL$368:$DL$373)),Pile!$DD$368,IF(SUMPRODUCT(--ISNUMBER(Pile!$DL$374:$DL$379)),Pile!$DD$374,IF(SUMPRODUCT(--ISNUMBER(Pile!$DL$380:$DL$385)),Pile!$DD$380,IF(SUMPRODUCT(--ISNUMBER(Pile!$DL$386:$DL$391)),Pile!$DD$386,"Not Suitable")))))))</f>
        <v>32</v>
      </c>
      <c r="T86" s="1211">
        <f>_xlfn.IFS(AND(Inputs!$E$32="All Types",$A$42="Concrete Volume"),(IF(MIN(Pile!$DL$368:$DL$391)&gt;0,MIN(Pile!$DL$368:$DL$391), "Not Suitable")),AND(Inputs!$E$32="All Types",$A$42="Number of Piles"),(IF(Pile!#REF!=Pile!$DD$368,MIN(Pile!$DL$368:$DL$373),IF(Pile!#REF!=Pile!$DD$374,MIN(Pile!$DL$374:$DL$379),IF(Pile!#REF!=Pile!$DD$380,MIN(Pile!$DL$380:$DL$385),IF(Pile!#REF!=Pile!$DD$386,MIN(Pile!$DL$386:$DL$391),"Not Suitable"))))))</f>
        <v>86.706631334008762</v>
      </c>
    </row>
    <row r="87" spans="1:22" s="314" customFormat="1" ht="15.75" thickBot="1">
      <c r="A87" s="578" t="s">
        <v>1934</v>
      </c>
      <c r="B87" s="1210" cm="1">
        <f t="array" ref="B87">_xlfn.SINGLE(_xlfn.IFS(AND(Inputs!$E$32="All Types",$A$42="Concrete Volume"),(IFERROR(_xlfn.SINGLE(INDEX(Pile!$CC$399:$CC$422,_xlfn.AGGREGATE(15,3,((Pile!$CL$399:$CL$422=F87)/(Pile!$CL$399:$CL$422=F87)*ROW(Pile!$CL$399:$CL$422))-ROW(Pile!$CC$398),ROWS(A87)))),"Not Suitable")),AND(Inputs!$E$32="All Types",$A$42="Number of Piles"),(IFERROR(_xlfn.SINGLE(INDEX(Pile!$CC$399:$CC$422,_xlfn.AGGREGATE(15,3,((Pile!$CL$399:$CL$422=F87)/(Pile!$CL$399:$CL$422=F87)*ROW(Pile!$CL$399:$CL$422))-ROW(Pile!$CC$398),ROWS(A87)))),"Not Suitable"))))</f>
        <v>450</v>
      </c>
      <c r="C87" s="1211">
        <f>IF(F87="Not Suitable","Not Suitable",F87/(E87*PI()*(B87/2000)^2))</f>
        <v>15.536776513153224</v>
      </c>
      <c r="D87" s="1210" cm="1">
        <f t="array" ref="D87">_xlfn.SINGLE(_xlfn.IFS(AND(Inputs!$E$32="All Types",$A$42="Concrete Volume"),(IFERROR(_xlfn.SINGLE(INDEX(Pile!$CB$399:$CB$422,_xlfn.AGGREGATE(15,3,((Pile!$CL$399:$CL$422=F87)/(Pile!$CL$399:$CL$422=F87)*ROW(Pile!$CL$399:$CL$422))-ROW(Pile!$CC$398),ROWS(A87)))),"Not Suitable")),AND(Inputs!$E$32="All Types",$A$42="Number of Piles"),(IF(SUMPRODUCT(--ISNUMBER(Pile!$CL$399:$CL$404)),Pile!$CB$399,IF(SUMPRODUCT(--ISNUMBER(Pile!$CL$405:$CL$410)),Pile!$CB$405,IF(SUMPRODUCT(--ISNUMBER(Pile!$CL$411:$CL$416)),Pile!$CB$411,IF(SUMPRODUCT(--ISNUMBER(Pile!$CL$417:$CL$422)),Pile!$CB$417,"Not Suitable")))))))</f>
        <v>1</v>
      </c>
      <c r="E87" s="1210" cm="1">
        <f t="array" ref="E87">_xlfn.SINGLE(_xlfn.IFS(AND(Inputs!$E$32="All Types",$A$42="Concrete Volume"),(IFERROR(_xlfn.SINGLE(INDEX(Pile!$CD$399:$CD$422,_xlfn.AGGREGATE(15,3,((Pile!$CL$399:$CL$422=F87)/(Pile!$CL$399:$CL$422=F87)*ROW(Pile!$CL$399:$CL$422))-ROW(Pile!$CC$398),ROWS(A87)))),"Not Suitable")),AND(Inputs!$E$32="All Types",$A$42="Number of Piles"),(IF(SUMPRODUCT(--ISNUMBER(Pile!$CL$399:$CL$404)),Pile!$CD$399,IF(SUMPRODUCT(--ISNUMBER(Pile!$CL$405:$CL$410)),Pile!$CD$405,IF(SUMPRODUCT(--ISNUMBER(Pile!$CL$411:$CL$416)),Pile!$CD$411,IF(SUMPRODUCT(--ISNUMBER(Pile!$CL$417:$CL$422)),Pile!$CD$417,"Not Suitable")))))))</f>
        <v>4</v>
      </c>
      <c r="F87" s="1211">
        <f>_xlfn.IFS(AND(Inputs!$E$32="All Types",$A$42="Concrete Volume"),(IF(MIN(Pile!$CL$399:$CL$422)&gt;0,MIN(Pile!$CL$399:$CL$422), "Not Suitable")),AND(Inputs!$E$32="All Types",$A$42="Number of Piles"),(IF(Pile!#REF!=Pile!$CD$399,MIN(Pile!$CL$399:$CL$404),IF(Pile!#REF!=Pile!$CD$405,MIN(Pile!$CL$405:$CL$410),IF(Pile!#REF!=Pile!$CD$411,MIN(Pile!$CL$411:$CL$416),IF(Pile!#REF!=Pile!$CD$417,MIN(Pile!$CL$417:$CL$422),"Not Suitable"))))))</f>
        <v>9.884070148223195</v>
      </c>
      <c r="G87" s="1198"/>
      <c r="H87" s="578" t="s">
        <v>1934</v>
      </c>
      <c r="I87" s="1210" cm="1">
        <f t="array" ref="I87">_xlfn.SINGLE(_xlfn.IFS(AND(Inputs!$E$32="All Types",$A$42="Concrete Volume"),(IFERROR(_xlfn.SINGLE(INDEX(Pile!$CP$399:$CP$422,_xlfn.AGGREGATE(15,3,((Pile!$CY$399:$CY$422=M87)/(Pile!$CY$399:$CY$422=M87)*ROW(Pile!$CY$399:$CY$422))-ROW(Pile!$CP$398),ROWS(H87)))),"Not Suitable")),AND(Inputs!$E$32="All Types",$A$42="Number of Piles"),(IFERROR(_xlfn.SINGLE(INDEX(Pile!$CP$399:$CP$422,_xlfn.AGGREGATE(15,3,((Pile!$CY$399:$CY$422=M87)/(Pile!$CY$399:$CY$422=M87)*ROW(Pile!$CY$399:$CY$422))-ROW(Pile!$CP$398),ROWS(H87)))),"Not Suitable"))))</f>
        <v>450</v>
      </c>
      <c r="J87" s="1211">
        <f>IF(M87="Not Suitable","Not Suitable",M87/(L87*PI()*(I87/2000)^2))</f>
        <v>14.636776513153224</v>
      </c>
      <c r="K87" s="1210" cm="1">
        <f t="array" ref="K87">_xlfn.SINGLE(_xlfn.IFS(AND(Inputs!$E$32="All Types",$A$42="Concrete Volume"),(IFERROR(_xlfn.SINGLE(INDEX(Pile!$CO$399:$CO$422,_xlfn.AGGREGATE(15,3,((Pile!$CY$399:$CY$422=M87)/(Pile!$CY$399:$CY$422=M87)*ROW(Pile!$CY$399:$CY$422))-ROW(Pile!$CP$398),ROWS(H87)))),"Not Suitable")),AND(Inputs!$E$32="All Types",$A$42="Number of Piles"),(IF(SUMPRODUCT(--ISNUMBER(Pile!$CY$399:$CY$404)),Pile!$CO$399,IF(SUMPRODUCT(--ISNUMBER(Pile!$CY$405:$CY$410)),Pile!$CO$405,IF(SUMPRODUCT(--ISNUMBER(Pile!$CY$411:$CY$416)),Pile!$CO$411,IF(SUMPRODUCT(--ISNUMBER(Pile!$CY$417:$CY$422)),Pile!$CO$417,"Not Suitable")))))))</f>
        <v>1</v>
      </c>
      <c r="L87" s="1210" cm="1">
        <f t="array" ref="L87">_xlfn.SINGLE(_xlfn.IFS(AND(Inputs!$E$32="All Types",$A$42="Concrete Volume"),(IFERROR(_xlfn.SINGLE(INDEX(Pile!$CQ$399:$CQ$422,_xlfn.AGGREGATE(15,3,((Pile!$CY$399:$CY$422=M87)/(Pile!$CY$399:$CY$422=M87)*ROW(Pile!$CY$399:$CY$422))-ROW(Pile!$CP$398),ROWS(H87)))),"Not Suitable")),AND(Inputs!$E$32="All Types",$A$42="Number of Piles"),(IF(SUMPRODUCT(--ISNUMBER(Pile!$CY$399:$CY$404)),Pile!$CQ$399,IF(SUMPRODUCT(--ISNUMBER(Pile!$CY$405:$CY$410)),Pile!$CQ$405,IF(SUMPRODUCT(--ISNUMBER(Pile!$CY$411:$CY$416)),Pile!$CQ$411,IF(SUMPRODUCT(--ISNUMBER(Pile!$CY$417:$CY$422)),Pile!$CQ$417,"Not Suitable")))))))</f>
        <v>4</v>
      </c>
      <c r="M87" s="1211">
        <f>_xlfn.IFS(AND(Inputs!$E$32="All Types",$A$42="Concrete Volume"),(IF(MIN(Pile!$CY$399:$CY$422)&gt;0,MIN(Pile!$CY$399:$CY$422), "Not Suitable")),AND(Inputs!$E$32="All Types",$A$42="Number of Piles"),(IF(Pile!#REF!=Pile!$CQ$399,MIN(Pile!$CY$399:$CY$404),IF(Pile!#REF!=Pile!$CQ$405,MIN(Pile!$CY$405:$CY$410),IF(Pile!#REF!=Pile!$CQ$411,MIN(Pile!$CY$411:$CY$416),IF(Pile!#REF!=Pile!$CQ$417,MIN(Pile!$CY$417:$CY$422),"Not Suitable"))))))</f>
        <v>9.3115148871064548</v>
      </c>
      <c r="N87" s="1198"/>
      <c r="O87" s="578" t="s">
        <v>1934</v>
      </c>
      <c r="P87" s="1210" cm="1">
        <f t="array" ref="P87">_xlfn.SINGLE(_xlfn.IFS(AND(Inputs!$E$32="All Types",$A$42="Concrete Volume"),(IFERROR(_xlfn.SINGLE(INDEX(Pile!$DC$399:$DC$422,_xlfn.AGGREGATE(15,3,((Pile!$DL$399:$DL$422=T87)/(Pile!$DL$399:$DL$422=T87)*ROW(Pile!$DL$399:$DL$422))-ROW(Pile!$DC$398),ROWS(O87)))),"Not Suitable")),AND(Inputs!$E$32="All Types",$A$42="Number of Piles"),(IFERROR(_xlfn.SINGLE(INDEX(Pile!$DC$399:$DC$422,_xlfn.AGGREGATE(15,3,((Pile!$DL$399:$DL$422=T87)/(Pile!$DL$399:$DL$422=T87)*ROW(Pile!$DL$399:$DL$422))-ROW(Pile!$DC$398),ROWS(O87)))),"Not Suitable"))))</f>
        <v>450</v>
      </c>
      <c r="Q87" s="1211">
        <f>IF(T87="Not Suitable","Not Suitable",T87/(S87*PI()*(P87/2000)^2))</f>
        <v>14.636776513153224</v>
      </c>
      <c r="R87" s="1210" cm="1">
        <f t="array" ref="R87">_xlfn.SINGLE(_xlfn.IFS(AND(Inputs!$E$32="All Types",$A$42="Concrete Volume"),(IFERROR(_xlfn.SINGLE(INDEX(Pile!$DB$399:$DB$422,_xlfn.AGGREGATE(15,3,((Pile!$DL$399:$DL$422=T87)/(Pile!$DL$399:$DL$422=T87)*ROW(Pile!$DL$399:$DL$422))-ROW(Pile!$DC$398),ROWS(O87)))),"Not Suitable")),AND(Inputs!$E$32="All Types",$A$42="Number of Piles"),(IF(SUMPRODUCT(--ISNUMBER(Pile!$DL$399:$DL$404)),Pile!$DB$399,IF(SUMPRODUCT(--ISNUMBER(Pile!$DL$405:$DL$410)),Pile!$DB$405,IF(SUMPRODUCT(--ISNUMBER(Pile!$DL$411:$DL$416)),Pile!$DB$411,IF(SUMPRODUCT(--ISNUMBER(Pile!$DL$417:$DL$422)),Pile!$DB$417,"Not Suitable")))))))</f>
        <v>1</v>
      </c>
      <c r="S87" s="1210" cm="1">
        <f t="array" ref="S87">_xlfn.SINGLE(_xlfn.IFS(AND(Inputs!$E$32="All Types",$A$42="Concrete Volume"),(IFERROR(_xlfn.SINGLE(INDEX(Pile!$DD$399:$DD$422,_xlfn.AGGREGATE(15,3,((Pile!$DL$399:$DL$422=T87)/(Pile!$DL$399:$DL$422=T87)*ROW(Pile!$DL$399:$DL$422))-ROW(Pile!$DC$398),ROWS(O87)))),"Not Suitable")),AND(Inputs!$E$32="All Types",$A$42="Number of Piles"),(IF(SUMPRODUCT(--ISNUMBER(Pile!$DL$399:$DL$404)),Pile!$DD$399,IF(SUMPRODUCT(--ISNUMBER(Pile!$DL$405:$DL$410)),Pile!$DD$405,IF(SUMPRODUCT(--ISNUMBER(Pile!$DL$411:$DL$416)),Pile!$DD$411,IF(SUMPRODUCT(--ISNUMBER(Pile!$DL$417:$DL$422)),Pile!$DD$417,"Not Suitable")))))))</f>
        <v>4</v>
      </c>
      <c r="T87" s="1211">
        <f>_xlfn.IFS(AND(Inputs!$E$32="All Types",$A$42="Concrete Volume"),(IF(MIN(Pile!$DL$399:$DL$422)&gt;0,MIN(Pile!$DL$399:$DL$422), "Not Suitable")),AND(Inputs!$E$32="All Types",$A$42="Number of Piles"),(IF(Pile!#REF!=Pile!$DD$399,MIN(Pile!$DL$399:$DL$404),IF(Pile!#REF!=Pile!$DD$405,MIN(Pile!$DL$405:$DL$410),IF(Pile!#REF!=Pile!$DD$411,MIN(Pile!$DL$411:$DL$416),IF(Pile!#REF!=Pile!$DD$417,MIN(Pile!$DL$417:$DL$422),"Not Suitable"))))))</f>
        <v>9.3115148871064548</v>
      </c>
    </row>
    <row r="88" spans="1:22" s="314" customFormat="1" ht="15.75" thickBot="1">
      <c r="B88" s="1214"/>
      <c r="C88" s="1215"/>
      <c r="D88" s="1214"/>
      <c r="E88" s="1214"/>
      <c r="F88" s="1214"/>
      <c r="G88" s="1198"/>
      <c r="I88" s="1214"/>
      <c r="J88" s="1215"/>
      <c r="K88" s="1214"/>
      <c r="L88" s="1214"/>
      <c r="M88" s="1214"/>
      <c r="N88" s="1198"/>
      <c r="P88" s="1214"/>
      <c r="Q88" s="1215"/>
      <c r="R88" s="1214"/>
      <c r="S88" s="1214"/>
      <c r="T88" s="1214"/>
    </row>
    <row r="89" spans="1:22" s="314" customFormat="1" ht="15.75" thickBot="1">
      <c r="A89" s="1203" t="s">
        <v>759</v>
      </c>
      <c r="B89" s="1204" t="s">
        <v>821</v>
      </c>
      <c r="C89" s="1205" t="s">
        <v>847</v>
      </c>
      <c r="D89" s="1206" t="s">
        <v>883</v>
      </c>
      <c r="E89" s="1206" t="s">
        <v>884</v>
      </c>
      <c r="F89" s="1207" t="s">
        <v>885</v>
      </c>
      <c r="G89" s="1198"/>
      <c r="H89" s="1203" t="s">
        <v>759</v>
      </c>
      <c r="I89" s="1204" t="s">
        <v>821</v>
      </c>
      <c r="J89" s="1205" t="s">
        <v>847</v>
      </c>
      <c r="K89" s="1206" t="s">
        <v>883</v>
      </c>
      <c r="L89" s="1206" t="s">
        <v>884</v>
      </c>
      <c r="M89" s="1207" t="s">
        <v>885</v>
      </c>
      <c r="N89" s="1198"/>
      <c r="O89" s="1203" t="s">
        <v>759</v>
      </c>
      <c r="P89" s="1204" t="s">
        <v>821</v>
      </c>
      <c r="Q89" s="1205" t="s">
        <v>847</v>
      </c>
      <c r="R89" s="1206" t="s">
        <v>883</v>
      </c>
      <c r="S89" s="1206" t="s">
        <v>884</v>
      </c>
      <c r="T89" s="1207" t="s">
        <v>885</v>
      </c>
    </row>
    <row r="90" spans="1:22" s="314" customFormat="1" ht="15.75" thickBot="1">
      <c r="A90" s="572" t="s">
        <v>1932</v>
      </c>
      <c r="B90" s="1208" cm="1">
        <f t="array" ref="B90">_xlfn.SINGLE(_xlfn.IFS(AND(Inputs!$E$32="All Types",$A$42="Concrete Volume"),(IFERROR(_xlfn.SINGLE(INDEX(Pile!$CC$336:$CC$359,_xlfn.AGGREGATE(15,3,((Pile!$CK$336:$CK$359=F90)/(Pile!$CK$336:$CK$359=F90)*ROW(Pile!$CK$336:$CK$359))-ROW(Pile!$CC$335),ROWS(A90)))),"Not Suitable")),AND(Inputs!$E$32="All Types",$A$42="Number of Piles"),(IFERROR(_xlfn.SINGLE(INDEX(Pile!$CC$336:$CC$359,_xlfn.AGGREGATE(15,3,((Pile!$CK$336:$CK$359=F90)/(Pile!$CK$336:$CK$359=F90)*ROW(Pile!$CK$336:$CK$359))-ROW(Pile!$CC$335),ROWS(A90)))),"Not Suitable"))))</f>
        <v>450</v>
      </c>
      <c r="C90" s="1209">
        <f>IF(F90="Not Suitable","Not Suitable",F90/(E90*PI()*(B90/2000)^2))</f>
        <v>17.036776513153228</v>
      </c>
      <c r="D90" s="1208" cm="1">
        <f t="array" ref="D90">_xlfn.SINGLE(_xlfn.IFS(AND(Inputs!$E$32="All Types",$A$42="Concrete Volume"),(IFERROR(_xlfn.SINGLE(INDEX(Pile!$CB$336:$CB$359,_xlfn.AGGREGATE(15,3,((Pile!$CK$336:$CK$359=F90)/(Pile!$CK$336:$CK$359=F90)*ROW(Pile!$CK$336:$CK$359))-ROW(Pile!$CC$335),ROWS(A90)))),"Not Suitable")),AND(Inputs!$E$32="All Types",$A$42="Number of Piles"),(IF(SUMPRODUCT(--ISNUMBER(Pile!$CK$336:$CK$341)),Pile!$CB$336,IF(SUMPRODUCT(--ISNUMBER(Pile!$CK$342:$CK$347)),Pile!$CB$342,IF(SUMPRODUCT(--ISNUMBER(Pile!$CK$348:$CK$353)),Pile!$CB$348,IF(SUMPRODUCT(--ISNUMBER(Pile!$CK$354:$CK$359)),Pile!$CB$354,"Not Suitable")))))))</f>
        <v>1</v>
      </c>
      <c r="E90" s="1208" cm="1">
        <f t="array" ref="E90">_xlfn.SINGLE(_xlfn.IFS(AND(Inputs!$E$32="All Types",$A$42="Concrete Volume"),(IFERROR(_xlfn.SINGLE(INDEX(Pile!$CD$336:$CD$359,_xlfn.AGGREGATE(15,3,((Pile!$CK$336:$CK$359=F90)/(Pile!$CK$336:$CK$359=F90)*ROW(Pile!$CK$336:$CK$359))-ROW(Pile!$CC$335),ROWS(A90)))),"Not Suitable")),AND(Inputs!$E$32="All Types",$A$42="Number of Piles"),(IF(SUMPRODUCT(--ISNUMBER(Pile!$CK$336:$CK$341)),Pile!$CD$336,IF(SUMPRODUCT(--ISNUMBER(Pile!$CK$342:$CK$347)),Pile!$CD$342,IF(SUMPRODUCT(--ISNUMBER(Pile!$CK$348:$CK$353)),Pile!$CD$348,IF(SUMPRODUCT(--ISNUMBER(Pile!$CK$354:$CK$359)),Pile!$CD$354,"Not Suitable")))))))</f>
        <v>63</v>
      </c>
      <c r="F90" s="1209">
        <f>_xlfn.IFS(AND(Inputs!$E$32="All Types",$A$42="Concrete Volume"),(IF(MIN(Pile!$CK$336:$CK$359)&gt;0, MIN(Pile!$CK$336:$CK$359), "Not Suitable")),AND(Inputs!$E$32="All Types",$A$42="Number of Piles"),(IF(Pile!#REF!=Pile!$CD$336,MIN(Pile!$CK$336:$CK$341),IF(Pile!#REF!=Pile!$CD$342,MIN(Pile!$CK$342:$CK$347),IF(Pile!#REF!=Pile!$CD$348,MIN(Pile!$CK$348:$CK$353),IF(Pile!#REF!=Pile!$CD$354,MIN(Pile!$CK$354:$CK$359),"Not Suitable"))))))</f>
        <v>170.70368043882976</v>
      </c>
      <c r="G90" s="1198"/>
      <c r="H90" s="572" t="s">
        <v>1932</v>
      </c>
      <c r="I90" s="1208" cm="1">
        <f t="array" ref="I90">_xlfn.SINGLE(_xlfn.IFS(AND(Inputs!$E$32="All Types",$A$42="Concrete Volume"),(IFERROR(_xlfn.SINGLE(INDEX(Pile!$CP$336:$CP$359,_xlfn.AGGREGATE(15,3,((Pile!$CX$336:$CX$359=M90)/(Pile!$CX$336:$CX$359=M90)*ROW(Pile!$CX$336:$CX$359))-ROW(Pile!$CP$335),ROWS(H90)))),"Not Suitable")),AND(Inputs!$E$32="All Types",$A$42="Number of Piles"),(IFERROR(_xlfn.SINGLE(INDEX(Pile!$CP$336:$CP$359,_xlfn.AGGREGATE(15,3,((Pile!$CX$336:$CX$359=M90)/(Pile!$CX$336:$CX$359=M90)*ROW(Pile!$CX$336:$CX$359))-ROW(Pile!$CP$335),ROWS(H90)))),"Not Suitable"))))</f>
        <v>450</v>
      </c>
      <c r="J90" s="1209">
        <f>IF(M90="Not Suitable","Not Suitable",M90/(L90*PI()*(I90/2000)^2))</f>
        <v>17.036776513153228</v>
      </c>
      <c r="K90" s="1208" cm="1">
        <f t="array" ref="K90">_xlfn.SINGLE(_xlfn.IFS(AND(Inputs!$E$32="All Types",$A$42="Concrete Volume"),(IFERROR(_xlfn.SINGLE(INDEX(Pile!$CO$336:$CO$359,_xlfn.AGGREGATE(15,3,((Pile!$CX$336:$CX$359=M90)/(Pile!$CX$336:$CX$359=M90)*ROW(Pile!$CX$336:$CX$359))-ROW(Pile!$CP$335),ROWS(H90)))),"Not Suitable")),AND(Inputs!$E$32="All Types",$A$42="Number of Piles"),(IF(SUMPRODUCT(--ISNUMBER(Pile!$CX$336:$CX$341)),Pile!$CO$336,IF(SUMPRODUCT(--ISNUMBER(Pile!$CX$342:$CX$347)),Pile!$CO$342,IF(SUMPRODUCT(--ISNUMBER(Pile!$CX$348:$CX$353)),Pile!$CO$348,IF(SUMPRODUCT(--ISNUMBER(Pile!$CX$354:$CX$359)),Pile!$CO$354,"Not Suitable")))))))</f>
        <v>1</v>
      </c>
      <c r="L90" s="1208" cm="1">
        <f t="array" ref="L90">_xlfn.SINGLE(_xlfn.IFS(AND(Inputs!$E$32="All Types",$A$42="Concrete Volume"),(IFERROR(_xlfn.SINGLE(INDEX(Pile!$CQ$336:$CQ$359,_xlfn.AGGREGATE(15,3,((Pile!$CX$336:$CX$359=M90)/(Pile!$CX$336:$CX$359=M90)*ROW(Pile!$CX$336:$CX$359))-ROW(Pile!$CP$335),ROWS(H90)))),"Not Suitable")),AND(Inputs!$E$32="All Types",$A$42="Number of Piles"),(IF(SUMPRODUCT(--ISNUMBER(Pile!$CX$336:$CX$341)),Pile!$CQ$336,IF(SUMPRODUCT(--ISNUMBER(Pile!$CX$342:$CX$347)),Pile!$CQ$342,IF(SUMPRODUCT(--ISNUMBER(Pile!$CX$348:$CX$353)),Pile!$CQ$348,IF(SUMPRODUCT(--ISNUMBER(Pile!$CX$354:$CX$359)),Pile!$CQ$354,"Not Suitable")))))))</f>
        <v>63</v>
      </c>
      <c r="M90" s="1209">
        <f>_xlfn.IFS(AND(Inputs!$E$32="All Types",$A$42="Concrete Volume"),(IF(MIN(Pile!$CX$336:$CX$359)&gt;0, MIN(Pile!$CX$336:$CX$359), "Not Suitable")),AND(Inputs!$E$32="All Types",$A$42="Number of Piles"),(IF(Pile!#REF!=Pile!$CQ$336,MIN(Pile!$CX$336:$CX$341),IF(Pile!#REF!=Pile!$CQ$342,MIN(Pile!$CX$342:$CX$347),IF(Pile!#REF!=Pile!$CQ$348,MIN(Pile!$CX$348:$CX$353),IF(Pile!#REF!=Pile!$CQ$354,MIN(Pile!$CX$354:$CX$359),"Not Suitable"))))))</f>
        <v>170.70368043882976</v>
      </c>
      <c r="N90" s="1198"/>
      <c r="O90" s="572" t="s">
        <v>1932</v>
      </c>
      <c r="P90" s="1208" cm="1">
        <f t="array" ref="P90">_xlfn.SINGLE(_xlfn.IFS(AND(Inputs!$E$32="All Types",$A$42="Concrete Volume"),(IFERROR(_xlfn.SINGLE(INDEX(Pile!$DC$336:$DC$359,_xlfn.AGGREGATE(15,3,((Pile!$DK$336:$DK$359=T90)/(Pile!$DK$336:$DK$359=T90)*ROW(Pile!$DK$336:$DK$359))-ROW(Pile!$DC$335),ROWS(O90)))),"Not Suitable")),AND(Inputs!$E$32="All Types",$A$42="Number of Piles"),(IFERROR(_xlfn.SINGLE(INDEX(Pile!$DC$336:$DC$359,_xlfn.AGGREGATE(15,3,((Pile!$DK$336:$DK$359=T90)/(Pile!$DK$336:$DK$359=T90)*ROW(Pile!$DK$336:$DK$359))-ROW(Pile!$DC$335),ROWS(O90)))),"Not Suitable"))))</f>
        <v>450</v>
      </c>
      <c r="Q90" s="1209">
        <f>IF(T90="Not Suitable","Not Suitable",T90/(S90*PI()*(P90/2000)^2))</f>
        <v>17.036776513153228</v>
      </c>
      <c r="R90" s="1208" cm="1">
        <f t="array" ref="R90">_xlfn.SINGLE(_xlfn.IFS(AND(Inputs!$E$32="All Types",$A$42="Concrete Volume"),(IFERROR(_xlfn.SINGLE(INDEX(Pile!$DB$336:$DB$359,_xlfn.AGGREGATE(15,3,((Pile!$DK$336:$DK$359=T90)/(Pile!$DK$336:$DK$359=T90)*ROW(Pile!$DK$336:$DK$359))-ROW(Pile!$DC$335),ROWS(O90)))),"Not Suitable")),AND(Inputs!$E$32="All Types",$A$42="Number of Piles"),(IF(SUMPRODUCT(--ISNUMBER(Pile!$DK$336:$DK$341)),Pile!$DB$336,IF(SUMPRODUCT(--ISNUMBER(Pile!$DK$342:$DK$347)),Pile!$DB$342,IF(SUMPRODUCT(--ISNUMBER(Pile!$DK$348:$DK$353)),Pile!$DB$348,IF(SUMPRODUCT(--ISNUMBER(Pile!$DK$354:$DK$359)),Pile!$DB$354,"Not Suitable")))))))</f>
        <v>1</v>
      </c>
      <c r="S90" s="1208" cm="1">
        <f t="array" ref="S90">_xlfn.SINGLE(_xlfn.IFS(AND(Inputs!$E$32="All Types",$A$42="Concrete Volume"),(IFERROR(_xlfn.SINGLE(INDEX(Pile!$DD$336:$DD$359,_xlfn.AGGREGATE(15,3,((Pile!$DK$336:$DK$359=T90)/(Pile!$DK$336:$DK$359=T90)*ROW(Pile!$DK$336:$DK$359))-ROW(Pile!$DC$335),ROWS(O90)))),"Not Suitable")),AND(Inputs!$E$32="All Types",$A$42="Number of Piles"),(IF(SUMPRODUCT(--ISNUMBER(Pile!$DK$336:$DK$341)),Pile!$DD$336,IF(SUMPRODUCT(--ISNUMBER(Pile!$DK$342:$DK$347)),Pile!$DD$342,IF(SUMPRODUCT(--ISNUMBER(Pile!$DK$348:$DK$353)),Pile!$DD$348,IF(SUMPRODUCT(--ISNUMBER(Pile!$DK$354:$DK$359)),Pile!$DD$354,"Not Suitable")))))))</f>
        <v>63</v>
      </c>
      <c r="T90" s="1209">
        <f>_xlfn.IFS(AND(Inputs!$E$32="All Types",$A$42="Concrete Volume"),(IF(MIN(Pile!$DK$336:$DK$359)&gt;0, MIN(Pile!$DK$336:$DK$359), "Not Suitable")),AND(Inputs!$E$32="All Types",$A$42="Number of Piles"),(IF(Pile!#REF!=Pile!$DD$336,MIN(Pile!$DK$336:$DK$341),IF(Pile!#REF!=Pile!$DD$342,MIN(Pile!$DK$342:$DK$347),IF(Pile!#REF!=Pile!$DD$348,MIN(Pile!$DK$348:$DK$353),IF(Pile!#REF!=Pile!$DD$354,MIN(Pile!$DK$354:$DK$359),"Not Suitable"))))))</f>
        <v>170.70368043882976</v>
      </c>
    </row>
    <row r="91" spans="1:22" s="314" customFormat="1" ht="15.75" thickBot="1">
      <c r="A91" s="572" t="s">
        <v>1933</v>
      </c>
      <c r="B91" s="1210" cm="1">
        <f t="array" ref="B91">_xlfn.SINGLE(_xlfn.IFS(AND(Inputs!$E$32="All Types",$A$42="Concrete Volume"),(IFERROR(_xlfn.SINGLE(INDEX(Pile!$CC$368:$CC$391,_xlfn.AGGREGATE(15,3,((Pile!$CK$368:$CK$391=F91)/(Pile!$CK$368:$CK$391=F91)*ROW(Pile!$CK$368:$CK$391))-ROW(Pile!$CC$367),ROWS(A91)))),"Not Suitable")),AND(Inputs!$E$32="All Types",$A$42="Number of Piles"),(IFERROR(_xlfn.SINGLE(INDEX(Pile!$CC$368:$CC$391,_xlfn.AGGREGATE(15,3,((Pile!$CK$368:$CK$391=F91)/(Pile!$CK$368:$CK$391=F91)*ROW(Pile!$CK$368:$CK$391))-ROW(Pile!$CC$367),ROWS(A91)))),"Not Suitable"))))</f>
        <v>450</v>
      </c>
      <c r="C91" s="1211">
        <f>IF(F91="Not Suitable","Not Suitable",F91/(E91*PI()*(B91/2000)^2))</f>
        <v>17.036776513153224</v>
      </c>
      <c r="D91" s="1210" cm="1">
        <f t="array" ref="D91">_xlfn.SINGLE(_xlfn.IFS(AND(Inputs!$E$32="All Types",$A$42="Concrete Volume"),(IFERROR(_xlfn.SINGLE(INDEX(Pile!$CB$368:$CB$391,_xlfn.AGGREGATE(15,3,((Pile!$CK$368:$CK$391=F91)/(Pile!$CK$368:$CK$391=F91)*ROW(Pile!$CK$368:$CK$391))-ROW(Pile!$CC$367),ROWS(A91)))),"Not Suitable")),AND(Inputs!$E$32="All Types",$A$42="Number of Piles"),(IF(SUMPRODUCT(--ISNUMBER(Pile!$CK$368:$CK$373)),Pile!$CB$368,IF(SUMPRODUCT(--ISNUMBER(Pile!$CK$374:$CK$379)),Pile!$CB$374,IF(SUMPRODUCT(--ISNUMBER(Pile!$CK$380:$CK$385)),Pile!$CB$380,IF(SUMPRODUCT(--ISNUMBER(Pile!$CK$386:$CK$391)),Pile!$CB$386,"Not Suitable")))))))</f>
        <v>1</v>
      </c>
      <c r="E91" s="1210" cm="1">
        <f t="array" ref="E91">_xlfn.SINGLE(_xlfn.IFS(AND(Inputs!$E$32="All Types",$A$42="Concrete Volume"),(IFERROR(_xlfn.SINGLE(INDEX(Pile!$CD$368:$CD$391,_xlfn.AGGREGATE(15,3,((Pile!$CK$368:$CK$391=F91)/(Pile!$CK$368:$CK$391=F91)*ROW(Pile!$CK$368:$CK$391))-ROW(Pile!$CC$367),ROWS(A91)))),"Not Suitable")),AND(Inputs!$E$32="All Types",$A$42="Number of Piles"),(IF(SUMPRODUCT(--ISNUMBER(Pile!$CK$368:$CK$373)),Pile!$CD$368,IF(SUMPRODUCT(--ISNUMBER(Pile!$CK$374:$CK$379)),Pile!$CD$374,IF(SUMPRODUCT(--ISNUMBER(Pile!$CK$380:$CK$385)),Pile!$CD$380,IF(SUMPRODUCT(--ISNUMBER(Pile!$CK$386:$CK$391)),Pile!$CD$386,"Not Suitable")))))))</f>
        <v>32</v>
      </c>
      <c r="F91" s="1211">
        <f>_xlfn.IFS(AND(Inputs!$E$32="All Types",$A$42="Concrete Volume"),(IF(MIN(Pile!$CK$368:$CK$391)&gt;0,MIN(Pile!$CK$368:$CK$391), "Not Suitable")),AND(Inputs!$E$32="All Types",$A$42="Number of Piles"),(IF(Pile!#REF!=Pile!$CD$368,MIN(Pile!$CK$368:$CK$373),IF(Pile!#REF!=Pile!$CD$374,MIN(Pile!$CK$374:$CK$379),IF(Pile!#REF!=Pile!$CD$380,MIN(Pile!$CK$380:$CK$385),IF(Pile!#REF!=Pile!$CD$386,MIN(Pile!$CK$386:$CK$391),"Not Suitable"))))))</f>
        <v>86.706631334008762</v>
      </c>
      <c r="G91" s="1198"/>
      <c r="H91" s="572" t="s">
        <v>1933</v>
      </c>
      <c r="I91" s="1210" cm="1">
        <f t="array" ref="I91">_xlfn.SINGLE(_xlfn.IFS(AND(Inputs!$E$32="All Types",$A$42="Concrete Volume"),(IFERROR(_xlfn.SINGLE(INDEX(Pile!$CP$368:$CP$391,_xlfn.AGGREGATE(15,3,((Pile!$CX$368:$CX$391=M91)/(Pile!$CX$368:$CX$391=M91)*ROW(Pile!$CX$368:$CX$391))-ROW(Pile!$CP$367),ROWS(H91)))),"Not Suitable")),AND(Inputs!$E$32="All Types",$A$42="Number of Piles"),(IFERROR(_xlfn.SINGLE(INDEX(Pile!$CP$368:$CP$391,_xlfn.AGGREGATE(15,3,((Pile!$CX$368:$CX$391=M91)/(Pile!$CX$368:$CX$391=M91)*ROW(Pile!$CX$368:$CX$391))-ROW(Pile!$CP$367),ROWS(H91)))),"Not Suitable"))))</f>
        <v>450</v>
      </c>
      <c r="J91" s="1211">
        <f>IF(M91="Not Suitable","Not Suitable",M91/(L91*PI()*(I91/2000)^2))</f>
        <v>17.036776513153224</v>
      </c>
      <c r="K91" s="1210" cm="1">
        <f t="array" ref="K91">_xlfn.SINGLE(_xlfn.IFS(AND(Inputs!$E$32="All Types",$A$42="Concrete Volume"),(IFERROR(_xlfn.SINGLE(INDEX(Pile!$CO$368:$CO$391,_xlfn.AGGREGATE(15,3,((Pile!$CX$368:$CX$391=M91)/(Pile!$CX$368:$CX$391=M91)*ROW(Pile!$CX$368:$CX$391))-ROW(Pile!$CP$367),ROWS(H91)))),"Not Suitable")),AND(Inputs!$E$32="All Types",$A$42="Number of Piles"),(IF(SUMPRODUCT(--ISNUMBER(Pile!$CX$368:$CX$373)),Pile!$CO$368,IF(SUMPRODUCT(--ISNUMBER(Pile!$CX$374:$CX$379)),Pile!$CO$374,IF(SUMPRODUCT(--ISNUMBER(Pile!$CX$380:$CX$385)),Pile!$CO$380,IF(SUMPRODUCT(--ISNUMBER(Pile!$CX$386:$CX$391)),Pile!$CO$386,"Not Suitable")))))))</f>
        <v>1</v>
      </c>
      <c r="L91" s="1210" cm="1">
        <f t="array" ref="L91">_xlfn.SINGLE(_xlfn.IFS(AND(Inputs!$E$32="All Types",$A$42="Concrete Volume"),(IFERROR(_xlfn.SINGLE(INDEX(Pile!$CQ$368:$CQ$391,_xlfn.AGGREGATE(15,3,((Pile!$CX$368:$CX$391=M91)/(Pile!$CX$368:$CX$391=M91)*ROW(Pile!$CX$368:$CX$391))-ROW(Pile!$CP$367),ROWS(H91)))),"Not Suitable")),AND(Inputs!$E$32="All Types",$A$42="Number of Piles"),(IF(SUMPRODUCT(--ISNUMBER(Pile!$CX$368:$CX$373)),Pile!$CQ$368,IF(SUMPRODUCT(--ISNUMBER(Pile!$CX$374:$CX$379)),Pile!$CQ$374,IF(SUMPRODUCT(--ISNUMBER(Pile!$CX$380:$CX$385)),Pile!$CQ$380,IF(SUMPRODUCT(--ISNUMBER(Pile!$CX$386:$CX$391)),Pile!$CQ$386,"Not Suitable")))))))</f>
        <v>32</v>
      </c>
      <c r="M91" s="1211">
        <f>_xlfn.IFS(AND(Inputs!$E$32="All Types",$A$42="Concrete Volume"),(IF(MIN(Pile!$CX$368:$CX$391)&gt;0,MIN(Pile!$CX$368:$CX$391), "Not Suitable")),AND(Inputs!$E$32="All Types",$A$42="Number of Piles"),(IF(Pile!#REF!=Pile!$CQ$368,MIN(Pile!$CX$368:$CX$373),IF(Pile!#REF!=Pile!$CQ$374,MIN(Pile!$CX$374:$CX$379),IF(Pile!#REF!=Pile!$CQ$380,MIN(Pile!$CX$380:$CX$385),IF(Pile!#REF!=Pile!$CQ$386,MIN(Pile!$CX$386:$CX$391),"Not Suitable"))))))</f>
        <v>86.706631334008762</v>
      </c>
      <c r="N91" s="1198"/>
      <c r="O91" s="572" t="s">
        <v>1933</v>
      </c>
      <c r="P91" s="1210" cm="1">
        <f t="array" ref="P91">_xlfn.SINGLE(_xlfn.IFS(AND(Inputs!$E$32="All Types",$A$42="Concrete Volume"),(IFERROR(_xlfn.SINGLE(INDEX(Pile!$DC$368:$DC$391,_xlfn.AGGREGATE(15,3,((Pile!$DK$368:$DK$391=T91)/(Pile!$DK$368:$DK$391=T91)*ROW(Pile!$DK$368:$DK$391))-ROW(Pile!$DC$367),ROWS(O91)))),"Not Suitable")),AND(Inputs!$E$32="All Types",$A$42="Number of Piles"),(IFERROR(_xlfn.SINGLE(INDEX(Pile!$DC$368:$DC$391,_xlfn.AGGREGATE(15,3,((Pile!$DK$368:$DK$391=T91)/(Pile!$DK$368:$DK$391=T91)*ROW(Pile!$DK$368:$DK$391))-ROW(Pile!$DC$367),ROWS(O91)))),"Not Suitable"))))</f>
        <v>450</v>
      </c>
      <c r="Q91" s="1211">
        <f>IF(T91="Not Suitable","Not Suitable",T91/(S91*PI()*(P91/2000)^2))</f>
        <v>17.036776513153224</v>
      </c>
      <c r="R91" s="1210" cm="1">
        <f t="array" ref="R91">_xlfn.SINGLE(_xlfn.IFS(AND(Inputs!$E$32="All Types",$A$42="Concrete Volume"),(IFERROR(_xlfn.SINGLE(INDEX(Pile!$DB$368:$DB$391,_xlfn.AGGREGATE(15,3,((Pile!$DK$368:$DK$391=T91)/(Pile!$DK$368:$DK$391=T91)*ROW(Pile!$DK$368:$DK$391))-ROW(Pile!$DC$367),ROWS(O91)))),"Not Suitable")),AND(Inputs!$E$32="All Types",$A$42="Number of Piles"),(IF(SUMPRODUCT(--ISNUMBER(Pile!$DK$368:$DK$373)),Pile!$DB$368,IF(SUMPRODUCT(--ISNUMBER(Pile!$DK$374:$DK$379)),Pile!$DB$374,IF(SUMPRODUCT(--ISNUMBER(Pile!$DK$380:$DK$385)),Pile!$DB$380,IF(SUMPRODUCT(--ISNUMBER(Pile!$DK$386:$DK$391)),Pile!$DB$386,"Not Suitable")))))))</f>
        <v>1</v>
      </c>
      <c r="S91" s="1210" cm="1">
        <f t="array" ref="S91">_xlfn.SINGLE(_xlfn.IFS(AND(Inputs!$E$32="All Types",$A$42="Concrete Volume"),(IFERROR(_xlfn.SINGLE(INDEX(Pile!$DD$368:$DD$391,_xlfn.AGGREGATE(15,3,((Pile!$DK$368:$DK$391=T91)/(Pile!$DK$368:$DK$391=T91)*ROW(Pile!$DK$368:$DK$391))-ROW(Pile!$DC$367),ROWS(O91)))),"Not Suitable")),AND(Inputs!$E$32="All Types",$A$42="Number of Piles"),(IF(SUMPRODUCT(--ISNUMBER(Pile!$DK$368:$DK$373)),Pile!$DD$368,IF(SUMPRODUCT(--ISNUMBER(Pile!$DK$374:$DK$379)),Pile!$DD$374,IF(SUMPRODUCT(--ISNUMBER(Pile!$DK$380:$DK$385)),Pile!$DD$380,IF(SUMPRODUCT(--ISNUMBER(Pile!$DK$386:$DK$391)),Pile!$DD$386,"Not Suitable")))))))</f>
        <v>32</v>
      </c>
      <c r="T91" s="1211">
        <f>_xlfn.IFS(AND(Inputs!$E$32="All Types",$A$42="Concrete Volume"),(IF(MIN(Pile!$DK$368:$DK$391)&gt;0,MIN(Pile!$DK$368:$DK$391), "Not Suitable")),AND(Inputs!$E$32="All Types",$A$42="Number of Piles"),(IF(Pile!#REF!=Pile!$DD$368,MIN(Pile!$DK$368:$DK$373),IF(Pile!#REF!=Pile!$DD$374,MIN(Pile!$DK$374:$DK$379),IF(Pile!#REF!=Pile!$DD$380,MIN(Pile!$DK$380:$DK$385),IF(Pile!#REF!=Pile!$DD$386,MIN(Pile!$DK$386:$DK$391),"Not Suitable"))))))</f>
        <v>86.706631334008762</v>
      </c>
    </row>
    <row r="92" spans="1:22" s="314" customFormat="1">
      <c r="A92" s="572" t="s">
        <v>1934</v>
      </c>
      <c r="B92" s="1216" cm="1">
        <f t="array" ref="B92">_xlfn.SINGLE(_xlfn.IFS(AND(Inputs!$E$32="All Types",$A$42="Concrete Volume"),(IFERROR(_xlfn.SINGLE(INDEX(Pile!$CC$399:$CC$422,_xlfn.AGGREGATE(15,3,((Pile!$CK$399:$CK$422=F92)/(Pile!$CK$399:$CK$422=F92)*ROW(Pile!$CK$399:$CK$422))-ROW(Pile!$CC$398),ROWS(A92)))),"Not Suitable")),AND(Inputs!$E$32="All Types",$A$42="Number of Piles"),(IFERROR(_xlfn.SINGLE(INDEX(Pile!$CC$399:$CC$422,_xlfn.AGGREGATE(15,3,((Pile!$CK$399:$CK$422=F92)/(Pile!$CK$399:$CK$422=F92)*ROW(Pile!$CK$399:$CK$422))-ROW(Pile!$CC$398),ROWS(A92)))),"Not Suitable"))))</f>
        <v>450</v>
      </c>
      <c r="C92" s="1217">
        <f>IF(F92="Not Suitable","Not Suitable",F92/(E92*PI()*(B92/2000)^2))</f>
        <v>17.036776513153224</v>
      </c>
      <c r="D92" s="1216" cm="1">
        <f t="array" ref="D92">_xlfn.SINGLE(_xlfn.IFS(AND(Inputs!$E$32="All Types",$A$42="Concrete Volume"),(IFERROR(_xlfn.SINGLE(INDEX(Pile!$CB$399:$CB$422,_xlfn.AGGREGATE(15,3,((Pile!$CK$399:$CK$422=F92)/(Pile!$CK$399:$CK$422=F92)*ROW(Pile!$CK$399:$CK$422))-ROW(Pile!$CC$398),ROWS(A92)))),"Not Suitable")),AND(Inputs!$E$32="All Types",$A$42="Number of Piles"),(IF(SUMPRODUCT(--ISNUMBER(Pile!$CK$399:$CK$404)),Pile!$CB$399,IF(SUMPRODUCT(--ISNUMBER(Pile!$CK$405:$CK$410)),Pile!$CB$405,IF(SUMPRODUCT(--ISNUMBER(Pile!$CK$411:$CK$416)),Pile!$CB$411,IF(SUMPRODUCT(--ISNUMBER(Pile!$CK$417:$CK$422)),Pile!$CB$417,"Not Suitable")))))))</f>
        <v>1</v>
      </c>
      <c r="E92" s="1216" cm="1">
        <f t="array" ref="E92">_xlfn.SINGLE(_xlfn.IFS(AND(Inputs!$E$32="All Types",$A$42="Concrete Volume"),(IFERROR(_xlfn.SINGLE(INDEX(Pile!$CD$399:$CD$422,_xlfn.AGGREGATE(15,3,((Pile!$CK$399:$CK$422=F92)/(Pile!$CK$399:$CK$422=F92)*ROW(Pile!$CK$399:$CK$422))-ROW(Pile!$CC$398),ROWS(A92)))),"Not Suitable")),AND(Inputs!$E$32="All Types",$A$42="Number of Piles"),(IF(SUMPRODUCT(--ISNUMBER(Pile!$CK$399:$CK$404)),Pile!$CD$399,IF(SUMPRODUCT(--ISNUMBER(Pile!$CK$405:$CK$410)),Pile!$CD$405,IF(SUMPRODUCT(--ISNUMBER(Pile!$CK$411:$CK$416)),Pile!$CD$411,IF(SUMPRODUCT(--ISNUMBER(Pile!$CK$417:$CK$422)),Pile!$CD$417,"Not Suitable")))))))</f>
        <v>4</v>
      </c>
      <c r="F92" s="1217">
        <f>_xlfn.IFS(AND(Inputs!$E$32="All Types",$A$42="Concrete Volume"),(IF(MIN(Pile!$CK$399:$CK$422)&gt;0,MIN(Pile!$CK$399:$CK$422), "Not Suitable")),AND(Inputs!$E$32="All Types",$A$42="Number of Piles"),(IF(Pile!#REF!=Pile!$CD$399,MIN(Pile!$CK$399:$CK$404),IF(Pile!#REF!=Pile!$CD$405,MIN(Pile!$CK$405:$CK$410),IF(Pile!#REF!=Pile!$CD$411,MIN(Pile!$CK$411:$CK$416),IF(Pile!#REF!=Pile!$CD$417,MIN(Pile!$CK$417:$CK$422),"Not Suitable"))))))</f>
        <v>10.838328916751095</v>
      </c>
      <c r="G92" s="1198"/>
      <c r="H92" s="572" t="s">
        <v>1934</v>
      </c>
      <c r="I92" s="1216" cm="1">
        <f t="array" ref="I92">_xlfn.SINGLE(_xlfn.IFS(AND(Inputs!$E$32="All Types",$A$42="Concrete Volume"),(IFERROR(_xlfn.SINGLE(INDEX(Pile!$CP$399:$CP$422,_xlfn.AGGREGATE(15,3,((Pile!$CX$399:$CX$422=M92)/(Pile!$CX$399:$CX$422=M92)*ROW(Pile!$CX$399:$CX$422))-ROW(Pile!$CP$398),ROWS(H92)))),"Not Suitable")),AND(Inputs!$E$32="All Types",$A$42="Number of Piles"),(IFERROR(_xlfn.SINGLE(INDEX(Pile!$CP$399:$CP$422,_xlfn.AGGREGATE(15,3,((Pile!$CX$399:$CX$422=M92)/(Pile!$CX$399:$CX$422=M92)*ROW(Pile!$CX$399:$CX$422))-ROW(Pile!$CP$398),ROWS(H92)))),"Not Suitable"))))</f>
        <v>600</v>
      </c>
      <c r="J92" s="1217">
        <f>IF(M92="Not Suitable","Not Suitable",M92/(L92*PI()*(I92/2000)^2))</f>
        <v>9.4107045659157613</v>
      </c>
      <c r="K92" s="1216" cm="1">
        <f t="array" ref="K92">_xlfn.SINGLE(_xlfn.IFS(AND(Inputs!$E$32="All Types",$A$42="Concrete Volume"),(IFERROR(_xlfn.SINGLE(INDEX(Pile!$CO$399:$CO$422,_xlfn.AGGREGATE(15,3,((Pile!$CX$399:$CX$422=M92)/(Pile!$CX$399:$CX$422=M92)*ROW(Pile!$CX$399:$CX$422))-ROW(Pile!$CP$398),ROWS(H92)))),"Not Suitable")),AND(Inputs!$E$32="All Types",$A$42="Number of Piles"),(IF(SUMPRODUCT(--ISNUMBER(Pile!$CX$399:$CX$404)),Pile!$CO$399,IF(SUMPRODUCT(--ISNUMBER(Pile!$CX$405:$CX$410)),Pile!$CO$405,IF(SUMPRODUCT(--ISNUMBER(Pile!$CX$411:$CX$416)),Pile!$CO$411,IF(SUMPRODUCT(--ISNUMBER(Pile!$CX$417:$CX$422)),Pile!$CO$417,"Not Suitable")))))))</f>
        <v>1</v>
      </c>
      <c r="L92" s="1216" cm="1">
        <f t="array" ref="L92">_xlfn.SINGLE(_xlfn.IFS(AND(Inputs!$E$32="All Types",$A$42="Concrete Volume"),(IFERROR(_xlfn.SINGLE(INDEX(Pile!$CQ$399:$CQ$422,_xlfn.AGGREGATE(15,3,((Pile!$CX$399:$CX$422=M92)/(Pile!$CX$399:$CX$422=M92)*ROW(Pile!$CX$399:$CX$422))-ROW(Pile!$CP$398),ROWS(H92)))),"Not Suitable")),AND(Inputs!$E$32="All Types",$A$42="Number of Piles"),(IF(SUMPRODUCT(--ISNUMBER(Pile!$CX$399:$CX$404)),Pile!$CQ$399,IF(SUMPRODUCT(--ISNUMBER(Pile!$CX$405:$CX$410)),Pile!$CQ$405,IF(SUMPRODUCT(--ISNUMBER(Pile!$CX$411:$CX$416)),Pile!$CQ$411,IF(SUMPRODUCT(--ISNUMBER(Pile!$CX$417:$CX$422)),Pile!$CQ$417,"Not Suitable")))))))</f>
        <v>4</v>
      </c>
      <c r="M92" s="1217">
        <f>_xlfn.IFS(AND(Inputs!$E$32="All Types",$A$42="Concrete Volume"),(IF(MIN(Pile!$CX$399:$CX$422)&gt;0,MIN(Pile!$CX$399:$CX$422), "Not Suitable")),AND(Inputs!$E$32="All Types",$A$42="Number of Piles"),(IF(Pile!#REF!=Pile!$CQ$399,MIN(Pile!$CX$399:$CX$404),IF(Pile!#REF!=Pile!$CQ$405,MIN(Pile!$CX$405:$CX$410),IF(Pile!#REF!=Pile!$CQ$411,MIN(Pile!$CX$411:$CX$416),IF(Pile!#REF!=Pile!$CQ$417,MIN(Pile!$CX$417:$CX$422),"Not Suitable"))))))</f>
        <v>10.643256118578556</v>
      </c>
      <c r="N92" s="1198"/>
      <c r="O92" s="572" t="s">
        <v>1934</v>
      </c>
      <c r="P92" s="1216" cm="1">
        <f t="array" ref="P92">_xlfn.SINGLE(_xlfn.IFS(AND(Inputs!$E$32="All Types",$A$42="Concrete Volume"),(IFERROR(_xlfn.SINGLE(INDEX(Pile!$DC$399:$DC$422,_xlfn.AGGREGATE(15,3,((Pile!$DK$399:$DK$422=T92)/(Pile!$DK$399:$DK$422=T92)*ROW(Pile!$DK$399:$DK$422))-ROW(Pile!$DC$398),ROWS(O92)))),"Not Suitable")),AND(Inputs!$E$32="All Types",$A$42="Number of Piles"),(IFERROR(_xlfn.SINGLE(INDEX(Pile!$DC$399:$DC$422,_xlfn.AGGREGATE(15,3,((Pile!$DK$399:$DK$422=T92)/(Pile!$DK$399:$DK$422=T92)*ROW(Pile!$DK$399:$DK$422))-ROW(Pile!$DC$398),ROWS(O92)))),"Not Suitable"))))</f>
        <v>600</v>
      </c>
      <c r="Q92" s="1217">
        <f>IF(T92="Not Suitable","Not Suitable",T92/(S92*PI()*(P92/2000)^2))</f>
        <v>9.4107045659157613</v>
      </c>
      <c r="R92" s="1216" cm="1">
        <f t="array" ref="R92">_xlfn.SINGLE(_xlfn.IFS(AND(Inputs!$E$32="All Types",$A$42="Concrete Volume"),(IFERROR(_xlfn.SINGLE(INDEX(Pile!$DB$399:$DB$422,_xlfn.AGGREGATE(15,3,((Pile!$DK$399:$DK$422=T92)/(Pile!$DK$399:$DK$422=T92)*ROW(Pile!$DK$399:$DK$422))-ROW(Pile!$DC$398),ROWS(O92)))),"Not Suitable")),AND(Inputs!$E$32="All Types",$A$42="Number of Piles"),(IF(SUMPRODUCT(--ISNUMBER(Pile!$DK$399:$DK$404)),Pile!$DB$399,IF(SUMPRODUCT(--ISNUMBER(Pile!$DK$405:$DK$410)),Pile!$DB$405,IF(SUMPRODUCT(--ISNUMBER(Pile!$DK$411:$DK$416)),Pile!$DB$411,IF(SUMPRODUCT(--ISNUMBER(Pile!$DK$417:$DK$422)),Pile!$DB$417,"Not Suitable")))))))</f>
        <v>1</v>
      </c>
      <c r="S92" s="1216" cm="1">
        <f t="array" ref="S92">_xlfn.SINGLE(_xlfn.IFS(AND(Inputs!$E$32="All Types",$A$42="Concrete Volume"),(IFERROR(_xlfn.SINGLE(INDEX(Pile!$DD$399:$DD$422,_xlfn.AGGREGATE(15,3,((Pile!$DK$399:$DK$422=T92)/(Pile!$DK$399:$DK$422=T92)*ROW(Pile!$DK$399:$DK$422))-ROW(Pile!$DC$398),ROWS(O92)))),"Not Suitable")),AND(Inputs!$E$32="All Types",$A$42="Number of Piles"),(IF(SUMPRODUCT(--ISNUMBER(Pile!$DK$399:$DK$404)),Pile!$DD$399,IF(SUMPRODUCT(--ISNUMBER(Pile!$DK$405:$DK$410)),Pile!$DD$405,IF(SUMPRODUCT(--ISNUMBER(Pile!$DK$411:$DK$416)),Pile!$DD$411,IF(SUMPRODUCT(--ISNUMBER(Pile!$DK$417:$DK$422)),Pile!$DD$417,"Not Suitable")))))))</f>
        <v>4</v>
      </c>
      <c r="T92" s="1217">
        <f>_xlfn.IFS(AND(Inputs!$E$32="All Types",$A$42="Concrete Volume"),(IF(MIN(Pile!$DK$399:$DK$422)&gt;0,MIN(Pile!$DK$399:$DK$422), "Not Suitable")),AND(Inputs!$E$32="All Types",$A$42="Number of Piles"),(IF(Pile!#REF!=Pile!$DD$399,MIN(Pile!$DK$399:$DK$404),IF(Pile!#REF!=Pile!$DD$405,MIN(Pile!$DK$405:$DK$410),IF(Pile!#REF!=Pile!$DD$411,MIN(Pile!$DK$411:$DK$416),IF(Pile!#REF!=Pile!$DD$417,MIN(Pile!$DK$417:$DK$422),"Not Suitable"))))))</f>
        <v>10.643256118578556</v>
      </c>
    </row>
    <row r="93" spans="1:22" s="314" customFormat="1">
      <c r="G93" s="1198"/>
      <c r="N93" s="1198"/>
    </row>
    <row r="94" spans="1:22" s="314" customFormat="1">
      <c r="A94" s="1198"/>
      <c r="B94" s="1198"/>
      <c r="C94" s="1198"/>
      <c r="D94" s="1198"/>
      <c r="E94" s="1198"/>
      <c r="F94" s="1198"/>
      <c r="G94" s="1198"/>
      <c r="H94" s="1198"/>
      <c r="I94" s="1198"/>
      <c r="J94" s="1198"/>
      <c r="K94" s="1198"/>
      <c r="L94" s="1198"/>
      <c r="M94" s="1198"/>
      <c r="N94" s="1198"/>
      <c r="O94" s="1198"/>
      <c r="P94" s="1198"/>
      <c r="Q94" s="1198"/>
      <c r="R94" s="1198"/>
      <c r="S94" s="1198"/>
      <c r="T94" s="1198"/>
    </row>
    <row r="95" spans="1:22" s="314" customFormat="1" ht="19.5" thickBot="1">
      <c r="A95" s="1202" t="s">
        <v>861</v>
      </c>
      <c r="G95" s="1198"/>
      <c r="H95" s="1202" t="s">
        <v>862</v>
      </c>
      <c r="N95" s="1198"/>
      <c r="O95" s="1202" t="s">
        <v>740</v>
      </c>
    </row>
    <row r="96" spans="1:22" s="314" customFormat="1" ht="15.75" thickBot="1">
      <c r="A96" s="1203" t="str">
        <f>IF(OR(Inputs!E32="Continuous Flight Auger",Inputs!E32="All Types"),"Continuous Flight Auger", IF(Inputs!E32="Bored Cast in Place Concrete","Bored Cast In Place Concrete","Driven Precast Concrete"))</f>
        <v>Continuous Flight Auger</v>
      </c>
      <c r="B96" s="1204" t="s">
        <v>821</v>
      </c>
      <c r="C96" s="1205" t="s">
        <v>847</v>
      </c>
      <c r="D96" s="1206" t="s">
        <v>883</v>
      </c>
      <c r="E96" s="1206" t="s">
        <v>884</v>
      </c>
      <c r="F96" s="1207" t="s">
        <v>885</v>
      </c>
      <c r="G96" s="1198"/>
      <c r="H96" s="1203" t="str">
        <f>IF(OR(Inputs!E32="Continuous Flight Auger",Inputs!E32="All Types"),"Continuous Flight Auger", IF(Inputs!E32="Bored Cast in Place Concrete","Bored Cast In Place Concrete","Driven Precast Concrete"))</f>
        <v>Continuous Flight Auger</v>
      </c>
      <c r="I96" s="1204" t="s">
        <v>821</v>
      </c>
      <c r="J96" s="1205" t="s">
        <v>847</v>
      </c>
      <c r="K96" s="1206" t="s">
        <v>883</v>
      </c>
      <c r="L96" s="1206" t="s">
        <v>884</v>
      </c>
      <c r="M96" s="1207" t="s">
        <v>885</v>
      </c>
      <c r="N96" s="1198"/>
      <c r="O96" s="1203" t="str">
        <f>IF(OR(Inputs!E32="Continuous Flight Auger",Inputs!E32="All Types"),"Continuous Flight Auger", IF(Inputs!E32="Bored Cast in Place Concrete","Bored Cast In Place Concrete","Driven Precast Concrete"))</f>
        <v>Continuous Flight Auger</v>
      </c>
      <c r="P96" s="1204" t="s">
        <v>821</v>
      </c>
      <c r="Q96" s="1205" t="s">
        <v>847</v>
      </c>
      <c r="R96" s="1206" t="s">
        <v>883</v>
      </c>
      <c r="S96" s="1206" t="s">
        <v>884</v>
      </c>
      <c r="T96" s="1207" t="s">
        <v>885</v>
      </c>
      <c r="V96" s="1219"/>
    </row>
    <row r="97" spans="1:22" s="314" customFormat="1" ht="15.75" thickBot="1">
      <c r="A97" s="572" t="s">
        <v>1932</v>
      </c>
      <c r="B97" s="1208" cm="1">
        <f t="array" ref="B97">_xlfn.SINGLE(IF(SUMPRODUCT(--ISNUMBER(Pile!$DZ$336:$DZ$359))&lt;=0,"Not Suitable",_xlfn.IFS(AND(OR(Inputs!$E$32="Continuous Flight Auger",Inputs!$E$32="All Types"),$A$42="Concrete Volume"),(IFERROR(_xlfn.SINGLE(INDEX(Pile!$DP$336:$DP$359,_xlfn.AGGREGATE(15,3,((Pile!$DZ$336:$DZ$359=F97)/(Pile!$DZ$336:$DZ$359=F97)*ROW(Pile!$DZ$336:$DZ$359))-ROW(Pile!$DP$335),ROWS(A97)))),"Not Suitable")),AND(OR(Inputs!$E$32="Continuous Flight Auger",Inputs!$E$32="All Types"),$A$42="Number of Piles"),(IFERROR(_xlfn.SINGLE(INDEX(Pile!$DP$336:$DP$359,_xlfn.AGGREGATE(15,3,((Pile!$DZ$336:$DZ$359=F97)/(Pile!$DZ$336:$DZ$359=F97)*ROW(Pile!$DZ$336:$DZ$359))-ROW(Pile!$DP$335),ROWS(A97)))),"Not Suitable")),AND(Inputs!$E$32="Driven Precast Concrete",$A$42="Concrete Volume"),(IFERROR(_xlfn.SINGLE(INDEX(Pile!$DP$336:$DP$359,_xlfn.AGGREGATE(15,3,((Pile!$DY$336:$DY$359=F97)/(Pile!$DY$336:$DY$359=F97)*ROW(Pile!$DY$336:$DY$359))-ROW(Pile!$DP$335),ROWS(A97)))),"Not Suitable")),AND(Inputs!$E$32="Driven Precast Concrete",$A$42="Number of Piles"),(IFERROR(_xlfn.SINGLE(INDEX(Pile!$DP$336:$DP$359,_xlfn.AGGREGATE(15,3,((Pile!$DY$336:$DY$359=F97)/(Pile!$DY$336:$DY$359=F97)*ROW(Pile!$DY$336:$DY$359))-ROW(Pile!$DP$335),ROWS(A97)))),"Not Suitable")),AND(Inputs!$E$32="Bored Cast in Place Concrete",$A$42="Concrete Volume"),(IFERROR(_xlfn.SINGLE(INDEX(Pile!$DP$336:$DP$359,_xlfn.AGGREGATE(15,3,((Pile!$DX$336:$DX$359=F97)/(Pile!$DX$336:$DX$359=F97)*ROW(Pile!$DX$336:$DX$359))-ROW(Pile!$DP$335),ROWS(A97)))),"Not Suitable")),AND(Inputs!$E$32="Bored Cast in Place Concrete",$A$42="Number of Piles"),(IFERROR(_xlfn.SINGLE(INDEX(Pile!$DP$336:$DP$359,_xlfn.AGGREGATE(15,3,((Pile!$DX$336:$DX$359=F97)/(Pile!$DX$336:$DX$359=F97)*ROW(Pile!$DX$336:$DX$359))-ROW(Pile!$DP$335),ROWS(A97)))),"Not Suitable")))))</f>
        <v>450</v>
      </c>
      <c r="C97" s="1209">
        <f>IF(F97="Not Suitable","Not Suitable",F97/(E97*PI()*(B97/2000)^2))</f>
        <v>17.036776513153228</v>
      </c>
      <c r="D97" s="1208" t="str" cm="1">
        <f t="array" ref="D97">_xlfn.SINGLE(IF(SUMPRODUCT(--ISNUMBER(Pile!$DZ$336:$DZ$359))&lt;=0,"Not Suitable",_xlfn.IFS(AND(OR(Inputs!$E$32="Continuous Flight Auger",Inputs!$E$32="All Types"),$A$42="Concrete Volume"),(IFERROR(_xlfn.SINGLE(INDEX(Pile!$DO$336:$DO$359,_xlfn.AGGREGATE(15,3,((Pile!$DZ$336:$DZ$359=Pile!$G471)/(Pile!$DZ$336:$DZ$359=Pile!$G471)*ROW(Pile!$DZ$336:$DZ$359))-ROW(Pile!$DP$335),ROWS(Pile!$DO474)))),"Not Suitable")),AND(OR(Inputs!$E$32="Continuous Flight Auger",Inputs!$E$32="All Types"),$A$42="Number of Piles"),(IF(SUMPRODUCT(--ISNUMBER(Pile!$DZ$336:$DZ$341)),Pile!$DO$336,IF(SUMPRODUCT(--ISNUMBER(Pile!$DZ$342:$DZ$347)),Pile!$DO$342,IF(SUMPRODUCT(--ISNUMBER(Pile!$DZ$348:$DZ$353)),Pile!$DO$348,IF(SUMPRODUCT(--ISNUMBER(Pile!$DZ$354:$DZ$359)),Pile!$DO$354,"Not Suitable"))))),AND(Inputs!$E$32="Driven Precast Concrete",$A$42="Concrete Volume"),(IFERROR(_xlfn.SINGLE(INDEX(Pile!$DO$336:$DO$359,_xlfn.AGGREGATE(15,3,((Pile!$DY$336:$DY$359=Pile!$G475)/(Pile!$DY$336:$DY$359=Pile!$G475)*ROW(Pile!$DY$336:$DY$359))-ROW(Pile!$DP$335),ROWS(Pile!$DO478)))),"Not Suitable")),AND(Inputs!$E$32="Driven Precast Concrete",$A$42="Number of Piles"),(IF(SUMPRODUCT(--ISNUMBER(Pile!$DY$336:$DY$341)),Pile!$DO$336,IF(SUMPRODUCT(--ISNUMBER(Pile!$DY$342:$DY$347)),Pile!$DO$342,IF(SUMPRODUCT(--ISNUMBER(Pile!$DY$348:$DY$353)),Pile!$DO$348,IF(SUMPRODUCT(--ISNUMBER(Pile!$DY$354:$DY$359)),Pile!$DO$354,"Not Suitable"))))),AND(Inputs!$E$32="Bored Cast in Place Concrete",$A$42="Concrete Volume"),(IFERROR(_xlfn.SINGLE(INDEX(Pile!$DO$336:$DO$359,_xlfn.AGGREGATE(15,3,((Pile!$DX$336:$DX$359=F97)/(Pile!$DX$336:$DX$359=F97)*ROW(Pile!$DX$336:$DX$359))-ROW(Pile!$DP$335),ROWS(Pile!#REF!)))),"Not Suitable")),AND(Inputs!$E$32="Bored Cast in Place Concrete",$A$42="Number of Piles"),(IF(SUMPRODUCT(--ISNUMBER(Pile!$DX$336:$DX$341)),Pile!$DO$336,IF(SUMPRODUCT(--ISNUMBER(Pile!$DX$342:$DX$347)),Pile!$DO$342,IF(SUMPRODUCT(--ISNUMBER(Pile!$DX$348:$DX$353)),Pile!$DO$348,IF(SUMPRODUCT(--ISNUMBER(Pile!$DX$354:$DX$359)),Pile!$DO$354,"Not Suitable"))))))))</f>
        <v>Not Suitable</v>
      </c>
      <c r="E97" s="1208" cm="1">
        <f t="array" ref="E97">_xlfn.SINGLE(IF(SUMPRODUCT(--ISNUMBER(Pile!$DZ$336:$DZ$359))&lt;=0,"Not Suitable",_xlfn.IFS(AND(OR(Inputs!$E$32="Continuous Flight Auger",Inputs!$E$32="All Types"),$A$42="Concrete Volume"),(IFERROR(_xlfn.SINGLE(INDEX(Pile!$DQ$336:$DQ$359,_xlfn.AGGREGATE(15,3,((Pile!$DZ$336:$DZ$359=F97)/(Pile!$DZ$336:$DZ$359=F97)*ROW(Pile!$DZ$336:$DZ$359))-ROW(Pile!$DP$335),ROWS(A97)))),"Not Suitable")),AND(OR(Inputs!$E$32="Continuous Flight Auger",Inputs!$E$32="All Types"),$A$42="Number of Piles"),(IF(SUMPRODUCT(--ISNUMBER(Pile!$DZ$336:$DZ$341)),Pile!$DQ$336,IF(SUMPRODUCT(--ISNUMBER(Pile!$DZ$342:$DZ$347)),Pile!$DQ$342,IF(SUMPRODUCT(--ISNUMBER(Pile!$DZ$348:$DZ$353)),Pile!$DQ$348,IF(SUMPRODUCT(--ISNUMBER(Pile!$DZ$354:$DZ$359)),Pile!$DQ$354,"Not Suitable"))))),AND(Inputs!$E$32="Driven Precast Concrete",$A$42="Concrete Volume"),(IFERROR(_xlfn.SINGLE(INDEX(Pile!$DQ$336:$DQ$359,_xlfn.AGGREGATE(15,3,((Pile!$DY$336:$DY$359=F97)/(Pile!$DY$336:$DY$359=F97)*ROW(Pile!$DY$336:$DY$359))-ROW(Pile!$DP$335),ROWS(A97)))),"Not Suitable")),AND(Inputs!$E$32="Driven Precast Concrete",$A$42="Number of Piles"),(IF(SUMPRODUCT(--ISNUMBER(Pile!$DY$336:$DY$341)),Pile!$DQ$336,IF(SUMPRODUCT(--ISNUMBER(Pile!$DY$342:$DY$347)),Pile!$DQ$342,IF(SUMPRODUCT(--ISNUMBER(Pile!$DY$348:$DY$353)),Pile!$DQ$348,IF(SUMPRODUCT(--ISNUMBER(Pile!$DY$354:$DY$359)),Pile!$DQ$354,"Not Suitable"))))),AND(Inputs!$E$32="Bored Cast in Place Concrete",$A$42="Concrete Volume"),(IFERROR(_xlfn.SINGLE(INDEX(Pile!$DQ$336:$DQ$359,_xlfn.AGGREGATE(15,3,((Pile!$DX$336:$DX$359=F97)/(Pile!$DX$336:$DX$359=F97)*ROW(Pile!$DX$336:$DX$359))-ROW(Pile!$DP$335),ROWS(A97)))),"Not Suitable")),AND(Inputs!$E$32="Bored Cast in Place Concrete",$A$42="Number of Piles"),(IF(SUMPRODUCT(--ISNUMBER(Pile!$DX$336:$DX$341)),Pile!$DQ$336,IF(SUMPRODUCT(--ISNUMBER(Pile!$DX$342:$DX$347)),Pile!$DQ$342,IF(SUMPRODUCT(--ISNUMBER(Pile!$DX$348:$DX$353)),Pile!$DQ$348,IF(SUMPRODUCT(--ISNUMBER(Pile!$DX$354:$DX$359)),Pile!$DQ$354,"Not Suitable"))))))))</f>
        <v>63</v>
      </c>
      <c r="F97" s="1209" cm="1">
        <f t="array" ref="F97">_xlfn.SINGLE(IF(SUMPRODUCT(--ISNUMBER(Pile!$DZ$336:$DZ$359))&lt;=0,"Not Suitable",_xlfn.IFS(AND(OR(Inputs!$E$32="Continuous Flight Auger",Inputs!$E$32="All Types"),$A$42="Concrete Volume"),(IF(MIN(Pile!$DZ$336:$DZ$359)&gt;0,MIN(Pile!$DZ$336:$DZ$359),"Not Suitable")),AND(OR(Inputs!$E$32="Continuous Flight Auger",Inputs!$E$32="All Types"),$A$42="Number of Piles"),(IF(Pile!#REF!=Pile!$DQ$336,MIN(Pile!$DZ$336:$DZ$341),IF(Pile!#REF!=Pile!$DQ$342,MIN(Pile!$DZ$342:$DZ$347),IF(Pile!#REF!=Pile!$DQ$348,MIN(Pile!$DZ$348:$DZ$353),IF(Pile!#REF!=Pile!$DQ$354,MIN(Pile!$DZ$354:$DZ$359),"Not Suitable"))))),AND(Inputs!$E$32="Driven Precast Concrete",$A$42="Concrete Volume"),(IF(MIN(Pile!$DY$336:$DY$359)&gt;0,MIN(Pile!$DY$336:$DY$359),"Not Suitable")),AND(Inputs!$E$32="Driven Precast Concrete",$A$42="Number of Piles"),(IF(Pile!#REF!=Pile!$DQ$336,MIN(Pile!$DY$336:$DY$341),IF(Pile!#REF!=Pile!$DQ$342,MIN(Pile!$DY$342:$DY$347),IF(Pile!#REF!=Pile!$DQ$348,MIN(Pile!$DY$348:$DY$353),IF(Pile!#REF!=Pile!$DQ$354,MIN(Pile!$DY$354:$DY$359),"Not Suitable"))))),AND(Inputs!$E$32="Bored Cast in Place Concrete",$A$42="Concrete Volume"),(IF(MIN(Pile!$DX$336:$DX$359)&gt;0,MIN(Pile!$DX$336:$DX$359),"Not Suitable")),AND(Inputs!$E$32="Bored Cast in Place Concrete",$A$42="Number of Piles"),(IF(Pile!#REF!=Pile!$DQ$336,MIN(Pile!$DX$336:$DX$341),IF(Pile!#REF!=Pile!$DQ$342,MIN(Pile!$DX$342:$DX$347),IF(Pile!#REF!=Pile!$DQ$348,MIN(Pile!$DX$348:$DX$353),IF(Pile!#REF!=Pile!$DQ$354,MIN(Pile!$DX$354:$DX$359),"Not Suitable"))))))))</f>
        <v>170.70368043882976</v>
      </c>
      <c r="G97" s="1198"/>
      <c r="H97" s="572" t="s">
        <v>1932</v>
      </c>
      <c r="I97" s="1208" cm="1">
        <f t="array" ref="I97">_xlfn.SINGLE(IF(SUMPRODUCT(--ISNUMBER(Pile!$EM$336:$EM$359))&lt;=0,"Not Suitable",_xlfn.IFS(AND(OR(Inputs!$E$32="Continuous Flight Auger",Inputs!$E$32="All Types"),$A$42="Concrete Volume"),(IFERROR(_xlfn.SINGLE(INDEX(Pile!$EC$336:$EC$359,_xlfn.AGGREGATE(15,3,((Pile!$EM$336:$EM$359=M97)/(Pile!$EM$336:$EM$359=M97)*ROW(Pile!$EM$336:$EM$359))-ROW(Pile!$EC$335),ROWS(H97)))),"Not Suitable")),AND(OR(Inputs!$E$32="Continuous Flight Auger",Inputs!$E$32="All Types"),$A$42="Number of Piles"),(IFERROR(_xlfn.SINGLE(INDEX(Pile!$EC$336:$EC$359,_xlfn.AGGREGATE(15,3,((Pile!$EM$336:$EM$359=M97)/(Pile!$EM$336:$EM$359=M97)*ROW(Pile!$EM$336:$EM$359))-ROW(Pile!$EC$335),ROWS(H97)))),"Not Suitable")),AND(Inputs!$E$32="Driven Precast Concrete",$A$42="Concrete Volume"),(IFERROR(_xlfn.SINGLE(INDEX(Pile!$EC$336:$EC$359,_xlfn.AGGREGATE(15,3,((Pile!$EL$336:$EL$359=M97)/(Pile!$EL$336:$EL$359=M97)*ROW(Pile!$EL$336:$EL$359))-ROW(Pile!$EC$335),ROWS(H97)))),"Not Suitable")),AND(Inputs!$E$32="Driven Precast Concrete",$A$42="Number of Piles"),(IFERROR(_xlfn.SINGLE(INDEX(Pile!$EC$336:$EC$359,_xlfn.AGGREGATE(15,3,((Pile!$EL$336:$EL$359=M97)/(Pile!$EL$336:$EL$359=M97)*ROW(Pile!$EL$336:$EL$359))-ROW(Pile!$EC$335),ROWS(H97)))),"Not Suitable")),AND(Inputs!$E$32="Bored Cast in Place Concrete",$A$42="Concrete Volume"),(IFERROR(_xlfn.SINGLE(INDEX(Pile!$EC$336:$EC$359,_xlfn.AGGREGATE(15,3,((Pile!$EK$336:$EK$359=M97)/(Pile!$EK$336:$EK$359=M97)*ROW(Pile!$EK$336:$EK$359))-ROW(Pile!$EC$335),ROWS(H97)))),"Not Suitable")),AND(Inputs!$E$32="Bored Cast in Place Concrete",$A$42="Number of Piles"),(IFERROR(_xlfn.SINGLE(INDEX(Pile!$EC$336:$EC$359,_xlfn.AGGREGATE(15,3,((Pile!$EK$336:$EK$359=M97)/(Pile!$EK$336:$EK$359=M97)*ROW(Pile!$EK$336:$EK$359))-ROW(Pile!$EC$335),ROWS(H97)))),"Not Suitable")))))</f>
        <v>450</v>
      </c>
      <c r="J97" s="1209">
        <f>IF(M97="Not Suitable","Not Suitable",M97/(L97*PI()*(I97/2000)^2))</f>
        <v>17.036776513153228</v>
      </c>
      <c r="K97" s="1208" t="str" cm="1">
        <f t="array" ref="K97">_xlfn.SINGLE(IF(SUMPRODUCT(--ISNUMBER(Pile!$EM$336:$EM$359))&lt;=0,"Not Suitable",_xlfn.IFS(AND(OR(Inputs!$E$32="Continuous Flight Auger",Inputs!$E$32="All Types"),$A$42="Concrete Volume"),(IFERROR(_xlfn.SINGLE(INDEX(Pile!$EB$336:$EB$359,_xlfn.AGGREGATE(15,3,((Pile!$EM$336:$EM$359=Pile!$G471)/(Pile!$EM$336:$EM$359=Pile!$G471)*ROW(Pile!$EM$336:$EM$359))-ROW(Pile!$EC$335),ROWS(Pile!$EB474)))),"Not Suitable")),AND(OR(Inputs!$E$32="Continuous Flight Auger",Inputs!$E$32="All Types"),$A$42="Number of Piles"),(IF(SUMPRODUCT(--ISNUMBER(Pile!$EM$336:$EM$341)),Pile!$EB$336,IF(SUMPRODUCT(--ISNUMBER(Pile!$EM$342:$EM$347)),Pile!$EB$342,IF(SUMPRODUCT(--ISNUMBER(Pile!$EM$348:$EM$353)),Pile!$EB$348,IF(SUMPRODUCT(--ISNUMBER(Pile!$EM$354:$EM$359)),Pile!$EB$354,"Not Suitable"))))),AND(Inputs!$E$32="Driven Precast Concrete",$A$42="Concrete Volume"),(IFERROR(_xlfn.SINGLE(INDEX(Pile!$EB$336:$EB$359,_xlfn.AGGREGATE(15,3,((Pile!$EL$336:$EL$359=Pile!$G475)/(Pile!$EL$336:$EL$359=Pile!$G475)*ROW(Pile!$EL$336:$EL$359))-ROW(Pile!$EC$335),ROWS(Pile!$EB478)))),"Not Suitable")),AND(Inputs!$E$32="Driven Precast Concrete",$A$42="Number of Piles"),(IF(SUMPRODUCT(--ISNUMBER(Pile!$EL$336:$EL$341)),Pile!$EB$336,IF(SUMPRODUCT(--ISNUMBER(Pile!$EL$342:$EL$347)),Pile!$EB$342,IF(SUMPRODUCT(--ISNUMBER(Pile!$EL$348:$EL$353)),Pile!$EB$348,IF(SUMPRODUCT(--ISNUMBER(Pile!$EL$354:$EL$359)),Pile!$EB$354,"Not Suitable"))))),AND(Inputs!$E$32="Bored Cast in Place Concrete",$A$42="Concrete Volume"),(IFERROR(_xlfn.SINGLE(INDEX(Pile!$EB$336:$EB$359,_xlfn.AGGREGATE(15,3,((Pile!$EK$336:$EK$359=M97)/(Pile!$EK$336:$EK$359=M97)*ROW(Pile!$EK$336:$EK$359))-ROW(Pile!$EC$335),ROWS(Pile!#REF!)))),"Not Suitable")),AND(Inputs!$E$32="Bored Cast in Place Concrete",$A$42="Number of Piles"),(IF(SUMPRODUCT(--ISNUMBER(Pile!$EK$336:$EK$341)),Pile!$EB$336,IF(SUMPRODUCT(--ISNUMBER(Pile!$EK$342:$EK$347)),Pile!$EB$342,IF(SUMPRODUCT(--ISNUMBER(Pile!$EK$348:$EK$353)),Pile!$EB$348,IF(SUMPRODUCT(--ISNUMBER(Pile!$EK$354:$EK$359)),Pile!$EB$354,"Not Suitable"))))))))</f>
        <v>Not Suitable</v>
      </c>
      <c r="L97" s="1208" cm="1">
        <f t="array" ref="L97">_xlfn.SINGLE(IF(SUMPRODUCT(--ISNUMBER(Pile!$EM$336:$EM$359))&lt;=0,"Not Suitable",_xlfn.IFS(AND(OR(Inputs!$E$32="Continuous Flight Auger",Inputs!$E$32="All Types"),$A$42="Concrete Volume"),(IFERROR(_xlfn.SINGLE(INDEX(Pile!$ED$336:$ED$359,_xlfn.AGGREGATE(15,3,((Pile!$EM$336:$EM$359=M97)/(Pile!$EM$336:$EM$359=M97)*ROW(Pile!$EM$336:$EM$359))-ROW(Pile!$EC$335),ROWS(H97)))),"Not Suitable")),AND(OR(Inputs!$E$32="Continuous Flight Auger",Inputs!$E$32="All Types"),$A$42="Number of Piles"),(IF(SUMPRODUCT(--ISNUMBER(Pile!$EM$336:$EM$341)),Pile!$ED$336,IF(SUMPRODUCT(--ISNUMBER(Pile!$EM$342:$EM$347)),Pile!$ED$342,IF(SUMPRODUCT(--ISNUMBER(Pile!$EM$348:$EM$353)),Pile!$ED$348,IF(SUMPRODUCT(--ISNUMBER(Pile!$EM$354:$EM$359)),Pile!$ED$354,"Not Suitable"))))),AND(Inputs!$E$32="Driven Precast Concrete",$A$42="Concrete Volume"),(IFERROR(_xlfn.SINGLE(INDEX(Pile!$ED$336:$ED$359,_xlfn.AGGREGATE(15,3,((Pile!$EL$336:$EL$359=M97)/(Pile!$EL$336:$EL$359=M97)*ROW(Pile!$EL$336:$EL$359))-ROW(Pile!$EC$335),ROWS(H97)))),"Not Suitable")),AND(Inputs!$E$32="Driven Precast Concrete",$A$42="Number of Piles"),(IF(SUMPRODUCT(--ISNUMBER(Pile!$EL$336:$EL$341)),Pile!$ED$336,IF(SUMPRODUCT(--ISNUMBER(Pile!$EL$342:$EL$347)),Pile!$ED$342,IF(SUMPRODUCT(--ISNUMBER(Pile!$EL$348:$EL$353)),Pile!$ED$348,IF(SUMPRODUCT(--ISNUMBER(Pile!$EL$354:$EL$359)),Pile!$ED$354,"Not Suitable"))))),AND(Inputs!$E$32="Bored Cast in Place Concrete",$A$42="Concrete Volume"),(IFERROR(_xlfn.SINGLE(INDEX(Pile!$ED$336:$ED$359,_xlfn.AGGREGATE(15,3,((Pile!$EK$336:$EK$359=M97)/(Pile!$EK$336:$EK$359=M97)*ROW(Pile!$EK$336:$EK$359))-ROW(Pile!$EC$335),ROWS(H97)))),"Not Suitable")),AND(Inputs!$E$32="Bored Cast in Place Concrete",$A$42="Number of Piles"),(IF(SUMPRODUCT(--ISNUMBER(Pile!$EK$336:$EK$341)),Pile!$ED$336,IF(SUMPRODUCT(--ISNUMBER(Pile!$EK$342:$EK$347)),Pile!$ED$342,IF(SUMPRODUCT(--ISNUMBER(Pile!$EK$348:$EK$353)),Pile!$ED$348,IF(SUMPRODUCT(--ISNUMBER(Pile!$EK$354:$EK$359)),Pile!$ED$354,"Not Suitable"))))))))</f>
        <v>63</v>
      </c>
      <c r="M97" s="1209" cm="1">
        <f t="array" ref="M97">_xlfn.SINGLE(IF(SUMPRODUCT(--ISNUMBER(Pile!$EM$336:$EM$359))&lt;=0,"Not Suitable",_xlfn.IFS(AND(OR(Inputs!$E$32="Continuous Flight Auger",Inputs!$E$32="All Types"),$A$42="Concrete Volume"),(IF(MIN(Pile!$EM$336:$EM$359)&gt;0,MIN(Pile!$EM$336:$EM$359),"Not Suitable")),AND(OR(Inputs!$E$32="Continuous Flight Auger",Inputs!$E$32="All Types"),$A$42="Number of Piles"),(IF(Pile!#REF!=Pile!$ED$336,MIN(Pile!$EM$336:$EM$341),IF(Pile!#REF!=Pile!$ED$342,MIN(Pile!$EM$342:$EM$347),IF(Pile!#REF!=Pile!$ED$348,MIN(Pile!$EM$348:$EM$353),IF(Pile!#REF!=Pile!$ED$354,MIN(Pile!$EM$354:$EM$359),"Not Suitable"))))),AND(Inputs!$E$32="Driven Precast Concrete",$A$42="Concrete Volume"),(IF(MIN(Pile!$EL$336:$EL$359)&gt;0,MIN(Pile!$EL$336:$EL$359),"Not Suitable")),AND(Inputs!$E$32="Driven Precast Concrete",$A$42="Number of Piles"),(IF(Pile!#REF!=Pile!$ED$336,MIN(Pile!$EL$336:$EL$341),IF(Pile!#REF!=Pile!$ED$342,MIN(Pile!$EL$342:$EL$347),IF(Pile!#REF!=Pile!$ED$348,MIN(Pile!$EL$348:$EL$353),IF(Pile!#REF!=Pile!$ED$354,MIN(Pile!$EL$354:$EL$359),"Not Suitable"))))),AND(Inputs!$E$32="Bored Cast in Place Concrete",$A$42="Concrete Volume"),(IF(MIN(Pile!$EK$336:$EK$359)&gt;0,MIN(Pile!$EK$336:$EK$359),"Not Suitable")),AND(Inputs!$E$32="Bored Cast in Place Concrete",$A$42="Number of Piles"),(IF(Pile!#REF!=Pile!$ED$336,MIN(Pile!$EK$336:$EK$341),IF(Pile!#REF!=Pile!$ED$342,MIN(Pile!$EK$342:$EK$347),IF(Pile!#REF!=Pile!$ED$348,MIN(Pile!$EK$348:$EK$353),IF(Pile!#REF!=Pile!$ED$354,MIN(Pile!$EK$354:$EK$359),"Not Suitable"))))))))</f>
        <v>170.70368043882976</v>
      </c>
      <c r="N97" s="1198"/>
      <c r="O97" s="572" t="s">
        <v>1932</v>
      </c>
      <c r="P97" s="1208" cm="1">
        <f t="array" ref="P97">_xlfn.SINGLE(IF(SUMPRODUCT(--ISNUMBER(Pile!$EZ$336:$EZ$359))&lt;=0,"Not Suitable",_xlfn.IFS(AND(OR(Inputs!$E$32="Continuous Flight Auger",Inputs!$E$32="All Types"),$A$42="Concrete Volume"),(IFERROR(_xlfn.SINGLE(INDEX(Pile!$EP$336:$EP$359,_xlfn.AGGREGATE(15,3,((Pile!$EZ$336:$EZ$359=T97)/(Pile!$EZ$336:$EZ$359=T97)*ROW(Pile!$EZ$336:$EZ$359))-ROW(Pile!$EP$335),ROWS(O97)))),"Not Suitable")),AND(OR(Inputs!$E$32="Continuous Flight Auger",Inputs!$E$32="All Types"),$A$42="Number of Piles"),(IFERROR(_xlfn.SINGLE(INDEX(Pile!$EP$336:$EP$359,_xlfn.AGGREGATE(15,3,((Pile!$EZ$336:$EZ$359=T97)/(Pile!$EZ$336:$EZ$359=T97)*ROW(Pile!$EZ$336:$EZ$359))-ROW(Pile!$EP$335),ROWS(O97)))),"Not Suitable")),AND(Inputs!$E$32="Driven Precast Concrete",$A$42="Concrete Volume"),(IFERROR(_xlfn.SINGLE(INDEX(Pile!$EP$336:$EP$359,_xlfn.AGGREGATE(15,3,((Pile!$EY$336:$EY$359=T97)/(Pile!$EY$336:$EY$359=T97)*ROW(Pile!$EY$336:$EY$359))-ROW(Pile!$EP$335),ROWS(O97)))),"Not Suitable")),AND(Inputs!$E$32="Driven Precast Concrete",$A$42="Number of Piles"),(IFERROR(_xlfn.SINGLE(INDEX(Pile!$EP$336:$EP$359,_xlfn.AGGREGATE(15,3,((Pile!$EY$336:$EY$359=T97)/(Pile!$EY$336:$EY$359=T97)*ROW(Pile!$EY$336:$EY$359))-ROW(Pile!$EP$335),ROWS(O97)))),"Not Suitable")),AND(Inputs!$E$32="Bored Cast in Place Concrete",$A$42="Concrete Volume"),(IFERROR(_xlfn.SINGLE(INDEX(Pile!$EP$336:$EP$359,_xlfn.AGGREGATE(15,3,((Pile!$EX$336:$EX$359=T97)/(Pile!$EX$336:$EX$359=T97)*ROW(Pile!$EX$336:$EX$359))-ROW(Pile!$EP$335),ROWS(O97)))),"Not Suitable")),AND(Inputs!$E$32="Bored Cast in Place Concrete",$A$42="Number of Piles"),(IFERROR(_xlfn.SINGLE(INDEX(Pile!$EP$336:$EP$359,_xlfn.AGGREGATE(15,3,((Pile!$EX$336:$EX$359=T97)/(Pile!$EX$336:$EX$359=T97)*ROW(Pile!$EX$336:$EX$359))-ROW(Pile!$EP$335),ROWS(O97)))),"Not Suitable")))))</f>
        <v>450</v>
      </c>
      <c r="Q97" s="1209">
        <f>IF(T97="Not Suitable","Not Suitable",T97/(S97*PI()*(P97/2000)^2))</f>
        <v>999998.99999999988</v>
      </c>
      <c r="R97" s="1208" t="str" cm="1">
        <f t="array" ref="R97">_xlfn.SINGLE(IF(SUMPRODUCT(--ISNUMBER(Pile!$EZ$336:$EZ$359))&lt;=0,"Not Suitable",_xlfn.IFS(AND(OR(Inputs!$E$32="Continuous Flight Auger",Inputs!$E$32="All Types"),$A$42="Concrete Volume"),(IFERROR(_xlfn.SINGLE(INDEX(Pile!$EO$336:$EO$359,_xlfn.AGGREGATE(15,3,((Pile!$EZ$336:$EZ$359=Pile!$G471)/(Pile!$EZ$336:$EZ$359=Pile!$G471)*ROW(Pile!$EZ$336:$EZ$359))-ROW(Pile!$EP$335),ROWS(Pile!$EO474)))),"Not Suitable")),AND(OR(Inputs!$E$32="Continuous Flight Auger",Inputs!$E$32="All Types"),$A$42="Number of Piles"),(IF(SUMPRODUCT(--ISNUMBER(Pile!$EZ$336:$EZ$341)),Pile!$EO$336,IF(SUMPRODUCT(--ISNUMBER(Pile!$EZ$342:$EZ$347)),Pile!$EO$342,IF(SUMPRODUCT(--ISNUMBER(Pile!$EZ$348:$EZ$353)),Pile!$EO$348,IF(SUMPRODUCT(--ISNUMBER(Pile!$EZ$354:$EZ$359)),Pile!$EO$354,"Not Suitable"))))),AND(Inputs!$E$32="Driven Precast Concrete",$A$42="Concrete Volume"),(IFERROR(_xlfn.SINGLE(INDEX(Pile!$EO$336:$EO$359,_xlfn.AGGREGATE(15,3,((Pile!$EY$336:$EY$359=Pile!$G475)/(Pile!$EY$336:$EY$359=Pile!$G475)*ROW(Pile!$EY$336:$EY$359))-ROW(Pile!$EP$335),ROWS(Pile!$EO478)))),"Not Suitable")),AND(Inputs!$E$32="Driven Precast Concrete",$A$42="Number of Piles"),(IF(SUMPRODUCT(--ISNUMBER(Pile!$EY$336:$EY$341)),Pile!$EO$336,IF(SUMPRODUCT(--ISNUMBER(Pile!$EY$342:$EY$347)),Pile!$EO$342,IF(SUMPRODUCT(--ISNUMBER(Pile!$EY$348:$EY$353)),Pile!$EO$348,IF(SUMPRODUCT(--ISNUMBER(Pile!$EY$354:$EY$359)),Pile!$EO$354,"Not Suitable"))))),AND(Inputs!$E$32="Bored Cast in Place Concrete",$A$42="Concrete Volume"),(IFERROR(_xlfn.SINGLE(INDEX(Pile!$EO$336:$EO$359,_xlfn.AGGREGATE(15,3,((Pile!$EX$336:$EX$359=T97)/(Pile!$EX$336:$EX$359=T97)*ROW(Pile!$EX$336:$EX$359))-ROW(Pile!$EP$335),ROWS(Pile!#REF!)))),"Not Suitable")),AND(Inputs!$E$32="Bored Cast in Place Concrete",$A$42="Number of Piles"),(IF(SUMPRODUCT(--ISNUMBER(Pile!$EX$336:$EX$341)),Pile!$EO$336,IF(SUMPRODUCT(--ISNUMBER(Pile!$EX$342:$EX$347)),Pile!$EO$342,IF(SUMPRODUCT(--ISNUMBER(Pile!$EX$348:$EX$353)),Pile!$EO$348,IF(SUMPRODUCT(--ISNUMBER(Pile!$EX$354:$EX$359)),Pile!$EO$354,"Not Suitable"))))))))</f>
        <v>Not Suitable</v>
      </c>
      <c r="S97" s="1208" cm="1">
        <f t="array" ref="S97">_xlfn.SINGLE(IF(SUMPRODUCT(--ISNUMBER(Pile!$EZ$336:$EZ$359))&lt;=0,"Not Suitable",_xlfn.IFS(AND(OR(Inputs!$E$32="Continuous Flight Auger",Inputs!$E$32="All Types"),$A$42="Concrete Volume"),(IFERROR(_xlfn.SINGLE(INDEX(Pile!$EQ$336:$EQ$359,_xlfn.AGGREGATE(15,3,((Pile!$EZ$336:$EZ$359=T97)/(Pile!$EZ$336:$EZ$359=T97)*ROW(Pile!$EZ$336:$EZ$359))-ROW(Pile!$EP$335),ROWS(O97)))),"Not Suitable")),AND(OR(Inputs!$E$32="Continuous Flight Auger",Inputs!$E$32="All Types"),$A$42="Number of Piles"),(IF(SUMPRODUCT(--ISNUMBER(Pile!$EZ$336:$EZ$341)),Pile!$EQ$336,IF(SUMPRODUCT(--ISNUMBER(Pile!$EZ$342:$EZ$347)),Pile!$EQ$342,IF(SUMPRODUCT(--ISNUMBER(Pile!$EZ$348:$EZ$353)),Pile!$EQ$348,IF(SUMPRODUCT(--ISNUMBER(Pile!$EZ$354:$EZ$359)),Pile!$EQ$354,"Not Suitable"))))),AND(Inputs!$E$32="Driven Precast Concrete",$A$42="Concrete Volume"),(IFERROR(_xlfn.SINGLE(INDEX(Pile!$EQ$336:$EQ$359,_xlfn.AGGREGATE(15,3,((Pile!$EY$336:$EY$359=T97)/(Pile!$EY$336:$EY$359=T97)*ROW(Pile!$EY$336:$EY$359))-ROW(Pile!$EP$335),ROWS(O97)))),"Not Suitable")),AND(Inputs!$E$32="Driven Precast Concrete",$A$42="Number of Piles"),(IF(SUMPRODUCT(--ISNUMBER(Pile!$EY$336:$EY$341)),Pile!$EQ$336,IF(SUMPRODUCT(--ISNUMBER(Pile!$EY$342:$EY$347)),Pile!$EQ$342,IF(SUMPRODUCT(--ISNUMBER(Pile!$EY$348:$EY$353)),Pile!$EQ$348,IF(SUMPRODUCT(--ISNUMBER(Pile!$EY$354:$EY$359)),Pile!$EQ$354,"Not Suitable"))))),AND(Inputs!$E$32="Bored Cast in Place Concrete",$A$42="Concrete Volume"),(IFERROR(_xlfn.SINGLE(INDEX(Pile!$EQ$336:$EQ$359,_xlfn.AGGREGATE(15,3,((Pile!$EX$336:$EX$359=T97)/(Pile!$EX$336:$EX$359=T97)*ROW(Pile!$EX$336:$EX$359))-ROW(Pile!$EP$335),ROWS(O97)))),"Not Suitable")),AND(Inputs!$E$32="Bored Cast in Place Concrete",$A$42="Number of Piles"),(IF(SUMPRODUCT(--ISNUMBER(Pile!$EX$336:$EX$341)),Pile!$EQ$336,IF(SUMPRODUCT(--ISNUMBER(Pile!$EX$342:$EX$347)),Pile!$EQ$342,IF(SUMPRODUCT(--ISNUMBER(Pile!$EX$348:$EX$353)),Pile!$EQ$348,IF(SUMPRODUCT(--ISNUMBER(Pile!$EX$354:$EX$359)),Pile!$EQ$354,"Not Suitable"))))))))</f>
        <v>63</v>
      </c>
      <c r="T97" s="1209" cm="1">
        <f t="array" ref="T97">_xlfn.SINGLE(IF(SUMPRODUCT(--ISNUMBER(Pile!$EZ$336:$EZ$359))&lt;=0,"Not Suitable",_xlfn.IFS(AND(OR(Inputs!$E$32="Continuous Flight Auger",Inputs!$E$32="All Types"),$A$42="Concrete Volume"),(IF(MIN(Pile!$EZ$336:$EZ$359)&gt;0,MIN(Pile!$EZ$336:$EZ$359),"Not Suitable")),AND(OR(Inputs!$E$32="Continuous Flight Auger",Inputs!$E$32="All Types"),$A$42="Number of Piles"),(IF(Pile!#REF!=Pile!$EQ$336,MIN(Pile!$EZ$336:$EZ$341),IF(Pile!#REF!=Pile!$EQ$342,MIN(Pile!$EZ$342:$EZ$347),IF(Pile!#REF!=Pile!$EQ$348,MIN(Pile!$EZ$348:$EZ$353),IF(Pile!#REF!=Pile!$EQ$354,MIN(Pile!$EZ$354:$EZ$359),"Not Suitable"))))),AND(Inputs!$E$32="Driven Precast Concrete",$A$42="Concrete Volume"),(IF(MIN(Pile!$EY$336:$EY$359)&gt;0,MIN(Pile!$EY$336:$EY$359),"Not Suitable")),AND(Inputs!$E$32="Driven Precast Concrete",$A$42="Number of Piles"),(IF(Pile!#REF!=Pile!$EQ$336,MIN(Pile!$EY$336:$EY$341),IF(Pile!#REF!=Pile!$EQ$342,MIN(Pile!$EY$342:$EY$347),IF(Pile!#REF!=Pile!$EQ$348,MIN(Pile!$EY$348:$EY$353),IF(Pile!#REF!=Pile!$EQ$354,MIN(Pile!$EY$354:$EY$359),"Not Suitable"))))),AND(Inputs!$E$32="Bored Cast in Place Concrete",$A$42="Concrete Volume"),(IF(MIN(Pile!$EX$336:$EX$359)&gt;0,MIN(Pile!$EX$336:$EX$359),"Not Suitable")),AND(Inputs!$E$32="Bored Cast in Place Concrete",$A$42="Number of Piles"),(IF(Pile!#REF!=Pile!$EQ$336,MIN(Pile!$EX$336:$EX$341),IF(Pile!#REF!=Pile!$EQ$342,MIN(Pile!$EX$342:$EX$347),IF(Pile!#REF!=Pile!$EQ$348,MIN(Pile!$EX$348:$EX$353),IF(Pile!#REF!=Pile!$EQ$354,MIN(Pile!$EX$354:$EX$359),"Not Suitable"))))))))</f>
        <v>10019707.049825877</v>
      </c>
      <c r="V97" s="1219"/>
    </row>
    <row r="98" spans="1:22" s="314" customFormat="1" ht="15.75" thickBot="1">
      <c r="A98" s="572" t="s">
        <v>1933</v>
      </c>
      <c r="B98" s="1210" cm="1">
        <f t="array" ref="B98">_xlfn.SINGLE(IF(SUMPRODUCT(--ISNUMBER(Pile!$DZ$368:$DZ$391))&lt;=0,"Not Suitable",_xlfn.IFS(AND(OR(Inputs!$E$32="Continuous Flight Auger",Inputs!$E$32="All Types"),$A$42="Concrete Volume"),(IFERROR(_xlfn.SINGLE(INDEX(Pile!$DP$368:$DP$391,_xlfn.AGGREGATE(15,3,((Pile!$DZ$368:$DZ$391=F98)/(Pile!$DZ$368:$DZ$391=F98)*ROW(Pile!$DZ$368:$DZ$391))-ROW(Pile!$DP$367),ROWS(A98)))),"Not Suitable")),AND(OR(Inputs!$E$32="Continuous Flight Auger",Inputs!$E$32="All Types"),$A$42="Number of Piles"),(IFERROR(_xlfn.SINGLE(INDEX(Pile!$DP$368:$DP$391,_xlfn.AGGREGATE(15,3,((Pile!$DZ$368:$DZ$391=F98)/(Pile!$DZ$368:$DZ$391=F98)*ROW(Pile!$DZ$368:$DZ$391))-ROW(Pile!$DP$367),ROWS(A98)))),"Not Suitable")),AND(Inputs!$E$32="Driven Precast Concrete",$A$42="Concrete Volume"),(IFERROR(_xlfn.SINGLE(INDEX(Pile!$DP$368:$DP$391,_xlfn.AGGREGATE(15,3,((Pile!$DY$368:$DY$391=F98)/(Pile!$DY$368:$DY$391=F98)*ROW(Pile!$DY$368:$DY$391))-ROW(Pile!$DP$367),ROWS(A98)))),"Not Suitable")),AND(Inputs!$E$32="Driven Precast Concrete",$A$42="Number of Piles"),(IFERROR(_xlfn.SINGLE(INDEX(Pile!$DP$368:$DP$391,_xlfn.AGGREGATE(15,3,((Pile!$DY$368:$DY$391=F98)/(Pile!$DY$368:$DY$391=F98)*ROW(Pile!$DY$368:$DY$391))-ROW(Pile!$DP$367),ROWS(A98)))),"Not Suitable")),AND(Inputs!$E$32="Bored Cast in Place Concrete",$A$42="Concrete Volume"),(IFERROR(_xlfn.SINGLE(INDEX(Pile!$DP$368:$DP$391,_xlfn.AGGREGATE(15,3,((Pile!$DX$368:$DX$391=F98)/(Pile!$DX$368:$DX$391=F98)*ROW(Pile!$DX$368:$DX$391))-ROW(Pile!$DP$367),ROWS(A98)))),"Not Suitable")),AND(Inputs!$E$32="Bored Cast in Place Concrete",$A$42="Number of Piles"),(IFERROR(_xlfn.SINGLE(INDEX(Pile!$DP$368:$DP$391,_xlfn.AGGREGATE(15,3,((Pile!$DX$368:$DX$391=F98)/(Pile!$DX$368:$DX$391=F98)*ROW(Pile!$DX$368:$DX$391))-ROW(Pile!$DP$367),ROWS(A98)))),"Not Suitable")))))</f>
        <v>450</v>
      </c>
      <c r="C98" s="1211">
        <f>IF(F98="Not Suitable","Not Suitable",F98/(E98*PI()*(B98/2000)^2))</f>
        <v>17.036776513153224</v>
      </c>
      <c r="D98" s="1210" cm="1">
        <f t="array" ref="D98">_xlfn.SINGLE(IF(SUMPRODUCT(--ISNUMBER(Pile!$DZ$368:$DZ$391))&lt;=0,"Not Suitable",_xlfn.IFS(AND(OR(Inputs!$E$32="Continuous Flight Auger",Inputs!$E$32="All Types"),$A$42="Concrete Volume"),(IFERROR(_xlfn.SINGLE(INDEX(Pile!$DO$368:$DO$391,_xlfn.AGGREGATE(15,3,((Pile!$DZ$368:$DZ$391=F98)/(Pile!$DZ$368:$DZ$391=F98)*ROW(Pile!$DZ$368:$DZ$391))-ROW(Pile!$DP$367),ROWS(A98)))),"Not Suitable")),AND(OR(Inputs!$E$32="Continuous Flight Auger",Inputs!$E$32="All Types"),$A$42="Number of Piles"),(IF(SUMPRODUCT(--ISNUMBER(Pile!$DZ$368:$DZ$373)),Pile!$DO$368,IF(SUMPRODUCT(--ISNUMBER(Pile!$DZ$374:$DZ$379)),Pile!$DO$374,IF(SUMPRODUCT(--ISNUMBER(Pile!$DZ$380:$DZ$385)),Pile!$DO$380,IF(SUMPRODUCT(--ISNUMBER(Pile!$DZ$386:$DZ$391)),Pile!$DO$386,"Not Suitable"))))),AND(Inputs!$E$32="Driven Precast Concrete",$A$42="Concrete Volume"),(IFERROR(_xlfn.SINGLE(INDEX(Pile!$DO$368:$DO$391,_xlfn.AGGREGATE(15,3,((Pile!$DY$368:$DY$391=F98)/(Pile!$DY$368:$DY$391=F98)*ROW(Pile!$DY$368:$DY$391))-ROW(Pile!$DP$367),ROWS(A98)))),"Not Suitable")),AND(Inputs!$E$32="Driven Precast Concrete",$A$42="Number of Piles"),(IF(SUMPRODUCT(--ISNUMBER(Pile!$DY$368:$DY$373)),Pile!$DO$368,IF(SUMPRODUCT(--ISNUMBER(Pile!$DY$374:$DY$379)),Pile!$DO$374,IF(SUMPRODUCT(--ISNUMBER(Pile!$DY$380:$DY$385)),Pile!$DO$380,IF(SUMPRODUCT(--ISNUMBER(Pile!$DY$386:$DY$391)),Pile!$DO$386,"Not Suitable"))))),AND(Inputs!$E$32="Bored Cast in Place Concrete",$A$42="Concrete Volume"),(IFERROR(_xlfn.SINGLE(INDEX(Pile!$DO$368:$DO$391,_xlfn.AGGREGATE(15,3,((Pile!$DX$368:$DX$391=F98)/(Pile!$DX$368:$DX$391=F98)*ROW(Pile!$DX$368:$DX$391))-ROW(Pile!$DP$367),ROWS(A98)))),"Not Suitable")),AND(Inputs!$E$32="Bored Cast in Place Concrete",$A$42="Number of Piles"),(IF(SUMPRODUCT(--ISNUMBER(Pile!$DX$368:$DX$373)),Pile!$DO$368,IF(SUMPRODUCT(--ISNUMBER(Pile!$DX$374:$DX$379)),Pile!$DO$374,IF(SUMPRODUCT(--ISNUMBER(Pile!$DX$380:$DX$385)),Pile!$DO$380,IF(SUMPRODUCT(--ISNUMBER(Pile!$DX$386:$DX$391)),Pile!$DO$386,"Not Suitable"))))))))</f>
        <v>1</v>
      </c>
      <c r="E98" s="1210" cm="1">
        <f t="array" ref="E98">_xlfn.SINGLE(IF(SUMPRODUCT(--ISNUMBER(Pile!$DZ$368:$DZ$391))&lt;=0,"Not Suitable",_xlfn.IFS(AND(OR(Inputs!$E$32="Continuous Flight Auger",Inputs!$E$32="All Types"),$A$42="Concrete Volume"),(IFERROR(_xlfn.SINGLE(INDEX(Pile!$DQ$368:$DQ$391,_xlfn.AGGREGATE(15,3,((Pile!$DZ$368:$DZ$391=F98)/(Pile!$DZ$368:$DZ$391=F98)*ROW(Pile!$DZ$368:$DZ$391))-ROW(Pile!$DP$367),ROWS(A98)))),"Not Suitable")),AND(OR(Inputs!$E$32="Continuous Flight Auger",Inputs!$E$32="All Types"),$A$42="Number of Piles"),(IF(SUMPRODUCT(--ISNUMBER(Pile!$DZ$368:$DZ$373)),Pile!$DQ$368,IF(SUMPRODUCT(--ISNUMBER(Pile!$DZ$374:$DZ$379)),Pile!$DQ$374,IF(SUMPRODUCT(--ISNUMBER(Pile!$DZ$380:$DZ$385)),Pile!$DQ$380,IF(SUMPRODUCT(--ISNUMBER(Pile!$DZ$386:$DZ$391)),Pile!$DQ$386,"Not Suitable"))))),AND(Inputs!$E$32="Driven Precast Concrete",$A$42="Concrete Volume"),(IFERROR(_xlfn.SINGLE(INDEX(Pile!$DQ$368:$DQ$391,_xlfn.AGGREGATE(15,3,((Pile!$DY$368:$DY$391=F98)/(Pile!$DY$368:$DY$391=F98)*ROW(Pile!$DY$368:$DY$391))-ROW(Pile!$DP$367),ROWS(A98)))),"Not Suitable")),AND(Inputs!$E$32="Driven Precast Concrete",$A$42="Number of Piles"),(IF(SUMPRODUCT(--ISNUMBER(Pile!$DY$368:$DY$373)),Pile!$DQ$368,IF(SUMPRODUCT(--ISNUMBER(Pile!$DY$374:$DY$379)),Pile!$DQ$374,IF(SUMPRODUCT(--ISNUMBER(Pile!$DY$380:$DY$385)),Pile!$DQ$380,IF(SUMPRODUCT(--ISNUMBER(Pile!$DY$386:$DY$391)),Pile!$DQ$386,"Not Suitable"))))),AND(Inputs!$E$32="Bored Cast in Place Concrete",$A$42="Concrete Volume"),(IFERROR(_xlfn.SINGLE(INDEX(Pile!$DQ$368:$DQ$391,_xlfn.AGGREGATE(15,3,((Pile!$DX$368:$DX$391=F98)/(Pile!$DX$368:$DX$391=F98)*ROW(Pile!$DX$368:$DX$391))-ROW(Pile!$DP$367),ROWS(A98)))),"Not Suitable")),AND(Inputs!$E$32="Bored Cast in Place Concrete",$A$42="Number of Piles"),(IF(SUMPRODUCT(--ISNUMBER(Pile!$DX$368:$DX$373)),Pile!$DQ$368,IF(SUMPRODUCT(--ISNUMBER(Pile!$DX$374:$DX$379)),Pile!$DQ$374,IF(SUMPRODUCT(--ISNUMBER(Pile!$DX$380:$DX$385)),Pile!$DQ$380,IF(SUMPRODUCT(--ISNUMBER(Pile!$DX$386:$DX$391)),Pile!$DQ$386,"Not Suitable"))))))))</f>
        <v>32</v>
      </c>
      <c r="F98" s="1211" cm="1">
        <f t="array" ref="F98">_xlfn.SINGLE(IF(SUMPRODUCT(--ISNUMBER(Pile!$DZ$368:$DZ$391))&lt;=0,"Not Suitable",_xlfn.IFS(AND(OR(Inputs!$E$32="Continuous Flight Auger",Inputs!$E$32="All Types"),$A$42="Concrete Volume"),(IF(MIN(Pile!$DZ$368:$DZ$391)&gt;0,MIN(Pile!$DZ$368:$DZ$391), "Not Suitable")),AND(OR(Inputs!$E$32="Continuous Flight Auger",Inputs!$E$32="All Types"),$A$42="Number of Piles"),(IF(Pile!#REF!=Pile!$DQ$368,MIN(Pile!$DZ$368:$DZ$373),IF(Pile!#REF!=Pile!$DQ$374,MIN(Pile!$DZ$374:$DZ$379),IF(Pile!#REF!=Pile!$DQ$380,MIN(Pile!$DZ$380:$DZ$385),IF(Pile!#REF!=Pile!$DQ$386,MIN(Pile!$DZ$386:$DZ$391),"Not Suitable"))))),AND(Inputs!$E$32="Driven Precast Concrete",$A$42="Concrete Volume"),(IF(MIN(Pile!$DY$368:$DY$391)&gt;0,MIN(Pile!$DY$368:$DY$391), "Not Suitable")),AND(Inputs!$E$32="Driven Precast Concrete",$A$42="Number of Piles"),(IF(Pile!#REF!=Pile!$DQ$368,MIN(Pile!$DY$368:$DY$373),IF(Pile!#REF!=Pile!$DQ$374,MIN(Pile!$DY$374:$DY$379),IF(Pile!#REF!=Pile!$DQ$380,MIN(Pile!$DY$380:$DY$385),IF(Pile!#REF!=Pile!$DQ$386,MIN(Pile!$DY$386:$DY$391),"Not Suitable"))))),AND(Inputs!$E$32="Bored Cast in Place Concrete",$A$42="Concrete Volume"),(IF(MIN(Pile!$DX$368:$DX$391)&gt;0,MIN(Pile!$DX$368:$DX$391), "Not Suitable")),AND(Inputs!$E$32="Bored Cast in Place Concrete",$A$42="Number of Piles"),(IF(Pile!#REF!=Pile!$DQ$368,MIN(Pile!$DX$368:$DX$373),IF(Pile!#REF!=Pile!$DQ$374,MIN(Pile!$DX$374:$DX$379),IF(Pile!#REF!=Pile!$DQ$380,MIN(Pile!$DX$380:$DX$385),IF(Pile!#REF!=Pile!$DQ$386,MIN(Pile!$DX$386:$DX$391),"Not Suitable"))))))))</f>
        <v>86.706631334008762</v>
      </c>
      <c r="G98" s="1198"/>
      <c r="H98" s="572" t="s">
        <v>1933</v>
      </c>
      <c r="I98" s="1210" cm="1">
        <f t="array" ref="I98">_xlfn.SINGLE(IF(SUMPRODUCT(--ISNUMBER(Pile!$EM$368:$EM$391))&lt;=0,"Not Suitable",_xlfn.IFS(AND(OR(Inputs!$E$32="Continuous Flight Auger",Inputs!$E$32="All Types"),$A$42="Concrete Volume"),(IFERROR(_xlfn.SINGLE(INDEX(Pile!$EC$368:$EC$391,_xlfn.AGGREGATE(15,3,((Pile!$EM$368:$EM$391=M98)/(Pile!$EM$368:$EM$391=M98)*ROW(Pile!$EM$368:$EM$391))-ROW(Pile!$EC$367),ROWS(H98)))),"Not Suitable")),AND(OR(Inputs!$E$32="Continuous Flight Auger",Inputs!$E$32="All Types"),$A$42="Number of Piles"),(IFERROR(_xlfn.SINGLE(INDEX(Pile!$EC$368:$EC$391,_xlfn.AGGREGATE(15,3,((Pile!$EM$368:$EM$391=M98)/(Pile!$EM$368:$EM$391=M98)*ROW(Pile!$EM$368:$EM$391))-ROW(Pile!$EC$367),ROWS(H98)))),"Not Suitable")),AND(Inputs!$E$32="Driven Precast Concrete",$A$42="Concrete Volume"),(IFERROR(_xlfn.SINGLE(INDEX(Pile!$EC$368:$EC$391,_xlfn.AGGREGATE(15,3,((Pile!$EL$368:$EL$391=M98)/(Pile!$EL$368:$EL$391=M98)*ROW(Pile!$EL$368:$EL$391))-ROW(Pile!$EC$367),ROWS(H98)))),"Not Suitable")),AND(Inputs!$E$32="Driven Precast Concrete",$A$42="Number of Piles"),(IFERROR(_xlfn.SINGLE(INDEX(Pile!$EC$368:$EC$391,_xlfn.AGGREGATE(15,3,((Pile!$EL$368:$EL$391=M98)/(Pile!$EL$368:$EL$391=M98)*ROW(Pile!$EL$368:$EL$391))-ROW(Pile!$EC$367),ROWS(H98)))),"Not Suitable")),AND(Inputs!$E$32="Bored Cast in Place Concrete",$A$42="Concrete Volume"),(IFERROR(_xlfn.SINGLE(INDEX(Pile!$EC$368:$EC$391,_xlfn.AGGREGATE(15,3,((Pile!$EK$368:$EK$391=M98)/(Pile!$EK$368:$EK$391=M98)*ROW(Pile!$EK$368:$EK$391))-ROW(Pile!$EC$367),ROWS(H98)))),"Not Suitable")),AND(Inputs!$E$32="Bored Cast in Place Concrete",$A$42="Number of Piles"),(IFERROR(_xlfn.SINGLE(INDEX(Pile!$EC$368:$EC$391,_xlfn.AGGREGATE(15,3,((Pile!$EK$368:$EK$391=M98)/(Pile!$EK$368:$EK$391=M98)*ROW(Pile!$EK$368:$EK$391))-ROW(Pile!$EC$367),ROWS(H98)))),"Not Suitable")))))</f>
        <v>450</v>
      </c>
      <c r="J98" s="1211">
        <f>IF(M98="Not Suitable","Not Suitable",M98/(L98*PI()*(I98/2000)^2))</f>
        <v>17.036776513153224</v>
      </c>
      <c r="K98" s="1210" cm="1">
        <f t="array" ref="K98">_xlfn.SINGLE(IF(SUMPRODUCT(--ISNUMBER(Pile!$EM$368:$EM$391))&lt;=0,"Not Suitable",_xlfn.IFS(AND(OR(Inputs!$E$32="Continuous Flight Auger",Inputs!$E$32="All Types"),$A$42="Concrete Volume"),(IFERROR(_xlfn.SINGLE(INDEX(Pile!$EB$368:$EB$391,_xlfn.AGGREGATE(15,3,((Pile!$EM$368:$EM$391=M98)/(Pile!$EM$368:$EM$391=M98)*ROW(Pile!$EM$368:$EM$391))-ROW(Pile!$EC$367),ROWS(H98)))),"Not Suitable")),AND(OR(Inputs!$E$32="Continuous Flight Auger",Inputs!$E$32="All Types"),$A$42="Number of Piles"),(IF(SUMPRODUCT(--ISNUMBER(Pile!$EM$368:$EM$373)),Pile!$EB$368,IF(SUMPRODUCT(--ISNUMBER(Pile!$EM$374:$EM$379)),Pile!$EB$374,IF(SUMPRODUCT(--ISNUMBER(Pile!$EM$380:$EM$385)),Pile!$EB$380,IF(SUMPRODUCT(--ISNUMBER(Pile!$EM$386:$EM$391)),Pile!$EB$386,"Not Suitable"))))),AND(Inputs!$E$32="Driven Precast Concrete",$A$42="Concrete Volume"),(IFERROR(_xlfn.SINGLE(INDEX(Pile!$EB$368:$EB$391,_xlfn.AGGREGATE(15,3,((Pile!$EL$368:$EL$391=M98)/(Pile!$EL$368:$EL$391=M98)*ROW(Pile!$EL$368:$EL$391))-ROW(Pile!$EC$367),ROWS(H98)))),"Not Suitable")),AND(Inputs!$E$32="Driven Precast Concrete",$A$42="Number of Piles"),(IF(SUMPRODUCT(--ISNUMBER(Pile!$EL$368:$EL$373)),Pile!$EB$368,IF(SUMPRODUCT(--ISNUMBER(Pile!$EL$374:$EL$379)),Pile!$EB$374,IF(SUMPRODUCT(--ISNUMBER(Pile!$EL$380:$EL$385)),Pile!$EB$380,IF(SUMPRODUCT(--ISNUMBER(Pile!$EL$386:$EL$391)),Pile!$EB$386,"Not Suitable"))))),AND(Inputs!$E$32="Bored Cast in Place Concrete",$A$42="Concrete Volume"),(IFERROR(_xlfn.SINGLE(INDEX(Pile!$EB$368:$EB$391,_xlfn.AGGREGATE(15,3,((Pile!$EK$368:$EK$391=M98)/(Pile!$EK$368:$EK$391=M98)*ROW(Pile!$EK$368:$EK$391))-ROW(Pile!$EC$367),ROWS(H98)))),"Not Suitable")),AND(Inputs!$E$32="Bored Cast in Place Concrete",$A$42="Number of Piles"),(IF(SUMPRODUCT(--ISNUMBER(Pile!$EK$368:$EK$373)),Pile!$EB$368,IF(SUMPRODUCT(--ISNUMBER(Pile!$EK$374:$EK$379)),Pile!$EB$374,IF(SUMPRODUCT(--ISNUMBER(Pile!$EK$380:$EK$385)),Pile!$EB$380,IF(SUMPRODUCT(--ISNUMBER(Pile!$EK$386:$EK$391)),Pile!$EB$386,"Not Suitable"))))))))</f>
        <v>1</v>
      </c>
      <c r="L98" s="1210" cm="1">
        <f t="array" ref="L98">_xlfn.SINGLE(IF(SUMPRODUCT(--ISNUMBER(Pile!$EM$368:$EM$391))&lt;=0,"Not Suitable",_xlfn.IFS(AND(OR(Inputs!$E$32="Continuous Flight Auger",Inputs!$E$32="All Types"),$A$42="Concrete Volume"),(IFERROR(_xlfn.SINGLE(INDEX(Pile!$ED$368:$ED$391,_xlfn.AGGREGATE(15,3,((Pile!$EM$368:$EM$391=M98)/(Pile!$EM$368:$EM$391=M98)*ROW(Pile!$EM$368:$EM$391))-ROW(Pile!$EC$367),ROWS(H98)))),"Not Suitable")),AND(OR(Inputs!$E$32="Continuous Flight Auger",Inputs!$E$32="All Types"),$A$42="Number of Piles"),(IF(SUMPRODUCT(--ISNUMBER(Pile!$EM$368:$EM$373)),Pile!$ED$368,IF(SUMPRODUCT(--ISNUMBER(Pile!$EM$374:$EM$379)),Pile!$ED$374,IF(SUMPRODUCT(--ISNUMBER(Pile!$EM$380:$EM$385)),Pile!$ED$380,IF(SUMPRODUCT(--ISNUMBER(Pile!$EM$386:$EM$391)),Pile!$ED$386,"Not Suitable"))))),AND(Inputs!$E$32="Driven Precast Concrete",$A$42="Concrete Volume"),(IFERROR(_xlfn.SINGLE(INDEX(Pile!$ED$368:$ED$391,_xlfn.AGGREGATE(15,3,((Pile!$EL$368:$EL$391=M98)/(Pile!$EL$368:$EL$391=M98)*ROW(Pile!$EL$368:$EL$391))-ROW(Pile!$EC$367),ROWS(H98)))),"Not Suitable")),AND(Inputs!$E$32="Driven Precast Concrete",$A$42="Number of Piles"),(IF(SUMPRODUCT(--ISNUMBER(Pile!$EL$368:$EL$373)),Pile!$ED$368,IF(SUMPRODUCT(--ISNUMBER(Pile!$EL$374:$EL$379)),Pile!$ED$374,IF(SUMPRODUCT(--ISNUMBER(Pile!$EL$380:$EL$385)),Pile!$ED$380,IF(SUMPRODUCT(--ISNUMBER(Pile!$EL$386:$EL$391)),Pile!$ED$386,"Not Suitable"))))),AND(Inputs!$E$32="Bored Cast in Place Concrete",$A$42="Concrete Volume"),(IFERROR(_xlfn.SINGLE(INDEX(Pile!$ED$368:$ED$391,_xlfn.AGGREGATE(15,3,((Pile!$EK$368:$EK$391=M98)/(Pile!$EK$368:$EK$391=M98)*ROW(Pile!$EK$368:$EK$391))-ROW(Pile!$EC$367),ROWS(H98)))),"Not Suitable")),AND(Inputs!$E$32="Bored Cast in Place Concrete",$A$42="Number of Piles"),(IF(SUMPRODUCT(--ISNUMBER(Pile!$EK$368:$EK$373)),Pile!$ED$368,IF(SUMPRODUCT(--ISNUMBER(Pile!$EK$374:$EK$379)),Pile!$ED$374,IF(SUMPRODUCT(--ISNUMBER(Pile!$EK$380:$EK$385)),Pile!$ED$380,IF(SUMPRODUCT(--ISNUMBER(Pile!$EK$386:$EK$391)),Pile!$ED$386,"Not Suitable"))))))))</f>
        <v>32</v>
      </c>
      <c r="M98" s="1211" cm="1">
        <f t="array" ref="M98">_xlfn.SINGLE(IF(SUMPRODUCT(--ISNUMBER(Pile!$EM$368:$EM$391))&lt;=0,"Not Suitable",_xlfn.IFS(AND(OR(Inputs!$E$32="Continuous Flight Auger",Inputs!$E$32="All Types"),$A$42="Concrete Volume"),(IF(MIN(Pile!$EM$368:$EM$391)&gt;0,MIN(Pile!$EM$368:$EM$391), "Not Suitable")),AND(OR(Inputs!$E$32="Continuous Flight Auger",Inputs!$E$32="All Types"),$A$42="Number of Piles"),(IF(Pile!#REF!=Pile!$ED$368,MIN(Pile!$EM$368:$EM$373),IF(Pile!#REF!=Pile!$ED$374,MIN(Pile!$EM$374:$EM$379),IF(Pile!#REF!=Pile!$ED$380,MIN(Pile!$EM$380:$EM$385),IF(Pile!#REF!=Pile!$ED$386,MIN(Pile!$EM$386:$EM$391),"Not Suitable"))))),AND(Inputs!$E$32="Driven Precast Concrete",$A$42="Concrete Volume"),(IF(MIN(Pile!$EL$368:$EL$391)&gt;0,MIN(Pile!$EL$368:$EL$391), "Not Suitable")),AND(Inputs!$E$32="Driven Precast Concrete",$A$42="Number of Piles"),(IF(Pile!#REF!=Pile!$ED$368,MIN(Pile!$EL$368:$EL$373),IF(Pile!#REF!=Pile!$ED$374,MIN(Pile!$EL$374:$EL$379),IF(Pile!#REF!=Pile!$ED$380,MIN(Pile!$EL$380:$EL$385),IF(Pile!#REF!=Pile!$ED$386,MIN(Pile!$EL$386:$EL$391),"Not Suitable"))))),AND(Inputs!$E$32="Bored Cast in Place Concrete",$A$42="Concrete Volume"),(IF(MIN(Pile!$EK$368:$EK$391)&gt;0,MIN(Pile!$EK$368:$EK$391), "Not Suitable")),AND(Inputs!$E$32="Bored Cast in Place Concrete",$A$42="Number of Piles"),(IF(Pile!#REF!=Pile!$ED$368,MIN(Pile!$EK$368:$EK$373),IF(Pile!#REF!=Pile!$ED$374,MIN(Pile!$EK$374:$EK$379),IF(Pile!#REF!=Pile!$ED$380,MIN(Pile!$EK$380:$EK$385),IF(Pile!#REF!=Pile!$ED$386,MIN(Pile!$EK$386:$EK$391),"Not Suitable"))))))))</f>
        <v>86.706631334008762</v>
      </c>
      <c r="N98" s="1198"/>
      <c r="O98" s="572" t="s">
        <v>1933</v>
      </c>
      <c r="P98" s="1210" cm="1">
        <f t="array" ref="P98">_xlfn.SINGLE(IF(SUMPRODUCT(--ISNUMBER(Pile!$EZ$368:$EZ$391))&lt;=0,"Not Suitable",_xlfn.IFS(AND(OR(Inputs!$E$32="Continuous Flight Auger",Inputs!$E$32="All Types"),$A$42="Concrete Volume"),(IFERROR(_xlfn.SINGLE(INDEX(Pile!$EP$368:$EP$391,_xlfn.AGGREGATE(15,3,((Pile!$EZ$368:$EZ$391=T98)/(Pile!$EZ$368:$EZ$391=T98)*ROW(Pile!$EZ$368:$EZ$391))-ROW(Pile!$EP$367),ROWS(O98)))),"Not Suitable")),AND(OR(Inputs!$E$32="Continuous Flight Auger",Inputs!$E$32="All Types"),$A$42="Number of Piles"),(IFERROR(_xlfn.SINGLE(INDEX(Pile!$EP$368:$EP$391,_xlfn.AGGREGATE(15,3,((Pile!$EZ$368:$EZ$391=T98)/(Pile!$EZ$368:$EZ$391=T98)*ROW(Pile!$EZ$368:$EZ$391))-ROW(Pile!$EP$367),ROWS(O98)))),"Not Suitable")),AND(Inputs!$E$32="Driven Precast Concrete",$A$42="Concrete Volume"),(IFERROR(_xlfn.SINGLE(INDEX(Pile!$EP$368:$EP$391,_xlfn.AGGREGATE(15,3,((Pile!$EY$368:$EY$391=T98)/(Pile!$EY$368:$EY$391=T98)*ROW(Pile!$EY$368:$EY$391))-ROW(Pile!$EP$367),ROWS(O98)))),"Not Suitable")),AND(Inputs!$E$32="Driven Precast Concrete",$A$42="Number of Piles"),(IFERROR(_xlfn.SINGLE(INDEX(Pile!$EP$368:$EP$391,_xlfn.AGGREGATE(15,3,((Pile!$EY$368:$EY$391=T98)/(Pile!$EY$368:$EY$391=T98)*ROW(Pile!$EY$368:$EY$391))-ROW(Pile!$EP$367),ROWS(O98)))),"Not Suitable")),AND(Inputs!$E$32="Bored Cast in Place Concrete",$A$42="Concrete Volume"),(IFERROR(_xlfn.SINGLE(INDEX(Pile!$EP$368:$EP$391,_xlfn.AGGREGATE(15,3,((Pile!$EX$368:$EX$391=T98)/(Pile!$EX$368:$EX$391=T98)*ROW(Pile!$EX$368:$EX$391))-ROW(Pile!$EP$367),ROWS(O98)))),"Not Suitable")),AND(Inputs!$E$32="Bored Cast in Place Concrete",$A$42="Number of Piles"),(IFERROR(_xlfn.SINGLE(INDEX(Pile!$EP$368:$EP$391,_xlfn.AGGREGATE(15,3,((Pile!$EX$368:$EX$391=T98)/(Pile!$EX$368:$EX$391=T98)*ROW(Pile!$EX$368:$EX$391))-ROW(Pile!$EP$367),ROWS(O98)))),"Not Suitable")))))</f>
        <v>450</v>
      </c>
      <c r="Q98" s="1211">
        <f>IF(T98="Not Suitable","Not Suitable",T98/(S98*PI()*(P98/2000)^2))</f>
        <v>999999</v>
      </c>
      <c r="R98" s="1210" cm="1">
        <f t="array" ref="R98">_xlfn.SINGLE(IF(SUMPRODUCT(--ISNUMBER(Pile!$EZ$368:$EZ$391))&lt;=0,"Not Suitable",_xlfn.IFS(AND(OR(Inputs!$E$32="Continuous Flight Auger",Inputs!$E$32="All Types"),$A$42="Concrete Volume"),(IFERROR(_xlfn.SINGLE(INDEX(Pile!$EO$368:$EO$391,_xlfn.AGGREGATE(15,3,((Pile!$EZ$368:$EZ$391=T98)/(Pile!$EZ$368:$EZ$391=T98)*ROW(Pile!$EZ$368:$EZ$391))-ROW(Pile!$EP$367),ROWS(O98)))),"Not Suitable")),AND(OR(Inputs!$E$32="Continuous Flight Auger",Inputs!$E$32="All Types"),$A$42="Number of Piles"),(IF(SUMPRODUCT(--ISNUMBER(Pile!$EZ$368:$EZ$373)),Pile!$EO$368,IF(SUMPRODUCT(--ISNUMBER(Pile!$EZ$374:$EZ$379)),Pile!$EO$374,IF(SUMPRODUCT(--ISNUMBER(Pile!$EZ$380:$EZ$385)),Pile!$EO$380,IF(SUMPRODUCT(--ISNUMBER(Pile!$EZ$386:$EZ$391)),Pile!$EO$386,"Not Suitable"))))),AND(Inputs!$E$32="Driven Precast Concrete",$A$42="Concrete Volume"),(IFERROR(_xlfn.SINGLE(INDEX(Pile!$EO$368:$EO$391,_xlfn.AGGREGATE(15,3,((Pile!$EY$368:$EY$391=T98)/(Pile!$EY$368:$EY$391=T98)*ROW(Pile!$EY$368:$EY$391))-ROW(Pile!$EP$367),ROWS(O98)))),"Not Suitable")),AND(Inputs!$E$32="Driven Precast Concrete",$A$42="Number of Piles"),(IF(SUMPRODUCT(--ISNUMBER(Pile!$EY$368:$EY$373)),Pile!$EO$368,IF(SUMPRODUCT(--ISNUMBER(Pile!$EY$374:$EY$379)),Pile!$EO$374,IF(SUMPRODUCT(--ISNUMBER(Pile!$EY$380:$EY$385)),Pile!$EO$380,IF(SUMPRODUCT(--ISNUMBER(Pile!$EY$386:$EY$391)),Pile!$EO$386,"Not Suitable"))))),AND(Inputs!$E$32="Bored Cast in Place Concrete",$A$42="Concrete Volume"),(IFERROR(_xlfn.SINGLE(INDEX(Pile!$EO$368:$EO$391,_xlfn.AGGREGATE(15,3,((Pile!$EX$368:$EX$391=T98)/(Pile!$EX$368:$EX$391=T98)*ROW(Pile!$EX$368:$EX$391))-ROW(Pile!$EP$367),ROWS(O98)))),"Not Suitable")),AND(Inputs!$E$32="Bored Cast in Place Concrete",$A$42="Number of Piles"),(IF(SUMPRODUCT(--ISNUMBER(Pile!$EX$368:$EX$373)),Pile!$EO$368,IF(SUMPRODUCT(--ISNUMBER(Pile!$EX$374:$EX$379)),Pile!$EO$374,IF(SUMPRODUCT(--ISNUMBER(Pile!$EX$380:$EX$385)),Pile!$EO$380,IF(SUMPRODUCT(--ISNUMBER(Pile!$EX$386:$EX$391)),Pile!$EO$386,"Not Suitable"))))))))</f>
        <v>1</v>
      </c>
      <c r="S98" s="1210" cm="1">
        <f t="array" ref="S98">_xlfn.SINGLE(IF(SUMPRODUCT(--ISNUMBER(Pile!$EZ$368:$EZ$391))&lt;=0,"Not Suitable",_xlfn.IFS(AND(OR(Inputs!$E$32="Continuous Flight Auger",Inputs!$E$32="All Types"),$A$42="Concrete Volume"),(IFERROR(_xlfn.SINGLE(INDEX(Pile!$EQ$368:$EQ$391,_xlfn.AGGREGATE(15,3,((Pile!$EZ$368:$EZ$391=T98)/(Pile!$EZ$368:$EZ$391=T98)*ROW(Pile!$EZ$368:$EZ$391))-ROW(Pile!$EP$367),ROWS(O98)))),"Not Suitable")),AND(OR(Inputs!$E$32="Continuous Flight Auger",Inputs!$E$32="All Types"),$A$42="Number of Piles"),(IF(SUMPRODUCT(--ISNUMBER(Pile!$EZ$368:$EZ$373)),Pile!$EQ$368,IF(SUMPRODUCT(--ISNUMBER(Pile!$EZ$374:$EZ$379)),Pile!$EQ$374,IF(SUMPRODUCT(--ISNUMBER(Pile!$EZ$380:$EZ$385)),Pile!$EQ$380,IF(SUMPRODUCT(--ISNUMBER(Pile!$EZ$386:$EZ$391)),Pile!$EQ$386,"Not Suitable"))))),AND(Inputs!$E$32="Driven Precast Concrete",$A$42="Concrete Volume"),(IFERROR(_xlfn.SINGLE(INDEX(Pile!$EQ$368:$EQ$391,_xlfn.AGGREGATE(15,3,((Pile!$EY$368:$EY$391=T98)/(Pile!$EY$368:$EY$391=T98)*ROW(Pile!$EY$368:$EY$391))-ROW(Pile!$EP$367),ROWS(O98)))),"Not Suitable")),AND(Inputs!$E$32="Driven Precast Concrete",$A$42="Number of Piles"),(IF(SUMPRODUCT(--ISNUMBER(Pile!$EY$368:$EY$373)),Pile!$EQ$368,IF(SUMPRODUCT(--ISNUMBER(Pile!$EY$374:$EY$379)),Pile!$EQ$374,IF(SUMPRODUCT(--ISNUMBER(Pile!$EY$380:$EY$385)),Pile!$EQ$380,IF(SUMPRODUCT(--ISNUMBER(Pile!$EY$386:$EY$391)),Pile!$EQ$386,"Not Suitable"))))),AND(Inputs!$E$32="Bored Cast in Place Concrete",$A$42="Concrete Volume"),(IFERROR(_xlfn.SINGLE(INDEX(Pile!$EQ$368:$EQ$391,_xlfn.AGGREGATE(15,3,((Pile!$EX$368:$EX$391=T98)/(Pile!$EX$368:$EX$391=T98)*ROW(Pile!$EX$368:$EX$391))-ROW(Pile!$EP$367),ROWS(O98)))),"Not Suitable")),AND(Inputs!$E$32="Bored Cast in Place Concrete",$A$42="Number of Piles"),(IF(SUMPRODUCT(--ISNUMBER(Pile!$EX$368:$EX$373)),Pile!$EQ$368,IF(SUMPRODUCT(--ISNUMBER(Pile!$EX$374:$EX$379)),Pile!$EQ$374,IF(SUMPRODUCT(--ISNUMBER(Pile!$EX$380:$EX$385)),Pile!$EQ$380,IF(SUMPRODUCT(--ISNUMBER(Pile!$EX$386:$EX$391)),Pile!$EQ$386,"Not Suitable"))))))))</f>
        <v>32</v>
      </c>
      <c r="T98" s="1211" cm="1">
        <f t="array" ref="T98">_xlfn.SINGLE(IF(SUMPRODUCT(--ISNUMBER(Pile!$EZ$368:$EZ$391))&lt;=0,"Not Suitable",_xlfn.IFS(AND(OR(Inputs!$E$32="Continuous Flight Auger",Inputs!$E$32="All Types"),$A$42="Concrete Volume"),(IF(MIN(Pile!$EZ$368:$EZ$391)&gt;0,MIN(Pile!$EZ$368:$EZ$391), "Not Suitable")),AND(OR(Inputs!$E$32="Continuous Flight Auger",Inputs!$E$32="All Types"),$A$42="Number of Piles"),(IF(Pile!#REF!=Pile!$EQ$368,MIN(Pile!$EZ$368:$EZ$373),IF(Pile!#REF!=Pile!$EQ$374,MIN(Pile!$EZ$374:$EZ$379),IF(Pile!#REF!=Pile!$EQ$380,MIN(Pile!$EZ$380:$EZ$385),IF(Pile!#REF!=Pile!$EQ$386,MIN(Pile!$EZ$386:$EZ$391),"Not Suitable"))))),AND(Inputs!$E$32="Driven Precast Concrete",$A$42="Concrete Volume"),(IF(MIN(Pile!$EY$368:$EY$391)&gt;0,MIN(Pile!$EY$368:$EY$391), "Not Suitable")),AND(Inputs!$E$32="Driven Precast Concrete",$A$42="Number of Piles"),(IF(Pile!#REF!=Pile!$EQ$368,MIN(Pile!$EY$368:$EY$373),IF(Pile!#REF!=Pile!$EQ$374,MIN(Pile!$EY$374:$EY$379),IF(Pile!#REF!=Pile!$EQ$380,MIN(Pile!$EY$380:$EY$385),IF(Pile!#REF!=Pile!$EQ$386,MIN(Pile!$EY$386:$EY$391),"Not Suitable"))))),AND(Inputs!$E$32="Bored Cast in Place Concrete",$A$42="Concrete Volume"),(IF(MIN(Pile!$EX$368:$EX$391)&gt;0,MIN(Pile!$EX$368:$EX$391), "Not Suitable")),AND(Inputs!$E$32="Bored Cast in Place Concrete",$A$42="Number of Piles"),(IF(Pile!#REF!=Pile!$EQ$368,MIN(Pile!$EX$368:$EX$373),IF(Pile!#REF!=Pile!$EQ$374,MIN(Pile!$EX$374:$EX$379),IF(Pile!#REF!=Pile!$EQ$380,MIN(Pile!$EX$380:$EX$385),IF(Pile!#REF!=Pile!$EQ$386,MIN(Pile!$EX$386:$EX$391),"Not Suitable"))))))))</f>
        <v>5089375.0094353668</v>
      </c>
      <c r="V98" s="1219"/>
    </row>
    <row r="99" spans="1:22" s="314" customFormat="1" ht="15.75" thickBot="1">
      <c r="A99" s="578" t="s">
        <v>1934</v>
      </c>
      <c r="B99" s="1210" cm="1">
        <f t="array" ref="B99">_xlfn.SINGLE(IF(SUMPRODUCT(--ISNUMBER(Pile!$DZ$399:$DZ$422))&lt;=0,"Not Suitable",_xlfn.IFS(AND(OR(Inputs!$E$32="Continuous Flight Auger",Inputs!$E$32="All Types"),$A$42="Concrete Volume"),(IFERROR(_xlfn.SINGLE(INDEX(Pile!$DP$399:$DP$422,_xlfn.AGGREGATE(15,3,((Pile!$DZ$399:$DZ$422=F99)/(Pile!$DZ$399:$DZ$422=F99)*ROW(Pile!$DZ$399:$DZ$422))-ROW(Pile!$DP$398),ROWS(A99)))),"Not Suitable")),AND(OR(Inputs!$E$32="Continuous Flight Auger",Inputs!$E$32="All Types"),$A$42="Number of Piles"),(IFERROR(_xlfn.SINGLE(INDEX(Pile!$DP$399:$DP$422,_xlfn.AGGREGATE(15,3,((Pile!$DZ$399:$DZ$422=F99)/(Pile!$DZ$399:$DZ$422=F99)*ROW(Pile!$DZ$399:$DZ$422))-ROW(Pile!$DP$398),ROWS(A99)))),"Not Suitable")),AND(Inputs!$E$32="Driven Precast Concrete",$A$42="Concrete Volume"),(IFERROR(_xlfn.SINGLE(INDEX(Pile!$DP$399:$DP$422,_xlfn.AGGREGATE(15,3,((Pile!$DY$399:$DY$422=F99)/(Pile!$DY$399:$DY$422=F99)*ROW(Pile!$DY$399:$DY$422))-ROW(Pile!$DP$398),ROWS(A99)))),"Not Suitable")),AND(Inputs!$E$32="Driven Precast Concrete",$A$42="Number of Piles"),(IFERROR(_xlfn.SINGLE(INDEX(Pile!$DP$399:$DP$422,_xlfn.AGGREGATE(15,3,((Pile!$DY$399:$DY$422=F99)/(Pile!$DY$399:$DY$422=F99)*ROW(Pile!$DY$399:$DY$422))-ROW(Pile!$DP$398),ROWS(A99)))),"Not Suitable")),AND(Inputs!$E$32="Bored Cast in Place Concrete",$A$42="Concrete Volume"),(IFERROR(_xlfn.SINGLE(INDEX(Pile!$DP$399:$DP$422,_xlfn.AGGREGATE(15,3,((Pile!$DX$399:$DX$422=F99)/(Pile!$DX$399:$DX$422=F99)*ROW(Pile!$DX$399:$DX$422))-ROW(Pile!$DP$398),ROWS(A99)))),"Not Suitable")),AND(Inputs!$E$32="Bored Cast in Place Concrete",$A$42="Number of Piles"),(IFERROR(_xlfn.SINGLE(INDEX(Pile!$DP$399:$DP$422,_xlfn.AGGREGATE(15,3,((Pile!$DX$399:$DX$422=F99)/(Pile!$DX$399:$DX$422=F99)*ROW(Pile!$DX$399:$DX$422))-ROW(Pile!$DP$398),ROWS(A99)))),"Not Suitable")))))</f>
        <v>450</v>
      </c>
      <c r="C99" s="1211">
        <f>IF(F99="Not Suitable","Not Suitable",F99/(E99*PI()*(B99/2000)^2))</f>
        <v>9.5367765131532263</v>
      </c>
      <c r="D99" s="1210" cm="1">
        <f t="array" ref="D99">_xlfn.SINGLE(IF(SUMPRODUCT(--ISNUMBER(Pile!$DZ$399:$DZ$422))&lt;=0,"Not Suitable",_xlfn.IFS(AND(OR(Inputs!$E$32="Continuous Flight Auger",Inputs!$E$32="All Types"),$A$42="Concrete Volume"),(IFERROR(_xlfn.SINGLE(INDEX(Pile!$DO$399:$DO$422,_xlfn.AGGREGATE(15,3,((Pile!$DZ$399:$DZ$422=F99)/(Pile!$DZ$399:$DZ$422=F99)*ROW(Pile!$DZ$399:$DZ$422))-ROW(Pile!$DP$398),ROWS(A99)))),"Not Suitable")),AND(OR(Inputs!$E$32="Continuous Flight Auger",Inputs!$E$32="All Types"),$A$42="Number of Piles"),(IF(SUMPRODUCT(--ISNUMBER(Pile!$DZ$399:$DZ$404)),Pile!$DO$399,IF(SUMPRODUCT(--ISNUMBER(Pile!$DZ$405:$DZ$410)),Pile!$DO$405,IF(SUMPRODUCT(--ISNUMBER(Pile!$DZ$411:$DZ$416)),Pile!$DO$411,IF(SUMPRODUCT(--ISNUMBER(Pile!$DZ$417:$DZ$422)),Pile!$DO$417,"Not Suitable"))))),AND(Inputs!$E$32="Driven Precast Concrete",$A$42="Concrete Volume"),(IFERROR(_xlfn.SINGLE(INDEX(Pile!$DO$399:$DO$422,_xlfn.AGGREGATE(15,3,((Pile!$DY$399:$DY$422=F99)/(Pile!$DY$399:$DY$422=F99)*ROW(Pile!$DY$399:$DY$422))-ROW(Pile!$DP$398),ROWS(A99)))),"Not Suitable")),AND(Inputs!$E$32="Driven Precast Concrete",$A$42="Number of Piles"),(IF(SUMPRODUCT(--ISNUMBER(Pile!$DY$399:$DY$404)),Pile!$DO$399,IF(SUMPRODUCT(--ISNUMBER(Pile!$DY$405:$DY$410)),Pile!$DO$405,IF(SUMPRODUCT(--ISNUMBER(Pile!$DY$411:$DY$416)),Pile!$DO$411,IF(SUMPRODUCT(--ISNUMBER(Pile!$DY$417:$DY$422)),Pile!$DO$417,"Not Suitable"))))),AND(Inputs!$E$32="Bored Cast in Place Concrete",$A$42="Concrete Volume"),(IFERROR(_xlfn.SINGLE(INDEX(Pile!$DO$399:$DO$422,_xlfn.AGGREGATE(15,3,((Pile!$DX$399:$DX$422=F99)/(Pile!$DX$399:$DX$422=F99)*ROW(Pile!$DX$399:$DX$422))-ROW(Pile!$DP$398),ROWS(A99)))),"Not Suitable")),AND(Inputs!$E$32="Bored Cast in Place Concrete",$A$42="Number of Piles"),(IF(SUMPRODUCT(--ISNUMBER(Pile!$DX$399:$DX$404)),Pile!$DO$399,IF(SUMPRODUCT(--ISNUMBER(Pile!$DX$405:$DX$410)),Pile!$DO$405,IF(SUMPRODUCT(--ISNUMBER(Pile!$DX$411:$DX$416)),Pile!$DO$411,IF(SUMPRODUCT(--ISNUMBER(Pile!$DX$417:$DX$422)),Pile!$DO$417,"Not Suitable"))))))))</f>
        <v>1</v>
      </c>
      <c r="E99" s="1210" cm="1">
        <f t="array" ref="E99">_xlfn.SINGLE(IF(SUMPRODUCT(--ISNUMBER(Pile!$DZ$399:$DZ$422))&lt;=0,"Not Suitable",_xlfn.IFS(AND(OR(Inputs!$E$32="Continuous Flight Auger",Inputs!$E$32="All Types"),$A$42="Concrete Volume"),(IFERROR(_xlfn.SINGLE(INDEX(Pile!$DQ$399:$DQ$422,_xlfn.AGGREGATE(15,3,((Pile!$DZ$399:$DZ$422=F99)/(Pile!$DZ$399:$DZ$422=F99)*ROW(Pile!$DZ$399:$DZ$422))-ROW(Pile!$DP$398),ROWS(A99)))),"Not Suitable")),AND(OR(Inputs!$E$32="Continuous Flight Auger",Inputs!$E$32="All Types"),$A$42="Number of Piles"),(IF(SUMPRODUCT(--ISNUMBER(Pile!$DZ$399:$DZ$404)),Pile!$DQ$399,IF(SUMPRODUCT(--ISNUMBER(Pile!$DZ$405:$DZ$410)),Pile!$DQ$405,IF(SUMPRODUCT(--ISNUMBER(Pile!$DZ$411:$DZ$416)),Pile!$DQ$411,IF(SUMPRODUCT(--ISNUMBER(Pile!$DZ$417:$DZ$422)),Pile!$DQ$417,"Not Suitable"))))),AND(Inputs!$E$32="Driven Precast Concrete",$A$42="Concrete Volume"),(IFERROR(_xlfn.SINGLE(INDEX(Pile!$DQ$399:$DQ$422,_xlfn.AGGREGATE(15,3,((Pile!$DY$399:$DY$422=F99)/(Pile!$DY$399:$DY$422=F99)*ROW(Pile!$DY$399:$DY$422))-ROW(Pile!$DP$398),ROWS(A99)))),"Not Suitable")),AND(Inputs!$E$32="Driven Precast Concrete",$A$42="Number of Piles"),(IF(SUMPRODUCT(--ISNUMBER(Pile!$DY$399:$DY$404)),Pile!$DQ$399,IF(SUMPRODUCT(--ISNUMBER(Pile!$DY$405:$DY$410)),Pile!$DQ$405,IF(SUMPRODUCT(--ISNUMBER(Pile!$DY$411:$DY$416)),Pile!$DQ$411,IF(SUMPRODUCT(--ISNUMBER(Pile!$DY$417:$DY$422)),Pile!$DQ$417,"Not Suitable"))))),AND(Inputs!$E$32="Bored Cast in Place Concrete",$A$42="Concrete Volume"),(IFERROR(_xlfn.SINGLE(INDEX(Pile!$DQ$399:$DQ$422,_xlfn.AGGREGATE(15,3,((Pile!$DX$399:$DX$422=F99)/(Pile!$DX$399:$DX$422=F99)*ROW(Pile!$DX$399:$DX$422))-ROW(Pile!$DP$398),ROWS(A99)))),"Not Suitable")),AND(Inputs!$E$32="Bored Cast in Place Concrete",$A$42="Number of Piles"),(IF(SUMPRODUCT(--ISNUMBER(Pile!$DX$399:$DX$404)),Pile!$DQ$399,IF(SUMPRODUCT(--ISNUMBER(Pile!$DX$405:$DX$410)),Pile!$DQ$405,IF(SUMPRODUCT(--ISNUMBER(Pile!$DX$411:$DX$416)),Pile!$DQ$411,IF(SUMPRODUCT(--ISNUMBER(Pile!$DX$417:$DX$422)),Pile!$DQ$417,"Not Suitable"))))))))</f>
        <v>4</v>
      </c>
      <c r="F99" s="1211" cm="1">
        <f t="array" ref="F99">_xlfn.SINGLE(IF(SUMPRODUCT(--ISNUMBER(Pile!$DZ$399:$DZ$422))&lt;=0,"Not Suitable",_xlfn.IFS(AND(OR(Inputs!$E$32="Continuous Flight Auger",Inputs!$E$32="All Types"),$A$42="Concrete Volume"),(IF(MIN(Pile!$DZ$399:$DZ$422)&gt;0,MIN(Pile!$DZ$399:$DZ$422), "Not Suitable")),AND(OR(Inputs!$E$32="Continuous Flight Auger",Inputs!$E$32="All Types"),$A$42="Number of Piles"),(IF(Pile!#REF!=Pile!$DQ$399,MIN(Pile!$DZ$399:$DZ$404),IF(Pile!#REF!=Pile!$DQ$405,MIN(Pile!$DZ$405:$DZ$410),IF(Pile!#REF!=Pile!$DQ$411,MIN(Pile!$DZ$411:$DZ$416),IF(Pile!#REF!=Pile!$DQ$417,MIN(Pile!$DZ$417:$DZ$422),"Not Suitable"))))),AND(Inputs!$E$32="Driven Precast Concrete",$A$42="Concrete Volume"),(IF(MIN(Pile!$DY$399:$DY$422)&gt;0,MIN(Pile!$DY$399:$DY$422), "Not Suitable")),AND(Inputs!$E$32="Driven Precast Concrete",$A$42="Number of Piles"),(IF(Pile!#REF!=Pile!$DQ$399,MIN(Pile!$DY$399:$DY$404),IF(Pile!#REF!=Pile!$DQ$405,MIN(Pile!$DY$405:$DY$410),IF(Pile!#REF!=Pile!$DQ$411,MIN(Pile!$DY$411:$DY$416),IF(Pile!#REF!=Pile!$DQ$417,MIN(Pile!$DY$417:$DY$422),"Not Suitable"))))),AND(Inputs!$E$32="Bored Cast in Place Concrete",$A$42="Concrete Volume"),(IF(MIN(Pile!$DX$399:$DX$422)&gt;0,MIN(Pile!$DX$399:$DX$422), "Not Suitable")),AND(Inputs!$E$32="Bored Cast in Place Concrete",$A$42="Number of Piles"),(IF(Pile!#REF!=Pile!$DQ$399,MIN(Pile!$DX$399:$DX$404),IF(Pile!#REF!=Pile!$DQ$405,MIN(Pile!$DX$405:$DX$410),IF(Pile!#REF!=Pile!$DQ$411,MIN(Pile!$DX$411:$DX$416),IF(Pile!#REF!=Pile!$DQ$417,MIN(Pile!$DX$417:$DX$422),"Not Suitable"))))))))</f>
        <v>6.0670350741115975</v>
      </c>
      <c r="G99" s="1198"/>
      <c r="H99" s="578" t="s">
        <v>1934</v>
      </c>
      <c r="I99" s="1210" cm="1">
        <f t="array" ref="I99">_xlfn.SINGLE(IF(SUMPRODUCT(--ISNUMBER(Pile!$EM$399:$EM$422))&lt;=0,"Not Suitable",_xlfn.IFS(AND(OR(Inputs!$E$32="Continuous Flight Auger",Inputs!$E$32="All Types"),$A$42="Concrete Volume"),(IFERROR(_xlfn.SINGLE(INDEX(Pile!$EC$399:$EC$422,_xlfn.AGGREGATE(15,3,((Pile!$EM$399:$EM$422=M99)/(Pile!$EM$399:$EM$422=M99)*ROW(Pile!$EM$399:$EM$422))-ROW(Pile!$EC$398),ROWS(H99)))),"Not Suitable")),AND(OR(Inputs!$E$32="Continuous Flight Auger",Inputs!$E$32="All Types"),$A$42="Number of Piles"),(IFERROR(_xlfn.SINGLE(INDEX(Pile!$EC$399:$EC$422,_xlfn.AGGREGATE(15,3,((Pile!$EM$399:$EM$422=M99)/(Pile!$EM$399:$EM$422=M99)*ROW(Pile!$EM$399:$EM$422))-ROW(Pile!$EC$398),ROWS(H99)))),"Not Suitable")),AND(Inputs!$E$32="Driven Precast Concrete",$A$42="Concrete Volume"),(IFERROR(_xlfn.SINGLE(INDEX(Pile!$EC$399:$EC$422,_xlfn.AGGREGATE(15,3,((Pile!$EL$399:$EL$422=M99)/(Pile!$EL$399:$EL$422=M99)*ROW(Pile!$EL$399:$EL$422))-ROW(Pile!$EC$398),ROWS(H99)))),"Not Suitable")),AND(Inputs!$E$32="Driven Precast Concrete",$A$42="Number of Piles"),(IFERROR(_xlfn.SINGLE(INDEX(Pile!$EC$399:$EC$422,_xlfn.AGGREGATE(15,3,((Pile!$EL$399:$EL$422=M99)/(Pile!$EL$399:$EL$422=M99)*ROW(Pile!$EL$399:$EL$422))-ROW(Pile!$EC$398),ROWS(H99)))),"Not Suitable")),AND(Inputs!$E$32="Bored Cast in Place Concrete",$A$42="Concrete Volume"),(IFERROR(_xlfn.SINGLE(INDEX(Pile!$EC$399:$EC$422,_xlfn.AGGREGATE(15,3,((Pile!$EK$399:$EK$422=M99)/(Pile!$EK$399:$EK$422=M99)*ROW(Pile!$EK$399:$EK$422))-ROW(Pile!$EC$398),ROWS(H99)))),"Not Suitable")),AND(Inputs!$E$32="Bored Cast in Place Concrete",$A$42="Number of Piles"),(IFERROR(_xlfn.SINGLE(INDEX(Pile!$EC$399:$EC$422,_xlfn.AGGREGATE(15,3,((Pile!$EK$399:$EK$422=M99)/(Pile!$EK$399:$EK$422=M99)*ROW(Pile!$EK$399:$EK$422))-ROW(Pile!$EC$398),ROWS(H99)))),"Not Suitable")))))</f>
        <v>450</v>
      </c>
      <c r="J99" s="1211">
        <f>IF(M99="Not Suitable","Not Suitable",M99/(L99*PI()*(I99/2000)^2))</f>
        <v>9.5367765131532263</v>
      </c>
      <c r="K99" s="1210" cm="1">
        <f t="array" ref="K99">_xlfn.SINGLE(IF(SUMPRODUCT(--ISNUMBER(Pile!$EM$399:$EM$422))&lt;=0,"Not Suitable",_xlfn.IFS(AND(OR(Inputs!$E$32="Continuous Flight Auger",Inputs!$E$32="All Types"),$A$42="Concrete Volume"),(IFERROR(_xlfn.SINGLE(INDEX(Pile!$EB$399:$EB$422,_xlfn.AGGREGATE(15,3,((Pile!$EM$399:$EM$422=M99)/(Pile!$EM$399:$EM$422=M99)*ROW(Pile!$EM$399:$EM$422))-ROW(Pile!$EC$398),ROWS(H99)))),"Not Suitable")),AND(OR(Inputs!$E$32="Continuous Flight Auger",Inputs!$E$32="All Types"),$A$42="Number of Piles"),(IF(SUMPRODUCT(--ISNUMBER(Pile!$EM$399:$EM$404)),Pile!$EB$399,IF(SUMPRODUCT(--ISNUMBER(Pile!$EM$405:$EM$410)),Pile!$EB$405,IF(SUMPRODUCT(--ISNUMBER(Pile!$EM$411:$EM$416)),Pile!$EB$411,IF(SUMPRODUCT(--ISNUMBER(Pile!$EM$417:$EM$422)),Pile!$EB$417,"Not Suitable"))))),AND(Inputs!$E$32="Driven Precast Concrete",$A$42="Concrete Volume"),(IFERROR(_xlfn.SINGLE(INDEX(Pile!$EB$399:$EB$422,_xlfn.AGGREGATE(15,3,((Pile!$EL$399:$EL$422=M99)/(Pile!$EL$399:$EL$422=M99)*ROW(Pile!$EL$399:$EL$422))-ROW(Pile!$EC$398),ROWS(H99)))),"Not Suitable")),AND(Inputs!$E$32="Driven Precast Concrete",$A$42="Number of Piles"),(IF(SUMPRODUCT(--ISNUMBER(Pile!$EL$399:$EL$404)),Pile!$EB$399,IF(SUMPRODUCT(--ISNUMBER(Pile!$EL$405:$EL$410)),Pile!$EB$405,IF(SUMPRODUCT(--ISNUMBER(Pile!$EL$411:$EL$416)),Pile!$EB$411,IF(SUMPRODUCT(--ISNUMBER(Pile!$EL$417:$EL$422)),Pile!$EB$417,"Not Suitable"))))),AND(Inputs!$E$32="Bored Cast in Place Concrete",$A$42="Concrete Volume"),(IFERROR(_xlfn.SINGLE(INDEX(Pile!$EB$399:$EB$422,_xlfn.AGGREGATE(15,3,((Pile!$EK$399:$EK$422=M99)/(Pile!$EK$399:$EK$422=M99)*ROW(Pile!$EK$399:$EK$422))-ROW(Pile!$EC$398),ROWS(H99)))),"Not Suitable")),AND(Inputs!$E$32="Bored Cast in Place Concrete",$A$42="Number of Piles"),(IF(SUMPRODUCT(--ISNUMBER(Pile!$EK$399:$EK$404)),Pile!$EB$399,IF(SUMPRODUCT(--ISNUMBER(Pile!$EK$405:$EK$410)),Pile!$EB$405,IF(SUMPRODUCT(--ISNUMBER(Pile!$EK$411:$EK$416)),Pile!$EB$411,IF(SUMPRODUCT(--ISNUMBER(Pile!$EK$417:$EK$422)),Pile!$EB$417,"Not Suitable"))))))))</f>
        <v>1</v>
      </c>
      <c r="L99" s="1210" cm="1">
        <f t="array" ref="L99">_xlfn.SINGLE(IF(SUMPRODUCT(--ISNUMBER(Pile!$EM$399:$EM$422))&lt;=0,"Not Suitable",_xlfn.IFS(AND(OR(Inputs!$E$32="Continuous Flight Auger",Inputs!$E$32="All Types"),$A$42="Concrete Volume"),(IFERROR(_xlfn.SINGLE(INDEX(Pile!$ED$399:$ED$422,_xlfn.AGGREGATE(15,3,((Pile!$EM$399:$EM$422=M99)/(Pile!$EM$399:$EM$422=M99)*ROW(Pile!$EM$399:$EM$422))-ROW(Pile!$EC$398),ROWS(H99)))),"Not Suitable")),AND(OR(Inputs!$E$32="Continuous Flight Auger",Inputs!$E$32="All Types"),$A$42="Number of Piles"),(IF(SUMPRODUCT(--ISNUMBER(Pile!$EM$399:$EM$404)),Pile!$ED$399,IF(SUMPRODUCT(--ISNUMBER(Pile!$EM$405:$EM$410)),Pile!$ED$405,IF(SUMPRODUCT(--ISNUMBER(Pile!$EM$411:$EM$416)),Pile!$ED$411,IF(SUMPRODUCT(--ISNUMBER(Pile!$EM$417:$EM$422)),Pile!$ED$417,"Not Suitable"))))),AND(Inputs!$E$32="Driven Precast Concrete",$A$42="Concrete Volume"),(IFERROR(_xlfn.SINGLE(INDEX(Pile!$ED$399:$ED$422,_xlfn.AGGREGATE(15,3,((Pile!$EL$399:$EL$422=M99)/(Pile!$EL$399:$EL$422=M99)*ROW(Pile!$EL$399:$EL$422))-ROW(Pile!$EC$398),ROWS(H99)))),"Not Suitable")),AND(Inputs!$E$32="Driven Precast Concrete",$A$42="Number of Piles"),(IF(SUMPRODUCT(--ISNUMBER(Pile!$EL$399:$EL$404)),Pile!$ED$399,IF(SUMPRODUCT(--ISNUMBER(Pile!$EL$405:$EL$410)),Pile!$ED$405,IF(SUMPRODUCT(--ISNUMBER(Pile!$EL$411:$EL$416)),Pile!$ED$411,IF(SUMPRODUCT(--ISNUMBER(Pile!$EL$417:$EL$422)),Pile!$ED$417,"Not Suitable"))))),AND(Inputs!$E$32="Bored Cast in Place Concrete",$A$42="Concrete Volume"),(IFERROR(_xlfn.SINGLE(INDEX(Pile!$ED$399:$ED$422,_xlfn.AGGREGATE(15,3,((Pile!$EK$399:$EK$422=M99)/(Pile!$EK$399:$EK$422=M99)*ROW(Pile!$EK$399:$EK$422))-ROW(Pile!$EC$398),ROWS(H99)))),"Not Suitable")),AND(Inputs!$E$32="Bored Cast in Place Concrete",$A$42="Number of Piles"),(IF(SUMPRODUCT(--ISNUMBER(Pile!$EK$399:$EK$404)),Pile!$ED$399,IF(SUMPRODUCT(--ISNUMBER(Pile!$EK$405:$EK$410)),Pile!$ED$405,IF(SUMPRODUCT(--ISNUMBER(Pile!$EK$411:$EK$416)),Pile!$ED$411,IF(SUMPRODUCT(--ISNUMBER(Pile!$EK$417:$EK$422)),Pile!$ED$417,"Not Suitable"))))))))</f>
        <v>4</v>
      </c>
      <c r="M99" s="1211" cm="1">
        <f t="array" ref="M99">_xlfn.SINGLE(IF(SUMPRODUCT(--ISNUMBER(Pile!$EM$399:$EM$422))&lt;=0,"Not Suitable",_xlfn.IFS(AND(OR(Inputs!$E$32="Continuous Flight Auger",Inputs!$E$32="All Types"),$A$42="Concrete Volume"),(IF(MIN(Pile!$EM$399:$EM$422)&gt;0,MIN(Pile!$EM$399:$EM$422), "Not Suitable")),AND(OR(Inputs!$E$32="Continuous Flight Auger",Inputs!$E$32="All Types"),$A$42="Number of Piles"),(IF(Pile!#REF!=Pile!$ED$399,MIN(Pile!$EM$399:$EM$404),IF(Pile!#REF!=Pile!$ED$405,MIN(Pile!$EM$405:$EM$410),IF(Pile!#REF!=Pile!$ED$411,MIN(Pile!$EM$411:$EM$416),IF(Pile!#REF!=Pile!$ED$417,MIN(Pile!$EM$417:$EM$422),"Not Suitable"))))),AND(Inputs!$E$32="Driven Precast Concrete",$A$42="Concrete Volume"),(IF(MIN(Pile!$EL$399:$EL$422)&gt;0,MIN(Pile!$EL$399:$EL$422), "Not Suitable")),AND(Inputs!$E$32="Driven Precast Concrete",$A$42="Number of Piles"),(IF(Pile!#REF!=Pile!$ED$399,MIN(Pile!$EL$399:$EL$404),IF(Pile!#REF!=Pile!$ED$405,MIN(Pile!$EL$405:$EL$410),IF(Pile!#REF!=Pile!$ED$411,MIN(Pile!$EL$411:$EL$416),IF(Pile!#REF!=Pile!$ED$417,MIN(Pile!$EL$417:$EL$422),"Not Suitable"))))),AND(Inputs!$E$32="Bored Cast in Place Concrete",$A$42="Concrete Volume"),(IF(MIN(Pile!$EK$399:$EK$422)&gt;0,MIN(Pile!$EK$399:$EK$422), "Not Suitable")),AND(Inputs!$E$32="Bored Cast in Place Concrete",$A$42="Number of Piles"),(IF(Pile!#REF!=Pile!$ED$399,MIN(Pile!$EK$399:$EK$404),IF(Pile!#REF!=Pile!$ED$405,MIN(Pile!$EK$405:$EK$410),IF(Pile!#REF!=Pile!$ED$411,MIN(Pile!$EK$411:$EK$416),IF(Pile!#REF!=Pile!$ED$417,MIN(Pile!$EK$417:$EK$422),"Not Suitable"))))))))</f>
        <v>6.0670350741115975</v>
      </c>
      <c r="N99" s="1198"/>
      <c r="O99" s="578" t="s">
        <v>1934</v>
      </c>
      <c r="P99" s="1210" cm="1">
        <f t="array" ref="P99">_xlfn.SINGLE(IF(SUMPRODUCT(--ISNUMBER(Pile!$EZ$399:$EZ$422))&lt;=0,"Not Suitable",_xlfn.IFS(AND(OR(Inputs!$E$32="Continuous Flight Auger",Inputs!$E$32="All Types"),$A$42="Concrete Volume"),(IFERROR(_xlfn.SINGLE(INDEX(Pile!$EP$399:$EP$422,_xlfn.AGGREGATE(15,3,((Pile!$EZ$399:$EZ$422=T99)/(Pile!$EZ$399:$EZ$422=T99)*ROW(Pile!$EZ$399:$EZ$422))-ROW(Pile!$EP$398),ROWS(O99)))),"Not Suitable")),AND(OR(Inputs!$E$32="Continuous Flight Auger",Inputs!$E$32="All Types"),$A$42="Number of Piles"),(IFERROR(_xlfn.SINGLE(INDEX(Pile!$EP$399:$EP$422,_xlfn.AGGREGATE(15,3,((Pile!$EZ$399:$EZ$422=T99)/(Pile!$EZ$399:$EZ$422=T99)*ROW(Pile!$EZ$399:$EZ$422))-ROW(Pile!$EP$398),ROWS(O99)))),"Not Suitable")),AND(Inputs!$E$32="Driven Precast Concrete",$A$42="Concrete Volume"),(IFERROR(_xlfn.SINGLE(INDEX(Pile!$EP$399:$EP$422,_xlfn.AGGREGATE(15,3,((Pile!$EY$399:$EY$422=T99)/(Pile!$EY$399:$EY$422=T99)*ROW(Pile!$EY$399:$EY$422))-ROW(Pile!$EP$398),ROWS(O99)))),"Not Suitable")),AND(Inputs!$E$32="Driven Precast Concrete",$A$42="Number of Piles"),(IFERROR(_xlfn.SINGLE(INDEX(Pile!$EP$399:$EP$422,_xlfn.AGGREGATE(15,3,((Pile!$EY$399:$EY$422=T99)/(Pile!$EY$399:$EY$422=T99)*ROW(Pile!$EY$399:$EY$422))-ROW(Pile!$EP$398),ROWS(O99)))),"Not Suitable")),AND(Inputs!$E$32="Bored Cast in Place Concrete",$A$42="Concrete Volume"),(IFERROR(_xlfn.SINGLE(INDEX(Pile!$EP$399:$EP$422,_xlfn.AGGREGATE(15,3,((Pile!$EX$399:$EX$422=T99)/(Pile!$EX$399:$EX$422=T99)*ROW(Pile!$EX$399:$EX$422))-ROW(Pile!$EP$398),ROWS(O99)))),"Not Suitable")),AND(Inputs!$E$32="Bored Cast in Place Concrete",$A$42="Number of Piles"),(IFERROR(_xlfn.SINGLE(INDEX(Pile!$EP$399:$EP$422,_xlfn.AGGREGATE(15,3,((Pile!$EX$399:$EX$422=T99)/(Pile!$EX$399:$EX$422=T99)*ROW(Pile!$EX$399:$EX$422))-ROW(Pile!$EP$398),ROWS(O99)))),"Not Suitable")))))</f>
        <v>450</v>
      </c>
      <c r="Q99" s="1211">
        <f>IF(T99="Not Suitable","Not Suitable",T99/(S99*PI()*(P99/2000)^2))</f>
        <v>999999</v>
      </c>
      <c r="R99" s="1210" cm="1">
        <f t="array" ref="R99">_xlfn.SINGLE(IF(SUMPRODUCT(--ISNUMBER(Pile!$EZ$399:$EZ$422))&lt;=0,"Not Suitable",_xlfn.IFS(AND(OR(Inputs!$E$32="Continuous Flight Auger",Inputs!$E$32="All Types"),$A$42="Concrete Volume"),(IFERROR(_xlfn.SINGLE(INDEX(Pile!$EO$399:$EO$422,_xlfn.AGGREGATE(15,3,((Pile!$EZ$399:$EZ$422=T99)/(Pile!$EZ$399:$EZ$422=T99)*ROW(Pile!$EZ$399:$EZ$422))-ROW(Pile!$EP$398),ROWS(O99)))),"Not Suitable")),AND(OR(Inputs!$E$32="Continuous Flight Auger",Inputs!$E$32="All Types"),$A$42="Number of Piles"),(IF(SUMPRODUCT(--ISNUMBER(Pile!$EZ$399:$EZ$404)),Pile!$EO$399,IF(SUMPRODUCT(--ISNUMBER(Pile!$EZ$405:$EZ$410)),Pile!$EO$405,IF(SUMPRODUCT(--ISNUMBER(Pile!$EZ$411:$EZ$416)),Pile!$EO$411,IF(SUMPRODUCT(--ISNUMBER(Pile!$EZ$417:$EZ$422)),Pile!$EO$417,"Not Suitable"))))),AND(Inputs!$E$32="Driven Precast Concrete",$A$42="Concrete Volume"),(IFERROR(_xlfn.SINGLE(INDEX(Pile!$EO$399:$EO$422,_xlfn.AGGREGATE(15,3,((Pile!$EY$399:$EY$422=T99)/(Pile!$EY$399:$EY$422=T99)*ROW(Pile!$EY$399:$EY$422))-ROW(Pile!$EP$398),ROWS(O99)))),"Not Suitable")),AND(Inputs!$E$32="Driven Precast Concrete",$A$42="Number of Piles"),(IF(SUMPRODUCT(--ISNUMBER(Pile!$EY$399:$EY$404)),Pile!$EO$399,IF(SUMPRODUCT(--ISNUMBER(Pile!$EY$405:$EY$410)),Pile!$EO$405,IF(SUMPRODUCT(--ISNUMBER(Pile!$EY$411:$EY$416)),Pile!$EO$411,IF(SUMPRODUCT(--ISNUMBER(Pile!$EY$417:$EY$422)),Pile!$EO$417,"Not Suitable"))))),AND(Inputs!$E$32="Bored Cast in Place Concrete",$A$42="Concrete Volume"),(IFERROR(_xlfn.SINGLE(INDEX(Pile!$EO$399:$EO$422,_xlfn.AGGREGATE(15,3,((Pile!$EX$399:$EX$422=T99)/(Pile!$EX$399:$EX$422=T99)*ROW(Pile!$EX$399:$EX$422))-ROW(Pile!$EP$398),ROWS(O99)))),"Not Suitable")),AND(Inputs!$E$32="Bored Cast in Place Concrete",$A$42="Number of Piles"),(IF(SUMPRODUCT(--ISNUMBER(Pile!$EX$399:$EX$404)),Pile!$EO$399,IF(SUMPRODUCT(--ISNUMBER(Pile!$EX$405:$EX$410)),Pile!$EO$405,IF(SUMPRODUCT(--ISNUMBER(Pile!$EX$411:$EX$416)),Pile!$EO$411,IF(SUMPRODUCT(--ISNUMBER(Pile!$EX$417:$EX$422)),Pile!$EO$417,"Not Suitable"))))))))</f>
        <v>1</v>
      </c>
      <c r="S99" s="1210" cm="1">
        <f t="array" ref="S99">_xlfn.SINGLE(IF(SUMPRODUCT(--ISNUMBER(Pile!$EZ$399:$EZ$422))&lt;=0,"Not Suitable",_xlfn.IFS(AND(OR(Inputs!$E$32="Continuous Flight Auger",Inputs!$E$32="All Types"),$A$42="Concrete Volume"),(IFERROR(_xlfn.SINGLE(INDEX(Pile!$EQ$399:$EQ$422,_xlfn.AGGREGATE(15,3,((Pile!$EZ$399:$EZ$422=T99)/(Pile!$EZ$399:$EZ$422=T99)*ROW(Pile!$EZ$399:$EZ$422))-ROW(Pile!$EP$398),ROWS(O99)))),"Not Suitable")),AND(OR(Inputs!$E$32="Continuous Flight Auger",Inputs!$E$32="All Types"),$A$42="Number of Piles"),(IF(SUMPRODUCT(--ISNUMBER(Pile!$EZ$399:$EZ$404)),Pile!$EQ$399,IF(SUMPRODUCT(--ISNUMBER(Pile!$EZ$405:$EZ$410)),Pile!$EQ$405,IF(SUMPRODUCT(--ISNUMBER(Pile!$EZ$411:$EZ$416)),Pile!$EQ$411,IF(SUMPRODUCT(--ISNUMBER(Pile!$EZ$417:$EZ$422)),Pile!$EQ$417,"Not Suitable"))))),AND(Inputs!$E$32="Driven Precast Concrete",$A$42="Concrete Volume"),(IFERROR(_xlfn.SINGLE(INDEX(Pile!$EQ$399:$EQ$422,_xlfn.AGGREGATE(15,3,((Pile!$EY$399:$EY$422=T99)/(Pile!$EY$399:$EY$422=T99)*ROW(Pile!$EY$399:$EY$422))-ROW(Pile!$EP$398),ROWS(O99)))),"Not Suitable")),AND(Inputs!$E$32="Driven Precast Concrete",$A$42="Number of Piles"),(IF(SUMPRODUCT(--ISNUMBER(Pile!$EY$399:$EY$404)),Pile!$EQ$399,IF(SUMPRODUCT(--ISNUMBER(Pile!$EY$405:$EY$410)),Pile!$EQ$405,IF(SUMPRODUCT(--ISNUMBER(Pile!$EY$411:$EY$416)),Pile!$EQ$411,IF(SUMPRODUCT(--ISNUMBER(Pile!$EY$417:$EY$422)),Pile!$EQ$417,"Not Suitable"))))),AND(Inputs!$E$32="Bored Cast in Place Concrete",$A$42="Concrete Volume"),(IFERROR(_xlfn.SINGLE(INDEX(Pile!$EQ$399:$EQ$422,_xlfn.AGGREGATE(15,3,((Pile!$EX$399:$EX$422=T99)/(Pile!$EX$399:$EX$422=T99)*ROW(Pile!$EX$399:$EX$422))-ROW(Pile!$EP$398),ROWS(O99)))),"Not Suitable")),AND(Inputs!$E$32="Bored Cast in Place Concrete",$A$42="Number of Piles"),(IF(SUMPRODUCT(--ISNUMBER(Pile!$EX$399:$EX$404)),Pile!$EQ$399,IF(SUMPRODUCT(--ISNUMBER(Pile!$EX$405:$EX$410)),Pile!$EQ$405,IF(SUMPRODUCT(--ISNUMBER(Pile!$EX$411:$EX$416)),Pile!$EQ$411,IF(SUMPRODUCT(--ISNUMBER(Pile!$EX$417:$EX$422)),Pile!$EQ$417,"Not Suitable"))))))))</f>
        <v>4</v>
      </c>
      <c r="T99" s="1211" cm="1">
        <f t="array" ref="T99">_xlfn.SINGLE(IF(SUMPRODUCT(--ISNUMBER(Pile!$EZ$399:$EZ$422))&lt;=0,"Not Suitable",_xlfn.IFS(AND(OR(Inputs!$E$32="Continuous Flight Auger",Inputs!$E$32="All Types"),$A$42="Concrete Volume"),(IF(MIN(Pile!$EZ$399:$EZ$422)&gt;0,MIN(Pile!$EZ$399:$EZ$422), "Not Suitable")),AND(OR(Inputs!$E$32="Continuous Flight Auger",Inputs!$E$32="All Types"),$A$42="Number of Piles"),(IF(Pile!#REF!=Pile!$EQ$399,MIN(Pile!$EZ$399:$EZ$404),IF(Pile!#REF!=Pile!$EQ$405,MIN(Pile!$EZ$405:$EZ$410),IF(Pile!#REF!=Pile!$EQ$411,MIN(Pile!$EZ$411:$EZ$416),IF(Pile!#REF!=Pile!$EQ$417,MIN(Pile!$EZ$417:$EZ$422),"Not Suitable"))))),AND(Inputs!$E$32="Driven Precast Concrete",$A$42="Concrete Volume"),(IF(MIN(Pile!$EY$399:$EY$422)&gt;0,MIN(Pile!$EY$399:$EY$422), "Not Suitable")),AND(Inputs!$E$32="Driven Precast Concrete",$A$42="Number of Piles"),(IF(Pile!#REF!=Pile!$EQ$399,MIN(Pile!$EY$399:$EY$404),IF(Pile!#REF!=Pile!$EQ$405,MIN(Pile!$EY$405:$EY$410),IF(Pile!#REF!=Pile!$EQ$411,MIN(Pile!$EY$411:$EY$416),IF(Pile!#REF!=Pile!$EQ$417,MIN(Pile!$EY$417:$EY$422),"Not Suitable"))))),AND(Inputs!$E$32="Bored Cast in Place Concrete",$A$42="Concrete Volume"),(IF(MIN(Pile!$EX$399:$EX$422)&gt;0,MIN(Pile!$EX$399:$EX$422), "Not Suitable")),AND(Inputs!$E$32="Bored Cast in Place Concrete",$A$42="Number of Piles"),(IF(Pile!#REF!=Pile!$EQ$399,MIN(Pile!$EX$399:$EX$404),IF(Pile!#REF!=Pile!$EQ$405,MIN(Pile!$EX$405:$EX$410),IF(Pile!#REF!=Pile!$EQ$411,MIN(Pile!$EX$411:$EX$416),IF(Pile!#REF!=Pile!$EQ$417,MIN(Pile!$EX$417:$EX$422),"Not Suitable"))))))))</f>
        <v>636171.87617942085</v>
      </c>
      <c r="V99" s="1218"/>
    </row>
    <row r="100" spans="1:22" s="314" customFormat="1" ht="15.75" thickBot="1">
      <c r="A100" s="308"/>
      <c r="B100" s="1212"/>
      <c r="C100" s="1213"/>
      <c r="D100" s="1212"/>
      <c r="E100" s="1212"/>
      <c r="F100" s="1212"/>
      <c r="G100" s="1198"/>
      <c r="H100" s="308"/>
      <c r="I100" s="1212"/>
      <c r="J100" s="1213"/>
      <c r="K100" s="1212"/>
      <c r="L100" s="1212"/>
      <c r="M100" s="1212"/>
      <c r="N100" s="1198"/>
      <c r="O100" s="308"/>
      <c r="P100" s="1212"/>
      <c r="Q100" s="1213"/>
      <c r="R100" s="1212"/>
      <c r="S100" s="1212"/>
      <c r="T100" s="1212"/>
      <c r="V100" s="1219"/>
    </row>
    <row r="101" spans="1:22" s="314" customFormat="1" ht="15.75" thickBot="1">
      <c r="A101" s="1203" t="s">
        <v>871</v>
      </c>
      <c r="B101" s="1204" t="s">
        <v>821</v>
      </c>
      <c r="C101" s="1205" t="s">
        <v>847</v>
      </c>
      <c r="D101" s="1206" t="s">
        <v>883</v>
      </c>
      <c r="E101" s="1206" t="s">
        <v>884</v>
      </c>
      <c r="F101" s="1207" t="s">
        <v>885</v>
      </c>
      <c r="G101" s="1198"/>
      <c r="H101" s="1203" t="s">
        <v>871</v>
      </c>
      <c r="I101" s="1204" t="s">
        <v>821</v>
      </c>
      <c r="J101" s="1205" t="s">
        <v>847</v>
      </c>
      <c r="K101" s="1206" t="s">
        <v>883</v>
      </c>
      <c r="L101" s="1206" t="s">
        <v>884</v>
      </c>
      <c r="M101" s="1207" t="s">
        <v>885</v>
      </c>
      <c r="N101" s="1198"/>
      <c r="O101" s="1203" t="s">
        <v>871</v>
      </c>
      <c r="P101" s="1204" t="s">
        <v>821</v>
      </c>
      <c r="Q101" s="1205" t="s">
        <v>847</v>
      </c>
      <c r="R101" s="1206" t="s">
        <v>883</v>
      </c>
      <c r="S101" s="1206" t="s">
        <v>884</v>
      </c>
      <c r="T101" s="1207" t="s">
        <v>885</v>
      </c>
      <c r="V101" s="1218"/>
    </row>
    <row r="102" spans="1:22" s="314" customFormat="1" ht="15.75" thickBot="1">
      <c r="A102" s="572" t="s">
        <v>1932</v>
      </c>
      <c r="B102" s="1208" cm="1">
        <f t="array" ref="B102">_xlfn.SINGLE(_xlfn.IFS(AND(Inputs!$E$32="All Types",$A$42="Concrete Volume"),(IFERROR(_xlfn.SINGLE(INDEX(Pile!$DP$336:$DP$359,_xlfn.AGGREGATE(15,3,((Pile!$DY$336:$DY$359=F102)/(Pile!$DY$336:$DY$359=F102)*ROW(Pile!$DY$336:$DY$359))-ROW(Pile!$DP$335),ROWS(A102)))),"Not Suitable")),AND(Inputs!$E$32="All Types",$A$42="Number of Piles"),(IFERROR(_xlfn.SINGLE(INDEX(Pile!$DP$336:$DP$359,_xlfn.AGGREGATE(15,3,((Pile!$DY$336:$DY$359=F102)/(Pile!$DY$336:$DY$359=F102)*ROW(Pile!$DY$336:$DY$359))-ROW(Pile!$DP$335),ROWS(A102)))),"Not Suitable"))))</f>
        <v>450</v>
      </c>
      <c r="C102" s="1209">
        <f>IF(F102="Not Suitable","Not Suitable",F102/(E102*PI()*(B102/2000)^2))</f>
        <v>17.036776513153228</v>
      </c>
      <c r="D102" s="1208" cm="1">
        <f t="array" ref="D102">_xlfn.SINGLE(_xlfn.IFS(AND(Inputs!$E$32="All Types",$A$42="Concrete Volume"),(IFERROR(_xlfn.SINGLE(INDEX(Pile!$DQO$336:$DQO$359,_xlfn.AGGREGATE(15,3,((Pile!$DY$336:$DY$359=F102)/(Pile!$DY$336:$DY$359=F102)*ROW(Pile!$DY$336:$DY$359))-ROW(Pile!$DP$335),ROWS(A102)))),"Not Suitable")),AND(Inputs!$E$32="All Types",$A$42="Number of Piles"),(IF(SUMPRODUCT(--ISNUMBER(Pile!$DY$336:$DY$341)),Pile!$DQO$336,IF(SUMPRODUCT(--ISNUMBER(Pile!$DY$342:$DY$347)),Pile!$DQO$342,IF(SUMPRODUCT(--ISNUMBER(Pile!$DY$348:$DY$353)),Pile!$DQO$348,IF(SUMPRODUCT(--ISNUMBER(Pile!$DY$354:$DY$359)),Pile!$DQO$354,"Not Suitable")))))))</f>
        <v>0</v>
      </c>
      <c r="E102" s="1208" cm="1">
        <f t="array" ref="E102">_xlfn.SINGLE(_xlfn.IFS(AND(Inputs!$E$32="All Types",$A$42="Concrete Volume"),(IFERROR(_xlfn.SINGLE(INDEX(Pile!$DQ$336:$DQ$359,_xlfn.AGGREGATE(15,3,((Pile!$DY$336:$DY$359=F102)/(Pile!$DY$336:$DY$359=F102)*ROW(Pile!$DY$336:$DY$359))-ROW(Pile!$DP$335),ROWS(A102)))),"Not Suitable")),AND(Inputs!$E$32="All Types",$A$42="Number of Piles"),(IF(SUMPRODUCT(--ISNUMBER(Pile!$DY$336:$DY$341)),Pile!$DQ$336,IF(SUMPRODUCT(--ISNUMBER(Pile!$DY$342:$DY$347)),Pile!$DQ$342,IF(SUMPRODUCT(--ISNUMBER(Pile!$DY$348:$DY$353)),Pile!$DQ$348,IF(SUMPRODUCT(--ISNUMBER(Pile!$DY$354:$DY$359)),Pile!$DQ$354,"Not Suitable")))))))</f>
        <v>63</v>
      </c>
      <c r="F102" s="1209">
        <f>_xlfn.IFS(AND(Inputs!$E$32="All Types",$A$42="Concrete Volume"),(IF(MIN(Pile!$DY$336:$DY$359)&gt;0, MIN(Pile!$DY$336:$DY$359), "Not Suitable")),AND(Inputs!$E$32="All Types",$A$42="Number of Piles"),(IF(Pile!#REF!=Pile!$DQ$336,MIN(Pile!$DY$336:$DY$341),IF(Pile!#REF!=Pile!$DQ$342,MIN(Pile!$DY$342:$DY$347),IF(Pile!#REF!=Pile!$DQ$348,MIN(Pile!$DY$348:$DY$353),IF(Pile!#REF!=Pile!$DQ$354,MIN(Pile!$DY$354:$DY$359),"Not Suitable"))))))</f>
        <v>170.70368043882976</v>
      </c>
      <c r="G102" s="1198"/>
      <c r="H102" s="572" t="s">
        <v>1932</v>
      </c>
      <c r="I102" s="1208" cm="1">
        <f t="array" ref="I102">_xlfn.SINGLE(_xlfn.IFS(AND(Inputs!$E$32="All Types",$A$42="Concrete Volume"),(IFERROR(_xlfn.SINGLE(INDEX(Pile!$EC$336:$EC$359,_xlfn.AGGREGATE(15,3,((Pile!$EL$336:$EL$359=M102)/(Pile!$EL$336:$EL$359=M102)*ROW(Pile!$EL$336:$EL$359))-ROW(Pile!$EC$335),ROWS(H102)))),"Not Suitable")),AND(Inputs!$E$32="All Types",$A$42="Number of Piles"),(IFERROR(_xlfn.SINGLE(INDEX(Pile!$EC$336:$EC$359,_xlfn.AGGREGATE(15,3,((Pile!$EL$336:$EL$359=M102)/(Pile!$EL$336:$EL$359=M102)*ROW(Pile!$EL$336:$EL$359))-ROW(Pile!$EC$335),ROWS(H102)))),"Not Suitable"))))</f>
        <v>450</v>
      </c>
      <c r="J102" s="1209">
        <f>IF(M102="Not Suitable","Not Suitable",M102/(L102*PI()*(I102/2000)^2))</f>
        <v>17.036776513153228</v>
      </c>
      <c r="K102" s="1208" cm="1">
        <f t="array" ref="K102">_xlfn.SINGLE(_xlfn.IFS(AND(Inputs!$E$32="All Types",$A$42="Concrete Volume"),(IFERROR(_xlfn.SINGLE(INDEX(Pile!$EB$336:$EB$359,_xlfn.AGGREGATE(15,3,((Pile!$EL$336:$EL$359=M102)/(Pile!$EL$336:$EL$359=M102)*ROW(Pile!$EL$336:$EL$359))-ROW(Pile!$EC$335),ROWS(H102)))),"Not Suitable")),AND(Inputs!$E$32="All Types",$A$42="Number of Piles"),(IF(SUMPRODUCT(--ISNUMBER(Pile!$EL$336:$EL$341)),Pile!$EB$336,IF(SUMPRODUCT(--ISNUMBER(Pile!$EL$342:$EL$347)),Pile!$EB$342,IF(SUMPRODUCT(--ISNUMBER(Pile!$EL$348:$EL$353)),Pile!$EB$348,IF(SUMPRODUCT(--ISNUMBER(Pile!$EL$354:$EL$359)),Pile!$EB$354,"Not Suitable")))))))</f>
        <v>1</v>
      </c>
      <c r="L102" s="1208" cm="1">
        <f t="array" ref="L102">_xlfn.SINGLE(_xlfn.IFS(AND(Inputs!$E$32="All Types",$A$42="Concrete Volume"),(IFERROR(_xlfn.SINGLE(INDEX(Pile!$ED$336:$ED$359,_xlfn.AGGREGATE(15,3,((Pile!$EL$336:$EL$359=M102)/(Pile!$EL$336:$EL$359=M102)*ROW(Pile!$EL$336:$EL$359))-ROW(Pile!$EC$335),ROWS(H102)))),"Not Suitable")),AND(Inputs!$E$32="All Types",$A$42="Number of Piles"),(IF(SUMPRODUCT(--ISNUMBER(Pile!$EL$336:$EL$341)),Pile!$ED$336,IF(SUMPRODUCT(--ISNUMBER(Pile!$EL$342:$EL$347)),Pile!$ED$342,IF(SUMPRODUCT(--ISNUMBER(Pile!$EL$348:$EL$353)),Pile!$ED$348,IF(SUMPRODUCT(--ISNUMBER(Pile!$EL$354:$EL$359)),Pile!$ED$354,"Not Suitable")))))))</f>
        <v>63</v>
      </c>
      <c r="M102" s="1209">
        <f>_xlfn.IFS(AND(Inputs!$E$32="All Types",$A$42="Concrete Volume"),(IF(MIN(Pile!$EL$336:$EL$359)&gt;0, MIN(Pile!$EL$336:$EL$359), "Not Suitable")),AND(Inputs!$E$32="All Types",$A$42="Number of Piles"),(IF(Pile!#REF!=Pile!$ED$336,MIN(Pile!$EL$336:$EL$341),IF(Pile!#REF!=Pile!$ED$342,MIN(Pile!$EL$342:$EL$347),IF(Pile!#REF!=Pile!$ED$348,MIN(Pile!$EL$348:$EL$353),IF(Pile!#REF!=Pile!$ED$354,MIN(Pile!$EL$354:$EL$359),"Not Suitable"))))))</f>
        <v>170.70368043882976</v>
      </c>
      <c r="N102" s="1198"/>
      <c r="O102" s="572" t="s">
        <v>1932</v>
      </c>
      <c r="P102" s="1208" cm="1">
        <f t="array" ref="P102">_xlfn.SINGLE(_xlfn.IFS(AND(Inputs!$E$32="All Types",$A$42="Concrete Volume"),(IFERROR(_xlfn.SINGLE(INDEX(Pile!$EP$336:$EP$359,_xlfn.AGGREGATE(15,3,((Pile!$EY$336:$EY$359=T102)/(Pile!$EY$336:$EY$359=T102)*ROW(Pile!$EY$336:$EY$359))-ROW(Pile!$EP$335),ROWS(O102)))),"Not Suitable")),AND(Inputs!$E$32="All Types",$A$42="Number of Piles"),(IFERROR(_xlfn.SINGLE(INDEX(Pile!$EP$336:$EP$359,_xlfn.AGGREGATE(15,3,((Pile!$EY$336:$EY$359=T102)/(Pile!$EY$336:$EY$359=T102)*ROW(Pile!$EY$336:$EY$359))-ROW(Pile!$EP$335),ROWS(O102)))),"Not Suitable"))))</f>
        <v>450</v>
      </c>
      <c r="Q102" s="1209">
        <f>IF(T102="Not Suitable","Not Suitable",T102/(S102*PI()*(P102/2000)^2))</f>
        <v>999998.99999999988</v>
      </c>
      <c r="R102" s="1208" cm="1">
        <f t="array" ref="R102">_xlfn.SINGLE(_xlfn.IFS(AND(Inputs!$E$32="All Types",$A$42="Concrete Volume"),(IFERROR(_xlfn.SINGLE(INDEX(Pile!$EO$336:$EO$359,_xlfn.AGGREGATE(15,3,((Pile!$EY$336:$EY$359=T102)/(Pile!$EY$336:$EY$359=T102)*ROW(Pile!$EY$336:$EY$359))-ROW(Pile!$EP$335),ROWS(O102)))),"Not Suitable")),AND(Inputs!$E$32="All Types",$A$42="Number of Piles"),(IF(SUMPRODUCT(--ISNUMBER(Pile!$EY$336:$EY$341)),Pile!$EO$336,IF(SUMPRODUCT(--ISNUMBER(Pile!$EY$342:$EY$347)),Pile!$EO$342,IF(SUMPRODUCT(--ISNUMBER(Pile!$EY$348:$EY$353)),Pile!$EO$348,IF(SUMPRODUCT(--ISNUMBER(Pile!$EY$354:$EY$359)),Pile!$EO$354,"Not Suitable")))))))</f>
        <v>1</v>
      </c>
      <c r="S102" s="1208" cm="1">
        <f t="array" ref="S102">_xlfn.SINGLE(_xlfn.IFS(AND(Inputs!$E$32="All Types",$A$42="Concrete Volume"),(IFERROR(_xlfn.SINGLE(INDEX(Pile!$EQ$336:$EQ$359,_xlfn.AGGREGATE(15,3,((Pile!$EY$336:$EY$359=T102)/(Pile!$EY$336:$EY$359=T102)*ROW(Pile!$EY$336:$EY$359))-ROW(Pile!$EP$335),ROWS(O102)))),"Not Suitable")),AND(Inputs!$E$32="All Types",$A$42="Number of Piles"),(IF(SUMPRODUCT(--ISNUMBER(Pile!$EY$336:$EY$341)),Pile!$EQ$336,IF(SUMPRODUCT(--ISNUMBER(Pile!$EY$342:$EY$347)),Pile!$EQ$342,IF(SUMPRODUCT(--ISNUMBER(Pile!$EY$348:$EY$353)),Pile!$EQ$348,IF(SUMPRODUCT(--ISNUMBER(Pile!$EY$354:$EY$359)),Pile!$EQ$354,"Not Suitable")))))))</f>
        <v>63</v>
      </c>
      <c r="T102" s="1209">
        <f>_xlfn.IFS(AND(Inputs!$E$32="All Types",$A$42="Concrete Volume"),(IF(MIN(Pile!$EY$336:$EY$359)&gt;0, MIN(Pile!$EY$336:$EY$359), "Not Suitable")),AND(Inputs!$E$32="All Types",$A$42="Number of Piles"),(IF(Pile!#REF!=Pile!$EQ$336,MIN(Pile!$EY$336:$EY$341),IF(Pile!#REF!=Pile!$EQ$342,MIN(Pile!$EY$342:$EY$347),IF(Pile!#REF!=Pile!$EQ$348,MIN(Pile!$EY$348:$EY$353),IF(Pile!#REF!=Pile!$EQ$354,MIN(Pile!$EY$354:$EY$359),"Not Suitable"))))))</f>
        <v>10019707.049825877</v>
      </c>
      <c r="V102" s="1218"/>
    </row>
    <row r="103" spans="1:22" s="314" customFormat="1" ht="15.75" thickBot="1">
      <c r="A103" s="572" t="s">
        <v>1933</v>
      </c>
      <c r="B103" s="1210" cm="1">
        <f t="array" ref="B103">_xlfn.SINGLE(_xlfn.IFS(AND(Inputs!$E$32="All Types",$A$42="Concrete Volume"),(IFERROR(_xlfn.SINGLE(INDEX(Pile!$DP$368:$DP$391,_xlfn.AGGREGATE(15,3,((Pile!$DY$368:$DY$391=F103)/(Pile!$DY$368:$DY$391=F103)*ROW(Pile!$DY$368:$DY$391))-ROW(Pile!$DP$367),ROWS(A103)))),"Not Suitable")),AND(Inputs!$E$32="All Types",$A$42="Number of Piles"),(IFERROR(_xlfn.SINGLE(INDEX(Pile!$DP$368:$DP$391,_xlfn.AGGREGATE(15,3,((Pile!$DY$368:$DY$391=F103)/(Pile!$DY$368:$DY$391=F103)*ROW(Pile!$DY$368:$DY$391))-ROW(Pile!$DP$367),ROWS(A103)))),"Not Suitable"))))</f>
        <v>450</v>
      </c>
      <c r="C103" s="1211">
        <f>IF(F103="Not Suitable","Not Suitable",F103/(E103*PI()*(B103/2000)^2))</f>
        <v>17.036776513153224</v>
      </c>
      <c r="D103" s="1210" cm="1">
        <f t="array" ref="D103">_xlfn.SINGLE(_xlfn.IFS(AND(Inputs!$E$32="All Types",$A$42="Concrete Volume"),(IFERROR(_xlfn.SINGLE(INDEX(Pile!$DQO$368:$DQO$391,_xlfn.AGGREGATE(15,3,((Pile!$DY$368:$DY$391=F103)/(Pile!$DY$368:$DY$391=F103)*ROW(Pile!$DY$368:$DY$391))-ROW(Pile!$DP$367),ROWS(A103)))),"Not Suitable")),AND(Inputs!$E$32="All Types",$A$42="Number of Piles"),(IF(SUMPRODUCT(--ISNUMBER(Pile!$DY$368:$DY$373)),Pile!$DQO$368,IF(SUMPRODUCT(--ISNUMBER(Pile!$DY$374:$DY$379)),Pile!$DQO$374,IF(SUMPRODUCT(--ISNUMBER(Pile!$DY$380:$DY$385)),Pile!$DQO$380,IF(SUMPRODUCT(--ISNUMBER(Pile!$DY$386:$DY$391)),Pile!$DQO$386,"Not Suitable")))))))</f>
        <v>0</v>
      </c>
      <c r="E103" s="1210" cm="1">
        <f t="array" ref="E103">_xlfn.SINGLE(_xlfn.IFS(AND(Inputs!$E$32="All Types",$A$42="Concrete Volume"),(IFERROR(_xlfn.SINGLE(INDEX(Pile!$DQ$368:$DQ$391,_xlfn.AGGREGATE(15,3,((Pile!$DY$368:$DY$391=F103)/(Pile!$DY$368:$DY$391=F103)*ROW(Pile!$DY$368:$DY$391))-ROW(Pile!$DP$367),ROWS(A103)))),"Not Suitable")),AND(Inputs!$E$32="All Types",$A$42="Number of Piles"),(IF(SUMPRODUCT(--ISNUMBER(Pile!$DY$368:$DY$373)),Pile!$DQ$368,IF(SUMPRODUCT(--ISNUMBER(Pile!$DY$374:$DY$379)),Pile!$DQ$374,IF(SUMPRODUCT(--ISNUMBER(Pile!$DY$380:$DY$385)),Pile!$DQ$380,IF(SUMPRODUCT(--ISNUMBER(Pile!$DY$386:$DY$391)),Pile!$DQ$386,"Not Suitable")))))))</f>
        <v>32</v>
      </c>
      <c r="F103" s="1211">
        <f>_xlfn.IFS(AND(Inputs!$E$32="All Types",$A$42="Concrete Volume"),(IF(MIN(Pile!$DY$368:$DY$391)&gt;0,MIN(Pile!$DY$368:$DY$391), "Not Suitable")),AND(Inputs!$E$32="All Types",$A$42="Number of Piles"),(IF(Pile!#REF!=Pile!$DQ$368,MIN(Pile!$DY$368:$DY$373),IF(Pile!#REF!=Pile!$DQ$374,MIN(Pile!$DY$374:$DY$379),IF(Pile!#REF!=Pile!$DQ$380,MIN(Pile!$DY$380:$DY$385),IF(Pile!#REF!=Pile!$DQ$386,MIN(Pile!$DY$386:$DY$391),"Not Suitable"))))))</f>
        <v>86.706631334008762</v>
      </c>
      <c r="G103" s="1198"/>
      <c r="H103" s="572" t="s">
        <v>1933</v>
      </c>
      <c r="I103" s="1210" cm="1">
        <f t="array" ref="I103">_xlfn.SINGLE(_xlfn.IFS(AND(Inputs!$E$32="All Types",$A$42="Concrete Volume"),(IFERROR(_xlfn.SINGLE(INDEX(Pile!$EC$368:$EC$391,_xlfn.AGGREGATE(15,3,((Pile!$EL$368:$EL$391=M103)/(Pile!$EL$368:$EL$391=M103)*ROW(Pile!$EL$368:$EL$391))-ROW(Pile!$EC$367),ROWS(H103)))),"Not Suitable")),AND(Inputs!$E$32="All Types",$A$42="Number of Piles"),(IFERROR(_xlfn.SINGLE(INDEX(Pile!$EC$368:$EC$391,_xlfn.AGGREGATE(15,3,((Pile!$EL$368:$EL$391=M103)/(Pile!$EL$368:$EL$391=M103)*ROW(Pile!$EL$368:$EL$391))-ROW(Pile!$EC$367),ROWS(H103)))),"Not Suitable"))))</f>
        <v>450</v>
      </c>
      <c r="J103" s="1211">
        <f>IF(M103="Not Suitable","Not Suitable",M103/(L103*PI()*(I103/2000)^2))</f>
        <v>17.036776513153224</v>
      </c>
      <c r="K103" s="1210" cm="1">
        <f t="array" ref="K103">_xlfn.SINGLE(_xlfn.IFS(AND(Inputs!$E$32="All Types",$A$42="Concrete Volume"),(IFERROR(_xlfn.SINGLE(INDEX(Pile!$EB$368:$EB$391,_xlfn.AGGREGATE(15,3,((Pile!$EL$368:$EL$391=M103)/(Pile!$EL$368:$EL$391=M103)*ROW(Pile!$EL$368:$EL$391))-ROW(Pile!$EC$367),ROWS(H103)))),"Not Suitable")),AND(Inputs!$E$32="All Types",$A$42="Number of Piles"),(IF(SUMPRODUCT(--ISNUMBER(Pile!$EL$368:$EL$373)),Pile!$EB$368,IF(SUMPRODUCT(--ISNUMBER(Pile!$EL$374:$EL$379)),Pile!$EB$374,IF(SUMPRODUCT(--ISNUMBER(Pile!$EL$380:$EL$385)),Pile!$EB$380,IF(SUMPRODUCT(--ISNUMBER(Pile!$EL$386:$EL$391)),Pile!$EB$386,"Not Suitable")))))))</f>
        <v>1</v>
      </c>
      <c r="L103" s="1210" cm="1">
        <f t="array" ref="L103">_xlfn.SINGLE(_xlfn.IFS(AND(Inputs!$E$32="All Types",$A$42="Concrete Volume"),(IFERROR(_xlfn.SINGLE(INDEX(Pile!$ED$368:$ED$391,_xlfn.AGGREGATE(15,3,((Pile!$EL$368:$EL$391=M103)/(Pile!$EL$368:$EL$391=M103)*ROW(Pile!$EL$368:$EL$391))-ROW(Pile!$EC$367),ROWS(H103)))),"Not Suitable")),AND(Inputs!$E$32="All Types",$A$42="Number of Piles"),(IF(SUMPRODUCT(--ISNUMBER(Pile!$EL$368:$EL$373)),Pile!$ED$368,IF(SUMPRODUCT(--ISNUMBER(Pile!$EL$374:$EL$379)),Pile!$ED$374,IF(SUMPRODUCT(--ISNUMBER(Pile!$EL$380:$EL$385)),Pile!$ED$380,IF(SUMPRODUCT(--ISNUMBER(Pile!$EL$386:$EL$391)),Pile!$ED$386,"Not Suitable")))))))</f>
        <v>32</v>
      </c>
      <c r="M103" s="1211">
        <f>_xlfn.IFS(AND(Inputs!$E$32="All Types",$A$42="Concrete Volume"),(IF(MIN(Pile!$EL$368:$EL$391)&gt;0,MIN(Pile!$EL$368:$EL$391), "Not Suitable")),AND(Inputs!$E$32="All Types",$A$42="Number of Piles"),(IF(Pile!#REF!=Pile!$ED$368,MIN(Pile!$EL$368:$EL$373),IF(Pile!#REF!=Pile!$ED$374,MIN(Pile!$EL$374:$EL$379),IF(Pile!#REF!=Pile!$ED$380,MIN(Pile!$EL$380:$EL$385),IF(Pile!#REF!=Pile!$ED$386,MIN(Pile!$EL$386:$EL$391),"Not Suitable"))))))</f>
        <v>86.706631334008762</v>
      </c>
      <c r="N103" s="1198"/>
      <c r="O103" s="572" t="s">
        <v>1933</v>
      </c>
      <c r="P103" s="1210" cm="1">
        <f t="array" ref="P103">_xlfn.SINGLE(_xlfn.IFS(AND(Inputs!$E$32="All Types",$A$42="Concrete Volume"),(IFERROR(_xlfn.SINGLE(INDEX(Pile!$EP$368:$EP$391,_xlfn.AGGREGATE(15,3,((Pile!$EY$368:$EY$391=T103)/(Pile!$EY$368:$EY$391=T103)*ROW(Pile!$EY$368:$EY$391))-ROW(Pile!$EP$367),ROWS(O103)))),"Not Suitable")),AND(Inputs!$E$32="All Types",$A$42="Number of Piles"),(IFERROR(_xlfn.SINGLE(INDEX(Pile!$EP$368:$EP$391,_xlfn.AGGREGATE(15,3,((Pile!$EY$368:$EY$391=T103)/(Pile!$EY$368:$EY$391=T103)*ROW(Pile!$EY$368:$EY$391))-ROW(Pile!$EP$367),ROWS(O103)))),"Not Suitable"))))</f>
        <v>450</v>
      </c>
      <c r="Q103" s="1211">
        <f>IF(T103="Not Suitable","Not Suitable",T103/(S103*PI()*(P103/2000)^2))</f>
        <v>999999</v>
      </c>
      <c r="R103" s="1210" cm="1">
        <f t="array" ref="R103">_xlfn.SINGLE(_xlfn.IFS(AND(Inputs!$E$32="All Types",$A$42="Concrete Volume"),(IFERROR(_xlfn.SINGLE(INDEX(Pile!$EO$368:$EO$391,_xlfn.AGGREGATE(15,3,((Pile!$EY$368:$EY$391=T103)/(Pile!$EY$368:$EY$391=T103)*ROW(Pile!$EY$368:$EY$391))-ROW(Pile!$EP$367),ROWS(O103)))),"Not Suitable")),AND(Inputs!$E$32="All Types",$A$42="Number of Piles"),(IF(SUMPRODUCT(--ISNUMBER(Pile!$EY$368:$EY$373)),Pile!$EO$368,IF(SUMPRODUCT(--ISNUMBER(Pile!$EY$374:$EY$379)),Pile!$EO$374,IF(SUMPRODUCT(--ISNUMBER(Pile!$EY$380:$EY$385)),Pile!$EO$380,IF(SUMPRODUCT(--ISNUMBER(Pile!$EY$386:$EY$391)),Pile!$EO$386,"Not Suitable")))))))</f>
        <v>1</v>
      </c>
      <c r="S103" s="1210" cm="1">
        <f t="array" ref="S103">_xlfn.SINGLE(_xlfn.IFS(AND(Inputs!$E$32="All Types",$A$42="Concrete Volume"),(IFERROR(_xlfn.SINGLE(INDEX(Pile!$EQ$368:$EQ$391,_xlfn.AGGREGATE(15,3,((Pile!$EY$368:$EY$391=T103)/(Pile!$EY$368:$EY$391=T103)*ROW(Pile!$EY$368:$EY$391))-ROW(Pile!$EP$367),ROWS(O103)))),"Not Suitable")),AND(Inputs!$E$32="All Types",$A$42="Number of Piles"),(IF(SUMPRODUCT(--ISNUMBER(Pile!$EY$368:$EY$373)),Pile!$EQ$368,IF(SUMPRODUCT(--ISNUMBER(Pile!$EY$374:$EY$379)),Pile!$EQ$374,IF(SUMPRODUCT(--ISNUMBER(Pile!$EY$380:$EY$385)),Pile!$EQ$380,IF(SUMPRODUCT(--ISNUMBER(Pile!$EY$386:$EY$391)),Pile!$EQ$386,"Not Suitable")))))))</f>
        <v>32</v>
      </c>
      <c r="T103" s="1211">
        <f>_xlfn.IFS(AND(Inputs!$E$32="All Types",$A$42="Concrete Volume"),(IF(MIN(Pile!$EY$368:$EY$391)&gt;0,MIN(Pile!$EY$368:$EY$391), "Not Suitable")),AND(Inputs!$E$32="All Types",$A$42="Number of Piles"),(IF(Pile!#REF!=Pile!$EQ$368,MIN(Pile!$EY$368:$EY$373),IF(Pile!#REF!=Pile!$EQ$374,MIN(Pile!$EY$374:$EY$379),IF(Pile!#REF!=Pile!$EQ$380,MIN(Pile!$EY$380:$EY$385),IF(Pile!#REF!=Pile!$EQ$386,MIN(Pile!$EY$386:$EY$391),"Not Suitable"))))))</f>
        <v>5089375.0094353668</v>
      </c>
      <c r="V103" s="1218"/>
    </row>
    <row r="104" spans="1:22" s="314" customFormat="1" ht="15.75" thickBot="1">
      <c r="A104" s="578" t="s">
        <v>1934</v>
      </c>
      <c r="B104" s="1210" cm="1">
        <f t="array" ref="B104">_xlfn.SINGLE(_xlfn.IFS(AND(Inputs!$E$32="All Types",$A$42="Concrete Volume"),(IFERROR(_xlfn.SINGLE(INDEX(Pile!$DP$399:$DP$422,_xlfn.AGGREGATE(15,3,((Pile!$DY$399:$DY$422=F104)/(Pile!$DY$399:$DY$422=F104)*ROW(Pile!$DY$399:$DY$422))-ROW(Pile!$DP$398),ROWS(A104)))),"Not Suitable")),AND(Inputs!$E$32="All Types",$A$42="Number of Piles"),(IFERROR(_xlfn.SINGLE(INDEX(Pile!$DP$399:$DP$422,_xlfn.AGGREGATE(15,3,((Pile!$DY$399:$DY$422=F104)/(Pile!$DY$399:$DY$422=F104)*ROW(Pile!$DY$399:$DY$422))-ROW(Pile!$DP$398),ROWS(A104)))),"Not Suitable"))))</f>
        <v>450</v>
      </c>
      <c r="C104" s="1211">
        <f>IF(F104="Not Suitable","Not Suitable",F104/(E104*PI()*(B104/2000)^2))</f>
        <v>9.5367765131532263</v>
      </c>
      <c r="D104" s="1210" cm="1">
        <f t="array" ref="D104">_xlfn.SINGLE(_xlfn.IFS(AND(Inputs!$E$32="All Types",$A$42="Concrete Volume"),(IFERROR(_xlfn.SINGLE(INDEX(Pile!$DQO$399:$DQO$422,_xlfn.AGGREGATE(15,3,((Pile!$DY$399:$DY$422=F104)/(Pile!$DY$399:$DY$422=F104)*ROW(Pile!$DY$399:$DY$422))-ROW(Pile!$DP$398),ROWS(A104)))),"Not Suitable")),AND(Inputs!$E$32="All Types",$A$42="Number of Piles"),(IF(SUMPRODUCT(--ISNUMBER(Pile!$DY$399:$DY$404)),Pile!$DQO$399,IF(SUMPRODUCT(--ISNUMBER(Pile!$DY$405:$DY$410)),Pile!$DQO$405,IF(SUMPRODUCT(--ISNUMBER(Pile!$DY$411:$DY$416)),Pile!$DQO$411,IF(SUMPRODUCT(--ISNUMBER(Pile!$DY$417:$DY$422)),Pile!$DQO$417,"Not Suitable")))))))</f>
        <v>0</v>
      </c>
      <c r="E104" s="1210" cm="1">
        <f t="array" ref="E104">_xlfn.SINGLE(_xlfn.IFS(AND(Inputs!$E$32="All Types",$A$42="Concrete Volume"),(IFERROR(_xlfn.SINGLE(INDEX(Pile!$DQ$399:$DQ$422,_xlfn.AGGREGATE(15,3,((Pile!$DY$399:$DY$422=F104)/(Pile!$DY$399:$DY$422=F104)*ROW(Pile!$DY$399:$DY$422))-ROW(Pile!$DP$398),ROWS(A104)))),"Not Suitable")),AND(Inputs!$E$32="All Types",$A$42="Number of Piles"),(IF(SUMPRODUCT(--ISNUMBER(Pile!$DY$399:$DY$404)),Pile!$DQ$399,IF(SUMPRODUCT(--ISNUMBER(Pile!$DY$405:$DY$410)),Pile!$DQ$405,IF(SUMPRODUCT(--ISNUMBER(Pile!$DY$411:$DY$416)),Pile!$DQ$411,IF(SUMPRODUCT(--ISNUMBER(Pile!$DY$417:$DY$422)),Pile!$DQ$417,"Not Suitable")))))))</f>
        <v>4</v>
      </c>
      <c r="F104" s="1211">
        <f>_xlfn.IFS(AND(Inputs!$E$32="All Types",$A$42="Concrete Volume"),(IF(MIN(Pile!$DY$399:$DY$422)&gt;0,MIN(Pile!$DY$399:$DY$422), "Not Suitable")),AND(Inputs!$E$32="All Types",$A$42="Number of Piles"),(IF(Pile!#REF!=Pile!$DQ$399,MIN(Pile!$DY$399:$DY$404),IF(Pile!#REF!=Pile!$DQ$405,MIN(Pile!$DY$405:$DY$410),IF(Pile!#REF!=Pile!$DQ$411,MIN(Pile!$DY$411:$DY$416),IF(Pile!#REF!=Pile!$DQ$417,MIN(Pile!$DY$417:$DY$422),"Not Suitable"))))))</f>
        <v>6.0670350741115975</v>
      </c>
      <c r="G104" s="1198"/>
      <c r="H104" s="578" t="s">
        <v>1934</v>
      </c>
      <c r="I104" s="1210" cm="1">
        <f t="array" ref="I104">_xlfn.SINGLE(_xlfn.IFS(AND(Inputs!$E$32="All Types",$A$42="Concrete Volume"),(IFERROR(_xlfn.SINGLE(INDEX(Pile!$EC$399:$EC$422,_xlfn.AGGREGATE(15,3,((Pile!$EL$399:$EL$422=M104)/(Pile!$EL$399:$EL$422=M104)*ROW(Pile!$EL$399:$EL$422))-ROW(Pile!$EC$398),ROWS(H104)))),"Not Suitable")),AND(Inputs!$E$32="All Types",$A$42="Number of Piles"),(IFERROR(_xlfn.SINGLE(INDEX(Pile!$EC$399:$EC$422,_xlfn.AGGREGATE(15,3,((Pile!$EL$399:$EL$422=M104)/(Pile!$EL$399:$EL$422=M104)*ROW(Pile!$EL$399:$EL$422))-ROW(Pile!$EC$398),ROWS(H104)))),"Not Suitable"))))</f>
        <v>450</v>
      </c>
      <c r="J104" s="1211">
        <f>IF(M104="Not Suitable","Not Suitable",M104/(L104*PI()*(I104/2000)^2))</f>
        <v>9.5367765131532263</v>
      </c>
      <c r="K104" s="1210" cm="1">
        <f t="array" ref="K104">_xlfn.SINGLE(_xlfn.IFS(AND(Inputs!$E$32="All Types",$A$42="Concrete Volume"),(IFERROR(_xlfn.SINGLE(INDEX(Pile!$EB$399:$EB$422,_xlfn.AGGREGATE(15,3,((Pile!$EL$399:$EL$422=M104)/(Pile!$EL$399:$EL$422=M104)*ROW(Pile!$EL$399:$EL$422))-ROW(Pile!$EC$398),ROWS(H104)))),"Not Suitable")),AND(Inputs!$E$32="All Types",$A$42="Number of Piles"),(IF(SUMPRODUCT(--ISNUMBER(Pile!$EL$399:$EL$404)),Pile!$EB$399,IF(SUMPRODUCT(--ISNUMBER(Pile!$EL$405:$EL$410)),Pile!$EB$405,IF(SUMPRODUCT(--ISNUMBER(Pile!$EL$411:$EL$416)),Pile!$EB$411,IF(SUMPRODUCT(--ISNUMBER(Pile!$EL$417:$EL$422)),Pile!$EB$417,"Not Suitable")))))))</f>
        <v>1</v>
      </c>
      <c r="L104" s="1210" cm="1">
        <f t="array" ref="L104">_xlfn.SINGLE(_xlfn.IFS(AND(Inputs!$E$32="All Types",$A$42="Concrete Volume"),(IFERROR(_xlfn.SINGLE(INDEX(Pile!$ED$399:$ED$422,_xlfn.AGGREGATE(15,3,((Pile!$EL$399:$EL$422=M104)/(Pile!$EL$399:$EL$422=M104)*ROW(Pile!$EL$399:$EL$422))-ROW(Pile!$EC$398),ROWS(H104)))),"Not Suitable")),AND(Inputs!$E$32="All Types",$A$42="Number of Piles"),(IF(SUMPRODUCT(--ISNUMBER(Pile!$EL$399:$EL$404)),Pile!$ED$399,IF(SUMPRODUCT(--ISNUMBER(Pile!$EL$405:$EL$410)),Pile!$ED$405,IF(SUMPRODUCT(--ISNUMBER(Pile!$EL$411:$EL$416)),Pile!$ED$411,IF(SUMPRODUCT(--ISNUMBER(Pile!$EL$417:$EL$422)),Pile!$ED$417,"Not Suitable")))))))</f>
        <v>4</v>
      </c>
      <c r="M104" s="1211">
        <f>_xlfn.IFS(AND(Inputs!$E$32="All Types",$A$42="Concrete Volume"),(IF(MIN(Pile!$EL$399:$EL$422)&gt;0,MIN(Pile!$EL$399:$EL$422), "Not Suitable")),AND(Inputs!$E$32="All Types",$A$42="Number of Piles"),(IF(Pile!#REF!=Pile!$ED$399,MIN(Pile!$EL$399:$EL$404),IF(Pile!#REF!=Pile!$ED$405,MIN(Pile!$EL$405:$EL$410),IF(Pile!#REF!=Pile!$ED$411,MIN(Pile!$EL$411:$EL$416),IF(Pile!#REF!=Pile!$ED$417,MIN(Pile!$EL$417:$EL$422),"Not Suitable"))))))</f>
        <v>6.0670350741115975</v>
      </c>
      <c r="N104" s="1198"/>
      <c r="O104" s="578" t="s">
        <v>1934</v>
      </c>
      <c r="P104" s="1210" cm="1">
        <f t="array" ref="P104">_xlfn.SINGLE(_xlfn.IFS(AND(Inputs!$E$32="All Types",$A$42="Concrete Volume"),(IFERROR(_xlfn.SINGLE(INDEX(Pile!$EP$399:$EP$422,_xlfn.AGGREGATE(15,3,((Pile!$EY$399:$EY$422=T104)/(Pile!$EY$399:$EY$422=T104)*ROW(Pile!$EY$399:$EY$422))-ROW(Pile!$EP$398),ROWS(O104)))),"Not Suitable")),AND(Inputs!$E$32="All Types",$A$42="Number of Piles"),(IFERROR(_xlfn.SINGLE(INDEX(Pile!$EP$399:$EP$422,_xlfn.AGGREGATE(15,3,((Pile!$EY$399:$EY$422=T104)/(Pile!$EY$399:$EY$422=T104)*ROW(Pile!$EY$399:$EY$422))-ROW(Pile!$EP$398),ROWS(O104)))),"Not Suitable"))))</f>
        <v>450</v>
      </c>
      <c r="Q104" s="1211">
        <f>IF(T104="Not Suitable","Not Suitable",T104/(S104*PI()*(P104/2000)^2))</f>
        <v>999999</v>
      </c>
      <c r="R104" s="1210" cm="1">
        <f t="array" ref="R104">_xlfn.SINGLE(_xlfn.IFS(AND(Inputs!$E$32="All Types",$A$42="Concrete Volume"),(IFERROR(_xlfn.SINGLE(INDEX(Pile!$EO$399:$EO$422,_xlfn.AGGREGATE(15,3,((Pile!$EY$399:$EY$422=T104)/(Pile!$EY$399:$EY$422=T104)*ROW(Pile!$EY$399:$EY$422))-ROW(Pile!$EP$398),ROWS(O104)))),"Not Suitable")),AND(Inputs!$E$32="All Types",$A$42="Number of Piles"),(IF(SUMPRODUCT(--ISNUMBER(Pile!$EY$399:$EY$404)),Pile!$EO$399,IF(SUMPRODUCT(--ISNUMBER(Pile!$EY$405:$EY$410)),Pile!$EO$405,IF(SUMPRODUCT(--ISNUMBER(Pile!$EY$411:$EY$416)),Pile!$EO$411,IF(SUMPRODUCT(--ISNUMBER(Pile!$EY$417:$EY$422)),Pile!$EO$417,"Not Suitable")))))))</f>
        <v>1</v>
      </c>
      <c r="S104" s="1210" cm="1">
        <f t="array" ref="S104">_xlfn.SINGLE(_xlfn.IFS(AND(Inputs!$E$32="All Types",$A$42="Concrete Volume"),(IFERROR(_xlfn.SINGLE(INDEX(Pile!$EQ$399:$EQ$422,_xlfn.AGGREGATE(15,3,((Pile!$EY$399:$EY$422=T104)/(Pile!$EY$399:$EY$422=T104)*ROW(Pile!$EY$399:$EY$422))-ROW(Pile!$EP$398),ROWS(O104)))),"Not Suitable")),AND(Inputs!$E$32="All Types",$A$42="Number of Piles"),(IF(SUMPRODUCT(--ISNUMBER(Pile!$EY$399:$EY$404)),Pile!$EQ$399,IF(SUMPRODUCT(--ISNUMBER(Pile!$EY$405:$EY$410)),Pile!$EQ$405,IF(SUMPRODUCT(--ISNUMBER(Pile!$EY$411:$EY$416)),Pile!$EQ$411,IF(SUMPRODUCT(--ISNUMBER(Pile!$EY$417:$EY$422)),Pile!$EQ$417,"Not Suitable")))))))</f>
        <v>4</v>
      </c>
      <c r="T104" s="1211">
        <f>_xlfn.IFS(AND(Inputs!$E$32="All Types",$A$42="Concrete Volume"),(IF(MIN(Pile!$EY$399:$EY$422)&gt;0,MIN(Pile!$EY$399:$EY$422), "Not Suitable")),AND(Inputs!$E$32="All Types",$A$42="Number of Piles"),(IF(Pile!#REF!=Pile!$EQ$399,MIN(Pile!$EY$399:$EY$404),IF(Pile!#REF!=Pile!$EQ$405,MIN(Pile!$EY$405:$EY$410),IF(Pile!#REF!=Pile!$EQ$411,MIN(Pile!$EY$411:$EY$416),IF(Pile!#REF!=Pile!$EQ$417,MIN(Pile!$EY$417:$EY$422),"Not Suitable"))))))</f>
        <v>636171.87617942085</v>
      </c>
      <c r="V104" s="1218"/>
    </row>
    <row r="105" spans="1:22" s="314" customFormat="1" ht="15.75" thickBot="1">
      <c r="B105" s="1214"/>
      <c r="C105" s="1215"/>
      <c r="D105" s="1214"/>
      <c r="E105" s="1214"/>
      <c r="F105" s="1214"/>
      <c r="G105" s="1198"/>
      <c r="I105" s="1214"/>
      <c r="J105" s="1215"/>
      <c r="K105" s="1214"/>
      <c r="L105" s="1214"/>
      <c r="M105" s="1214"/>
      <c r="N105" s="1198"/>
      <c r="P105" s="1214"/>
      <c r="Q105" s="1215"/>
      <c r="R105" s="1214"/>
      <c r="S105" s="1214"/>
      <c r="T105" s="1214"/>
      <c r="V105" s="1219"/>
    </row>
    <row r="106" spans="1:22" s="314" customFormat="1" ht="15.75" thickBot="1">
      <c r="A106" s="1203" t="s">
        <v>759</v>
      </c>
      <c r="B106" s="1204" t="s">
        <v>821</v>
      </c>
      <c r="C106" s="1205" t="s">
        <v>847</v>
      </c>
      <c r="D106" s="1206" t="s">
        <v>883</v>
      </c>
      <c r="E106" s="1206" t="s">
        <v>884</v>
      </c>
      <c r="F106" s="1207" t="s">
        <v>885</v>
      </c>
      <c r="G106" s="1198"/>
      <c r="H106" s="1203" t="s">
        <v>759</v>
      </c>
      <c r="I106" s="1204" t="s">
        <v>821</v>
      </c>
      <c r="J106" s="1205" t="s">
        <v>847</v>
      </c>
      <c r="K106" s="1206" t="s">
        <v>883</v>
      </c>
      <c r="L106" s="1206" t="s">
        <v>884</v>
      </c>
      <c r="M106" s="1207" t="s">
        <v>885</v>
      </c>
      <c r="N106" s="1198"/>
      <c r="O106" s="1203" t="s">
        <v>759</v>
      </c>
      <c r="P106" s="1204" t="s">
        <v>821</v>
      </c>
      <c r="Q106" s="1205" t="s">
        <v>847</v>
      </c>
      <c r="R106" s="1206" t="s">
        <v>883</v>
      </c>
      <c r="S106" s="1206" t="s">
        <v>884</v>
      </c>
      <c r="T106" s="1207" t="s">
        <v>885</v>
      </c>
      <c r="V106" s="1219"/>
    </row>
    <row r="107" spans="1:22" s="314" customFormat="1" ht="15.75" thickBot="1">
      <c r="A107" s="572" t="s">
        <v>1932</v>
      </c>
      <c r="B107" s="1208" cm="1">
        <f t="array" ref="B107">_xlfn.SINGLE(_xlfn.IFS(AND(Inputs!$E$32="All Types",$A$42="Concrete Volume"),(IFERROR(_xlfn.SINGLE(INDEX(Pile!$DP$336:$DP$359,_xlfn.AGGREGATE(15,3,((Pile!$DX$336:$DX$359=F107)/(Pile!$DX$336:$DX$359=F107)*ROW(Pile!$DX$336:$DX$359))-ROW(Pile!$DP$335),ROWS(A107)))),"Not Suitable")),AND(Inputs!$E$32="All Types",$A$42="Number of Piles"),(IFERROR(_xlfn.SINGLE(INDEX(Pile!$DP$336:$DP$359,_xlfn.AGGREGATE(15,3,((Pile!$DX$336:$DX$359=F107)/(Pile!$DX$336:$DX$359=F107)*ROW(Pile!$DX$336:$DX$359))-ROW(Pile!$DP$335),ROWS(A107)))),"Not Suitable"))))</f>
        <v>450</v>
      </c>
      <c r="C107" s="1209">
        <f>IF(F107="Not Suitable","Not Suitable",F107/(E107*PI()*(B107/2000)^2))</f>
        <v>17.036776513153228</v>
      </c>
      <c r="D107" s="1208" cm="1">
        <f t="array" ref="D107">_xlfn.SINGLE(_xlfn.IFS(AND(Inputs!$E$32="All Types",$A$42="Concrete Volume"),(IFERROR(_xlfn.SINGLE(INDEX(Pile!$DQO$336:$DQO$359,_xlfn.AGGREGATE(15,3,((Pile!$DX$336:$DX$359=F107)/(Pile!$DX$336:$DX$359=F107)*ROW(Pile!$DX$336:$DX$359))-ROW(Pile!$DP$335),ROWS(A107)))),"Not Suitable")),AND(Inputs!$E$32="All Types",$A$42="Number of Piles"),(IF(SUMPRODUCT(--ISNUMBER(Pile!$DX$336:$DX$341)),Pile!$DQO$336,IF(SUMPRODUCT(--ISNUMBER(Pile!$DX$342:$DX$347)),Pile!$DQO$342,IF(SUMPRODUCT(--ISNUMBER(Pile!$DX$348:$DX$353)),Pile!$DQO$348,IF(SUMPRODUCT(--ISNUMBER(Pile!$DX$354:$DX$359)),Pile!$DQO$354,"Not Suitable")))))))</f>
        <v>0</v>
      </c>
      <c r="E107" s="1208" cm="1">
        <f t="array" ref="E107">_xlfn.SINGLE(_xlfn.IFS(AND(Inputs!$E$32="All Types",$A$42="Concrete Volume"),(IFERROR(_xlfn.SINGLE(INDEX(Pile!$DQ$336:$DQ$359,_xlfn.AGGREGATE(15,3,((Pile!$DX$336:$DX$359=F107)/(Pile!$DX$336:$DX$359=F107)*ROW(Pile!$DX$336:$DX$359))-ROW(Pile!$DP$335),ROWS(A107)))),"Not Suitable")),AND(Inputs!$E$32="All Types",$A$42="Number of Piles"),(IF(SUMPRODUCT(--ISNUMBER(Pile!$DX$336:$DX$341)),Pile!$DQ$336,IF(SUMPRODUCT(--ISNUMBER(Pile!$DX$342:$DX$347)),Pile!$DQ$342,IF(SUMPRODUCT(--ISNUMBER(Pile!$DX$348:$DX$353)),Pile!$DQ$348,IF(SUMPRODUCT(--ISNUMBER(Pile!$DX$354:$DX$359)),Pile!$DQ$354,"Not Suitable")))))))</f>
        <v>63</v>
      </c>
      <c r="F107" s="1209">
        <f>_xlfn.IFS(AND(Inputs!$E$32="All Types",$A$42="Concrete Volume"),(IF(MIN(Pile!$DX$336:$DX$359)&gt;0, MIN(Pile!$DX$336:$DX$359), "Not Suitable")),AND(Inputs!$E$32="All Types",$A$42="Number of Piles"),(IF(Pile!#REF!=Pile!$DQ$336,MIN(Pile!$DX$336:$DX$341),IF(Pile!#REF!=Pile!$DQ$342,MIN(Pile!$DX$342:$DX$347),IF(Pile!#REF!=Pile!$DQ$348,MIN(Pile!$DX$348:$DX$353),IF(Pile!#REF!=Pile!$DQ$354,MIN(Pile!$DX$354:$DX$359),"Not Suitable"))))))</f>
        <v>170.70368043882976</v>
      </c>
      <c r="G107" s="1198"/>
      <c r="H107" s="572" t="s">
        <v>1932</v>
      </c>
      <c r="I107" s="1208" cm="1">
        <f t="array" ref="I107">_xlfn.SINGLE(_xlfn.IFS(AND(Inputs!$E$32="All Types",$A$42="Concrete Volume"),(IFERROR(_xlfn.SINGLE(INDEX(Pile!$EC$336:$EC$359,_xlfn.AGGREGATE(15,3,((Pile!$EK$336:$EK$359=M107)/(Pile!$EK$336:$EK$359=M107)*ROW(Pile!$EK$336:$EK$359))-ROW(Pile!$EC$335),ROWS(H107)))),"Not Suitable")),AND(Inputs!$E$32="All Types",$A$42="Number of Piles"),(IFERROR(_xlfn.SINGLE(INDEX(Pile!$EC$336:$EC$359,_xlfn.AGGREGATE(15,3,((Pile!$EK$336:$EK$359=M107)/(Pile!$EK$336:$EK$359=M107)*ROW(Pile!$EK$336:$EK$359))-ROW(Pile!$EC$335),ROWS(H107)))),"Not Suitable"))))</f>
        <v>450</v>
      </c>
      <c r="J107" s="1209">
        <f>IF(M107="Not Suitable","Not Suitable",M107/(L107*PI()*(I107/2000)^2))</f>
        <v>17.036776513153228</v>
      </c>
      <c r="K107" s="1208" cm="1">
        <f t="array" ref="K107">_xlfn.SINGLE(_xlfn.IFS(AND(Inputs!$E$32="All Types",$A$42="Concrete Volume"),(IFERROR(_xlfn.SINGLE(INDEX(Pile!$EB$336:$EB$359,_xlfn.AGGREGATE(15,3,((Pile!$EK$336:$EK$359=M107)/(Pile!$EK$336:$EK$359=M107)*ROW(Pile!$EK$336:$EK$359))-ROW(Pile!$EC$335),ROWS(H107)))),"Not Suitable")),AND(Inputs!$E$32="All Types",$A$42="Number of Piles"),(IF(SUMPRODUCT(--ISNUMBER(Pile!$EK$336:$EK$341)),Pile!$EB$336,IF(SUMPRODUCT(--ISNUMBER(Pile!$EK$342:$EK$347)),Pile!$EB$342,IF(SUMPRODUCT(--ISNUMBER(Pile!$EK$348:$EK$353)),Pile!$EB$348,IF(SUMPRODUCT(--ISNUMBER(Pile!$EK$354:$EK$359)),Pile!$EB$354,"Not Suitable")))))))</f>
        <v>1</v>
      </c>
      <c r="L107" s="1208" cm="1">
        <f t="array" ref="L107">_xlfn.SINGLE(_xlfn.IFS(AND(Inputs!$E$32="All Types",$A$42="Concrete Volume"),(IFERROR(_xlfn.SINGLE(INDEX(Pile!$ED$336:$ED$359,_xlfn.AGGREGATE(15,3,((Pile!$EK$336:$EK$359=M107)/(Pile!$EK$336:$EK$359=M107)*ROW(Pile!$EK$336:$EK$359))-ROW(Pile!$EC$335),ROWS(H107)))),"Not Suitable")),AND(Inputs!$E$32="All Types",$A$42="Number of Piles"),(IF(SUMPRODUCT(--ISNUMBER(Pile!$EK$336:$EK$341)),Pile!$ED$336,IF(SUMPRODUCT(--ISNUMBER(Pile!$EK$342:$EK$347)),Pile!$ED$342,IF(SUMPRODUCT(--ISNUMBER(Pile!$EK$348:$EK$353)),Pile!$ED$348,IF(SUMPRODUCT(--ISNUMBER(Pile!$EK$354:$EK$359)),Pile!$ED$354,"Not Suitable")))))))</f>
        <v>63</v>
      </c>
      <c r="M107" s="1209">
        <f>_xlfn.IFS(AND(Inputs!$E$32="All Types",$A$42="Concrete Volume"),(IF(MIN(Pile!$EK$336:$EK$359)&gt;0, MIN(Pile!$EK$336:$EK$359), "Not Suitable")),AND(Inputs!$E$32="All Types",$A$42="Number of Piles"),(IF(Pile!#REF!=Pile!$ED$336,MIN(Pile!$EK$336:$EK$341),IF(Pile!#REF!=Pile!$ED$342,MIN(Pile!$EK$342:$EK$347),IF(Pile!#REF!=Pile!$ED$348,MIN(Pile!$EK$348:$EK$353),IF(Pile!#REF!=Pile!$ED$354,MIN(Pile!$EK$354:$EK$359),"Not Suitable"))))))</f>
        <v>170.70368043882976</v>
      </c>
      <c r="N107" s="1198"/>
      <c r="O107" s="572" t="s">
        <v>1932</v>
      </c>
      <c r="P107" s="1208" cm="1">
        <f t="array" ref="P107">_xlfn.SINGLE(_xlfn.IFS(AND(Inputs!$E$32="All Types",$A$42="Concrete Volume"),(IFERROR(_xlfn.SINGLE(INDEX(Pile!$EP$336:$EP$359,_xlfn.AGGREGATE(15,3,((Pile!$EX$336:$EX$359=T107)/(Pile!$EX$336:$EX$359=T107)*ROW(Pile!$EX$336:$EX$359))-ROW(Pile!$EP$335),ROWS(O107)))),"Not Suitable")),AND(Inputs!$E$32="All Types",$A$42="Number of Piles"),(IFERROR(_xlfn.SINGLE(INDEX(Pile!$EP$336:$EP$359,_xlfn.AGGREGATE(15,3,((Pile!$EX$336:$EX$359=T107)/(Pile!$EX$336:$EX$359=T107)*ROW(Pile!$EX$336:$EX$359))-ROW(Pile!$EP$335),ROWS(O107)))),"Not Suitable"))))</f>
        <v>450</v>
      </c>
      <c r="Q107" s="1209">
        <f>IF(T107="Not Suitable","Not Suitable",T107/(S107*PI()*(P107/2000)^2))</f>
        <v>999998.99999999988</v>
      </c>
      <c r="R107" s="1208" cm="1">
        <f t="array" ref="R107">_xlfn.SINGLE(_xlfn.IFS(AND(Inputs!$E$32="All Types",$A$42="Concrete Volume"),(IFERROR(_xlfn.SINGLE(INDEX(Pile!$EO$336:$EO$359,_xlfn.AGGREGATE(15,3,((Pile!$EX$336:$EX$359=T107)/(Pile!$EX$336:$EX$359=T107)*ROW(Pile!$EX$336:$EX$359))-ROW(Pile!$EP$335),ROWS(O107)))),"Not Suitable")),AND(Inputs!$E$32="All Types",$A$42="Number of Piles"),(IF(SUMPRODUCT(--ISNUMBER(Pile!$EX$336:$EX$341)),Pile!$EO$336,IF(SUMPRODUCT(--ISNUMBER(Pile!$EX$342:$EX$347)),Pile!$EO$342,IF(SUMPRODUCT(--ISNUMBER(Pile!$EX$348:$EX$353)),Pile!$EO$348,IF(SUMPRODUCT(--ISNUMBER(Pile!$EX$354:$EX$359)),Pile!$EO$354,"Not Suitable")))))))</f>
        <v>1</v>
      </c>
      <c r="S107" s="1208" cm="1">
        <f t="array" ref="S107">_xlfn.SINGLE(_xlfn.IFS(AND(Inputs!$E$32="All Types",$A$42="Concrete Volume"),(IFERROR(_xlfn.SINGLE(INDEX(Pile!$EQ$336:$EQ$359,_xlfn.AGGREGATE(15,3,((Pile!$EX$336:$EX$359=T107)/(Pile!$EX$336:$EX$359=T107)*ROW(Pile!$EX$336:$EX$359))-ROW(Pile!$EP$335),ROWS(O107)))),"Not Suitable")),AND(Inputs!$E$32="All Types",$A$42="Number of Piles"),(IF(SUMPRODUCT(--ISNUMBER(Pile!$EX$336:$EX$341)),Pile!$EQ$336,IF(SUMPRODUCT(--ISNUMBER(Pile!$EX$342:$EX$347)),Pile!$EQ$342,IF(SUMPRODUCT(--ISNUMBER(Pile!$EX$348:$EX$353)),Pile!$EQ$348,IF(SUMPRODUCT(--ISNUMBER(Pile!$EX$354:$EX$359)),Pile!$EQ$354,"Not Suitable")))))))</f>
        <v>63</v>
      </c>
      <c r="T107" s="1209">
        <f>_xlfn.IFS(AND(Inputs!$E$32="All Types",$A$42="Concrete Volume"),(IF(MIN(Pile!$EX$336:$EX$359)&gt;0, MIN(Pile!$EX$336:$EX$359), "Not Suitable")),AND(Inputs!$E$32="All Types",$A$42="Number of Piles"),(IF(Pile!#REF!=Pile!$EQ$336,MIN(Pile!$EX$336:$EX$341),IF(Pile!#REF!=Pile!$EQ$342,MIN(Pile!$EX$342:$EX$347),IF(Pile!#REF!=Pile!$EQ$348,MIN(Pile!$EX$348:$EX$353),IF(Pile!#REF!=Pile!$EQ$354,MIN(Pile!$EX$354:$EX$359),"Not Suitable"))))))</f>
        <v>10019707.049825877</v>
      </c>
      <c r="V107" s="1219"/>
    </row>
    <row r="108" spans="1:22" s="314" customFormat="1" ht="15.75" thickBot="1">
      <c r="A108" s="572" t="s">
        <v>1933</v>
      </c>
      <c r="B108" s="1210" cm="1">
        <f t="array" ref="B108">_xlfn.SINGLE(_xlfn.IFS(AND(Inputs!$E$32="All Types",$A$42="Concrete Volume"),(IFERROR(_xlfn.SINGLE(INDEX(Pile!$DP$368:$DP$391,_xlfn.AGGREGATE(15,3,((Pile!$DX$368:$DX$391=F108)/(Pile!$DX$368:$DX$391=F108)*ROW(Pile!$DX$368:$DX$391))-ROW(Pile!$DP$367),ROWS(A108)))),"Not Suitable")),AND(Inputs!$E$32="All Types",$A$42="Number of Piles"),(IFERROR(_xlfn.SINGLE(INDEX(Pile!$DP$368:$DP$391,_xlfn.AGGREGATE(15,3,((Pile!$DX$368:$DX$391=F108)/(Pile!$DX$368:$DX$391=F108)*ROW(Pile!$DX$368:$DX$391))-ROW(Pile!$DP$367),ROWS(A108)))),"Not Suitable"))))</f>
        <v>450</v>
      </c>
      <c r="C108" s="1211">
        <f>IF(F108="Not Suitable","Not Suitable",F108/(E108*PI()*(B108/2000)^2))</f>
        <v>17.036776513153224</v>
      </c>
      <c r="D108" s="1210" cm="1">
        <f t="array" ref="D108">_xlfn.SINGLE(_xlfn.IFS(AND(Inputs!$E$32="All Types",$A$42="Concrete Volume"),(IFERROR(_xlfn.SINGLE(INDEX(Pile!$DQO$368:$DQO$391,_xlfn.AGGREGATE(15,3,((Pile!$DX$368:$DX$391=F108)/(Pile!$DX$368:$DX$391=F108)*ROW(Pile!$DX$368:$DX$391))-ROW(Pile!$DP$367),ROWS(A108)))),"Not Suitable")),AND(Inputs!$E$32="All Types",$A$42="Number of Piles"),(IF(SUMPRODUCT(--ISNUMBER(Pile!$DX$368:$DX$373)),Pile!$DQO$368,IF(SUMPRODUCT(--ISNUMBER(Pile!$DX$374:$DX$379)),Pile!$DQO$374,IF(SUMPRODUCT(--ISNUMBER(Pile!$DX$380:$DX$385)),Pile!$DQO$380,IF(SUMPRODUCT(--ISNUMBER(Pile!$DX$386:$DX$391)),Pile!$DQO$386,"Not Suitable")))))))</f>
        <v>0</v>
      </c>
      <c r="E108" s="1210" cm="1">
        <f t="array" ref="E108">_xlfn.SINGLE(_xlfn.IFS(AND(Inputs!$E$32="All Types",$A$42="Concrete Volume"),(IFERROR(_xlfn.SINGLE(INDEX(Pile!$DQ$368:$DQ$391,_xlfn.AGGREGATE(15,3,((Pile!$DX$368:$DX$391=F108)/(Pile!$DX$368:$DX$391=F108)*ROW(Pile!$DX$368:$DX$391))-ROW(Pile!$DP$367),ROWS(A108)))),"Not Suitable")),AND(Inputs!$E$32="All Types",$A$42="Number of Piles"),(IF(SUMPRODUCT(--ISNUMBER(Pile!$DX$368:$DX$373)),Pile!$DQ$368,IF(SUMPRODUCT(--ISNUMBER(Pile!$DX$374:$DX$379)),Pile!$DQ$374,IF(SUMPRODUCT(--ISNUMBER(Pile!$DX$380:$DX$385)),Pile!$DQ$380,IF(SUMPRODUCT(--ISNUMBER(Pile!$DX$386:$DX$391)),Pile!$DQ$386,"Not Suitable")))))))</f>
        <v>32</v>
      </c>
      <c r="F108" s="1211">
        <f>_xlfn.IFS(AND(Inputs!$E$32="All Types",$A$42="Concrete Volume"),(IF(MIN(Pile!$DX$368:$DX$391)&gt;0,MIN(Pile!$DX$368:$DX$391), "Not Suitable")),AND(Inputs!$E$32="All Types",$A$42="Number of Piles"),(IF(Pile!#REF!=Pile!$DQ$368,MIN(Pile!$DX$368:$DX$373),IF(Pile!#REF!=Pile!$DQ$374,MIN(Pile!$DX$374:$DX$379),IF(Pile!#REF!=Pile!$DQ$380,MIN(Pile!$DX$380:$DX$385),IF(Pile!#REF!=Pile!$DQ$386,MIN(Pile!$DX$386:$DX$391),"Not Suitable"))))))</f>
        <v>86.706631334008762</v>
      </c>
      <c r="G108" s="1198"/>
      <c r="H108" s="572" t="s">
        <v>1933</v>
      </c>
      <c r="I108" s="1210" cm="1">
        <f t="array" ref="I108">_xlfn.SINGLE(_xlfn.IFS(AND(Inputs!$E$32="All Types",$A$42="Concrete Volume"),(IFERROR(_xlfn.SINGLE(INDEX(Pile!$EC$368:$EC$391,_xlfn.AGGREGATE(15,3,((Pile!$EK$368:$EK$391=M108)/(Pile!$EK$368:$EK$391=M108)*ROW(Pile!$EK$368:$EK$391))-ROW(Pile!$EC$367),ROWS(H108)))),"Not Suitable")),AND(Inputs!$E$32="All Types",$A$42="Number of Piles"),(IFERROR(_xlfn.SINGLE(INDEX(Pile!$EC$368:$EC$391,_xlfn.AGGREGATE(15,3,((Pile!$EK$368:$EK$391=M108)/(Pile!$EK$368:$EK$391=M108)*ROW(Pile!$EK$368:$EK$391))-ROW(Pile!$EC$367),ROWS(H108)))),"Not Suitable"))))</f>
        <v>450</v>
      </c>
      <c r="J108" s="1211">
        <f>IF(M108="Not Suitable","Not Suitable",M108/(L108*PI()*(I108/2000)^2))</f>
        <v>17.036776513153224</v>
      </c>
      <c r="K108" s="1210" cm="1">
        <f t="array" ref="K108">_xlfn.SINGLE(_xlfn.IFS(AND(Inputs!$E$32="All Types",$A$42="Concrete Volume"),(IFERROR(_xlfn.SINGLE(INDEX(Pile!$EB$368:$EB$391,_xlfn.AGGREGATE(15,3,((Pile!$EK$368:$EK$391=M108)/(Pile!$EK$368:$EK$391=M108)*ROW(Pile!$EK$368:$EK$391))-ROW(Pile!$EC$367),ROWS(H108)))),"Not Suitable")),AND(Inputs!$E$32="All Types",$A$42="Number of Piles"),(IF(SUMPRODUCT(--ISNUMBER(Pile!$EK$368:$EK$373)),Pile!$EB$368,IF(SUMPRODUCT(--ISNUMBER(Pile!$EK$374:$EK$379)),Pile!$EB$374,IF(SUMPRODUCT(--ISNUMBER(Pile!$EK$380:$EK$385)),Pile!$EB$380,IF(SUMPRODUCT(--ISNUMBER(Pile!$EK$386:$EK$391)),Pile!$EB$386,"Not Suitable")))))))</f>
        <v>1</v>
      </c>
      <c r="L108" s="1210" cm="1">
        <f t="array" ref="L108">_xlfn.SINGLE(_xlfn.IFS(AND(Inputs!$E$32="All Types",$A$42="Concrete Volume"),(IFERROR(_xlfn.SINGLE(INDEX(Pile!$ED$368:$ED$391,_xlfn.AGGREGATE(15,3,((Pile!$EK$368:$EK$391=M108)/(Pile!$EK$368:$EK$391=M108)*ROW(Pile!$EK$368:$EK$391))-ROW(Pile!$EC$367),ROWS(H108)))),"Not Suitable")),AND(Inputs!$E$32="All Types",$A$42="Number of Piles"),(IF(SUMPRODUCT(--ISNUMBER(Pile!$EK$368:$EK$373)),Pile!$ED$368,IF(SUMPRODUCT(--ISNUMBER(Pile!$EK$374:$EK$379)),Pile!$ED$374,IF(SUMPRODUCT(--ISNUMBER(Pile!$EK$380:$EK$385)),Pile!$ED$380,IF(SUMPRODUCT(--ISNUMBER(Pile!$EK$386:$EK$391)),Pile!$ED$386,"Not Suitable")))))))</f>
        <v>32</v>
      </c>
      <c r="M108" s="1211">
        <f>_xlfn.IFS(AND(Inputs!$E$32="All Types",$A$42="Concrete Volume"),(IF(MIN(Pile!$EK$368:$EK$391)&gt;0,MIN(Pile!$EK$368:$EK$391), "Not Suitable")),AND(Inputs!$E$32="All Types",$A$42="Number of Piles"),(IF(Pile!#REF!=Pile!$ED$368,MIN(Pile!$EK$368:$EK$373),IF(Pile!#REF!=Pile!$ED$374,MIN(Pile!$EK$374:$EK$379),IF(Pile!#REF!=Pile!$ED$380,MIN(Pile!$EK$380:$EK$385),IF(Pile!#REF!=Pile!$ED$386,MIN(Pile!$EK$386:$EK$391),"Not Suitable"))))))</f>
        <v>86.706631334008762</v>
      </c>
      <c r="N108" s="1198"/>
      <c r="O108" s="572" t="s">
        <v>1933</v>
      </c>
      <c r="P108" s="1210" cm="1">
        <f t="array" ref="P108">_xlfn.SINGLE(_xlfn.IFS(AND(Inputs!$E$32="All Types",$A$42="Concrete Volume"),(IFERROR(_xlfn.SINGLE(INDEX(Pile!$EP$368:$EP$391,_xlfn.AGGREGATE(15,3,((Pile!$EX$368:$EX$391=T108)/(Pile!$EX$368:$EX$391=T108)*ROW(Pile!$EX$368:$EX$391))-ROW(Pile!$EP$367),ROWS(O108)))),"Not Suitable")),AND(Inputs!$E$32="All Types",$A$42="Number of Piles"),(IFERROR(_xlfn.SINGLE(INDEX(Pile!$EP$368:$EP$391,_xlfn.AGGREGATE(15,3,((Pile!$EX$368:$EX$391=T108)/(Pile!$EX$368:$EX$391=T108)*ROW(Pile!$EX$368:$EX$391))-ROW(Pile!$EP$367),ROWS(O108)))),"Not Suitable"))))</f>
        <v>450</v>
      </c>
      <c r="Q108" s="1211">
        <f>IF(T108="Not Suitable","Not Suitable",T108/(S108*PI()*(P108/2000)^2))</f>
        <v>999999</v>
      </c>
      <c r="R108" s="1210" cm="1">
        <f t="array" ref="R108">_xlfn.SINGLE(_xlfn.IFS(AND(Inputs!$E$32="All Types",$A$42="Concrete Volume"),(IFERROR(_xlfn.SINGLE(INDEX(Pile!$EO$368:$EO$391,_xlfn.AGGREGATE(15,3,((Pile!$EX$368:$EX$391=T108)/(Pile!$EX$368:$EX$391=T108)*ROW(Pile!$EX$368:$EX$391))-ROW(Pile!$EP$367),ROWS(O108)))),"Not Suitable")),AND(Inputs!$E$32="All Types",$A$42="Number of Piles"),(IF(SUMPRODUCT(--ISNUMBER(Pile!$EX$368:$EX$373)),Pile!$EO$368,IF(SUMPRODUCT(--ISNUMBER(Pile!$EX$374:$EX$379)),Pile!$EO$374,IF(SUMPRODUCT(--ISNUMBER(Pile!$EX$380:$EX$385)),Pile!$EO$380,IF(SUMPRODUCT(--ISNUMBER(Pile!$EX$386:$EX$391)),Pile!$EO$386,"Not Suitable")))))))</f>
        <v>1</v>
      </c>
      <c r="S108" s="1210" cm="1">
        <f t="array" ref="S108">_xlfn.SINGLE(_xlfn.IFS(AND(Inputs!$E$32="All Types",$A$42="Concrete Volume"),(IFERROR(_xlfn.SINGLE(INDEX(Pile!$EQ$368:$EQ$391,_xlfn.AGGREGATE(15,3,((Pile!$EX$368:$EX$391=T108)/(Pile!$EX$368:$EX$391=T108)*ROW(Pile!$EX$368:$EX$391))-ROW(Pile!$EP$367),ROWS(O108)))),"Not Suitable")),AND(Inputs!$E$32="All Types",$A$42="Number of Piles"),(IF(SUMPRODUCT(--ISNUMBER(Pile!$EX$368:$EX$373)),Pile!$EQ$368,IF(SUMPRODUCT(--ISNUMBER(Pile!$EX$374:$EX$379)),Pile!$EQ$374,IF(SUMPRODUCT(--ISNUMBER(Pile!$EX$380:$EX$385)),Pile!$EQ$380,IF(SUMPRODUCT(--ISNUMBER(Pile!$EX$386:$EX$391)),Pile!$EQ$386,"Not Suitable")))))))</f>
        <v>32</v>
      </c>
      <c r="T108" s="1211">
        <f>_xlfn.IFS(AND(Inputs!$E$32="All Types",$A$42="Concrete Volume"),(IF(MIN(Pile!$EX$368:$EX$391)&gt;0,MIN(Pile!$EX$368:$EX$391), "Not Suitable")),AND(Inputs!$E$32="All Types",$A$42="Number of Piles"),(IF(Pile!#REF!=Pile!$EQ$368,MIN(Pile!$EX$368:$EX$373),IF(Pile!#REF!=Pile!$EQ$374,MIN(Pile!$EX$374:$EX$379),IF(Pile!#REF!=Pile!$EQ$380,MIN(Pile!$EX$380:$EX$385),IF(Pile!#REF!=Pile!$EQ$386,MIN(Pile!$EX$386:$EX$391),"Not Suitable"))))))</f>
        <v>5089375.0094353668</v>
      </c>
    </row>
    <row r="109" spans="1:22" s="314" customFormat="1">
      <c r="A109" s="572" t="s">
        <v>1934</v>
      </c>
      <c r="B109" s="1216" cm="1">
        <f t="array" ref="B109">_xlfn.SINGLE(_xlfn.IFS(AND(Inputs!$E$32="All Types",$A$42="Concrete Volume"),(IFERROR(_xlfn.SINGLE(INDEX(Pile!$DP$399:$DP$422,_xlfn.AGGREGATE(15,3,((Pile!$DX$399:$DX$422=F109)/(Pile!$DX$399:$DX$422=F109)*ROW(Pile!$DX$399:$DX$422))-ROW(Pile!$DP$398),ROWS(A109)))),"Not Suitable")),AND(Inputs!$E$32="All Types",$A$42="Number of Piles"),(IFERROR(_xlfn.SINGLE(INDEX(Pile!$DP$399:$DP$422,_xlfn.AGGREGATE(15,3,((Pile!$DX$399:$DX$422=F109)/(Pile!$DX$399:$DX$422=F109)*ROW(Pile!$DX$399:$DX$422))-ROW(Pile!$DP$398),ROWS(A109)))),"Not Suitable"))))</f>
        <v>600</v>
      </c>
      <c r="C109" s="1217">
        <f>IF(F109="Not Suitable","Not Suitable",F109/(E109*PI()*(B109/2000)^2))</f>
        <v>8.5107045659157592</v>
      </c>
      <c r="D109" s="1216" cm="1">
        <f t="array" ref="D109">_xlfn.SINGLE(_xlfn.IFS(AND(Inputs!$E$32="All Types",$A$42="Concrete Volume"),(IFERROR(_xlfn.SINGLE(INDEX(Pile!$DQO$399:$DQO$422,_xlfn.AGGREGATE(15,3,((Pile!$DX$399:$DX$422=F109)/(Pile!$DX$399:$DX$422=F109)*ROW(Pile!$DX$399:$DX$422))-ROW(Pile!$DP$398),ROWS(A109)))),"Not Suitable")),AND(Inputs!$E$32="All Types",$A$42="Number of Piles"),(IF(SUMPRODUCT(--ISNUMBER(Pile!$DX$399:$DX$404)),Pile!$DQO$399,IF(SUMPRODUCT(--ISNUMBER(Pile!$DX$405:$DX$410)),Pile!$DQO$405,IF(SUMPRODUCT(--ISNUMBER(Pile!$DX$411:$DX$416)),Pile!$DQO$411,IF(SUMPRODUCT(--ISNUMBER(Pile!$DX$417:$DX$422)),Pile!$DQO$417,"Not Suitable")))))))</f>
        <v>0</v>
      </c>
      <c r="E109" s="1216" cm="1">
        <f t="array" ref="E109">_xlfn.SINGLE(_xlfn.IFS(AND(Inputs!$E$32="All Types",$A$42="Concrete Volume"),(IFERROR(_xlfn.SINGLE(INDEX(Pile!$DQ$399:$DQ$422,_xlfn.AGGREGATE(15,3,((Pile!$DX$399:$DX$422=F109)/(Pile!$DX$399:$DX$422=F109)*ROW(Pile!$DX$399:$DX$422))-ROW(Pile!$DP$398),ROWS(A109)))),"Not Suitable")),AND(Inputs!$E$32="All Types",$A$42="Number of Piles"),(IF(SUMPRODUCT(--ISNUMBER(Pile!$DX$399:$DX$404)),Pile!$DQ$399,IF(SUMPRODUCT(--ISNUMBER(Pile!$DX$405:$DX$410)),Pile!$DQ$405,IF(SUMPRODUCT(--ISNUMBER(Pile!$DX$411:$DX$416)),Pile!$DQ$411,IF(SUMPRODUCT(--ISNUMBER(Pile!$DX$417:$DX$422)),Pile!$DQ$417,"Not Suitable")))))))</f>
        <v>4</v>
      </c>
      <c r="F109" s="1217">
        <f>_xlfn.IFS(AND(Inputs!$E$32="All Types",$A$42="Concrete Volume"),(IF(MIN(Pile!$DX$399:$DX$422)&gt;0,MIN(Pile!$DX$399:$DX$422), "Not Suitable")),AND(Inputs!$E$32="All Types",$A$42="Number of Piles"),(IF(Pile!#REF!=Pile!$DQ$399,MIN(Pile!$DX$399:$DX$404),IF(Pile!#REF!=Pile!$DQ$405,MIN(Pile!$DX$405:$DX$410),IF(Pile!#REF!=Pile!$DQ$411,MIN(Pile!$DX$411:$DX$416),IF(Pile!#REF!=Pile!$DQ$417,MIN(Pile!$DX$417:$DX$422),"Not Suitable"))))))</f>
        <v>9.6253800988154623</v>
      </c>
      <c r="G109" s="1198"/>
      <c r="H109" s="572" t="s">
        <v>1934</v>
      </c>
      <c r="I109" s="1216" cm="1">
        <f t="array" ref="I109">_xlfn.SINGLE(_xlfn.IFS(AND(Inputs!$E$32="All Types",$A$42="Concrete Volume"),(IFERROR(_xlfn.SINGLE(INDEX(Pile!$EC$399:$EC$422,_xlfn.AGGREGATE(15,3,((Pile!$EK$399:$EK$422=M109)/(Pile!$EK$399:$EK$422=M109)*ROW(Pile!$EK$399:$EK$422))-ROW(Pile!$EC$398),ROWS(H109)))),"Not Suitable")),AND(Inputs!$E$32="All Types",$A$42="Number of Piles"),(IFERROR(_xlfn.SINGLE(INDEX(Pile!$EC$399:$EC$422,_xlfn.AGGREGATE(15,3,((Pile!$EK$399:$EK$422=M109)/(Pile!$EK$399:$EK$422=M109)*ROW(Pile!$EK$399:$EK$422))-ROW(Pile!$EC$398),ROWS(H109)))),"Not Suitable"))))</f>
        <v>600</v>
      </c>
      <c r="J109" s="1217">
        <f>IF(M109="Not Suitable","Not Suitable",M109/(L109*PI()*(I109/2000)^2))</f>
        <v>8.8107045659157599</v>
      </c>
      <c r="K109" s="1216" cm="1">
        <f t="array" ref="K109">_xlfn.SINGLE(_xlfn.IFS(AND(Inputs!$E$32="All Types",$A$42="Concrete Volume"),(IFERROR(_xlfn.SINGLE(INDEX(Pile!$EB$399:$EB$422,_xlfn.AGGREGATE(15,3,((Pile!$EK$399:$EK$422=M109)/(Pile!$EK$399:$EK$422=M109)*ROW(Pile!$EK$399:$EK$422))-ROW(Pile!$EC$398),ROWS(H109)))),"Not Suitable")),AND(Inputs!$E$32="All Types",$A$42="Number of Piles"),(IF(SUMPRODUCT(--ISNUMBER(Pile!$EK$399:$EK$404)),Pile!$EB$399,IF(SUMPRODUCT(--ISNUMBER(Pile!$EK$405:$EK$410)),Pile!$EB$405,IF(SUMPRODUCT(--ISNUMBER(Pile!$EK$411:$EK$416)),Pile!$EB$411,IF(SUMPRODUCT(--ISNUMBER(Pile!$EK$417:$EK$422)),Pile!$EB$417,"Not Suitable")))))))</f>
        <v>1</v>
      </c>
      <c r="L109" s="1216" cm="1">
        <f t="array" ref="L109">_xlfn.SINGLE(_xlfn.IFS(AND(Inputs!$E$32="All Types",$A$42="Concrete Volume"),(IFERROR(_xlfn.SINGLE(INDEX(Pile!$ED$399:$ED$422,_xlfn.AGGREGATE(15,3,((Pile!$EK$399:$EK$422=M109)/(Pile!$EK$399:$EK$422=M109)*ROW(Pile!$EK$399:$EK$422))-ROW(Pile!$EC$398),ROWS(H109)))),"Not Suitable")),AND(Inputs!$E$32="All Types",$A$42="Number of Piles"),(IF(SUMPRODUCT(--ISNUMBER(Pile!$EK$399:$EK$404)),Pile!$ED$399,IF(SUMPRODUCT(--ISNUMBER(Pile!$EK$405:$EK$410)),Pile!$ED$405,IF(SUMPRODUCT(--ISNUMBER(Pile!$EK$411:$EK$416)),Pile!$ED$411,IF(SUMPRODUCT(--ISNUMBER(Pile!$EK$417:$EK$422)),Pile!$ED$417,"Not Suitable")))))))</f>
        <v>4</v>
      </c>
      <c r="M109" s="1217">
        <f>_xlfn.IFS(AND(Inputs!$E$32="All Types",$A$42="Concrete Volume"),(IF(MIN(Pile!$EK$399:$EK$422)&gt;0,MIN(Pile!$EK$399:$EK$422), "Not Suitable")),AND(Inputs!$E$32="All Types",$A$42="Number of Piles"),(IF(Pile!#REF!=Pile!$ED$399,MIN(Pile!$EK$399:$EK$404),IF(Pile!#REF!=Pile!$ED$405,MIN(Pile!$EK$405:$EK$410),IF(Pile!#REF!=Pile!$ED$411,MIN(Pile!$EK$411:$EK$416),IF(Pile!#REF!=Pile!$ED$417,MIN(Pile!$EK$417:$EK$422),"Not Suitable"))))))</f>
        <v>9.9646721054031602</v>
      </c>
      <c r="N109" s="1198"/>
      <c r="O109" s="572" t="s">
        <v>1934</v>
      </c>
      <c r="P109" s="1216" cm="1">
        <f t="array" ref="P109">_xlfn.SINGLE(_xlfn.IFS(AND(Inputs!$E$32="All Types",$A$42="Concrete Volume"),(IFERROR(_xlfn.SINGLE(INDEX(Pile!$EP$399:$EP$422,_xlfn.AGGREGATE(15,3,((Pile!$EX$399:$EX$422=T109)/(Pile!$EX$399:$EX$422=T109)*ROW(Pile!$EX$399:$EX$422))-ROW(Pile!$EP$398),ROWS(O109)))),"Not Suitable")),AND(Inputs!$E$32="All Types",$A$42="Number of Piles"),(IFERROR(_xlfn.SINGLE(INDEX(Pile!$EP$399:$EP$422,_xlfn.AGGREGATE(15,3,((Pile!$EX$399:$EX$422=T109)/(Pile!$EX$399:$EX$422=T109)*ROW(Pile!$EX$399:$EX$422))-ROW(Pile!$EP$398),ROWS(O109)))),"Not Suitable"))))</f>
        <v>450</v>
      </c>
      <c r="Q109" s="1217">
        <f>IF(T109="Not Suitable","Not Suitable",T109/(S109*PI()*(P109/2000)^2))</f>
        <v>999999</v>
      </c>
      <c r="R109" s="1216" cm="1">
        <f t="array" ref="R109">_xlfn.SINGLE(_xlfn.IFS(AND(Inputs!$E$32="All Types",$A$42="Concrete Volume"),(IFERROR(_xlfn.SINGLE(INDEX(Pile!$EO$399:$EO$422,_xlfn.AGGREGATE(15,3,((Pile!$EX$399:$EX$422=T109)/(Pile!$EX$399:$EX$422=T109)*ROW(Pile!$EX$399:$EX$422))-ROW(Pile!$EP$398),ROWS(O109)))),"Not Suitable")),AND(Inputs!$E$32="All Types",$A$42="Number of Piles"),(IF(SUMPRODUCT(--ISNUMBER(Pile!$EX$399:$EX$404)),Pile!$EO$399,IF(SUMPRODUCT(--ISNUMBER(Pile!$EX$405:$EX$410)),Pile!$EO$405,IF(SUMPRODUCT(--ISNUMBER(Pile!$EX$411:$EX$416)),Pile!$EO$411,IF(SUMPRODUCT(--ISNUMBER(Pile!$EX$417:$EX$422)),Pile!$EO$417,"Not Suitable")))))))</f>
        <v>1</v>
      </c>
      <c r="S109" s="1216" cm="1">
        <f t="array" ref="S109">_xlfn.SINGLE(_xlfn.IFS(AND(Inputs!$E$32="All Types",$A$42="Concrete Volume"),(IFERROR(_xlfn.SINGLE(INDEX(Pile!$EQ$399:$EQ$422,_xlfn.AGGREGATE(15,3,((Pile!$EX$399:$EX$422=T109)/(Pile!$EX$399:$EX$422=T109)*ROW(Pile!$EX$399:$EX$422))-ROW(Pile!$EP$398),ROWS(O109)))),"Not Suitable")),AND(Inputs!$E$32="All Types",$A$42="Number of Piles"),(IF(SUMPRODUCT(--ISNUMBER(Pile!$EX$399:$EX$404)),Pile!$EQ$399,IF(SUMPRODUCT(--ISNUMBER(Pile!$EX$405:$EX$410)),Pile!$EQ$405,IF(SUMPRODUCT(--ISNUMBER(Pile!$EX$411:$EX$416)),Pile!$EQ$411,IF(SUMPRODUCT(--ISNUMBER(Pile!$EX$417:$EX$422)),Pile!$EQ$417,"Not Suitable")))))))</f>
        <v>4</v>
      </c>
      <c r="T109" s="1217">
        <f>_xlfn.IFS(AND(Inputs!$E$32="All Types",$A$42="Concrete Volume"),(IF(MIN(Pile!$EX$399:$EX$422)&gt;0,MIN(Pile!$EX$399:$EX$422), "Not Suitable")),AND(Inputs!$E$32="All Types",$A$42="Number of Piles"),(IF(Pile!#REF!=Pile!$EQ$399,MIN(Pile!$EX$399:$EX$404),IF(Pile!#REF!=Pile!$EQ$405,MIN(Pile!$EX$405:$EX$410),IF(Pile!#REF!=Pile!$EQ$411,MIN(Pile!$EX$411:$EX$416),IF(Pile!#REF!=Pile!$EQ$417,MIN(Pile!$EX$417:$EX$422),"Not Suitable"))))))</f>
        <v>636171.87617942085</v>
      </c>
    </row>
    <row r="110" spans="1:22" s="314" customFormat="1">
      <c r="G110" s="1198"/>
      <c r="N110" s="1198"/>
    </row>
    <row r="111" spans="1:22" s="314" customFormat="1" ht="15.75" thickBot="1">
      <c r="G111" s="1198"/>
      <c r="N111" s="1198"/>
    </row>
    <row r="112" spans="1:22" s="1193" customFormat="1" ht="32.25" customHeight="1" thickBot="1">
      <c r="A112" s="1197" t="str">
        <f>IF(Inputs!B32=0,"No Basement Specified","Recommended Basement Pile Wall Options")</f>
        <v>No Basement Specified</v>
      </c>
    </row>
    <row r="113" spans="1:74" s="314" customFormat="1" ht="15.75" thickBot="1"/>
    <row r="114" spans="1:74" ht="17.45" customHeight="1" thickBot="1">
      <c r="A114" s="1220" t="s">
        <v>1935</v>
      </c>
      <c r="B114" s="1220" t="s">
        <v>1936</v>
      </c>
      <c r="C114" s="1221" t="s">
        <v>1937</v>
      </c>
      <c r="D114" s="1221" t="s">
        <v>1938</v>
      </c>
      <c r="E114" s="314"/>
      <c r="F114" s="314"/>
      <c r="G114" s="314"/>
      <c r="H114" s="314"/>
      <c r="I114" s="314"/>
      <c r="J114" s="314"/>
      <c r="K114" s="314"/>
      <c r="L114" s="314"/>
      <c r="M114" s="314"/>
      <c r="N114" s="314"/>
      <c r="O114" s="314"/>
      <c r="P114" s="314"/>
      <c r="Q114" s="314"/>
      <c r="R114" s="314"/>
      <c r="S114" s="314"/>
      <c r="T114" s="314"/>
      <c r="U114" s="314"/>
      <c r="V114" s="314"/>
      <c r="W114" s="314"/>
      <c r="X114" s="314"/>
      <c r="Y114" s="314"/>
      <c r="Z114" s="314"/>
      <c r="AA114" s="314"/>
      <c r="AB114" s="314"/>
      <c r="AC114" s="314"/>
      <c r="AD114" s="314"/>
      <c r="AE114" s="314"/>
      <c r="AF114" s="314"/>
      <c r="AG114" s="314"/>
      <c r="AH114" s="314"/>
      <c r="AI114" s="314"/>
      <c r="AJ114" s="314"/>
      <c r="AK114" s="314"/>
      <c r="AL114" s="314"/>
      <c r="AM114" s="314"/>
      <c r="AN114" s="314"/>
      <c r="AO114" s="314"/>
      <c r="AP114" s="314"/>
      <c r="AQ114" s="314"/>
      <c r="AR114" s="314"/>
      <c r="AS114" s="314"/>
      <c r="AT114" s="314"/>
      <c r="AU114" s="314"/>
      <c r="AV114" s="314"/>
      <c r="AW114" s="314"/>
      <c r="AX114" s="314"/>
      <c r="AY114" s="314"/>
      <c r="AZ114" s="314"/>
      <c r="BA114" s="314"/>
      <c r="BB114" s="314"/>
      <c r="BC114" s="314"/>
      <c r="BD114" s="314"/>
      <c r="BE114" s="314"/>
      <c r="BF114" s="314"/>
      <c r="BG114" s="314"/>
      <c r="BH114" s="314"/>
      <c r="BI114" s="314"/>
      <c r="BJ114" s="314"/>
      <c r="BK114" s="314"/>
      <c r="BL114" s="314"/>
      <c r="BM114" s="314"/>
      <c r="BN114" s="314"/>
      <c r="BO114" s="314"/>
      <c r="BP114" s="314"/>
      <c r="BQ114" s="314"/>
      <c r="BR114" s="314"/>
      <c r="BS114" s="314"/>
      <c r="BT114" s="314"/>
      <c r="BU114" s="314"/>
      <c r="BV114" s="314"/>
    </row>
    <row r="115" spans="1:74" ht="17.45" customHeight="1" thickBot="1">
      <c r="A115" s="1222" t="str">
        <f>Basement!B154</f>
        <v>N/A</v>
      </c>
      <c r="B115" s="1222" t="str">
        <f>Basement!D154</f>
        <v>N/A</v>
      </c>
      <c r="C115" s="1223" t="str">
        <f t="array" ref="C115">Basement!B162</f>
        <v>0</v>
      </c>
      <c r="D115" s="1223" t="str">
        <f>Basement!D162</f>
        <v>0</v>
      </c>
      <c r="E115" s="314"/>
      <c r="F115" s="314"/>
      <c r="G115" s="314"/>
      <c r="H115" s="314"/>
      <c r="I115" s="314"/>
      <c r="J115" s="314"/>
      <c r="K115" s="314"/>
      <c r="L115" s="314"/>
      <c r="M115" s="314"/>
      <c r="N115" s="314"/>
      <c r="O115" s="314"/>
      <c r="P115" s="314"/>
      <c r="Q115" s="314"/>
      <c r="R115" s="314"/>
      <c r="S115" s="314"/>
      <c r="T115" s="314"/>
      <c r="U115" s="314"/>
      <c r="V115" s="314"/>
      <c r="W115" s="314"/>
      <c r="X115" s="314"/>
      <c r="Y115" s="314"/>
      <c r="Z115" s="314"/>
      <c r="AA115" s="314"/>
      <c r="AB115" s="314"/>
      <c r="AC115" s="314"/>
      <c r="AD115" s="314"/>
      <c r="AE115" s="314"/>
      <c r="AF115" s="314"/>
      <c r="AG115" s="314"/>
      <c r="AH115" s="314"/>
      <c r="AI115" s="314"/>
      <c r="AJ115" s="314"/>
      <c r="AK115" s="314"/>
      <c r="AL115" s="314"/>
      <c r="AM115" s="314"/>
      <c r="AN115" s="314"/>
      <c r="AO115" s="314"/>
      <c r="AP115" s="314"/>
      <c r="AQ115" s="314"/>
      <c r="AR115" s="314"/>
      <c r="AS115" s="314"/>
      <c r="AT115" s="314"/>
      <c r="AU115" s="314"/>
      <c r="AV115" s="314"/>
      <c r="AW115" s="314"/>
      <c r="AX115" s="314"/>
      <c r="AY115" s="314"/>
      <c r="AZ115" s="314"/>
      <c r="BA115" s="314"/>
      <c r="BB115" s="314"/>
      <c r="BC115" s="314"/>
      <c r="BD115" s="314"/>
      <c r="BE115" s="314"/>
      <c r="BF115" s="314"/>
      <c r="BG115" s="314"/>
      <c r="BH115" s="314"/>
      <c r="BI115" s="314"/>
      <c r="BJ115" s="314"/>
      <c r="BK115" s="314"/>
      <c r="BL115" s="314"/>
      <c r="BM115" s="314"/>
      <c r="BN115" s="314"/>
      <c r="BO115" s="314"/>
      <c r="BP115" s="314"/>
      <c r="BQ115" s="314"/>
      <c r="BR115" s="314"/>
      <c r="BS115" s="314"/>
      <c r="BT115" s="314"/>
      <c r="BU115" s="314"/>
      <c r="BV115" s="314"/>
    </row>
    <row r="116" spans="1:74" s="314" customFormat="1" ht="17.45" customHeight="1"/>
    <row r="117" spans="1:74" s="314" customFormat="1"/>
    <row r="118" spans="1:74" s="314" customFormat="1" ht="17.45" customHeight="1"/>
    <row r="119" spans="1:74" s="314" customFormat="1" ht="17.45" customHeight="1"/>
    <row r="120" spans="1:74" s="314" customFormat="1" ht="17.45" customHeight="1"/>
    <row r="121" spans="1:74" s="314" customFormat="1" ht="17.45" customHeight="1"/>
    <row r="122" spans="1:74" s="314" customFormat="1" ht="17.45" customHeight="1"/>
    <row r="123" spans="1:74" s="314" customFormat="1" ht="17.45" customHeight="1"/>
    <row r="124" spans="1:74" s="314" customFormat="1" ht="17.45" customHeight="1"/>
    <row r="125" spans="1:74" s="314" customFormat="1" ht="17.45" customHeight="1"/>
    <row r="126" spans="1:74" s="314" customFormat="1" ht="14.25" customHeight="1"/>
    <row r="127" spans="1:74" s="314" customFormat="1" ht="14.25" customHeight="1"/>
    <row r="128" spans="1:74" s="314" customFormat="1" ht="14.25" customHeight="1"/>
    <row r="129" s="314" customFormat="1" ht="14.25" customHeight="1"/>
    <row r="130" s="314" customFormat="1" ht="14.25" customHeight="1"/>
    <row r="131" s="314" customFormat="1"/>
    <row r="132" s="314" customFormat="1" ht="14.25" customHeight="1"/>
    <row r="133" s="314" customFormat="1" ht="14.25" customHeight="1"/>
    <row r="134" s="314" customFormat="1" ht="15" customHeight="1"/>
    <row r="135" s="314" customFormat="1" ht="15" customHeight="1"/>
    <row r="136" s="314" customFormat="1" ht="15" customHeight="1"/>
    <row r="137" s="314" customFormat="1" ht="15" customHeight="1"/>
    <row r="138" s="314" customFormat="1"/>
    <row r="139" s="314" customFormat="1"/>
  </sheetData>
  <mergeCells count="38">
    <mergeCell ref="B35:F35"/>
    <mergeCell ref="G35:K35"/>
    <mergeCell ref="B32:F32"/>
    <mergeCell ref="G32:K32"/>
    <mergeCell ref="B33:F33"/>
    <mergeCell ref="G33:K33"/>
    <mergeCell ref="B34:F34"/>
    <mergeCell ref="G34:K34"/>
    <mergeCell ref="B29:F29"/>
    <mergeCell ref="G29:K29"/>
    <mergeCell ref="B30:F30"/>
    <mergeCell ref="G30:K30"/>
    <mergeCell ref="B31:F31"/>
    <mergeCell ref="G31:K31"/>
    <mergeCell ref="B26:F26"/>
    <mergeCell ref="G26:K26"/>
    <mergeCell ref="B27:F27"/>
    <mergeCell ref="G27:K27"/>
    <mergeCell ref="B28:F28"/>
    <mergeCell ref="G28:K28"/>
    <mergeCell ref="B17:F17"/>
    <mergeCell ref="B18:F18"/>
    <mergeCell ref="B24:F24"/>
    <mergeCell ref="G24:K24"/>
    <mergeCell ref="B25:F25"/>
    <mergeCell ref="G25:K25"/>
    <mergeCell ref="B16:F16"/>
    <mergeCell ref="A1:I1"/>
    <mergeCell ref="B5:F5"/>
    <mergeCell ref="B7:F7"/>
    <mergeCell ref="B8:F8"/>
    <mergeCell ref="B9:F9"/>
    <mergeCell ref="B10:F10"/>
    <mergeCell ref="B11:F11"/>
    <mergeCell ref="B12:F12"/>
    <mergeCell ref="B13:F13"/>
    <mergeCell ref="B14:F14"/>
    <mergeCell ref="B15:F15"/>
  </mergeCells>
  <conditionalFormatting sqref="A114:D115">
    <cfRule type="expression" dxfId="2" priority="3">
      <formula>$A$112="No Basement Specified"</formula>
    </cfRule>
  </conditionalFormatting>
  <conditionalFormatting sqref="A8 A10 A12 A14 A16 A18:A19">
    <cfRule type="expression" dxfId="1" priority="2">
      <formula>$A$8="WARNING! Thin layers may return shallow foundations as failing and does not consider a third layer. Therefore groundcoditions maybe suitable although returning as failing."</formula>
    </cfRule>
  </conditionalFormatting>
  <conditionalFormatting sqref="B19:E19">
    <cfRule type="expression" dxfId="0" priority="1">
      <formula>$A$8="WARNING! Thin layers may return shallow foundations as failing and does not consider a third layer. Therefore groundcoditions maybe suitable although returning as failing."</formula>
    </cfRule>
  </conditionalFormatting>
  <dataValidations disablePrompts="1" count="3">
    <dataValidation type="list" allowBlank="1" showInputMessage="1" showErrorMessage="1" sqref="A42" xr:uid="{7752BA99-27FE-4C78-9531-490528ECD890}">
      <formula1>"Number of Piles, Concrete Volume"</formula1>
    </dataValidation>
    <dataValidation allowBlank="1" showInputMessage="1" showErrorMessage="1" prompt="Secant Piles are used to prevent the inflow of groundwater from the retained material._x000a__x000a_Contiguous piles are used when no groundwater retention is required. " sqref="A115" xr:uid="{E2054DC7-ABE3-4E58-A2ED-C2F154C5963B}"/>
    <dataValidation allowBlank="1" showInputMessage="1" showErrorMessage="1" prompt="This refers to significant groundwater control. Even if no, local groundwater control maybe required for minor water ingress." sqref="B115" xr:uid="{CF25BD7C-E75D-47B1-9892-9F8B8AE45A19}"/>
  </dataValidations>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2C3E8-E8F0-4823-B6FD-03FCE6B3D988}">
  <sheetPr codeName="Sheet3"/>
  <dimension ref="A1:I69"/>
  <sheetViews>
    <sheetView showRowColHeaders="0" workbookViewId="0">
      <selection activeCell="F18" sqref="F18"/>
    </sheetView>
  </sheetViews>
  <sheetFormatPr defaultColWidth="0" defaultRowHeight="11.25" zeroHeight="1"/>
  <cols>
    <col min="1" max="2" width="2.5703125" style="237" customWidth="1"/>
    <col min="3" max="3" width="33.5703125" style="237" customWidth="1"/>
    <col min="4" max="7" width="10.5703125" style="237" customWidth="1"/>
    <col min="8" max="8" width="2.5703125" style="237" customWidth="1"/>
    <col min="9" max="9" width="0" style="237" hidden="1" customWidth="1"/>
    <col min="10" max="16384" width="9.140625" style="237" hidden="1"/>
  </cols>
  <sheetData>
    <row r="1" spans="2:7"/>
    <row r="2" spans="2:7" ht="18">
      <c r="B2" s="128" t="s">
        <v>1939</v>
      </c>
      <c r="C2" s="112"/>
      <c r="D2" s="1285"/>
      <c r="E2" s="1285"/>
      <c r="F2" s="1285"/>
      <c r="G2" s="1285"/>
    </row>
    <row r="3" spans="2:7" ht="3.95" customHeight="1">
      <c r="B3" s="1286"/>
      <c r="C3" s="1286"/>
      <c r="D3" s="1285"/>
      <c r="E3" s="1285"/>
      <c r="F3" s="1285"/>
      <c r="G3" s="1285"/>
    </row>
    <row r="4" spans="2:7">
      <c r="B4" s="1287"/>
      <c r="C4" s="1288" t="s">
        <v>155</v>
      </c>
      <c r="D4" s="1289" t="s">
        <v>1940</v>
      </c>
      <c r="E4" s="1285"/>
      <c r="F4" s="1290"/>
      <c r="G4" s="1285"/>
    </row>
    <row r="5" spans="2:7">
      <c r="B5" s="1285"/>
      <c r="C5" s="67" t="s">
        <v>1055</v>
      </c>
      <c r="D5" s="67">
        <v>2.77</v>
      </c>
      <c r="E5" s="1291"/>
      <c r="F5" s="1291"/>
      <c r="G5" s="1291"/>
    </row>
    <row r="6" spans="2:7">
      <c r="B6" s="1285"/>
      <c r="C6" s="67" t="s">
        <v>1941</v>
      </c>
      <c r="D6" s="67">
        <v>0.4</v>
      </c>
      <c r="E6" s="1291"/>
      <c r="F6" s="1291"/>
      <c r="G6" s="1291"/>
    </row>
    <row r="7" spans="2:7">
      <c r="B7" s="1285"/>
      <c r="C7" s="67" t="s">
        <v>69</v>
      </c>
      <c r="D7" s="67">
        <v>1.5</v>
      </c>
      <c r="E7" s="1285"/>
      <c r="F7" s="1291"/>
      <c r="G7" s="1285"/>
    </row>
    <row r="8" spans="2:7">
      <c r="B8" s="1285"/>
      <c r="C8" s="67" t="s">
        <v>1942</v>
      </c>
      <c r="D8" s="67">
        <v>0.84</v>
      </c>
      <c r="E8" s="1285"/>
      <c r="F8" s="1291"/>
      <c r="G8" s="1285"/>
    </row>
    <row r="9" spans="2:7">
      <c r="B9" s="1285"/>
      <c r="C9" s="67" t="s">
        <v>1943</v>
      </c>
      <c r="D9" s="67">
        <v>3.7</v>
      </c>
      <c r="E9" s="1291"/>
      <c r="F9" s="1291"/>
      <c r="G9" s="1291"/>
    </row>
    <row r="10" spans="2:7" ht="3.95" customHeight="1">
      <c r="B10" s="1403"/>
      <c r="C10" s="1403"/>
      <c r="D10" s="1285"/>
      <c r="E10" s="1285"/>
      <c r="F10" s="1285"/>
      <c r="G10" s="1285"/>
    </row>
    <row r="11" spans="2:7" ht="18">
      <c r="B11" s="128" t="s">
        <v>1944</v>
      </c>
      <c r="C11" s="112"/>
      <c r="D11" s="1285"/>
      <c r="E11" s="1285"/>
      <c r="F11" s="1285"/>
      <c r="G11" s="1285"/>
    </row>
    <row r="12" spans="2:7" ht="3.95" customHeight="1"/>
    <row r="13" spans="2:7">
      <c r="C13" s="1288" t="s">
        <v>155</v>
      </c>
      <c r="D13" s="1288" t="s">
        <v>1945</v>
      </c>
      <c r="E13" s="1288"/>
      <c r="F13" s="1288"/>
      <c r="G13" s="1288" t="s">
        <v>1946</v>
      </c>
    </row>
    <row r="14" spans="2:7">
      <c r="C14" s="898" t="s">
        <v>308</v>
      </c>
      <c r="D14" s="1292">
        <f>SUM(D15:D18)</f>
        <v>0.8</v>
      </c>
      <c r="F14" s="898"/>
      <c r="G14" s="1292">
        <f t="shared" ref="G14" si="0">SUM(G15:G18)</f>
        <v>3.5</v>
      </c>
    </row>
    <row r="15" spans="2:7">
      <c r="C15" s="67" t="s">
        <v>1947</v>
      </c>
      <c r="D15" s="1293">
        <v>0.05</v>
      </c>
      <c r="E15" s="67" t="s">
        <v>1948</v>
      </c>
      <c r="G15" s="1293">
        <v>2.5</v>
      </c>
    </row>
    <row r="16" spans="2:7">
      <c r="C16" s="67" t="s">
        <v>1949</v>
      </c>
      <c r="D16" s="1293">
        <v>0.3</v>
      </c>
      <c r="E16" s="67" t="s">
        <v>1950</v>
      </c>
      <c r="G16" s="1293">
        <v>1</v>
      </c>
    </row>
    <row r="17" spans="3:7">
      <c r="C17" s="67" t="s">
        <v>1951</v>
      </c>
      <c r="D17" s="1293">
        <v>0.15</v>
      </c>
      <c r="E17" s="67"/>
      <c r="G17" s="1293"/>
    </row>
    <row r="18" spans="3:7">
      <c r="C18" s="67" t="s">
        <v>1952</v>
      </c>
      <c r="D18" s="1293">
        <v>0.3</v>
      </c>
      <c r="E18" s="67"/>
      <c r="G18" s="1293"/>
    </row>
    <row r="19" spans="3:7" ht="3.95" customHeight="1">
      <c r="C19" s="67"/>
      <c r="D19" s="67"/>
      <c r="E19" s="67"/>
      <c r="G19" s="1293"/>
    </row>
    <row r="20" spans="3:7">
      <c r="C20" s="898" t="s">
        <v>30</v>
      </c>
      <c r="D20" s="1292">
        <f>SUM(D21:D24)</f>
        <v>0.5</v>
      </c>
      <c r="F20" s="898"/>
      <c r="G20" s="1292">
        <f>SUM(G21:G22)</f>
        <v>2.5</v>
      </c>
    </row>
    <row r="21" spans="3:7">
      <c r="C21" s="67" t="s">
        <v>1947</v>
      </c>
      <c r="D21" s="1293">
        <v>0.05</v>
      </c>
      <c r="E21" s="67" t="s">
        <v>1953</v>
      </c>
      <c r="G21" s="1293">
        <v>1.5</v>
      </c>
    </row>
    <row r="22" spans="3:7">
      <c r="C22" s="67" t="s">
        <v>1954</v>
      </c>
      <c r="D22" s="1293">
        <v>0.15</v>
      </c>
      <c r="E22" s="67" t="s">
        <v>1950</v>
      </c>
      <c r="G22" s="1293">
        <v>1</v>
      </c>
    </row>
    <row r="23" spans="3:7">
      <c r="C23" s="67" t="s">
        <v>1951</v>
      </c>
      <c r="D23" s="1293">
        <v>0.2</v>
      </c>
      <c r="E23" s="67"/>
      <c r="G23" s="1293"/>
    </row>
    <row r="24" spans="3:7">
      <c r="C24" s="67" t="s">
        <v>1952</v>
      </c>
      <c r="D24" s="1293">
        <v>0.1</v>
      </c>
      <c r="E24" s="67"/>
      <c r="G24" s="1293"/>
    </row>
    <row r="25" spans="3:7" ht="3.95" customHeight="1">
      <c r="C25" s="67"/>
      <c r="D25" s="67"/>
      <c r="E25" s="67"/>
      <c r="G25" s="1293"/>
    </row>
    <row r="26" spans="3:7">
      <c r="C26" s="898" t="s">
        <v>311</v>
      </c>
      <c r="D26" s="1292">
        <f>SUM(D27:D30)</f>
        <v>0.8</v>
      </c>
      <c r="E26" s="1292"/>
      <c r="F26" s="1292"/>
      <c r="G26" s="1292">
        <f>SUM(G27:G28)</f>
        <v>4</v>
      </c>
    </row>
    <row r="27" spans="3:7">
      <c r="C27" s="67" t="s">
        <v>1947</v>
      </c>
      <c r="D27" s="1293">
        <v>0.05</v>
      </c>
      <c r="E27" s="67" t="s">
        <v>1955</v>
      </c>
      <c r="G27" s="1293">
        <v>3</v>
      </c>
    </row>
    <row r="28" spans="3:7">
      <c r="C28" s="67" t="s">
        <v>1949</v>
      </c>
      <c r="D28" s="1293">
        <v>0.3</v>
      </c>
      <c r="E28" s="67" t="s">
        <v>1950</v>
      </c>
      <c r="G28" s="1293">
        <v>1</v>
      </c>
    </row>
    <row r="29" spans="3:7">
      <c r="C29" s="67" t="s">
        <v>1951</v>
      </c>
      <c r="D29" s="1293">
        <v>0.15</v>
      </c>
      <c r="E29" s="67"/>
      <c r="G29" s="1293"/>
    </row>
    <row r="30" spans="3:7">
      <c r="C30" s="67" t="s">
        <v>1952</v>
      </c>
      <c r="D30" s="1293">
        <v>0.3</v>
      </c>
      <c r="E30" s="67"/>
      <c r="G30" s="1293"/>
    </row>
    <row r="31" spans="3:7" ht="3.95" customHeight="1">
      <c r="C31" s="67"/>
      <c r="D31" s="67"/>
      <c r="E31" s="67"/>
      <c r="G31" s="1293"/>
    </row>
    <row r="32" spans="3:7">
      <c r="C32" s="898" t="s">
        <v>309</v>
      </c>
      <c r="D32" s="1292">
        <f>SUM(D33:D36)</f>
        <v>2.9</v>
      </c>
      <c r="E32" s="1292"/>
      <c r="F32" s="1292"/>
      <c r="G32" s="1292">
        <f>SUM(G33:G34)</f>
        <v>4</v>
      </c>
    </row>
    <row r="33" spans="2:7">
      <c r="C33" s="67" t="s">
        <v>1956</v>
      </c>
      <c r="D33" s="1293">
        <v>0.05</v>
      </c>
      <c r="E33" s="67"/>
      <c r="G33" s="1293">
        <v>3</v>
      </c>
    </row>
    <row r="34" spans="2:7">
      <c r="C34" s="67" t="s">
        <v>1957</v>
      </c>
      <c r="D34" s="1293">
        <v>2.2000000000000002</v>
      </c>
      <c r="E34" s="67" t="s">
        <v>1950</v>
      </c>
      <c r="G34" s="1293">
        <v>1</v>
      </c>
    </row>
    <row r="35" spans="2:7">
      <c r="C35" s="67" t="s">
        <v>1951</v>
      </c>
      <c r="D35" s="1293">
        <v>0.15</v>
      </c>
      <c r="F35" s="67"/>
      <c r="G35" s="1293"/>
    </row>
    <row r="36" spans="2:7">
      <c r="C36" s="67" t="s">
        <v>1952</v>
      </c>
      <c r="D36" s="1293">
        <v>0.5</v>
      </c>
      <c r="F36" s="67"/>
      <c r="G36" s="1293"/>
    </row>
    <row r="37" spans="2:7" ht="3.95" customHeight="1">
      <c r="C37" s="67"/>
      <c r="D37" s="1293"/>
      <c r="F37" s="67"/>
      <c r="G37" s="1293"/>
    </row>
    <row r="38" spans="2:7" ht="18">
      <c r="B38" s="128" t="s">
        <v>1958</v>
      </c>
      <c r="C38" s="112"/>
      <c r="D38" s="1293"/>
      <c r="F38" s="67"/>
      <c r="G38" s="1293"/>
    </row>
    <row r="39" spans="2:7" ht="3.95" customHeight="1">
      <c r="C39" s="67"/>
      <c r="D39" s="1293"/>
      <c r="F39" s="67"/>
      <c r="G39" s="1293"/>
    </row>
    <row r="40" spans="2:7" ht="11.25" customHeight="1">
      <c r="C40" s="1294"/>
      <c r="D40" s="1404" t="s">
        <v>1959</v>
      </c>
      <c r="E40" s="1404"/>
      <c r="F40" s="1404"/>
      <c r="G40" s="1404"/>
    </row>
    <row r="41" spans="2:7">
      <c r="C41" s="1288" t="s">
        <v>155</v>
      </c>
      <c r="D41" s="1288" t="s">
        <v>308</v>
      </c>
      <c r="E41" s="1288" t="s">
        <v>30</v>
      </c>
      <c r="F41" s="1288" t="s">
        <v>311</v>
      </c>
      <c r="G41" s="1288" t="s">
        <v>309</v>
      </c>
    </row>
    <row r="42" spans="2:7">
      <c r="B42" s="237">
        <v>1</v>
      </c>
      <c r="C42" s="67" t="s">
        <v>86</v>
      </c>
      <c r="D42" s="1285">
        <f>200+450</f>
        <v>650</v>
      </c>
      <c r="E42" s="1285">
        <f>25+300</f>
        <v>325</v>
      </c>
      <c r="F42" s="1285">
        <f>D42</f>
        <v>650</v>
      </c>
      <c r="G42" s="1285">
        <f>50+1000</f>
        <v>1050</v>
      </c>
    </row>
    <row r="43" spans="2:7">
      <c r="B43" s="237">
        <v>2</v>
      </c>
      <c r="C43" s="67" t="s">
        <v>876</v>
      </c>
      <c r="D43" s="1285">
        <f t="shared" ref="D43:D52" si="1">200+450</f>
        <v>650</v>
      </c>
      <c r="E43" s="1285">
        <f t="shared" ref="E43:E52" si="2">25+300</f>
        <v>325</v>
      </c>
      <c r="F43" s="1285">
        <f t="shared" ref="F43:F52" si="3">D43</f>
        <v>650</v>
      </c>
      <c r="G43" s="1285">
        <f t="shared" ref="G43:G52" si="4">50+1000</f>
        <v>1050</v>
      </c>
    </row>
    <row r="44" spans="2:7">
      <c r="B44" s="237">
        <v>3</v>
      </c>
      <c r="C44" s="67" t="s">
        <v>158</v>
      </c>
      <c r="D44" s="1285">
        <f t="shared" si="1"/>
        <v>650</v>
      </c>
      <c r="E44" s="1285">
        <f t="shared" si="2"/>
        <v>325</v>
      </c>
      <c r="F44" s="1285">
        <f t="shared" si="3"/>
        <v>650</v>
      </c>
      <c r="G44" s="1285">
        <f t="shared" si="4"/>
        <v>1050</v>
      </c>
    </row>
    <row r="45" spans="2:7">
      <c r="B45" s="237">
        <v>4</v>
      </c>
      <c r="C45" s="67" t="s">
        <v>877</v>
      </c>
      <c r="D45" s="1285">
        <f t="shared" si="1"/>
        <v>650</v>
      </c>
      <c r="E45" s="1285">
        <f t="shared" si="2"/>
        <v>325</v>
      </c>
      <c r="F45" s="1285">
        <f t="shared" si="3"/>
        <v>650</v>
      </c>
      <c r="G45" s="1285">
        <f t="shared" si="4"/>
        <v>1050</v>
      </c>
    </row>
    <row r="46" spans="2:7">
      <c r="B46" s="237">
        <v>5</v>
      </c>
      <c r="C46" s="67" t="s">
        <v>878</v>
      </c>
      <c r="D46" s="1285">
        <f t="shared" si="1"/>
        <v>650</v>
      </c>
      <c r="E46" s="1285">
        <f t="shared" si="2"/>
        <v>325</v>
      </c>
      <c r="F46" s="1285">
        <f t="shared" si="3"/>
        <v>650</v>
      </c>
      <c r="G46" s="1285">
        <f t="shared" si="4"/>
        <v>1050</v>
      </c>
    </row>
    <row r="47" spans="2:7">
      <c r="B47" s="237">
        <v>6</v>
      </c>
      <c r="C47" s="67" t="s">
        <v>1224</v>
      </c>
      <c r="D47" s="1285">
        <f t="shared" si="1"/>
        <v>650</v>
      </c>
      <c r="E47" s="1285">
        <f t="shared" si="2"/>
        <v>325</v>
      </c>
      <c r="F47" s="1285">
        <f t="shared" si="3"/>
        <v>650</v>
      </c>
      <c r="G47" s="1285">
        <f t="shared" si="4"/>
        <v>1050</v>
      </c>
    </row>
    <row r="48" spans="2:7">
      <c r="B48" s="237">
        <v>7</v>
      </c>
      <c r="C48" s="67" t="s">
        <v>162</v>
      </c>
      <c r="D48" s="1285">
        <f t="shared" si="1"/>
        <v>650</v>
      </c>
      <c r="E48" s="1285">
        <f t="shared" si="2"/>
        <v>325</v>
      </c>
      <c r="F48" s="1285">
        <f t="shared" si="3"/>
        <v>650</v>
      </c>
      <c r="G48" s="1285">
        <f t="shared" si="4"/>
        <v>1050</v>
      </c>
    </row>
    <row r="49" spans="2:7">
      <c r="B49" s="237">
        <v>8</v>
      </c>
      <c r="C49" s="67" t="s">
        <v>163</v>
      </c>
      <c r="D49" s="1285">
        <f t="shared" si="1"/>
        <v>650</v>
      </c>
      <c r="E49" s="1285">
        <f t="shared" si="2"/>
        <v>325</v>
      </c>
      <c r="F49" s="1285">
        <f t="shared" si="3"/>
        <v>650</v>
      </c>
      <c r="G49" s="1285">
        <f t="shared" si="4"/>
        <v>1050</v>
      </c>
    </row>
    <row r="50" spans="2:7">
      <c r="B50" s="237">
        <v>9</v>
      </c>
      <c r="C50" s="67" t="s">
        <v>164</v>
      </c>
      <c r="D50" s="1285">
        <f>200+150</f>
        <v>350</v>
      </c>
      <c r="E50" s="1285">
        <f>25+75</f>
        <v>100</v>
      </c>
      <c r="F50" s="1285">
        <f t="shared" si="3"/>
        <v>350</v>
      </c>
      <c r="G50" s="1285">
        <f>50+700</f>
        <v>750</v>
      </c>
    </row>
    <row r="51" spans="2:7">
      <c r="B51" s="237">
        <v>10</v>
      </c>
      <c r="C51" s="67" t="s">
        <v>879</v>
      </c>
      <c r="D51" s="1285">
        <f t="shared" si="1"/>
        <v>650</v>
      </c>
      <c r="E51" s="1285">
        <f t="shared" si="2"/>
        <v>325</v>
      </c>
      <c r="F51" s="1285">
        <f t="shared" si="3"/>
        <v>650</v>
      </c>
      <c r="G51" s="1285">
        <f t="shared" si="4"/>
        <v>1050</v>
      </c>
    </row>
    <row r="52" spans="2:7">
      <c r="B52" s="237">
        <v>11</v>
      </c>
      <c r="C52" s="67" t="s">
        <v>880</v>
      </c>
      <c r="D52" s="1285">
        <f t="shared" si="1"/>
        <v>650</v>
      </c>
      <c r="E52" s="1285">
        <f t="shared" si="2"/>
        <v>325</v>
      </c>
      <c r="F52" s="1285">
        <f t="shared" si="3"/>
        <v>650</v>
      </c>
      <c r="G52" s="1285">
        <f t="shared" si="4"/>
        <v>1050</v>
      </c>
    </row>
    <row r="53" spans="2:7">
      <c r="C53" s="67"/>
      <c r="D53" s="67"/>
      <c r="E53" s="67"/>
      <c r="F53" s="67"/>
      <c r="G53" s="1293"/>
    </row>
    <row r="54" spans="2:7" ht="12.75">
      <c r="B54" s="1295" t="s">
        <v>1960</v>
      </c>
      <c r="C54" s="1296"/>
      <c r="D54" s="1296"/>
      <c r="E54" s="67"/>
      <c r="F54" s="67"/>
      <c r="G54" s="67"/>
    </row>
    <row r="55" spans="2:7" ht="3.95" customHeight="1">
      <c r="C55" s="67"/>
      <c r="D55" s="67"/>
      <c r="E55" s="67"/>
      <c r="F55" s="67"/>
      <c r="G55" s="67"/>
    </row>
    <row r="56" spans="2:7">
      <c r="C56" s="1297" t="s">
        <v>155</v>
      </c>
      <c r="D56" s="1297" t="s">
        <v>1961</v>
      </c>
      <c r="E56" s="1297" t="s">
        <v>1962</v>
      </c>
      <c r="F56" s="898"/>
    </row>
    <row r="57" spans="2:7" ht="11.25" customHeight="1">
      <c r="C57" s="1405" t="s">
        <v>1963</v>
      </c>
      <c r="D57" s="1298">
        <v>44148</v>
      </c>
      <c r="E57" s="67" t="s">
        <v>1964</v>
      </c>
      <c r="F57" s="1299"/>
      <c r="G57" s="1299"/>
    </row>
    <row r="58" spans="2:7">
      <c r="C58" s="1313"/>
      <c r="D58" s="904"/>
      <c r="F58" s="1299"/>
      <c r="G58" s="1299"/>
    </row>
    <row r="59" spans="2:7">
      <c r="C59" s="1313"/>
      <c r="D59" s="904"/>
      <c r="F59" s="1299"/>
      <c r="G59" s="1299"/>
    </row>
    <row r="60" spans="2:7">
      <c r="C60" s="241" t="s">
        <v>1965</v>
      </c>
      <c r="D60" s="1298">
        <v>44370</v>
      </c>
      <c r="E60" s="237" t="s">
        <v>1964</v>
      </c>
    </row>
    <row r="64" spans="2:7"/>
    <row r="67" s="237" customFormat="1"/>
    <row r="68" s="237" customFormat="1"/>
    <row r="69" s="237" customFormat="1"/>
  </sheetData>
  <mergeCells count="3">
    <mergeCell ref="B10:C10"/>
    <mergeCell ref="D40:G40"/>
    <mergeCell ref="C57:C59"/>
  </mergeCells>
  <pageMargins left="0.7" right="0.7" top="0.75" bottom="0.75" header="0.3" footer="0.3"/>
  <pageSetup paperSize="9" orientation="portrait" horizontalDpi="300" r:id="rId1"/>
  <ignoredErrors>
    <ignoredError sqref="D50:E50 G50" formula="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90CFE-EB7E-401A-B4B1-2ED52BC72526}">
  <sheetPr codeName="Sheet21"/>
  <dimension ref="A2:BO138"/>
  <sheetViews>
    <sheetView topLeftCell="A40" workbookViewId="0">
      <selection activeCell="AX14" sqref="AX14"/>
    </sheetView>
  </sheetViews>
  <sheetFormatPr defaultColWidth="9.140625" defaultRowHeight="12"/>
  <cols>
    <col min="1" max="1" width="2.5703125" style="150" customWidth="1"/>
    <col min="2" max="2" width="35.5703125" style="765" customWidth="1"/>
    <col min="3" max="3" width="14.5703125" style="764" bestFit="1" customWidth="1"/>
    <col min="4" max="4" width="9.140625" style="150"/>
    <col min="5" max="5" width="9.140625" style="150" customWidth="1"/>
    <col min="6" max="7" width="9.140625" style="150"/>
    <col min="8" max="8" width="30.5703125" style="150" customWidth="1"/>
    <col min="9" max="11" width="12" style="150" bestFit="1" customWidth="1"/>
    <col min="12" max="12" width="11" style="150" bestFit="1" customWidth="1"/>
    <col min="13" max="13" width="10.5703125" style="150" customWidth="1"/>
    <col min="14" max="14" width="30.5703125" style="150" customWidth="1"/>
    <col min="15" max="15" width="12" style="150" customWidth="1"/>
    <col min="16" max="19" width="9.140625" style="150" customWidth="1"/>
    <col min="20" max="20" width="30.5703125" style="150" customWidth="1"/>
    <col min="21" max="21" width="12" style="150" customWidth="1"/>
    <col min="22" max="25" width="9.140625" style="150" customWidth="1"/>
    <col min="26" max="26" width="30.5703125" style="150" customWidth="1"/>
    <col min="27" max="27" width="12" style="150" customWidth="1"/>
    <col min="28" max="30" width="9.140625" style="150"/>
    <col min="31" max="31" width="9.140625" style="150" customWidth="1"/>
    <col min="32" max="32" width="30.5703125" style="150" customWidth="1"/>
    <col min="33" max="33" width="12" style="150" customWidth="1"/>
    <col min="34" max="37" width="9.140625" style="150" customWidth="1"/>
    <col min="38" max="38" width="30.5703125" style="150" customWidth="1"/>
    <col min="39" max="39" width="12" style="150" customWidth="1"/>
    <col min="40" max="43" width="9.140625" style="150" customWidth="1"/>
    <col min="44" max="44" width="30.5703125" style="150" customWidth="1"/>
    <col min="45" max="45" width="12" style="150" customWidth="1"/>
    <col min="46" max="49" width="9.140625" style="150"/>
    <col min="50" max="50" width="30.5703125" style="150" customWidth="1"/>
    <col min="51" max="51" width="12" style="150" customWidth="1"/>
    <col min="52" max="55" width="9.140625" style="150"/>
    <col min="56" max="56" width="30.5703125" style="150" customWidth="1"/>
    <col min="57" max="57" width="12" style="150" customWidth="1"/>
    <col min="58" max="61" width="9.140625" style="150"/>
    <col min="62" max="62" width="30.5703125" style="150" customWidth="1"/>
    <col min="63" max="63" width="12" style="150" customWidth="1"/>
    <col min="64" max="16384" width="9.140625" style="150"/>
  </cols>
  <sheetData>
    <row r="2" spans="2:63" ht="15">
      <c r="B2" s="763" t="s">
        <v>1966</v>
      </c>
      <c r="E2" s="257" t="s">
        <v>1967</v>
      </c>
      <c r="I2" s="257" t="s">
        <v>1968</v>
      </c>
      <c r="L2" s="257" t="s">
        <v>1969</v>
      </c>
    </row>
    <row r="3" spans="2:63" ht="12" customHeight="1">
      <c r="E3" s="152"/>
      <c r="F3" s="152"/>
      <c r="G3" s="152"/>
    </row>
    <row r="4" spans="2:63" ht="12" customHeight="1">
      <c r="B4" s="765" t="s">
        <v>29</v>
      </c>
      <c r="C4" s="764" t="str">
        <f>Summary!C9</f>
        <v>Residential</v>
      </c>
      <c r="D4" s="150">
        <f>MATCH(C4,'Loading Schedule'!D41:G41,0)</f>
        <v>2</v>
      </c>
      <c r="E4" s="251" t="s">
        <v>100</v>
      </c>
      <c r="F4" s="251" t="s">
        <v>1970</v>
      </c>
      <c r="G4" s="251" t="s">
        <v>1971</v>
      </c>
      <c r="I4" s="251" t="s">
        <v>1972</v>
      </c>
      <c r="J4" s="251" t="s">
        <v>1973</v>
      </c>
      <c r="L4" s="251" t="s">
        <v>1974</v>
      </c>
      <c r="M4" s="251" t="s">
        <v>189</v>
      </c>
      <c r="N4" s="766"/>
      <c r="P4" s="266" t="s">
        <v>1975</v>
      </c>
      <c r="Q4" s="266" t="s">
        <v>1976</v>
      </c>
    </row>
    <row r="5" spans="2:63" ht="12" customHeight="1">
      <c r="B5" s="767" t="s">
        <v>1977</v>
      </c>
      <c r="C5" s="768">
        <f>Summary!C13</f>
        <v>6</v>
      </c>
      <c r="D5" s="150" t="s">
        <v>15</v>
      </c>
      <c r="E5" s="152">
        <v>0</v>
      </c>
      <c r="F5" s="152">
        <v>3.0000000000000001E-3</v>
      </c>
      <c r="G5" s="152">
        <v>1</v>
      </c>
      <c r="H5" s="769"/>
      <c r="I5" s="152" t="s">
        <v>1978</v>
      </c>
      <c r="J5" s="178">
        <f>PI()*5^2</f>
        <v>78.539816339744831</v>
      </c>
      <c r="K5" s="769"/>
      <c r="L5" s="152">
        <v>0</v>
      </c>
      <c r="M5" s="152"/>
      <c r="P5" s="152">
        <v>0</v>
      </c>
      <c r="Q5" s="152"/>
    </row>
    <row r="6" spans="2:63" ht="12" customHeight="1">
      <c r="B6" s="767" t="s">
        <v>1979</v>
      </c>
      <c r="C6" s="768">
        <f>Summary!C14</f>
        <v>6</v>
      </c>
      <c r="D6" s="150" t="s">
        <v>15</v>
      </c>
      <c r="E6" s="152">
        <v>1</v>
      </c>
      <c r="F6" s="152">
        <v>0.01</v>
      </c>
      <c r="G6" s="152">
        <v>1</v>
      </c>
      <c r="H6" s="769"/>
      <c r="I6" s="152" t="s">
        <v>1980</v>
      </c>
      <c r="J6" s="178">
        <f>PI()*6^2</f>
        <v>113.09733552923255</v>
      </c>
      <c r="K6" s="769"/>
      <c r="L6" s="152">
        <v>24</v>
      </c>
      <c r="M6" s="770">
        <v>200</v>
      </c>
      <c r="N6" s="182"/>
      <c r="P6" s="152">
        <v>0.25</v>
      </c>
      <c r="Q6" s="152">
        <v>0.8</v>
      </c>
    </row>
    <row r="7" spans="2:63" ht="12" customHeight="1">
      <c r="B7" s="771" t="s">
        <v>50</v>
      </c>
      <c r="C7" s="768">
        <f>Summary!C15</f>
        <v>10</v>
      </c>
      <c r="E7" s="152">
        <v>2</v>
      </c>
      <c r="F7" s="152">
        <v>0.05</v>
      </c>
      <c r="G7" s="152">
        <v>2</v>
      </c>
      <c r="H7" s="769"/>
      <c r="I7" s="152" t="s">
        <v>1981</v>
      </c>
      <c r="J7" s="178">
        <f>PI()*8^2</f>
        <v>201.06192982974676</v>
      </c>
      <c r="K7" s="769"/>
      <c r="L7" s="152">
        <f>(L6+L8)/2</f>
        <v>42</v>
      </c>
      <c r="M7" s="770">
        <v>250</v>
      </c>
      <c r="N7" s="182"/>
      <c r="P7" s="152">
        <v>1</v>
      </c>
      <c r="Q7" s="152">
        <v>1.1000000000000001</v>
      </c>
    </row>
    <row r="8" spans="2:63" ht="12" customHeight="1">
      <c r="B8" s="771" t="s">
        <v>54</v>
      </c>
      <c r="C8" s="768">
        <f>Summary!C16</f>
        <v>8</v>
      </c>
      <c r="E8" s="152">
        <v>3</v>
      </c>
      <c r="F8" s="152">
        <v>0.3</v>
      </c>
      <c r="G8" s="152">
        <v>5</v>
      </c>
      <c r="H8" s="769"/>
      <c r="I8" s="152" t="s">
        <v>1982</v>
      </c>
      <c r="J8" s="178">
        <f>PI()*10^2</f>
        <v>314.15926535897933</v>
      </c>
      <c r="K8" s="769"/>
      <c r="L8" s="152">
        <v>60</v>
      </c>
      <c r="M8" s="770">
        <v>300</v>
      </c>
      <c r="N8" s="182"/>
      <c r="P8" s="152">
        <v>5</v>
      </c>
      <c r="Q8" s="152">
        <v>1.3</v>
      </c>
    </row>
    <row r="9" spans="2:63" ht="12" customHeight="1">
      <c r="B9" s="771" t="s">
        <v>698</v>
      </c>
      <c r="C9" s="768">
        <f>(C7-1)*(C8-1)</f>
        <v>63</v>
      </c>
      <c r="E9" s="152">
        <v>4</v>
      </c>
      <c r="F9" s="152">
        <v>1</v>
      </c>
      <c r="G9" s="152">
        <v>10</v>
      </c>
      <c r="H9" s="769"/>
      <c r="I9" s="152" t="s">
        <v>1983</v>
      </c>
      <c r="J9" s="178">
        <f>PI()*12.5^2</f>
        <v>490.87385212340519</v>
      </c>
      <c r="K9" s="769"/>
      <c r="L9" s="152">
        <v>80</v>
      </c>
      <c r="M9" s="770">
        <v>350</v>
      </c>
      <c r="N9" s="182"/>
      <c r="Q9" s="152">
        <v>1.3</v>
      </c>
    </row>
    <row r="10" spans="2:63" ht="12" customHeight="1">
      <c r="B10" s="771" t="s">
        <v>59</v>
      </c>
      <c r="C10" s="768">
        <f>Summary!C17</f>
        <v>2</v>
      </c>
      <c r="E10" s="152"/>
      <c r="F10" s="152"/>
      <c r="G10" s="152"/>
      <c r="H10" s="772"/>
      <c r="I10" s="772"/>
      <c r="J10" s="772"/>
      <c r="K10" s="772"/>
      <c r="L10" s="152">
        <v>100</v>
      </c>
      <c r="M10" s="770">
        <v>400</v>
      </c>
      <c r="N10" s="182"/>
    </row>
    <row r="11" spans="2:63" ht="12" customHeight="1">
      <c r="B11" s="771" t="s">
        <v>62</v>
      </c>
      <c r="C11" s="764">
        <f>Summary!C18</f>
        <v>3</v>
      </c>
      <c r="D11" s="150" t="s">
        <v>15</v>
      </c>
      <c r="E11" s="152"/>
      <c r="F11" s="152"/>
      <c r="G11" s="152"/>
      <c r="H11" s="772"/>
      <c r="I11" s="772"/>
      <c r="J11" s="772"/>
      <c r="K11" s="772"/>
      <c r="L11" s="152">
        <v>120</v>
      </c>
      <c r="M11" s="770">
        <v>450</v>
      </c>
      <c r="N11" s="182"/>
    </row>
    <row r="12" spans="2:63">
      <c r="B12" s="150"/>
      <c r="C12" s="150"/>
      <c r="E12" s="152"/>
      <c r="F12" s="152"/>
      <c r="G12" s="152"/>
      <c r="L12" s="152">
        <v>140</v>
      </c>
      <c r="M12" s="770">
        <v>500</v>
      </c>
    </row>
    <row r="13" spans="2:63">
      <c r="B13" s="150"/>
      <c r="C13" s="150"/>
      <c r="E13" s="152"/>
      <c r="F13" s="152"/>
      <c r="G13" s="152"/>
      <c r="L13" s="152">
        <v>160</v>
      </c>
      <c r="M13" s="770">
        <v>550</v>
      </c>
    </row>
    <row r="14" spans="2:63">
      <c r="B14" s="150"/>
      <c r="C14" s="150"/>
      <c r="E14" s="152"/>
      <c r="F14" s="152"/>
      <c r="G14" s="152"/>
      <c r="L14" s="152">
        <v>180</v>
      </c>
      <c r="M14" s="770">
        <v>600</v>
      </c>
    </row>
    <row r="15" spans="2:63">
      <c r="B15" s="150"/>
      <c r="C15" s="150"/>
      <c r="E15" s="152"/>
      <c r="F15" s="152"/>
      <c r="G15" s="152"/>
    </row>
    <row r="16" spans="2:63" ht="18">
      <c r="B16" s="128" t="str">
        <f>Database!D17</f>
        <v>RC Flat Slab</v>
      </c>
      <c r="H16" s="773" t="str">
        <f>Database!D18</f>
        <v>PT RC Flat Slab</v>
      </c>
      <c r="I16" s="764"/>
      <c r="N16" s="773" t="str">
        <f>Database!D19</f>
        <v>RC Rib Slab</v>
      </c>
      <c r="O16" s="764"/>
      <c r="T16" s="128" t="str">
        <f>Database!D20</f>
        <v>Two-way RC Slab</v>
      </c>
      <c r="U16" s="764"/>
      <c r="Z16" s="128" t="str">
        <f>Database!D21</f>
        <v>One-Way Spanning RC</v>
      </c>
      <c r="AA16" s="764"/>
      <c r="AF16" s="128" t="str">
        <f>Database!D22</f>
        <v>Precast Hollowcore with In-situ RC Beams</v>
      </c>
      <c r="AG16" s="764"/>
      <c r="AL16" s="128" t="str">
        <f>Database!D23</f>
        <v>Non-Composite Rolled Steel with PCC Planks</v>
      </c>
      <c r="AM16" s="764"/>
      <c r="AR16" s="128" t="str">
        <f>Database!D24</f>
        <v>Composite Rolled Steel with Metal Decking</v>
      </c>
      <c r="AS16" s="764"/>
      <c r="AX16" s="128" t="str">
        <f>Database!D25</f>
        <v>Composite Cell Beams with Metal Decking</v>
      </c>
      <c r="AY16" s="764"/>
      <c r="BD16" s="128" t="str">
        <f>Database!D26</f>
        <v>Steel Frame with CLT Slabs</v>
      </c>
      <c r="BE16" s="764"/>
      <c r="BJ16" s="128" t="str">
        <f>Database!D27</f>
        <v>CLT, Glulam and Steel Column Hybrid</v>
      </c>
      <c r="BK16" s="764"/>
    </row>
    <row r="17" spans="1:64">
      <c r="B17" s="765" t="s">
        <v>1927</v>
      </c>
      <c r="C17" s="768">
        <v>1</v>
      </c>
      <c r="H17" s="765" t="s">
        <v>1927</v>
      </c>
      <c r="I17" s="768">
        <v>2</v>
      </c>
      <c r="N17" s="765" t="s">
        <v>1927</v>
      </c>
      <c r="O17" s="768">
        <v>3</v>
      </c>
      <c r="T17" s="765" t="s">
        <v>1927</v>
      </c>
      <c r="U17" s="768">
        <v>4</v>
      </c>
      <c r="Z17" s="765" t="s">
        <v>1927</v>
      </c>
      <c r="AA17" s="768">
        <v>5</v>
      </c>
      <c r="AF17" s="765" t="s">
        <v>1927</v>
      </c>
      <c r="AG17" s="768">
        <v>6</v>
      </c>
      <c r="AL17" s="765" t="s">
        <v>1927</v>
      </c>
      <c r="AM17" s="768">
        <v>7</v>
      </c>
      <c r="AR17" s="765" t="s">
        <v>1927</v>
      </c>
      <c r="AS17" s="768">
        <v>8</v>
      </c>
      <c r="AX17" s="765" t="s">
        <v>1927</v>
      </c>
      <c r="AY17" s="768">
        <v>9</v>
      </c>
      <c r="BD17" s="765" t="s">
        <v>1927</v>
      </c>
      <c r="BE17" s="768">
        <v>10</v>
      </c>
      <c r="BJ17" s="765" t="s">
        <v>1927</v>
      </c>
      <c r="BK17" s="768">
        <v>11</v>
      </c>
    </row>
    <row r="18" spans="1:64">
      <c r="B18" s="765" t="s">
        <v>1984</v>
      </c>
      <c r="C18" s="764" cm="1">
        <f t="array" ref="C18">INDEX('Loading Schedule'!$D$42:$G$52,'Shear Walls'!C17,'Shear Walls'!$D$4)*0.001</f>
        <v>0.32500000000000001</v>
      </c>
      <c r="D18" s="150" t="s">
        <v>15</v>
      </c>
      <c r="H18" s="765" t="s">
        <v>1984</v>
      </c>
      <c r="I18" s="764" cm="1">
        <f t="array" ref="I18">INDEX('Loading Schedule'!$D$42:$G$52,'Shear Walls'!I17,'Shear Walls'!$D$4)*0.001</f>
        <v>0.32500000000000001</v>
      </c>
      <c r="J18" s="150" t="s">
        <v>15</v>
      </c>
      <c r="N18" s="765" t="s">
        <v>1984</v>
      </c>
      <c r="O18" s="764" cm="1">
        <f t="array" ref="O18">INDEX('Loading Schedule'!$D$42:$G$52,'Shear Walls'!O17,'Shear Walls'!$D$4)*0.001</f>
        <v>0.32500000000000001</v>
      </c>
      <c r="P18" s="150" t="s">
        <v>15</v>
      </c>
      <c r="T18" s="765" t="s">
        <v>1984</v>
      </c>
      <c r="U18" s="764" cm="1">
        <f t="array" ref="U18">INDEX('Loading Schedule'!$D$42:$G$52,'Shear Walls'!U17,'Shear Walls'!$D$4)*0.001</f>
        <v>0.32500000000000001</v>
      </c>
      <c r="V18" s="150" t="s">
        <v>15</v>
      </c>
      <c r="Z18" s="765" t="s">
        <v>1984</v>
      </c>
      <c r="AA18" s="764" cm="1">
        <f t="array" ref="AA18">INDEX('Loading Schedule'!$D$42:$G$52,'Shear Walls'!AA17,'Shear Walls'!$D$4)*0.001</f>
        <v>0.32500000000000001</v>
      </c>
      <c r="AB18" s="150" t="s">
        <v>15</v>
      </c>
      <c r="AF18" s="765" t="s">
        <v>1984</v>
      </c>
      <c r="AG18" s="764" cm="1">
        <f t="array" ref="AG18">INDEX('Loading Schedule'!$D$42:$G$52,'Shear Walls'!AG17,'Shear Walls'!$D$4)*0.001</f>
        <v>0.32500000000000001</v>
      </c>
      <c r="AH18" s="150" t="s">
        <v>15</v>
      </c>
      <c r="AL18" s="765" t="s">
        <v>1984</v>
      </c>
      <c r="AM18" s="764" cm="1">
        <f t="array" ref="AM18">INDEX('Loading Schedule'!$D$42:$G$52,'Shear Walls'!AM17,'Shear Walls'!$D$4)*0.001</f>
        <v>0.32500000000000001</v>
      </c>
      <c r="AN18" s="150" t="s">
        <v>15</v>
      </c>
      <c r="AR18" s="765" t="s">
        <v>1984</v>
      </c>
      <c r="AS18" s="764" cm="1">
        <f t="array" ref="AS18">INDEX('Loading Schedule'!$D$42:$G$52,'Shear Walls'!AS17,'Shear Walls'!$D$4)*0.001</f>
        <v>0.32500000000000001</v>
      </c>
      <c r="AT18" s="150" t="s">
        <v>15</v>
      </c>
      <c r="AX18" s="765" t="s">
        <v>1984</v>
      </c>
      <c r="AY18" s="764" cm="1">
        <f t="array" ref="AY18">INDEX('Loading Schedule'!$D$42:$G$52,'Shear Walls'!AY17,'Shear Walls'!$D$4)*0.001</f>
        <v>0.1</v>
      </c>
      <c r="AZ18" s="150" t="s">
        <v>15</v>
      </c>
      <c r="BD18" s="765" t="s">
        <v>1984</v>
      </c>
      <c r="BE18" s="764" cm="1">
        <f t="array" ref="BE18">INDEX('Loading Schedule'!$D$42:$G$52,'Shear Walls'!BE17,'Shear Walls'!$D$4)*0.001</f>
        <v>0.32500000000000001</v>
      </c>
      <c r="BF18" s="150" t="s">
        <v>15</v>
      </c>
      <c r="BJ18" s="765" t="s">
        <v>1984</v>
      </c>
      <c r="BK18" s="764" cm="1">
        <f t="array" ref="BK18">INDEX('Loading Schedule'!$D$42:$G$52,'Shear Walls'!BK17,'Shear Walls'!$D$4)*0.001</f>
        <v>0.32500000000000001</v>
      </c>
      <c r="BL18" s="150" t="s">
        <v>15</v>
      </c>
    </row>
    <row r="19" spans="1:64">
      <c r="A19" s="150" t="s">
        <v>1985</v>
      </c>
      <c r="B19" s="771" t="s">
        <v>536</v>
      </c>
      <c r="C19" s="764">
        <f>Database!E17</f>
        <v>0.21</v>
      </c>
      <c r="D19" s="150" t="s">
        <v>15</v>
      </c>
      <c r="H19" s="771" t="s">
        <v>536</v>
      </c>
      <c r="I19" s="764">
        <f>Database!E18</f>
        <v>0.2</v>
      </c>
      <c r="J19" s="150" t="s">
        <v>15</v>
      </c>
      <c r="N19" s="771" t="s">
        <v>536</v>
      </c>
      <c r="O19" s="764">
        <f>Database!E19</f>
        <v>0.3</v>
      </c>
      <c r="P19" s="150" t="s">
        <v>15</v>
      </c>
      <c r="T19" s="771" t="s">
        <v>536</v>
      </c>
      <c r="U19" s="764">
        <f>Database!E20</f>
        <v>0.27500000000000002</v>
      </c>
      <c r="V19" s="150" t="s">
        <v>15</v>
      </c>
      <c r="Z19" s="771" t="s">
        <v>536</v>
      </c>
      <c r="AA19" s="764">
        <f>Database!E21</f>
        <v>0.35</v>
      </c>
      <c r="AB19" s="150" t="s">
        <v>15</v>
      </c>
      <c r="AF19" s="771" t="s">
        <v>536</v>
      </c>
      <c r="AG19" s="764">
        <f>Database!E22</f>
        <v>0.35</v>
      </c>
      <c r="AH19" s="150" t="s">
        <v>15</v>
      </c>
      <c r="AL19" s="771" t="s">
        <v>536</v>
      </c>
      <c r="AM19" s="764">
        <f>Database!E23</f>
        <v>0.55800000000000005</v>
      </c>
      <c r="AN19" s="150" t="s">
        <v>15</v>
      </c>
      <c r="AR19" s="771" t="s">
        <v>536</v>
      </c>
      <c r="AS19" s="764">
        <f>Database!E24</f>
        <v>0.505</v>
      </c>
      <c r="AT19" s="150" t="s">
        <v>15</v>
      </c>
      <c r="AX19" s="771" t="s">
        <v>536</v>
      </c>
      <c r="AY19" s="764">
        <f>Database!E25</f>
        <v>0.57475999999999994</v>
      </c>
      <c r="AZ19" s="150" t="s">
        <v>15</v>
      </c>
      <c r="BD19" s="771" t="s">
        <v>536</v>
      </c>
      <c r="BE19" s="764">
        <f>Database!E26</f>
        <v>0.45900000000000002</v>
      </c>
      <c r="BF19" s="150" t="s">
        <v>15</v>
      </c>
      <c r="BJ19" s="771" t="s">
        <v>536</v>
      </c>
      <c r="BK19" s="764">
        <f>Database!E27</f>
        <v>0.55000000000000004</v>
      </c>
      <c r="BL19" s="150" t="s">
        <v>15</v>
      </c>
    </row>
    <row r="20" spans="1:64">
      <c r="B20" s="771" t="s">
        <v>1986</v>
      </c>
      <c r="C20" s="764">
        <f>$C$11+C18+C19</f>
        <v>3.5350000000000001</v>
      </c>
      <c r="D20" s="150" t="s">
        <v>15</v>
      </c>
      <c r="H20" s="771" t="s">
        <v>1986</v>
      </c>
      <c r="I20" s="764">
        <f>$C$11+I18+I19</f>
        <v>3.5250000000000004</v>
      </c>
      <c r="J20" s="150" t="s">
        <v>15</v>
      </c>
      <c r="N20" s="771" t="s">
        <v>1986</v>
      </c>
      <c r="O20" s="764">
        <f>$C$11+O18+O19</f>
        <v>3.625</v>
      </c>
      <c r="P20" s="150" t="s">
        <v>15</v>
      </c>
      <c r="T20" s="771" t="s">
        <v>1986</v>
      </c>
      <c r="U20" s="764">
        <f>$C$11+U18+U19</f>
        <v>3.6</v>
      </c>
      <c r="V20" s="150" t="s">
        <v>15</v>
      </c>
      <c r="Z20" s="771" t="s">
        <v>1986</v>
      </c>
      <c r="AA20" s="764">
        <f>$C$11+AA18+AA19</f>
        <v>3.6750000000000003</v>
      </c>
      <c r="AB20" s="150" t="s">
        <v>15</v>
      </c>
      <c r="AF20" s="771" t="s">
        <v>1986</v>
      </c>
      <c r="AG20" s="764">
        <f>$C$11+AG18+AG19</f>
        <v>3.6750000000000003</v>
      </c>
      <c r="AH20" s="150" t="s">
        <v>15</v>
      </c>
      <c r="AL20" s="771" t="s">
        <v>1986</v>
      </c>
      <c r="AM20" s="764">
        <f>$C$11+AM18+AM19</f>
        <v>3.883</v>
      </c>
      <c r="AN20" s="150" t="s">
        <v>15</v>
      </c>
      <c r="AR20" s="771" t="s">
        <v>1986</v>
      </c>
      <c r="AS20" s="764">
        <f>$C$11+AS18+AS19</f>
        <v>3.83</v>
      </c>
      <c r="AT20" s="150" t="s">
        <v>15</v>
      </c>
      <c r="AX20" s="771" t="s">
        <v>1986</v>
      </c>
      <c r="AY20" s="764">
        <f>$C$11+AY18+AY19</f>
        <v>3.67476</v>
      </c>
      <c r="AZ20" s="150" t="s">
        <v>15</v>
      </c>
      <c r="BD20" s="771" t="s">
        <v>1986</v>
      </c>
      <c r="BE20" s="764">
        <f>$C$11+BE18+BE19</f>
        <v>3.7840000000000003</v>
      </c>
      <c r="BF20" s="150" t="s">
        <v>15</v>
      </c>
      <c r="BJ20" s="771" t="s">
        <v>1986</v>
      </c>
      <c r="BK20" s="764">
        <f>$C$11+BK18+BK19</f>
        <v>3.875</v>
      </c>
      <c r="BL20" s="150" t="s">
        <v>15</v>
      </c>
    </row>
    <row r="21" spans="1:64">
      <c r="B21" s="771" t="s">
        <v>1987</v>
      </c>
      <c r="C21" s="764">
        <f>IF('Material Quantities &amp; Embodied '!A6=0,0,C20*$C$10)</f>
        <v>7.07</v>
      </c>
      <c r="D21" s="150" t="s">
        <v>15</v>
      </c>
      <c r="H21" s="771" t="s">
        <v>1987</v>
      </c>
      <c r="I21" s="764">
        <f>IF('Material Quantities &amp; Embodied '!A38=0,0,I20*$C$10)</f>
        <v>7.0500000000000007</v>
      </c>
      <c r="J21" s="150" t="s">
        <v>15</v>
      </c>
      <c r="N21" s="771" t="s">
        <v>1987</v>
      </c>
      <c r="O21" s="764">
        <f>IF('Material Quantities &amp; Embodied '!A70=0,0,O20*$C$10)</f>
        <v>7.25</v>
      </c>
      <c r="P21" s="150" t="s">
        <v>15</v>
      </c>
      <c r="T21" s="771" t="s">
        <v>1987</v>
      </c>
      <c r="U21" s="764">
        <f>IF('Material Quantities &amp; Embodied '!A102=0,0,U20*$C$10)</f>
        <v>7.2</v>
      </c>
      <c r="V21" s="150" t="s">
        <v>15</v>
      </c>
      <c r="Z21" s="771" t="s">
        <v>1987</v>
      </c>
      <c r="AA21" s="764">
        <f>IF('Material Quantities &amp; Embodied '!A134=0,0,AA20*$C$10)</f>
        <v>7.3500000000000005</v>
      </c>
      <c r="AB21" s="150" t="s">
        <v>15</v>
      </c>
      <c r="AF21" s="771" t="s">
        <v>1987</v>
      </c>
      <c r="AG21" s="764">
        <f>IF('Material Quantities &amp; Embodied '!A166=0,0,AG20*$C$10)</f>
        <v>7.3500000000000005</v>
      </c>
      <c r="AH21" s="150" t="s">
        <v>15</v>
      </c>
      <c r="AL21" s="771" t="s">
        <v>1987</v>
      </c>
      <c r="AM21" s="764">
        <f>IF('Material Quantities &amp; Embodied '!A199=0,0,AM20*$C$10)</f>
        <v>7.766</v>
      </c>
      <c r="AN21" s="150" t="s">
        <v>15</v>
      </c>
      <c r="AR21" s="771" t="s">
        <v>1987</v>
      </c>
      <c r="AS21" s="764">
        <f>IF('Material Quantities &amp; Embodied '!A232=0,0,AS20*$C$10)</f>
        <v>7.66</v>
      </c>
      <c r="AT21" s="150" t="s">
        <v>15</v>
      </c>
      <c r="AX21" s="771" t="s">
        <v>1987</v>
      </c>
      <c r="AY21" s="764">
        <f>IF('Material Quantities &amp; Embodied '!A266=0,0,AY20*$C$10)</f>
        <v>7.3495200000000001</v>
      </c>
      <c r="AZ21" s="150" t="s">
        <v>15</v>
      </c>
      <c r="BD21" s="771" t="s">
        <v>1987</v>
      </c>
      <c r="BE21" s="764">
        <f>IF('Material Quantities &amp; Embodied '!A300=0,0,BE20*$C$10)</f>
        <v>7.5680000000000005</v>
      </c>
      <c r="BF21" s="150" t="s">
        <v>15</v>
      </c>
      <c r="BJ21" s="771" t="s">
        <v>1987</v>
      </c>
      <c r="BK21" s="764">
        <f>IF('Material Quantities &amp; Embodied '!A332=0,0,BK20*$C$10)</f>
        <v>7.75</v>
      </c>
      <c r="BL21" s="150" t="s">
        <v>15</v>
      </c>
    </row>
    <row r="22" spans="1:64">
      <c r="B22" s="774" t="s">
        <v>603</v>
      </c>
      <c r="C22" s="775">
        <f>$C$5*$C$7</f>
        <v>60</v>
      </c>
      <c r="D22" s="776" t="s">
        <v>15</v>
      </c>
      <c r="H22" s="774" t="s">
        <v>603</v>
      </c>
      <c r="I22" s="775">
        <f>$C$5*$C$7</f>
        <v>60</v>
      </c>
      <c r="J22" s="776" t="s">
        <v>15</v>
      </c>
      <c r="N22" s="774" t="s">
        <v>603</v>
      </c>
      <c r="O22" s="775">
        <f>$C$5*$C$7</f>
        <v>60</v>
      </c>
      <c r="P22" s="776" t="s">
        <v>15</v>
      </c>
      <c r="T22" s="774" t="s">
        <v>603</v>
      </c>
      <c r="U22" s="775">
        <f>$C$5*$C$7</f>
        <v>60</v>
      </c>
      <c r="V22" s="776" t="s">
        <v>15</v>
      </c>
      <c r="Z22" s="774" t="s">
        <v>603</v>
      </c>
      <c r="AA22" s="775">
        <f>$C$5*$C$7</f>
        <v>60</v>
      </c>
      <c r="AB22" s="776" t="s">
        <v>15</v>
      </c>
      <c r="AF22" s="774" t="s">
        <v>603</v>
      </c>
      <c r="AG22" s="775">
        <f>$C$5*$C$7</f>
        <v>60</v>
      </c>
      <c r="AH22" s="776" t="s">
        <v>15</v>
      </c>
      <c r="AL22" s="774" t="s">
        <v>603</v>
      </c>
      <c r="AM22" s="775">
        <f>$C$5*$C$7</f>
        <v>60</v>
      </c>
      <c r="AN22" s="776" t="s">
        <v>15</v>
      </c>
      <c r="AR22" s="774" t="s">
        <v>603</v>
      </c>
      <c r="AS22" s="775">
        <f>$C$5*$C$7</f>
        <v>60</v>
      </c>
      <c r="AT22" s="776" t="s">
        <v>15</v>
      </c>
      <c r="AX22" s="774" t="s">
        <v>603</v>
      </c>
      <c r="AY22" s="775">
        <f>$C$5*$C$7</f>
        <v>60</v>
      </c>
      <c r="AZ22" s="776" t="s">
        <v>15</v>
      </c>
      <c r="BD22" s="774" t="s">
        <v>603</v>
      </c>
      <c r="BE22" s="775">
        <f>$C$5*$C$7</f>
        <v>60</v>
      </c>
      <c r="BF22" s="776" t="s">
        <v>15</v>
      </c>
      <c r="BJ22" s="774" t="s">
        <v>603</v>
      </c>
      <c r="BK22" s="775">
        <f>$C$5*$C$7</f>
        <v>60</v>
      </c>
      <c r="BL22" s="776" t="s">
        <v>15</v>
      </c>
    </row>
    <row r="23" spans="1:64">
      <c r="B23" s="774" t="s">
        <v>606</v>
      </c>
      <c r="C23" s="775">
        <f>$C$6*$C$8</f>
        <v>48</v>
      </c>
      <c r="D23" s="776" t="s">
        <v>15</v>
      </c>
      <c r="H23" s="774" t="s">
        <v>606</v>
      </c>
      <c r="I23" s="775">
        <f>$C$6*$C$8</f>
        <v>48</v>
      </c>
      <c r="J23" s="776" t="s">
        <v>15</v>
      </c>
      <c r="N23" s="774" t="s">
        <v>606</v>
      </c>
      <c r="O23" s="775">
        <f>$C$6*$C$8</f>
        <v>48</v>
      </c>
      <c r="P23" s="776" t="s">
        <v>15</v>
      </c>
      <c r="T23" s="774" t="s">
        <v>606</v>
      </c>
      <c r="U23" s="775">
        <f>$C$6*$C$8</f>
        <v>48</v>
      </c>
      <c r="V23" s="776" t="s">
        <v>15</v>
      </c>
      <c r="Z23" s="774" t="s">
        <v>606</v>
      </c>
      <c r="AA23" s="775">
        <f>$C$6*$C$8</f>
        <v>48</v>
      </c>
      <c r="AB23" s="776" t="s">
        <v>15</v>
      </c>
      <c r="AF23" s="774" t="s">
        <v>606</v>
      </c>
      <c r="AG23" s="775">
        <f>$C$6*$C$8</f>
        <v>48</v>
      </c>
      <c r="AH23" s="776" t="s">
        <v>15</v>
      </c>
      <c r="AL23" s="774" t="s">
        <v>606</v>
      </c>
      <c r="AM23" s="775">
        <f>$C$6*$C$8</f>
        <v>48</v>
      </c>
      <c r="AN23" s="776" t="s">
        <v>15</v>
      </c>
      <c r="AR23" s="774" t="s">
        <v>606</v>
      </c>
      <c r="AS23" s="775">
        <f>$C$6*$C$8</f>
        <v>48</v>
      </c>
      <c r="AT23" s="776" t="s">
        <v>15</v>
      </c>
      <c r="AX23" s="774" t="s">
        <v>606</v>
      </c>
      <c r="AY23" s="775">
        <f>$C$6*$C$8</f>
        <v>48</v>
      </c>
      <c r="AZ23" s="776" t="s">
        <v>15</v>
      </c>
      <c r="BD23" s="774" t="s">
        <v>606</v>
      </c>
      <c r="BE23" s="775">
        <f>$C$6*$C$8</f>
        <v>48</v>
      </c>
      <c r="BF23" s="776" t="s">
        <v>15</v>
      </c>
      <c r="BJ23" s="774" t="s">
        <v>606</v>
      </c>
      <c r="BK23" s="775">
        <f>$C$6*$C$8</f>
        <v>48</v>
      </c>
      <c r="BL23" s="776" t="s">
        <v>15</v>
      </c>
    </row>
    <row r="24" spans="1:64">
      <c r="B24" s="774" t="s">
        <v>1988</v>
      </c>
      <c r="C24" s="775">
        <f>Summary!$F$19</f>
        <v>5</v>
      </c>
      <c r="D24" s="776" t="s">
        <v>15</v>
      </c>
      <c r="H24" s="774" t="s">
        <v>1988</v>
      </c>
      <c r="I24" s="775">
        <f>Summary!$F$19</f>
        <v>5</v>
      </c>
      <c r="J24" s="776" t="s">
        <v>15</v>
      </c>
      <c r="N24" s="774" t="s">
        <v>1988</v>
      </c>
      <c r="O24" s="775">
        <f>Summary!$F$19</f>
        <v>5</v>
      </c>
      <c r="P24" s="776" t="s">
        <v>15</v>
      </c>
      <c r="T24" s="774" t="s">
        <v>1988</v>
      </c>
      <c r="U24" s="775">
        <f>Summary!$F$19</f>
        <v>5</v>
      </c>
      <c r="V24" s="776" t="s">
        <v>15</v>
      </c>
      <c r="Z24" s="774" t="s">
        <v>1988</v>
      </c>
      <c r="AA24" s="775">
        <f>Summary!$F$19</f>
        <v>5</v>
      </c>
      <c r="AB24" s="776" t="s">
        <v>15</v>
      </c>
      <c r="AF24" s="774" t="s">
        <v>1988</v>
      </c>
      <c r="AG24" s="775">
        <f>Summary!$F$19</f>
        <v>5</v>
      </c>
      <c r="AH24" s="776" t="s">
        <v>15</v>
      </c>
      <c r="AL24" s="774" t="s">
        <v>1988</v>
      </c>
      <c r="AM24" s="775">
        <f>Summary!$F$19</f>
        <v>5</v>
      </c>
      <c r="AN24" s="776" t="s">
        <v>15</v>
      </c>
      <c r="AR24" s="774" t="s">
        <v>1988</v>
      </c>
      <c r="AS24" s="775">
        <f>Summary!$F$19</f>
        <v>5</v>
      </c>
      <c r="AT24" s="776" t="s">
        <v>15</v>
      </c>
      <c r="AX24" s="774" t="s">
        <v>1988</v>
      </c>
      <c r="AY24" s="775">
        <f>Summary!$F$19</f>
        <v>5</v>
      </c>
      <c r="AZ24" s="776" t="s">
        <v>15</v>
      </c>
      <c r="BD24" s="774" t="s">
        <v>1988</v>
      </c>
      <c r="BE24" s="775">
        <f>Summary!$F$19</f>
        <v>5</v>
      </c>
      <c r="BF24" s="776" t="s">
        <v>15</v>
      </c>
      <c r="BJ24" s="774" t="s">
        <v>1988</v>
      </c>
      <c r="BK24" s="775">
        <f>Summary!$F$19</f>
        <v>5</v>
      </c>
      <c r="BL24" s="776" t="s">
        <v>15</v>
      </c>
    </row>
    <row r="25" spans="1:64">
      <c r="B25" s="774" t="s">
        <v>1989</v>
      </c>
      <c r="C25" s="775">
        <v>50</v>
      </c>
      <c r="D25" s="776" t="s">
        <v>1990</v>
      </c>
      <c r="H25" s="774" t="s">
        <v>1989</v>
      </c>
      <c r="I25" s="775">
        <v>50</v>
      </c>
      <c r="J25" s="776" t="s">
        <v>1990</v>
      </c>
      <c r="N25" s="774" t="s">
        <v>1989</v>
      </c>
      <c r="O25" s="775">
        <v>50</v>
      </c>
      <c r="P25" s="776" t="s">
        <v>1990</v>
      </c>
      <c r="T25" s="774" t="s">
        <v>1989</v>
      </c>
      <c r="U25" s="775">
        <v>50</v>
      </c>
      <c r="V25" s="776" t="s">
        <v>1990</v>
      </c>
      <c r="Z25" s="774" t="s">
        <v>1989</v>
      </c>
      <c r="AA25" s="775">
        <v>50</v>
      </c>
      <c r="AB25" s="776" t="s">
        <v>1990</v>
      </c>
      <c r="AF25" s="774" t="s">
        <v>1989</v>
      </c>
      <c r="AG25" s="775">
        <v>50</v>
      </c>
      <c r="AH25" s="776" t="s">
        <v>1990</v>
      </c>
      <c r="AL25" s="774" t="s">
        <v>1989</v>
      </c>
      <c r="AM25" s="775">
        <v>50</v>
      </c>
      <c r="AN25" s="776" t="s">
        <v>1990</v>
      </c>
      <c r="AR25" s="774" t="s">
        <v>1989</v>
      </c>
      <c r="AS25" s="775">
        <v>50</v>
      </c>
      <c r="AT25" s="776" t="s">
        <v>1990</v>
      </c>
      <c r="AX25" s="774" t="s">
        <v>1989</v>
      </c>
      <c r="AY25" s="775">
        <v>50</v>
      </c>
      <c r="AZ25" s="776" t="s">
        <v>1990</v>
      </c>
      <c r="BD25" s="774" t="s">
        <v>1989</v>
      </c>
      <c r="BE25" s="775">
        <v>50</v>
      </c>
      <c r="BF25" s="776" t="s">
        <v>1990</v>
      </c>
      <c r="BJ25" s="774" t="s">
        <v>1989</v>
      </c>
      <c r="BK25" s="775">
        <v>50</v>
      </c>
      <c r="BL25" s="776" t="s">
        <v>1990</v>
      </c>
    </row>
    <row r="26" spans="1:64" ht="13.5">
      <c r="B26" s="774" t="s">
        <v>1991</v>
      </c>
      <c r="C26" s="775">
        <v>23</v>
      </c>
      <c r="D26" s="776" t="s">
        <v>1992</v>
      </c>
      <c r="H26" s="774" t="s">
        <v>1991</v>
      </c>
      <c r="I26" s="775">
        <v>23</v>
      </c>
      <c r="J26" s="776" t="s">
        <v>1992</v>
      </c>
      <c r="N26" s="774" t="s">
        <v>1991</v>
      </c>
      <c r="O26" s="775">
        <v>23</v>
      </c>
      <c r="P26" s="776" t="s">
        <v>1992</v>
      </c>
      <c r="T26" s="774" t="s">
        <v>1991</v>
      </c>
      <c r="U26" s="775">
        <v>23</v>
      </c>
      <c r="V26" s="776" t="s">
        <v>1992</v>
      </c>
      <c r="Z26" s="774" t="s">
        <v>1991</v>
      </c>
      <c r="AA26" s="775">
        <v>23</v>
      </c>
      <c r="AB26" s="776" t="s">
        <v>1992</v>
      </c>
      <c r="AF26" s="774" t="s">
        <v>1991</v>
      </c>
      <c r="AG26" s="775">
        <v>23</v>
      </c>
      <c r="AH26" s="776" t="s">
        <v>1992</v>
      </c>
      <c r="AL26" s="774" t="s">
        <v>1991</v>
      </c>
      <c r="AM26" s="775">
        <v>23</v>
      </c>
      <c r="AN26" s="776" t="s">
        <v>1992</v>
      </c>
      <c r="AR26" s="774" t="s">
        <v>1991</v>
      </c>
      <c r="AS26" s="775">
        <v>23</v>
      </c>
      <c r="AT26" s="776" t="s">
        <v>1992</v>
      </c>
      <c r="AX26" s="774" t="s">
        <v>1991</v>
      </c>
      <c r="AY26" s="775">
        <v>23</v>
      </c>
      <c r="AZ26" s="776" t="s">
        <v>1992</v>
      </c>
      <c r="BD26" s="774" t="s">
        <v>1991</v>
      </c>
      <c r="BE26" s="775">
        <v>23</v>
      </c>
      <c r="BF26" s="776" t="s">
        <v>1992</v>
      </c>
      <c r="BJ26" s="774" t="s">
        <v>1991</v>
      </c>
      <c r="BK26" s="775">
        <v>23</v>
      </c>
      <c r="BL26" s="776" t="s">
        <v>1992</v>
      </c>
    </row>
    <row r="27" spans="1:64" ht="13.5">
      <c r="B27" s="774" t="s">
        <v>1993</v>
      </c>
      <c r="C27" s="775">
        <f>((1-0.2*LN(-LN(1-(1/C25))))^0.5)*0.75</f>
        <v>1.0007337802921321</v>
      </c>
      <c r="D27" s="776"/>
      <c r="H27" s="774" t="s">
        <v>1993</v>
      </c>
      <c r="I27" s="775">
        <f>((1-0.2*LN(-LN(1-(1/I25))))^0.5)*0.75</f>
        <v>1.0007337802921321</v>
      </c>
      <c r="J27" s="776"/>
      <c r="N27" s="774" t="s">
        <v>1993</v>
      </c>
      <c r="O27" s="775">
        <f>((1-0.2*LN(-LN(1-(1/O25))))^0.5)*0.75</f>
        <v>1.0007337802921321</v>
      </c>
      <c r="P27" s="776"/>
      <c r="T27" s="774" t="s">
        <v>1993</v>
      </c>
      <c r="U27" s="775">
        <f>((1-0.2*LN(-LN(1-(1/U25))))^0.5)*0.75</f>
        <v>1.0007337802921321</v>
      </c>
      <c r="V27" s="776"/>
      <c r="Z27" s="774" t="s">
        <v>1993</v>
      </c>
      <c r="AA27" s="775">
        <f>((1-0.2*LN(-LN(1-(1/AA25))))^0.5)*0.75</f>
        <v>1.0007337802921321</v>
      </c>
      <c r="AB27" s="776"/>
      <c r="AF27" s="774" t="s">
        <v>1993</v>
      </c>
      <c r="AG27" s="775">
        <f>((1-0.2*LN(-LN(1-(1/AG25))))^0.5)*0.75</f>
        <v>1.0007337802921321</v>
      </c>
      <c r="AH27" s="776"/>
      <c r="AL27" s="774" t="s">
        <v>1993</v>
      </c>
      <c r="AM27" s="775">
        <f>((1-0.2*LN(-LN(1-(1/AM25))))^0.5)*0.75</f>
        <v>1.0007337802921321</v>
      </c>
      <c r="AN27" s="776"/>
      <c r="AR27" s="774" t="s">
        <v>1993</v>
      </c>
      <c r="AS27" s="775">
        <f>((1-0.2*LN(-LN(1-(1/AS25))))^0.5)*0.75</f>
        <v>1.0007337802921321</v>
      </c>
      <c r="AT27" s="776"/>
      <c r="AX27" s="774" t="s">
        <v>1993</v>
      </c>
      <c r="AY27" s="775">
        <f>((1-0.2*LN(-LN(1-(1/AY25))))^0.5)*0.75</f>
        <v>1.0007337802921321</v>
      </c>
      <c r="AZ27" s="776"/>
      <c r="BD27" s="774" t="s">
        <v>1993</v>
      </c>
      <c r="BE27" s="775">
        <f>((1-0.2*LN(-LN(1-(1/BE25))))^0.5)*0.75</f>
        <v>1.0007337802921321</v>
      </c>
      <c r="BF27" s="776"/>
      <c r="BJ27" s="774" t="s">
        <v>1993</v>
      </c>
      <c r="BK27" s="775">
        <f>((1-0.2*LN(-LN(1-(1/BK25))))^0.5)*0.75</f>
        <v>1.0007337802921321</v>
      </c>
      <c r="BL27" s="776"/>
    </row>
    <row r="28" spans="1:64" ht="13.5">
      <c r="B28" s="774" t="s">
        <v>1994</v>
      </c>
      <c r="C28" s="775">
        <v>1</v>
      </c>
      <c r="D28" s="776"/>
      <c r="H28" s="774" t="s">
        <v>1994</v>
      </c>
      <c r="I28" s="775">
        <v>1</v>
      </c>
      <c r="J28" s="776"/>
      <c r="N28" s="774" t="s">
        <v>1994</v>
      </c>
      <c r="O28" s="775">
        <v>1</v>
      </c>
      <c r="P28" s="776"/>
      <c r="T28" s="774" t="s">
        <v>1994</v>
      </c>
      <c r="U28" s="775">
        <v>1</v>
      </c>
      <c r="V28" s="776"/>
      <c r="Z28" s="774" t="s">
        <v>1994</v>
      </c>
      <c r="AA28" s="775">
        <v>1</v>
      </c>
      <c r="AB28" s="776"/>
      <c r="AF28" s="774" t="s">
        <v>1994</v>
      </c>
      <c r="AG28" s="775">
        <v>1</v>
      </c>
      <c r="AH28" s="776"/>
      <c r="AL28" s="774" t="s">
        <v>1994</v>
      </c>
      <c r="AM28" s="775">
        <v>1</v>
      </c>
      <c r="AN28" s="776"/>
      <c r="AR28" s="774" t="s">
        <v>1994</v>
      </c>
      <c r="AS28" s="775">
        <v>1</v>
      </c>
      <c r="AT28" s="776"/>
      <c r="AX28" s="774" t="s">
        <v>1994</v>
      </c>
      <c r="AY28" s="775">
        <v>1</v>
      </c>
      <c r="AZ28" s="776"/>
      <c r="BD28" s="774" t="s">
        <v>1994</v>
      </c>
      <c r="BE28" s="775">
        <v>1</v>
      </c>
      <c r="BF28" s="776"/>
      <c r="BJ28" s="774" t="s">
        <v>1994</v>
      </c>
      <c r="BK28" s="775">
        <v>1</v>
      </c>
      <c r="BL28" s="776"/>
    </row>
    <row r="29" spans="1:64" ht="13.5">
      <c r="B29" s="774" t="s">
        <v>1995</v>
      </c>
      <c r="C29" s="775">
        <v>1</v>
      </c>
      <c r="D29" s="776"/>
      <c r="H29" s="774" t="s">
        <v>1995</v>
      </c>
      <c r="I29" s="775">
        <v>1</v>
      </c>
      <c r="J29" s="776"/>
      <c r="N29" s="774" t="s">
        <v>1995</v>
      </c>
      <c r="O29" s="775">
        <v>1</v>
      </c>
      <c r="P29" s="776"/>
      <c r="T29" s="774" t="s">
        <v>1995</v>
      </c>
      <c r="U29" s="775">
        <v>1</v>
      </c>
      <c r="V29" s="776"/>
      <c r="Z29" s="774" t="s">
        <v>1995</v>
      </c>
      <c r="AA29" s="775">
        <v>1</v>
      </c>
      <c r="AB29" s="776"/>
      <c r="AF29" s="774" t="s">
        <v>1995</v>
      </c>
      <c r="AG29" s="775">
        <v>1</v>
      </c>
      <c r="AH29" s="776"/>
      <c r="AL29" s="774" t="s">
        <v>1995</v>
      </c>
      <c r="AM29" s="775">
        <v>1</v>
      </c>
      <c r="AN29" s="776"/>
      <c r="AR29" s="774" t="s">
        <v>1995</v>
      </c>
      <c r="AS29" s="775">
        <v>1</v>
      </c>
      <c r="AT29" s="776"/>
      <c r="AX29" s="774" t="s">
        <v>1995</v>
      </c>
      <c r="AY29" s="775">
        <v>1</v>
      </c>
      <c r="AZ29" s="776"/>
      <c r="BD29" s="774" t="s">
        <v>1995</v>
      </c>
      <c r="BE29" s="775">
        <v>1</v>
      </c>
      <c r="BF29" s="776"/>
      <c r="BJ29" s="774" t="s">
        <v>1995</v>
      </c>
      <c r="BK29" s="775">
        <v>1</v>
      </c>
      <c r="BL29" s="776"/>
    </row>
    <row r="30" spans="1:64" ht="13.5">
      <c r="B30" s="774" t="s">
        <v>1996</v>
      </c>
      <c r="C30" s="775">
        <f>1+0.001*C24*((10/(0.6*C21))^0.2)</f>
        <v>1.005935480349331</v>
      </c>
      <c r="D30" s="776"/>
      <c r="H30" s="774" t="s">
        <v>1996</v>
      </c>
      <c r="I30" s="775">
        <f>1+0.001*I24*((10/(0.6*I21))^0.2)</f>
        <v>1.0059388441828028</v>
      </c>
      <c r="J30" s="776"/>
      <c r="N30" s="774" t="s">
        <v>1996</v>
      </c>
      <c r="O30" s="775">
        <f>1+0.001*O24*((10/(0.6*O21))^0.2)</f>
        <v>1.0059057104872455</v>
      </c>
      <c r="P30" s="776"/>
      <c r="T30" s="774" t="s">
        <v>1996</v>
      </c>
      <c r="U30" s="775">
        <f>1+0.001*U24*((10/(0.6*U21))^0.2)</f>
        <v>1.0059138901730214</v>
      </c>
      <c r="V30" s="776"/>
      <c r="Z30" s="774" t="s">
        <v>1996</v>
      </c>
      <c r="AA30" s="775">
        <f>1+0.001*AA24*((10/(0.6*AA21))^0.2)</f>
        <v>1.0058895523503752</v>
      </c>
      <c r="AB30" s="776"/>
      <c r="AF30" s="774" t="s">
        <v>1996</v>
      </c>
      <c r="AG30" s="775">
        <f>1+0.001*AG24*((10/(0.6*AG21))^0.2)</f>
        <v>1.0058895523503752</v>
      </c>
      <c r="AH30" s="776"/>
      <c r="AL30" s="774" t="s">
        <v>1996</v>
      </c>
      <c r="AM30" s="775">
        <f>1+0.001*AM24*((10/(0.6*AM21))^0.2)</f>
        <v>1.0058250583089638</v>
      </c>
      <c r="AN30" s="776"/>
      <c r="AR30" s="774" t="s">
        <v>1996</v>
      </c>
      <c r="AS30" s="775">
        <f>1+0.001*AS24*((10/(0.6*AS21))^0.2)</f>
        <v>1.0058410913771869</v>
      </c>
      <c r="AT30" s="776"/>
      <c r="AX30" s="774" t="s">
        <v>1996</v>
      </c>
      <c r="AY30" s="775">
        <f>1+0.001*AY24*((10/(0.6*AY21))^0.2)</f>
        <v>1.0058896292781552</v>
      </c>
      <c r="AZ30" s="776"/>
      <c r="BD30" s="774" t="s">
        <v>1996</v>
      </c>
      <c r="BE30" s="775">
        <f>1+0.001*BE24*((10/(0.6*BE21))^0.2)</f>
        <v>1.0058552242062158</v>
      </c>
      <c r="BF30" s="776"/>
      <c r="BJ30" s="774" t="s">
        <v>1996</v>
      </c>
      <c r="BK30" s="775">
        <f>1+0.001*BK24*((10/(0.6*BK21))^0.2)</f>
        <v>1.0058274615105693</v>
      </c>
      <c r="BL30" s="776"/>
    </row>
    <row r="31" spans="1:64" ht="13.5">
      <c r="B31" s="774" t="s">
        <v>1997</v>
      </c>
      <c r="C31" s="775">
        <f>C26*C27*C28*C29*C30</f>
        <v>23.153493167539256</v>
      </c>
      <c r="D31" s="776" t="s">
        <v>1992</v>
      </c>
      <c r="H31" s="774" t="s">
        <v>1997</v>
      </c>
      <c r="I31" s="775">
        <f>I26*I27*I28*I29*I30</f>
        <v>23.153570592480346</v>
      </c>
      <c r="J31" s="776" t="s">
        <v>1992</v>
      </c>
      <c r="N31" s="774" t="s">
        <v>1997</v>
      </c>
      <c r="O31" s="775">
        <f>O26*O27*O28*O29*O30</f>
        <v>23.152807958286918</v>
      </c>
      <c r="P31" s="776" t="s">
        <v>1992</v>
      </c>
      <c r="T31" s="774" t="s">
        <v>1997</v>
      </c>
      <c r="U31" s="775">
        <f>U26*U27*U28*U29*U30</f>
        <v>23.152996229107881</v>
      </c>
      <c r="V31" s="776" t="s">
        <v>1992</v>
      </c>
      <c r="Z31" s="774" t="s">
        <v>1997</v>
      </c>
      <c r="AA31" s="775">
        <f>AA26*AA27*AA28*AA29*AA30</f>
        <v>23.152436048438883</v>
      </c>
      <c r="AB31" s="776" t="s">
        <v>1992</v>
      </c>
      <c r="AF31" s="774" t="s">
        <v>1997</v>
      </c>
      <c r="AG31" s="775">
        <f>AG26*AG27*AG28*AG29*AG30</f>
        <v>23.152436048438883</v>
      </c>
      <c r="AH31" s="776" t="s">
        <v>1992</v>
      </c>
      <c r="AL31" s="774" t="s">
        <v>1997</v>
      </c>
      <c r="AM31" s="775">
        <f>AM26*AM27*AM28*AM29*AM30</f>
        <v>23.150951597023923</v>
      </c>
      <c r="AN31" s="776" t="s">
        <v>1992</v>
      </c>
      <c r="AR31" s="774" t="s">
        <v>1997</v>
      </c>
      <c r="AS31" s="775">
        <f>AS26*AS27*AS28*AS29*AS30</f>
        <v>23.15132062818229</v>
      </c>
      <c r="AT31" s="776" t="s">
        <v>1992</v>
      </c>
      <c r="AX31" s="774" t="s">
        <v>1997</v>
      </c>
      <c r="AY31" s="775">
        <f>AY26*AY27*AY28*AY29*AY30</f>
        <v>23.152437819076127</v>
      </c>
      <c r="AZ31" s="776" t="s">
        <v>1992</v>
      </c>
      <c r="BD31" s="774" t="s">
        <v>1997</v>
      </c>
      <c r="BE31" s="775">
        <f>BE26*BE27*BE28*BE29*BE30</f>
        <v>23.151645921768957</v>
      </c>
      <c r="BF31" s="776" t="s">
        <v>1992</v>
      </c>
      <c r="BJ31" s="774" t="s">
        <v>1997</v>
      </c>
      <c r="BK31" s="775">
        <f>BK26*BK27*BK28*BK29*BK30</f>
        <v>23.151006911219554</v>
      </c>
      <c r="BL31" s="776" t="s">
        <v>1992</v>
      </c>
    </row>
    <row r="32" spans="1:64">
      <c r="B32" s="777" t="s">
        <v>1967</v>
      </c>
      <c r="C32" s="775">
        <v>4</v>
      </c>
      <c r="D32" s="776"/>
      <c r="H32" s="777" t="s">
        <v>1967</v>
      </c>
      <c r="I32" s="775">
        <v>4</v>
      </c>
      <c r="J32" s="776"/>
      <c r="N32" s="777" t="s">
        <v>1967</v>
      </c>
      <c r="O32" s="775">
        <v>4</v>
      </c>
      <c r="P32" s="776"/>
      <c r="T32" s="777" t="s">
        <v>1967</v>
      </c>
      <c r="U32" s="775">
        <v>4</v>
      </c>
      <c r="V32" s="776"/>
      <c r="Z32" s="777" t="s">
        <v>1967</v>
      </c>
      <c r="AA32" s="775">
        <v>4</v>
      </c>
      <c r="AB32" s="776"/>
      <c r="AF32" s="777" t="s">
        <v>1967</v>
      </c>
      <c r="AG32" s="775">
        <v>4</v>
      </c>
      <c r="AH32" s="776"/>
      <c r="AL32" s="777" t="s">
        <v>1967</v>
      </c>
      <c r="AM32" s="775">
        <v>4</v>
      </c>
      <c r="AN32" s="776"/>
      <c r="AR32" s="777" t="s">
        <v>1967</v>
      </c>
      <c r="AS32" s="775">
        <v>4</v>
      </c>
      <c r="AT32" s="776"/>
      <c r="AX32" s="777" t="s">
        <v>1967</v>
      </c>
      <c r="AY32" s="775">
        <v>4</v>
      </c>
      <c r="AZ32" s="776"/>
      <c r="BD32" s="777" t="s">
        <v>1967</v>
      </c>
      <c r="BE32" s="775">
        <v>4</v>
      </c>
      <c r="BF32" s="776"/>
      <c r="BJ32" s="777" t="s">
        <v>1967</v>
      </c>
      <c r="BK32" s="775">
        <v>4</v>
      </c>
      <c r="BL32" s="776"/>
    </row>
    <row r="33" spans="2:67" ht="13.5">
      <c r="B33" s="777" t="s">
        <v>1998</v>
      </c>
      <c r="C33" s="775">
        <f>INDEX($F$5:$F$9,MATCH(C32,$E$5:$E$9))</f>
        <v>1</v>
      </c>
      <c r="D33" s="776"/>
      <c r="H33" s="777" t="s">
        <v>1998</v>
      </c>
      <c r="I33" s="775">
        <f>INDEX($F$5:$F$9,MATCH(I32,$E$5:$E$9))</f>
        <v>1</v>
      </c>
      <c r="J33" s="776"/>
      <c r="N33" s="777" t="s">
        <v>1998</v>
      </c>
      <c r="O33" s="775">
        <f>INDEX($F$5:$F$9,MATCH(O32,$E$5:$E$9))</f>
        <v>1</v>
      </c>
      <c r="P33" s="776"/>
      <c r="T33" s="777" t="s">
        <v>1998</v>
      </c>
      <c r="U33" s="775">
        <f>INDEX($F$5:$F$9,MATCH(U32,$E$5:$E$9))</f>
        <v>1</v>
      </c>
      <c r="V33" s="776"/>
      <c r="Z33" s="777" t="s">
        <v>1998</v>
      </c>
      <c r="AA33" s="775">
        <f>INDEX($F$5:$F$9,MATCH(AA32,$E$5:$E$9))</f>
        <v>1</v>
      </c>
      <c r="AB33" s="776"/>
      <c r="AF33" s="777" t="s">
        <v>1998</v>
      </c>
      <c r="AG33" s="775">
        <f>INDEX($F$5:$F$9,MATCH(AG32,$E$5:$E$9))</f>
        <v>1</v>
      </c>
      <c r="AH33" s="776"/>
      <c r="AL33" s="777" t="s">
        <v>1998</v>
      </c>
      <c r="AM33" s="775">
        <f>INDEX($F$5:$F$9,MATCH(AM32,$E$5:$E$9))</f>
        <v>1</v>
      </c>
      <c r="AN33" s="776"/>
      <c r="AR33" s="777" t="s">
        <v>1998</v>
      </c>
      <c r="AS33" s="775">
        <f>INDEX($F$5:$F$9,MATCH(AS32,$E$5:$E$9))</f>
        <v>1</v>
      </c>
      <c r="AT33" s="776"/>
      <c r="AX33" s="777" t="s">
        <v>1998</v>
      </c>
      <c r="AY33" s="775">
        <f>INDEX($F$5:$F$9,MATCH(AY32,$E$5:$E$9))</f>
        <v>1</v>
      </c>
      <c r="AZ33" s="776"/>
      <c r="BD33" s="777" t="s">
        <v>1998</v>
      </c>
      <c r="BE33" s="775">
        <f>INDEX($F$5:$F$9,MATCH(BE32,$E$5:$E$9))</f>
        <v>1</v>
      </c>
      <c r="BF33" s="776"/>
      <c r="BJ33" s="777" t="s">
        <v>1998</v>
      </c>
      <c r="BK33" s="775">
        <f>INDEX($F$5:$F$9,MATCH(BK32,$E$5:$E$9))</f>
        <v>1</v>
      </c>
      <c r="BL33" s="776"/>
    </row>
    <row r="34" spans="2:67" ht="13.5">
      <c r="B34" s="777" t="s">
        <v>1999</v>
      </c>
      <c r="C34" s="775">
        <f>INDEX($G$5:$G$9,MATCH(C32,$E$5:$E$9))</f>
        <v>10</v>
      </c>
      <c r="D34" s="776" t="s">
        <v>15</v>
      </c>
      <c r="H34" s="777" t="s">
        <v>1999</v>
      </c>
      <c r="I34" s="775">
        <f>INDEX($G$5:$G$9,MATCH(I32,$E$5:$E$9))</f>
        <v>10</v>
      </c>
      <c r="J34" s="776" t="s">
        <v>15</v>
      </c>
      <c r="N34" s="777" t="s">
        <v>1999</v>
      </c>
      <c r="O34" s="775">
        <f>INDEX($G$5:$G$9,MATCH(O32,$E$5:$E$9))</f>
        <v>10</v>
      </c>
      <c r="P34" s="776" t="s">
        <v>15</v>
      </c>
      <c r="T34" s="777" t="s">
        <v>1999</v>
      </c>
      <c r="U34" s="775">
        <f>INDEX($G$5:$G$9,MATCH(U32,$E$5:$E$9))</f>
        <v>10</v>
      </c>
      <c r="V34" s="776" t="s">
        <v>15</v>
      </c>
      <c r="Z34" s="777" t="s">
        <v>1999</v>
      </c>
      <c r="AA34" s="775">
        <f>INDEX($G$5:$G$9,MATCH(AA32,$E$5:$E$9))</f>
        <v>10</v>
      </c>
      <c r="AB34" s="776" t="s">
        <v>15</v>
      </c>
      <c r="AF34" s="777" t="s">
        <v>1999</v>
      </c>
      <c r="AG34" s="775">
        <f>INDEX($G$5:$G$9,MATCH(AG32,$E$5:$E$9))</f>
        <v>10</v>
      </c>
      <c r="AH34" s="776" t="s">
        <v>15</v>
      </c>
      <c r="AL34" s="777" t="s">
        <v>1999</v>
      </c>
      <c r="AM34" s="775">
        <f>INDEX($G$5:$G$9,MATCH(AM32,$E$5:$E$9))</f>
        <v>10</v>
      </c>
      <c r="AN34" s="776" t="s">
        <v>15</v>
      </c>
      <c r="AR34" s="777" t="s">
        <v>1999</v>
      </c>
      <c r="AS34" s="775">
        <f>INDEX($G$5:$G$9,MATCH(AS32,$E$5:$E$9))</f>
        <v>10</v>
      </c>
      <c r="AT34" s="776" t="s">
        <v>15</v>
      </c>
      <c r="AX34" s="777" t="s">
        <v>1999</v>
      </c>
      <c r="AY34" s="775">
        <f>INDEX($G$5:$G$9,MATCH(AY32,$E$5:$E$9))</f>
        <v>10</v>
      </c>
      <c r="AZ34" s="776" t="s">
        <v>15</v>
      </c>
      <c r="BD34" s="777" t="s">
        <v>1999</v>
      </c>
      <c r="BE34" s="775">
        <f>INDEX($G$5:$G$9,MATCH(BE32,$E$5:$E$9))</f>
        <v>10</v>
      </c>
      <c r="BF34" s="776" t="s">
        <v>15</v>
      </c>
      <c r="BJ34" s="777" t="s">
        <v>1999</v>
      </c>
      <c r="BK34" s="775">
        <f>INDEX($G$5:$G$9,MATCH(BK32,$E$5:$E$9))</f>
        <v>10</v>
      </c>
      <c r="BL34" s="776" t="s">
        <v>15</v>
      </c>
    </row>
    <row r="35" spans="2:67" ht="13.5">
      <c r="B35" s="777" t="s">
        <v>2000</v>
      </c>
      <c r="C35" s="775">
        <v>0.05</v>
      </c>
      <c r="D35" s="776"/>
      <c r="H35" s="777" t="s">
        <v>2000</v>
      </c>
      <c r="I35" s="775">
        <v>0.05</v>
      </c>
      <c r="J35" s="776"/>
      <c r="N35" s="777" t="s">
        <v>2000</v>
      </c>
      <c r="O35" s="775">
        <v>0.05</v>
      </c>
      <c r="P35" s="776"/>
      <c r="T35" s="777" t="s">
        <v>2000</v>
      </c>
      <c r="U35" s="775">
        <v>0.05</v>
      </c>
      <c r="V35" s="776"/>
      <c r="Z35" s="777" t="s">
        <v>2000</v>
      </c>
      <c r="AA35" s="775">
        <v>0.05</v>
      </c>
      <c r="AB35" s="776"/>
      <c r="AF35" s="777" t="s">
        <v>2000</v>
      </c>
      <c r="AG35" s="775">
        <v>0.05</v>
      </c>
      <c r="AH35" s="776"/>
      <c r="AL35" s="777" t="s">
        <v>2000</v>
      </c>
      <c r="AM35" s="775">
        <v>0.05</v>
      </c>
      <c r="AN35" s="776"/>
      <c r="AR35" s="777" t="s">
        <v>2000</v>
      </c>
      <c r="AS35" s="775">
        <v>0.05</v>
      </c>
      <c r="AT35" s="776"/>
      <c r="AX35" s="777" t="s">
        <v>2000</v>
      </c>
      <c r="AY35" s="775">
        <v>0.05</v>
      </c>
      <c r="AZ35" s="776"/>
      <c r="BD35" s="777" t="s">
        <v>2000</v>
      </c>
      <c r="BE35" s="775">
        <v>0.05</v>
      </c>
      <c r="BF35" s="776"/>
      <c r="BJ35" s="777" t="s">
        <v>2000</v>
      </c>
      <c r="BK35" s="775">
        <v>0.05</v>
      </c>
      <c r="BL35" s="776"/>
    </row>
    <row r="36" spans="2:67" ht="13.5">
      <c r="B36" s="777" t="s">
        <v>2001</v>
      </c>
      <c r="C36" s="775">
        <f>(0.19*(C33/C35)^0.07)</f>
        <v>0.23432881734391497</v>
      </c>
      <c r="D36" s="776"/>
      <c r="H36" s="777" t="s">
        <v>2001</v>
      </c>
      <c r="I36" s="775">
        <f>(0.19*(I33/I35)^0.07)</f>
        <v>0.23432881734391497</v>
      </c>
      <c r="J36" s="776"/>
      <c r="N36" s="777" t="s">
        <v>2001</v>
      </c>
      <c r="O36" s="775">
        <f>(0.19*(O33/O35)^0.07)</f>
        <v>0.23432881734391497</v>
      </c>
      <c r="P36" s="776"/>
      <c r="T36" s="777" t="s">
        <v>2001</v>
      </c>
      <c r="U36" s="775">
        <f>(0.19*(U33/U35)^0.07)</f>
        <v>0.23432881734391497</v>
      </c>
      <c r="V36" s="776"/>
      <c r="Z36" s="777" t="s">
        <v>2001</v>
      </c>
      <c r="AA36" s="775">
        <f>(0.19*(AA33/AA35)^0.07)</f>
        <v>0.23432881734391497</v>
      </c>
      <c r="AB36" s="776"/>
      <c r="AF36" s="777" t="s">
        <v>2001</v>
      </c>
      <c r="AG36" s="775">
        <f>(0.19*(AG33/AG35)^0.07)</f>
        <v>0.23432881734391497</v>
      </c>
      <c r="AH36" s="776"/>
      <c r="AL36" s="777" t="s">
        <v>2001</v>
      </c>
      <c r="AM36" s="775">
        <f>(0.19*(AM33/AM35)^0.07)</f>
        <v>0.23432881734391497</v>
      </c>
      <c r="AN36" s="776"/>
      <c r="AR36" s="777" t="s">
        <v>2001</v>
      </c>
      <c r="AS36" s="775">
        <f>(0.19*(AS33/AS35)^0.07)</f>
        <v>0.23432881734391497</v>
      </c>
      <c r="AT36" s="776"/>
      <c r="AX36" s="777" t="s">
        <v>2001</v>
      </c>
      <c r="AY36" s="775">
        <f>(0.19*(AY33/AY35)^0.07)</f>
        <v>0.23432881734391497</v>
      </c>
      <c r="AZ36" s="776"/>
      <c r="BD36" s="777" t="s">
        <v>2001</v>
      </c>
      <c r="BE36" s="775">
        <f>(0.19*(BE33/BE35)^0.07)</f>
        <v>0.23432881734391497</v>
      </c>
      <c r="BF36" s="776"/>
      <c r="BJ36" s="777" t="s">
        <v>2001</v>
      </c>
      <c r="BK36" s="775">
        <f>(0.19*(BK33/BK35)^0.07)</f>
        <v>0.23432881734391497</v>
      </c>
      <c r="BL36" s="776"/>
    </row>
    <row r="37" spans="2:67">
      <c r="B37" s="777"/>
      <c r="C37" s="775"/>
      <c r="D37" s="776"/>
      <c r="H37" s="777"/>
      <c r="I37" s="775"/>
      <c r="J37" s="776"/>
      <c r="N37" s="777"/>
      <c r="O37" s="775"/>
      <c r="P37" s="776"/>
      <c r="T37" s="777"/>
      <c r="U37" s="775"/>
      <c r="V37" s="776"/>
      <c r="Z37" s="777"/>
      <c r="AA37" s="775"/>
      <c r="AB37" s="776"/>
      <c r="AF37" s="777"/>
      <c r="AG37" s="775"/>
      <c r="AH37" s="776"/>
      <c r="AL37" s="777"/>
      <c r="AM37" s="775"/>
      <c r="AN37" s="776"/>
      <c r="AR37" s="777"/>
      <c r="AS37" s="775"/>
      <c r="AT37" s="776"/>
      <c r="AX37" s="777"/>
      <c r="AY37" s="775"/>
      <c r="AZ37" s="776"/>
      <c r="BD37" s="777"/>
      <c r="BE37" s="775"/>
      <c r="BF37" s="776"/>
      <c r="BJ37" s="777"/>
      <c r="BK37" s="775"/>
      <c r="BL37" s="776"/>
    </row>
    <row r="38" spans="2:67" ht="13.5">
      <c r="B38" s="777" t="s">
        <v>2002</v>
      </c>
      <c r="C38" s="775">
        <v>1</v>
      </c>
      <c r="D38" s="776"/>
      <c r="H38" s="777" t="s">
        <v>2002</v>
      </c>
      <c r="I38" s="775">
        <v>1</v>
      </c>
      <c r="J38" s="776"/>
      <c r="N38" s="777" t="s">
        <v>2002</v>
      </c>
      <c r="O38" s="775">
        <v>1</v>
      </c>
      <c r="P38" s="776"/>
      <c r="T38" s="777" t="s">
        <v>2002</v>
      </c>
      <c r="U38" s="775">
        <v>1</v>
      </c>
      <c r="V38" s="776"/>
      <c r="Z38" s="777" t="s">
        <v>2002</v>
      </c>
      <c r="AA38" s="775">
        <v>1</v>
      </c>
      <c r="AB38" s="776"/>
      <c r="AF38" s="777" t="s">
        <v>2002</v>
      </c>
      <c r="AG38" s="775">
        <v>1</v>
      </c>
      <c r="AH38" s="776"/>
      <c r="AL38" s="777" t="s">
        <v>2002</v>
      </c>
      <c r="AM38" s="775">
        <v>1</v>
      </c>
      <c r="AN38" s="776"/>
      <c r="AR38" s="777" t="s">
        <v>2002</v>
      </c>
      <c r="AS38" s="775">
        <v>1</v>
      </c>
      <c r="AT38" s="776"/>
      <c r="AX38" s="777" t="s">
        <v>2002</v>
      </c>
      <c r="AY38" s="775">
        <v>1</v>
      </c>
      <c r="AZ38" s="776"/>
      <c r="BD38" s="777" t="s">
        <v>2002</v>
      </c>
      <c r="BE38" s="775">
        <v>1</v>
      </c>
      <c r="BF38" s="776"/>
      <c r="BJ38" s="777" t="s">
        <v>2002</v>
      </c>
      <c r="BK38" s="775">
        <v>1</v>
      </c>
      <c r="BL38" s="776"/>
    </row>
    <row r="39" spans="2:67" ht="13.5">
      <c r="B39" s="777" t="s">
        <v>2003</v>
      </c>
      <c r="C39" s="775">
        <f>C36*(LN(C21/C33))</f>
        <v>0.45831447314665641</v>
      </c>
      <c r="D39" s="776"/>
      <c r="H39" s="777" t="s">
        <v>2003</v>
      </c>
      <c r="I39" s="775">
        <f>I36*(LN(I21/I33))</f>
        <v>0.45765065169041425</v>
      </c>
      <c r="J39" s="776"/>
      <c r="N39" s="777" t="s">
        <v>2003</v>
      </c>
      <c r="O39" s="775">
        <f>O36*(LN(O21/O33))</f>
        <v>0.46420573135606485</v>
      </c>
      <c r="P39" s="776"/>
      <c r="T39" s="777" t="s">
        <v>2003</v>
      </c>
      <c r="U39" s="775">
        <f>U36*(LN(U21/U33))</f>
        <v>0.46258407216879976</v>
      </c>
      <c r="V39" s="776"/>
      <c r="Z39" s="777" t="s">
        <v>2003</v>
      </c>
      <c r="AA39" s="775">
        <f>AA36*(LN(AA21/AA33))</f>
        <v>0.46741576535349133</v>
      </c>
      <c r="AB39" s="776"/>
      <c r="AF39" s="777" t="s">
        <v>2003</v>
      </c>
      <c r="AG39" s="775">
        <f>AG36*(LN(AG21/AG33))</f>
        <v>0.46741576535349133</v>
      </c>
      <c r="AH39" s="776"/>
      <c r="AL39" s="777" t="s">
        <v>2003</v>
      </c>
      <c r="AM39" s="775">
        <f>AM36*(LN(AM21/AM33))</f>
        <v>0.48031671919725233</v>
      </c>
      <c r="AN39" s="776"/>
      <c r="AR39" s="777" t="s">
        <v>2003</v>
      </c>
      <c r="AS39" s="775">
        <f>AS36*(LN(AS21/AS33))</f>
        <v>0.47709628025076156</v>
      </c>
      <c r="AT39" s="776"/>
      <c r="AX39" s="777" t="s">
        <v>2003</v>
      </c>
      <c r="AY39" s="775">
        <f>AY36*(LN(AY21/AY33))</f>
        <v>0.46740046174733751</v>
      </c>
      <c r="AZ39" s="776"/>
      <c r="BD39" s="777" t="s">
        <v>2003</v>
      </c>
      <c r="BE39" s="775">
        <f>BE36*(LN(BE21/BE33))</f>
        <v>0.47426484953212994</v>
      </c>
      <c r="BF39" s="776"/>
      <c r="BJ39" s="777" t="s">
        <v>2003</v>
      </c>
      <c r="BK39" s="775">
        <f>BK36*(LN(BK21/BK33))</f>
        <v>0.47983344226937885</v>
      </c>
      <c r="BL39" s="776"/>
    </row>
    <row r="40" spans="2:67">
      <c r="B40" s="777" t="s">
        <v>2004</v>
      </c>
      <c r="C40" s="775">
        <v>1</v>
      </c>
      <c r="D40" s="776"/>
      <c r="H40" s="777" t="s">
        <v>2004</v>
      </c>
      <c r="I40" s="775">
        <v>1</v>
      </c>
      <c r="J40" s="776"/>
      <c r="N40" s="777" t="s">
        <v>2004</v>
      </c>
      <c r="O40" s="775">
        <v>1</v>
      </c>
      <c r="P40" s="776"/>
      <c r="T40" s="777" t="s">
        <v>2004</v>
      </c>
      <c r="U40" s="775">
        <v>1</v>
      </c>
      <c r="V40" s="776"/>
      <c r="Z40" s="777" t="s">
        <v>2004</v>
      </c>
      <c r="AA40" s="775">
        <v>1</v>
      </c>
      <c r="AB40" s="776"/>
      <c r="AF40" s="777" t="s">
        <v>2004</v>
      </c>
      <c r="AG40" s="775">
        <v>1</v>
      </c>
      <c r="AH40" s="776"/>
      <c r="AL40" s="777" t="s">
        <v>2004</v>
      </c>
      <c r="AM40" s="775">
        <v>1</v>
      </c>
      <c r="AN40" s="776"/>
      <c r="AR40" s="777" t="s">
        <v>2004</v>
      </c>
      <c r="AS40" s="775">
        <v>1</v>
      </c>
      <c r="AT40" s="776"/>
      <c r="AX40" s="777" t="s">
        <v>2004</v>
      </c>
      <c r="AY40" s="775">
        <v>1</v>
      </c>
      <c r="AZ40" s="776"/>
      <c r="BD40" s="777" t="s">
        <v>2004</v>
      </c>
      <c r="BE40" s="775">
        <v>1</v>
      </c>
      <c r="BF40" s="776"/>
      <c r="BJ40" s="777" t="s">
        <v>2004</v>
      </c>
      <c r="BK40" s="775">
        <v>1</v>
      </c>
      <c r="BL40" s="776"/>
    </row>
    <row r="41" spans="2:67">
      <c r="B41" s="777" t="s">
        <v>2005</v>
      </c>
      <c r="C41" s="775">
        <v>1.25</v>
      </c>
      <c r="D41" s="776"/>
      <c r="H41" s="777" t="s">
        <v>2005</v>
      </c>
      <c r="I41" s="775">
        <v>1.25</v>
      </c>
      <c r="J41" s="776"/>
      <c r="N41" s="777" t="s">
        <v>2005</v>
      </c>
      <c r="O41" s="775">
        <v>1.25</v>
      </c>
      <c r="P41" s="776"/>
      <c r="T41" s="777" t="s">
        <v>2005</v>
      </c>
      <c r="U41" s="775">
        <v>1.25</v>
      </c>
      <c r="V41" s="776"/>
      <c r="Z41" s="777" t="s">
        <v>2005</v>
      </c>
      <c r="AA41" s="775">
        <v>1.25</v>
      </c>
      <c r="AB41" s="776"/>
      <c r="AF41" s="777" t="s">
        <v>2005</v>
      </c>
      <c r="AG41" s="775">
        <v>1.25</v>
      </c>
      <c r="AH41" s="776"/>
      <c r="AL41" s="777" t="s">
        <v>2005</v>
      </c>
      <c r="AM41" s="775">
        <v>1.25</v>
      </c>
      <c r="AN41" s="776"/>
      <c r="AR41" s="777" t="s">
        <v>2005</v>
      </c>
      <c r="AS41" s="775">
        <v>1.25</v>
      </c>
      <c r="AT41" s="776"/>
      <c r="AX41" s="777" t="s">
        <v>2005</v>
      </c>
      <c r="AY41" s="775">
        <v>1.25</v>
      </c>
      <c r="AZ41" s="776"/>
      <c r="BD41" s="777" t="s">
        <v>2005</v>
      </c>
      <c r="BE41" s="775">
        <v>1.25</v>
      </c>
      <c r="BF41" s="776"/>
      <c r="BJ41" s="777" t="s">
        <v>2005</v>
      </c>
      <c r="BK41" s="775">
        <v>1.25</v>
      </c>
      <c r="BL41" s="776"/>
    </row>
    <row r="42" spans="2:67" ht="14.25">
      <c r="B42" s="777" t="s">
        <v>2006</v>
      </c>
      <c r="C42" s="775">
        <f>C31*C38*C39</f>
        <v>10.611581022585463</v>
      </c>
      <c r="D42" s="776" t="s">
        <v>2007</v>
      </c>
      <c r="H42" s="777" t="s">
        <v>2006</v>
      </c>
      <c r="I42" s="775">
        <f>I31*I38*I39</f>
        <v>10.596246670608641</v>
      </c>
      <c r="J42" s="776" t="s">
        <v>2007</v>
      </c>
      <c r="N42" s="777" t="s">
        <v>2006</v>
      </c>
      <c r="O42" s="775">
        <f>O31*O38*O39</f>
        <v>10.747666151223097</v>
      </c>
      <c r="P42" s="776" t="s">
        <v>2007</v>
      </c>
      <c r="T42" s="777" t="s">
        <v>2006</v>
      </c>
      <c r="U42" s="775">
        <f>U31*U38*U39</f>
        <v>10.710207278569589</v>
      </c>
      <c r="V42" s="776" t="s">
        <v>2007</v>
      </c>
      <c r="Z42" s="777" t="s">
        <v>2006</v>
      </c>
      <c r="AA42" s="775">
        <f>AA31*AA38*AA39</f>
        <v>10.821813615378822</v>
      </c>
      <c r="AB42" s="776" t="s">
        <v>2007</v>
      </c>
      <c r="AF42" s="777" t="s">
        <v>2006</v>
      </c>
      <c r="AG42" s="775">
        <f>AG31*AG38*AG39</f>
        <v>10.821813615378822</v>
      </c>
      <c r="AH42" s="776" t="s">
        <v>2007</v>
      </c>
      <c r="AL42" s="777" t="s">
        <v>2006</v>
      </c>
      <c r="AM42" s="775">
        <f>AM31*AM38*AM39</f>
        <v>11.11978911737692</v>
      </c>
      <c r="AN42" s="776" t="s">
        <v>2007</v>
      </c>
      <c r="AR42" s="777" t="s">
        <v>2006</v>
      </c>
      <c r="AS42" s="775">
        <f>AS31*AS38*AS39</f>
        <v>11.045408954598495</v>
      </c>
      <c r="AT42" s="776" t="s">
        <v>2007</v>
      </c>
      <c r="AX42" s="777" t="s">
        <v>2006</v>
      </c>
      <c r="AY42" s="775">
        <f>AY31*AY38*AY39</f>
        <v>10.821460127212701</v>
      </c>
      <c r="AZ42" s="776" t="s">
        <v>2007</v>
      </c>
      <c r="BD42" s="777" t="s">
        <v>2006</v>
      </c>
      <c r="BE42" s="775">
        <f>BE31*BE38*BE39</f>
        <v>10.980011869508903</v>
      </c>
      <c r="BF42" s="776" t="s">
        <v>2007</v>
      </c>
      <c r="BJ42" s="777" t="s">
        <v>2006</v>
      </c>
      <c r="BK42" s="775">
        <f>BK31*BK38*BK39</f>
        <v>11.108627338212658</v>
      </c>
      <c r="BL42" s="776" t="s">
        <v>2007</v>
      </c>
    </row>
    <row r="43" spans="2:67" ht="13.5">
      <c r="B43" s="777" t="s">
        <v>2008</v>
      </c>
      <c r="C43" s="775">
        <f>1/2 * C41 * C31^2</f>
        <v>335.05265366205441</v>
      </c>
      <c r="D43" s="776"/>
      <c r="H43" s="777" t="s">
        <v>2008</v>
      </c>
      <c r="I43" s="775">
        <f>1/2 * I41 * I31^2</f>
        <v>335.05489448810664</v>
      </c>
      <c r="J43" s="776"/>
      <c r="N43" s="777" t="s">
        <v>2008</v>
      </c>
      <c r="O43" s="775">
        <f>1/2 * O41 * O31^2</f>
        <v>335.03282272082123</v>
      </c>
      <c r="P43" s="776"/>
      <c r="T43" s="777" t="s">
        <v>2008</v>
      </c>
      <c r="U43" s="775">
        <f>1/2 * U41 * U31^2</f>
        <v>335.03827149067729</v>
      </c>
      <c r="V43" s="776"/>
      <c r="Z43" s="777" t="s">
        <v>2008</v>
      </c>
      <c r="AA43" s="775">
        <f>1/2 * AA41 * AA31^2</f>
        <v>335.02205936065769</v>
      </c>
      <c r="AB43" s="776"/>
      <c r="AF43" s="777" t="s">
        <v>2008</v>
      </c>
      <c r="AG43" s="775">
        <f>1/2 * AG41 * AG31^2</f>
        <v>335.02205936065769</v>
      </c>
      <c r="AH43" s="776"/>
      <c r="AL43" s="777" t="s">
        <v>2008</v>
      </c>
      <c r="AM43" s="775">
        <f>1/2 * AM41 * AM31^2</f>
        <v>334.97909990484033</v>
      </c>
      <c r="AN43" s="776"/>
      <c r="AR43" s="777" t="s">
        <v>2008</v>
      </c>
      <c r="AS43" s="775">
        <f>1/2 * AS41 * AS31^2</f>
        <v>334.98977926806174</v>
      </c>
      <c r="AT43" s="776"/>
      <c r="AX43" s="777" t="s">
        <v>2008</v>
      </c>
      <c r="AY43" s="775">
        <f>1/2 * AY41 * AY31^2</f>
        <v>335.02211060386657</v>
      </c>
      <c r="AZ43" s="776"/>
      <c r="BD43" s="777" t="s">
        <v>2008</v>
      </c>
      <c r="BE43" s="775">
        <f>1/2 * BE41 * BE31^2</f>
        <v>334.99919305435071</v>
      </c>
      <c r="BF43" s="776"/>
      <c r="BJ43" s="777" t="s">
        <v>2008</v>
      </c>
      <c r="BK43" s="775">
        <f>1/2 * BK41 * BK31^2</f>
        <v>334.98070062708473</v>
      </c>
      <c r="BL43" s="776"/>
    </row>
    <row r="44" spans="2:67">
      <c r="B44" s="777" t="s">
        <v>2009</v>
      </c>
      <c r="C44" s="775">
        <f>C45/C42</f>
        <v>0.51128391328137679</v>
      </c>
      <c r="D44" s="776"/>
      <c r="H44" s="777" t="s">
        <v>2009</v>
      </c>
      <c r="I44" s="775">
        <f>I45/I42</f>
        <v>0.51202552968815784</v>
      </c>
      <c r="J44" s="776"/>
      <c r="M44" s="182"/>
      <c r="N44" s="777" t="s">
        <v>2009</v>
      </c>
      <c r="O44" s="775">
        <f>O45/O42</f>
        <v>0.50479518350490837</v>
      </c>
      <c r="P44" s="776"/>
      <c r="S44" s="182"/>
      <c r="T44" s="777" t="s">
        <v>2009</v>
      </c>
      <c r="U44" s="775">
        <f>U45/U42</f>
        <v>0.50656482019641813</v>
      </c>
      <c r="V44" s="776"/>
      <c r="Y44" s="182"/>
      <c r="Z44" s="777" t="s">
        <v>2009</v>
      </c>
      <c r="AA44" s="775">
        <f>AA45/AA42</f>
        <v>0.50132844185668346</v>
      </c>
      <c r="AB44" s="776"/>
      <c r="AE44" s="182"/>
      <c r="AF44" s="777" t="s">
        <v>2009</v>
      </c>
      <c r="AG44" s="775">
        <f>AG45/AG42</f>
        <v>0.50132844185668346</v>
      </c>
      <c r="AH44" s="776"/>
      <c r="AK44" s="182"/>
      <c r="AL44" s="777" t="s">
        <v>2009</v>
      </c>
      <c r="AM44" s="775">
        <f>AM45/AM42</f>
        <v>0.48786312859470299</v>
      </c>
      <c r="AN44" s="776"/>
      <c r="AQ44" s="182"/>
      <c r="AR44" s="777" t="s">
        <v>2009</v>
      </c>
      <c r="AS44" s="775">
        <f>AS45/AS42</f>
        <v>0.49115624464888274</v>
      </c>
      <c r="AT44" s="776"/>
      <c r="AW44" s="182"/>
      <c r="AX44" s="777" t="s">
        <v>2009</v>
      </c>
      <c r="AY44" s="775">
        <f>AY45/AY42</f>
        <v>0.5013448563313273</v>
      </c>
      <c r="AZ44" s="776"/>
      <c r="BC44" s="182"/>
      <c r="BD44" s="777" t="s">
        <v>2009</v>
      </c>
      <c r="BE44" s="775">
        <f>BE45/BE42</f>
        <v>0.4940885194740538</v>
      </c>
      <c r="BF44" s="776"/>
      <c r="BI44" s="182"/>
      <c r="BJ44" s="777" t="s">
        <v>2009</v>
      </c>
      <c r="BK44" s="775">
        <f>BK45/BK42</f>
        <v>0.48835449283329152</v>
      </c>
      <c r="BL44" s="776"/>
      <c r="BO44" s="182"/>
    </row>
    <row r="45" spans="2:67" ht="13.5">
      <c r="B45" s="777" t="s">
        <v>2010</v>
      </c>
      <c r="C45" s="775">
        <f>C31*C36*C40</f>
        <v>5.4255306713298896</v>
      </c>
      <c r="D45" s="776"/>
      <c r="H45" s="777" t="s">
        <v>2010</v>
      </c>
      <c r="I45" s="775">
        <f>I31*I36*I40</f>
        <v>5.4255488142247685</v>
      </c>
      <c r="J45" s="776"/>
      <c r="M45" s="182"/>
      <c r="N45" s="777" t="s">
        <v>2010</v>
      </c>
      <c r="O45" s="775">
        <f>O31*O36*O40</f>
        <v>5.425370107056156</v>
      </c>
      <c r="P45" s="776"/>
      <c r="S45" s="182"/>
      <c r="T45" s="777" t="s">
        <v>2010</v>
      </c>
      <c r="U45" s="775">
        <f>U31*U36*U40</f>
        <v>5.4254142243349728</v>
      </c>
      <c r="V45" s="776"/>
      <c r="Y45" s="182"/>
      <c r="Z45" s="777" t="s">
        <v>2010</v>
      </c>
      <c r="AA45" s="775">
        <f>AA31*AA36*AA40</f>
        <v>5.4252829578613078</v>
      </c>
      <c r="AB45" s="776"/>
      <c r="AE45" s="182"/>
      <c r="AF45" s="777" t="s">
        <v>2010</v>
      </c>
      <c r="AG45" s="775">
        <f>AG31*AG36*AG40</f>
        <v>5.4252829578613078</v>
      </c>
      <c r="AH45" s="776"/>
      <c r="AK45" s="182"/>
      <c r="AL45" s="777" t="s">
        <v>2010</v>
      </c>
      <c r="AM45" s="775">
        <f>AM31*AM36*AM40</f>
        <v>5.4249351081168351</v>
      </c>
      <c r="AN45" s="776"/>
      <c r="AQ45" s="182"/>
      <c r="AR45" s="777" t="s">
        <v>2010</v>
      </c>
      <c r="AS45" s="775">
        <f>AS31*AS36*AS40</f>
        <v>5.4250215827517385</v>
      </c>
      <c r="AT45" s="776"/>
      <c r="AW45" s="182"/>
      <c r="AX45" s="777" t="s">
        <v>2010</v>
      </c>
      <c r="AY45" s="775">
        <f>AY31*AY36*AY40</f>
        <v>5.4252833727726388</v>
      </c>
      <c r="AZ45" s="776"/>
      <c r="BC45" s="182"/>
      <c r="BD45" s="777" t="s">
        <v>2010</v>
      </c>
      <c r="BE45" s="775">
        <f>BE31*BE36*BE40</f>
        <v>5.4250978084131916</v>
      </c>
      <c r="BF45" s="776"/>
      <c r="BI45" s="182"/>
      <c r="BJ45" s="777" t="s">
        <v>2010</v>
      </c>
      <c r="BK45" s="775">
        <f>BK31*BK36*BK40</f>
        <v>5.4249480698268799</v>
      </c>
      <c r="BL45" s="776"/>
      <c r="BO45" s="182"/>
    </row>
    <row r="46" spans="2:67" ht="14.25">
      <c r="B46" s="777" t="s">
        <v>2011</v>
      </c>
      <c r="C46" s="775">
        <f>(1+7*C44)*0.5*C41*C42^2</f>
        <v>322.26241247767081</v>
      </c>
      <c r="D46" s="776" t="s">
        <v>2007</v>
      </c>
      <c r="H46" s="777" t="s">
        <v>2011</v>
      </c>
      <c r="I46" s="775">
        <f>(1+7*I44)*0.5*I41*I42^2</f>
        <v>321.69601151066365</v>
      </c>
      <c r="J46" s="776" t="s">
        <v>2007</v>
      </c>
      <c r="M46" s="182"/>
      <c r="N46" s="777" t="s">
        <v>2011</v>
      </c>
      <c r="O46" s="775">
        <f>(1+7*O44)*0.5*O41*O42^2</f>
        <v>327.30174643775138</v>
      </c>
      <c r="P46" s="776" t="s">
        <v>2007</v>
      </c>
      <c r="S46" s="182"/>
      <c r="T46" s="777" t="s">
        <v>2011</v>
      </c>
      <c r="U46" s="775">
        <f>(1+7*U44)*0.5*U41*U42^2</f>
        <v>325.91232272063553</v>
      </c>
      <c r="V46" s="776" t="s">
        <v>2007</v>
      </c>
      <c r="Y46" s="182"/>
      <c r="Z46" s="777" t="s">
        <v>2011</v>
      </c>
      <c r="AA46" s="775">
        <f>(1+7*AA44)*0.5*AA41*AA42^2</f>
        <v>330.05716049416355</v>
      </c>
      <c r="AB46" s="776" t="s">
        <v>2007</v>
      </c>
      <c r="AE46" s="182"/>
      <c r="AF46" s="777" t="s">
        <v>2011</v>
      </c>
      <c r="AG46" s="775">
        <f>(1+7*AG44)*0.5*AG41*AG42^2</f>
        <v>330.05716049416355</v>
      </c>
      <c r="AH46" s="776" t="s">
        <v>2007</v>
      </c>
      <c r="AK46" s="182"/>
      <c r="AL46" s="777" t="s">
        <v>2011</v>
      </c>
      <c r="AM46" s="775">
        <f>(1+7*AM44)*0.5*AM41*AM42^2</f>
        <v>341.19915666183067</v>
      </c>
      <c r="AN46" s="776" t="s">
        <v>2007</v>
      </c>
      <c r="AQ46" s="182"/>
      <c r="AR46" s="777" t="s">
        <v>2011</v>
      </c>
      <c r="AS46" s="775">
        <f>(1+7*AS44)*0.5*AS41*AS42^2</f>
        <v>338.40758297339858</v>
      </c>
      <c r="AT46" s="776" t="s">
        <v>2007</v>
      </c>
      <c r="AW46" s="182"/>
      <c r="AX46" s="777" t="s">
        <v>2011</v>
      </c>
      <c r="AY46" s="775">
        <f>(1+7*AY44)*0.5*AY41*AY42^2</f>
        <v>330.04400822867399</v>
      </c>
      <c r="AZ46" s="776" t="s">
        <v>2007</v>
      </c>
      <c r="BC46" s="182"/>
      <c r="BD46" s="777" t="s">
        <v>2011</v>
      </c>
      <c r="BE46" s="775">
        <f>(1+7*BE44)*0.5*BE41*BE42^2</f>
        <v>335.95883060120087</v>
      </c>
      <c r="BF46" s="776" t="s">
        <v>2007</v>
      </c>
      <c r="BI46" s="182"/>
      <c r="BJ46" s="777" t="s">
        <v>2011</v>
      </c>
      <c r="BK46" s="775">
        <f>(1+7*BK44)*0.5*BK41*BK42^2</f>
        <v>340.77980399832853</v>
      </c>
      <c r="BL46" s="776" t="s">
        <v>2007</v>
      </c>
      <c r="BO46" s="182"/>
    </row>
    <row r="47" spans="2:67" ht="13.5">
      <c r="C47" s="764">
        <v>1</v>
      </c>
      <c r="D47" s="150" t="s">
        <v>553</v>
      </c>
      <c r="H47" s="765"/>
      <c r="I47" s="764">
        <v>1</v>
      </c>
      <c r="J47" s="150" t="s">
        <v>553</v>
      </c>
      <c r="M47" s="182"/>
      <c r="N47" s="765"/>
      <c r="O47" s="764">
        <v>1</v>
      </c>
      <c r="P47" s="150" t="s">
        <v>553</v>
      </c>
      <c r="S47" s="182"/>
      <c r="T47" s="765"/>
      <c r="U47" s="764">
        <v>1</v>
      </c>
      <c r="V47" s="150" t="s">
        <v>553</v>
      </c>
      <c r="Y47" s="182"/>
      <c r="Z47" s="765"/>
      <c r="AA47" s="764">
        <v>1</v>
      </c>
      <c r="AB47" s="150" t="s">
        <v>553</v>
      </c>
      <c r="AE47" s="182"/>
      <c r="AF47" s="765"/>
      <c r="AG47" s="764">
        <v>1</v>
      </c>
      <c r="AH47" s="150" t="s">
        <v>553</v>
      </c>
      <c r="AK47" s="182"/>
      <c r="AL47" s="765"/>
      <c r="AM47" s="764">
        <v>1</v>
      </c>
      <c r="AN47" s="150" t="s">
        <v>553</v>
      </c>
      <c r="AQ47" s="182"/>
      <c r="AR47" s="765"/>
      <c r="AS47" s="764">
        <v>1</v>
      </c>
      <c r="AT47" s="150" t="s">
        <v>553</v>
      </c>
      <c r="AW47" s="182"/>
      <c r="AX47" s="765"/>
      <c r="AY47" s="764">
        <v>1</v>
      </c>
      <c r="AZ47" s="150" t="s">
        <v>553</v>
      </c>
      <c r="BC47" s="182"/>
      <c r="BD47" s="765"/>
      <c r="BE47" s="764">
        <v>1</v>
      </c>
      <c r="BF47" s="150" t="s">
        <v>553</v>
      </c>
      <c r="BI47" s="182"/>
      <c r="BJ47" s="765"/>
      <c r="BK47" s="764">
        <v>1</v>
      </c>
      <c r="BL47" s="150" t="s">
        <v>553</v>
      </c>
      <c r="BO47" s="182"/>
    </row>
    <row r="48" spans="2:67">
      <c r="H48" s="765"/>
      <c r="I48" s="764"/>
      <c r="M48" s="182"/>
      <c r="N48" s="765"/>
      <c r="O48" s="764"/>
      <c r="S48" s="182"/>
      <c r="T48" s="765"/>
      <c r="U48" s="764"/>
      <c r="Y48" s="182"/>
      <c r="Z48" s="765"/>
      <c r="AA48" s="764"/>
      <c r="AE48" s="182"/>
      <c r="AF48" s="765"/>
      <c r="AG48" s="764"/>
      <c r="AK48" s="182"/>
      <c r="AL48" s="765"/>
      <c r="AM48" s="764"/>
      <c r="AQ48" s="182"/>
      <c r="AR48" s="765"/>
      <c r="AS48" s="764"/>
      <c r="AW48" s="182"/>
      <c r="AX48" s="765"/>
      <c r="AY48" s="764"/>
      <c r="BC48" s="182"/>
      <c r="BD48" s="765"/>
      <c r="BE48" s="764"/>
      <c r="BI48" s="182"/>
      <c r="BJ48" s="765"/>
      <c r="BK48" s="764"/>
      <c r="BO48" s="182"/>
    </row>
    <row r="49" spans="2:67">
      <c r="B49" s="765" t="s">
        <v>1975</v>
      </c>
      <c r="C49" s="764">
        <f>C21/C22</f>
        <v>0.11783333333333333</v>
      </c>
      <c r="H49" s="765" t="s">
        <v>1975</v>
      </c>
      <c r="I49" s="764">
        <f>I21/I22</f>
        <v>0.11750000000000001</v>
      </c>
      <c r="M49" s="182"/>
      <c r="N49" s="765" t="s">
        <v>1975</v>
      </c>
      <c r="O49" s="764">
        <f>O21/O22</f>
        <v>0.12083333333333333</v>
      </c>
      <c r="S49" s="182"/>
      <c r="T49" s="765" t="s">
        <v>1975</v>
      </c>
      <c r="U49" s="764">
        <f>U21/U22</f>
        <v>0.12000000000000001</v>
      </c>
      <c r="Y49" s="182"/>
      <c r="Z49" s="765" t="s">
        <v>1975</v>
      </c>
      <c r="AA49" s="764">
        <f>AA21/AA22</f>
        <v>0.12250000000000001</v>
      </c>
      <c r="AE49" s="182"/>
      <c r="AF49" s="765" t="s">
        <v>1975</v>
      </c>
      <c r="AG49" s="764">
        <f>AG21/AG22</f>
        <v>0.12250000000000001</v>
      </c>
      <c r="AK49" s="182"/>
      <c r="AL49" s="765" t="s">
        <v>1975</v>
      </c>
      <c r="AM49" s="764">
        <f>AM21/AM22</f>
        <v>0.12943333333333334</v>
      </c>
      <c r="AQ49" s="182"/>
      <c r="AR49" s="765" t="s">
        <v>1975</v>
      </c>
      <c r="AS49" s="764">
        <f>AS21/AS22</f>
        <v>0.12766666666666668</v>
      </c>
      <c r="AW49" s="182"/>
      <c r="AX49" s="765" t="s">
        <v>1975</v>
      </c>
      <c r="AY49" s="764">
        <f>AY21/AY22</f>
        <v>0.122492</v>
      </c>
      <c r="BC49" s="182"/>
      <c r="BD49" s="765" t="s">
        <v>1975</v>
      </c>
      <c r="BE49" s="764">
        <f>BE21/BE22</f>
        <v>0.12613333333333335</v>
      </c>
      <c r="BI49" s="182"/>
      <c r="BJ49" s="765" t="s">
        <v>1975</v>
      </c>
      <c r="BK49" s="764">
        <f>BK21/BK22</f>
        <v>0.12916666666666668</v>
      </c>
      <c r="BO49" s="182"/>
    </row>
    <row r="50" spans="2:67">
      <c r="B50" s="765" t="s">
        <v>2012</v>
      </c>
      <c r="C50" s="764">
        <f>C21/C23</f>
        <v>0.14729166666666668</v>
      </c>
      <c r="H50" s="765" t="s">
        <v>2012</v>
      </c>
      <c r="I50" s="764">
        <f>I21/I23</f>
        <v>0.14687500000000001</v>
      </c>
      <c r="M50" s="182"/>
      <c r="N50" s="765" t="s">
        <v>2012</v>
      </c>
      <c r="O50" s="764">
        <f>O21/O23</f>
        <v>0.15104166666666666</v>
      </c>
      <c r="S50" s="182"/>
      <c r="T50" s="765" t="s">
        <v>2012</v>
      </c>
      <c r="U50" s="764">
        <f>U21/U23</f>
        <v>0.15</v>
      </c>
      <c r="Y50" s="182"/>
      <c r="Z50" s="765" t="s">
        <v>2012</v>
      </c>
      <c r="AA50" s="764">
        <f>AA21/AA23</f>
        <v>0.15312500000000001</v>
      </c>
      <c r="AE50" s="182"/>
      <c r="AF50" s="765" t="s">
        <v>2012</v>
      </c>
      <c r="AG50" s="764">
        <f>AG21/AG23</f>
        <v>0.15312500000000001</v>
      </c>
      <c r="AK50" s="182"/>
      <c r="AL50" s="765" t="s">
        <v>2012</v>
      </c>
      <c r="AM50" s="764">
        <f>AM21/AM23</f>
        <v>0.16179166666666667</v>
      </c>
      <c r="AQ50" s="182"/>
      <c r="AR50" s="765" t="s">
        <v>2012</v>
      </c>
      <c r="AS50" s="764">
        <f>AS21/AS23</f>
        <v>0.15958333333333333</v>
      </c>
      <c r="AW50" s="182"/>
      <c r="AX50" s="765" t="s">
        <v>2012</v>
      </c>
      <c r="AY50" s="764">
        <f>AY21/AY23</f>
        <v>0.153115</v>
      </c>
      <c r="BC50" s="182"/>
      <c r="BD50" s="765" t="s">
        <v>2012</v>
      </c>
      <c r="BE50" s="764">
        <f>BE21/BE23</f>
        <v>0.15766666666666668</v>
      </c>
      <c r="BI50" s="182"/>
      <c r="BJ50" s="765" t="s">
        <v>2012</v>
      </c>
      <c r="BK50" s="764">
        <f>BK21/BK23</f>
        <v>0.16145833333333334</v>
      </c>
      <c r="BO50" s="182"/>
    </row>
    <row r="51" spans="2:67" ht="13.5">
      <c r="B51" s="765" t="s">
        <v>2013</v>
      </c>
      <c r="C51" s="764" cm="1">
        <f t="array" ref="C51">INDEX($Q$5:$Q$9,(MATCH(C49,$P$5:$P$9,1))+1)</f>
        <v>0.8</v>
      </c>
      <c r="H51" s="765" t="s">
        <v>2013</v>
      </c>
      <c r="I51" s="764" cm="1">
        <f t="array" ref="I51">INDEX($Q$5:$Q$9,(MATCH(I49,$P$5:$P$9,1))+1)</f>
        <v>0.8</v>
      </c>
      <c r="M51" s="182"/>
      <c r="N51" s="765" t="s">
        <v>2013</v>
      </c>
      <c r="O51" s="764" cm="1">
        <f t="array" ref="O51">INDEX($Q$5:$Q$9,(MATCH(O49,$P$5:$P$9,1))+1)</f>
        <v>0.8</v>
      </c>
      <c r="S51" s="182"/>
      <c r="T51" s="765" t="s">
        <v>2013</v>
      </c>
      <c r="U51" s="764" cm="1">
        <f t="array" ref="U51">INDEX($Q$5:$Q$9,(MATCH(U49,$P$5:$P$9,1))+1)</f>
        <v>0.8</v>
      </c>
      <c r="Y51" s="182"/>
      <c r="Z51" s="765" t="s">
        <v>2013</v>
      </c>
      <c r="AA51" s="764" cm="1">
        <f t="array" ref="AA51">INDEX($Q$5:$Q$9,(MATCH(AA49,$P$5:$P$9,1))+1)</f>
        <v>0.8</v>
      </c>
      <c r="AE51" s="182"/>
      <c r="AF51" s="765" t="s">
        <v>2013</v>
      </c>
      <c r="AG51" s="764" cm="1">
        <f t="array" ref="AG51">INDEX($Q$5:$Q$9,(MATCH(AG49,$P$5:$P$9,1))+1)</f>
        <v>0.8</v>
      </c>
      <c r="AK51" s="182"/>
      <c r="AL51" s="765" t="s">
        <v>2013</v>
      </c>
      <c r="AM51" s="764" cm="1">
        <f t="array" ref="AM51">INDEX($Q$5:$Q$9,(MATCH(AM49,$P$5:$P$9,1))+1)</f>
        <v>0.8</v>
      </c>
      <c r="AQ51" s="182"/>
      <c r="AR51" s="765" t="s">
        <v>2013</v>
      </c>
      <c r="AS51" s="764" cm="1">
        <f t="array" ref="AS51">INDEX($Q$5:$Q$9,(MATCH(AS49,$P$5:$P$9,1))+1)</f>
        <v>0.8</v>
      </c>
      <c r="AW51" s="182"/>
      <c r="AX51" s="765" t="s">
        <v>2013</v>
      </c>
      <c r="AY51" s="764" cm="1">
        <f t="array" ref="AY51">INDEX($Q$5:$Q$9,(MATCH(AY49,$P$5:$P$9,1))+1)</f>
        <v>0.8</v>
      </c>
      <c r="BC51" s="182"/>
      <c r="BD51" s="765" t="s">
        <v>2013</v>
      </c>
      <c r="BE51" s="764" cm="1">
        <f t="array" ref="BE51">INDEX($Q$5:$Q$9,(MATCH(BE49,$P$5:$P$9,1))+1)</f>
        <v>0.8</v>
      </c>
      <c r="BI51" s="182"/>
      <c r="BJ51" s="765" t="s">
        <v>2013</v>
      </c>
      <c r="BK51" s="764" cm="1">
        <f t="array" ref="BK51">INDEX($Q$5:$Q$9,(MATCH(BK49,$P$5:$P$9,1))+1)</f>
        <v>0.8</v>
      </c>
      <c r="BO51" s="182"/>
    </row>
    <row r="52" spans="2:67" ht="13.5">
      <c r="B52" s="765" t="s">
        <v>2014</v>
      </c>
      <c r="C52" s="764" cm="1">
        <f t="array" ref="C52">INDEX($Q$5:$Q$9,((MATCH(C50,$P$5:$P$9,1))+1))</f>
        <v>0.8</v>
      </c>
      <c r="H52" s="765" t="s">
        <v>2014</v>
      </c>
      <c r="I52" s="764" cm="1">
        <f t="array" ref="I52">INDEX($Q$5:$Q$9,((MATCH(I50,$P$5:$P$9,1))+1))</f>
        <v>0.8</v>
      </c>
      <c r="M52" s="182"/>
      <c r="N52" s="765" t="s">
        <v>2014</v>
      </c>
      <c r="O52" s="764" cm="1">
        <f t="array" ref="O52">INDEX($Q$5:$Q$9,((MATCH(O50,$P$5:$P$9,1))+1))</f>
        <v>0.8</v>
      </c>
      <c r="S52" s="182"/>
      <c r="T52" s="765" t="s">
        <v>2014</v>
      </c>
      <c r="U52" s="764" cm="1">
        <f t="array" ref="U52">INDEX($Q$5:$Q$9,((MATCH(U50,$P$5:$P$9,1))+1))</f>
        <v>0.8</v>
      </c>
      <c r="Y52" s="182"/>
      <c r="Z52" s="765" t="s">
        <v>2014</v>
      </c>
      <c r="AA52" s="764" cm="1">
        <f t="array" ref="AA52">INDEX($Q$5:$Q$9,((MATCH(AA50,$P$5:$P$9,1))+1))</f>
        <v>0.8</v>
      </c>
      <c r="AE52" s="182"/>
      <c r="AF52" s="765" t="s">
        <v>2014</v>
      </c>
      <c r="AG52" s="764" cm="1">
        <f t="array" ref="AG52">INDEX($Q$5:$Q$9,((MATCH(AG50,$P$5:$P$9,1))+1))</f>
        <v>0.8</v>
      </c>
      <c r="AK52" s="182"/>
      <c r="AL52" s="765" t="s">
        <v>2014</v>
      </c>
      <c r="AM52" s="764" cm="1">
        <f t="array" ref="AM52">INDEX($Q$5:$Q$9,((MATCH(AM50,$P$5:$P$9,1))+1))</f>
        <v>0.8</v>
      </c>
      <c r="AQ52" s="182"/>
      <c r="AR52" s="765" t="s">
        <v>2014</v>
      </c>
      <c r="AS52" s="764" cm="1">
        <f t="array" ref="AS52">INDEX($Q$5:$Q$9,((MATCH(AS50,$P$5:$P$9,1))+1))</f>
        <v>0.8</v>
      </c>
      <c r="AW52" s="182"/>
      <c r="AX52" s="765" t="s">
        <v>2014</v>
      </c>
      <c r="AY52" s="764" cm="1">
        <f t="array" ref="AY52">INDEX($Q$5:$Q$9,((MATCH(AY50,$P$5:$P$9,1))+1))</f>
        <v>0.8</v>
      </c>
      <c r="BC52" s="182"/>
      <c r="BD52" s="765" t="s">
        <v>2014</v>
      </c>
      <c r="BE52" s="764" cm="1">
        <f t="array" ref="BE52">INDEX($Q$5:$Q$9,((MATCH(BE50,$P$5:$P$9,1))+1))</f>
        <v>0.8</v>
      </c>
      <c r="BI52" s="182"/>
      <c r="BJ52" s="765" t="s">
        <v>2014</v>
      </c>
      <c r="BK52" s="764" cm="1">
        <f t="array" ref="BK52">INDEX($Q$5:$Q$9,((MATCH(BK50,$P$5:$P$9,1))+1))</f>
        <v>0.8</v>
      </c>
      <c r="BO52" s="182"/>
    </row>
    <row r="53" spans="2:67" ht="13.5">
      <c r="B53" s="765" t="s">
        <v>2015</v>
      </c>
      <c r="C53" s="764">
        <v>1</v>
      </c>
      <c r="H53" s="765" t="s">
        <v>2015</v>
      </c>
      <c r="I53" s="764">
        <v>1</v>
      </c>
      <c r="M53" s="182"/>
      <c r="N53" s="765" t="s">
        <v>2015</v>
      </c>
      <c r="O53" s="764">
        <v>1</v>
      </c>
      <c r="S53" s="182"/>
      <c r="T53" s="765" t="s">
        <v>2015</v>
      </c>
      <c r="U53" s="764">
        <v>1</v>
      </c>
      <c r="Y53" s="182"/>
      <c r="Z53" s="765" t="s">
        <v>2015</v>
      </c>
      <c r="AA53" s="764">
        <v>1</v>
      </c>
      <c r="AE53" s="182"/>
      <c r="AF53" s="765" t="s">
        <v>2015</v>
      </c>
      <c r="AG53" s="764">
        <v>1</v>
      </c>
      <c r="AK53" s="182"/>
      <c r="AL53" s="765" t="s">
        <v>2015</v>
      </c>
      <c r="AM53" s="764">
        <v>1</v>
      </c>
      <c r="AQ53" s="182"/>
      <c r="AR53" s="765" t="s">
        <v>2015</v>
      </c>
      <c r="AS53" s="764">
        <v>1</v>
      </c>
      <c r="AW53" s="182"/>
      <c r="AX53" s="765" t="s">
        <v>2015</v>
      </c>
      <c r="AY53" s="764">
        <v>1</v>
      </c>
      <c r="BC53" s="182"/>
      <c r="BD53" s="765" t="s">
        <v>2015</v>
      </c>
      <c r="BE53" s="764">
        <v>1</v>
      </c>
      <c r="BI53" s="182"/>
      <c r="BJ53" s="765" t="s">
        <v>2015</v>
      </c>
      <c r="BK53" s="764">
        <v>1</v>
      </c>
      <c r="BO53" s="182"/>
    </row>
    <row r="54" spans="2:67" ht="13.5">
      <c r="B54" s="765" t="s">
        <v>2016</v>
      </c>
      <c r="C54" s="764">
        <f>C21*C22*C47*C51*C53</f>
        <v>339.36000000000007</v>
      </c>
      <c r="D54" s="150" t="s">
        <v>1239</v>
      </c>
      <c r="H54" s="765" t="s">
        <v>2016</v>
      </c>
      <c r="I54" s="764">
        <f>I21*I22*I47*I51*I53</f>
        <v>338.40000000000009</v>
      </c>
      <c r="J54" s="150" t="s">
        <v>1239</v>
      </c>
      <c r="M54" s="182"/>
      <c r="N54" s="765" t="s">
        <v>2016</v>
      </c>
      <c r="O54" s="764">
        <f>O21*O22*O47*O51*O53</f>
        <v>348</v>
      </c>
      <c r="P54" s="150" t="s">
        <v>1239</v>
      </c>
      <c r="S54" s="182"/>
      <c r="T54" s="765" t="s">
        <v>2016</v>
      </c>
      <c r="U54" s="764">
        <f>U21*U22*U47*U51*U53</f>
        <v>345.6</v>
      </c>
      <c r="V54" s="150" t="s">
        <v>1239</v>
      </c>
      <c r="Y54" s="182"/>
      <c r="Z54" s="765" t="s">
        <v>2016</v>
      </c>
      <c r="AA54" s="764">
        <f>AA21*AA22*AA47*AA51*AA53</f>
        <v>352.80000000000007</v>
      </c>
      <c r="AB54" s="150" t="s">
        <v>1239</v>
      </c>
      <c r="AE54" s="182"/>
      <c r="AF54" s="765" t="s">
        <v>2016</v>
      </c>
      <c r="AG54" s="764">
        <f>AG21*AG22*AG47*AG51*AG53</f>
        <v>352.80000000000007</v>
      </c>
      <c r="AH54" s="150" t="s">
        <v>1239</v>
      </c>
      <c r="AK54" s="182"/>
      <c r="AL54" s="765" t="s">
        <v>2016</v>
      </c>
      <c r="AM54" s="764">
        <f>AM21*AM22*AM47*AM51*AM53</f>
        <v>372.76800000000003</v>
      </c>
      <c r="AN54" s="150" t="s">
        <v>1239</v>
      </c>
      <c r="AQ54" s="182"/>
      <c r="AR54" s="765" t="s">
        <v>2016</v>
      </c>
      <c r="AS54" s="764">
        <f>AS21*AS22*AS47*AS51*AS53</f>
        <v>367.68000000000006</v>
      </c>
      <c r="AT54" s="150" t="s">
        <v>1239</v>
      </c>
      <c r="AW54" s="182"/>
      <c r="AX54" s="765" t="s">
        <v>2016</v>
      </c>
      <c r="AY54" s="764">
        <f>AY21*AY22*AY47*AY51*AY53</f>
        <v>352.77696000000003</v>
      </c>
      <c r="AZ54" s="150" t="s">
        <v>1239</v>
      </c>
      <c r="BC54" s="182"/>
      <c r="BD54" s="765" t="s">
        <v>2016</v>
      </c>
      <c r="BE54" s="764">
        <f>BE21*BE22*BE47*BE51*BE53</f>
        <v>363.26400000000007</v>
      </c>
      <c r="BF54" s="150" t="s">
        <v>1239</v>
      </c>
      <c r="BI54" s="182"/>
      <c r="BJ54" s="765" t="s">
        <v>2016</v>
      </c>
      <c r="BK54" s="764">
        <f>BK21*BK22*BK47*BK51*BK53</f>
        <v>372</v>
      </c>
      <c r="BL54" s="150" t="s">
        <v>1239</v>
      </c>
      <c r="BO54" s="182"/>
    </row>
    <row r="55" spans="2:67">
      <c r="B55" s="765" t="s">
        <v>2017</v>
      </c>
      <c r="C55" s="764">
        <f>C21*C23*C47*C52*C53</f>
        <v>271.488</v>
      </c>
      <c r="D55" s="150" t="s">
        <v>1239</v>
      </c>
      <c r="H55" s="765" t="s">
        <v>2017</v>
      </c>
      <c r="I55" s="764">
        <f>I21*I23*I47*I52*I53</f>
        <v>270.72000000000003</v>
      </c>
      <c r="J55" s="150" t="s">
        <v>1239</v>
      </c>
      <c r="M55" s="182"/>
      <c r="N55" s="765" t="s">
        <v>2017</v>
      </c>
      <c r="O55" s="764">
        <f>O21*O23*O47*O52*O53</f>
        <v>278.40000000000003</v>
      </c>
      <c r="P55" s="150" t="s">
        <v>1239</v>
      </c>
      <c r="S55" s="182"/>
      <c r="T55" s="765" t="s">
        <v>2017</v>
      </c>
      <c r="U55" s="764">
        <f>U21*U23*U47*U52*U53</f>
        <v>276.48</v>
      </c>
      <c r="V55" s="150" t="s">
        <v>1239</v>
      </c>
      <c r="Y55" s="182"/>
      <c r="Z55" s="765" t="s">
        <v>2017</v>
      </c>
      <c r="AA55" s="764">
        <f>AA21*AA23*AA47*AA52*AA53</f>
        <v>282.24</v>
      </c>
      <c r="AB55" s="150" t="s">
        <v>1239</v>
      </c>
      <c r="AE55" s="182"/>
      <c r="AF55" s="765" t="s">
        <v>2017</v>
      </c>
      <c r="AG55" s="764">
        <f>AG21*AG23*AG47*AG52*AG53</f>
        <v>282.24</v>
      </c>
      <c r="AH55" s="150" t="s">
        <v>1239</v>
      </c>
      <c r="AK55" s="182"/>
      <c r="AL55" s="765" t="s">
        <v>2017</v>
      </c>
      <c r="AM55" s="764">
        <f>AM21*AM23*AM47*AM52*AM53</f>
        <v>298.21440000000001</v>
      </c>
      <c r="AN55" s="150" t="s">
        <v>1239</v>
      </c>
      <c r="AQ55" s="182"/>
      <c r="AR55" s="765" t="s">
        <v>2017</v>
      </c>
      <c r="AS55" s="764">
        <f>AS21*AS23*AS47*AS52*AS53</f>
        <v>294.14400000000001</v>
      </c>
      <c r="AT55" s="150" t="s">
        <v>1239</v>
      </c>
      <c r="AW55" s="182"/>
      <c r="AX55" s="765" t="s">
        <v>2017</v>
      </c>
      <c r="AY55" s="764">
        <f>AY21*AY23*AY47*AY52*AY53</f>
        <v>282.22156800000005</v>
      </c>
      <c r="AZ55" s="150" t="s">
        <v>1239</v>
      </c>
      <c r="BC55" s="182"/>
      <c r="BD55" s="765" t="s">
        <v>2017</v>
      </c>
      <c r="BE55" s="764">
        <f>BE21*BE23*BE47*BE52*BE53</f>
        <v>290.6112</v>
      </c>
      <c r="BF55" s="150" t="s">
        <v>1239</v>
      </c>
      <c r="BI55" s="182"/>
      <c r="BJ55" s="765" t="s">
        <v>2017</v>
      </c>
      <c r="BK55" s="764">
        <f>BK21*BK23*BK47*BK52*BK53</f>
        <v>297.60000000000002</v>
      </c>
      <c r="BL55" s="150" t="s">
        <v>1239</v>
      </c>
      <c r="BO55" s="182"/>
    </row>
    <row r="56" spans="2:67" ht="13.5">
      <c r="B56" s="765" t="s">
        <v>2018</v>
      </c>
      <c r="C56" s="764">
        <v>0</v>
      </c>
      <c r="H56" s="765" t="s">
        <v>2019</v>
      </c>
      <c r="I56" s="764">
        <v>0</v>
      </c>
      <c r="M56" s="182"/>
      <c r="N56" s="765" t="s">
        <v>2019</v>
      </c>
      <c r="O56" s="764">
        <v>0</v>
      </c>
      <c r="S56" s="182"/>
      <c r="T56" s="765" t="s">
        <v>2019</v>
      </c>
      <c r="U56" s="764">
        <v>0</v>
      </c>
      <c r="Y56" s="182"/>
      <c r="Z56" s="765" t="s">
        <v>2019</v>
      </c>
      <c r="AA56" s="764">
        <v>0</v>
      </c>
      <c r="AE56" s="182"/>
      <c r="AF56" s="765" t="s">
        <v>2019</v>
      </c>
      <c r="AG56" s="764">
        <v>0</v>
      </c>
      <c r="AK56" s="182"/>
      <c r="AL56" s="765" t="s">
        <v>2019</v>
      </c>
      <c r="AM56" s="764">
        <v>0</v>
      </c>
      <c r="AQ56" s="182"/>
      <c r="AR56" s="765" t="s">
        <v>2019</v>
      </c>
      <c r="AS56" s="764">
        <v>0</v>
      </c>
      <c r="AW56" s="182"/>
      <c r="AX56" s="765" t="s">
        <v>2019</v>
      </c>
      <c r="AY56" s="764">
        <v>0</v>
      </c>
      <c r="BC56" s="182"/>
      <c r="BD56" s="765" t="s">
        <v>2019</v>
      </c>
      <c r="BE56" s="764">
        <v>0</v>
      </c>
      <c r="BI56" s="182"/>
      <c r="BJ56" s="765" t="s">
        <v>2019</v>
      </c>
      <c r="BK56" s="764">
        <v>0</v>
      </c>
      <c r="BO56" s="182"/>
    </row>
    <row r="57" spans="2:67" ht="13.5">
      <c r="B57" s="765" t="s">
        <v>2020</v>
      </c>
      <c r="C57" s="764">
        <v>0.2</v>
      </c>
      <c r="H57" s="765" t="s">
        <v>2020</v>
      </c>
      <c r="I57" s="764">
        <v>0.2</v>
      </c>
      <c r="N57" s="765" t="s">
        <v>2020</v>
      </c>
      <c r="O57" s="764">
        <v>0.2</v>
      </c>
      <c r="T57" s="765" t="s">
        <v>2020</v>
      </c>
      <c r="U57" s="764">
        <v>0.2</v>
      </c>
      <c r="Z57" s="765" t="s">
        <v>2020</v>
      </c>
      <c r="AA57" s="764">
        <v>0.2</v>
      </c>
      <c r="AF57" s="765" t="s">
        <v>2020</v>
      </c>
      <c r="AG57" s="764">
        <v>0.2</v>
      </c>
      <c r="AL57" s="765" t="s">
        <v>2020</v>
      </c>
      <c r="AM57" s="764">
        <v>0.2</v>
      </c>
      <c r="AR57" s="765" t="s">
        <v>2020</v>
      </c>
      <c r="AS57" s="764">
        <v>0.2</v>
      </c>
      <c r="AX57" s="765" t="s">
        <v>2020</v>
      </c>
      <c r="AY57" s="764">
        <v>0.2</v>
      </c>
      <c r="BD57" s="765" t="s">
        <v>2020</v>
      </c>
      <c r="BE57" s="764">
        <v>0.2</v>
      </c>
      <c r="BJ57" s="765" t="s">
        <v>2020</v>
      </c>
      <c r="BK57" s="764">
        <v>0.2</v>
      </c>
    </row>
    <row r="58" spans="2:67">
      <c r="H58" s="765"/>
      <c r="I58" s="764"/>
      <c r="N58" s="765"/>
      <c r="O58" s="764"/>
      <c r="T58" s="765"/>
      <c r="U58" s="764"/>
      <c r="Z58" s="765"/>
      <c r="AA58" s="764"/>
      <c r="AF58" s="765"/>
      <c r="AG58" s="764"/>
      <c r="AL58" s="765"/>
      <c r="AM58" s="764"/>
      <c r="AR58" s="765"/>
      <c r="AS58" s="764"/>
      <c r="AX58" s="765"/>
      <c r="AY58" s="764"/>
      <c r="BD58" s="765"/>
      <c r="BE58" s="764"/>
      <c r="BJ58" s="765"/>
      <c r="BK58" s="764"/>
    </row>
    <row r="59" spans="2:67">
      <c r="B59" s="765" t="s">
        <v>2021</v>
      </c>
      <c r="C59" s="764">
        <f>C21</f>
        <v>7.07</v>
      </c>
      <c r="D59" s="150" t="s">
        <v>15</v>
      </c>
      <c r="H59" s="765" t="s">
        <v>2021</v>
      </c>
      <c r="I59" s="764">
        <f>I21</f>
        <v>7.0500000000000007</v>
      </c>
      <c r="J59" s="150" t="s">
        <v>15</v>
      </c>
      <c r="N59" s="765" t="s">
        <v>2021</v>
      </c>
      <c r="O59" s="764">
        <f>O21</f>
        <v>7.25</v>
      </c>
      <c r="P59" s="150" t="s">
        <v>15</v>
      </c>
      <c r="T59" s="765" t="s">
        <v>2021</v>
      </c>
      <c r="U59" s="764">
        <f>U21</f>
        <v>7.2</v>
      </c>
      <c r="V59" s="150" t="s">
        <v>15</v>
      </c>
      <c r="Z59" s="765" t="s">
        <v>2021</v>
      </c>
      <c r="AA59" s="764">
        <f>AA21</f>
        <v>7.3500000000000005</v>
      </c>
      <c r="AB59" s="150" t="s">
        <v>15</v>
      </c>
      <c r="AF59" s="765" t="s">
        <v>2021</v>
      </c>
      <c r="AG59" s="764">
        <f>AG21</f>
        <v>7.3500000000000005</v>
      </c>
      <c r="AH59" s="150" t="s">
        <v>15</v>
      </c>
      <c r="AL59" s="765" t="s">
        <v>2021</v>
      </c>
      <c r="AM59" s="764">
        <f>AM21</f>
        <v>7.766</v>
      </c>
      <c r="AN59" s="150" t="s">
        <v>15</v>
      </c>
      <c r="AR59" s="765" t="s">
        <v>2021</v>
      </c>
      <c r="AS59" s="764">
        <f>AS21</f>
        <v>7.66</v>
      </c>
      <c r="AT59" s="150" t="s">
        <v>15</v>
      </c>
      <c r="AX59" s="765" t="s">
        <v>2021</v>
      </c>
      <c r="AY59" s="764">
        <f>AY21</f>
        <v>7.3495200000000001</v>
      </c>
      <c r="AZ59" s="150" t="s">
        <v>15</v>
      </c>
      <c r="BD59" s="765" t="s">
        <v>2021</v>
      </c>
      <c r="BE59" s="764">
        <f>BE21</f>
        <v>7.5680000000000005</v>
      </c>
      <c r="BF59" s="150" t="s">
        <v>15</v>
      </c>
      <c r="BJ59" s="765" t="s">
        <v>2021</v>
      </c>
      <c r="BK59" s="764">
        <f>BK21</f>
        <v>7.75</v>
      </c>
      <c r="BL59" s="150" t="s">
        <v>15</v>
      </c>
    </row>
    <row r="60" spans="2:67">
      <c r="H60" s="765"/>
      <c r="I60" s="764"/>
      <c r="N60" s="765"/>
      <c r="O60" s="764"/>
      <c r="T60" s="765"/>
      <c r="U60" s="764"/>
      <c r="Z60" s="765"/>
      <c r="AA60" s="764"/>
      <c r="AF60" s="765"/>
      <c r="AG60" s="764"/>
      <c r="AL60" s="765"/>
      <c r="AM60" s="764"/>
      <c r="AR60" s="765"/>
      <c r="AS60" s="764"/>
      <c r="AX60" s="765"/>
      <c r="AY60" s="764"/>
      <c r="BD60" s="765"/>
      <c r="BE60" s="764"/>
      <c r="BJ60" s="765"/>
      <c r="BK60" s="764"/>
    </row>
    <row r="61" spans="2:67">
      <c r="B61" s="765" t="s">
        <v>1977</v>
      </c>
      <c r="C61" s="764">
        <f>$C$5</f>
        <v>6</v>
      </c>
      <c r="H61" s="765" t="s">
        <v>1977</v>
      </c>
      <c r="I61" s="764">
        <f>$C$5</f>
        <v>6</v>
      </c>
      <c r="N61" s="765" t="s">
        <v>1977</v>
      </c>
      <c r="O61" s="764">
        <f>$C$5</f>
        <v>6</v>
      </c>
      <c r="T61" s="765" t="s">
        <v>1977</v>
      </c>
      <c r="U61" s="764">
        <f>$C$5</f>
        <v>6</v>
      </c>
      <c r="Z61" s="765" t="s">
        <v>1977</v>
      </c>
      <c r="AA61" s="764">
        <f>$C$5</f>
        <v>6</v>
      </c>
      <c r="AF61" s="765" t="s">
        <v>1977</v>
      </c>
      <c r="AG61" s="764">
        <f>$C$5</f>
        <v>6</v>
      </c>
      <c r="AL61" s="765" t="s">
        <v>1977</v>
      </c>
      <c r="AM61" s="764">
        <f>$C$5</f>
        <v>6</v>
      </c>
      <c r="AR61" s="765" t="s">
        <v>1977</v>
      </c>
      <c r="AS61" s="764">
        <f>$C$5</f>
        <v>6</v>
      </c>
      <c r="AX61" s="765" t="s">
        <v>1977</v>
      </c>
      <c r="AY61" s="764">
        <f>$C$5</f>
        <v>6</v>
      </c>
      <c r="BD61" s="765" t="s">
        <v>1977</v>
      </c>
      <c r="BE61" s="764">
        <f>$C$5</f>
        <v>6</v>
      </c>
      <c r="BJ61" s="765" t="s">
        <v>1977</v>
      </c>
      <c r="BK61" s="764">
        <f>$C$5</f>
        <v>6</v>
      </c>
    </row>
    <row r="62" spans="2:67">
      <c r="B62" s="765" t="s">
        <v>2022</v>
      </c>
      <c r="C62" s="778">
        <v>20</v>
      </c>
      <c r="D62" s="150" t="s">
        <v>15</v>
      </c>
      <c r="H62" s="765" t="s">
        <v>2022</v>
      </c>
      <c r="I62" s="764">
        <v>20</v>
      </c>
      <c r="J62" s="150" t="s">
        <v>15</v>
      </c>
      <c r="N62" s="765" t="s">
        <v>2022</v>
      </c>
      <c r="O62" s="764">
        <v>20</v>
      </c>
      <c r="P62" s="150" t="s">
        <v>15</v>
      </c>
      <c r="T62" s="765" t="s">
        <v>2022</v>
      </c>
      <c r="U62" s="764">
        <v>20</v>
      </c>
      <c r="V62" s="150" t="s">
        <v>15</v>
      </c>
      <c r="Z62" s="765" t="s">
        <v>2022</v>
      </c>
      <c r="AA62" s="764">
        <v>20</v>
      </c>
      <c r="AB62" s="150" t="s">
        <v>15</v>
      </c>
      <c r="AF62" s="765" t="s">
        <v>2022</v>
      </c>
      <c r="AG62" s="764">
        <v>20</v>
      </c>
      <c r="AH62" s="150" t="s">
        <v>15</v>
      </c>
      <c r="AL62" s="765" t="s">
        <v>2022</v>
      </c>
      <c r="AM62" s="764">
        <v>20</v>
      </c>
      <c r="AN62" s="150" t="s">
        <v>15</v>
      </c>
      <c r="AR62" s="765" t="s">
        <v>2022</v>
      </c>
      <c r="AS62" s="764">
        <v>20</v>
      </c>
      <c r="AT62" s="150" t="s">
        <v>15</v>
      </c>
      <c r="AX62" s="765" t="s">
        <v>2022</v>
      </c>
      <c r="AY62" s="764">
        <v>20</v>
      </c>
      <c r="AZ62" s="150" t="s">
        <v>15</v>
      </c>
      <c r="BD62" s="765" t="s">
        <v>2022</v>
      </c>
      <c r="BE62" s="764">
        <v>20</v>
      </c>
      <c r="BF62" s="150" t="s">
        <v>15</v>
      </c>
      <c r="BJ62" s="765" t="s">
        <v>2022</v>
      </c>
      <c r="BK62" s="764">
        <v>20</v>
      </c>
      <c r="BL62" s="150" t="s">
        <v>15</v>
      </c>
    </row>
    <row r="63" spans="2:67">
      <c r="B63" s="765" t="s">
        <v>2023</v>
      </c>
      <c r="C63" s="764">
        <f>INDEX(G63:G69,MATCH(F70,F63:F69,0))</f>
        <v>18</v>
      </c>
      <c r="D63" s="150" t="s">
        <v>15</v>
      </c>
      <c r="F63" s="152">
        <f>IF(G63/C$62&lt;=1,G63/C$62,0)</f>
        <v>0.3</v>
      </c>
      <c r="G63" s="152">
        <f>C61</f>
        <v>6</v>
      </c>
      <c r="H63" s="765" t="s">
        <v>2023</v>
      </c>
      <c r="I63" s="764">
        <f>INDEX(M63:M69,MATCH(L70,L63:L69,0))</f>
        <v>18</v>
      </c>
      <c r="J63" s="150" t="s">
        <v>15</v>
      </c>
      <c r="L63" s="152">
        <f>IF(M63/I$62&lt;=1,M63/I$62,0)</f>
        <v>0.3</v>
      </c>
      <c r="M63" s="152">
        <f>I61</f>
        <v>6</v>
      </c>
      <c r="N63" s="765" t="s">
        <v>2023</v>
      </c>
      <c r="O63" s="764">
        <f>INDEX(S63:S69,MATCH(R70,R63:R69,0))</f>
        <v>18</v>
      </c>
      <c r="P63" s="150" t="s">
        <v>15</v>
      </c>
      <c r="R63" s="152">
        <f>IF(S63/O$62&lt;=1,S63/O$62,0)</f>
        <v>0.3</v>
      </c>
      <c r="S63" s="152">
        <f>O61</f>
        <v>6</v>
      </c>
      <c r="T63" s="765" t="s">
        <v>2023</v>
      </c>
      <c r="U63" s="764">
        <f>INDEX(Y63:Y69,MATCH(X70,X63:X69,0))</f>
        <v>18</v>
      </c>
      <c r="V63" s="150" t="s">
        <v>15</v>
      </c>
      <c r="X63" s="152">
        <f>IF(Y63/U$62&lt;=1,Y63/U$62,0)</f>
        <v>0.3</v>
      </c>
      <c r="Y63" s="152">
        <f>U61</f>
        <v>6</v>
      </c>
      <c r="Z63" s="765" t="s">
        <v>2023</v>
      </c>
      <c r="AA63" s="764">
        <f>INDEX(AE63:AE69,MATCH(AD70,AD63:AD69,0))</f>
        <v>18</v>
      </c>
      <c r="AB63" s="150" t="s">
        <v>15</v>
      </c>
      <c r="AD63" s="152">
        <f>IF(AE63/AA$62&lt;=1,AE63/AA$62,0)</f>
        <v>0.3</v>
      </c>
      <c r="AE63" s="152">
        <f>AA61</f>
        <v>6</v>
      </c>
      <c r="AF63" s="765" t="s">
        <v>2023</v>
      </c>
      <c r="AG63" s="764">
        <f>INDEX(AK63:AK69,MATCH(AJ70,AJ63:AJ69,0))</f>
        <v>18</v>
      </c>
      <c r="AH63" s="150" t="s">
        <v>15</v>
      </c>
      <c r="AJ63" s="152">
        <f>IF(AK63/AG$62&lt;=1,AK63/AG$62,0)</f>
        <v>0.3</v>
      </c>
      <c r="AK63" s="152">
        <f>AG61</f>
        <v>6</v>
      </c>
      <c r="AL63" s="765" t="s">
        <v>2023</v>
      </c>
      <c r="AM63" s="764">
        <f>INDEX(AQ63:AQ69,MATCH(AP70,AP63:AP69,0))</f>
        <v>18</v>
      </c>
      <c r="AN63" s="150" t="s">
        <v>15</v>
      </c>
      <c r="AP63" s="152">
        <f>IF(AQ63/AM$62&lt;=1,AQ63/AM$62,0)</f>
        <v>0.3</v>
      </c>
      <c r="AQ63" s="152">
        <f>AM61</f>
        <v>6</v>
      </c>
      <c r="AR63" s="765" t="s">
        <v>2023</v>
      </c>
      <c r="AS63" s="764">
        <f>INDEX(AW63:AW69,MATCH(AV70,AV63:AV69,0))</f>
        <v>18</v>
      </c>
      <c r="AT63" s="150" t="s">
        <v>15</v>
      </c>
      <c r="AV63" s="152">
        <f>IF(AW63/AS$62&lt;=1,AW63/AS$62,0)</f>
        <v>0.3</v>
      </c>
      <c r="AW63" s="152">
        <f>AS61</f>
        <v>6</v>
      </c>
      <c r="AX63" s="765" t="s">
        <v>2023</v>
      </c>
      <c r="AY63" s="764">
        <f>INDEX(BC63:BC69,MATCH(BB70,BB63:BB69,0))</f>
        <v>18</v>
      </c>
      <c r="AZ63" s="150" t="s">
        <v>15</v>
      </c>
      <c r="BB63" s="152">
        <f>IF(BC63/AY$62&lt;=1,BC63/AY$62,0)</f>
        <v>0.3</v>
      </c>
      <c r="BC63" s="152">
        <f>AY61</f>
        <v>6</v>
      </c>
      <c r="BD63" s="765" t="s">
        <v>2023</v>
      </c>
      <c r="BE63" s="764">
        <f>INDEX(BI63:BI69,MATCH(BH70,BH63:BH69,0))</f>
        <v>18</v>
      </c>
      <c r="BF63" s="150" t="s">
        <v>15</v>
      </c>
      <c r="BH63" s="152">
        <f>IF(BI63/BE$62&lt;=1,BI63/BE$62,0)</f>
        <v>0.3</v>
      </c>
      <c r="BI63" s="152">
        <f>BE61</f>
        <v>6</v>
      </c>
      <c r="BJ63" s="765" t="s">
        <v>2023</v>
      </c>
      <c r="BK63" s="764">
        <f>INDEX(BO63:BO69,MATCH(BN70,BN63:BN69,0))</f>
        <v>18</v>
      </c>
      <c r="BL63" s="150" t="s">
        <v>15</v>
      </c>
      <c r="BN63" s="152">
        <f>IF(BO63/BK$62&lt;=1,BO63/BK$62,0)</f>
        <v>0.3</v>
      </c>
      <c r="BO63" s="152">
        <f>BK61</f>
        <v>6</v>
      </c>
    </row>
    <row r="64" spans="2:67">
      <c r="B64" s="765" t="s">
        <v>2024</v>
      </c>
      <c r="C64" s="764">
        <f>MAX(2,ROUNDUP(C22/C63,0))</f>
        <v>4</v>
      </c>
      <c r="F64" s="152">
        <f t="shared" ref="F64:F69" si="0">IF(G64/C$62&lt;=1,G64/C$62,0)</f>
        <v>0.6</v>
      </c>
      <c r="G64" s="152">
        <f>2*C61</f>
        <v>12</v>
      </c>
      <c r="H64" s="765" t="s">
        <v>2024</v>
      </c>
      <c r="I64" s="764">
        <f>MAX(2,ROUNDUP(I22/I63,0))</f>
        <v>4</v>
      </c>
      <c r="L64" s="152">
        <f t="shared" ref="L64" si="1">IF(M64/I$62&lt;=1,M64/I$62,0)</f>
        <v>0.6</v>
      </c>
      <c r="M64" s="152">
        <f>2*I61</f>
        <v>12</v>
      </c>
      <c r="N64" s="765" t="s">
        <v>2024</v>
      </c>
      <c r="O64" s="764">
        <f>MAX(2,ROUNDUP(O22/O63,0))</f>
        <v>4</v>
      </c>
      <c r="R64" s="152">
        <f t="shared" ref="R64" si="2">IF(S64/O$62&lt;=1,S64/O$62,0)</f>
        <v>0.6</v>
      </c>
      <c r="S64" s="152">
        <f>2*O61</f>
        <v>12</v>
      </c>
      <c r="T64" s="765" t="s">
        <v>2024</v>
      </c>
      <c r="U64" s="764">
        <f>MAX(2,ROUNDUP(U22/U63,0))</f>
        <v>4</v>
      </c>
      <c r="X64" s="152">
        <f t="shared" ref="X64" si="3">IF(Y64/U$62&lt;=1,Y64/U$62,0)</f>
        <v>0.6</v>
      </c>
      <c r="Y64" s="152">
        <f>2*U61</f>
        <v>12</v>
      </c>
      <c r="Z64" s="765" t="s">
        <v>2024</v>
      </c>
      <c r="AA64" s="764">
        <f>MAX(2,ROUNDUP(AA22/AA63,0))</f>
        <v>4</v>
      </c>
      <c r="AD64" s="152">
        <f t="shared" ref="AD64" si="4">IF(AE64/AA$62&lt;=1,AE64/AA$62,0)</f>
        <v>0.6</v>
      </c>
      <c r="AE64" s="152">
        <f>2*AA61</f>
        <v>12</v>
      </c>
      <c r="AF64" s="765" t="s">
        <v>2024</v>
      </c>
      <c r="AG64" s="764">
        <f>MAX(2,ROUNDUP(AG22/AG63,0))</f>
        <v>4</v>
      </c>
      <c r="AJ64" s="152">
        <f t="shared" ref="AJ64" si="5">IF(AK64/AG$62&lt;=1,AK64/AG$62,0)</f>
        <v>0.6</v>
      </c>
      <c r="AK64" s="152">
        <f>2*AG61</f>
        <v>12</v>
      </c>
      <c r="AL64" s="765" t="s">
        <v>2024</v>
      </c>
      <c r="AM64" s="764">
        <f>MAX(2,ROUNDUP(AM22/AM63,0))</f>
        <v>4</v>
      </c>
      <c r="AP64" s="152">
        <f t="shared" ref="AP64" si="6">IF(AQ64/AM$62&lt;=1,AQ64/AM$62,0)</f>
        <v>0.6</v>
      </c>
      <c r="AQ64" s="152">
        <f>2*AM61</f>
        <v>12</v>
      </c>
      <c r="AR64" s="765" t="s">
        <v>2024</v>
      </c>
      <c r="AS64" s="764">
        <f>MAX(2,ROUNDUP(AS22/AS63,0))</f>
        <v>4</v>
      </c>
      <c r="AV64" s="152">
        <f t="shared" ref="AV64" si="7">IF(AW64/AS$62&lt;=1,AW64/AS$62,0)</f>
        <v>0.6</v>
      </c>
      <c r="AW64" s="152">
        <f>2*AS61</f>
        <v>12</v>
      </c>
      <c r="AX64" s="765" t="s">
        <v>2024</v>
      </c>
      <c r="AY64" s="764">
        <f>MAX(2,ROUNDUP(AY22/AY63,0))</f>
        <v>4</v>
      </c>
      <c r="BB64" s="152">
        <f t="shared" ref="BB64" si="8">IF(BC64/AY$62&lt;=1,BC64/AY$62,0)</f>
        <v>0.6</v>
      </c>
      <c r="BC64" s="152">
        <f>2*AY61</f>
        <v>12</v>
      </c>
      <c r="BD64" s="765" t="s">
        <v>2024</v>
      </c>
      <c r="BE64" s="764">
        <f>MAX(2,ROUNDUP(BE22/BE63,0))</f>
        <v>4</v>
      </c>
      <c r="BH64" s="152">
        <f t="shared" ref="BH64" si="9">IF(BI64/BE$62&lt;=1,BI64/BE$62,0)</f>
        <v>0.6</v>
      </c>
      <c r="BI64" s="152">
        <f>2*BE61</f>
        <v>12</v>
      </c>
      <c r="BJ64" s="765" t="s">
        <v>2024</v>
      </c>
      <c r="BK64" s="764">
        <f>MAX(2,ROUNDUP(BK22/BK63,0))</f>
        <v>4</v>
      </c>
      <c r="BN64" s="152">
        <f t="shared" ref="BN64" si="10">IF(BO64/BK$62&lt;=1,BO64/BK$62,0)</f>
        <v>0.6</v>
      </c>
      <c r="BO64" s="152">
        <f>2*BK61</f>
        <v>12</v>
      </c>
    </row>
    <row r="65" spans="2:67">
      <c r="F65" s="152"/>
      <c r="G65" s="152"/>
      <c r="H65" s="765"/>
      <c r="I65" s="764"/>
      <c r="L65" s="152"/>
      <c r="M65" s="152"/>
      <c r="N65" s="765"/>
      <c r="O65" s="764"/>
      <c r="R65" s="152"/>
      <c r="S65" s="152"/>
      <c r="T65" s="765"/>
      <c r="U65" s="764"/>
      <c r="X65" s="152"/>
      <c r="Y65" s="152"/>
      <c r="Z65" s="765"/>
      <c r="AA65" s="764"/>
      <c r="AD65" s="152"/>
      <c r="AE65" s="152"/>
      <c r="AF65" s="765"/>
      <c r="AG65" s="764"/>
      <c r="AJ65" s="152"/>
      <c r="AK65" s="152"/>
      <c r="AL65" s="765"/>
      <c r="AM65" s="764"/>
      <c r="AP65" s="152"/>
      <c r="AQ65" s="152"/>
      <c r="AR65" s="765"/>
      <c r="AS65" s="764"/>
      <c r="AV65" s="152"/>
      <c r="AW65" s="152"/>
      <c r="AX65" s="765"/>
      <c r="AY65" s="764"/>
      <c r="BB65" s="152"/>
      <c r="BC65" s="152"/>
      <c r="BD65" s="765"/>
      <c r="BE65" s="764"/>
      <c r="BH65" s="152"/>
      <c r="BI65" s="152"/>
      <c r="BJ65" s="765"/>
      <c r="BK65" s="764"/>
      <c r="BN65" s="152"/>
      <c r="BO65" s="152"/>
    </row>
    <row r="66" spans="2:67">
      <c r="B66" s="765" t="s">
        <v>2025</v>
      </c>
      <c r="C66" s="764">
        <f>1000*C21/5</f>
        <v>1414</v>
      </c>
      <c r="D66" s="150" t="s">
        <v>58</v>
      </c>
      <c r="E66" s="150">
        <f>C66/1000</f>
        <v>1.4139999999999999</v>
      </c>
      <c r="F66" s="152">
        <f t="shared" si="0"/>
        <v>0.9</v>
      </c>
      <c r="G66" s="152">
        <f>3*C61</f>
        <v>18</v>
      </c>
      <c r="H66" s="765" t="s">
        <v>2025</v>
      </c>
      <c r="I66" s="764">
        <f>1000*I21/5</f>
        <v>1410.0000000000002</v>
      </c>
      <c r="J66" s="150" t="s">
        <v>58</v>
      </c>
      <c r="K66" s="150">
        <f>I66/1000</f>
        <v>1.4100000000000001</v>
      </c>
      <c r="L66" s="152">
        <f t="shared" ref="L66:L69" si="11">IF(M66/I$62&lt;=1,M66/I$62,0)</f>
        <v>0.9</v>
      </c>
      <c r="M66" s="152">
        <f>3*I61</f>
        <v>18</v>
      </c>
      <c r="N66" s="765" t="s">
        <v>2025</v>
      </c>
      <c r="O66" s="764">
        <f>1000*O21/5</f>
        <v>1450</v>
      </c>
      <c r="P66" s="150" t="s">
        <v>58</v>
      </c>
      <c r="Q66" s="150">
        <f>O66/1000</f>
        <v>1.45</v>
      </c>
      <c r="R66" s="152">
        <f t="shared" ref="R66:R69" si="12">IF(S66/O$62&lt;=1,S66/O$62,0)</f>
        <v>0.9</v>
      </c>
      <c r="S66" s="152">
        <f>3*O61</f>
        <v>18</v>
      </c>
      <c r="T66" s="765" t="s">
        <v>2025</v>
      </c>
      <c r="U66" s="764">
        <f>1000*U21/5</f>
        <v>1440</v>
      </c>
      <c r="V66" s="150" t="s">
        <v>58</v>
      </c>
      <c r="W66" s="150">
        <f>U66/1000</f>
        <v>1.44</v>
      </c>
      <c r="X66" s="152">
        <f t="shared" ref="X66:X69" si="13">IF(Y66/U$62&lt;=1,Y66/U$62,0)</f>
        <v>0.9</v>
      </c>
      <c r="Y66" s="152">
        <f>3*U61</f>
        <v>18</v>
      </c>
      <c r="Z66" s="765" t="s">
        <v>2025</v>
      </c>
      <c r="AA66" s="764">
        <f>1000*AA21/5</f>
        <v>1470.0000000000002</v>
      </c>
      <c r="AB66" s="150" t="s">
        <v>58</v>
      </c>
      <c r="AC66" s="150">
        <f>AA66/1000</f>
        <v>1.4700000000000002</v>
      </c>
      <c r="AD66" s="152">
        <f t="shared" ref="AD66:AD69" si="14">IF(AE66/AA$62&lt;=1,AE66/AA$62,0)</f>
        <v>0.9</v>
      </c>
      <c r="AE66" s="152">
        <f>3*AA61</f>
        <v>18</v>
      </c>
      <c r="AF66" s="765" t="s">
        <v>2025</v>
      </c>
      <c r="AG66" s="764">
        <f>1000*AG21/5</f>
        <v>1470.0000000000002</v>
      </c>
      <c r="AH66" s="150" t="s">
        <v>58</v>
      </c>
      <c r="AI66" s="150">
        <f>AG66/1000</f>
        <v>1.4700000000000002</v>
      </c>
      <c r="AJ66" s="152">
        <f t="shared" ref="AJ66:AJ69" si="15">IF(AK66/AG$62&lt;=1,AK66/AG$62,0)</f>
        <v>0.9</v>
      </c>
      <c r="AK66" s="152">
        <f>3*AG61</f>
        <v>18</v>
      </c>
      <c r="AL66" s="765" t="s">
        <v>2025</v>
      </c>
      <c r="AM66" s="764">
        <f>1000*AM21/5</f>
        <v>1553.2</v>
      </c>
      <c r="AN66" s="150" t="s">
        <v>58</v>
      </c>
      <c r="AO66" s="150">
        <f>AM66/1000</f>
        <v>1.5532000000000001</v>
      </c>
      <c r="AP66" s="152">
        <f t="shared" ref="AP66:AP69" si="16">IF(AQ66/AM$62&lt;=1,AQ66/AM$62,0)</f>
        <v>0.9</v>
      </c>
      <c r="AQ66" s="152">
        <f>3*AM61</f>
        <v>18</v>
      </c>
      <c r="AR66" s="765" t="s">
        <v>2025</v>
      </c>
      <c r="AS66" s="764">
        <f>1000*AS21/5</f>
        <v>1532</v>
      </c>
      <c r="AT66" s="150" t="s">
        <v>58</v>
      </c>
      <c r="AU66" s="150">
        <f>AS66/1000</f>
        <v>1.532</v>
      </c>
      <c r="AV66" s="152">
        <f t="shared" ref="AV66:AV69" si="17">IF(AW66/AS$62&lt;=1,AW66/AS$62,0)</f>
        <v>0.9</v>
      </c>
      <c r="AW66" s="152">
        <f>3*AS61</f>
        <v>18</v>
      </c>
      <c r="AX66" s="765" t="s">
        <v>2025</v>
      </c>
      <c r="AY66" s="764">
        <f>1000*AY21/5</f>
        <v>1469.904</v>
      </c>
      <c r="AZ66" s="150" t="s">
        <v>58</v>
      </c>
      <c r="BA66" s="150">
        <f>AY66/1000</f>
        <v>1.4699040000000001</v>
      </c>
      <c r="BB66" s="152">
        <f t="shared" ref="BB66:BB69" si="18">IF(BC66/AY$62&lt;=1,BC66/AY$62,0)</f>
        <v>0.9</v>
      </c>
      <c r="BC66" s="152">
        <f>3*AY61</f>
        <v>18</v>
      </c>
      <c r="BD66" s="765" t="s">
        <v>2025</v>
      </c>
      <c r="BE66" s="764">
        <f>1000*BE21/5</f>
        <v>1513.6000000000001</v>
      </c>
      <c r="BF66" s="150" t="s">
        <v>58</v>
      </c>
      <c r="BG66" s="150">
        <f>BE66/1000</f>
        <v>1.5136000000000001</v>
      </c>
      <c r="BH66" s="152">
        <f t="shared" ref="BH66:BH69" si="19">IF(BI66/BE$62&lt;=1,BI66/BE$62,0)</f>
        <v>0.9</v>
      </c>
      <c r="BI66" s="152">
        <f>3*BE61</f>
        <v>18</v>
      </c>
      <c r="BJ66" s="765" t="s">
        <v>2025</v>
      </c>
      <c r="BK66" s="764">
        <f>1000*BK21/5</f>
        <v>1550</v>
      </c>
      <c r="BL66" s="150" t="s">
        <v>58</v>
      </c>
      <c r="BM66" s="150">
        <f>BK66/1000</f>
        <v>1.55</v>
      </c>
      <c r="BN66" s="152">
        <f t="shared" ref="BN66:BN69" si="20">IF(BO66/BK$62&lt;=1,BO66/BK$62,0)</f>
        <v>0.9</v>
      </c>
      <c r="BO66" s="152">
        <f>3*BK61</f>
        <v>18</v>
      </c>
    </row>
    <row r="67" spans="2:67">
      <c r="C67" s="764" cm="1">
        <f t="array" ref="C67">INDEX($M$5:$M$14,(MATCH(C21,$L$5:$L$14,1))+1)</f>
        <v>200</v>
      </c>
      <c r="F67" s="152">
        <f t="shared" si="0"/>
        <v>0</v>
      </c>
      <c r="G67" s="152">
        <f>4*C61</f>
        <v>24</v>
      </c>
      <c r="H67" s="765"/>
      <c r="I67" s="764" cm="1">
        <f t="array" ref="I67">INDEX($M$5:$M$14,(MATCH(I21,$L$5:$L$14,1))+1)</f>
        <v>200</v>
      </c>
      <c r="L67" s="152">
        <f t="shared" si="11"/>
        <v>0</v>
      </c>
      <c r="M67" s="152">
        <f>4*I61</f>
        <v>24</v>
      </c>
      <c r="N67" s="765"/>
      <c r="O67" s="764" cm="1">
        <f t="array" ref="O67">INDEX($M$5:$M$14,(MATCH(O21,$L$5:$L$14,1))+1)</f>
        <v>200</v>
      </c>
      <c r="R67" s="152">
        <f t="shared" si="12"/>
        <v>0</v>
      </c>
      <c r="S67" s="152">
        <f>4*O61</f>
        <v>24</v>
      </c>
      <c r="T67" s="765"/>
      <c r="U67" s="764" cm="1">
        <f t="array" ref="U67">INDEX($M$5:$M$14,(MATCH(U21,$L$5:$L$14,1))+1)</f>
        <v>200</v>
      </c>
      <c r="X67" s="152">
        <f t="shared" si="13"/>
        <v>0</v>
      </c>
      <c r="Y67" s="152">
        <f>4*U61</f>
        <v>24</v>
      </c>
      <c r="Z67" s="765"/>
      <c r="AA67" s="764" cm="1">
        <f t="array" ref="AA67">INDEX($M$5:$M$14,(MATCH(AA21,$L$5:$L$14,1))+1)</f>
        <v>200</v>
      </c>
      <c r="AD67" s="152">
        <f t="shared" si="14"/>
        <v>0</v>
      </c>
      <c r="AE67" s="152">
        <f>4*AA61</f>
        <v>24</v>
      </c>
      <c r="AF67" s="765"/>
      <c r="AG67" s="764" cm="1">
        <f t="array" ref="AG67">INDEX($M$5:$M$14,(MATCH(AG21,$L$5:$L$14,1))+1)</f>
        <v>200</v>
      </c>
      <c r="AJ67" s="152">
        <f t="shared" si="15"/>
        <v>0</v>
      </c>
      <c r="AK67" s="152">
        <f>4*AG61</f>
        <v>24</v>
      </c>
      <c r="AL67" s="765"/>
      <c r="AM67" s="764" cm="1">
        <f t="array" ref="AM67">INDEX($M$5:$M$14,(MATCH(AM21,$L$5:$L$14,1))+1)</f>
        <v>200</v>
      </c>
      <c r="AP67" s="152">
        <f t="shared" si="16"/>
        <v>0</v>
      </c>
      <c r="AQ67" s="152">
        <f>4*AM61</f>
        <v>24</v>
      </c>
      <c r="AR67" s="765"/>
      <c r="AS67" s="764" cm="1">
        <f t="array" ref="AS67">INDEX($M$5:$M$14,(MATCH(AS21,$L$5:$L$14,1))+1)</f>
        <v>200</v>
      </c>
      <c r="AV67" s="152">
        <f t="shared" si="17"/>
        <v>0</v>
      </c>
      <c r="AW67" s="152">
        <f>4*AS61</f>
        <v>24</v>
      </c>
      <c r="AX67" s="765"/>
      <c r="AY67" s="764" cm="1">
        <f t="array" ref="AY67">INDEX($M$5:$M$14,(MATCH(AY21,$L$5:$L$14,1))+1)</f>
        <v>200</v>
      </c>
      <c r="BB67" s="152">
        <f t="shared" si="18"/>
        <v>0</v>
      </c>
      <c r="BC67" s="152">
        <f>4*AY61</f>
        <v>24</v>
      </c>
      <c r="BD67" s="765"/>
      <c r="BE67" s="764" cm="1">
        <f t="array" ref="BE67">INDEX($M$5:$M$14,(MATCH(BE21,$L$5:$L$14,1))+1)</f>
        <v>200</v>
      </c>
      <c r="BH67" s="152">
        <f t="shared" si="19"/>
        <v>0</v>
      </c>
      <c r="BI67" s="152">
        <f>4*BE61</f>
        <v>24</v>
      </c>
      <c r="BJ67" s="765"/>
      <c r="BK67" s="764" cm="1">
        <f t="array" ref="BK67">INDEX($M$5:$M$14,(MATCH(BK21,$L$5:$L$14,1))+1)</f>
        <v>200</v>
      </c>
      <c r="BN67" s="152">
        <f t="shared" si="20"/>
        <v>0</v>
      </c>
      <c r="BO67" s="152">
        <f>4*BK61</f>
        <v>24</v>
      </c>
    </row>
    <row r="68" spans="2:67">
      <c r="C68" s="764">
        <f>CEILING(C20*1000/18.7,25)</f>
        <v>200</v>
      </c>
      <c r="F68" s="152">
        <f t="shared" si="0"/>
        <v>0</v>
      </c>
      <c r="G68" s="152">
        <f>5*C61</f>
        <v>30</v>
      </c>
      <c r="H68" s="765"/>
      <c r="I68" s="764">
        <f>CEILING(I20*1000/18.7,25)</f>
        <v>200</v>
      </c>
      <c r="L68" s="152">
        <f t="shared" si="11"/>
        <v>0</v>
      </c>
      <c r="M68" s="152">
        <f>5*I61</f>
        <v>30</v>
      </c>
      <c r="N68" s="765"/>
      <c r="O68" s="764">
        <f>CEILING(O20*1000/18.7,25)</f>
        <v>200</v>
      </c>
      <c r="R68" s="152">
        <f t="shared" si="12"/>
        <v>0</v>
      </c>
      <c r="S68" s="152">
        <f>5*O61</f>
        <v>30</v>
      </c>
      <c r="T68" s="765"/>
      <c r="U68" s="764">
        <f>CEILING(U20*1000/18.7,25)</f>
        <v>200</v>
      </c>
      <c r="X68" s="152">
        <f t="shared" si="13"/>
        <v>0</v>
      </c>
      <c r="Y68" s="152">
        <f>5*U61</f>
        <v>30</v>
      </c>
      <c r="Z68" s="765"/>
      <c r="AA68" s="764">
        <f>CEILING(AA20*1000/18.7,25)</f>
        <v>200</v>
      </c>
      <c r="AD68" s="152">
        <f t="shared" si="14"/>
        <v>0</v>
      </c>
      <c r="AE68" s="152">
        <f>5*AA61</f>
        <v>30</v>
      </c>
      <c r="AF68" s="765"/>
      <c r="AG68" s="764">
        <f>CEILING(AG20*1000/18.7,25)</f>
        <v>200</v>
      </c>
      <c r="AJ68" s="152">
        <f t="shared" si="15"/>
        <v>0</v>
      </c>
      <c r="AK68" s="152">
        <f>5*AG61</f>
        <v>30</v>
      </c>
      <c r="AL68" s="765"/>
      <c r="AM68" s="764">
        <f>CEILING(AM20*1000/18.7,25)</f>
        <v>225</v>
      </c>
      <c r="AP68" s="152">
        <f t="shared" si="16"/>
        <v>0</v>
      </c>
      <c r="AQ68" s="152">
        <f>5*AM61</f>
        <v>30</v>
      </c>
      <c r="AR68" s="765"/>
      <c r="AS68" s="764">
        <f>CEILING(AS20*1000/18.7,25)</f>
        <v>225</v>
      </c>
      <c r="AV68" s="152">
        <f t="shared" si="17"/>
        <v>0</v>
      </c>
      <c r="AW68" s="152">
        <f>5*AS61</f>
        <v>30</v>
      </c>
      <c r="AX68" s="765"/>
      <c r="AY68" s="764">
        <f>CEILING(AY20*1000/18.7,25)</f>
        <v>200</v>
      </c>
      <c r="BB68" s="152">
        <f t="shared" si="18"/>
        <v>0</v>
      </c>
      <c r="BC68" s="152">
        <f>5*AY61</f>
        <v>30</v>
      </c>
      <c r="BD68" s="765"/>
      <c r="BE68" s="764">
        <f>CEILING(BE20*1000/18.7,25)</f>
        <v>225</v>
      </c>
      <c r="BH68" s="152">
        <f t="shared" si="19"/>
        <v>0</v>
      </c>
      <c r="BI68" s="152">
        <f>5*BE61</f>
        <v>30</v>
      </c>
      <c r="BJ68" s="765"/>
      <c r="BK68" s="764">
        <f>CEILING(BK20*1000/18.7,25)</f>
        <v>225</v>
      </c>
      <c r="BN68" s="152">
        <f t="shared" si="20"/>
        <v>0</v>
      </c>
      <c r="BO68" s="152">
        <f>5*BK61</f>
        <v>30</v>
      </c>
    </row>
    <row r="69" spans="2:67">
      <c r="B69" s="765" t="s">
        <v>2026</v>
      </c>
      <c r="C69" s="764">
        <f>MAX(C67:C68)</f>
        <v>200</v>
      </c>
      <c r="D69" s="150" t="s">
        <v>58</v>
      </c>
      <c r="E69" s="751"/>
      <c r="F69" s="152">
        <f t="shared" si="0"/>
        <v>0</v>
      </c>
      <c r="G69" s="152">
        <f>6*C61</f>
        <v>36</v>
      </c>
      <c r="H69" s="765" t="s">
        <v>2026</v>
      </c>
      <c r="I69" s="764">
        <f>MAX(I67:I68)</f>
        <v>200</v>
      </c>
      <c r="J69" s="150" t="s">
        <v>58</v>
      </c>
      <c r="K69" s="751"/>
      <c r="L69" s="152">
        <f t="shared" si="11"/>
        <v>0</v>
      </c>
      <c r="M69" s="152">
        <f>6*I61</f>
        <v>36</v>
      </c>
      <c r="N69" s="765" t="s">
        <v>2026</v>
      </c>
      <c r="O69" s="764">
        <f>MAX(O67:O68)</f>
        <v>200</v>
      </c>
      <c r="P69" s="150" t="s">
        <v>58</v>
      </c>
      <c r="Q69" s="751"/>
      <c r="R69" s="152">
        <f t="shared" si="12"/>
        <v>0</v>
      </c>
      <c r="S69" s="152">
        <f>6*O61</f>
        <v>36</v>
      </c>
      <c r="T69" s="765" t="s">
        <v>2026</v>
      </c>
      <c r="U69" s="764">
        <f>MAX(U67:U68)</f>
        <v>200</v>
      </c>
      <c r="V69" s="150" t="s">
        <v>58</v>
      </c>
      <c r="W69" s="751"/>
      <c r="X69" s="152">
        <f t="shared" si="13"/>
        <v>0</v>
      </c>
      <c r="Y69" s="152">
        <f>6*U61</f>
        <v>36</v>
      </c>
      <c r="Z69" s="765" t="s">
        <v>2026</v>
      </c>
      <c r="AA69" s="764">
        <f>MAX(AA67:AA68)</f>
        <v>200</v>
      </c>
      <c r="AB69" s="150" t="s">
        <v>58</v>
      </c>
      <c r="AC69" s="751"/>
      <c r="AD69" s="152">
        <f t="shared" si="14"/>
        <v>0</v>
      </c>
      <c r="AE69" s="152">
        <f>6*AA61</f>
        <v>36</v>
      </c>
      <c r="AF69" s="765" t="s">
        <v>2026</v>
      </c>
      <c r="AG69" s="764">
        <f>MAX(AG67:AG68)</f>
        <v>200</v>
      </c>
      <c r="AH69" s="150" t="s">
        <v>58</v>
      </c>
      <c r="AI69" s="751"/>
      <c r="AJ69" s="152">
        <f t="shared" si="15"/>
        <v>0</v>
      </c>
      <c r="AK69" s="152">
        <f>6*AG61</f>
        <v>36</v>
      </c>
      <c r="AL69" s="765" t="s">
        <v>2026</v>
      </c>
      <c r="AM69" s="764">
        <f>MAX(AM67:AM68)</f>
        <v>225</v>
      </c>
      <c r="AN69" s="150" t="s">
        <v>58</v>
      </c>
      <c r="AO69" s="751"/>
      <c r="AP69" s="152">
        <f t="shared" si="16"/>
        <v>0</v>
      </c>
      <c r="AQ69" s="152">
        <f>6*AM61</f>
        <v>36</v>
      </c>
      <c r="AR69" s="765" t="s">
        <v>2026</v>
      </c>
      <c r="AS69" s="764">
        <f>MAX(AS67:AS68)</f>
        <v>225</v>
      </c>
      <c r="AT69" s="150" t="s">
        <v>58</v>
      </c>
      <c r="AU69" s="751"/>
      <c r="AV69" s="152">
        <f t="shared" si="17"/>
        <v>0</v>
      </c>
      <c r="AW69" s="152">
        <f>6*AS61</f>
        <v>36</v>
      </c>
      <c r="AX69" s="765" t="s">
        <v>2026</v>
      </c>
      <c r="AY69" s="764">
        <f>MAX(AY67:AY68)</f>
        <v>200</v>
      </c>
      <c r="AZ69" s="150" t="s">
        <v>58</v>
      </c>
      <c r="BA69" s="751"/>
      <c r="BB69" s="152">
        <f t="shared" si="18"/>
        <v>0</v>
      </c>
      <c r="BC69" s="152">
        <f>6*AY61</f>
        <v>36</v>
      </c>
      <c r="BD69" s="765" t="s">
        <v>2026</v>
      </c>
      <c r="BE69" s="764">
        <f>MAX(BE67:BE68)</f>
        <v>225</v>
      </c>
      <c r="BF69" s="150" t="s">
        <v>58</v>
      </c>
      <c r="BG69" s="751"/>
      <c r="BH69" s="152">
        <f t="shared" si="19"/>
        <v>0</v>
      </c>
      <c r="BI69" s="152">
        <f>6*BE61</f>
        <v>36</v>
      </c>
      <c r="BJ69" s="765" t="s">
        <v>2026</v>
      </c>
      <c r="BK69" s="764">
        <f>MAX(BK67:BK68)</f>
        <v>225</v>
      </c>
      <c r="BL69" s="150" t="s">
        <v>58</v>
      </c>
      <c r="BM69" s="751"/>
      <c r="BN69" s="152">
        <f t="shared" si="20"/>
        <v>0</v>
      </c>
      <c r="BO69" s="152">
        <f>6*BK61</f>
        <v>36</v>
      </c>
    </row>
    <row r="70" spans="2:67">
      <c r="C70" s="764">
        <f>0.001*C66/C98</f>
        <v>0.23566666666666666</v>
      </c>
      <c r="F70" s="152">
        <f>MAX(F63:F69)</f>
        <v>0.9</v>
      </c>
      <c r="H70" s="765"/>
      <c r="I70" s="764">
        <f>0.001*I66/I98</f>
        <v>0.23500000000000007</v>
      </c>
      <c r="L70" s="152">
        <f>MAX(L63:L69)</f>
        <v>0.9</v>
      </c>
      <c r="N70" s="765"/>
      <c r="O70" s="764">
        <f>0.001*O66/O98</f>
        <v>0.24166666666666667</v>
      </c>
      <c r="R70" s="152">
        <f>MAX(R63:R69)</f>
        <v>0.9</v>
      </c>
      <c r="T70" s="765"/>
      <c r="U70" s="764">
        <f>0.001*U66/U98</f>
        <v>0.24</v>
      </c>
      <c r="X70" s="152">
        <f>MAX(X63:X69)</f>
        <v>0.9</v>
      </c>
      <c r="Z70" s="765"/>
      <c r="AA70" s="764">
        <f>0.001*AA66/AA98</f>
        <v>0.24500000000000002</v>
      </c>
      <c r="AD70" s="152">
        <f>MAX(AD63:AD69)</f>
        <v>0.9</v>
      </c>
      <c r="AF70" s="765"/>
      <c r="AG70" s="764">
        <f>0.001*AG66/AG98</f>
        <v>0.24500000000000002</v>
      </c>
      <c r="AJ70" s="152">
        <f>MAX(AJ63:AJ69)</f>
        <v>0.9</v>
      </c>
      <c r="AL70" s="765"/>
      <c r="AM70" s="764">
        <f>0.001*AM66/AM98</f>
        <v>0.25886666666666669</v>
      </c>
      <c r="AP70" s="152">
        <f>MAX(AP63:AP69)</f>
        <v>0.9</v>
      </c>
      <c r="AR70" s="765"/>
      <c r="AS70" s="764">
        <f>0.001*AS66/AS98</f>
        <v>0.25533333333333336</v>
      </c>
      <c r="AV70" s="152">
        <f>MAX(AV63:AV69)</f>
        <v>0.9</v>
      </c>
      <c r="AX70" s="765"/>
      <c r="AY70" s="764">
        <f>0.001*AY66/AY98</f>
        <v>0.24498400000000001</v>
      </c>
      <c r="BB70" s="152">
        <f>MAX(BB63:BB69)</f>
        <v>0.9</v>
      </c>
      <c r="BD70" s="765"/>
      <c r="BE70" s="764">
        <f>0.001*BE66/BE98</f>
        <v>0.25226666666666669</v>
      </c>
      <c r="BH70" s="152">
        <f>MAX(BH63:BH69)</f>
        <v>0.9</v>
      </c>
      <c r="BJ70" s="765"/>
      <c r="BK70" s="764">
        <f>0.001*BK66/BK98</f>
        <v>0.25833333333333336</v>
      </c>
      <c r="BN70" s="152">
        <f>MAX(BN63:BN69)</f>
        <v>0.9</v>
      </c>
    </row>
    <row r="71" spans="2:67">
      <c r="B71" s="765" t="s">
        <v>2027</v>
      </c>
      <c r="C71" s="256">
        <f>ROUNDUP(C70,0)</f>
        <v>1</v>
      </c>
      <c r="H71" s="765" t="s">
        <v>2027</v>
      </c>
      <c r="I71" s="256">
        <f>ROUNDUP(I70,0)</f>
        <v>1</v>
      </c>
      <c r="N71" s="765" t="s">
        <v>2027</v>
      </c>
      <c r="O71" s="256">
        <f>ROUNDUP(O70,0)</f>
        <v>1</v>
      </c>
      <c r="T71" s="765" t="s">
        <v>2027</v>
      </c>
      <c r="U71" s="256">
        <f>ROUNDUP(U70,0)</f>
        <v>1</v>
      </c>
      <c r="Z71" s="765" t="s">
        <v>2027</v>
      </c>
      <c r="AA71" s="256">
        <f>ROUNDUP(AA70,0)</f>
        <v>1</v>
      </c>
      <c r="AF71" s="765" t="s">
        <v>2027</v>
      </c>
      <c r="AG71" s="256">
        <f>ROUNDUP(AG70,0)</f>
        <v>1</v>
      </c>
      <c r="AL71" s="765" t="s">
        <v>2027</v>
      </c>
      <c r="AM71" s="256">
        <f>ROUNDUP(AM70,0)</f>
        <v>1</v>
      </c>
      <c r="AR71" s="765" t="s">
        <v>2027</v>
      </c>
      <c r="AS71" s="256">
        <f>ROUNDUP(AS70,0)</f>
        <v>1</v>
      </c>
      <c r="AX71" s="765" t="s">
        <v>2027</v>
      </c>
      <c r="AY71" s="256">
        <f>ROUNDUP(AY70,0)</f>
        <v>1</v>
      </c>
      <c r="BD71" s="765" t="s">
        <v>2027</v>
      </c>
      <c r="BE71" s="256">
        <f>ROUNDUP(BE70,0)</f>
        <v>1</v>
      </c>
      <c r="BJ71" s="765" t="s">
        <v>2027</v>
      </c>
      <c r="BK71" s="256">
        <f>ROUNDUP(BK70,0)</f>
        <v>1</v>
      </c>
    </row>
    <row r="72" spans="2:67">
      <c r="B72" s="765" t="s">
        <v>2028</v>
      </c>
      <c r="C72" s="764">
        <f>IF((C70+C71)/2&lt;1,1,(C70+C71)/2)</f>
        <v>1</v>
      </c>
      <c r="H72" s="765" t="s">
        <v>2028</v>
      </c>
      <c r="I72" s="764">
        <f>IF((I70+I71)/2&lt;1,1,(I70+I71)/2)</f>
        <v>1</v>
      </c>
      <c r="N72" s="765" t="s">
        <v>2028</v>
      </c>
      <c r="O72" s="764">
        <f>IF((O70+O71)/2&lt;1,1,(O70+O71)/2)</f>
        <v>1</v>
      </c>
      <c r="T72" s="765" t="s">
        <v>2028</v>
      </c>
      <c r="U72" s="764">
        <f>IF((U70+U71)/2&lt;1,1,(U70+U71)/2)</f>
        <v>1</v>
      </c>
      <c r="Z72" s="765" t="s">
        <v>2028</v>
      </c>
      <c r="AA72" s="764">
        <f>IF((AA70+AA71)/2&lt;1,1,(AA70+AA71)/2)</f>
        <v>1</v>
      </c>
      <c r="AF72" s="765" t="s">
        <v>2028</v>
      </c>
      <c r="AG72" s="764">
        <f>IF((AG70+AG71)/2&lt;1,1,(AG70+AG71)/2)</f>
        <v>1</v>
      </c>
      <c r="AL72" s="765" t="s">
        <v>2028</v>
      </c>
      <c r="AM72" s="764">
        <f>IF((AM70+AM71)/2&lt;1,1,(AM70+AM71)/2)</f>
        <v>1</v>
      </c>
      <c r="AR72" s="765" t="s">
        <v>2028</v>
      </c>
      <c r="AS72" s="764">
        <f>IF((AS70+AS71)/2&lt;1,1,(AS70+AS71)/2)</f>
        <v>1</v>
      </c>
      <c r="AX72" s="765" t="s">
        <v>2028</v>
      </c>
      <c r="AY72" s="764">
        <f>IF((AY70+AY71)/2&lt;1,1,(AY70+AY71)/2)</f>
        <v>1</v>
      </c>
      <c r="BD72" s="765" t="s">
        <v>2028</v>
      </c>
      <c r="BE72" s="764">
        <f>IF((BE70+BE71)/2&lt;1,1,(BE70+BE71)/2)</f>
        <v>1</v>
      </c>
      <c r="BJ72" s="765" t="s">
        <v>2028</v>
      </c>
      <c r="BK72" s="764">
        <f>IF((BK70+BK71)/2&lt;1,1,(BK70+BK71)/2)</f>
        <v>1</v>
      </c>
    </row>
    <row r="73" spans="2:67">
      <c r="B73" s="765" t="s">
        <v>2029</v>
      </c>
      <c r="C73" s="764" t="str">
        <f>IF(C64&gt;C9,"Yes","No")</f>
        <v>No</v>
      </c>
      <c r="H73" s="765" t="s">
        <v>2029</v>
      </c>
      <c r="I73" s="764" t="str">
        <f>IF(I64&gt;I9,"Yes","No")</f>
        <v>No</v>
      </c>
      <c r="N73" s="765" t="s">
        <v>2029</v>
      </c>
      <c r="O73" s="764" t="str">
        <f>IF(O64&gt;O9,"Yes","No")</f>
        <v>Yes</v>
      </c>
      <c r="T73" s="765" t="s">
        <v>2029</v>
      </c>
      <c r="U73" s="764" t="str">
        <f>IF(U64&gt;U9,"Yes","No")</f>
        <v>Yes</v>
      </c>
      <c r="Z73" s="765" t="s">
        <v>2029</v>
      </c>
      <c r="AA73" s="764" t="str">
        <f>IF(AA64&gt;AA9,"Yes","No")</f>
        <v>Yes</v>
      </c>
      <c r="AF73" s="765" t="s">
        <v>2029</v>
      </c>
      <c r="AG73" s="764" t="str">
        <f>IF(AG64&gt;AG9,"Yes","No")</f>
        <v>Yes</v>
      </c>
      <c r="AL73" s="765" t="s">
        <v>2029</v>
      </c>
      <c r="AM73" s="764" t="str">
        <f>IF(AM64&gt;AM9,"Yes","No")</f>
        <v>Yes</v>
      </c>
      <c r="AR73" s="765" t="s">
        <v>2029</v>
      </c>
      <c r="AS73" s="764" t="str">
        <f>IF(AS64&gt;AS9,"Yes","No")</f>
        <v>Yes</v>
      </c>
      <c r="AX73" s="765" t="s">
        <v>2029</v>
      </c>
      <c r="AY73" s="764" t="str">
        <f>IF(AY64&gt;AY9,"Yes","No")</f>
        <v>Yes</v>
      </c>
      <c r="BD73" s="765" t="s">
        <v>2029</v>
      </c>
      <c r="BE73" s="764" t="str">
        <f>IF(BE64&gt;BE9,"Yes","No")</f>
        <v>Yes</v>
      </c>
      <c r="BJ73" s="765" t="s">
        <v>2029</v>
      </c>
      <c r="BK73" s="764" t="str">
        <f>IF(BK64&gt;BK9,"Yes","No")</f>
        <v>Yes</v>
      </c>
    </row>
    <row r="74" spans="2:67">
      <c r="B74" s="765" t="s">
        <v>2030</v>
      </c>
      <c r="C74" s="764">
        <f>Basement!D169</f>
        <v>482.75700000000001</v>
      </c>
      <c r="D74" s="150" t="s">
        <v>1239</v>
      </c>
      <c r="H74" s="765" t="s">
        <v>2030</v>
      </c>
      <c r="I74" s="764">
        <f>Basement!D170</f>
        <v>462.95699999999999</v>
      </c>
      <c r="J74" s="150" t="s">
        <v>1239</v>
      </c>
      <c r="N74" s="765" t="s">
        <v>2030</v>
      </c>
      <c r="O74" s="764">
        <f>Basement!D171</f>
        <v>409.57952419354802</v>
      </c>
      <c r="P74" s="150" t="s">
        <v>1239</v>
      </c>
      <c r="T74" s="765" t="s">
        <v>2030</v>
      </c>
      <c r="U74" s="764">
        <f>Basement!D172</f>
        <v>340.053</v>
      </c>
      <c r="V74" s="150" t="s">
        <v>1239</v>
      </c>
      <c r="Z74" s="765" t="s">
        <v>2030</v>
      </c>
      <c r="AA74" s="764">
        <f>Basement!D173</f>
        <v>418.88220000000001</v>
      </c>
      <c r="AB74" s="150" t="s">
        <v>1239</v>
      </c>
      <c r="AF74" s="765" t="s">
        <v>2030</v>
      </c>
      <c r="AG74" s="764">
        <f>Basement!D174</f>
        <v>555.82799999999997</v>
      </c>
      <c r="AH74" s="150" t="s">
        <v>1239</v>
      </c>
      <c r="AL74" s="765" t="s">
        <v>2030</v>
      </c>
      <c r="AM74" s="764">
        <f>Basement!D175</f>
        <v>344.97324000000003</v>
      </c>
      <c r="AN74" s="150" t="s">
        <v>1239</v>
      </c>
      <c r="AR74" s="765" t="s">
        <v>2030</v>
      </c>
      <c r="AS74" s="764">
        <f>Basement!D176</f>
        <v>262.94623200000001</v>
      </c>
      <c r="AT74" s="150" t="s">
        <v>1239</v>
      </c>
      <c r="AX74" s="765" t="s">
        <v>2030</v>
      </c>
      <c r="AY74" s="764">
        <f>Basement!D177</f>
        <v>270.56095025155565</v>
      </c>
      <c r="AZ74" s="150" t="s">
        <v>1239</v>
      </c>
      <c r="BD74" s="765" t="s">
        <v>2030</v>
      </c>
      <c r="BE74" s="764">
        <f>Basement!D178</f>
        <v>88.72578</v>
      </c>
      <c r="BF74" s="150" t="s">
        <v>1239</v>
      </c>
      <c r="BJ74" s="765" t="s">
        <v>2030</v>
      </c>
      <c r="BK74" s="764">
        <f>Basement!D179</f>
        <v>95.109566399999977</v>
      </c>
      <c r="BL74" s="150" t="s">
        <v>1239</v>
      </c>
    </row>
    <row r="75" spans="2:67">
      <c r="B75" s="765" t="s">
        <v>2031</v>
      </c>
      <c r="C75" s="764">
        <f>Basement!E169</f>
        <v>180</v>
      </c>
      <c r="H75" s="765" t="s">
        <v>2031</v>
      </c>
      <c r="I75" s="764">
        <f>Basement!E170</f>
        <v>180</v>
      </c>
      <c r="N75" s="765" t="s">
        <v>2031</v>
      </c>
      <c r="O75" s="764">
        <f>Basement!E171</f>
        <v>180</v>
      </c>
      <c r="T75" s="765" t="s">
        <v>2031</v>
      </c>
      <c r="U75" s="764">
        <f>Basement!E172</f>
        <v>180</v>
      </c>
      <c r="Z75" s="765" t="s">
        <v>2031</v>
      </c>
      <c r="AA75" s="764">
        <f>Basement!E172</f>
        <v>180</v>
      </c>
      <c r="AF75" s="765" t="s">
        <v>2031</v>
      </c>
      <c r="AG75" s="764">
        <f>Basement!E174</f>
        <v>180</v>
      </c>
      <c r="AL75" s="765" t="s">
        <v>2031</v>
      </c>
      <c r="AM75" s="764">
        <f>Basement!E175</f>
        <v>180</v>
      </c>
      <c r="AR75" s="765" t="s">
        <v>2031</v>
      </c>
      <c r="AS75" s="764">
        <f>Basement!E176</f>
        <v>180</v>
      </c>
      <c r="AX75" s="765" t="s">
        <v>2031</v>
      </c>
      <c r="AY75" s="764">
        <f>Basement!E177</f>
        <v>180</v>
      </c>
      <c r="BD75" s="765" t="s">
        <v>2031</v>
      </c>
      <c r="BE75" s="764">
        <f>Basement!E178</f>
        <v>180</v>
      </c>
      <c r="BJ75" s="765" t="s">
        <v>2031</v>
      </c>
      <c r="BK75" s="764">
        <f>Basement!E179</f>
        <v>180</v>
      </c>
    </row>
    <row r="76" spans="2:67">
      <c r="B76" s="765" t="s">
        <v>2032</v>
      </c>
      <c r="C76" s="764">
        <f>25*C59*(C69/1000)+C74*C72/E66</f>
        <v>376.76230551626594</v>
      </c>
      <c r="D76" s="150" t="s">
        <v>590</v>
      </c>
      <c r="H76" s="765" t="s">
        <v>2032</v>
      </c>
      <c r="I76" s="764">
        <f>25*I59*(I69/1000)+I74*I72/K66</f>
        <v>363.58829787234038</v>
      </c>
      <c r="J76" s="150" t="s">
        <v>590</v>
      </c>
      <c r="N76" s="765" t="s">
        <v>2032</v>
      </c>
      <c r="O76" s="764">
        <f>25*O59*(O69/1000)+O74*O72/Q66</f>
        <v>318.71863737486069</v>
      </c>
      <c r="P76" s="150" t="s">
        <v>590</v>
      </c>
      <c r="T76" s="765" t="s">
        <v>2032</v>
      </c>
      <c r="U76" s="764">
        <f>25*U59*(U69/1000)+U74*U72/W66</f>
        <v>272.14791666666667</v>
      </c>
      <c r="V76" s="150" t="s">
        <v>590</v>
      </c>
      <c r="Z76" s="765" t="s">
        <v>2032</v>
      </c>
      <c r="AA76" s="764">
        <f>25*AA59*(AA69/1000)+AA74*AA72/AC66</f>
        <v>321.70387755102035</v>
      </c>
      <c r="AB76" s="150" t="s">
        <v>590</v>
      </c>
      <c r="AF76" s="765" t="s">
        <v>2032</v>
      </c>
      <c r="AG76" s="764">
        <f>25*AG59*(AG69/1000)+AG74*AG72/AI66</f>
        <v>414.86428571428564</v>
      </c>
      <c r="AH76" s="150" t="s">
        <v>590</v>
      </c>
      <c r="AL76" s="765" t="s">
        <v>2032</v>
      </c>
      <c r="AM76" s="764">
        <f>25*AM59*(AM69/1000)+AM74*AM72/AO66</f>
        <v>265.78859161730622</v>
      </c>
      <c r="AN76" s="150" t="s">
        <v>590</v>
      </c>
      <c r="AR76" s="765" t="s">
        <v>2032</v>
      </c>
      <c r="AS76" s="764">
        <f>25*AS59*(AS69/1000)+AS74*AS72/AU66</f>
        <v>214.72342167101829</v>
      </c>
      <c r="AT76" s="150" t="s">
        <v>590</v>
      </c>
      <c r="AX76" s="765" t="s">
        <v>2032</v>
      </c>
      <c r="AY76" s="764">
        <f>25*AY59*(AY69/1000)+AY74*AY72/BA66</f>
        <v>220.8146889061841</v>
      </c>
      <c r="AZ76" s="150" t="s">
        <v>590</v>
      </c>
      <c r="BD76" s="765" t="s">
        <v>2032</v>
      </c>
      <c r="BE76" s="764">
        <f>25*BE59*(BE69/1000)+BE74*BE72/BG66</f>
        <v>101.18904069767441</v>
      </c>
      <c r="BF76" s="150" t="s">
        <v>590</v>
      </c>
      <c r="BJ76" s="765" t="s">
        <v>2032</v>
      </c>
      <c r="BK76" s="764">
        <f>25*BK59*(BK69/1000)+BK74*BK72/BM66</f>
        <v>104.95476058064514</v>
      </c>
      <c r="BL76" s="150" t="s">
        <v>590</v>
      </c>
    </row>
    <row r="77" spans="2:67">
      <c r="B77" s="765" t="s">
        <v>2033</v>
      </c>
      <c r="C77" s="764">
        <f>C75*C72/C66*1000</f>
        <v>127.29844413012731</v>
      </c>
      <c r="D77" s="150" t="s">
        <v>590</v>
      </c>
      <c r="H77" s="765" t="s">
        <v>2033</v>
      </c>
      <c r="I77" s="764">
        <f>I75*I72/I66*1000</f>
        <v>127.6595744680851</v>
      </c>
      <c r="J77" s="150" t="s">
        <v>590</v>
      </c>
      <c r="M77" s="779"/>
      <c r="N77" s="765" t="s">
        <v>2033</v>
      </c>
      <c r="O77" s="764">
        <f>O75*O72/O66*1000</f>
        <v>124.13793103448276</v>
      </c>
      <c r="P77" s="150" t="s">
        <v>590</v>
      </c>
      <c r="S77" s="779"/>
      <c r="T77" s="765" t="s">
        <v>2033</v>
      </c>
      <c r="U77" s="764">
        <f>U75*U72/U66*1000</f>
        <v>125</v>
      </c>
      <c r="V77" s="150" t="s">
        <v>590</v>
      </c>
      <c r="Y77" s="779"/>
      <c r="Z77" s="765" t="s">
        <v>2033</v>
      </c>
      <c r="AA77" s="764">
        <f>AA75*AA72/AA66*1000</f>
        <v>122.44897959183672</v>
      </c>
      <c r="AB77" s="150" t="s">
        <v>590</v>
      </c>
      <c r="AE77" s="779"/>
      <c r="AF77" s="765" t="s">
        <v>2033</v>
      </c>
      <c r="AG77" s="764">
        <f>AG75*AG72/AG66*1000</f>
        <v>122.44897959183672</v>
      </c>
      <c r="AH77" s="150" t="s">
        <v>590</v>
      </c>
      <c r="AK77" s="779"/>
      <c r="AL77" s="765" t="s">
        <v>2033</v>
      </c>
      <c r="AM77" s="764">
        <f>AM75*AM72/AM66*1000</f>
        <v>115.88977594643316</v>
      </c>
      <c r="AN77" s="150" t="s">
        <v>590</v>
      </c>
      <c r="AQ77" s="779"/>
      <c r="AR77" s="765" t="s">
        <v>2033</v>
      </c>
      <c r="AS77" s="764">
        <f>AS75*AS72/AS66*1000</f>
        <v>117.49347258485641</v>
      </c>
      <c r="AT77" s="150" t="s">
        <v>590</v>
      </c>
      <c r="AW77" s="779"/>
      <c r="AX77" s="765" t="s">
        <v>2033</v>
      </c>
      <c r="AY77" s="764">
        <f>AY75*AY72/AY66*1000</f>
        <v>122.45697678215721</v>
      </c>
      <c r="AZ77" s="150" t="s">
        <v>590</v>
      </c>
      <c r="BC77" s="779"/>
      <c r="BD77" s="765" t="s">
        <v>2033</v>
      </c>
      <c r="BE77" s="764">
        <f>BE75*BE72/BE66*1000</f>
        <v>118.92177589852007</v>
      </c>
      <c r="BF77" s="150" t="s">
        <v>590</v>
      </c>
      <c r="BI77" s="779"/>
      <c r="BJ77" s="765" t="s">
        <v>2033</v>
      </c>
      <c r="BK77" s="764">
        <f>BK75*BK72/BK66*1000</f>
        <v>116.12903225806453</v>
      </c>
      <c r="BL77" s="150" t="s">
        <v>590</v>
      </c>
      <c r="BO77" s="779"/>
    </row>
    <row r="78" spans="2:67" ht="15.75" customHeight="1">
      <c r="B78" s="765" t="s">
        <v>2034</v>
      </c>
      <c r="C78" s="764">
        <f>(C76+C77)*C66*0.001</f>
        <v>712.74189999999999</v>
      </c>
      <c r="D78" s="150" t="s">
        <v>1239</v>
      </c>
      <c r="E78" s="150" t="s">
        <v>2035</v>
      </c>
      <c r="F78" s="150">
        <f>0.0025*C69*1000</f>
        <v>500</v>
      </c>
      <c r="H78" s="765" t="s">
        <v>2034</v>
      </c>
      <c r="I78" s="764">
        <f>(I76+I77)*I66*0.001</f>
        <v>692.65949999999998</v>
      </c>
      <c r="J78" s="150" t="s">
        <v>1239</v>
      </c>
      <c r="K78" s="150" t="s">
        <v>2035</v>
      </c>
      <c r="L78" s="150">
        <f>0.0025*I69*1000</f>
        <v>500</v>
      </c>
      <c r="M78" s="779"/>
      <c r="N78" s="765" t="s">
        <v>2034</v>
      </c>
      <c r="O78" s="764">
        <f>(O76+O77)*O66*0.001</f>
        <v>642.14202419354808</v>
      </c>
      <c r="P78" s="150" t="s">
        <v>1239</v>
      </c>
      <c r="Q78" s="150" t="s">
        <v>2035</v>
      </c>
      <c r="R78" s="150">
        <f>0.0025*O69*1000</f>
        <v>500</v>
      </c>
      <c r="S78" s="779"/>
      <c r="T78" s="765" t="s">
        <v>2034</v>
      </c>
      <c r="U78" s="764">
        <f>(U76+U77)*U66*0.001</f>
        <v>571.89300000000003</v>
      </c>
      <c r="V78" s="150" t="s">
        <v>1239</v>
      </c>
      <c r="W78" s="150" t="s">
        <v>2035</v>
      </c>
      <c r="X78" s="150">
        <f>0.0025*U69*1000</f>
        <v>500</v>
      </c>
      <c r="Y78" s="779"/>
      <c r="Z78" s="765" t="s">
        <v>2034</v>
      </c>
      <c r="AA78" s="764">
        <f>(AA76+AA77)*AA66*0.001</f>
        <v>652.90470000000005</v>
      </c>
      <c r="AB78" s="150" t="s">
        <v>1239</v>
      </c>
      <c r="AC78" s="150" t="s">
        <v>2035</v>
      </c>
      <c r="AD78" s="150">
        <f>0.0025*AA69*1000</f>
        <v>500</v>
      </c>
      <c r="AE78" s="779"/>
      <c r="AF78" s="765" t="s">
        <v>2034</v>
      </c>
      <c r="AG78" s="764">
        <f>(AG76+AG77)*AG66*0.001</f>
        <v>789.85050000000001</v>
      </c>
      <c r="AH78" s="150" t="s">
        <v>1239</v>
      </c>
      <c r="AI78" s="150" t="s">
        <v>2035</v>
      </c>
      <c r="AJ78" s="150">
        <f>0.0025*AG69*1000</f>
        <v>500</v>
      </c>
      <c r="AK78" s="779"/>
      <c r="AL78" s="765" t="s">
        <v>2034</v>
      </c>
      <c r="AM78" s="764">
        <f>(AM76+AM77)*AM66*0.001</f>
        <v>592.82284049999998</v>
      </c>
      <c r="AN78" s="150" t="s">
        <v>1239</v>
      </c>
      <c r="AO78" s="150" t="s">
        <v>2035</v>
      </c>
      <c r="AP78" s="150">
        <f>0.0025*AM69*1000</f>
        <v>562.5</v>
      </c>
      <c r="AQ78" s="779"/>
      <c r="AR78" s="765" t="s">
        <v>2034</v>
      </c>
      <c r="AS78" s="764">
        <f>(AS76+AS77)*AS66*0.001</f>
        <v>508.9562820000001</v>
      </c>
      <c r="AT78" s="150" t="s">
        <v>1239</v>
      </c>
      <c r="AU78" s="150" t="s">
        <v>2035</v>
      </c>
      <c r="AV78" s="150">
        <f>0.0025*AS69*1000</f>
        <v>562.5</v>
      </c>
      <c r="AW78" s="779"/>
      <c r="AX78" s="765" t="s">
        <v>2034</v>
      </c>
      <c r="AY78" s="764">
        <f>(AY76+AY77)*AY66*0.001</f>
        <v>504.57639448195567</v>
      </c>
      <c r="AZ78" s="150" t="s">
        <v>1239</v>
      </c>
      <c r="BA78" s="150" t="s">
        <v>2035</v>
      </c>
      <c r="BB78" s="150">
        <f>0.0025*AY69*1000</f>
        <v>500</v>
      </c>
      <c r="BC78" s="779"/>
      <c r="BD78" s="765" t="s">
        <v>2034</v>
      </c>
      <c r="BE78" s="764">
        <f>(BE76+BE77)*BE66*0.001</f>
        <v>333.15973199999996</v>
      </c>
      <c r="BF78" s="150" t="s">
        <v>1239</v>
      </c>
      <c r="BG78" s="150" t="s">
        <v>2035</v>
      </c>
      <c r="BH78" s="150">
        <f>0.0025*BE69*1000</f>
        <v>562.5</v>
      </c>
      <c r="BI78" s="779"/>
      <c r="BJ78" s="765" t="s">
        <v>2034</v>
      </c>
      <c r="BK78" s="764">
        <f>(BK76+BK77)*BK66*0.001</f>
        <v>342.67987889999995</v>
      </c>
      <c r="BL78" s="150" t="s">
        <v>1239</v>
      </c>
      <c r="BM78" s="150" t="s">
        <v>2035</v>
      </c>
      <c r="BN78" s="150">
        <f>0.0025*BK69*1000</f>
        <v>562.5</v>
      </c>
      <c r="BO78" s="779"/>
    </row>
    <row r="79" spans="2:67" ht="15" customHeight="1">
      <c r="B79" s="765" t="s">
        <v>2036</v>
      </c>
      <c r="C79" s="764">
        <f>C54*0.6*C59*1.5/C64</f>
        <v>539.83692000000019</v>
      </c>
      <c r="D79" s="150" t="s">
        <v>592</v>
      </c>
      <c r="E79" s="150" t="s">
        <v>2037</v>
      </c>
      <c r="F79" s="150">
        <f>0.04*C69*1000</f>
        <v>8000</v>
      </c>
      <c r="H79" s="765" t="s">
        <v>2036</v>
      </c>
      <c r="I79" s="764">
        <f>I54*0.6*I59*1.5/I64</f>
        <v>536.78700000000015</v>
      </c>
      <c r="J79" s="150" t="s">
        <v>592</v>
      </c>
      <c r="K79" s="150" t="s">
        <v>2037</v>
      </c>
      <c r="L79" s="150">
        <f>0.04*I69*1000</f>
        <v>8000</v>
      </c>
      <c r="M79" s="779"/>
      <c r="N79" s="765" t="s">
        <v>2036</v>
      </c>
      <c r="O79" s="764">
        <f>O54*0.6*O59*1.5/O64</f>
        <v>567.67499999999995</v>
      </c>
      <c r="P79" s="150" t="s">
        <v>592</v>
      </c>
      <c r="Q79" s="150" t="s">
        <v>2037</v>
      </c>
      <c r="R79" s="150">
        <f>0.04*O69*1000</f>
        <v>8000</v>
      </c>
      <c r="S79" s="779"/>
      <c r="T79" s="765" t="s">
        <v>2036</v>
      </c>
      <c r="U79" s="764">
        <f>U54*0.6*U59*1.5/U64</f>
        <v>559.87200000000007</v>
      </c>
      <c r="V79" s="150" t="s">
        <v>592</v>
      </c>
      <c r="W79" s="150" t="s">
        <v>2037</v>
      </c>
      <c r="X79" s="150">
        <f>0.04*U69*1000</f>
        <v>8000</v>
      </c>
      <c r="Y79" s="779"/>
      <c r="Z79" s="765" t="s">
        <v>2036</v>
      </c>
      <c r="AA79" s="764">
        <f>AA54*0.6*AA59*1.5/AA64</f>
        <v>583.44300000000021</v>
      </c>
      <c r="AB79" s="150" t="s">
        <v>592</v>
      </c>
      <c r="AC79" s="150" t="s">
        <v>2037</v>
      </c>
      <c r="AD79" s="150">
        <f>0.04*AA69*1000</f>
        <v>8000</v>
      </c>
      <c r="AE79" s="779"/>
      <c r="AF79" s="765" t="s">
        <v>2036</v>
      </c>
      <c r="AG79" s="764">
        <f>AG54*0.6*AG59*1.5/AG64</f>
        <v>583.44300000000021</v>
      </c>
      <c r="AH79" s="150" t="s">
        <v>592</v>
      </c>
      <c r="AI79" s="150" t="s">
        <v>2037</v>
      </c>
      <c r="AJ79" s="150">
        <f>0.04*AG69*1000</f>
        <v>8000</v>
      </c>
      <c r="AK79" s="779"/>
      <c r="AL79" s="765" t="s">
        <v>2036</v>
      </c>
      <c r="AM79" s="764">
        <f>AM54*0.6*AM59*1.5/AM64</f>
        <v>651.35616479999999</v>
      </c>
      <c r="AN79" s="150" t="s">
        <v>592</v>
      </c>
      <c r="AO79" s="150" t="s">
        <v>2037</v>
      </c>
      <c r="AP79" s="150">
        <f>0.04*AM69*1000</f>
        <v>9000</v>
      </c>
      <c r="AQ79" s="779"/>
      <c r="AR79" s="765" t="s">
        <v>2036</v>
      </c>
      <c r="AS79" s="764">
        <f>AS54*0.6*AS59*1.5/AS64</f>
        <v>633.69648000000007</v>
      </c>
      <c r="AT79" s="150" t="s">
        <v>592</v>
      </c>
      <c r="AU79" s="150" t="s">
        <v>2037</v>
      </c>
      <c r="AV79" s="150">
        <f>0.04*AS69*1000</f>
        <v>9000</v>
      </c>
      <c r="AW79" s="779"/>
      <c r="AX79" s="765" t="s">
        <v>2036</v>
      </c>
      <c r="AY79" s="764">
        <f>AY54*0.6*AY59*1.5/AY64</f>
        <v>583.36679768832005</v>
      </c>
      <c r="AZ79" s="150" t="s">
        <v>592</v>
      </c>
      <c r="BA79" s="150" t="s">
        <v>2037</v>
      </c>
      <c r="BB79" s="150">
        <f>0.04*AY69*1000</f>
        <v>8000</v>
      </c>
      <c r="BC79" s="779"/>
      <c r="BD79" s="765" t="s">
        <v>2036</v>
      </c>
      <c r="BE79" s="764">
        <f>BE54*0.6*BE59*1.5/BE64</f>
        <v>618.56593920000012</v>
      </c>
      <c r="BF79" s="150" t="s">
        <v>592</v>
      </c>
      <c r="BG79" s="150" t="s">
        <v>2037</v>
      </c>
      <c r="BH79" s="150">
        <f>0.04*BE69*1000</f>
        <v>9000</v>
      </c>
      <c r="BI79" s="779"/>
      <c r="BJ79" s="765" t="s">
        <v>2036</v>
      </c>
      <c r="BK79" s="764">
        <f>BK54*0.6*BK59*1.5/BK64</f>
        <v>648.67499999999995</v>
      </c>
      <c r="BL79" s="150" t="s">
        <v>592</v>
      </c>
      <c r="BM79" s="150" t="s">
        <v>2037</v>
      </c>
      <c r="BN79" s="150">
        <f>0.04*BK69*1000</f>
        <v>9000</v>
      </c>
      <c r="BO79" s="779"/>
    </row>
    <row r="80" spans="2:67" ht="13.5">
      <c r="B80" s="765" t="s">
        <v>2038</v>
      </c>
      <c r="C80" s="764">
        <f>IF((0.9*C76*1000/(C69))-((C79*10^6)/(C69*C66^2/6))&lt;0,(0.9*C76*1000/(C69))-((C79*10^6)/(C69*C66^2/6)),0)</f>
        <v>0</v>
      </c>
      <c r="D80" s="150" t="s">
        <v>620</v>
      </c>
      <c r="H80" s="765" t="s">
        <v>2038</v>
      </c>
      <c r="I80" s="764">
        <f>IF((0.9*I76*1000/(I69))-((I79*10^6)/(I69*I66^2/6))&lt;0,(0.9*I76*1000/(I69))-((I79*10^6)/(I69*I66^2/6)),0)</f>
        <v>0</v>
      </c>
      <c r="J80" s="150" t="s">
        <v>620</v>
      </c>
      <c r="M80" s="779"/>
      <c r="N80" s="765" t="s">
        <v>2038</v>
      </c>
      <c r="O80" s="764">
        <f>IF((0.9*O76*1000/(O69))-((O79*10^6)/(O69*O66^2/6))&lt;0,(0.9*O76*1000/(O69))-((O79*10^6)/(O69*O66^2/6)),0)</f>
        <v>0</v>
      </c>
      <c r="P80" s="150" t="s">
        <v>620</v>
      </c>
      <c r="S80" s="779"/>
      <c r="T80" s="765" t="s">
        <v>2038</v>
      </c>
      <c r="U80" s="764">
        <f>IF((0.9*U76*1000/(U69))-((U79*10^6)/(U69*U66^2/6))&lt;0,(0.9*U76*1000/(U69))-((U79*10^6)/(U69*U66^2/6)),0)</f>
        <v>0</v>
      </c>
      <c r="V80" s="150" t="s">
        <v>620</v>
      </c>
      <c r="Y80" s="779"/>
      <c r="Z80" s="765" t="s">
        <v>2038</v>
      </c>
      <c r="AA80" s="764">
        <f>IF((0.9*AA76*1000/(AA69))-((AA79*10^6)/(AA69*AA66^2/6))&lt;0,(0.9*AA76*1000/(AA69))-((AA79*10^6)/(AA69*AA66^2/6)),0)</f>
        <v>0</v>
      </c>
      <c r="AB80" s="150" t="s">
        <v>620</v>
      </c>
      <c r="AE80" s="779"/>
      <c r="AF80" s="765" t="s">
        <v>2038</v>
      </c>
      <c r="AG80" s="764">
        <f>IF((0.9*AG76*1000/(AG69))-((AG79*10^6)/(AG69*AG66^2/6))&lt;0,(0.9*AG76*1000/(AG69))-((AG79*10^6)/(AG69*AG66^2/6)),0)</f>
        <v>0</v>
      </c>
      <c r="AH80" s="150" t="s">
        <v>620</v>
      </c>
      <c r="AK80" s="779"/>
      <c r="AL80" s="765" t="s">
        <v>2038</v>
      </c>
      <c r="AM80" s="764">
        <f>IF((0.9*AM76*1000/(AM69))-((AM79*10^6)/(AM69*AM66^2/6))&lt;0,(0.9*AM76*1000/(AM69))-((AM79*10^6)/(AM69*AM66^2/6)),0)</f>
        <v>0</v>
      </c>
      <c r="AN80" s="150" t="s">
        <v>620</v>
      </c>
      <c r="AQ80" s="779"/>
      <c r="AR80" s="765" t="s">
        <v>2038</v>
      </c>
      <c r="AS80" s="764">
        <f>IF((0.9*AS76*1000/(AS69))-((AS79*10^6)/(AS69*AS66^2/6))&lt;0,(0.9*AS76*1000/(AS69))-((AS79*10^6)/(AS69*AS66^2/6)),0)</f>
        <v>0</v>
      </c>
      <c r="AT80" s="150" t="s">
        <v>620</v>
      </c>
      <c r="AW80" s="779"/>
      <c r="AX80" s="765" t="s">
        <v>2038</v>
      </c>
      <c r="AY80" s="764">
        <f>IF((0.9*AY76*1000/(AY69))-((AY79*10^6)/(AY69*AY66^2/6))&lt;0,(0.9*AY76*1000/(AY69))-((AY79*10^6)/(AY69*AY66^2/6)),0)</f>
        <v>0</v>
      </c>
      <c r="AZ80" s="150" t="s">
        <v>620</v>
      </c>
      <c r="BC80" s="779"/>
      <c r="BD80" s="765" t="s">
        <v>2038</v>
      </c>
      <c r="BE80" s="764">
        <f>IF((0.9*BE76*1000/(BE69))-((BE79*10^6)/(BE69*BE66^2/6))&lt;0,(0.9*BE76*1000/(BE69))-((BE79*10^6)/(BE69*BE66^2/6)),0)</f>
        <v>0</v>
      </c>
      <c r="BF80" s="150" t="s">
        <v>620</v>
      </c>
      <c r="BI80" s="779"/>
      <c r="BJ80" s="765" t="s">
        <v>2038</v>
      </c>
      <c r="BK80" s="764">
        <f>IF((0.9*BK76*1000/(BK69))-((BK79*10^6)/(BK69*BK66^2/6))&lt;0,(0.9*BK76*1000/(BK69))-((BK79*10^6)/(BK69*BK66^2/6)),0)</f>
        <v>0</v>
      </c>
      <c r="BL80" s="150" t="s">
        <v>620</v>
      </c>
      <c r="BO80" s="779"/>
    </row>
    <row r="81" spans="2:67">
      <c r="C81" s="764">
        <f>MAX((0.5*ABS(C80)*1000*C69)/435,F78*2)</f>
        <v>1000</v>
      </c>
      <c r="H81" s="765"/>
      <c r="I81" s="764">
        <f>MAX((0.5*ABS(I80)*1000*I69)/435,L78*2)</f>
        <v>1000</v>
      </c>
      <c r="M81" s="779"/>
      <c r="N81" s="765"/>
      <c r="O81" s="764">
        <f>MAX((0.5*ABS(O80)*1000*O69)/435,R78*2)</f>
        <v>1000</v>
      </c>
      <c r="S81" s="779"/>
      <c r="T81" s="765"/>
      <c r="U81" s="764">
        <f>MAX((0.5*ABS(U80)*1000*U69)/435,X78*2)</f>
        <v>1000</v>
      </c>
      <c r="Y81" s="779"/>
      <c r="Z81" s="765"/>
      <c r="AA81" s="764">
        <f>MAX((0.5*ABS(AA80)*1000*AA69)/435,AD78*2)</f>
        <v>1000</v>
      </c>
      <c r="AE81" s="779"/>
      <c r="AF81" s="765"/>
      <c r="AG81" s="764">
        <f>MAX((0.5*ABS(AG80)*1000*AG69)/435,AJ78*2)</f>
        <v>1000</v>
      </c>
      <c r="AK81" s="779"/>
      <c r="AL81" s="765"/>
      <c r="AM81" s="764">
        <f>MAX((0.5*ABS(AM80)*1000*AM69)/435,AP78*2)</f>
        <v>1125</v>
      </c>
      <c r="AQ81" s="779"/>
      <c r="AR81" s="765"/>
      <c r="AS81" s="764">
        <f>MAX((0.5*ABS(AS80)*1000*AS69)/435,AV78*2)</f>
        <v>1125</v>
      </c>
      <c r="AW81" s="779"/>
      <c r="AX81" s="765"/>
      <c r="AY81" s="764">
        <f>MAX((0.5*ABS(AY80)*1000*AY69)/435,BB78*2)</f>
        <v>1000</v>
      </c>
      <c r="BC81" s="779"/>
      <c r="BD81" s="765"/>
      <c r="BE81" s="764">
        <f>MAX((0.5*ABS(BE80)*1000*BE69)/435,BH78*2)</f>
        <v>1125</v>
      </c>
      <c r="BI81" s="779"/>
      <c r="BJ81" s="765"/>
      <c r="BK81" s="764">
        <f>MAX((0.5*ABS(BK80)*1000*BK69)/435,BN78*2)</f>
        <v>1125</v>
      </c>
      <c r="BO81" s="779"/>
    </row>
    <row r="82" spans="2:67">
      <c r="B82" s="765" t="s">
        <v>2039</v>
      </c>
      <c r="C82" s="764">
        <f>CEILING(C81/2,F82)</f>
        <v>603.18578948924028</v>
      </c>
      <c r="D82" s="150" t="s">
        <v>2040</v>
      </c>
      <c r="E82" s="765" t="s">
        <v>1981</v>
      </c>
      <c r="F82" s="779">
        <f>VLOOKUP(E82,$I$5:$J$9,2)</f>
        <v>201.06192982974676</v>
      </c>
      <c r="H82" s="765" t="s">
        <v>2039</v>
      </c>
      <c r="I82" s="764">
        <f>CEILING(I81/2,L82)</f>
        <v>603.18578948924028</v>
      </c>
      <c r="J82" s="150" t="s">
        <v>2040</v>
      </c>
      <c r="K82" s="765" t="s">
        <v>1981</v>
      </c>
      <c r="L82" s="779">
        <f>VLOOKUP(K82,$I$5:$J$9,2)</f>
        <v>201.06192982974676</v>
      </c>
      <c r="M82" s="779"/>
      <c r="N82" s="765" t="s">
        <v>2039</v>
      </c>
      <c r="O82" s="764">
        <f>CEILING(O81/2,R82)</f>
        <v>603.18578948924028</v>
      </c>
      <c r="P82" s="150" t="s">
        <v>2040</v>
      </c>
      <c r="Q82" s="765" t="s">
        <v>1981</v>
      </c>
      <c r="R82" s="779">
        <f>VLOOKUP(Q82,$I$5:$J$9,2)</f>
        <v>201.06192982974676</v>
      </c>
      <c r="S82" s="779"/>
      <c r="T82" s="765" t="s">
        <v>2039</v>
      </c>
      <c r="U82" s="764">
        <f>CEILING(U81/2,X82)</f>
        <v>603.18578948924028</v>
      </c>
      <c r="V82" s="150" t="s">
        <v>2040</v>
      </c>
      <c r="W82" s="765" t="s">
        <v>1981</v>
      </c>
      <c r="X82" s="779">
        <f>VLOOKUP(W82,$I$5:$J$9,2)</f>
        <v>201.06192982974676</v>
      </c>
      <c r="Y82" s="779"/>
      <c r="Z82" s="765" t="s">
        <v>2039</v>
      </c>
      <c r="AA82" s="764">
        <f>CEILING(AA81/2,AD82)</f>
        <v>603.18578948924028</v>
      </c>
      <c r="AB82" s="150" t="s">
        <v>2040</v>
      </c>
      <c r="AC82" s="765" t="s">
        <v>1981</v>
      </c>
      <c r="AD82" s="779">
        <f>VLOOKUP(AC82,$I$5:$J$9,2)</f>
        <v>201.06192982974676</v>
      </c>
      <c r="AE82" s="779"/>
      <c r="AF82" s="765" t="s">
        <v>2039</v>
      </c>
      <c r="AG82" s="764">
        <f>CEILING(AG81/2,AJ82)</f>
        <v>603.18578948924028</v>
      </c>
      <c r="AH82" s="150" t="s">
        <v>2040</v>
      </c>
      <c r="AI82" s="765" t="s">
        <v>1981</v>
      </c>
      <c r="AJ82" s="779">
        <f>VLOOKUP(AI82,$I$5:$J$9,2)</f>
        <v>201.06192982974676</v>
      </c>
      <c r="AK82" s="779"/>
      <c r="AL82" s="765" t="s">
        <v>2039</v>
      </c>
      <c r="AM82" s="764">
        <f>CEILING(AM81/2,AP82)</f>
        <v>603.18578948924028</v>
      </c>
      <c r="AN82" s="150" t="s">
        <v>2040</v>
      </c>
      <c r="AO82" s="765" t="s">
        <v>1981</v>
      </c>
      <c r="AP82" s="779">
        <f>VLOOKUP(AO82,$I$5:$J$9,2)</f>
        <v>201.06192982974676</v>
      </c>
      <c r="AQ82" s="779"/>
      <c r="AR82" s="765" t="s">
        <v>2039</v>
      </c>
      <c r="AS82" s="764">
        <f>CEILING(AS81/2,AV82)</f>
        <v>603.18578948924028</v>
      </c>
      <c r="AT82" s="150" t="s">
        <v>2040</v>
      </c>
      <c r="AU82" s="765" t="s">
        <v>1981</v>
      </c>
      <c r="AV82" s="779">
        <f>VLOOKUP(AU82,$I$5:$J$9,2)</f>
        <v>201.06192982974676</v>
      </c>
      <c r="AW82" s="779"/>
      <c r="AX82" s="765" t="s">
        <v>2039</v>
      </c>
      <c r="AY82" s="764">
        <f>CEILING(AY81/2,BB82)</f>
        <v>603.18578948924028</v>
      </c>
      <c r="AZ82" s="150" t="s">
        <v>2040</v>
      </c>
      <c r="BA82" s="765" t="s">
        <v>1981</v>
      </c>
      <c r="BB82" s="779">
        <f>VLOOKUP(BA82,$I$5:$J$9,2)</f>
        <v>201.06192982974676</v>
      </c>
      <c r="BC82" s="779"/>
      <c r="BD82" s="765" t="s">
        <v>2039</v>
      </c>
      <c r="BE82" s="764">
        <f>CEILING(BE81/2,BH82)</f>
        <v>603.18578948924028</v>
      </c>
      <c r="BF82" s="150" t="s">
        <v>2040</v>
      </c>
      <c r="BG82" s="765" t="s">
        <v>1981</v>
      </c>
      <c r="BH82" s="779">
        <f>VLOOKUP(BG82,$I$5:$J$9,2)</f>
        <v>201.06192982974676</v>
      </c>
      <c r="BI82" s="779"/>
      <c r="BJ82" s="765" t="s">
        <v>2039</v>
      </c>
      <c r="BK82" s="764">
        <f>CEILING(BK81/2,BN82)</f>
        <v>603.18578948924028</v>
      </c>
      <c r="BL82" s="150" t="s">
        <v>2040</v>
      </c>
      <c r="BM82" s="765" t="s">
        <v>1981</v>
      </c>
      <c r="BN82" s="779">
        <f>VLOOKUP(BM82,$I$5:$J$9,2)</f>
        <v>201.06192982974676</v>
      </c>
      <c r="BO82" s="779"/>
    </row>
    <row r="83" spans="2:67">
      <c r="B83" s="765" t="s">
        <v>2041</v>
      </c>
      <c r="C83" s="764">
        <f>CEILING(MAX(C82/4,0.001*1000*C69),F83)</f>
        <v>226.1946710584651</v>
      </c>
      <c r="D83" s="150" t="s">
        <v>2040</v>
      </c>
      <c r="E83" s="765" t="s">
        <v>1980</v>
      </c>
      <c r="F83" s="779">
        <f>VLOOKUP(E83,$I$5:$J$9,2)</f>
        <v>113.09733552923255</v>
      </c>
      <c r="H83" s="765" t="s">
        <v>2041</v>
      </c>
      <c r="I83" s="764">
        <f>CEILING(MAX(I82/4,0.001*1000*I69),L83)</f>
        <v>226.1946710584651</v>
      </c>
      <c r="J83" s="150" t="s">
        <v>2040</v>
      </c>
      <c r="K83" s="765" t="s">
        <v>1980</v>
      </c>
      <c r="L83" s="779">
        <f>VLOOKUP(K83,$I$5:$J$9,2)</f>
        <v>113.09733552923255</v>
      </c>
      <c r="M83" s="779"/>
      <c r="N83" s="765" t="s">
        <v>2041</v>
      </c>
      <c r="O83" s="764">
        <f>CEILING(MAX(O82/4,0.001*1000*O69),R83)</f>
        <v>226.1946710584651</v>
      </c>
      <c r="P83" s="150" t="s">
        <v>2040</v>
      </c>
      <c r="Q83" s="765" t="s">
        <v>1980</v>
      </c>
      <c r="R83" s="779">
        <f>VLOOKUP(Q83,$I$5:$J$9,2)</f>
        <v>113.09733552923255</v>
      </c>
      <c r="S83" s="779"/>
      <c r="T83" s="765" t="s">
        <v>2041</v>
      </c>
      <c r="U83" s="764">
        <f>CEILING(MAX(U82/4,0.001*1000*U69),X83)</f>
        <v>226.1946710584651</v>
      </c>
      <c r="V83" s="150" t="s">
        <v>2040</v>
      </c>
      <c r="W83" s="765" t="s">
        <v>1980</v>
      </c>
      <c r="X83" s="779">
        <f>VLOOKUP(W83,$I$5:$J$9,2)</f>
        <v>113.09733552923255</v>
      </c>
      <c r="Y83" s="779"/>
      <c r="Z83" s="765" t="s">
        <v>2041</v>
      </c>
      <c r="AA83" s="764">
        <f>CEILING(MAX(AA82/4,0.001*1000*AA69),AD83)</f>
        <v>226.1946710584651</v>
      </c>
      <c r="AB83" s="150" t="s">
        <v>2040</v>
      </c>
      <c r="AC83" s="765" t="s">
        <v>1980</v>
      </c>
      <c r="AD83" s="779">
        <f>VLOOKUP(AC83,$I$5:$J$9,2)</f>
        <v>113.09733552923255</v>
      </c>
      <c r="AE83" s="779"/>
      <c r="AF83" s="765" t="s">
        <v>2041</v>
      </c>
      <c r="AG83" s="764">
        <f>CEILING(MAX(AG82/4,0.001*1000*AG69),AJ83)</f>
        <v>226.1946710584651</v>
      </c>
      <c r="AH83" s="150" t="s">
        <v>2040</v>
      </c>
      <c r="AI83" s="765" t="s">
        <v>1980</v>
      </c>
      <c r="AJ83" s="779">
        <f>VLOOKUP(AI83,$I$5:$J$9,2)</f>
        <v>113.09733552923255</v>
      </c>
      <c r="AK83" s="779"/>
      <c r="AL83" s="765" t="s">
        <v>2041</v>
      </c>
      <c r="AM83" s="764">
        <f>CEILING(MAX(AM82/4,0.001*1000*AM69),AP83)</f>
        <v>226.1946710584651</v>
      </c>
      <c r="AN83" s="150" t="s">
        <v>2040</v>
      </c>
      <c r="AO83" s="765" t="s">
        <v>1980</v>
      </c>
      <c r="AP83" s="779">
        <f>VLOOKUP(AO83,$I$5:$J$9,2)</f>
        <v>113.09733552923255</v>
      </c>
      <c r="AQ83" s="779"/>
      <c r="AR83" s="765" t="s">
        <v>2041</v>
      </c>
      <c r="AS83" s="764">
        <f>CEILING(MAX(AS82/4,0.001*1000*AS69),AV83)</f>
        <v>226.1946710584651</v>
      </c>
      <c r="AT83" s="150" t="s">
        <v>2040</v>
      </c>
      <c r="AU83" s="765" t="s">
        <v>1980</v>
      </c>
      <c r="AV83" s="779">
        <f>VLOOKUP(AU83,$I$5:$J$9,2)</f>
        <v>113.09733552923255</v>
      </c>
      <c r="AW83" s="779"/>
      <c r="AX83" s="765" t="s">
        <v>2041</v>
      </c>
      <c r="AY83" s="764">
        <f>CEILING(MAX(AY82/4,0.001*1000*AY69),BB83)</f>
        <v>226.1946710584651</v>
      </c>
      <c r="AZ83" s="150" t="s">
        <v>2040</v>
      </c>
      <c r="BA83" s="765" t="s">
        <v>1980</v>
      </c>
      <c r="BB83" s="779">
        <f>VLOOKUP(BA83,$I$5:$J$9,2)</f>
        <v>113.09733552923255</v>
      </c>
      <c r="BC83" s="779"/>
      <c r="BD83" s="765" t="s">
        <v>2041</v>
      </c>
      <c r="BE83" s="764">
        <f>CEILING(MAX(BE82/4,0.001*1000*BE69),BH83)</f>
        <v>226.1946710584651</v>
      </c>
      <c r="BF83" s="150" t="s">
        <v>2040</v>
      </c>
      <c r="BG83" s="765" t="s">
        <v>1980</v>
      </c>
      <c r="BH83" s="779">
        <f>VLOOKUP(BG83,$I$5:$J$9,2)</f>
        <v>113.09733552923255</v>
      </c>
      <c r="BI83" s="779"/>
      <c r="BJ83" s="765" t="s">
        <v>2041</v>
      </c>
      <c r="BK83" s="764">
        <f>CEILING(MAX(BK82/4,0.001*1000*BK69),BN83)</f>
        <v>226.1946710584651</v>
      </c>
      <c r="BL83" s="150" t="s">
        <v>2040</v>
      </c>
      <c r="BM83" s="765" t="s">
        <v>1980</v>
      </c>
      <c r="BN83" s="779">
        <f>VLOOKUP(BM83,$I$5:$J$9,2)</f>
        <v>113.09733552923255</v>
      </c>
      <c r="BO83" s="779"/>
    </row>
    <row r="84" spans="2:67">
      <c r="B84" s="765" t="s">
        <v>2042</v>
      </c>
      <c r="C84" s="764">
        <f>(24*C64*(C59+Summary!$I$21)*C66*C69/10^3)/9.81</f>
        <v>19565.954740061163</v>
      </c>
      <c r="D84" s="150" t="s">
        <v>327</v>
      </c>
      <c r="E84" s="765"/>
      <c r="F84" s="779"/>
      <c r="H84" s="765" t="s">
        <v>2042</v>
      </c>
      <c r="I84" s="764">
        <f>(24*I64*(I59+Summary!$I$21)*I66*I69/10^3)/9.81</f>
        <v>19455.412844036702</v>
      </c>
      <c r="J84" s="150" t="s">
        <v>327</v>
      </c>
      <c r="K84" s="765"/>
      <c r="L84" s="779"/>
      <c r="M84" s="779"/>
      <c r="N84" s="765" t="s">
        <v>2042</v>
      </c>
      <c r="O84" s="764">
        <f>(24*O64*(O59+Summary!$I$21)*O66*O69/10^3)/9.81</f>
        <v>20574.923547400609</v>
      </c>
      <c r="P84" s="150" t="s">
        <v>327</v>
      </c>
      <c r="Q84" s="765"/>
      <c r="R84" s="779"/>
      <c r="S84" s="779"/>
      <c r="T84" s="765" t="s">
        <v>2042</v>
      </c>
      <c r="U84" s="764">
        <f>(24*U64*(U59+Summary!$I$21)*U66*U69/10^3)/9.81</f>
        <v>20292.110091743121</v>
      </c>
      <c r="V84" s="150" t="s">
        <v>327</v>
      </c>
      <c r="W84" s="765"/>
      <c r="X84" s="779"/>
      <c r="Y84" s="779"/>
      <c r="Z84" s="765" t="s">
        <v>2042</v>
      </c>
      <c r="AA84" s="764">
        <f>(24*AA64*(AA59+Summary!$I$21)*AA66*AA69/10^3)/9.81</f>
        <v>21146.422018348629</v>
      </c>
      <c r="AB84" s="150" t="s">
        <v>327</v>
      </c>
      <c r="AC84" s="765"/>
      <c r="AD84" s="779"/>
      <c r="AE84" s="779"/>
      <c r="AF84" s="765" t="s">
        <v>2042</v>
      </c>
      <c r="AG84" s="764">
        <f>(24*AG64*(AG59+Summary!$I$21)*AG66*AG69/10^3)/9.81</f>
        <v>21146.422018348629</v>
      </c>
      <c r="AH84" s="150" t="s">
        <v>327</v>
      </c>
      <c r="AI84" s="765"/>
      <c r="AJ84" s="779"/>
      <c r="AK84" s="779"/>
      <c r="AL84" s="765" t="s">
        <v>2042</v>
      </c>
      <c r="AM84" s="764">
        <f>(24*AM64*(AM59+Summary!$I$21)*AM66*AM69/10^3)/9.81</f>
        <v>26558.865027522937</v>
      </c>
      <c r="AN84" s="150" t="s">
        <v>327</v>
      </c>
      <c r="AO84" s="765"/>
      <c r="AP84" s="779"/>
      <c r="AQ84" s="779"/>
      <c r="AR84" s="765" t="s">
        <v>2042</v>
      </c>
      <c r="AS84" s="764">
        <f>(24*AS64*(AS59+Summary!$I$21)*AS66*AS69/10^3)/9.81</f>
        <v>25838.796330275229</v>
      </c>
      <c r="AT84" s="150" t="s">
        <v>327</v>
      </c>
      <c r="AU84" s="765"/>
      <c r="AV84" s="779"/>
      <c r="AW84" s="779"/>
      <c r="AX84" s="765" t="s">
        <v>2042</v>
      </c>
      <c r="AY84" s="764">
        <f>(24*AY64*(AY59+Summary!$I$21)*AY66*AY69/10^3)/9.81</f>
        <v>21143.660126884406</v>
      </c>
      <c r="AZ84" s="150" t="s">
        <v>327</v>
      </c>
      <c r="BA84" s="765"/>
      <c r="BB84" s="779"/>
      <c r="BC84" s="779"/>
      <c r="BD84" s="765" t="s">
        <v>2042</v>
      </c>
      <c r="BE84" s="764">
        <f>(24*BE64*(BE59+Summary!$I$21)*BE66*BE69/10^3)/9.81</f>
        <v>25221.852770642199</v>
      </c>
      <c r="BF84" s="150" t="s">
        <v>327</v>
      </c>
      <c r="BG84" s="765"/>
      <c r="BH84" s="779"/>
      <c r="BI84" s="779"/>
      <c r="BJ84" s="765" t="s">
        <v>2042</v>
      </c>
      <c r="BK84" s="764">
        <f>(24*BK64*(BK59+Summary!$I$21)*BK66*BK69/10^3)/9.81</f>
        <v>26449.541284403669</v>
      </c>
      <c r="BL84" s="150" t="s">
        <v>327</v>
      </c>
      <c r="BM84" s="765"/>
      <c r="BN84" s="779"/>
      <c r="BO84" s="779"/>
    </row>
    <row r="85" spans="2:67">
      <c r="B85" s="765" t="s">
        <v>2043</v>
      </c>
      <c r="C85" s="764">
        <f>2*SUM(C82:C83)*1.2*0.00785*(C21+Summary!$I$21)*C66*C64/1000</f>
        <v>624.83235869199996</v>
      </c>
      <c r="D85" s="150" t="s">
        <v>327</v>
      </c>
      <c r="E85" s="765"/>
      <c r="F85" s="779"/>
      <c r="H85" s="765" t="s">
        <v>2043</v>
      </c>
      <c r="I85" s="764">
        <f>2*SUM(I82:I83)*1.2*0.00785*(I21+Summary!$I$21)*I66*I64/1000</f>
        <v>621.3022394340918</v>
      </c>
      <c r="J85" s="150" t="s">
        <v>327</v>
      </c>
      <c r="K85" s="765"/>
      <c r="L85" s="779"/>
      <c r="M85" s="779"/>
      <c r="N85" s="765" t="s">
        <v>2043</v>
      </c>
      <c r="O85" s="764">
        <f>2*SUM(O82:O83)*1.2*0.00785*(O21+Summary!$I$21)*O66*O64/1000</f>
        <v>657.05344721602421</v>
      </c>
      <c r="P85" s="150" t="s">
        <v>327</v>
      </c>
      <c r="Q85" s="765"/>
      <c r="R85" s="779"/>
      <c r="S85" s="779"/>
      <c r="T85" s="765" t="s">
        <v>2043</v>
      </c>
      <c r="U85" s="764">
        <f>2*SUM(U82:U83)*1.2*0.00785*(U21+Summary!$I$21)*U66*U64/1000</f>
        <v>648.02189210328072</v>
      </c>
      <c r="V85" s="150" t="s">
        <v>327</v>
      </c>
      <c r="W85" s="765"/>
      <c r="X85" s="779"/>
      <c r="Y85" s="779"/>
      <c r="Z85" s="765" t="s">
        <v>2043</v>
      </c>
      <c r="AA85" s="764">
        <f>2*SUM(AA82:AA83)*1.2*0.00785*(AA21+Summary!$I$21)*AA66*AA64/1000</f>
        <v>675.30406377603185</v>
      </c>
      <c r="AB85" s="150" t="s">
        <v>327</v>
      </c>
      <c r="AC85" s="765"/>
      <c r="AD85" s="779"/>
      <c r="AE85" s="779"/>
      <c r="AF85" s="765" t="s">
        <v>2043</v>
      </c>
      <c r="AG85" s="764">
        <f>2*SUM(AG82:AG83)*1.2*0.00785*(AG21+Summary!$I$21)*AG66*AG64/1000</f>
        <v>675.30406377603185</v>
      </c>
      <c r="AH85" s="150" t="s">
        <v>327</v>
      </c>
      <c r="AI85" s="765"/>
      <c r="AJ85" s="779"/>
      <c r="AK85" s="779"/>
      <c r="AL85" s="765" t="s">
        <v>2043</v>
      </c>
      <c r="AM85" s="764">
        <f>2*SUM(AM82:AM83)*1.2*0.00785*(AM21+Summary!$I$21)*AM66*AM64/1000</f>
        <v>753.90991931518693</v>
      </c>
      <c r="AN85" s="150" t="s">
        <v>327</v>
      </c>
      <c r="AO85" s="765"/>
      <c r="AP85" s="779"/>
      <c r="AQ85" s="779"/>
      <c r="AR85" s="765" t="s">
        <v>2043</v>
      </c>
      <c r="AS85" s="764">
        <f>2*SUM(AS82:AS83)*1.2*0.00785*(AS21+Summary!$I$21)*AS66*AS64/1000</f>
        <v>733.4697787865598</v>
      </c>
      <c r="AT85" s="150" t="s">
        <v>327</v>
      </c>
      <c r="AU85" s="765"/>
      <c r="AV85" s="779"/>
      <c r="AW85" s="779"/>
      <c r="AX85" s="765" t="s">
        <v>2043</v>
      </c>
      <c r="AY85" s="764">
        <f>2*SUM(AY82:AY83)*1.2*0.00785*(AY21+Summary!$I$21)*AY66*AY64/1000</f>
        <v>675.21586367637042</v>
      </c>
      <c r="AZ85" s="150" t="s">
        <v>327</v>
      </c>
      <c r="BA85" s="765"/>
      <c r="BB85" s="779"/>
      <c r="BC85" s="779"/>
      <c r="BD85" s="765" t="s">
        <v>2043</v>
      </c>
      <c r="BE85" s="764">
        <f>2*SUM(BE82:BE83)*1.2*0.00785*(BE21+Summary!$I$21)*BE66*BE64/1000</f>
        <v>715.95698715246863</v>
      </c>
      <c r="BF85" s="150" t="s">
        <v>327</v>
      </c>
      <c r="BG85" s="765"/>
      <c r="BH85" s="779"/>
      <c r="BI85" s="779"/>
      <c r="BJ85" s="765" t="s">
        <v>2043</v>
      </c>
      <c r="BK85" s="764">
        <f>2*SUM(BK82:BK83)*1.2*0.00785*(BK21+Summary!$I$21)*BK66*BK64/1000</f>
        <v>750.80661447633679</v>
      </c>
      <c r="BL85" s="150" t="s">
        <v>327</v>
      </c>
      <c r="BM85" s="765"/>
      <c r="BN85" s="779"/>
      <c r="BO85" s="779"/>
    </row>
    <row r="86" spans="2:67">
      <c r="E86" s="765"/>
      <c r="F86" s="779"/>
      <c r="H86" s="765"/>
      <c r="I86" s="764"/>
      <c r="K86" s="765"/>
      <c r="L86" s="779"/>
      <c r="M86" s="779"/>
      <c r="N86" s="765"/>
      <c r="O86" s="764"/>
      <c r="Q86" s="765"/>
      <c r="R86" s="779"/>
      <c r="S86" s="779"/>
      <c r="T86" s="765"/>
      <c r="U86" s="764"/>
      <c r="W86" s="765"/>
      <c r="X86" s="779"/>
      <c r="Y86" s="779"/>
      <c r="Z86" s="765"/>
      <c r="AA86" s="764"/>
      <c r="AC86" s="765"/>
      <c r="AD86" s="779"/>
      <c r="AE86" s="779"/>
      <c r="AF86" s="765"/>
      <c r="AG86" s="764"/>
      <c r="AI86" s="765"/>
      <c r="AJ86" s="779"/>
      <c r="AK86" s="779"/>
      <c r="AL86" s="765"/>
      <c r="AM86" s="764"/>
      <c r="AO86" s="765"/>
      <c r="AP86" s="779"/>
      <c r="AQ86" s="779"/>
      <c r="AR86" s="765"/>
      <c r="AS86" s="764"/>
      <c r="AU86" s="765"/>
      <c r="AV86" s="779"/>
      <c r="AW86" s="779"/>
      <c r="AX86" s="765"/>
      <c r="AY86" s="764"/>
      <c r="BA86" s="765"/>
      <c r="BB86" s="779"/>
      <c r="BC86" s="779"/>
      <c r="BD86" s="765"/>
      <c r="BE86" s="764"/>
      <c r="BG86" s="765"/>
      <c r="BH86" s="779"/>
      <c r="BI86" s="779"/>
      <c r="BJ86" s="765"/>
      <c r="BK86" s="764"/>
      <c r="BM86" s="765"/>
      <c r="BN86" s="779"/>
      <c r="BO86" s="779"/>
    </row>
    <row r="87" spans="2:67">
      <c r="B87" s="765" t="s">
        <v>2044</v>
      </c>
      <c r="C87" s="764">
        <f>C79/(0.001*C66)</f>
        <v>381.78000000000014</v>
      </c>
      <c r="D87" s="150" t="s">
        <v>1239</v>
      </c>
      <c r="E87" s="765"/>
      <c r="H87" s="765" t="s">
        <v>2044</v>
      </c>
      <c r="I87" s="764">
        <f>I79/(0.001*I66)</f>
        <v>380.7</v>
      </c>
      <c r="J87" s="150" t="s">
        <v>1239</v>
      </c>
      <c r="K87" s="765"/>
      <c r="M87" s="779"/>
      <c r="N87" s="765" t="s">
        <v>2044</v>
      </c>
      <c r="O87" s="764">
        <f>O79/(0.001*O66)</f>
        <v>391.5</v>
      </c>
      <c r="P87" s="150" t="s">
        <v>1239</v>
      </c>
      <c r="Q87" s="765"/>
      <c r="S87" s="779"/>
      <c r="T87" s="765" t="s">
        <v>2044</v>
      </c>
      <c r="U87" s="764">
        <f>U79/(0.001*U66)</f>
        <v>388.80000000000007</v>
      </c>
      <c r="V87" s="150" t="s">
        <v>1239</v>
      </c>
      <c r="W87" s="765"/>
      <c r="Y87" s="779"/>
      <c r="Z87" s="765" t="s">
        <v>2044</v>
      </c>
      <c r="AA87" s="764">
        <f>AA79/(0.001*AA66)</f>
        <v>396.90000000000009</v>
      </c>
      <c r="AB87" s="150" t="s">
        <v>1239</v>
      </c>
      <c r="AC87" s="765"/>
      <c r="AE87" s="779"/>
      <c r="AF87" s="765" t="s">
        <v>2044</v>
      </c>
      <c r="AG87" s="764">
        <f>AG79/(0.001*AG66)</f>
        <v>396.90000000000009</v>
      </c>
      <c r="AH87" s="150" t="s">
        <v>1239</v>
      </c>
      <c r="AI87" s="765"/>
      <c r="AK87" s="779"/>
      <c r="AL87" s="765" t="s">
        <v>2044</v>
      </c>
      <c r="AM87" s="764">
        <f>AM79/(0.001*AM66)</f>
        <v>419.36399999999998</v>
      </c>
      <c r="AN87" s="150" t="s">
        <v>1239</v>
      </c>
      <c r="AO87" s="765"/>
      <c r="AQ87" s="779"/>
      <c r="AR87" s="765" t="s">
        <v>2044</v>
      </c>
      <c r="AS87" s="764">
        <f>AS79/(0.001*AS66)</f>
        <v>413.64000000000004</v>
      </c>
      <c r="AT87" s="150" t="s">
        <v>1239</v>
      </c>
      <c r="AU87" s="765"/>
      <c r="AW87" s="779"/>
      <c r="AX87" s="765" t="s">
        <v>2044</v>
      </c>
      <c r="AY87" s="764">
        <f>AY79/(0.001*AY66)</f>
        <v>396.87407999999999</v>
      </c>
      <c r="AZ87" s="150" t="s">
        <v>1239</v>
      </c>
      <c r="BA87" s="765"/>
      <c r="BC87" s="779"/>
      <c r="BD87" s="765" t="s">
        <v>2044</v>
      </c>
      <c r="BE87" s="764">
        <f>BE79/(0.001*BE66)</f>
        <v>408.67200000000003</v>
      </c>
      <c r="BF87" s="150" t="s">
        <v>1239</v>
      </c>
      <c r="BG87" s="765"/>
      <c r="BI87" s="779"/>
      <c r="BJ87" s="765" t="s">
        <v>2044</v>
      </c>
      <c r="BK87" s="764">
        <f>BK79/(0.001*BK66)</f>
        <v>418.49999999999994</v>
      </c>
      <c r="BL87" s="150" t="s">
        <v>1239</v>
      </c>
      <c r="BM87" s="765"/>
      <c r="BO87" s="779"/>
    </row>
    <row r="88" spans="2:67">
      <c r="B88" s="765" t="s">
        <v>2045</v>
      </c>
      <c r="C88" s="764">
        <f>C78+(2*C87)</f>
        <v>1476.3019000000004</v>
      </c>
      <c r="D88" s="150" t="s">
        <v>1239</v>
      </c>
      <c r="E88" s="765"/>
      <c r="H88" s="765" t="s">
        <v>2045</v>
      </c>
      <c r="I88" s="764">
        <f>I78+(2*I87)</f>
        <v>1454.0594999999998</v>
      </c>
      <c r="J88" s="150" t="s">
        <v>1239</v>
      </c>
      <c r="K88" s="765"/>
      <c r="M88" s="779"/>
      <c r="N88" s="765" t="s">
        <v>2045</v>
      </c>
      <c r="O88" s="764">
        <f>O78+(2*O87)</f>
        <v>1425.142024193548</v>
      </c>
      <c r="P88" s="150" t="s">
        <v>1239</v>
      </c>
      <c r="Q88" s="765"/>
      <c r="S88" s="779"/>
      <c r="T88" s="765" t="s">
        <v>2045</v>
      </c>
      <c r="U88" s="764">
        <f>U78+(2*U87)</f>
        <v>1349.4930000000002</v>
      </c>
      <c r="V88" s="150" t="s">
        <v>1239</v>
      </c>
      <c r="W88" s="765"/>
      <c r="Y88" s="779"/>
      <c r="Z88" s="765" t="s">
        <v>2045</v>
      </c>
      <c r="AA88" s="764">
        <f>AA78+(2*AA87)</f>
        <v>1446.7047000000002</v>
      </c>
      <c r="AB88" s="150" t="s">
        <v>1239</v>
      </c>
      <c r="AC88" s="765"/>
      <c r="AE88" s="779"/>
      <c r="AF88" s="765" t="s">
        <v>2045</v>
      </c>
      <c r="AG88" s="764">
        <f>AG78+(2*AG87)</f>
        <v>1583.6505000000002</v>
      </c>
      <c r="AH88" s="150" t="s">
        <v>1239</v>
      </c>
      <c r="AI88" s="765"/>
      <c r="AK88" s="779"/>
      <c r="AL88" s="765" t="s">
        <v>2045</v>
      </c>
      <c r="AM88" s="764">
        <f>AM78+(2*AM87)</f>
        <v>1431.5508405</v>
      </c>
      <c r="AN88" s="150" t="s">
        <v>1239</v>
      </c>
      <c r="AO88" s="765"/>
      <c r="AQ88" s="779"/>
      <c r="AR88" s="765" t="s">
        <v>2045</v>
      </c>
      <c r="AS88" s="764">
        <f>AS78+(2*AS87)</f>
        <v>1336.2362820000003</v>
      </c>
      <c r="AT88" s="150" t="s">
        <v>1239</v>
      </c>
      <c r="AU88" s="765"/>
      <c r="AW88" s="779"/>
      <c r="AX88" s="765" t="s">
        <v>2045</v>
      </c>
      <c r="AY88" s="764">
        <f>AY78+(2*AY87)</f>
        <v>1298.3245544819556</v>
      </c>
      <c r="AZ88" s="150" t="s">
        <v>1239</v>
      </c>
      <c r="BA88" s="765"/>
      <c r="BC88" s="779"/>
      <c r="BD88" s="765" t="s">
        <v>2045</v>
      </c>
      <c r="BE88" s="764">
        <f>BE78+(2*BE87)</f>
        <v>1150.5037320000001</v>
      </c>
      <c r="BF88" s="150" t="s">
        <v>1239</v>
      </c>
      <c r="BG88" s="765"/>
      <c r="BI88" s="779"/>
      <c r="BJ88" s="765" t="s">
        <v>2045</v>
      </c>
      <c r="BK88" s="764">
        <f>BK78+(2*BK87)</f>
        <v>1179.6798788999999</v>
      </c>
      <c r="BL88" s="150" t="s">
        <v>1239</v>
      </c>
      <c r="BM88" s="765"/>
      <c r="BO88" s="779"/>
    </row>
    <row r="89" spans="2:67">
      <c r="B89" s="765" t="s">
        <v>2046</v>
      </c>
      <c r="C89" s="764">
        <f>Inputs!G39</f>
        <v>662.75700000000006</v>
      </c>
      <c r="D89" s="150" t="s">
        <v>1239</v>
      </c>
      <c r="H89" s="765" t="s">
        <v>2046</v>
      </c>
      <c r="I89" s="764">
        <f>Inputs!G46</f>
        <v>642.95699999999999</v>
      </c>
      <c r="J89" s="150" t="s">
        <v>1239</v>
      </c>
      <c r="N89" s="765" t="s">
        <v>2046</v>
      </c>
      <c r="O89" s="764">
        <f>Inputs!G53</f>
        <v>589.57952419354797</v>
      </c>
      <c r="P89" s="150" t="s">
        <v>1239</v>
      </c>
      <c r="T89" s="765" t="s">
        <v>2046</v>
      </c>
      <c r="U89" s="764">
        <f>Inputs!G60</f>
        <v>520.053</v>
      </c>
      <c r="V89" s="150" t="s">
        <v>1239</v>
      </c>
      <c r="Z89" s="765" t="s">
        <v>2046</v>
      </c>
      <c r="AA89" s="764">
        <f>Inputs!G67</f>
        <v>598.88220000000001</v>
      </c>
      <c r="AB89" s="150" t="s">
        <v>1239</v>
      </c>
      <c r="AF89" s="765" t="s">
        <v>2046</v>
      </c>
      <c r="AG89" s="764">
        <f>Inputs!G74</f>
        <v>735.82799999999997</v>
      </c>
      <c r="AH89" s="150" t="s">
        <v>1239</v>
      </c>
      <c r="AL89" s="765" t="s">
        <v>2046</v>
      </c>
      <c r="AM89" s="764">
        <f>Inputs!G81</f>
        <v>524.97324000000003</v>
      </c>
      <c r="AN89" s="150" t="s">
        <v>1239</v>
      </c>
      <c r="AR89" s="765" t="s">
        <v>2046</v>
      </c>
      <c r="AS89" s="764">
        <f>Inputs!G88</f>
        <v>442.94623200000001</v>
      </c>
      <c r="AT89" s="150" t="s">
        <v>1239</v>
      </c>
      <c r="AX89" s="765" t="s">
        <v>2046</v>
      </c>
      <c r="AY89" s="764">
        <f>Inputs!G95</f>
        <v>450.56095025155565</v>
      </c>
      <c r="AZ89" s="150" t="s">
        <v>1239</v>
      </c>
      <c r="BD89" s="765" t="s">
        <v>2046</v>
      </c>
      <c r="BE89" s="764">
        <f>Inputs!G102</f>
        <v>268.72577999999999</v>
      </c>
      <c r="BF89" s="150" t="s">
        <v>1239</v>
      </c>
      <c r="BJ89" s="765" t="s">
        <v>2046</v>
      </c>
      <c r="BK89" s="764">
        <f>Inputs!G109</f>
        <v>275.10956639999995</v>
      </c>
      <c r="BL89" s="150" t="s">
        <v>1239</v>
      </c>
    </row>
    <row r="90" spans="2:67">
      <c r="C90" s="764">
        <f>C88/C89</f>
        <v>2.227516118275628</v>
      </c>
      <c r="H90" s="765"/>
      <c r="I90" s="764">
        <f>I88/I89</f>
        <v>2.2615190440418251</v>
      </c>
      <c r="N90" s="765"/>
      <c r="O90" s="764">
        <f>O88/O89</f>
        <v>2.4172176368284126</v>
      </c>
      <c r="T90" s="765"/>
      <c r="U90" s="764">
        <f>U88/U89</f>
        <v>2.5949143644974648</v>
      </c>
      <c r="Z90" s="765"/>
      <c r="AA90" s="764">
        <f>AA88/AA89</f>
        <v>2.4156749023430653</v>
      </c>
      <c r="AF90" s="765"/>
      <c r="AG90" s="764">
        <f>AG88/AG89</f>
        <v>2.1522020091651859</v>
      </c>
      <c r="AL90" s="765"/>
      <c r="AM90" s="764">
        <f>AM88/AM89</f>
        <v>2.7269024998302771</v>
      </c>
      <c r="AR90" s="765"/>
      <c r="AS90" s="764">
        <f>AS88/AS89</f>
        <v>3.0167008667544106</v>
      </c>
      <c r="AX90" s="765"/>
      <c r="AY90" s="764">
        <f>AY88/AY89</f>
        <v>2.8815736333942823</v>
      </c>
      <c r="BD90" s="765"/>
      <c r="BE90" s="764">
        <f>BE88/BE89</f>
        <v>4.2813299565080811</v>
      </c>
      <c r="BJ90" s="765"/>
      <c r="BK90" s="764">
        <f>BK88/BK89</f>
        <v>4.2880365606217614</v>
      </c>
    </row>
    <row r="91" spans="2:67">
      <c r="B91" s="765" t="s">
        <v>2047</v>
      </c>
      <c r="C91" s="764">
        <f>Pile!M464/Pile!M477</f>
        <v>1</v>
      </c>
      <c r="H91" s="765" t="s">
        <v>2047</v>
      </c>
      <c r="I91" s="764">
        <f>Pile!Z464/Pile!Z477</f>
        <v>1</v>
      </c>
      <c r="N91" s="765" t="s">
        <v>2047</v>
      </c>
      <c r="O91" s="764">
        <f>Pile!AM464/Pile!AM477</f>
        <v>1</v>
      </c>
      <c r="T91" s="765" t="s">
        <v>2047</v>
      </c>
      <c r="U91" s="764">
        <f>Pile!AZ464/Pile!AZ477</f>
        <v>1</v>
      </c>
      <c r="Z91" s="765" t="s">
        <v>2047</v>
      </c>
      <c r="AA91" s="764">
        <f>Pile!BM464/Pile!BM477</f>
        <v>1</v>
      </c>
      <c r="AF91" s="765" t="s">
        <v>2047</v>
      </c>
      <c r="AG91" s="764">
        <f>Pile!BZ464/Pile!BZ477</f>
        <v>1</v>
      </c>
      <c r="AL91" s="765" t="s">
        <v>2047</v>
      </c>
      <c r="AM91" s="764">
        <f>Pile!CM464/Pile!CM477</f>
        <v>1</v>
      </c>
      <c r="AR91" s="765" t="s">
        <v>2047</v>
      </c>
      <c r="AS91" s="764">
        <f>Pile!CZ464/Pile!CZ477</f>
        <v>1</v>
      </c>
      <c r="AX91" s="765" t="s">
        <v>2047</v>
      </c>
      <c r="AY91" s="764">
        <f>Pile!DM464/Pile!DM477</f>
        <v>1</v>
      </c>
      <c r="BD91" s="765" t="s">
        <v>2047</v>
      </c>
      <c r="BE91" s="764">
        <f>Pile!DZ464/Pile!DZ477</f>
        <v>1</v>
      </c>
      <c r="BJ91" s="765" t="s">
        <v>2047</v>
      </c>
      <c r="BK91" s="764">
        <f>Pile!EM464/Pile!EM477</f>
        <v>1</v>
      </c>
    </row>
    <row r="92" spans="2:67">
      <c r="B92" s="765" t="s">
        <v>2048</v>
      </c>
      <c r="C92" s="764">
        <f>ROUNDUP(C64*(C90*C91-C91),0)</f>
        <v>5</v>
      </c>
      <c r="H92" s="765" t="s">
        <v>2048</v>
      </c>
      <c r="I92" s="764">
        <f>ROUNDUP(I64*(I90*I91-I91),0)</f>
        <v>6</v>
      </c>
      <c r="N92" s="765" t="s">
        <v>2049</v>
      </c>
      <c r="O92" s="764">
        <f>ROUNDUP(O64*(O90*O91-O91),0)</f>
        <v>6</v>
      </c>
      <c r="T92" s="765" t="s">
        <v>2049</v>
      </c>
      <c r="U92" s="764">
        <f>ROUNDUP(U64*(U90*U91-U91),0)</f>
        <v>7</v>
      </c>
      <c r="Z92" s="765" t="s">
        <v>2049</v>
      </c>
      <c r="AA92" s="764">
        <f>ROUNDUP(AA64*(AA90*AA91-AA91),0)</f>
        <v>6</v>
      </c>
      <c r="AF92" s="765" t="s">
        <v>2049</v>
      </c>
      <c r="AG92" s="764">
        <f>ROUNDUP(AG64*(AG90*AG91-AG91),0)</f>
        <v>5</v>
      </c>
      <c r="AL92" s="765" t="s">
        <v>2049</v>
      </c>
      <c r="AM92" s="764">
        <f>ROUNDUP(AM64*(AM90*AM91-AM91),0)</f>
        <v>7</v>
      </c>
      <c r="AR92" s="765" t="s">
        <v>2049</v>
      </c>
      <c r="AS92" s="764">
        <f>ROUNDUP(AS64*(AS90*AS91-AS91),0)</f>
        <v>9</v>
      </c>
      <c r="AX92" s="765" t="s">
        <v>2049</v>
      </c>
      <c r="AY92" s="764">
        <f>ROUNDUP(AY64*(AY90*AY91-AY91),0)</f>
        <v>8</v>
      </c>
      <c r="BD92" s="765" t="s">
        <v>2049</v>
      </c>
      <c r="BE92" s="764">
        <f>ROUNDUP(BE64*(BE90*BE91-BE91),0)</f>
        <v>14</v>
      </c>
      <c r="BJ92" s="765" t="s">
        <v>2049</v>
      </c>
      <c r="BK92" s="764">
        <f>ROUNDUP(BK64*(BK90*BK91-BK91),0)</f>
        <v>14</v>
      </c>
    </row>
    <row r="93" spans="2:67">
      <c r="B93" s="765" t="s">
        <v>2050</v>
      </c>
      <c r="C93" s="764">
        <f>C92*Pile!N464/Pile!M464</f>
        <v>10.735411145938867</v>
      </c>
      <c r="D93" s="150" t="s">
        <v>2051</v>
      </c>
      <c r="H93" s="765" t="s">
        <v>2050</v>
      </c>
      <c r="I93" s="764">
        <f>I92*Pile!AA464/Pile!Z464</f>
        <v>12.882493375126641</v>
      </c>
      <c r="J93" s="150" t="s">
        <v>2051</v>
      </c>
      <c r="N93" s="765" t="s">
        <v>2050</v>
      </c>
      <c r="O93" s="764">
        <f>O92*Pile!AN464/Pile!AM464</f>
        <v>12.882493375126641</v>
      </c>
      <c r="P93" s="150" t="s">
        <v>2051</v>
      </c>
      <c r="T93" s="765" t="s">
        <v>2050</v>
      </c>
      <c r="U93" s="764">
        <f>U92*Pile!BA464/Pile!AZ464</f>
        <v>15.029575604314417</v>
      </c>
      <c r="V93" s="150" t="s">
        <v>2051</v>
      </c>
      <c r="Z93" s="765" t="s">
        <v>2050</v>
      </c>
      <c r="AA93" s="764">
        <f>AA92*Pile!BN464/Pile!BM464</f>
        <v>12.882493375126641</v>
      </c>
      <c r="AB93" s="150" t="s">
        <v>2051</v>
      </c>
      <c r="AF93" s="765" t="s">
        <v>2050</v>
      </c>
      <c r="AG93" s="764">
        <f>AG92*Pile!CA464/Pile!BZ464</f>
        <v>11.928234606598743</v>
      </c>
      <c r="AH93" s="150" t="s">
        <v>2051</v>
      </c>
      <c r="AL93" s="765" t="s">
        <v>2050</v>
      </c>
      <c r="AM93" s="764">
        <f>AM92*Pile!CN464/Pile!CM464</f>
        <v>15.029575604314417</v>
      </c>
      <c r="AN93" s="150" t="s">
        <v>2051</v>
      </c>
      <c r="AR93" s="765" t="s">
        <v>2050</v>
      </c>
      <c r="AS93" s="764">
        <f>AS92*Pile!DA464/Pile!CZ464</f>
        <v>19.323740062689961</v>
      </c>
      <c r="AT93" s="150" t="s">
        <v>2051</v>
      </c>
      <c r="AX93" s="765" t="s">
        <v>2050</v>
      </c>
      <c r="AY93" s="764">
        <f>AY92*Pile!DN464/Pile!DM464</f>
        <v>17.176657833502187</v>
      </c>
      <c r="AZ93" s="150" t="s">
        <v>2051</v>
      </c>
      <c r="BD93" s="765" t="s">
        <v>2050</v>
      </c>
      <c r="BE93" s="764">
        <f>BE92*Pile!EA464/Pile!DZ464</f>
        <v>30.059151208628833</v>
      </c>
      <c r="BF93" s="150" t="s">
        <v>2051</v>
      </c>
      <c r="BJ93" s="765" t="s">
        <v>2050</v>
      </c>
      <c r="BK93" s="764">
        <f>BK92*Pile!EN464/Pile!EM464</f>
        <v>30.059151208628833</v>
      </c>
      <c r="BL93" s="150" t="s">
        <v>2051</v>
      </c>
    </row>
    <row r="94" spans="2:67">
      <c r="B94" s="765" t="s">
        <v>2052</v>
      </c>
      <c r="C94" s="764">
        <f>C92*Pile!L472</f>
        <v>1.0224467999999998</v>
      </c>
      <c r="D94" s="150" t="s">
        <v>2053</v>
      </c>
      <c r="H94" s="765" t="s">
        <v>2052</v>
      </c>
      <c r="I94" s="764">
        <f>I92*Pile!Y472</f>
        <v>1.2269361599999997</v>
      </c>
      <c r="J94" s="150" t="s">
        <v>2053</v>
      </c>
      <c r="N94" s="765" t="s">
        <v>2052</v>
      </c>
      <c r="O94" s="764">
        <f>O92*Pile!AL472</f>
        <v>1.2269361599999997</v>
      </c>
      <c r="P94" s="150" t="s">
        <v>2053</v>
      </c>
      <c r="T94" s="765" t="s">
        <v>2052</v>
      </c>
      <c r="U94" s="764">
        <f>U92*Pile!AY472</f>
        <v>1.4314255199999997</v>
      </c>
      <c r="V94" s="150" t="s">
        <v>2053</v>
      </c>
      <c r="Z94" s="765" t="s">
        <v>2052</v>
      </c>
      <c r="AA94" s="764">
        <f>AA92*Pile!BL472</f>
        <v>1.2269361599999997</v>
      </c>
      <c r="AB94" s="150" t="s">
        <v>2053</v>
      </c>
      <c r="AF94" s="765" t="s">
        <v>2052</v>
      </c>
      <c r="AG94" s="764">
        <f>AG92*Pile!BY472</f>
        <v>1.1360519999999996</v>
      </c>
      <c r="AH94" s="150" t="s">
        <v>2053</v>
      </c>
      <c r="AL94" s="765" t="s">
        <v>2052</v>
      </c>
      <c r="AM94" s="764">
        <f>AM92*Pile!CL472</f>
        <v>1.4314255199999997</v>
      </c>
      <c r="AN94" s="150" t="s">
        <v>2053</v>
      </c>
      <c r="AR94" s="765" t="s">
        <v>2052</v>
      </c>
      <c r="AS94" s="764">
        <f>AS92*Pile!CY472</f>
        <v>1.8404042399999996</v>
      </c>
      <c r="AT94" s="150" t="s">
        <v>2053</v>
      </c>
      <c r="AX94" s="765" t="s">
        <v>2052</v>
      </c>
      <c r="AY94" s="764">
        <f>AY92*Pile!DL472</f>
        <v>1.6359148799999996</v>
      </c>
      <c r="AZ94" s="150" t="s">
        <v>2053</v>
      </c>
      <c r="BD94" s="765" t="s">
        <v>2052</v>
      </c>
      <c r="BE94" s="764">
        <f>BE92*Pile!DY472</f>
        <v>2.8628510399999993</v>
      </c>
      <c r="BF94" s="150" t="s">
        <v>2053</v>
      </c>
      <c r="BJ94" s="765" t="s">
        <v>2052</v>
      </c>
      <c r="BK94" s="764">
        <f>BK92*Pile!EL472</f>
        <v>2.8628510399999993</v>
      </c>
      <c r="BL94" s="150" t="s">
        <v>2053</v>
      </c>
    </row>
    <row r="95" spans="2:67">
      <c r="B95" s="765" t="s">
        <v>2054</v>
      </c>
      <c r="C95" s="764">
        <f>(C92/C91)*Pile!L477</f>
        <v>2.8125</v>
      </c>
      <c r="D95" s="150" t="s">
        <v>2051</v>
      </c>
      <c r="H95" s="765" t="s">
        <v>2054</v>
      </c>
      <c r="I95" s="764">
        <f>(I92/I91)*Pile!Y477</f>
        <v>3.375</v>
      </c>
      <c r="J95" s="150" t="s">
        <v>2051</v>
      </c>
      <c r="N95" s="765" t="s">
        <v>2054</v>
      </c>
      <c r="O95" s="764">
        <f>(O92/O91)*Pile!AL477</f>
        <v>3.375</v>
      </c>
      <c r="P95" s="150" t="s">
        <v>2051</v>
      </c>
      <c r="T95" s="765" t="s">
        <v>2054</v>
      </c>
      <c r="U95" s="764">
        <f>(U92/U91)*Pile!AY477</f>
        <v>3.9375</v>
      </c>
      <c r="V95" s="150" t="s">
        <v>2051</v>
      </c>
      <c r="Z95" s="765" t="s">
        <v>2054</v>
      </c>
      <c r="AA95" s="764">
        <f>(AA92/AA91)*Pile!BL477</f>
        <v>3.375</v>
      </c>
      <c r="AB95" s="150" t="s">
        <v>2051</v>
      </c>
      <c r="AF95" s="765" t="s">
        <v>2054</v>
      </c>
      <c r="AG95" s="764">
        <f>(AG92/AG91)*Pile!BY477</f>
        <v>2.8125</v>
      </c>
      <c r="AH95" s="150" t="s">
        <v>2051</v>
      </c>
      <c r="AL95" s="765" t="s">
        <v>2054</v>
      </c>
      <c r="AM95" s="764">
        <f>(AM92/AM91)*Pile!CL477</f>
        <v>3.9375</v>
      </c>
      <c r="AN95" s="150" t="s">
        <v>2051</v>
      </c>
      <c r="AR95" s="765" t="s">
        <v>2054</v>
      </c>
      <c r="AS95" s="764">
        <f>(AS92/AS91)*Pile!CY477</f>
        <v>5.0625</v>
      </c>
      <c r="AT95" s="150" t="s">
        <v>2051</v>
      </c>
      <c r="AX95" s="765" t="s">
        <v>2054</v>
      </c>
      <c r="AY95" s="764">
        <f>(AY92/AY91)*Pile!DL477</f>
        <v>4.5</v>
      </c>
      <c r="AZ95" s="150" t="s">
        <v>2051</v>
      </c>
      <c r="BD95" s="765" t="s">
        <v>2054</v>
      </c>
      <c r="BE95" s="764">
        <f>(BE92/BE91)*Pile!DY477</f>
        <v>7.875</v>
      </c>
      <c r="BF95" s="150" t="s">
        <v>2051</v>
      </c>
      <c r="BJ95" s="765" t="s">
        <v>2054</v>
      </c>
      <c r="BK95" s="764">
        <f>(BK92/BK91)*Pile!EL477</f>
        <v>7.875</v>
      </c>
      <c r="BL95" s="150" t="s">
        <v>2051</v>
      </c>
    </row>
    <row r="96" spans="2:67" ht="15">
      <c r="B96" s="765" t="s">
        <v>2055</v>
      </c>
      <c r="C96" s="764">
        <f>C95*110/1000</f>
        <v>0.30937500000000001</v>
      </c>
      <c r="D96" s="150" t="s">
        <v>2053</v>
      </c>
      <c r="G96" s="257"/>
      <c r="H96" s="765" t="s">
        <v>2055</v>
      </c>
      <c r="I96" s="764">
        <f>I95*110/1000</f>
        <v>0.37125000000000002</v>
      </c>
      <c r="J96" s="150" t="s">
        <v>2053</v>
      </c>
      <c r="N96" s="765" t="s">
        <v>2055</v>
      </c>
      <c r="O96" s="764">
        <f>O95*110/1000</f>
        <v>0.37125000000000002</v>
      </c>
      <c r="P96" s="150" t="s">
        <v>2053</v>
      </c>
      <c r="T96" s="765" t="s">
        <v>2055</v>
      </c>
      <c r="U96" s="764">
        <f>U95*110/1000</f>
        <v>0.43312499999999998</v>
      </c>
      <c r="V96" s="150" t="s">
        <v>2053</v>
      </c>
      <c r="Z96" s="765" t="s">
        <v>2055</v>
      </c>
      <c r="AA96" s="764">
        <f>AA95*110/1000</f>
        <v>0.37125000000000002</v>
      </c>
      <c r="AB96" s="150" t="s">
        <v>2053</v>
      </c>
      <c r="AF96" s="765" t="s">
        <v>2055</v>
      </c>
      <c r="AG96" s="764">
        <f>AG95*110/1000</f>
        <v>0.30937500000000001</v>
      </c>
      <c r="AH96" s="150" t="s">
        <v>2053</v>
      </c>
      <c r="AL96" s="765" t="s">
        <v>2055</v>
      </c>
      <c r="AM96" s="764">
        <f>AM95*110/1000</f>
        <v>0.43312499999999998</v>
      </c>
      <c r="AN96" s="150" t="s">
        <v>2053</v>
      </c>
      <c r="AR96" s="765" t="s">
        <v>2055</v>
      </c>
      <c r="AS96" s="764">
        <f>AS95*110/1000</f>
        <v>0.55687500000000001</v>
      </c>
      <c r="AT96" s="150" t="s">
        <v>2053</v>
      </c>
      <c r="AX96" s="765" t="s">
        <v>2055</v>
      </c>
      <c r="AY96" s="764">
        <f>AY95*110/1000</f>
        <v>0.495</v>
      </c>
      <c r="AZ96" s="150" t="s">
        <v>2053</v>
      </c>
      <c r="BD96" s="765" t="s">
        <v>2055</v>
      </c>
      <c r="BE96" s="764">
        <f>BE95*110/1000</f>
        <v>0.86624999999999996</v>
      </c>
      <c r="BF96" s="150" t="s">
        <v>2053</v>
      </c>
      <c r="BJ96" s="765" t="s">
        <v>2055</v>
      </c>
      <c r="BK96" s="764">
        <f>BK95*110/1000</f>
        <v>0.86624999999999996</v>
      </c>
      <c r="BL96" s="150" t="s">
        <v>2053</v>
      </c>
    </row>
    <row r="97" spans="2:67">
      <c r="E97" s="765"/>
      <c r="H97" s="765"/>
      <c r="I97" s="764"/>
      <c r="K97" s="765"/>
      <c r="M97" s="779"/>
      <c r="N97" s="765"/>
      <c r="O97" s="764"/>
      <c r="Q97" s="765"/>
      <c r="S97" s="779"/>
      <c r="T97" s="765"/>
      <c r="U97" s="764"/>
      <c r="W97" s="765"/>
      <c r="Y97" s="779"/>
      <c r="Z97" s="765"/>
      <c r="AA97" s="764"/>
      <c r="AC97" s="765"/>
      <c r="AE97" s="779"/>
      <c r="AF97" s="765"/>
      <c r="AG97" s="764"/>
      <c r="AI97" s="765"/>
      <c r="AK97" s="779"/>
      <c r="AL97" s="765"/>
      <c r="AM97" s="764"/>
      <c r="AO97" s="765"/>
      <c r="AQ97" s="779"/>
      <c r="AR97" s="765"/>
      <c r="AS97" s="764"/>
      <c r="AU97" s="765"/>
      <c r="AW97" s="779"/>
      <c r="AX97" s="765"/>
      <c r="AY97" s="764"/>
      <c r="BA97" s="765"/>
      <c r="BC97" s="779"/>
      <c r="BD97" s="765"/>
      <c r="BE97" s="764"/>
      <c r="BG97" s="765"/>
      <c r="BI97" s="779"/>
      <c r="BJ97" s="765"/>
      <c r="BK97" s="764"/>
      <c r="BM97" s="765"/>
      <c r="BO97" s="779"/>
    </row>
    <row r="98" spans="2:67">
      <c r="B98" s="765" t="s">
        <v>1979</v>
      </c>
      <c r="C98" s="764">
        <f>$C$6</f>
        <v>6</v>
      </c>
      <c r="H98" s="765" t="s">
        <v>1979</v>
      </c>
      <c r="I98" s="764">
        <f>$C$6</f>
        <v>6</v>
      </c>
      <c r="M98" s="779"/>
      <c r="N98" s="765" t="s">
        <v>1979</v>
      </c>
      <c r="O98" s="764">
        <f>$C$6</f>
        <v>6</v>
      </c>
      <c r="S98" s="779"/>
      <c r="T98" s="765" t="s">
        <v>1979</v>
      </c>
      <c r="U98" s="764">
        <f>$C$6</f>
        <v>6</v>
      </c>
      <c r="Y98" s="779"/>
      <c r="Z98" s="765" t="s">
        <v>1979</v>
      </c>
      <c r="AA98" s="764">
        <f>$C$6</f>
        <v>6</v>
      </c>
      <c r="AE98" s="779"/>
      <c r="AF98" s="765" t="s">
        <v>1979</v>
      </c>
      <c r="AG98" s="764">
        <f>$C$6</f>
        <v>6</v>
      </c>
      <c r="AK98" s="779"/>
      <c r="AL98" s="765" t="s">
        <v>1979</v>
      </c>
      <c r="AM98" s="764">
        <f>$C$6</f>
        <v>6</v>
      </c>
      <c r="AQ98" s="779"/>
      <c r="AR98" s="765" t="s">
        <v>1979</v>
      </c>
      <c r="AS98" s="764">
        <f>$C$6</f>
        <v>6</v>
      </c>
      <c r="AW98" s="779"/>
      <c r="AX98" s="765" t="s">
        <v>1979</v>
      </c>
      <c r="AY98" s="764">
        <f>$C$6</f>
        <v>6</v>
      </c>
      <c r="BC98" s="779"/>
      <c r="BD98" s="765" t="s">
        <v>1979</v>
      </c>
      <c r="BE98" s="764">
        <f>$C$6</f>
        <v>6</v>
      </c>
      <c r="BI98" s="779"/>
      <c r="BJ98" s="765" t="s">
        <v>1979</v>
      </c>
      <c r="BK98" s="764">
        <f>$C$6</f>
        <v>6</v>
      </c>
      <c r="BO98" s="779"/>
    </row>
    <row r="99" spans="2:67">
      <c r="B99" s="765" t="s">
        <v>2056</v>
      </c>
      <c r="C99" s="764">
        <v>20</v>
      </c>
      <c r="D99" s="150" t="s">
        <v>15</v>
      </c>
      <c r="H99" s="765" t="s">
        <v>2056</v>
      </c>
      <c r="I99" s="764">
        <v>20</v>
      </c>
      <c r="J99" s="150" t="s">
        <v>15</v>
      </c>
      <c r="L99" s="190"/>
      <c r="M99" s="779"/>
      <c r="N99" s="765" t="s">
        <v>2056</v>
      </c>
      <c r="O99" s="764">
        <v>20</v>
      </c>
      <c r="P99" s="150" t="s">
        <v>15</v>
      </c>
      <c r="R99" s="190"/>
      <c r="S99" s="779"/>
      <c r="T99" s="765" t="s">
        <v>2056</v>
      </c>
      <c r="U99" s="764">
        <v>20</v>
      </c>
      <c r="V99" s="150" t="s">
        <v>15</v>
      </c>
      <c r="X99" s="190"/>
      <c r="Y99" s="779"/>
      <c r="Z99" s="765" t="s">
        <v>2056</v>
      </c>
      <c r="AA99" s="764">
        <v>20</v>
      </c>
      <c r="AB99" s="150" t="s">
        <v>15</v>
      </c>
      <c r="AD99" s="190"/>
      <c r="AE99" s="779"/>
      <c r="AF99" s="765" t="s">
        <v>2056</v>
      </c>
      <c r="AG99" s="764">
        <v>20</v>
      </c>
      <c r="AH99" s="150" t="s">
        <v>15</v>
      </c>
      <c r="AJ99" s="190"/>
      <c r="AK99" s="779"/>
      <c r="AL99" s="765" t="s">
        <v>2056</v>
      </c>
      <c r="AM99" s="764">
        <v>20</v>
      </c>
      <c r="AN99" s="150" t="s">
        <v>15</v>
      </c>
      <c r="AP99" s="190"/>
      <c r="AQ99" s="779"/>
      <c r="AR99" s="765" t="s">
        <v>2056</v>
      </c>
      <c r="AS99" s="764">
        <v>20</v>
      </c>
      <c r="AT99" s="150" t="s">
        <v>15</v>
      </c>
      <c r="AV99" s="190"/>
      <c r="AW99" s="779"/>
      <c r="AX99" s="765" t="s">
        <v>2056</v>
      </c>
      <c r="AY99" s="764">
        <v>20</v>
      </c>
      <c r="AZ99" s="150" t="s">
        <v>15</v>
      </c>
      <c r="BB99" s="190"/>
      <c r="BC99" s="779"/>
      <c r="BD99" s="765" t="s">
        <v>2056</v>
      </c>
      <c r="BE99" s="764">
        <v>20</v>
      </c>
      <c r="BF99" s="150" t="s">
        <v>15</v>
      </c>
      <c r="BH99" s="190"/>
      <c r="BI99" s="779"/>
      <c r="BJ99" s="765" t="s">
        <v>2056</v>
      </c>
      <c r="BK99" s="764">
        <v>20</v>
      </c>
      <c r="BL99" s="150" t="s">
        <v>15</v>
      </c>
      <c r="BN99" s="190"/>
      <c r="BO99" s="779"/>
    </row>
    <row r="100" spans="2:67">
      <c r="B100" s="765" t="s">
        <v>2057</v>
      </c>
      <c r="C100" s="764">
        <f>INDEX(G100:G105,MATCH(F106,F100:F105,0))</f>
        <v>18</v>
      </c>
      <c r="D100" s="150" t="s">
        <v>15</v>
      </c>
      <c r="F100" s="152">
        <f>IF(G100/C$62&lt;=1,G100/C$62,0)</f>
        <v>0.3</v>
      </c>
      <c r="G100" s="152">
        <f>C98</f>
        <v>6</v>
      </c>
      <c r="H100" s="765" t="s">
        <v>2057</v>
      </c>
      <c r="I100" s="764">
        <f>INDEX(M100:M105,MATCH(L106,L100:L105,0))</f>
        <v>18</v>
      </c>
      <c r="J100" s="150" t="s">
        <v>15</v>
      </c>
      <c r="L100" s="152">
        <f>IF(M100/I$62&lt;=1,M100/I$62,0)</f>
        <v>0.3</v>
      </c>
      <c r="M100" s="152">
        <f>I98</f>
        <v>6</v>
      </c>
      <c r="N100" s="765" t="s">
        <v>2057</v>
      </c>
      <c r="O100" s="764">
        <f>INDEX(S100:S105,MATCH(R106,R100:R105,0))</f>
        <v>18</v>
      </c>
      <c r="P100" s="150" t="s">
        <v>15</v>
      </c>
      <c r="R100" s="152">
        <f>IF(S100/O$62&lt;=1,S100/O$62,0)</f>
        <v>0.3</v>
      </c>
      <c r="S100" s="152">
        <f>O98</f>
        <v>6</v>
      </c>
      <c r="T100" s="765" t="s">
        <v>2057</v>
      </c>
      <c r="U100" s="764">
        <f>INDEX(Y100:Y105,MATCH(X106,X100:X105,0))</f>
        <v>18</v>
      </c>
      <c r="V100" s="150" t="s">
        <v>15</v>
      </c>
      <c r="X100" s="152">
        <f>IF(Y100/U$62&lt;=1,Y100/U$62,0)</f>
        <v>0.3</v>
      </c>
      <c r="Y100" s="152">
        <f>U98</f>
        <v>6</v>
      </c>
      <c r="Z100" s="765" t="s">
        <v>2057</v>
      </c>
      <c r="AA100" s="764">
        <f>INDEX(AE100:AE105,MATCH(AD106,AD100:AD105,0))</f>
        <v>18</v>
      </c>
      <c r="AB100" s="150" t="s">
        <v>15</v>
      </c>
      <c r="AD100" s="152">
        <f>IF(AE100/AA$62&lt;=1,AE100/AA$62,0)</f>
        <v>0.3</v>
      </c>
      <c r="AE100" s="152">
        <f>AA98</f>
        <v>6</v>
      </c>
      <c r="AF100" s="765" t="s">
        <v>2057</v>
      </c>
      <c r="AG100" s="764">
        <f>INDEX(AK100:AK105,MATCH(AJ106,AJ100:AJ105,0))</f>
        <v>18</v>
      </c>
      <c r="AH100" s="150" t="s">
        <v>15</v>
      </c>
      <c r="AJ100" s="152">
        <f>IF(AK100/AG$62&lt;=1,AK100/AG$62,0)</f>
        <v>0.3</v>
      </c>
      <c r="AK100" s="152">
        <f>AG98</f>
        <v>6</v>
      </c>
      <c r="AL100" s="765" t="s">
        <v>2057</v>
      </c>
      <c r="AM100" s="764">
        <f>INDEX(AQ100:AQ105,MATCH(AP106,AP100:AP105,0))</f>
        <v>18</v>
      </c>
      <c r="AN100" s="150" t="s">
        <v>15</v>
      </c>
      <c r="AP100" s="152">
        <f>IF(AQ100/AM$62&lt;=1,AQ100/AM$62,0)</f>
        <v>0.3</v>
      </c>
      <c r="AQ100" s="152">
        <f>AM98</f>
        <v>6</v>
      </c>
      <c r="AR100" s="765" t="s">
        <v>2057</v>
      </c>
      <c r="AS100" s="764">
        <f>INDEX(AW100:AW105,MATCH(AV106,AV100:AV105,0))</f>
        <v>18</v>
      </c>
      <c r="AT100" s="150" t="s">
        <v>15</v>
      </c>
      <c r="AV100" s="152">
        <f>IF(AW100/AS$62&lt;=1,AW100/AS$62,0)</f>
        <v>0.3</v>
      </c>
      <c r="AW100" s="152">
        <f>AS98</f>
        <v>6</v>
      </c>
      <c r="AX100" s="765" t="s">
        <v>2057</v>
      </c>
      <c r="AY100" s="764">
        <f>INDEX(BC100:BC105,MATCH(BB106,BB100:BB105,0))</f>
        <v>18</v>
      </c>
      <c r="AZ100" s="150" t="s">
        <v>15</v>
      </c>
      <c r="BB100" s="152">
        <f>IF(BC100/AY$62&lt;=1,BC100/AY$62,0)</f>
        <v>0.3</v>
      </c>
      <c r="BC100" s="152">
        <f>AY98</f>
        <v>6</v>
      </c>
      <c r="BD100" s="765" t="s">
        <v>2057</v>
      </c>
      <c r="BE100" s="764">
        <f>INDEX(BI100:BI105,MATCH(BH106,BH100:BH105,0))</f>
        <v>18</v>
      </c>
      <c r="BF100" s="150" t="s">
        <v>15</v>
      </c>
      <c r="BH100" s="152">
        <f>IF(BI100/BE$62&lt;=1,BI100/BE$62,0)</f>
        <v>0.3</v>
      </c>
      <c r="BI100" s="152">
        <f>BE98</f>
        <v>6</v>
      </c>
      <c r="BJ100" s="765" t="s">
        <v>2057</v>
      </c>
      <c r="BK100" s="764">
        <f>INDEX(BO100:BO105,MATCH(BN106,BN100:BN105,0))</f>
        <v>18</v>
      </c>
      <c r="BL100" s="150" t="s">
        <v>15</v>
      </c>
      <c r="BN100" s="152">
        <f>IF(BO100/BK$62&lt;=1,BO100/BK$62,0)</f>
        <v>0.3</v>
      </c>
      <c r="BO100" s="152">
        <f>BK98</f>
        <v>6</v>
      </c>
    </row>
    <row r="101" spans="2:67">
      <c r="B101" s="765" t="s">
        <v>2058</v>
      </c>
      <c r="C101" s="764">
        <f>MAX(2,ROUNDUP(C23/C100,0))</f>
        <v>3</v>
      </c>
      <c r="F101" s="152">
        <f t="shared" ref="F101:F105" si="21">IF(G101/C$62&lt;=1,G101/C$62,0)</f>
        <v>0.6</v>
      </c>
      <c r="G101" s="152">
        <f>2*C98</f>
        <v>12</v>
      </c>
      <c r="H101" s="765" t="s">
        <v>2058</v>
      </c>
      <c r="I101" s="764">
        <f>MAX(2,ROUNDUP(I23/I100,0))</f>
        <v>3</v>
      </c>
      <c r="L101" s="152">
        <f t="shared" ref="L101:L105" si="22">IF(M101/I$62&lt;=1,M101/I$62,0)</f>
        <v>0.6</v>
      </c>
      <c r="M101" s="152">
        <f>2*I98</f>
        <v>12</v>
      </c>
      <c r="N101" s="765" t="s">
        <v>2058</v>
      </c>
      <c r="O101" s="764">
        <f>MAX(2,ROUNDUP(O23/O100,0))</f>
        <v>3</v>
      </c>
      <c r="R101" s="152">
        <f t="shared" ref="R101:R105" si="23">IF(S101/O$62&lt;=1,S101/O$62,0)</f>
        <v>0.6</v>
      </c>
      <c r="S101" s="152">
        <f>2*O98</f>
        <v>12</v>
      </c>
      <c r="T101" s="765" t="s">
        <v>2058</v>
      </c>
      <c r="U101" s="764">
        <f>MAX(2,ROUNDUP(U23/U100,0))</f>
        <v>3</v>
      </c>
      <c r="X101" s="152">
        <f t="shared" ref="X101:X105" si="24">IF(Y101/U$62&lt;=1,Y101/U$62,0)</f>
        <v>0.6</v>
      </c>
      <c r="Y101" s="152">
        <f>2*U98</f>
        <v>12</v>
      </c>
      <c r="Z101" s="765" t="s">
        <v>2058</v>
      </c>
      <c r="AA101" s="764">
        <f>MAX(2,ROUNDUP(AA23/AA100,0))</f>
        <v>3</v>
      </c>
      <c r="AD101" s="152">
        <f t="shared" ref="AD101:AD105" si="25">IF(AE101/AA$62&lt;=1,AE101/AA$62,0)</f>
        <v>0.6</v>
      </c>
      <c r="AE101" s="152">
        <f>2*AA98</f>
        <v>12</v>
      </c>
      <c r="AF101" s="765" t="s">
        <v>2058</v>
      </c>
      <c r="AG101" s="764">
        <f>MAX(2,ROUNDUP(AG23/AG100,0))</f>
        <v>3</v>
      </c>
      <c r="AJ101" s="152">
        <f t="shared" ref="AJ101:AJ105" si="26">IF(AK101/AG$62&lt;=1,AK101/AG$62,0)</f>
        <v>0.6</v>
      </c>
      <c r="AK101" s="152">
        <f>2*AG98</f>
        <v>12</v>
      </c>
      <c r="AL101" s="765" t="s">
        <v>2058</v>
      </c>
      <c r="AM101" s="764">
        <f>MAX(2,ROUNDUP(AM23/AM100,0))</f>
        <v>3</v>
      </c>
      <c r="AP101" s="152">
        <f t="shared" ref="AP101:AP105" si="27">IF(AQ101/AM$62&lt;=1,AQ101/AM$62,0)</f>
        <v>0.6</v>
      </c>
      <c r="AQ101" s="152">
        <f>2*AM98</f>
        <v>12</v>
      </c>
      <c r="AR101" s="765" t="s">
        <v>2058</v>
      </c>
      <c r="AS101" s="764">
        <f>MAX(2,ROUNDUP(AS23/AS100,0))</f>
        <v>3</v>
      </c>
      <c r="AV101" s="152">
        <f t="shared" ref="AV101:AV105" si="28">IF(AW101/AS$62&lt;=1,AW101/AS$62,0)</f>
        <v>0.6</v>
      </c>
      <c r="AW101" s="152">
        <f>2*AS98</f>
        <v>12</v>
      </c>
      <c r="AX101" s="765" t="s">
        <v>2058</v>
      </c>
      <c r="AY101" s="764">
        <f>MAX(2,ROUNDUP(AY23/AY100,0))</f>
        <v>3</v>
      </c>
      <c r="BB101" s="152">
        <f t="shared" ref="BB101:BB105" si="29">IF(BC101/AY$62&lt;=1,BC101/AY$62,0)</f>
        <v>0.6</v>
      </c>
      <c r="BC101" s="152">
        <f>2*AY98</f>
        <v>12</v>
      </c>
      <c r="BD101" s="765" t="s">
        <v>2058</v>
      </c>
      <c r="BE101" s="764">
        <f>MAX(2,ROUNDUP(BE23/BE100,0))</f>
        <v>3</v>
      </c>
      <c r="BH101" s="152">
        <f t="shared" ref="BH101:BH105" si="30">IF(BI101/BE$62&lt;=1,BI101/BE$62,0)</f>
        <v>0.6</v>
      </c>
      <c r="BI101" s="152">
        <f>2*BE98</f>
        <v>12</v>
      </c>
      <c r="BJ101" s="765" t="s">
        <v>2058</v>
      </c>
      <c r="BK101" s="764">
        <f>MAX(2,ROUNDUP(BK23/BK100,0))</f>
        <v>3</v>
      </c>
      <c r="BN101" s="152">
        <f t="shared" ref="BN101:BN105" si="31">IF(BO101/BK$62&lt;=1,BO101/BK$62,0)</f>
        <v>0.6</v>
      </c>
      <c r="BO101" s="152">
        <f>2*BK98</f>
        <v>12</v>
      </c>
    </row>
    <row r="102" spans="2:67">
      <c r="B102" s="765" t="s">
        <v>2025</v>
      </c>
      <c r="C102" s="764">
        <f>C66</f>
        <v>1414</v>
      </c>
      <c r="D102" s="150" t="s">
        <v>58</v>
      </c>
      <c r="F102" s="152">
        <f t="shared" si="21"/>
        <v>0.9</v>
      </c>
      <c r="G102" s="152">
        <f>3*C98</f>
        <v>18</v>
      </c>
      <c r="H102" s="765" t="s">
        <v>2025</v>
      </c>
      <c r="I102" s="764">
        <f>I66</f>
        <v>1410.0000000000002</v>
      </c>
      <c r="J102" s="150" t="s">
        <v>58</v>
      </c>
      <c r="L102" s="152">
        <f t="shared" si="22"/>
        <v>0.9</v>
      </c>
      <c r="M102" s="152">
        <f>3*I98</f>
        <v>18</v>
      </c>
      <c r="N102" s="765" t="s">
        <v>2025</v>
      </c>
      <c r="O102" s="764">
        <f>O66</f>
        <v>1450</v>
      </c>
      <c r="P102" s="150" t="s">
        <v>58</v>
      </c>
      <c r="R102" s="152">
        <f t="shared" si="23"/>
        <v>0.9</v>
      </c>
      <c r="S102" s="152">
        <f>3*O98</f>
        <v>18</v>
      </c>
      <c r="T102" s="765" t="s">
        <v>2025</v>
      </c>
      <c r="U102" s="764">
        <f>U66</f>
        <v>1440</v>
      </c>
      <c r="V102" s="150" t="s">
        <v>58</v>
      </c>
      <c r="X102" s="152">
        <f t="shared" si="24"/>
        <v>0.9</v>
      </c>
      <c r="Y102" s="152">
        <f>3*U98</f>
        <v>18</v>
      </c>
      <c r="Z102" s="765" t="s">
        <v>2025</v>
      </c>
      <c r="AA102" s="764">
        <f>AA66</f>
        <v>1470.0000000000002</v>
      </c>
      <c r="AB102" s="150" t="s">
        <v>58</v>
      </c>
      <c r="AD102" s="152">
        <f t="shared" si="25"/>
        <v>0.9</v>
      </c>
      <c r="AE102" s="152">
        <f>3*AA98</f>
        <v>18</v>
      </c>
      <c r="AF102" s="765" t="s">
        <v>2025</v>
      </c>
      <c r="AG102" s="764">
        <f>AG66</f>
        <v>1470.0000000000002</v>
      </c>
      <c r="AH102" s="150" t="s">
        <v>58</v>
      </c>
      <c r="AJ102" s="152">
        <f t="shared" si="26"/>
        <v>0.9</v>
      </c>
      <c r="AK102" s="152">
        <f>3*AG98</f>
        <v>18</v>
      </c>
      <c r="AL102" s="765" t="s">
        <v>2025</v>
      </c>
      <c r="AM102" s="764">
        <f>AM66</f>
        <v>1553.2</v>
      </c>
      <c r="AN102" s="150" t="s">
        <v>58</v>
      </c>
      <c r="AP102" s="152">
        <f t="shared" si="27"/>
        <v>0.9</v>
      </c>
      <c r="AQ102" s="152">
        <f>3*AM98</f>
        <v>18</v>
      </c>
      <c r="AR102" s="765" t="s">
        <v>2025</v>
      </c>
      <c r="AS102" s="764">
        <f>AS66</f>
        <v>1532</v>
      </c>
      <c r="AT102" s="150" t="s">
        <v>58</v>
      </c>
      <c r="AV102" s="152">
        <f t="shared" si="28"/>
        <v>0.9</v>
      </c>
      <c r="AW102" s="152">
        <f>3*AS98</f>
        <v>18</v>
      </c>
      <c r="AX102" s="765" t="s">
        <v>2025</v>
      </c>
      <c r="AY102" s="764">
        <f>AY66</f>
        <v>1469.904</v>
      </c>
      <c r="AZ102" s="150" t="s">
        <v>58</v>
      </c>
      <c r="BB102" s="152">
        <f t="shared" si="29"/>
        <v>0.9</v>
      </c>
      <c r="BC102" s="152">
        <f>3*AY98</f>
        <v>18</v>
      </c>
      <c r="BD102" s="765" t="s">
        <v>2025</v>
      </c>
      <c r="BE102" s="764">
        <f>BE66</f>
        <v>1513.6000000000001</v>
      </c>
      <c r="BF102" s="150" t="s">
        <v>58</v>
      </c>
      <c r="BH102" s="152">
        <f t="shared" si="30"/>
        <v>0.9</v>
      </c>
      <c r="BI102" s="152">
        <f>3*BE98</f>
        <v>18</v>
      </c>
      <c r="BJ102" s="765" t="s">
        <v>2025</v>
      </c>
      <c r="BK102" s="764">
        <f>BK66</f>
        <v>1550</v>
      </c>
      <c r="BL102" s="150" t="s">
        <v>58</v>
      </c>
      <c r="BN102" s="152">
        <f t="shared" si="31"/>
        <v>0.9</v>
      </c>
      <c r="BO102" s="152">
        <f>3*BK98</f>
        <v>18</v>
      </c>
    </row>
    <row r="103" spans="2:67">
      <c r="B103" s="765" t="s">
        <v>2026</v>
      </c>
      <c r="C103" s="764">
        <f>C69</f>
        <v>200</v>
      </c>
      <c r="F103" s="152">
        <f t="shared" si="21"/>
        <v>0</v>
      </c>
      <c r="G103" s="152">
        <f>4*C98</f>
        <v>24</v>
      </c>
      <c r="H103" s="765" t="s">
        <v>2026</v>
      </c>
      <c r="I103" s="764">
        <f>I69</f>
        <v>200</v>
      </c>
      <c r="L103" s="152">
        <f t="shared" si="22"/>
        <v>0</v>
      </c>
      <c r="M103" s="152">
        <f>4*I98</f>
        <v>24</v>
      </c>
      <c r="N103" s="765" t="s">
        <v>2026</v>
      </c>
      <c r="O103" s="764">
        <f>O69</f>
        <v>200</v>
      </c>
      <c r="R103" s="152">
        <f t="shared" si="23"/>
        <v>0</v>
      </c>
      <c r="S103" s="152">
        <f>4*O98</f>
        <v>24</v>
      </c>
      <c r="T103" s="765" t="s">
        <v>2026</v>
      </c>
      <c r="U103" s="764">
        <f>U69</f>
        <v>200</v>
      </c>
      <c r="X103" s="152">
        <f t="shared" si="24"/>
        <v>0</v>
      </c>
      <c r="Y103" s="152">
        <f>4*U98</f>
        <v>24</v>
      </c>
      <c r="Z103" s="765" t="s">
        <v>2026</v>
      </c>
      <c r="AA103" s="764">
        <f>AA69</f>
        <v>200</v>
      </c>
      <c r="AD103" s="152">
        <f t="shared" si="25"/>
        <v>0</v>
      </c>
      <c r="AE103" s="152">
        <f>4*AA98</f>
        <v>24</v>
      </c>
      <c r="AF103" s="765" t="s">
        <v>2026</v>
      </c>
      <c r="AG103" s="764">
        <f>AG69</f>
        <v>200</v>
      </c>
      <c r="AJ103" s="152">
        <f t="shared" si="26"/>
        <v>0</v>
      </c>
      <c r="AK103" s="152">
        <f>4*AG98</f>
        <v>24</v>
      </c>
      <c r="AL103" s="765" t="s">
        <v>2026</v>
      </c>
      <c r="AM103" s="764">
        <f>AM69</f>
        <v>225</v>
      </c>
      <c r="AP103" s="152">
        <f t="shared" si="27"/>
        <v>0</v>
      </c>
      <c r="AQ103" s="152">
        <f>4*AM98</f>
        <v>24</v>
      </c>
      <c r="AR103" s="765" t="s">
        <v>2026</v>
      </c>
      <c r="AS103" s="764">
        <f>AS69</f>
        <v>225</v>
      </c>
      <c r="AV103" s="152">
        <f t="shared" si="28"/>
        <v>0</v>
      </c>
      <c r="AW103" s="152">
        <f>4*AS98</f>
        <v>24</v>
      </c>
      <c r="AX103" s="765" t="s">
        <v>2026</v>
      </c>
      <c r="AY103" s="764">
        <f>AY69</f>
        <v>200</v>
      </c>
      <c r="BB103" s="152">
        <f t="shared" si="29"/>
        <v>0</v>
      </c>
      <c r="BC103" s="152">
        <f>4*AY98</f>
        <v>24</v>
      </c>
      <c r="BD103" s="765" t="s">
        <v>2026</v>
      </c>
      <c r="BE103" s="764">
        <f>BE69</f>
        <v>225</v>
      </c>
      <c r="BH103" s="152">
        <f t="shared" si="30"/>
        <v>0</v>
      </c>
      <c r="BI103" s="152">
        <f>4*BE98</f>
        <v>24</v>
      </c>
      <c r="BJ103" s="765" t="s">
        <v>2026</v>
      </c>
      <c r="BK103" s="764">
        <f>BK69</f>
        <v>225</v>
      </c>
      <c r="BN103" s="152">
        <f t="shared" si="31"/>
        <v>0</v>
      </c>
      <c r="BO103" s="152">
        <f>4*BK98</f>
        <v>24</v>
      </c>
    </row>
    <row r="104" spans="2:67">
      <c r="C104" s="764">
        <f>0.001*C102/C61</f>
        <v>0.23566666666666666</v>
      </c>
      <c r="F104" s="152">
        <f t="shared" si="21"/>
        <v>0</v>
      </c>
      <c r="G104" s="152">
        <f>5*C98</f>
        <v>30</v>
      </c>
      <c r="H104" s="765"/>
      <c r="I104" s="764">
        <f>0.001*I102/I61</f>
        <v>0.23500000000000007</v>
      </c>
      <c r="L104" s="152">
        <f t="shared" si="22"/>
        <v>0</v>
      </c>
      <c r="M104" s="152">
        <f>5*I98</f>
        <v>30</v>
      </c>
      <c r="N104" s="765"/>
      <c r="O104" s="764">
        <f>0.001*O102/O61</f>
        <v>0.24166666666666667</v>
      </c>
      <c r="R104" s="152">
        <f t="shared" si="23"/>
        <v>0</v>
      </c>
      <c r="S104" s="152">
        <f>5*O98</f>
        <v>30</v>
      </c>
      <c r="T104" s="765"/>
      <c r="U104" s="764">
        <f>0.001*U102/U61</f>
        <v>0.24</v>
      </c>
      <c r="X104" s="152">
        <f t="shared" si="24"/>
        <v>0</v>
      </c>
      <c r="Y104" s="152">
        <f>5*U98</f>
        <v>30</v>
      </c>
      <c r="Z104" s="765"/>
      <c r="AA104" s="764">
        <f>0.001*AA102/AA61</f>
        <v>0.24500000000000002</v>
      </c>
      <c r="AD104" s="152">
        <f t="shared" si="25"/>
        <v>0</v>
      </c>
      <c r="AE104" s="152">
        <f>5*AA98</f>
        <v>30</v>
      </c>
      <c r="AF104" s="765"/>
      <c r="AG104" s="764">
        <f>0.001*AG102/AG61</f>
        <v>0.24500000000000002</v>
      </c>
      <c r="AJ104" s="152">
        <f t="shared" si="26"/>
        <v>0</v>
      </c>
      <c r="AK104" s="152">
        <f>5*AG98</f>
        <v>30</v>
      </c>
      <c r="AL104" s="765"/>
      <c r="AM104" s="764">
        <f>0.001*AM102/AM61</f>
        <v>0.25886666666666669</v>
      </c>
      <c r="AP104" s="152">
        <f t="shared" si="27"/>
        <v>0</v>
      </c>
      <c r="AQ104" s="152">
        <f>5*AM98</f>
        <v>30</v>
      </c>
      <c r="AR104" s="765"/>
      <c r="AS104" s="764">
        <f>0.001*AS102/AS61</f>
        <v>0.25533333333333336</v>
      </c>
      <c r="AV104" s="152">
        <f t="shared" si="28"/>
        <v>0</v>
      </c>
      <c r="AW104" s="152">
        <f>5*AS98</f>
        <v>30</v>
      </c>
      <c r="AX104" s="765"/>
      <c r="AY104" s="764">
        <f>0.001*AY102/AY61</f>
        <v>0.24498400000000001</v>
      </c>
      <c r="BB104" s="152">
        <f t="shared" si="29"/>
        <v>0</v>
      </c>
      <c r="BC104" s="152">
        <f>5*AY98</f>
        <v>30</v>
      </c>
      <c r="BD104" s="765"/>
      <c r="BE104" s="764">
        <f>0.001*BE102/BE61</f>
        <v>0.25226666666666669</v>
      </c>
      <c r="BH104" s="152">
        <f t="shared" si="30"/>
        <v>0</v>
      </c>
      <c r="BI104" s="152">
        <f>5*BE98</f>
        <v>30</v>
      </c>
      <c r="BJ104" s="765"/>
      <c r="BK104" s="764">
        <f>0.001*BK102/BK61</f>
        <v>0.25833333333333336</v>
      </c>
      <c r="BN104" s="152">
        <f t="shared" si="31"/>
        <v>0</v>
      </c>
      <c r="BO104" s="152">
        <f>5*BK98</f>
        <v>30</v>
      </c>
    </row>
    <row r="105" spans="2:67">
      <c r="B105" s="765" t="s">
        <v>2027</v>
      </c>
      <c r="C105" s="764">
        <f>ROUNDUP(C104,0)</f>
        <v>1</v>
      </c>
      <c r="F105" s="152">
        <f t="shared" si="21"/>
        <v>0</v>
      </c>
      <c r="G105" s="152">
        <f>6*C98</f>
        <v>36</v>
      </c>
      <c r="H105" s="765" t="s">
        <v>2027</v>
      </c>
      <c r="I105" s="764">
        <f>ROUNDUP(I104,0)</f>
        <v>1</v>
      </c>
      <c r="L105" s="152">
        <f t="shared" si="22"/>
        <v>0</v>
      </c>
      <c r="M105" s="152">
        <f>6*I98</f>
        <v>36</v>
      </c>
      <c r="N105" s="765" t="s">
        <v>2027</v>
      </c>
      <c r="O105" s="764">
        <f>ROUNDUP(O104,0)</f>
        <v>1</v>
      </c>
      <c r="R105" s="152">
        <f t="shared" si="23"/>
        <v>0</v>
      </c>
      <c r="S105" s="152">
        <f>6*O98</f>
        <v>36</v>
      </c>
      <c r="T105" s="765" t="s">
        <v>2027</v>
      </c>
      <c r="U105" s="764">
        <f>ROUNDUP(U104,0)</f>
        <v>1</v>
      </c>
      <c r="X105" s="152">
        <f t="shared" si="24"/>
        <v>0</v>
      </c>
      <c r="Y105" s="152">
        <f>6*U98</f>
        <v>36</v>
      </c>
      <c r="Z105" s="765" t="s">
        <v>2027</v>
      </c>
      <c r="AA105" s="764">
        <f>ROUNDUP(AA104,0)</f>
        <v>1</v>
      </c>
      <c r="AD105" s="152">
        <f t="shared" si="25"/>
        <v>0</v>
      </c>
      <c r="AE105" s="152">
        <f>6*AA98</f>
        <v>36</v>
      </c>
      <c r="AF105" s="765" t="s">
        <v>2027</v>
      </c>
      <c r="AG105" s="764">
        <f>ROUNDUP(AG104,0)</f>
        <v>1</v>
      </c>
      <c r="AJ105" s="152">
        <f t="shared" si="26"/>
        <v>0</v>
      </c>
      <c r="AK105" s="152">
        <f>6*AG98</f>
        <v>36</v>
      </c>
      <c r="AL105" s="765" t="s">
        <v>2027</v>
      </c>
      <c r="AM105" s="764">
        <f>ROUNDUP(AM104,0)</f>
        <v>1</v>
      </c>
      <c r="AP105" s="152">
        <f t="shared" si="27"/>
        <v>0</v>
      </c>
      <c r="AQ105" s="152">
        <f>6*AM98</f>
        <v>36</v>
      </c>
      <c r="AR105" s="765" t="s">
        <v>2027</v>
      </c>
      <c r="AS105" s="764">
        <f>ROUNDUP(AS104,0)</f>
        <v>1</v>
      </c>
      <c r="AV105" s="152">
        <f t="shared" si="28"/>
        <v>0</v>
      </c>
      <c r="AW105" s="152">
        <f>6*AS98</f>
        <v>36</v>
      </c>
      <c r="AX105" s="765" t="s">
        <v>2027</v>
      </c>
      <c r="AY105" s="764">
        <f>ROUNDUP(AY104,0)</f>
        <v>1</v>
      </c>
      <c r="BB105" s="152">
        <f t="shared" si="29"/>
        <v>0</v>
      </c>
      <c r="BC105" s="152">
        <f>6*AY98</f>
        <v>36</v>
      </c>
      <c r="BD105" s="765" t="s">
        <v>2027</v>
      </c>
      <c r="BE105" s="764">
        <f>ROUNDUP(BE104,0)</f>
        <v>1</v>
      </c>
      <c r="BH105" s="152">
        <f t="shared" si="30"/>
        <v>0</v>
      </c>
      <c r="BI105" s="152">
        <f>6*BE98</f>
        <v>36</v>
      </c>
      <c r="BJ105" s="765" t="s">
        <v>2027</v>
      </c>
      <c r="BK105" s="764">
        <f>ROUNDUP(BK104,0)</f>
        <v>1</v>
      </c>
      <c r="BN105" s="152">
        <f t="shared" si="31"/>
        <v>0</v>
      </c>
      <c r="BO105" s="152">
        <f>6*BK98</f>
        <v>36</v>
      </c>
    </row>
    <row r="106" spans="2:67">
      <c r="B106" s="765" t="s">
        <v>2059</v>
      </c>
      <c r="C106" s="764">
        <f>IF((C104+C105)/2&lt;1,1,(C104+C105)/2)</f>
        <v>1</v>
      </c>
      <c r="E106" s="751"/>
      <c r="F106" s="152">
        <f>MAX(F100:F105)</f>
        <v>0.9</v>
      </c>
      <c r="H106" s="765" t="s">
        <v>2059</v>
      </c>
      <c r="I106" s="764">
        <f>IF((I104+I105)/2&lt;1,1,(I104+I105)/2)</f>
        <v>1</v>
      </c>
      <c r="K106" s="751"/>
      <c r="L106" s="152">
        <f>MAX(L100:L105)</f>
        <v>0.9</v>
      </c>
      <c r="N106" s="765" t="s">
        <v>2059</v>
      </c>
      <c r="O106" s="764">
        <f>IF((O104+O105)/2&lt;1,1,(O104+O105)/2)</f>
        <v>1</v>
      </c>
      <c r="Q106" s="751"/>
      <c r="R106" s="152">
        <f>MAX(R100:R105)</f>
        <v>0.9</v>
      </c>
      <c r="T106" s="765" t="s">
        <v>2059</v>
      </c>
      <c r="U106" s="764">
        <f>IF((U104+U105)/2&lt;1,1,(U104+U105)/2)</f>
        <v>1</v>
      </c>
      <c r="W106" s="751"/>
      <c r="X106" s="152">
        <f>MAX(X100:X105)</f>
        <v>0.9</v>
      </c>
      <c r="Z106" s="765" t="s">
        <v>2059</v>
      </c>
      <c r="AA106" s="764">
        <f>IF((AA104+AA105)/2&lt;1,1,(AA104+AA105)/2)</f>
        <v>1</v>
      </c>
      <c r="AC106" s="751"/>
      <c r="AD106" s="152">
        <f>MAX(AD100:AD105)</f>
        <v>0.9</v>
      </c>
      <c r="AF106" s="765" t="s">
        <v>2059</v>
      </c>
      <c r="AG106" s="764">
        <f>IF((AG104+AG105)/2&lt;1,1,(AG104+AG105)/2)</f>
        <v>1</v>
      </c>
      <c r="AI106" s="751"/>
      <c r="AJ106" s="152">
        <f>MAX(AJ100:AJ105)</f>
        <v>0.9</v>
      </c>
      <c r="AL106" s="765" t="s">
        <v>2059</v>
      </c>
      <c r="AM106" s="764">
        <f>IF((AM104+AM105)/2&lt;1,1,(AM104+AM105)/2)</f>
        <v>1</v>
      </c>
      <c r="AO106" s="751"/>
      <c r="AP106" s="152">
        <f>MAX(AP100:AP105)</f>
        <v>0.9</v>
      </c>
      <c r="AR106" s="765" t="s">
        <v>2059</v>
      </c>
      <c r="AS106" s="764">
        <f>IF((AS104+AS105)/2&lt;1,1,(AS104+AS105)/2)</f>
        <v>1</v>
      </c>
      <c r="AU106" s="751"/>
      <c r="AV106" s="152">
        <f>MAX(AV100:AV105)</f>
        <v>0.9</v>
      </c>
      <c r="AX106" s="765" t="s">
        <v>2059</v>
      </c>
      <c r="AY106" s="764">
        <f>IF((AY104+AY105)/2&lt;1,1,(AY104+AY105)/2)</f>
        <v>1</v>
      </c>
      <c r="BA106" s="751"/>
      <c r="BB106" s="152">
        <f>MAX(BB100:BB105)</f>
        <v>0.9</v>
      </c>
      <c r="BD106" s="765" t="s">
        <v>2059</v>
      </c>
      <c r="BE106" s="764">
        <f>IF((BE104+BE105)/2&lt;1,1,(BE104+BE105)/2)</f>
        <v>1</v>
      </c>
      <c r="BG106" s="751"/>
      <c r="BH106" s="152">
        <f>MAX(BH100:BH105)</f>
        <v>0.9</v>
      </c>
      <c r="BJ106" s="765" t="s">
        <v>2059</v>
      </c>
      <c r="BK106" s="764">
        <f>IF((BK104+BK105)/2&lt;1,1,(BK104+BK105)/2)</f>
        <v>1</v>
      </c>
      <c r="BM106" s="751"/>
      <c r="BN106" s="152">
        <f>MAX(BN100:BN105)</f>
        <v>0.9</v>
      </c>
    </row>
    <row r="107" spans="2:67">
      <c r="B107" s="765" t="s">
        <v>2029</v>
      </c>
      <c r="C107" s="764" t="str">
        <f>IF(C98&gt;C35,"Yes","No")</f>
        <v>Yes</v>
      </c>
      <c r="H107" s="765" t="s">
        <v>2029</v>
      </c>
      <c r="I107" s="764" t="str">
        <f>IF(I98&gt;I35,"Yes","No")</f>
        <v>Yes</v>
      </c>
      <c r="N107" s="765" t="s">
        <v>2029</v>
      </c>
      <c r="O107" s="764" t="str">
        <f>IF(O98&gt;O35,"Yes","No")</f>
        <v>Yes</v>
      </c>
      <c r="T107" s="765" t="s">
        <v>2029</v>
      </c>
      <c r="U107" s="764" t="str">
        <f>IF(U98&gt;U35,"Yes","No")</f>
        <v>Yes</v>
      </c>
      <c r="Z107" s="765" t="s">
        <v>2029</v>
      </c>
      <c r="AA107" s="764" t="str">
        <f>IF(AA98&gt;AA35,"Yes","No")</f>
        <v>Yes</v>
      </c>
      <c r="AF107" s="765" t="s">
        <v>2029</v>
      </c>
      <c r="AG107" s="764" t="str">
        <f>IF(AG98&gt;AG35,"Yes","No")</f>
        <v>Yes</v>
      </c>
      <c r="AL107" s="765" t="s">
        <v>2029</v>
      </c>
      <c r="AM107" s="764" t="str">
        <f>IF(AM98&gt;AM35,"Yes","No")</f>
        <v>Yes</v>
      </c>
      <c r="AR107" s="765" t="s">
        <v>2029</v>
      </c>
      <c r="AS107" s="764" t="str">
        <f>IF(AS98&gt;AS35,"Yes","No")</f>
        <v>Yes</v>
      </c>
      <c r="AX107" s="765" t="s">
        <v>2029</v>
      </c>
      <c r="AY107" s="764" t="str">
        <f>IF(AY98&gt;AY35,"Yes","No")</f>
        <v>Yes</v>
      </c>
      <c r="BD107" s="765" t="s">
        <v>2029</v>
      </c>
      <c r="BE107" s="764" t="str">
        <f>IF(BE98&gt;BE35,"Yes","No")</f>
        <v>Yes</v>
      </c>
      <c r="BJ107" s="765" t="s">
        <v>2029</v>
      </c>
      <c r="BK107" s="764" t="str">
        <f>IF(BK98&gt;BK35,"Yes","No")</f>
        <v>Yes</v>
      </c>
    </row>
    <row r="108" spans="2:67">
      <c r="B108" s="765" t="s">
        <v>2030</v>
      </c>
      <c r="C108" s="764">
        <f>C74</f>
        <v>482.75700000000001</v>
      </c>
      <c r="D108" s="150" t="s">
        <v>1239</v>
      </c>
      <c r="H108" s="765" t="s">
        <v>2030</v>
      </c>
      <c r="I108" s="764">
        <f>I74</f>
        <v>462.95699999999999</v>
      </c>
      <c r="J108" s="150" t="s">
        <v>1239</v>
      </c>
      <c r="L108" s="190"/>
      <c r="N108" s="765" t="s">
        <v>2030</v>
      </c>
      <c r="O108" s="764">
        <f>O74</f>
        <v>409.57952419354802</v>
      </c>
      <c r="P108" s="150" t="s">
        <v>1239</v>
      </c>
      <c r="R108" s="190"/>
      <c r="T108" s="765" t="s">
        <v>2030</v>
      </c>
      <c r="U108" s="764">
        <f>U74</f>
        <v>340.053</v>
      </c>
      <c r="V108" s="150" t="s">
        <v>1239</v>
      </c>
      <c r="X108" s="190"/>
      <c r="Z108" s="765" t="s">
        <v>2030</v>
      </c>
      <c r="AA108" s="764">
        <f>AA74</f>
        <v>418.88220000000001</v>
      </c>
      <c r="AB108" s="150" t="s">
        <v>1239</v>
      </c>
      <c r="AD108" s="190"/>
      <c r="AF108" s="765" t="s">
        <v>2030</v>
      </c>
      <c r="AG108" s="764">
        <f>AG74</f>
        <v>555.82799999999997</v>
      </c>
      <c r="AH108" s="150" t="s">
        <v>1239</v>
      </c>
      <c r="AJ108" s="190"/>
      <c r="AL108" s="765" t="s">
        <v>2030</v>
      </c>
      <c r="AM108" s="764">
        <f>AM74</f>
        <v>344.97324000000003</v>
      </c>
      <c r="AN108" s="150" t="s">
        <v>1239</v>
      </c>
      <c r="AP108" s="190"/>
      <c r="AR108" s="765" t="s">
        <v>2030</v>
      </c>
      <c r="AS108" s="764">
        <f>AS74</f>
        <v>262.94623200000001</v>
      </c>
      <c r="AT108" s="150" t="s">
        <v>1239</v>
      </c>
      <c r="AV108" s="190"/>
      <c r="AX108" s="765" t="s">
        <v>2030</v>
      </c>
      <c r="AY108" s="764">
        <f>AY74</f>
        <v>270.56095025155565</v>
      </c>
      <c r="AZ108" s="150" t="s">
        <v>1239</v>
      </c>
      <c r="BB108" s="190"/>
      <c r="BD108" s="765" t="s">
        <v>2030</v>
      </c>
      <c r="BE108" s="764">
        <f>BE74</f>
        <v>88.72578</v>
      </c>
      <c r="BF108" s="150" t="s">
        <v>1239</v>
      </c>
      <c r="BH108" s="190"/>
      <c r="BJ108" s="765" t="s">
        <v>2030</v>
      </c>
      <c r="BK108" s="764">
        <f>BK74</f>
        <v>95.109566399999977</v>
      </c>
      <c r="BL108" s="150" t="s">
        <v>1239</v>
      </c>
      <c r="BN108" s="190"/>
    </row>
    <row r="109" spans="2:67">
      <c r="B109" s="765" t="s">
        <v>2031</v>
      </c>
      <c r="C109" s="764">
        <f>C75</f>
        <v>180</v>
      </c>
      <c r="D109" s="150" t="s">
        <v>1239</v>
      </c>
      <c r="F109" s="190"/>
      <c r="G109" s="190"/>
      <c r="H109" s="765" t="s">
        <v>2031</v>
      </c>
      <c r="I109" s="764">
        <f>I75</f>
        <v>180</v>
      </c>
      <c r="J109" s="150" t="s">
        <v>1239</v>
      </c>
      <c r="L109" s="190"/>
      <c r="N109" s="765" t="s">
        <v>2031</v>
      </c>
      <c r="O109" s="764">
        <f>O75</f>
        <v>180</v>
      </c>
      <c r="P109" s="150" t="s">
        <v>1239</v>
      </c>
      <c r="R109" s="190"/>
      <c r="T109" s="765" t="s">
        <v>2031</v>
      </c>
      <c r="U109" s="764">
        <f>U75</f>
        <v>180</v>
      </c>
      <c r="V109" s="150" t="s">
        <v>1239</v>
      </c>
      <c r="X109" s="190"/>
      <c r="Z109" s="765" t="s">
        <v>2031</v>
      </c>
      <c r="AA109" s="764">
        <f>AA75</f>
        <v>180</v>
      </c>
      <c r="AB109" s="150" t="s">
        <v>1239</v>
      </c>
      <c r="AD109" s="190"/>
      <c r="AF109" s="765" t="s">
        <v>2031</v>
      </c>
      <c r="AG109" s="764">
        <f>AG75</f>
        <v>180</v>
      </c>
      <c r="AH109" s="150" t="s">
        <v>1239</v>
      </c>
      <c r="AJ109" s="190"/>
      <c r="AL109" s="765" t="s">
        <v>2031</v>
      </c>
      <c r="AM109" s="764">
        <f>AM75</f>
        <v>180</v>
      </c>
      <c r="AN109" s="150" t="s">
        <v>1239</v>
      </c>
      <c r="AP109" s="190"/>
      <c r="AR109" s="765" t="s">
        <v>2031</v>
      </c>
      <c r="AS109" s="764">
        <f>AS75</f>
        <v>180</v>
      </c>
      <c r="AT109" s="150" t="s">
        <v>1239</v>
      </c>
      <c r="AV109" s="190"/>
      <c r="AX109" s="765" t="s">
        <v>2031</v>
      </c>
      <c r="AY109" s="764">
        <f>AY75</f>
        <v>180</v>
      </c>
      <c r="AZ109" s="150" t="s">
        <v>1239</v>
      </c>
      <c r="BB109" s="190"/>
      <c r="BD109" s="765" t="s">
        <v>2031</v>
      </c>
      <c r="BE109" s="764">
        <f>BE75</f>
        <v>180</v>
      </c>
      <c r="BF109" s="150" t="s">
        <v>1239</v>
      </c>
      <c r="BH109" s="190"/>
      <c r="BJ109" s="765" t="s">
        <v>2031</v>
      </c>
      <c r="BK109" s="764">
        <f>BK75</f>
        <v>180</v>
      </c>
      <c r="BL109" s="150" t="s">
        <v>1239</v>
      </c>
      <c r="BN109" s="190"/>
    </row>
    <row r="110" spans="2:67">
      <c r="B110" s="765" t="s">
        <v>2032</v>
      </c>
      <c r="C110" s="764">
        <f>25*C59*(C103/1000)+C108*C106/C102*1000</f>
        <v>376.76230551626594</v>
      </c>
      <c r="D110" s="150" t="s">
        <v>590</v>
      </c>
      <c r="H110" s="765" t="s">
        <v>2032</v>
      </c>
      <c r="I110" s="764">
        <f>25*I59*(I103/1000)+I108*I106/I102*1000</f>
        <v>363.58829787234038</v>
      </c>
      <c r="J110" s="150" t="s">
        <v>590</v>
      </c>
      <c r="N110" s="765" t="s">
        <v>2032</v>
      </c>
      <c r="O110" s="764">
        <f>25*O59*(O103/1000)+O108*O106/O102*1000</f>
        <v>318.71863737486075</v>
      </c>
      <c r="P110" s="150" t="s">
        <v>590</v>
      </c>
      <c r="T110" s="765" t="s">
        <v>2032</v>
      </c>
      <c r="U110" s="764">
        <f>25*U59*(U103/1000)+U108*U106/U102*1000</f>
        <v>272.14791666666667</v>
      </c>
      <c r="V110" s="150" t="s">
        <v>590</v>
      </c>
      <c r="Z110" s="765" t="s">
        <v>2032</v>
      </c>
      <c r="AA110" s="764">
        <f>25*AA59*(AA103/1000)+AA108*AA106/AA102*1000</f>
        <v>321.70387755102035</v>
      </c>
      <c r="AB110" s="150" t="s">
        <v>590</v>
      </c>
      <c r="AF110" s="765" t="s">
        <v>2032</v>
      </c>
      <c r="AG110" s="764">
        <f>25*AG59*(AG103/1000)+AG108*AG106/AG102*1000</f>
        <v>414.86428571428564</v>
      </c>
      <c r="AH110" s="150" t="s">
        <v>590</v>
      </c>
      <c r="AL110" s="765" t="s">
        <v>2032</v>
      </c>
      <c r="AM110" s="764">
        <f>25*AM59*(AM103/1000)+AM108*AM106/AM102*1000</f>
        <v>265.78859161730622</v>
      </c>
      <c r="AN110" s="150" t="s">
        <v>590</v>
      </c>
      <c r="AR110" s="765" t="s">
        <v>2032</v>
      </c>
      <c r="AS110" s="764">
        <f>25*AS59*(AS103/1000)+AS108*AS106/AS102*1000</f>
        <v>214.72342167101829</v>
      </c>
      <c r="AT110" s="150" t="s">
        <v>590</v>
      </c>
      <c r="AX110" s="765" t="s">
        <v>2032</v>
      </c>
      <c r="AY110" s="764">
        <f>25*AY59*(AY103/1000)+AY108*AY106/AY102*1000</f>
        <v>220.81468890618413</v>
      </c>
      <c r="AZ110" s="150" t="s">
        <v>590</v>
      </c>
      <c r="BD110" s="765" t="s">
        <v>2032</v>
      </c>
      <c r="BE110" s="764">
        <f>25*BE59*(BE103/1000)+BE108*BE106/BE102*1000</f>
        <v>101.18904069767441</v>
      </c>
      <c r="BF110" s="150" t="s">
        <v>590</v>
      </c>
      <c r="BJ110" s="765" t="s">
        <v>2032</v>
      </c>
      <c r="BK110" s="764">
        <f>25*BK59*(BK103/1000)+BK108*BK106/BK102*1000</f>
        <v>104.95476058064514</v>
      </c>
      <c r="BL110" s="150" t="s">
        <v>590</v>
      </c>
    </row>
    <row r="111" spans="2:67">
      <c r="B111" s="765" t="s">
        <v>2033</v>
      </c>
      <c r="C111" s="764">
        <f>25*C59*(C69/1000)+C109*C106/C102*1000</f>
        <v>162.6484441301273</v>
      </c>
      <c r="D111" s="150" t="s">
        <v>590</v>
      </c>
      <c r="H111" s="765" t="s">
        <v>2033</v>
      </c>
      <c r="I111" s="764">
        <f>I109*I106/I102*1000</f>
        <v>127.6595744680851</v>
      </c>
      <c r="J111" s="150" t="s">
        <v>590</v>
      </c>
      <c r="N111" s="765" t="s">
        <v>2033</v>
      </c>
      <c r="O111" s="764">
        <f>O109*O106/O102*1000</f>
        <v>124.13793103448276</v>
      </c>
      <c r="P111" s="150" t="s">
        <v>590</v>
      </c>
      <c r="T111" s="765" t="s">
        <v>2033</v>
      </c>
      <c r="U111" s="764">
        <f>U109*U106/U102*1000</f>
        <v>125</v>
      </c>
      <c r="V111" s="150" t="s">
        <v>590</v>
      </c>
      <c r="Z111" s="765" t="s">
        <v>2033</v>
      </c>
      <c r="AA111" s="764">
        <f>AA109*AA106/AA102*1000</f>
        <v>122.44897959183672</v>
      </c>
      <c r="AB111" s="150" t="s">
        <v>590</v>
      </c>
      <c r="AF111" s="765" t="s">
        <v>2033</v>
      </c>
      <c r="AG111" s="764">
        <f>AG109*AG106/AG102*1000</f>
        <v>122.44897959183672</v>
      </c>
      <c r="AH111" s="150" t="s">
        <v>590</v>
      </c>
      <c r="AL111" s="765" t="s">
        <v>2033</v>
      </c>
      <c r="AM111" s="764">
        <f>AM109*AM106/AM102*1000</f>
        <v>115.88977594643316</v>
      </c>
      <c r="AN111" s="150" t="s">
        <v>590</v>
      </c>
      <c r="AR111" s="765" t="s">
        <v>2033</v>
      </c>
      <c r="AS111" s="764">
        <f>AS109*AS106/AS102*1000</f>
        <v>117.49347258485641</v>
      </c>
      <c r="AT111" s="150" t="s">
        <v>590</v>
      </c>
      <c r="AX111" s="765" t="s">
        <v>2033</v>
      </c>
      <c r="AY111" s="764">
        <f>AY109*AY106/AY102*1000</f>
        <v>122.45697678215721</v>
      </c>
      <c r="AZ111" s="150" t="s">
        <v>590</v>
      </c>
      <c r="BD111" s="765" t="s">
        <v>2033</v>
      </c>
      <c r="BE111" s="764">
        <f>BE109*BE106/BE102*1000</f>
        <v>118.92177589852007</v>
      </c>
      <c r="BF111" s="150" t="s">
        <v>590</v>
      </c>
      <c r="BJ111" s="765" t="s">
        <v>2033</v>
      </c>
      <c r="BK111" s="764">
        <f>BK109*BK106/BK102*1000</f>
        <v>116.12903225806453</v>
      </c>
      <c r="BL111" s="150" t="s">
        <v>590</v>
      </c>
    </row>
    <row r="112" spans="2:67" ht="13.5">
      <c r="B112" s="765" t="s">
        <v>2034</v>
      </c>
      <c r="C112" s="764">
        <f>(C110+C111)*C102*0.001</f>
        <v>762.72680000000003</v>
      </c>
      <c r="D112" s="150" t="s">
        <v>1239</v>
      </c>
      <c r="E112" s="150" t="s">
        <v>2035</v>
      </c>
      <c r="F112" s="150">
        <f>0.0025*C103*1000</f>
        <v>500</v>
      </c>
      <c r="H112" s="765" t="s">
        <v>2034</v>
      </c>
      <c r="I112" s="764">
        <f>(I110+I111)*I102*0.001</f>
        <v>692.65949999999998</v>
      </c>
      <c r="J112" s="150" t="s">
        <v>1239</v>
      </c>
      <c r="K112" s="150" t="s">
        <v>2035</v>
      </c>
      <c r="L112" s="150">
        <f>0.0025*I103*1000</f>
        <v>500</v>
      </c>
      <c r="N112" s="765" t="s">
        <v>2034</v>
      </c>
      <c r="O112" s="764">
        <f>(O110+O111)*O102*0.001</f>
        <v>642.14202419354808</v>
      </c>
      <c r="P112" s="150" t="s">
        <v>1239</v>
      </c>
      <c r="Q112" s="150" t="s">
        <v>2035</v>
      </c>
      <c r="R112" s="150">
        <f>0.0025*O103*1000</f>
        <v>500</v>
      </c>
      <c r="T112" s="765" t="s">
        <v>2034</v>
      </c>
      <c r="U112" s="764">
        <f>(U110+U111)*U102*0.001</f>
        <v>571.89300000000003</v>
      </c>
      <c r="V112" s="150" t="s">
        <v>1239</v>
      </c>
      <c r="W112" s="150" t="s">
        <v>2035</v>
      </c>
      <c r="X112" s="150">
        <f>0.0025*U103*1000</f>
        <v>500</v>
      </c>
      <c r="Z112" s="765" t="s">
        <v>2034</v>
      </c>
      <c r="AA112" s="764">
        <f>(AA110+AA111)*AA102*0.001</f>
        <v>652.90470000000005</v>
      </c>
      <c r="AB112" s="150" t="s">
        <v>1239</v>
      </c>
      <c r="AC112" s="150" t="s">
        <v>2035</v>
      </c>
      <c r="AD112" s="150">
        <f>0.0025*AA103*1000</f>
        <v>500</v>
      </c>
      <c r="AF112" s="765" t="s">
        <v>2034</v>
      </c>
      <c r="AG112" s="764">
        <f>(AG110+AG111)*AG102*0.001</f>
        <v>789.85050000000001</v>
      </c>
      <c r="AH112" s="150" t="s">
        <v>1239</v>
      </c>
      <c r="AI112" s="150" t="s">
        <v>2035</v>
      </c>
      <c r="AJ112" s="150">
        <f>0.0025*AG103*1000</f>
        <v>500</v>
      </c>
      <c r="AL112" s="765" t="s">
        <v>2034</v>
      </c>
      <c r="AM112" s="764">
        <f>(AM110+AM111)*AM102*0.001</f>
        <v>592.82284049999998</v>
      </c>
      <c r="AN112" s="150" t="s">
        <v>1239</v>
      </c>
      <c r="AO112" s="150" t="s">
        <v>2035</v>
      </c>
      <c r="AP112" s="150">
        <f>0.0025*AM103*1000</f>
        <v>562.5</v>
      </c>
      <c r="AR112" s="765" t="s">
        <v>2034</v>
      </c>
      <c r="AS112" s="764">
        <f>(AS110+AS111)*AS102*0.001</f>
        <v>508.9562820000001</v>
      </c>
      <c r="AT112" s="150" t="s">
        <v>1239</v>
      </c>
      <c r="AU112" s="150" t="s">
        <v>2035</v>
      </c>
      <c r="AV112" s="150">
        <f>0.0025*AS103*1000</f>
        <v>562.5</v>
      </c>
      <c r="AX112" s="765" t="s">
        <v>2034</v>
      </c>
      <c r="AY112" s="764">
        <f>(AY110+AY111)*AY102*0.001</f>
        <v>504.57639448195567</v>
      </c>
      <c r="AZ112" s="150" t="s">
        <v>1239</v>
      </c>
      <c r="BA112" s="150" t="s">
        <v>2035</v>
      </c>
      <c r="BB112" s="150">
        <f>0.0025*AY103*1000</f>
        <v>500</v>
      </c>
      <c r="BD112" s="765" t="s">
        <v>2034</v>
      </c>
      <c r="BE112" s="764">
        <f>(BE110+BE111)*BE102*0.001</f>
        <v>333.15973199999996</v>
      </c>
      <c r="BF112" s="150" t="s">
        <v>1239</v>
      </c>
      <c r="BG112" s="150" t="s">
        <v>2035</v>
      </c>
      <c r="BH112" s="150">
        <f>0.0025*BE103*1000</f>
        <v>562.5</v>
      </c>
      <c r="BJ112" s="765" t="s">
        <v>2034</v>
      </c>
      <c r="BK112" s="764">
        <f>(BK110+BK111)*BK102*0.001</f>
        <v>342.67987889999995</v>
      </c>
      <c r="BL112" s="150" t="s">
        <v>1239</v>
      </c>
      <c r="BM112" s="150" t="s">
        <v>2035</v>
      </c>
      <c r="BN112" s="150">
        <f>0.0025*BK103*1000</f>
        <v>562.5</v>
      </c>
    </row>
    <row r="113" spans="2:67" ht="13.5">
      <c r="B113" s="765" t="s">
        <v>2036</v>
      </c>
      <c r="C113" s="764">
        <f>C55*0.6*C59*1.5/C101</f>
        <v>575.82604800000001</v>
      </c>
      <c r="D113" s="150" t="s">
        <v>592</v>
      </c>
      <c r="E113" s="150" t="s">
        <v>2037</v>
      </c>
      <c r="F113" s="150">
        <f>0.04*C103*1000</f>
        <v>8000</v>
      </c>
      <c r="H113" s="765" t="s">
        <v>2036</v>
      </c>
      <c r="I113" s="764">
        <f>I55*0.6*I59*1.5/I101</f>
        <v>572.57280000000014</v>
      </c>
      <c r="J113" s="150" t="s">
        <v>592</v>
      </c>
      <c r="K113" s="150" t="s">
        <v>2037</v>
      </c>
      <c r="L113" s="150">
        <f>0.04*I103*1000</f>
        <v>8000</v>
      </c>
      <c r="N113" s="765" t="s">
        <v>2036</v>
      </c>
      <c r="O113" s="764">
        <f>O55*0.6*O59*1.5/O101</f>
        <v>605.5200000000001</v>
      </c>
      <c r="P113" s="150" t="s">
        <v>592</v>
      </c>
      <c r="Q113" s="150" t="s">
        <v>2037</v>
      </c>
      <c r="R113" s="150">
        <f>0.04*O103*1000</f>
        <v>8000</v>
      </c>
      <c r="T113" s="765" t="s">
        <v>2036</v>
      </c>
      <c r="U113" s="764">
        <f>U55*0.6*U59*1.5/U101</f>
        <v>597.19680000000005</v>
      </c>
      <c r="V113" s="150" t="s">
        <v>592</v>
      </c>
      <c r="W113" s="150" t="s">
        <v>2037</v>
      </c>
      <c r="X113" s="150">
        <f>0.04*U103*1000</f>
        <v>8000</v>
      </c>
      <c r="Z113" s="765" t="s">
        <v>2036</v>
      </c>
      <c r="AA113" s="764">
        <f>AA55*0.6*AA59*1.5/AA101</f>
        <v>622.33920000000001</v>
      </c>
      <c r="AB113" s="150" t="s">
        <v>592</v>
      </c>
      <c r="AC113" s="150" t="s">
        <v>2037</v>
      </c>
      <c r="AD113" s="150">
        <f>0.04*AA103*1000</f>
        <v>8000</v>
      </c>
      <c r="AF113" s="765" t="s">
        <v>2036</v>
      </c>
      <c r="AG113" s="764">
        <f>AG55*0.6*AG59*1.5/AG101</f>
        <v>622.33920000000001</v>
      </c>
      <c r="AH113" s="150" t="s">
        <v>592</v>
      </c>
      <c r="AI113" s="150" t="s">
        <v>2037</v>
      </c>
      <c r="AJ113" s="150">
        <f>0.04*AG103*1000</f>
        <v>8000</v>
      </c>
      <c r="AL113" s="765" t="s">
        <v>2036</v>
      </c>
      <c r="AM113" s="764">
        <f>AM55*0.6*AM59*1.5/AM101</f>
        <v>694.77990911999996</v>
      </c>
      <c r="AN113" s="150" t="s">
        <v>592</v>
      </c>
      <c r="AO113" s="150" t="s">
        <v>2037</v>
      </c>
      <c r="AP113" s="150">
        <f>0.04*AM103*1000</f>
        <v>9000</v>
      </c>
      <c r="AR113" s="765" t="s">
        <v>2036</v>
      </c>
      <c r="AS113" s="764">
        <f>AS55*0.6*AS59*1.5/AS101</f>
        <v>675.94291199999998</v>
      </c>
      <c r="AT113" s="150" t="s">
        <v>592</v>
      </c>
      <c r="AU113" s="150" t="s">
        <v>2037</v>
      </c>
      <c r="AV113" s="150">
        <f>0.04*AS103*1000</f>
        <v>9000</v>
      </c>
      <c r="AX113" s="765" t="s">
        <v>2036</v>
      </c>
      <c r="AY113" s="764">
        <f>AY55*0.6*AY59*1.5/AY101</f>
        <v>622.2579175342081</v>
      </c>
      <c r="AZ113" s="150" t="s">
        <v>592</v>
      </c>
      <c r="BA113" s="150" t="s">
        <v>2037</v>
      </c>
      <c r="BB113" s="150">
        <f>0.04*AY103*1000</f>
        <v>8000</v>
      </c>
      <c r="BD113" s="765" t="s">
        <v>2036</v>
      </c>
      <c r="BE113" s="764">
        <f>BE55*0.6*BE59*1.5/BE101</f>
        <v>659.80366847999994</v>
      </c>
      <c r="BF113" s="150" t="s">
        <v>592</v>
      </c>
      <c r="BG113" s="150" t="s">
        <v>2037</v>
      </c>
      <c r="BH113" s="150">
        <f>0.04*BE103*1000</f>
        <v>9000</v>
      </c>
      <c r="BJ113" s="765" t="s">
        <v>2036</v>
      </c>
      <c r="BK113" s="764">
        <f>BK55*0.6*BK59*1.5/BK101</f>
        <v>691.92</v>
      </c>
      <c r="BL113" s="150" t="s">
        <v>592</v>
      </c>
      <c r="BM113" s="150" t="s">
        <v>2037</v>
      </c>
      <c r="BN113" s="150">
        <f>0.04*BK103*1000</f>
        <v>9000</v>
      </c>
    </row>
    <row r="114" spans="2:67" ht="13.5">
      <c r="B114" s="765" t="s">
        <v>2038</v>
      </c>
      <c r="C114" s="764">
        <f>IF((0.9*C110*1000/(C103))-((C113*10^6)/(C103*C102^2/6))&lt;0,(0.9*C110*1000/(C103))-((C113*10^6)/(C103*C102^2/6)),0)</f>
        <v>0</v>
      </c>
      <c r="D114" s="150" t="s">
        <v>620</v>
      </c>
      <c r="H114" s="765" t="s">
        <v>2038</v>
      </c>
      <c r="I114" s="764">
        <f>IF((0.9*I110*1000/(I103))-((I113*10^6)/(I103*I102^2/6))&lt;0,(0.9*I110*1000/(I103))-((I113*10^6)/(I103*I102^2/6)),0)</f>
        <v>0</v>
      </c>
      <c r="J114" s="150" t="s">
        <v>620</v>
      </c>
      <c r="N114" s="765" t="s">
        <v>2038</v>
      </c>
      <c r="O114" s="764">
        <f>IF((0.9*O110*1000/(O103))-((O113*10^6)/(O103*O102^2/6))&lt;0,(0.9*O110*1000/(O103))-((O113*10^6)/(O103*O102^2/6)),0)</f>
        <v>0</v>
      </c>
      <c r="P114" s="150" t="s">
        <v>620</v>
      </c>
      <c r="T114" s="765" t="s">
        <v>2038</v>
      </c>
      <c r="U114" s="764">
        <f>IF((0.9*U110*1000/(U103))-((U113*10^6)/(U103*U102^2/6))&lt;0,(0.9*U110*1000/(U103))-((U113*10^6)/(U103*U102^2/6)),0)</f>
        <v>0</v>
      </c>
      <c r="V114" s="150" t="s">
        <v>620</v>
      </c>
      <c r="Z114" s="765" t="s">
        <v>2038</v>
      </c>
      <c r="AA114" s="764">
        <f>IF((0.9*AA110*1000/(AA103))-((AA113*10^6)/(AA103*AA102^2/6))&lt;0,(0.9*AA110*1000/(AA103))-((AA113*10^6)/(AA103*AA102^2/6)),0)</f>
        <v>0</v>
      </c>
      <c r="AB114" s="150" t="s">
        <v>620</v>
      </c>
      <c r="AF114" s="765" t="s">
        <v>2038</v>
      </c>
      <c r="AG114" s="764">
        <f>IF((0.9*AG110*1000/(AG103))-((AG113*10^6)/(AG103*AG102^2/6))&lt;0,(0.9*AG110*1000/(AG103))-((AG113*10^6)/(AG103*AG102^2/6)),0)</f>
        <v>0</v>
      </c>
      <c r="AH114" s="150" t="s">
        <v>620</v>
      </c>
      <c r="AL114" s="765" t="s">
        <v>2038</v>
      </c>
      <c r="AM114" s="764">
        <f>IF((0.9*AM110*1000/(AM103))-((AM113*10^6)/(AM103*AM102^2/6))&lt;0,(0.9*AM110*1000/(AM103))-((AM113*10^6)/(AM103*AM102^2/6)),0)</f>
        <v>0</v>
      </c>
      <c r="AN114" s="150" t="s">
        <v>620</v>
      </c>
      <c r="AR114" s="765" t="s">
        <v>2038</v>
      </c>
      <c r="AS114" s="764">
        <f>IF((0.9*AS110*1000/(AS103))-((AS113*10^6)/(AS103*AS102^2/6))&lt;0,(0.9*AS110*1000/(AS103))-((AS113*10^6)/(AS103*AS102^2/6)),0)</f>
        <v>0</v>
      </c>
      <c r="AT114" s="150" t="s">
        <v>620</v>
      </c>
      <c r="AX114" s="765" t="s">
        <v>2038</v>
      </c>
      <c r="AY114" s="764">
        <f>IF((0.9*AY110*1000/(AY103))-((AY113*10^6)/(AY103*AY102^2/6))&lt;0,(0.9*AY110*1000/(AY103))-((AY113*10^6)/(AY103*AY102^2/6)),0)</f>
        <v>0</v>
      </c>
      <c r="AZ114" s="150" t="s">
        <v>620</v>
      </c>
      <c r="BD114" s="765" t="s">
        <v>2038</v>
      </c>
      <c r="BE114" s="764">
        <f>IF((0.9*BE110*1000/(BE103))-((BE113*10^6)/(BE103*BE102^2/6))&lt;0,(0.9*BE110*1000/(BE103))-((BE113*10^6)/(BE103*BE102^2/6)),0)</f>
        <v>0</v>
      </c>
      <c r="BF114" s="150" t="s">
        <v>620</v>
      </c>
      <c r="BJ114" s="765" t="s">
        <v>2038</v>
      </c>
      <c r="BK114" s="764">
        <f>IF((0.9*BK110*1000/(BK103))-((BK113*10^6)/(BK103*BK102^2/6))&lt;0,(0.9*BK110*1000/(BK103))-((BK113*10^6)/(BK103*BK102^2/6)),0)</f>
        <v>0</v>
      </c>
      <c r="BL114" s="150" t="s">
        <v>620</v>
      </c>
    </row>
    <row r="115" spans="2:67">
      <c r="C115" s="764">
        <f>MAX((0.5*ABS(C114)*1000*C103)/435,F112*2)</f>
        <v>1000</v>
      </c>
      <c r="H115" s="765"/>
      <c r="I115" s="764">
        <f>MAX((0.5*ABS(I114)*1000*I103)/435,L112*2)</f>
        <v>1000</v>
      </c>
      <c r="N115" s="765"/>
      <c r="O115" s="764">
        <f>MAX((0.5*ABS(O114)*1000*O103)/435,R112*2)</f>
        <v>1000</v>
      </c>
      <c r="T115" s="765"/>
      <c r="U115" s="764">
        <f>MAX((0.5*ABS(U114)*1000*U103)/435,X112*2)</f>
        <v>1000</v>
      </c>
      <c r="Z115" s="765"/>
      <c r="AA115" s="764">
        <f>MAX((0.5*ABS(AA114)*1000*AA103)/435,AD112*2)</f>
        <v>1000</v>
      </c>
      <c r="AF115" s="765"/>
      <c r="AG115" s="764">
        <f>MAX((0.5*ABS(AG114)*1000*AG103)/435,AJ112*2)</f>
        <v>1000</v>
      </c>
      <c r="AL115" s="765"/>
      <c r="AM115" s="764">
        <f>MAX((0.5*ABS(AM114)*1000*AM103)/435,AP112*2)</f>
        <v>1125</v>
      </c>
      <c r="AR115" s="765"/>
      <c r="AS115" s="764">
        <f>MAX((0.5*ABS(AS114)*1000*AS103)/435,AV112*2)</f>
        <v>1125</v>
      </c>
      <c r="AX115" s="765"/>
      <c r="AY115" s="764">
        <f>MAX((0.5*ABS(AY114)*1000*AY103)/435,BB112*2)</f>
        <v>1000</v>
      </c>
      <c r="BD115" s="765"/>
      <c r="BE115" s="764">
        <f>MAX((0.5*ABS(BE114)*1000*BE103)/435,BH112*2)</f>
        <v>1125</v>
      </c>
      <c r="BJ115" s="765"/>
      <c r="BK115" s="764">
        <f>MAX((0.5*ABS(BK114)*1000*BK103)/435,BN112*2)</f>
        <v>1125</v>
      </c>
    </row>
    <row r="116" spans="2:67">
      <c r="B116" s="765" t="s">
        <v>2039</v>
      </c>
      <c r="C116" s="764">
        <f>CEILING(C115/2,F116)</f>
        <v>603.18578948924028</v>
      </c>
      <c r="D116" s="150" t="s">
        <v>2040</v>
      </c>
      <c r="E116" s="765" t="s">
        <v>1981</v>
      </c>
      <c r="F116" s="779">
        <f>VLOOKUP(E116,$I$5:$J$9,2)</f>
        <v>201.06192982974676</v>
      </c>
      <c r="H116" s="765" t="s">
        <v>2039</v>
      </c>
      <c r="I116" s="764">
        <f>CEILING(I115/2,L116)</f>
        <v>603.18578948924028</v>
      </c>
      <c r="J116" s="150" t="s">
        <v>2040</v>
      </c>
      <c r="K116" s="765" t="s">
        <v>1981</v>
      </c>
      <c r="L116" s="779">
        <f>VLOOKUP(K116,$I$5:$J$9,2)</f>
        <v>201.06192982974676</v>
      </c>
      <c r="N116" s="765" t="s">
        <v>2039</v>
      </c>
      <c r="O116" s="764">
        <f>CEILING(O115/2,R116)</f>
        <v>603.18578948924028</v>
      </c>
      <c r="P116" s="150" t="s">
        <v>2040</v>
      </c>
      <c r="Q116" s="765" t="s">
        <v>1981</v>
      </c>
      <c r="R116" s="779">
        <f>VLOOKUP(Q116,$I$5:$J$9,2)</f>
        <v>201.06192982974676</v>
      </c>
      <c r="T116" s="765" t="s">
        <v>2039</v>
      </c>
      <c r="U116" s="764">
        <f>CEILING(U115/2,X116)</f>
        <v>603.18578948924028</v>
      </c>
      <c r="V116" s="150" t="s">
        <v>2040</v>
      </c>
      <c r="W116" s="765" t="s">
        <v>1981</v>
      </c>
      <c r="X116" s="779">
        <f>VLOOKUP(W116,$I$5:$J$9,2)</f>
        <v>201.06192982974676</v>
      </c>
      <c r="Z116" s="765" t="s">
        <v>2039</v>
      </c>
      <c r="AA116" s="764">
        <f>CEILING(AA115/2,AD116)</f>
        <v>603.18578948924028</v>
      </c>
      <c r="AB116" s="150" t="s">
        <v>2040</v>
      </c>
      <c r="AC116" s="765" t="s">
        <v>1981</v>
      </c>
      <c r="AD116" s="779">
        <f>VLOOKUP(AC116,$I$5:$J$9,2)</f>
        <v>201.06192982974676</v>
      </c>
      <c r="AF116" s="765" t="s">
        <v>2039</v>
      </c>
      <c r="AG116" s="764">
        <f>CEILING(AG115/2,AJ116)</f>
        <v>603.18578948924028</v>
      </c>
      <c r="AH116" s="150" t="s">
        <v>2040</v>
      </c>
      <c r="AI116" s="765" t="s">
        <v>1981</v>
      </c>
      <c r="AJ116" s="779">
        <f>VLOOKUP(AI116,$I$5:$J$9,2)</f>
        <v>201.06192982974676</v>
      </c>
      <c r="AL116" s="765" t="s">
        <v>2039</v>
      </c>
      <c r="AM116" s="764">
        <f>CEILING(AM115/2,AP116)</f>
        <v>603.18578948924028</v>
      </c>
      <c r="AN116" s="150" t="s">
        <v>2040</v>
      </c>
      <c r="AO116" s="765" t="s">
        <v>1981</v>
      </c>
      <c r="AP116" s="779">
        <f>VLOOKUP(AO116,$I$5:$J$9,2)</f>
        <v>201.06192982974676</v>
      </c>
      <c r="AR116" s="765" t="s">
        <v>2039</v>
      </c>
      <c r="AS116" s="764">
        <f>CEILING(AS115/2,AV116)</f>
        <v>603.18578948924028</v>
      </c>
      <c r="AT116" s="150" t="s">
        <v>2040</v>
      </c>
      <c r="AU116" s="765" t="s">
        <v>1981</v>
      </c>
      <c r="AV116" s="779">
        <f>VLOOKUP(AU116,$I$5:$J$9,2)</f>
        <v>201.06192982974676</v>
      </c>
      <c r="AX116" s="765" t="s">
        <v>2039</v>
      </c>
      <c r="AY116" s="764">
        <f>CEILING(AY115/2,BB116)</f>
        <v>603.18578948924028</v>
      </c>
      <c r="AZ116" s="150" t="s">
        <v>2040</v>
      </c>
      <c r="BA116" s="765" t="s">
        <v>1981</v>
      </c>
      <c r="BB116" s="779">
        <f>VLOOKUP(BA116,$I$5:$J$9,2)</f>
        <v>201.06192982974676</v>
      </c>
      <c r="BD116" s="765" t="s">
        <v>2039</v>
      </c>
      <c r="BE116" s="764">
        <f>CEILING(BE115/2,BH116)</f>
        <v>603.18578948924028</v>
      </c>
      <c r="BF116" s="150" t="s">
        <v>2040</v>
      </c>
      <c r="BG116" s="765" t="s">
        <v>1981</v>
      </c>
      <c r="BH116" s="779">
        <f>VLOOKUP(BG116,$I$5:$J$9,2)</f>
        <v>201.06192982974676</v>
      </c>
      <c r="BJ116" s="765" t="s">
        <v>2039</v>
      </c>
      <c r="BK116" s="764">
        <f>CEILING(BK115/2,BN116)</f>
        <v>603.18578948924028</v>
      </c>
      <c r="BL116" s="150" t="s">
        <v>2040</v>
      </c>
      <c r="BM116" s="765" t="s">
        <v>1981</v>
      </c>
      <c r="BN116" s="779">
        <f>VLOOKUP(BM116,$I$5:$J$9,2)</f>
        <v>201.06192982974676</v>
      </c>
    </row>
    <row r="117" spans="2:67">
      <c r="B117" s="765" t="s">
        <v>2041</v>
      </c>
      <c r="C117" s="764">
        <f>CEILING(MAX(C116/4,0.001*1000*C103),F117)</f>
        <v>226.1946710584651</v>
      </c>
      <c r="D117" s="150" t="s">
        <v>2040</v>
      </c>
      <c r="E117" s="765" t="s">
        <v>1980</v>
      </c>
      <c r="F117" s="779">
        <f>VLOOKUP(E117,$I$5:$J$9,2)</f>
        <v>113.09733552923255</v>
      </c>
      <c r="H117" s="765" t="s">
        <v>2041</v>
      </c>
      <c r="I117" s="764">
        <f>CEILING(MAX(I116/4,0.001*1000*I103),L117)</f>
        <v>226.1946710584651</v>
      </c>
      <c r="J117" s="150" t="s">
        <v>2040</v>
      </c>
      <c r="K117" s="765" t="s">
        <v>1980</v>
      </c>
      <c r="L117" s="779">
        <f>VLOOKUP(K117,$I$5:$J$9,2)</f>
        <v>113.09733552923255</v>
      </c>
      <c r="N117" s="765" t="s">
        <v>2041</v>
      </c>
      <c r="O117" s="764">
        <f>CEILING(MAX(O116/4,0.001*1000*O103),R117)</f>
        <v>226.1946710584651</v>
      </c>
      <c r="P117" s="150" t="s">
        <v>2040</v>
      </c>
      <c r="Q117" s="765" t="s">
        <v>1980</v>
      </c>
      <c r="R117" s="779">
        <f>VLOOKUP(Q117,$I$5:$J$9,2)</f>
        <v>113.09733552923255</v>
      </c>
      <c r="T117" s="765" t="s">
        <v>2041</v>
      </c>
      <c r="U117" s="764">
        <f>CEILING(MAX(U116/4,0.001*1000*U103),X117)</f>
        <v>226.1946710584651</v>
      </c>
      <c r="V117" s="150" t="s">
        <v>2040</v>
      </c>
      <c r="W117" s="765" t="s">
        <v>1980</v>
      </c>
      <c r="X117" s="779">
        <f>VLOOKUP(W117,$I$5:$J$9,2)</f>
        <v>113.09733552923255</v>
      </c>
      <c r="Z117" s="765" t="s">
        <v>2041</v>
      </c>
      <c r="AA117" s="764">
        <f>CEILING(MAX(AA116/4,0.001*1000*AA103),AD117)</f>
        <v>226.1946710584651</v>
      </c>
      <c r="AB117" s="150" t="s">
        <v>2040</v>
      </c>
      <c r="AC117" s="765" t="s">
        <v>1980</v>
      </c>
      <c r="AD117" s="779">
        <f>VLOOKUP(AC117,$I$5:$J$9,2)</f>
        <v>113.09733552923255</v>
      </c>
      <c r="AF117" s="765" t="s">
        <v>2041</v>
      </c>
      <c r="AG117" s="764">
        <f>CEILING(MAX(AG116/4,0.001*1000*AG103),AJ117)</f>
        <v>226.1946710584651</v>
      </c>
      <c r="AH117" s="150" t="s">
        <v>2040</v>
      </c>
      <c r="AI117" s="765" t="s">
        <v>1980</v>
      </c>
      <c r="AJ117" s="779">
        <f>VLOOKUP(AI117,$I$5:$J$9,2)</f>
        <v>113.09733552923255</v>
      </c>
      <c r="AL117" s="765" t="s">
        <v>2041</v>
      </c>
      <c r="AM117" s="764">
        <f>CEILING(MAX(AM116/4,0.001*1000*AM103),AP117)</f>
        <v>226.1946710584651</v>
      </c>
      <c r="AN117" s="150" t="s">
        <v>2040</v>
      </c>
      <c r="AO117" s="765" t="s">
        <v>1980</v>
      </c>
      <c r="AP117" s="779">
        <f>VLOOKUP(AO117,$I$5:$J$9,2)</f>
        <v>113.09733552923255</v>
      </c>
      <c r="AR117" s="765" t="s">
        <v>2041</v>
      </c>
      <c r="AS117" s="764">
        <f>CEILING(MAX(AS116/4,0.001*1000*AS103),AV117)</f>
        <v>226.1946710584651</v>
      </c>
      <c r="AT117" s="150" t="s">
        <v>2040</v>
      </c>
      <c r="AU117" s="765" t="s">
        <v>1980</v>
      </c>
      <c r="AV117" s="779">
        <f>VLOOKUP(AU117,$I$5:$J$9,2)</f>
        <v>113.09733552923255</v>
      </c>
      <c r="AX117" s="765" t="s">
        <v>2041</v>
      </c>
      <c r="AY117" s="764">
        <f>CEILING(MAX(AY116/4,0.001*1000*AY103),BB117)</f>
        <v>226.1946710584651</v>
      </c>
      <c r="AZ117" s="150" t="s">
        <v>2040</v>
      </c>
      <c r="BA117" s="765" t="s">
        <v>1980</v>
      </c>
      <c r="BB117" s="779">
        <f>VLOOKUP(BA117,$I$5:$J$9,2)</f>
        <v>113.09733552923255</v>
      </c>
      <c r="BD117" s="765" t="s">
        <v>2041</v>
      </c>
      <c r="BE117" s="764">
        <f>CEILING(MAX(BE116/4,0.001*1000*BE103),BH117)</f>
        <v>226.1946710584651</v>
      </c>
      <c r="BF117" s="150" t="s">
        <v>2040</v>
      </c>
      <c r="BG117" s="765" t="s">
        <v>1980</v>
      </c>
      <c r="BH117" s="779">
        <f>VLOOKUP(BG117,$I$5:$J$9,2)</f>
        <v>113.09733552923255</v>
      </c>
      <c r="BJ117" s="765" t="s">
        <v>2041</v>
      </c>
      <c r="BK117" s="764">
        <f>CEILING(MAX(BK116/4,0.001*1000*BK103),BN117)</f>
        <v>226.1946710584651</v>
      </c>
      <c r="BL117" s="150" t="s">
        <v>2040</v>
      </c>
      <c r="BM117" s="765" t="s">
        <v>1980</v>
      </c>
      <c r="BN117" s="779">
        <f>VLOOKUP(BM117,$I$5:$J$9,2)</f>
        <v>113.09733552923255</v>
      </c>
    </row>
    <row r="118" spans="2:67">
      <c r="B118" s="765" t="s">
        <v>2042</v>
      </c>
      <c r="C118" s="764">
        <f>(24*C101*(C59+Summary!$I$21)*C102*C103/10^3)/9.81</f>
        <v>14674.46605504587</v>
      </c>
      <c r="D118" s="150" t="s">
        <v>327</v>
      </c>
      <c r="E118" s="765"/>
      <c r="F118" s="779"/>
      <c r="H118" s="765" t="s">
        <v>2042</v>
      </c>
      <c r="I118" s="764">
        <f>(24*I101*(I59+Summary!$I$21)*I102*I103/10^3)/9.81</f>
        <v>14591.559633027526</v>
      </c>
      <c r="J118" s="150" t="s">
        <v>327</v>
      </c>
      <c r="K118" s="765"/>
      <c r="L118" s="779"/>
      <c r="N118" s="765" t="s">
        <v>2042</v>
      </c>
      <c r="O118" s="764">
        <f>(24*O101*(O59+Summary!$I$21)*O102*O103/10^3)/9.81</f>
        <v>15431.192660550458</v>
      </c>
      <c r="P118" s="150" t="s">
        <v>327</v>
      </c>
      <c r="Q118" s="765"/>
      <c r="R118" s="779"/>
      <c r="T118" s="765" t="s">
        <v>2042</v>
      </c>
      <c r="U118" s="764">
        <f>(24*U101*(U59+Summary!$I$21)*U102*U103/10^3)/9.81</f>
        <v>15219.08256880734</v>
      </c>
      <c r="V118" s="150" t="s">
        <v>327</v>
      </c>
      <c r="W118" s="765"/>
      <c r="X118" s="779"/>
      <c r="Z118" s="765" t="s">
        <v>2042</v>
      </c>
      <c r="AA118" s="764">
        <f>(24*AA101*(AA59+Summary!$I$21)*AA102*AA103/10^3)/9.81</f>
        <v>15859.816513761472</v>
      </c>
      <c r="AB118" s="150" t="s">
        <v>327</v>
      </c>
      <c r="AC118" s="765"/>
      <c r="AD118" s="779"/>
      <c r="AF118" s="765" t="s">
        <v>2042</v>
      </c>
      <c r="AG118" s="764">
        <f>(24*AG101*(AG59+Summary!$I$21)*AG102*AG103/10^3)/9.81</f>
        <v>15859.816513761472</v>
      </c>
      <c r="AH118" s="150" t="s">
        <v>327</v>
      </c>
      <c r="AI118" s="765"/>
      <c r="AJ118" s="779"/>
      <c r="AL118" s="765" t="s">
        <v>2042</v>
      </c>
      <c r="AM118" s="764">
        <f>(24*AM101*(AM59+Summary!$I$21)*AM102*AM103/10^3)/9.81</f>
        <v>19919.148770642201</v>
      </c>
      <c r="AN118" s="150" t="s">
        <v>327</v>
      </c>
      <c r="AO118" s="765"/>
      <c r="AP118" s="779"/>
      <c r="AR118" s="765" t="s">
        <v>2042</v>
      </c>
      <c r="AS118" s="764">
        <f>(24*AS101*(AS59+Summary!$I$21)*AS102*AS103/10^3)/9.81</f>
        <v>19379.097247706421</v>
      </c>
      <c r="AT118" s="150" t="s">
        <v>327</v>
      </c>
      <c r="AU118" s="765"/>
      <c r="AV118" s="779"/>
      <c r="AX118" s="765" t="s">
        <v>2042</v>
      </c>
      <c r="AY118" s="764">
        <f>(24*AY101*(AY59+Summary!$I$21)*AY102*AY103/10^3)/9.81</f>
        <v>15857.745095163304</v>
      </c>
      <c r="AZ118" s="150" t="s">
        <v>327</v>
      </c>
      <c r="BA118" s="765"/>
      <c r="BB118" s="779"/>
      <c r="BD118" s="765" t="s">
        <v>2042</v>
      </c>
      <c r="BE118" s="764">
        <f>(24*BE101*(BE59+Summary!$I$21)*BE102*BE103/10^3)/9.81</f>
        <v>18916.389577981656</v>
      </c>
      <c r="BF118" s="150" t="s">
        <v>327</v>
      </c>
      <c r="BG118" s="765"/>
      <c r="BH118" s="779"/>
      <c r="BJ118" s="765" t="s">
        <v>2042</v>
      </c>
      <c r="BK118" s="764">
        <f>(24*BK101*(BK59+Summary!$I$21)*BK102*BK103/10^3)/9.81</f>
        <v>19837.15596330275</v>
      </c>
      <c r="BL118" s="150" t="s">
        <v>327</v>
      </c>
      <c r="BM118" s="765"/>
      <c r="BN118" s="779"/>
    </row>
    <row r="119" spans="2:67">
      <c r="B119" s="765" t="s">
        <v>2043</v>
      </c>
      <c r="C119" s="764">
        <f>2*SUM(C116:C117)*1.5*0.00785*(C59++Summary!$I$21)*C102*C101/1000</f>
        <v>585.78033627374998</v>
      </c>
      <c r="D119" s="150" t="s">
        <v>327</v>
      </c>
      <c r="E119" s="765"/>
      <c r="F119" s="779"/>
      <c r="H119" s="765" t="s">
        <v>2043</v>
      </c>
      <c r="I119" s="764">
        <f>2*SUM(I116:I117)*1.5*0.00785*(I59++Summary!$I$21)*I102*I101/1000</f>
        <v>582.47084946946109</v>
      </c>
      <c r="J119" s="150" t="s">
        <v>327</v>
      </c>
      <c r="K119" s="765"/>
      <c r="L119" s="779"/>
      <c r="N119" s="765" t="s">
        <v>2043</v>
      </c>
      <c r="O119" s="764">
        <f>2*SUM(O116:O117)*1.5*0.00785*(O59++Summary!$I$21)*O102*O101/1000</f>
        <v>615.98760676502263</v>
      </c>
      <c r="P119" s="150" t="s">
        <v>327</v>
      </c>
      <c r="Q119" s="765"/>
      <c r="R119" s="779"/>
      <c r="T119" s="765" t="s">
        <v>2043</v>
      </c>
      <c r="U119" s="764">
        <f>2*SUM(U116:U117)*1.5*0.00785*(U59++Summary!$I$21)*U102*U101/1000</f>
        <v>607.52052384682565</v>
      </c>
      <c r="V119" s="150" t="s">
        <v>327</v>
      </c>
      <c r="W119" s="765"/>
      <c r="X119" s="779"/>
      <c r="Z119" s="765" t="s">
        <v>2043</v>
      </c>
      <c r="AA119" s="764">
        <f>2*SUM(AA116:AA117)*1.5*0.00785*(AA59++Summary!$I$21)*AA102*AA101/1000</f>
        <v>633.09755979002989</v>
      </c>
      <c r="AB119" s="150" t="s">
        <v>327</v>
      </c>
      <c r="AC119" s="765"/>
      <c r="AD119" s="779"/>
      <c r="AF119" s="765" t="s">
        <v>2043</v>
      </c>
      <c r="AG119" s="764">
        <f>2*SUM(AG116:AG117)*1.5*0.00785*(AG59++Summary!$I$21)*AG102*AG101/1000</f>
        <v>633.09755979002989</v>
      </c>
      <c r="AH119" s="150" t="s">
        <v>327</v>
      </c>
      <c r="AI119" s="765"/>
      <c r="AJ119" s="779"/>
      <c r="AL119" s="765" t="s">
        <v>2043</v>
      </c>
      <c r="AM119" s="764">
        <f>2*SUM(AM116:AM117)*1.5*0.00785*(AM59++Summary!$I$21)*AM102*AM101/1000</f>
        <v>706.79054935798797</v>
      </c>
      <c r="AN119" s="150" t="s">
        <v>327</v>
      </c>
      <c r="AO119" s="765"/>
      <c r="AP119" s="779"/>
      <c r="AR119" s="765" t="s">
        <v>2043</v>
      </c>
      <c r="AS119" s="764">
        <f>2*SUM(AS116:AS117)*1.5*0.00785*(AS59++Summary!$I$21)*AS102*AS101/1000</f>
        <v>687.62791761239987</v>
      </c>
      <c r="AT119" s="150" t="s">
        <v>327</v>
      </c>
      <c r="AU119" s="765"/>
      <c r="AV119" s="779"/>
      <c r="AX119" s="765" t="s">
        <v>2043</v>
      </c>
      <c r="AY119" s="764">
        <f>2*SUM(AY116:AY117)*1.5*0.00785*(AY59++Summary!$I$21)*AY102*AY101/1000</f>
        <v>633.01487219659725</v>
      </c>
      <c r="AZ119" s="150" t="s">
        <v>327</v>
      </c>
      <c r="BA119" s="765"/>
      <c r="BB119" s="779"/>
      <c r="BD119" s="765" t="s">
        <v>2043</v>
      </c>
      <c r="BE119" s="764">
        <f>2*SUM(BE116:BE117)*1.5*0.00785*(BE59++Summary!$I$21)*BE102*BE101/1000</f>
        <v>671.20967545543965</v>
      </c>
      <c r="BF119" s="150" t="s">
        <v>327</v>
      </c>
      <c r="BG119" s="765"/>
      <c r="BH119" s="779"/>
      <c r="BJ119" s="765" t="s">
        <v>2043</v>
      </c>
      <c r="BK119" s="764">
        <f>2*SUM(BK116:BK117)*1.5*0.00785*(BK59++Summary!$I$21)*BK102*BK101/1000</f>
        <v>703.8812010715659</v>
      </c>
      <c r="BL119" s="150" t="s">
        <v>327</v>
      </c>
      <c r="BM119" s="765"/>
      <c r="BN119" s="779"/>
    </row>
    <row r="120" spans="2:67">
      <c r="E120" s="765"/>
      <c r="F120" s="779"/>
      <c r="H120" s="765"/>
      <c r="I120" s="764"/>
      <c r="K120" s="765"/>
      <c r="L120" s="779"/>
      <c r="N120" s="765"/>
      <c r="O120" s="764"/>
      <c r="Q120" s="765"/>
      <c r="R120" s="779"/>
      <c r="T120" s="765"/>
      <c r="U120" s="764"/>
      <c r="W120" s="765"/>
      <c r="X120" s="779"/>
      <c r="Z120" s="765"/>
      <c r="AA120" s="764"/>
      <c r="AC120" s="765"/>
      <c r="AD120" s="779"/>
      <c r="AF120" s="765"/>
      <c r="AG120" s="764"/>
      <c r="AI120" s="765"/>
      <c r="AJ120" s="779"/>
      <c r="AL120" s="765"/>
      <c r="AM120" s="764"/>
      <c r="AO120" s="765"/>
      <c r="AP120" s="779"/>
      <c r="AR120" s="765"/>
      <c r="AS120" s="764"/>
      <c r="AU120" s="765"/>
      <c r="AV120" s="779"/>
      <c r="AX120" s="765"/>
      <c r="AY120" s="764"/>
      <c r="BA120" s="765"/>
      <c r="BB120" s="779"/>
      <c r="BD120" s="765"/>
      <c r="BE120" s="764"/>
      <c r="BG120" s="765"/>
      <c r="BH120" s="779"/>
      <c r="BJ120" s="765"/>
      <c r="BK120" s="764"/>
      <c r="BM120" s="765"/>
      <c r="BN120" s="779"/>
    </row>
    <row r="121" spans="2:67">
      <c r="B121" s="765" t="s">
        <v>2044</v>
      </c>
      <c r="C121" s="764">
        <f>C113/(0.001*C102)</f>
        <v>407.23200000000003</v>
      </c>
      <c r="D121" s="150" t="s">
        <v>1239</v>
      </c>
      <c r="E121" s="765"/>
      <c r="H121" s="765" t="s">
        <v>2044</v>
      </c>
      <c r="I121" s="764">
        <f>I113/(0.001*I102)</f>
        <v>406.08</v>
      </c>
      <c r="J121" s="150" t="s">
        <v>1239</v>
      </c>
      <c r="K121" s="765"/>
      <c r="M121" s="779"/>
      <c r="N121" s="765" t="s">
        <v>2044</v>
      </c>
      <c r="O121" s="764">
        <f>O113/(0.001*O102)</f>
        <v>417.60000000000008</v>
      </c>
      <c r="P121" s="150" t="s">
        <v>1239</v>
      </c>
      <c r="Q121" s="765"/>
      <c r="S121" s="779"/>
      <c r="T121" s="765" t="s">
        <v>2044</v>
      </c>
      <c r="U121" s="764">
        <f>U113/(0.001*U102)</f>
        <v>414.72</v>
      </c>
      <c r="V121" s="150" t="s">
        <v>1239</v>
      </c>
      <c r="W121" s="765"/>
      <c r="Y121" s="779"/>
      <c r="Z121" s="765" t="s">
        <v>2044</v>
      </c>
      <c r="AA121" s="764">
        <f>AA113/(0.001*AA102)</f>
        <v>423.35999999999996</v>
      </c>
      <c r="AB121" s="150" t="s">
        <v>1239</v>
      </c>
      <c r="AC121" s="765"/>
      <c r="AE121" s="779"/>
      <c r="AF121" s="765" t="s">
        <v>2044</v>
      </c>
      <c r="AG121" s="764">
        <f>AG113/(0.001*AG102)</f>
        <v>423.35999999999996</v>
      </c>
      <c r="AH121" s="150" t="s">
        <v>1239</v>
      </c>
      <c r="AI121" s="765"/>
      <c r="AK121" s="779"/>
      <c r="AL121" s="765" t="s">
        <v>2044</v>
      </c>
      <c r="AM121" s="764">
        <f>AM113/(0.001*AM102)</f>
        <v>447.32159999999993</v>
      </c>
      <c r="AN121" s="150" t="s">
        <v>1239</v>
      </c>
      <c r="AO121" s="765"/>
      <c r="AQ121" s="779"/>
      <c r="AR121" s="765" t="s">
        <v>2044</v>
      </c>
      <c r="AS121" s="764">
        <f>AS113/(0.001*AS102)</f>
        <v>441.21599999999995</v>
      </c>
      <c r="AT121" s="150" t="s">
        <v>1239</v>
      </c>
      <c r="AU121" s="765"/>
      <c r="AW121" s="779"/>
      <c r="AX121" s="765" t="s">
        <v>2044</v>
      </c>
      <c r="AY121" s="764">
        <f>AY113/(0.001*AY102)</f>
        <v>423.33235200000001</v>
      </c>
      <c r="AZ121" s="150" t="s">
        <v>1239</v>
      </c>
      <c r="BA121" s="765"/>
      <c r="BC121" s="779"/>
      <c r="BD121" s="765" t="s">
        <v>2044</v>
      </c>
      <c r="BE121" s="764">
        <f>BE113/(0.001*BE102)</f>
        <v>435.91679999999991</v>
      </c>
      <c r="BF121" s="150" t="s">
        <v>1239</v>
      </c>
      <c r="BG121" s="765"/>
      <c r="BI121" s="779"/>
      <c r="BJ121" s="765" t="s">
        <v>2044</v>
      </c>
      <c r="BK121" s="764">
        <f>BK113/(0.001*BK102)</f>
        <v>446.4</v>
      </c>
      <c r="BL121" s="150" t="s">
        <v>1239</v>
      </c>
      <c r="BM121" s="765"/>
      <c r="BO121" s="779"/>
    </row>
    <row r="122" spans="2:67">
      <c r="B122" s="765" t="s">
        <v>2045</v>
      </c>
      <c r="C122" s="764">
        <f>C112+(2*C121)</f>
        <v>1577.1908000000001</v>
      </c>
      <c r="D122" s="150" t="s">
        <v>1239</v>
      </c>
      <c r="E122" s="765"/>
      <c r="H122" s="765" t="s">
        <v>2045</v>
      </c>
      <c r="I122" s="764">
        <f>I112+(2*I121)</f>
        <v>1504.8195000000001</v>
      </c>
      <c r="J122" s="150" t="s">
        <v>1239</v>
      </c>
      <c r="K122" s="765"/>
      <c r="M122" s="779"/>
      <c r="N122" s="765" t="s">
        <v>2045</v>
      </c>
      <c r="O122" s="764">
        <f>O112+(2*O121)</f>
        <v>1477.3420241935482</v>
      </c>
      <c r="P122" s="150" t="s">
        <v>1239</v>
      </c>
      <c r="Q122" s="765"/>
      <c r="S122" s="779"/>
      <c r="T122" s="765" t="s">
        <v>2045</v>
      </c>
      <c r="U122" s="764">
        <f>U112+(2*U121)</f>
        <v>1401.3330000000001</v>
      </c>
      <c r="V122" s="150" t="s">
        <v>1239</v>
      </c>
      <c r="W122" s="765"/>
      <c r="Y122" s="779"/>
      <c r="Z122" s="765" t="s">
        <v>2045</v>
      </c>
      <c r="AA122" s="764">
        <f>AA112+(2*AA121)</f>
        <v>1499.6246999999998</v>
      </c>
      <c r="AB122" s="150" t="s">
        <v>1239</v>
      </c>
      <c r="AC122" s="765"/>
      <c r="AE122" s="779"/>
      <c r="AF122" s="765" t="s">
        <v>2045</v>
      </c>
      <c r="AG122" s="764">
        <f>AG112+(2*AG121)</f>
        <v>1636.5704999999998</v>
      </c>
      <c r="AH122" s="150" t="s">
        <v>1239</v>
      </c>
      <c r="AI122" s="765"/>
      <c r="AK122" s="779"/>
      <c r="AL122" s="765" t="s">
        <v>2045</v>
      </c>
      <c r="AM122" s="764">
        <f>AM112+(2*AM121)</f>
        <v>1487.4660405</v>
      </c>
      <c r="AN122" s="150" t="s">
        <v>1239</v>
      </c>
      <c r="AO122" s="765"/>
      <c r="AQ122" s="779"/>
      <c r="AR122" s="765" t="s">
        <v>2045</v>
      </c>
      <c r="AS122" s="764">
        <f>AS112+(2*AS121)</f>
        <v>1391.3882819999999</v>
      </c>
      <c r="AT122" s="150" t="s">
        <v>1239</v>
      </c>
      <c r="AU122" s="765"/>
      <c r="AW122" s="779"/>
      <c r="AX122" s="765" t="s">
        <v>2045</v>
      </c>
      <c r="AY122" s="764">
        <f>AY112+(2*AY121)</f>
        <v>1351.2410984819558</v>
      </c>
      <c r="AZ122" s="150" t="s">
        <v>1239</v>
      </c>
      <c r="BA122" s="765"/>
      <c r="BC122" s="779"/>
      <c r="BD122" s="765" t="s">
        <v>2045</v>
      </c>
      <c r="BE122" s="764">
        <f>BE112+(2*BE121)</f>
        <v>1204.9933319999998</v>
      </c>
      <c r="BF122" s="150" t="s">
        <v>1239</v>
      </c>
      <c r="BG122" s="765"/>
      <c r="BI122" s="779"/>
      <c r="BJ122" s="765" t="s">
        <v>2045</v>
      </c>
      <c r="BK122" s="764">
        <f>BK112+(2*BK121)</f>
        <v>1235.4798788999999</v>
      </c>
      <c r="BL122" s="150" t="s">
        <v>1239</v>
      </c>
      <c r="BM122" s="765"/>
      <c r="BO122" s="779"/>
    </row>
    <row r="123" spans="2:67">
      <c r="B123" s="765" t="s">
        <v>2046</v>
      </c>
      <c r="C123" s="764">
        <f>Inputs!G39</f>
        <v>662.75700000000006</v>
      </c>
      <c r="D123" s="150" t="s">
        <v>1239</v>
      </c>
      <c r="H123" s="765" t="s">
        <v>2046</v>
      </c>
      <c r="I123" s="764">
        <f>I89</f>
        <v>642.95699999999999</v>
      </c>
      <c r="J123" s="150" t="s">
        <v>1239</v>
      </c>
      <c r="N123" s="765" t="s">
        <v>2046</v>
      </c>
      <c r="O123" s="764">
        <f>O89</f>
        <v>589.57952419354797</v>
      </c>
      <c r="P123" s="150" t="s">
        <v>1239</v>
      </c>
      <c r="T123" s="765" t="s">
        <v>2046</v>
      </c>
      <c r="U123" s="764">
        <f>U89</f>
        <v>520.053</v>
      </c>
      <c r="V123" s="150" t="s">
        <v>1239</v>
      </c>
      <c r="Z123" s="765" t="s">
        <v>2046</v>
      </c>
      <c r="AA123" s="764">
        <f>AA89</f>
        <v>598.88220000000001</v>
      </c>
      <c r="AB123" s="150" t="s">
        <v>1239</v>
      </c>
      <c r="AF123" s="765" t="s">
        <v>2046</v>
      </c>
      <c r="AG123" s="764">
        <f>AG89</f>
        <v>735.82799999999997</v>
      </c>
      <c r="AH123" s="150" t="s">
        <v>1239</v>
      </c>
      <c r="AL123" s="765" t="s">
        <v>2046</v>
      </c>
      <c r="AM123" s="764">
        <f>AM89</f>
        <v>524.97324000000003</v>
      </c>
      <c r="AN123" s="150" t="s">
        <v>1239</v>
      </c>
      <c r="AR123" s="765" t="s">
        <v>2046</v>
      </c>
      <c r="AS123" s="764">
        <f>AS89</f>
        <v>442.94623200000001</v>
      </c>
      <c r="AT123" s="150" t="s">
        <v>1239</v>
      </c>
      <c r="AX123" s="765" t="s">
        <v>2046</v>
      </c>
      <c r="AY123" s="764">
        <f>AY89</f>
        <v>450.56095025155565</v>
      </c>
      <c r="AZ123" s="150" t="s">
        <v>1239</v>
      </c>
      <c r="BD123" s="765" t="s">
        <v>2046</v>
      </c>
      <c r="BE123" s="764">
        <f>BE89</f>
        <v>268.72577999999999</v>
      </c>
      <c r="BF123" s="150" t="s">
        <v>1239</v>
      </c>
      <c r="BJ123" s="765" t="s">
        <v>2046</v>
      </c>
      <c r="BK123" s="764">
        <f>BK89</f>
        <v>275.10956639999995</v>
      </c>
      <c r="BL123" s="150" t="s">
        <v>1239</v>
      </c>
    </row>
    <row r="124" spans="2:67">
      <c r="C124" s="764">
        <f>C122/C123</f>
        <v>2.3797421981208799</v>
      </c>
      <c r="H124" s="765"/>
      <c r="I124" s="764">
        <f>I122/I123</f>
        <v>2.3404667808267119</v>
      </c>
      <c r="N124" s="765"/>
      <c r="O124" s="764">
        <f>O122/O123</f>
        <v>2.5057553113200797</v>
      </c>
      <c r="T124" s="765"/>
      <c r="U124" s="764">
        <f>U122/U123</f>
        <v>2.6945965122785562</v>
      </c>
      <c r="Z124" s="765"/>
      <c r="AA124" s="764">
        <f>AA122/AA123</f>
        <v>2.50403952563626</v>
      </c>
      <c r="AF124" s="765"/>
      <c r="AG124" s="764">
        <f>AG122/AG123</f>
        <v>2.2241209902314125</v>
      </c>
      <c r="AL124" s="765"/>
      <c r="AM124" s="764">
        <f>AM122/AM123</f>
        <v>2.8334130716834252</v>
      </c>
      <c r="AR124" s="765"/>
      <c r="AS124" s="764">
        <f>AS122/AS123</f>
        <v>3.1412125930444756</v>
      </c>
      <c r="AX124" s="765"/>
      <c r="AY124" s="764">
        <f>AY122/AY123</f>
        <v>2.9990195504682227</v>
      </c>
      <c r="BD124" s="765"/>
      <c r="BE124" s="764">
        <f>BE122/BE123</f>
        <v>4.484100230353782</v>
      </c>
      <c r="BJ124" s="765"/>
      <c r="BK124" s="764">
        <f>BK122/BK123</f>
        <v>4.4908648400239715</v>
      </c>
    </row>
    <row r="125" spans="2:67">
      <c r="B125" s="765" t="s">
        <v>2047</v>
      </c>
      <c r="C125" s="764">
        <f>Pile!M464/Pile!M477</f>
        <v>1</v>
      </c>
      <c r="H125" s="765" t="s">
        <v>2047</v>
      </c>
      <c r="I125" s="764">
        <f>I91</f>
        <v>1</v>
      </c>
      <c r="N125" s="765" t="s">
        <v>2047</v>
      </c>
      <c r="O125" s="764">
        <f>O91</f>
        <v>1</v>
      </c>
      <c r="T125" s="765" t="s">
        <v>2047</v>
      </c>
      <c r="U125" s="764">
        <f>U91</f>
        <v>1</v>
      </c>
      <c r="Z125" s="765" t="s">
        <v>2047</v>
      </c>
      <c r="AA125" s="764">
        <f>AA91</f>
        <v>1</v>
      </c>
      <c r="AF125" s="765" t="s">
        <v>2047</v>
      </c>
      <c r="AG125" s="764">
        <f>AG91</f>
        <v>1</v>
      </c>
      <c r="AL125" s="765" t="s">
        <v>2047</v>
      </c>
      <c r="AM125" s="764">
        <f>AM91</f>
        <v>1</v>
      </c>
      <c r="AR125" s="765" t="s">
        <v>2047</v>
      </c>
      <c r="AS125" s="764">
        <f>AS91</f>
        <v>1</v>
      </c>
      <c r="AX125" s="765" t="s">
        <v>2047</v>
      </c>
      <c r="AY125" s="764">
        <f>AY91</f>
        <v>1</v>
      </c>
      <c r="BD125" s="765" t="s">
        <v>2047</v>
      </c>
      <c r="BE125" s="764">
        <f>BE91</f>
        <v>1</v>
      </c>
      <c r="BJ125" s="765" t="s">
        <v>2047</v>
      </c>
      <c r="BK125" s="764">
        <f>BK91</f>
        <v>1</v>
      </c>
    </row>
    <row r="126" spans="2:67">
      <c r="B126" s="765" t="s">
        <v>2048</v>
      </c>
      <c r="C126" s="764">
        <f>ROUNDUP(C101*(C124*C125-C125),0)</f>
        <v>5</v>
      </c>
      <c r="H126" s="765" t="s">
        <v>2048</v>
      </c>
      <c r="I126" s="764">
        <f>ROUNDUP(I101*(I124*I125-I125),0)</f>
        <v>5</v>
      </c>
      <c r="N126" s="765" t="s">
        <v>2049</v>
      </c>
      <c r="O126" s="764">
        <f>ROUNDUP(O101*(O124*O125-O125),0)</f>
        <v>5</v>
      </c>
      <c r="T126" s="765" t="s">
        <v>2049</v>
      </c>
      <c r="U126" s="764">
        <f>ROUNDUP(U101*(U124*U125-U125),0)</f>
        <v>6</v>
      </c>
      <c r="Z126" s="765" t="s">
        <v>2049</v>
      </c>
      <c r="AA126" s="764">
        <f>ROUNDUP(AA101*(AA124*AA125-AA125),0)</f>
        <v>5</v>
      </c>
      <c r="AF126" s="765" t="s">
        <v>2049</v>
      </c>
      <c r="AG126" s="764">
        <f>ROUNDUP(AG101*(AG124*AG125-AG125),0)</f>
        <v>4</v>
      </c>
      <c r="AL126" s="765" t="s">
        <v>2049</v>
      </c>
      <c r="AM126" s="764">
        <f>ROUNDUP(AM101*(AM124*AM125-AM125),0)</f>
        <v>6</v>
      </c>
      <c r="AR126" s="765" t="s">
        <v>2049</v>
      </c>
      <c r="AS126" s="764">
        <f>ROUNDUP(AS101*(AS124*AS125-AS125),0)</f>
        <v>7</v>
      </c>
      <c r="AX126" s="765" t="s">
        <v>2049</v>
      </c>
      <c r="AY126" s="764">
        <f>ROUNDUP(AY101*(AY124*AY125-AY125),0)</f>
        <v>6</v>
      </c>
      <c r="BD126" s="765" t="s">
        <v>2049</v>
      </c>
      <c r="BE126" s="764">
        <f>ROUNDUP(BE101*(BE124*BE125-BE125),0)</f>
        <v>11</v>
      </c>
      <c r="BJ126" s="765" t="s">
        <v>2049</v>
      </c>
      <c r="BK126" s="764">
        <f>ROUNDUP(BK101*(BK124*BK125-BK125),0)</f>
        <v>11</v>
      </c>
    </row>
    <row r="127" spans="2:67">
      <c r="B127" s="765" t="s">
        <v>2050</v>
      </c>
      <c r="C127" s="764">
        <f>C126*Pile!N464/Pile!M464</f>
        <v>10.735411145938867</v>
      </c>
      <c r="D127" s="150" t="s">
        <v>2051</v>
      </c>
      <c r="H127" s="765" t="s">
        <v>2050</v>
      </c>
      <c r="I127" s="764">
        <f>I126*Pile!AA464/Pile!Z464</f>
        <v>10.735411145938867</v>
      </c>
      <c r="J127" s="150" t="s">
        <v>2051</v>
      </c>
      <c r="N127" s="765" t="s">
        <v>2050</v>
      </c>
      <c r="O127" s="764">
        <f>O126*Pile!AN464/Pile!AM464</f>
        <v>10.735411145938867</v>
      </c>
      <c r="P127" s="150" t="s">
        <v>2051</v>
      </c>
      <c r="T127" s="765" t="s">
        <v>2050</v>
      </c>
      <c r="U127" s="764">
        <f>U126*Pile!BA464/Pile!AZ464</f>
        <v>12.882493375126641</v>
      </c>
      <c r="V127" s="150" t="s">
        <v>2051</v>
      </c>
      <c r="Z127" s="765" t="s">
        <v>2050</v>
      </c>
      <c r="AA127" s="764">
        <f>AA126*Pile!BN464/Pile!BM464</f>
        <v>10.735411145938867</v>
      </c>
      <c r="AB127" s="150" t="s">
        <v>2051</v>
      </c>
      <c r="AF127" s="765" t="s">
        <v>2050</v>
      </c>
      <c r="AG127" s="764">
        <f>AG126*Pile!CA464/Pile!BZ464</f>
        <v>9.5425876852789955</v>
      </c>
      <c r="AH127" s="150" t="s">
        <v>2051</v>
      </c>
      <c r="AL127" s="765" t="s">
        <v>2050</v>
      </c>
      <c r="AM127" s="764">
        <f>AM126*Pile!CN464/Pile!CM464</f>
        <v>12.882493375126641</v>
      </c>
      <c r="AN127" s="150" t="s">
        <v>2051</v>
      </c>
      <c r="AR127" s="765" t="s">
        <v>2050</v>
      </c>
      <c r="AS127" s="764">
        <f>AS126*Pile!DA464/Pile!CZ464</f>
        <v>15.029575604314417</v>
      </c>
      <c r="AT127" s="150" t="s">
        <v>2051</v>
      </c>
      <c r="AX127" s="765" t="s">
        <v>2050</v>
      </c>
      <c r="AY127" s="764">
        <f>AY126*Pile!DN464/Pile!DM464</f>
        <v>12.882493375126641</v>
      </c>
      <c r="AZ127" s="150" t="s">
        <v>2051</v>
      </c>
      <c r="BD127" s="765" t="s">
        <v>2050</v>
      </c>
      <c r="BE127" s="764">
        <f>BE126*Pile!EA464/Pile!DZ464</f>
        <v>23.617904521065512</v>
      </c>
      <c r="BF127" s="150" t="s">
        <v>2051</v>
      </c>
      <c r="BJ127" s="765" t="s">
        <v>2050</v>
      </c>
      <c r="BK127" s="764">
        <f>BK126*Pile!EN464/Pile!EM464</f>
        <v>23.617904521065512</v>
      </c>
      <c r="BL127" s="150" t="s">
        <v>2051</v>
      </c>
    </row>
    <row r="128" spans="2:67">
      <c r="B128" s="765" t="s">
        <v>2052</v>
      </c>
      <c r="C128" s="764">
        <f>C126*Pile!L472</f>
        <v>1.0224467999999998</v>
      </c>
      <c r="D128" s="150" t="s">
        <v>2053</v>
      </c>
      <c r="H128" s="765" t="s">
        <v>2052</v>
      </c>
      <c r="I128" s="764">
        <f>I126*Pile!Y472</f>
        <v>1.0224467999999998</v>
      </c>
      <c r="J128" s="150" t="s">
        <v>2053</v>
      </c>
      <c r="N128" s="765" t="s">
        <v>2052</v>
      </c>
      <c r="O128" s="764">
        <f>O126*Pile!AL472</f>
        <v>1.0224467999999998</v>
      </c>
      <c r="P128" s="150" t="s">
        <v>2053</v>
      </c>
      <c r="T128" s="765" t="s">
        <v>2052</v>
      </c>
      <c r="U128" s="764">
        <f>U126*Pile!AY472</f>
        <v>1.2269361599999997</v>
      </c>
      <c r="V128" s="150" t="s">
        <v>2053</v>
      </c>
      <c r="Z128" s="765" t="s">
        <v>2052</v>
      </c>
      <c r="AA128" s="764">
        <f>AA126*Pile!BL472</f>
        <v>1.0224467999999998</v>
      </c>
      <c r="AB128" s="150" t="s">
        <v>2053</v>
      </c>
      <c r="AF128" s="765" t="s">
        <v>2052</v>
      </c>
      <c r="AG128" s="764">
        <f>AG126*Pile!BY472</f>
        <v>0.90884159999999969</v>
      </c>
      <c r="AH128" s="150" t="s">
        <v>2053</v>
      </c>
      <c r="AL128" s="765" t="s">
        <v>2052</v>
      </c>
      <c r="AM128" s="764">
        <f>AM126*Pile!CL472</f>
        <v>1.2269361599999997</v>
      </c>
      <c r="AN128" s="150" t="s">
        <v>2053</v>
      </c>
      <c r="AR128" s="765" t="s">
        <v>2052</v>
      </c>
      <c r="AS128" s="764">
        <f>AS126*Pile!CY472</f>
        <v>1.4314255199999997</v>
      </c>
      <c r="AT128" s="150" t="s">
        <v>2053</v>
      </c>
      <c r="AX128" s="765" t="s">
        <v>2052</v>
      </c>
      <c r="AY128" s="764">
        <f>AY126*Pile!DL472</f>
        <v>1.2269361599999997</v>
      </c>
      <c r="AZ128" s="150" t="s">
        <v>2053</v>
      </c>
      <c r="BD128" s="765" t="s">
        <v>2052</v>
      </c>
      <c r="BE128" s="764">
        <f>BE126*Pile!DY472</f>
        <v>2.2493829599999993</v>
      </c>
      <c r="BF128" s="150" t="s">
        <v>2053</v>
      </c>
      <c r="BJ128" s="765" t="s">
        <v>2052</v>
      </c>
      <c r="BK128" s="764">
        <f>BK126*Pile!EL472</f>
        <v>2.2493829599999993</v>
      </c>
      <c r="BL128" s="150" t="s">
        <v>2053</v>
      </c>
    </row>
    <row r="129" spans="2:64">
      <c r="B129" s="765" t="s">
        <v>2054</v>
      </c>
      <c r="C129" s="764">
        <f>(C126/C125)*Pile!L477</f>
        <v>2.8125</v>
      </c>
      <c r="D129" s="150" t="s">
        <v>2051</v>
      </c>
      <c r="H129" s="765" t="s">
        <v>2054</v>
      </c>
      <c r="I129" s="764">
        <f>(I126/I125)*Pile!Y477</f>
        <v>2.8125</v>
      </c>
      <c r="J129" s="150" t="s">
        <v>2051</v>
      </c>
      <c r="N129" s="765" t="s">
        <v>2054</v>
      </c>
      <c r="O129" s="764">
        <f>(O126/O125)*Pile!AL477</f>
        <v>2.8125</v>
      </c>
      <c r="P129" s="150" t="s">
        <v>2051</v>
      </c>
      <c r="T129" s="765" t="s">
        <v>2054</v>
      </c>
      <c r="U129" s="764">
        <f>(U126/U125)*Pile!AY477</f>
        <v>3.375</v>
      </c>
      <c r="V129" s="150" t="s">
        <v>2051</v>
      </c>
      <c r="Z129" s="765" t="s">
        <v>2054</v>
      </c>
      <c r="AA129" s="764">
        <f>(AA126/AA125)*Pile!BL477</f>
        <v>2.8125</v>
      </c>
      <c r="AB129" s="150" t="s">
        <v>2051</v>
      </c>
      <c r="AF129" s="765" t="s">
        <v>2054</v>
      </c>
      <c r="AG129" s="764">
        <f>(AG126/AG125)*Pile!BY477</f>
        <v>2.25</v>
      </c>
      <c r="AH129" s="150" t="s">
        <v>2051</v>
      </c>
      <c r="AL129" s="765" t="s">
        <v>2054</v>
      </c>
      <c r="AM129" s="764">
        <f>(AM126/AM125)*Pile!CL477</f>
        <v>3.375</v>
      </c>
      <c r="AN129" s="150" t="s">
        <v>2051</v>
      </c>
      <c r="AR129" s="765" t="s">
        <v>2054</v>
      </c>
      <c r="AS129" s="764">
        <f>(AS126/AS125)*Pile!CY477</f>
        <v>3.9375</v>
      </c>
      <c r="AT129" s="150" t="s">
        <v>2051</v>
      </c>
      <c r="AX129" s="765" t="s">
        <v>2054</v>
      </c>
      <c r="AY129" s="764">
        <f>(AY126/AY125)*Pile!DL477</f>
        <v>3.375</v>
      </c>
      <c r="AZ129" s="150" t="s">
        <v>2051</v>
      </c>
      <c r="BD129" s="765" t="s">
        <v>2054</v>
      </c>
      <c r="BE129" s="764">
        <f>(BE126/BE125)*Pile!DY477</f>
        <v>6.1875</v>
      </c>
      <c r="BF129" s="150" t="s">
        <v>2051</v>
      </c>
      <c r="BJ129" s="765" t="s">
        <v>2054</v>
      </c>
      <c r="BK129" s="764">
        <f>(BK126/BK125)*Pile!EL477</f>
        <v>6.1875</v>
      </c>
      <c r="BL129" s="150" t="s">
        <v>2051</v>
      </c>
    </row>
    <row r="130" spans="2:64" ht="15">
      <c r="B130" s="765" t="s">
        <v>2060</v>
      </c>
      <c r="C130" s="764">
        <f>C129*110/1000</f>
        <v>0.30937500000000001</v>
      </c>
      <c r="D130" s="150" t="s">
        <v>2053</v>
      </c>
      <c r="G130" s="257"/>
      <c r="H130" s="765" t="s">
        <v>2060</v>
      </c>
      <c r="I130" s="764">
        <f>I129*110/1000</f>
        <v>0.30937500000000001</v>
      </c>
      <c r="J130" s="150" t="s">
        <v>2053</v>
      </c>
      <c r="N130" s="765" t="s">
        <v>2060</v>
      </c>
      <c r="O130" s="764">
        <f>O129*110/1000</f>
        <v>0.30937500000000001</v>
      </c>
      <c r="P130" s="150" t="s">
        <v>2053</v>
      </c>
      <c r="T130" s="765" t="s">
        <v>2060</v>
      </c>
      <c r="U130" s="764">
        <f>U129*110/1000</f>
        <v>0.37125000000000002</v>
      </c>
      <c r="V130" s="150" t="s">
        <v>2053</v>
      </c>
      <c r="Z130" s="765" t="s">
        <v>2060</v>
      </c>
      <c r="AA130" s="764">
        <f>AA129*110/1000</f>
        <v>0.30937500000000001</v>
      </c>
      <c r="AB130" s="150" t="s">
        <v>2053</v>
      </c>
      <c r="AF130" s="765" t="s">
        <v>2060</v>
      </c>
      <c r="AG130" s="764">
        <f>AG129*110/1000</f>
        <v>0.2475</v>
      </c>
      <c r="AH130" s="150" t="s">
        <v>2053</v>
      </c>
      <c r="AL130" s="765" t="s">
        <v>2060</v>
      </c>
      <c r="AM130" s="764">
        <f>AM129*110/1000</f>
        <v>0.37125000000000002</v>
      </c>
      <c r="AN130" s="150" t="s">
        <v>2053</v>
      </c>
      <c r="AR130" s="765" t="s">
        <v>2060</v>
      </c>
      <c r="AS130" s="764">
        <f>AS129*110/1000</f>
        <v>0.43312499999999998</v>
      </c>
      <c r="AT130" s="150" t="s">
        <v>2053</v>
      </c>
      <c r="AX130" s="765" t="s">
        <v>2060</v>
      </c>
      <c r="AY130" s="764">
        <f>AY129*110/1000</f>
        <v>0.37125000000000002</v>
      </c>
      <c r="AZ130" s="150" t="s">
        <v>2053</v>
      </c>
      <c r="BD130" s="765" t="s">
        <v>2060</v>
      </c>
      <c r="BE130" s="764">
        <f>BE129*110/1000</f>
        <v>0.68062500000000004</v>
      </c>
      <c r="BF130" s="150" t="s">
        <v>2053</v>
      </c>
      <c r="BJ130" s="765" t="s">
        <v>2060</v>
      </c>
      <c r="BK130" s="764">
        <f>BK129*110/1000</f>
        <v>0.68062500000000004</v>
      </c>
      <c r="BL130" s="150" t="s">
        <v>2053</v>
      </c>
    </row>
    <row r="131" spans="2:64">
      <c r="B131" s="150"/>
      <c r="C131" s="256"/>
    </row>
    <row r="132" spans="2:64">
      <c r="B132" s="765" t="s">
        <v>2061</v>
      </c>
      <c r="C132" s="764">
        <f>C59*C64*2*0.001*(C66+C69)+C59*C101*2*0.001*(C102+C103)</f>
        <v>159.75371999999999</v>
      </c>
      <c r="D132" s="150" t="s">
        <v>642</v>
      </c>
      <c r="H132" s="765" t="s">
        <v>2061</v>
      </c>
      <c r="I132" s="764">
        <f>I59*I64*2*0.001*(I66+I69)+I59*I101*2*0.001*(I102+I103)</f>
        <v>158.90700000000004</v>
      </c>
      <c r="J132" s="150" t="s">
        <v>642</v>
      </c>
      <c r="N132" s="765" t="s">
        <v>2061</v>
      </c>
      <c r="O132" s="764">
        <f>O59*O64*2*0.001*(O66+O69)+O59*O101*2*0.001*(O102+O103)</f>
        <v>167.47500000000002</v>
      </c>
      <c r="P132" s="150" t="s">
        <v>642</v>
      </c>
      <c r="T132" s="765" t="s">
        <v>2061</v>
      </c>
      <c r="U132" s="764">
        <f>U59*U64*2*0.001*(U66+U69)+U59*U101*2*0.001*(U102+U103)</f>
        <v>165.31200000000001</v>
      </c>
      <c r="V132" s="150" t="s">
        <v>642</v>
      </c>
      <c r="Z132" s="765" t="s">
        <v>2061</v>
      </c>
      <c r="AA132" s="764">
        <f>AA59*AA64*2*0.001*(AA66+AA69)+AA59*AA101*2*0.001*(AA102+AA103)</f>
        <v>171.84300000000002</v>
      </c>
      <c r="AB132" s="150" t="s">
        <v>642</v>
      </c>
      <c r="AF132" s="765" t="s">
        <v>2061</v>
      </c>
      <c r="AG132" s="764">
        <f>AG59*AG64*2*0.001*(AG66+AG69)+AG59*AG101*2*0.001*(AG102+AG103)</f>
        <v>171.84300000000002</v>
      </c>
      <c r="AH132" s="150" t="s">
        <v>642</v>
      </c>
      <c r="AL132" s="765" t="s">
        <v>2061</v>
      </c>
      <c r="AM132" s="764">
        <f>AM59*AM64*2*0.001*(AM66+AM69)+AM59*AM101*2*0.001*(AM102+AM103)</f>
        <v>193.33301680000002</v>
      </c>
      <c r="AN132" s="150" t="s">
        <v>642</v>
      </c>
      <c r="AR132" s="765" t="s">
        <v>2061</v>
      </c>
      <c r="AS132" s="764">
        <f>AS59*AS64*2*0.001*(AS66+AS69)+AS59*AS101*2*0.001*(AS102+AS103)</f>
        <v>188.42068</v>
      </c>
      <c r="AT132" s="150" t="s">
        <v>642</v>
      </c>
      <c r="AX132" s="765" t="s">
        <v>2061</v>
      </c>
      <c r="AY132" s="764">
        <f>AY59*AY64*2*0.001*(AY66+AY69)+AY59*AY101*2*0.001*(AY102+AY103)</f>
        <v>171.82189984512002</v>
      </c>
      <c r="AZ132" s="150" t="s">
        <v>642</v>
      </c>
      <c r="BD132" s="765" t="s">
        <v>2061</v>
      </c>
      <c r="BE132" s="764">
        <f>BE59*BE64*2*0.001*(BE66+BE69)+BE59*BE101*2*0.001*(BE102+BE103)</f>
        <v>184.20814720000004</v>
      </c>
      <c r="BF132" s="150" t="s">
        <v>642</v>
      </c>
      <c r="BJ132" s="765" t="s">
        <v>2061</v>
      </c>
      <c r="BK132" s="764">
        <f>BK59*BK64*2*0.001*(BK66+BK69)+BK59*BK101*2*0.001*(BK102+BK103)</f>
        <v>192.58749999999998</v>
      </c>
      <c r="BL132" s="150" t="s">
        <v>642</v>
      </c>
    </row>
    <row r="133" spans="2:64">
      <c r="K133" s="780"/>
      <c r="L133" s="780"/>
    </row>
    <row r="134" spans="2:64">
      <c r="B134" s="150"/>
      <c r="K134" s="253"/>
      <c r="L134" s="253"/>
    </row>
    <row r="135" spans="2:64">
      <c r="B135" s="150"/>
      <c r="K135" s="253"/>
      <c r="L135" s="253"/>
    </row>
    <row r="136" spans="2:64">
      <c r="K136" s="253"/>
      <c r="L136" s="253"/>
    </row>
    <row r="137" spans="2:64">
      <c r="K137" s="253"/>
      <c r="L137" s="253"/>
    </row>
    <row r="138" spans="2:64">
      <c r="K138" s="253"/>
      <c r="L138" s="253"/>
    </row>
  </sheetData>
  <dataValidations count="2">
    <dataValidation type="list" allowBlank="1" showInputMessage="1" showErrorMessage="1" sqref="E116:E122 E82:E88 E97 K116:K122 K82:K88 K97 Q116:Q122 Q82:Q88 Q97 W116:W122 W82:W88 W97 AC116:AC122 AC82:AC88 AC97 AI116:AI122 AI82:AI88 AI97 AO116:AO122 AO82:AO88 AO97 AU116:AU122 AU82:AU88 AU97 BA116:BA122 BA82:BA88 BA97 BG116:BG122 BG82:BG88 BG97 BM116:BM122 BM82:BM88 BM97" xr:uid="{67CF9E85-1E66-4404-9958-D580D10B2945}">
      <formula1>"H10,H12,H16,H20,H25"</formula1>
    </dataValidation>
    <dataValidation type="list" allowBlank="1" showInputMessage="1" showErrorMessage="1" sqref="C32 I32 O32 U32 AA32 AG32 AM32 AS32 AY32 BE32 BK32" xr:uid="{8D160152-3623-49D6-BEDA-6250B360C478}">
      <formula1>"0,1,2,3,4"</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CF291-2365-4697-94B7-816553F95F56}">
  <sheetPr codeName="Sheet18">
    <tabColor theme="8" tint="0.79998168889431442"/>
  </sheetPr>
  <dimension ref="A1:Y250"/>
  <sheetViews>
    <sheetView workbookViewId="0">
      <selection sqref="A1:XFD1048576"/>
    </sheetView>
  </sheetViews>
  <sheetFormatPr defaultColWidth="9.140625" defaultRowHeight="14.25"/>
  <cols>
    <col min="1" max="1" width="46.42578125" style="284" customWidth="1"/>
    <col min="2" max="2" width="23.42578125" style="284" customWidth="1"/>
    <col min="3" max="3" width="15.5703125" style="284" customWidth="1"/>
    <col min="4" max="5" width="14.42578125" style="284" customWidth="1"/>
    <col min="6" max="6" width="53.42578125" style="284" customWidth="1"/>
    <col min="7" max="10" width="14.42578125" style="284" customWidth="1"/>
    <col min="11" max="16384" width="9.140625" style="284"/>
  </cols>
  <sheetData>
    <row r="1" spans="1:25" ht="60">
      <c r="A1" s="1224" t="s">
        <v>2092</v>
      </c>
      <c r="B1" s="440"/>
      <c r="C1" s="440"/>
      <c r="D1" s="440"/>
      <c r="E1" s="440"/>
      <c r="F1" s="440"/>
      <c r="G1" s="440"/>
      <c r="H1" s="440"/>
      <c r="I1" s="440"/>
      <c r="J1" s="440"/>
      <c r="K1" s="440"/>
      <c r="L1" s="440"/>
      <c r="M1" s="440"/>
      <c r="N1" s="440"/>
      <c r="O1" s="440"/>
      <c r="P1" s="440"/>
      <c r="Q1" s="440"/>
      <c r="R1" s="440"/>
      <c r="S1" s="440"/>
      <c r="T1" s="440"/>
      <c r="U1" s="440"/>
      <c r="V1" s="440"/>
      <c r="W1" s="440"/>
      <c r="X1" s="440"/>
      <c r="Y1" s="440"/>
    </row>
    <row r="2" spans="1:25" ht="15.75" thickBot="1">
      <c r="A2" s="600" t="s">
        <v>2093</v>
      </c>
    </row>
    <row r="3" spans="1:25" ht="15.75" thickBot="1">
      <c r="A3" s="1225" t="s">
        <v>2094</v>
      </c>
      <c r="B3" s="1226"/>
      <c r="C3" s="600"/>
    </row>
    <row r="4" spans="1:25" ht="15.75" thickBot="1">
      <c r="A4" s="1227" t="s">
        <v>2095</v>
      </c>
      <c r="B4" s="1228" t="s">
        <v>2096</v>
      </c>
      <c r="C4" s="583"/>
    </row>
    <row r="5" spans="1:25" ht="15" thickBot="1">
      <c r="A5" s="1229" t="s">
        <v>2097</v>
      </c>
      <c r="B5" s="1230">
        <v>1.25</v>
      </c>
      <c r="C5" s="1231"/>
      <c r="R5" s="284" t="s">
        <v>2098</v>
      </c>
    </row>
    <row r="6" spans="1:25">
      <c r="A6" s="1232" t="s">
        <v>2099</v>
      </c>
      <c r="B6" s="1233">
        <v>1.25</v>
      </c>
      <c r="C6" s="1234"/>
      <c r="R6" s="604" t="s">
        <v>2100</v>
      </c>
      <c r="S6" s="606" t="s">
        <v>2101</v>
      </c>
      <c r="T6" s="607" t="s">
        <v>2102</v>
      </c>
    </row>
    <row r="7" spans="1:25">
      <c r="A7" s="1232" t="s">
        <v>2068</v>
      </c>
      <c r="B7" s="1233">
        <v>1.4</v>
      </c>
      <c r="C7" s="1234"/>
      <c r="R7" s="610">
        <v>1</v>
      </c>
      <c r="S7" s="284">
        <v>20</v>
      </c>
      <c r="T7" s="611">
        <v>3.2</v>
      </c>
    </row>
    <row r="8" spans="1:25" ht="15" thickBot="1">
      <c r="A8" s="1235" t="s">
        <v>2103</v>
      </c>
      <c r="B8" s="1236">
        <v>1.4</v>
      </c>
      <c r="C8" s="1234"/>
      <c r="R8" s="610">
        <v>1</v>
      </c>
      <c r="S8" s="284">
        <v>20.5</v>
      </c>
      <c r="T8" s="611">
        <v>3.3</v>
      </c>
    </row>
    <row r="9" spans="1:25">
      <c r="B9" s="1234"/>
      <c r="C9" s="1234"/>
      <c r="R9" s="610">
        <v>1</v>
      </c>
      <c r="S9" s="284">
        <v>21</v>
      </c>
      <c r="T9" s="611">
        <v>3.4</v>
      </c>
    </row>
    <row r="10" spans="1:25">
      <c r="R10" s="610">
        <v>1</v>
      </c>
      <c r="S10" s="284">
        <v>21.5</v>
      </c>
      <c r="T10" s="611">
        <v>3.5</v>
      </c>
    </row>
    <row r="11" spans="1:25" ht="15.75" thickBot="1">
      <c r="A11" s="600" t="s">
        <v>2104</v>
      </c>
      <c r="R11" s="610">
        <v>1</v>
      </c>
      <c r="S11" s="284">
        <v>22</v>
      </c>
      <c r="T11" s="611">
        <v>3.6</v>
      </c>
    </row>
    <row r="12" spans="1:25" ht="15.75" thickBot="1">
      <c r="A12" s="1225" t="s">
        <v>2105</v>
      </c>
      <c r="B12" s="1237"/>
      <c r="C12" s="1226"/>
      <c r="R12" s="610">
        <v>1</v>
      </c>
      <c r="S12" s="284">
        <v>22.5</v>
      </c>
      <c r="T12" s="611">
        <v>3.7</v>
      </c>
    </row>
    <row r="13" spans="1:25" ht="15.75" thickBot="1">
      <c r="A13" s="1238" t="s">
        <v>2095</v>
      </c>
      <c r="B13" s="1239" t="s">
        <v>2096</v>
      </c>
      <c r="C13" s="1240" t="s">
        <v>2106</v>
      </c>
      <c r="R13" s="610">
        <v>1</v>
      </c>
      <c r="S13" s="284">
        <v>23</v>
      </c>
      <c r="T13" s="611">
        <v>3.8</v>
      </c>
    </row>
    <row r="14" spans="1:25">
      <c r="A14" s="1229" t="s">
        <v>2107</v>
      </c>
      <c r="B14" s="1241">
        <v>1.4</v>
      </c>
      <c r="C14" s="1242">
        <v>1.4</v>
      </c>
      <c r="R14" s="610">
        <v>1</v>
      </c>
      <c r="S14" s="284">
        <v>23.5</v>
      </c>
      <c r="T14" s="611">
        <v>3.9</v>
      </c>
    </row>
    <row r="15" spans="1:25" ht="15" thickBot="1">
      <c r="A15" s="1235" t="s">
        <v>2108</v>
      </c>
      <c r="B15" s="1243">
        <v>1.6</v>
      </c>
      <c r="C15" s="1244">
        <v>2</v>
      </c>
      <c r="R15" s="610">
        <v>1</v>
      </c>
      <c r="S15" s="284">
        <v>24</v>
      </c>
      <c r="T15" s="611">
        <v>4</v>
      </c>
    </row>
    <row r="16" spans="1:25" ht="15" thickBot="1">
      <c r="R16" s="610">
        <v>1</v>
      </c>
      <c r="S16" s="284">
        <v>24.5</v>
      </c>
      <c r="T16" s="611">
        <v>4.2</v>
      </c>
    </row>
    <row r="17" spans="1:20" ht="15.75" thickBot="1">
      <c r="A17" s="1225" t="s">
        <v>2109</v>
      </c>
      <c r="B17" s="1237"/>
      <c r="C17" s="1226"/>
      <c r="R17" s="610">
        <v>1</v>
      </c>
      <c r="S17" s="284">
        <v>25</v>
      </c>
      <c r="T17" s="611">
        <v>4.3</v>
      </c>
    </row>
    <row r="18" spans="1:20" ht="15.75" thickBot="1">
      <c r="A18" s="1238" t="s">
        <v>2095</v>
      </c>
      <c r="B18" s="1239" t="s">
        <v>2096</v>
      </c>
      <c r="C18" s="1240" t="s">
        <v>2106</v>
      </c>
      <c r="R18" s="610">
        <v>1</v>
      </c>
      <c r="S18" s="284">
        <v>25.5</v>
      </c>
      <c r="T18" s="611">
        <v>4.4000000000000004</v>
      </c>
    </row>
    <row r="19" spans="1:20">
      <c r="A19" s="1229" t="s">
        <v>2107</v>
      </c>
      <c r="B19" s="1241">
        <v>1.4</v>
      </c>
      <c r="C19" s="1242">
        <v>1.4</v>
      </c>
      <c r="R19" s="610">
        <v>1</v>
      </c>
      <c r="S19" s="284">
        <v>26</v>
      </c>
      <c r="T19" s="611">
        <v>4.5999999999999996</v>
      </c>
    </row>
    <row r="20" spans="1:20" ht="15" thickBot="1">
      <c r="A20" s="1235" t="s">
        <v>2108</v>
      </c>
      <c r="B20" s="1243">
        <v>1.5</v>
      </c>
      <c r="C20" s="1244">
        <v>1.7</v>
      </c>
      <c r="R20" s="610">
        <v>1</v>
      </c>
      <c r="S20" s="284">
        <v>26.5</v>
      </c>
      <c r="T20" s="611">
        <v>4.7</v>
      </c>
    </row>
    <row r="21" spans="1:20">
      <c r="B21" s="1234"/>
      <c r="C21" s="1234"/>
      <c r="D21" s="1234"/>
      <c r="G21" s="1234"/>
      <c r="H21" s="1234"/>
      <c r="R21" s="610">
        <v>1</v>
      </c>
      <c r="S21" s="284">
        <v>27</v>
      </c>
      <c r="T21" s="611">
        <v>4.8</v>
      </c>
    </row>
    <row r="22" spans="1:20">
      <c r="R22" s="610">
        <v>1</v>
      </c>
      <c r="S22" s="284">
        <v>27.5</v>
      </c>
      <c r="T22" s="611">
        <v>5</v>
      </c>
    </row>
    <row r="23" spans="1:20" ht="22.7" customHeight="1" thickBot="1">
      <c r="A23" s="600" t="s">
        <v>2110</v>
      </c>
      <c r="R23" s="610">
        <v>1</v>
      </c>
      <c r="S23" s="284">
        <v>28</v>
      </c>
      <c r="T23" s="611">
        <v>5.0999999999999996</v>
      </c>
    </row>
    <row r="24" spans="1:20" ht="17.25" thickBot="1">
      <c r="A24" s="1225" t="s">
        <v>2111</v>
      </c>
      <c r="B24" s="1225" t="s">
        <v>2112</v>
      </c>
      <c r="C24" s="1245" t="s">
        <v>2113</v>
      </c>
      <c r="D24" s="1246" t="s">
        <v>2114</v>
      </c>
      <c r="R24" s="610">
        <v>1</v>
      </c>
      <c r="S24" s="284">
        <v>28.5</v>
      </c>
      <c r="T24" s="611">
        <v>5.2</v>
      </c>
    </row>
    <row r="25" spans="1:20">
      <c r="A25" s="610" t="s">
        <v>759</v>
      </c>
      <c r="B25" s="610" t="s">
        <v>26</v>
      </c>
      <c r="C25" s="1247">
        <v>1</v>
      </c>
      <c r="D25" s="1248">
        <v>0.7</v>
      </c>
      <c r="R25" s="610">
        <v>1</v>
      </c>
      <c r="S25" s="284">
        <v>29</v>
      </c>
      <c r="T25" s="611">
        <v>5.4</v>
      </c>
    </row>
    <row r="26" spans="1:20">
      <c r="A26" s="610" t="s">
        <v>2115</v>
      </c>
      <c r="B26" s="610" t="s">
        <v>2075</v>
      </c>
      <c r="C26" s="1247">
        <v>1</v>
      </c>
      <c r="D26" s="1248">
        <v>0.6</v>
      </c>
      <c r="R26" s="610">
        <v>1</v>
      </c>
      <c r="S26" s="284">
        <v>29.5</v>
      </c>
      <c r="T26" s="611">
        <v>5.5</v>
      </c>
    </row>
    <row r="27" spans="1:20">
      <c r="A27" s="610" t="s">
        <v>2115</v>
      </c>
      <c r="B27" s="610" t="s">
        <v>2116</v>
      </c>
      <c r="C27" s="1247">
        <v>1</v>
      </c>
      <c r="D27" s="1248">
        <v>0.9</v>
      </c>
      <c r="R27" s="610">
        <v>1</v>
      </c>
      <c r="S27" s="284">
        <v>30</v>
      </c>
      <c r="T27" s="611">
        <v>5.7</v>
      </c>
    </row>
    <row r="28" spans="1:20" ht="15" thickBot="1">
      <c r="A28" s="1249" t="s">
        <v>2117</v>
      </c>
      <c r="B28" s="1249" t="s">
        <v>26</v>
      </c>
      <c r="C28" s="1250">
        <v>0.67</v>
      </c>
      <c r="D28" s="1251">
        <v>1.1000000000000001</v>
      </c>
      <c r="R28" s="610">
        <v>1</v>
      </c>
      <c r="S28" s="284">
        <v>30.5</v>
      </c>
      <c r="T28" s="611">
        <v>5.9</v>
      </c>
    </row>
    <row r="29" spans="1:20">
      <c r="A29" s="1252" t="s">
        <v>2118</v>
      </c>
      <c r="I29" s="1253"/>
      <c r="R29" s="610">
        <v>1</v>
      </c>
      <c r="S29" s="284">
        <v>31</v>
      </c>
      <c r="T29" s="611">
        <v>6.1</v>
      </c>
    </row>
    <row r="30" spans="1:20">
      <c r="R30" s="610">
        <v>1</v>
      </c>
      <c r="S30" s="284">
        <v>31.5</v>
      </c>
      <c r="T30" s="611">
        <v>6.3</v>
      </c>
    </row>
    <row r="31" spans="1:20" ht="15.75" thickBot="1">
      <c r="A31" s="600" t="s">
        <v>2119</v>
      </c>
      <c r="R31" s="610">
        <v>1</v>
      </c>
      <c r="S31" s="284">
        <v>32</v>
      </c>
      <c r="T31" s="611">
        <v>6.5</v>
      </c>
    </row>
    <row r="32" spans="1:20" ht="30.2" customHeight="1" thickBot="1">
      <c r="A32" s="1254" t="s">
        <v>2120</v>
      </c>
      <c r="B32" s="1255" t="s">
        <v>2121</v>
      </c>
      <c r="C32" s="1256" t="s">
        <v>2122</v>
      </c>
      <c r="D32" s="1257"/>
      <c r="E32" s="1257"/>
      <c r="F32" s="1257"/>
      <c r="G32" s="1257"/>
      <c r="H32" s="1257"/>
      <c r="I32" s="1257"/>
      <c r="J32" s="1257"/>
      <c r="R32" s="610">
        <v>1</v>
      </c>
      <c r="S32" s="284">
        <v>32.5</v>
      </c>
      <c r="T32" s="611">
        <v>6.7</v>
      </c>
    </row>
    <row r="33" spans="1:20" ht="15" thickBot="1">
      <c r="A33" s="1258" t="s">
        <v>58</v>
      </c>
      <c r="B33" s="1259" t="s">
        <v>58</v>
      </c>
      <c r="C33" s="1260" t="s">
        <v>1239</v>
      </c>
      <c r="D33" s="1261"/>
      <c r="E33" s="1261"/>
      <c r="F33" s="1261"/>
      <c r="G33" s="1261"/>
      <c r="H33" s="1261"/>
      <c r="I33" s="1261"/>
      <c r="J33" s="1261"/>
      <c r="R33" s="610">
        <v>1</v>
      </c>
      <c r="S33" s="284">
        <v>33</v>
      </c>
      <c r="T33" s="611">
        <v>6.9</v>
      </c>
    </row>
    <row r="34" spans="1:20">
      <c r="A34" s="1262">
        <v>450</v>
      </c>
      <c r="B34" s="1263">
        <f>A34*0.95</f>
        <v>427.5</v>
      </c>
      <c r="C34" s="1264">
        <v>2366.1761868507956</v>
      </c>
      <c r="D34" s="1265"/>
      <c r="E34" s="1266"/>
      <c r="F34" s="1266"/>
      <c r="G34" s="1267"/>
      <c r="H34" s="1266"/>
      <c r="I34" s="1266"/>
      <c r="J34" s="1265"/>
      <c r="R34" s="610">
        <v>1</v>
      </c>
      <c r="S34" s="284">
        <v>33.5</v>
      </c>
      <c r="T34" s="611">
        <v>7.2</v>
      </c>
    </row>
    <row r="35" spans="1:20">
      <c r="A35" s="1262">
        <v>600</v>
      </c>
      <c r="B35" s="1263">
        <f t="shared" ref="B35:B36" si="0">A35*0.95</f>
        <v>570</v>
      </c>
      <c r="C35" s="1264">
        <v>4206.5354432903041</v>
      </c>
      <c r="D35" s="1265"/>
      <c r="E35" s="1266"/>
      <c r="F35" s="1266"/>
      <c r="G35" s="1267"/>
      <c r="H35" s="1266"/>
      <c r="I35" s="1266"/>
      <c r="J35" s="1265"/>
      <c r="R35" s="610">
        <v>1</v>
      </c>
      <c r="S35" s="284">
        <v>34</v>
      </c>
      <c r="T35" s="611">
        <v>7.4</v>
      </c>
    </row>
    <row r="36" spans="1:20">
      <c r="A36" s="1262">
        <v>750</v>
      </c>
      <c r="B36" s="1263">
        <f t="shared" si="0"/>
        <v>712.5</v>
      </c>
      <c r="C36" s="1264">
        <v>6572.7116301410997</v>
      </c>
      <c r="D36" s="1265"/>
      <c r="E36" s="1266"/>
      <c r="F36" s="1266"/>
      <c r="G36" s="1267"/>
      <c r="H36" s="1266"/>
      <c r="I36" s="1266"/>
      <c r="J36" s="1265"/>
      <c r="R36" s="610">
        <v>1</v>
      </c>
      <c r="S36" s="284">
        <v>34.5</v>
      </c>
      <c r="T36" s="611">
        <v>7.6</v>
      </c>
    </row>
    <row r="37" spans="1:20">
      <c r="A37" s="1262">
        <v>900</v>
      </c>
      <c r="B37" s="1263">
        <f>A37*0.95</f>
        <v>855</v>
      </c>
      <c r="C37" s="1264">
        <v>9464.7047474031824</v>
      </c>
      <c r="D37" s="1265"/>
      <c r="E37" s="1266"/>
      <c r="F37" s="1266"/>
      <c r="G37" s="1267"/>
      <c r="H37" s="1266"/>
      <c r="I37" s="1266"/>
      <c r="J37" s="1265"/>
      <c r="R37" s="610">
        <v>1</v>
      </c>
      <c r="S37" s="284">
        <v>35</v>
      </c>
      <c r="T37" s="611">
        <v>8</v>
      </c>
    </row>
    <row r="38" spans="1:20">
      <c r="A38" s="1262">
        <v>1050</v>
      </c>
      <c r="B38" s="1263">
        <f>A38*0.95</f>
        <v>997.5</v>
      </c>
      <c r="C38" s="1264">
        <v>12882.514795076555</v>
      </c>
      <c r="D38" s="1265"/>
      <c r="E38" s="1266"/>
      <c r="F38" s="1266"/>
      <c r="G38" s="1267"/>
      <c r="H38" s="1266"/>
      <c r="I38" s="1266"/>
      <c r="J38" s="1265"/>
      <c r="R38" s="610">
        <v>1</v>
      </c>
      <c r="S38" s="284">
        <v>35.5</v>
      </c>
      <c r="T38" s="611">
        <v>8.3000000000000007</v>
      </c>
    </row>
    <row r="39" spans="1:20" ht="15" thickBot="1">
      <c r="A39" s="1268">
        <v>1200</v>
      </c>
      <c r="B39" s="1269">
        <f>A39*0.95</f>
        <v>1140</v>
      </c>
      <c r="C39" s="1270">
        <v>16826.141773161216</v>
      </c>
      <c r="D39" s="1265"/>
      <c r="E39" s="1266"/>
      <c r="F39" s="1266"/>
      <c r="G39" s="1267"/>
      <c r="H39" s="1266"/>
      <c r="I39" s="1266"/>
      <c r="J39" s="1265"/>
      <c r="R39" s="610">
        <v>1</v>
      </c>
      <c r="S39" s="284">
        <v>36</v>
      </c>
      <c r="T39" s="611">
        <v>8.6</v>
      </c>
    </row>
    <row r="40" spans="1:20">
      <c r="R40" s="610">
        <v>1</v>
      </c>
      <c r="S40" s="284">
        <v>36.5</v>
      </c>
      <c r="T40" s="611">
        <v>8.9</v>
      </c>
    </row>
    <row r="41" spans="1:20" ht="15.75" thickBot="1">
      <c r="A41" s="600" t="s">
        <v>2123</v>
      </c>
      <c r="R41" s="610">
        <v>1</v>
      </c>
      <c r="S41" s="284">
        <v>37</v>
      </c>
      <c r="T41" s="611">
        <v>9.3000000000000007</v>
      </c>
    </row>
    <row r="42" spans="1:20" ht="15.75" thickBot="1">
      <c r="A42" s="1225" t="s">
        <v>2124</v>
      </c>
      <c r="B42" s="1271" t="s">
        <v>2125</v>
      </c>
      <c r="R42" s="610">
        <v>1</v>
      </c>
      <c r="S42" s="284">
        <v>37.5</v>
      </c>
      <c r="T42" s="611">
        <v>9.6999999999999993</v>
      </c>
    </row>
    <row r="43" spans="1:20">
      <c r="A43" s="1272" t="s">
        <v>2126</v>
      </c>
      <c r="B43" s="1273">
        <v>20000</v>
      </c>
      <c r="R43" s="610">
        <v>1</v>
      </c>
      <c r="S43" s="284">
        <v>38</v>
      </c>
      <c r="T43" s="611">
        <v>10.1</v>
      </c>
    </row>
    <row r="44" spans="1:20">
      <c r="A44" s="1274" t="s">
        <v>2127</v>
      </c>
      <c r="B44" s="1275">
        <v>25000</v>
      </c>
      <c r="R44" s="610">
        <v>1</v>
      </c>
      <c r="S44" s="284">
        <v>38.5</v>
      </c>
      <c r="T44" s="611">
        <v>10.6</v>
      </c>
    </row>
    <row r="45" spans="1:20">
      <c r="A45" s="1274" t="s">
        <v>2128</v>
      </c>
      <c r="B45" s="1275">
        <v>28000</v>
      </c>
      <c r="R45" s="610">
        <v>1</v>
      </c>
      <c r="S45" s="284">
        <v>39</v>
      </c>
      <c r="T45" s="611">
        <v>11.1</v>
      </c>
    </row>
    <row r="46" spans="1:20">
      <c r="A46" s="1274" t="s">
        <v>635</v>
      </c>
      <c r="B46" s="1275">
        <v>32000</v>
      </c>
      <c r="R46" s="610">
        <v>1</v>
      </c>
      <c r="S46" s="284">
        <v>39.5</v>
      </c>
      <c r="T46" s="611">
        <v>11.6</v>
      </c>
    </row>
    <row r="47" spans="1:20">
      <c r="A47" s="1274" t="s">
        <v>2129</v>
      </c>
      <c r="B47" s="1275">
        <v>35000</v>
      </c>
      <c r="R47" s="610">
        <v>1</v>
      </c>
      <c r="S47" s="284">
        <v>40</v>
      </c>
      <c r="T47" s="611">
        <v>12.3</v>
      </c>
    </row>
    <row r="48" spans="1:20">
      <c r="A48" s="1274" t="s">
        <v>2130</v>
      </c>
      <c r="B48" s="1275">
        <v>40000</v>
      </c>
      <c r="R48" s="610">
        <v>1</v>
      </c>
      <c r="S48" s="284">
        <v>40.5</v>
      </c>
      <c r="T48" s="611">
        <v>12.7</v>
      </c>
    </row>
    <row r="49" spans="1:20" ht="15" thickBot="1">
      <c r="A49" s="1276" t="s">
        <v>2131</v>
      </c>
      <c r="B49" s="1277">
        <v>40000</v>
      </c>
      <c r="R49" s="610">
        <v>1</v>
      </c>
      <c r="S49" s="284">
        <v>41</v>
      </c>
      <c r="T49" s="611">
        <v>13.4</v>
      </c>
    </row>
    <row r="50" spans="1:20">
      <c r="R50" s="610">
        <v>1</v>
      </c>
      <c r="S50" s="284">
        <v>41.5</v>
      </c>
      <c r="T50" s="611">
        <v>14.1</v>
      </c>
    </row>
    <row r="51" spans="1:20">
      <c r="R51" s="610">
        <v>1</v>
      </c>
      <c r="S51" s="284">
        <v>42</v>
      </c>
      <c r="T51" s="611">
        <v>14.9</v>
      </c>
    </row>
    <row r="52" spans="1:20">
      <c r="R52" s="610">
        <v>1</v>
      </c>
      <c r="S52" s="284">
        <v>42.5</v>
      </c>
      <c r="T52" s="611">
        <v>15.8</v>
      </c>
    </row>
    <row r="53" spans="1:20">
      <c r="A53" s="1278" t="s">
        <v>2132</v>
      </c>
      <c r="C53" s="1279"/>
      <c r="D53" s="1279"/>
      <c r="E53" s="1279"/>
      <c r="F53" s="1279"/>
      <c r="R53" s="610">
        <v>1</v>
      </c>
      <c r="S53" s="284">
        <v>43</v>
      </c>
      <c r="T53" s="611">
        <v>16.899999999999999</v>
      </c>
    </row>
    <row r="54" spans="1:20">
      <c r="B54" s="1279"/>
      <c r="C54" s="1279"/>
      <c r="D54" s="1279"/>
      <c r="E54" s="1279"/>
      <c r="F54" s="1279"/>
      <c r="G54" s="1279"/>
      <c r="H54" s="1279"/>
      <c r="R54" s="610">
        <v>1</v>
      </c>
      <c r="S54" s="284">
        <v>43.5</v>
      </c>
      <c r="T54" s="611">
        <v>17.8</v>
      </c>
    </row>
    <row r="55" spans="1:20">
      <c r="B55" s="1279"/>
      <c r="C55" s="1279"/>
      <c r="D55" s="1280" t="s">
        <v>2133</v>
      </c>
      <c r="E55" s="1280" t="s">
        <v>102</v>
      </c>
      <c r="F55" s="1280" t="s">
        <v>2134</v>
      </c>
      <c r="G55" s="1279"/>
      <c r="H55" s="1279"/>
      <c r="R55" s="610">
        <v>1</v>
      </c>
      <c r="S55" s="284">
        <v>44</v>
      </c>
      <c r="T55" s="611">
        <v>18.899999999999999</v>
      </c>
    </row>
    <row r="56" spans="1:20">
      <c r="B56" s="1279" t="s">
        <v>2135</v>
      </c>
      <c r="C56" s="1279"/>
      <c r="D56" s="1279" t="s">
        <v>2136</v>
      </c>
      <c r="E56" s="1281" t="s">
        <v>2137</v>
      </c>
      <c r="F56" s="1281" t="s">
        <v>2138</v>
      </c>
      <c r="G56" s="1279"/>
      <c r="H56" s="1279"/>
      <c r="R56" s="610">
        <v>1</v>
      </c>
      <c r="S56" s="284">
        <v>44.5</v>
      </c>
      <c r="T56" s="611">
        <v>20.100000000000001</v>
      </c>
    </row>
    <row r="57" spans="1:20">
      <c r="B57" s="1279" t="s">
        <v>2139</v>
      </c>
      <c r="C57" s="1279"/>
      <c r="D57" s="1279" t="s">
        <v>2140</v>
      </c>
      <c r="E57" s="1281" t="s">
        <v>2141</v>
      </c>
      <c r="F57" s="1281" t="s">
        <v>2138</v>
      </c>
      <c r="G57" s="1279"/>
      <c r="H57" s="1279"/>
      <c r="R57" s="610">
        <v>1</v>
      </c>
      <c r="S57" s="284">
        <v>45</v>
      </c>
      <c r="T57" s="611">
        <v>21.3</v>
      </c>
    </row>
    <row r="58" spans="1:20">
      <c r="B58" s="1279"/>
      <c r="C58" s="1279"/>
      <c r="D58" s="1279"/>
      <c r="E58" s="1279"/>
      <c r="F58" s="1279"/>
      <c r="G58" s="1279"/>
      <c r="H58" s="1279"/>
      <c r="R58" s="610">
        <v>1</v>
      </c>
      <c r="S58" s="284">
        <v>45.5</v>
      </c>
      <c r="T58" s="611">
        <v>22.6</v>
      </c>
    </row>
    <row r="59" spans="1:20" ht="15">
      <c r="A59" s="1278" t="s">
        <v>2142</v>
      </c>
      <c r="C59" s="1279"/>
      <c r="D59" s="1279"/>
      <c r="E59" s="1279"/>
      <c r="F59" s="1279"/>
      <c r="G59" s="1279"/>
      <c r="H59" s="1279"/>
      <c r="R59" s="610">
        <v>1</v>
      </c>
      <c r="S59" s="284">
        <v>46</v>
      </c>
      <c r="T59" s="611">
        <v>24.1</v>
      </c>
    </row>
    <row r="60" spans="1:20">
      <c r="B60" s="1279" t="s">
        <v>2143</v>
      </c>
      <c r="C60" s="1279"/>
      <c r="D60" s="1279"/>
      <c r="E60" s="1279"/>
      <c r="F60" s="1279"/>
      <c r="G60" s="1279"/>
      <c r="H60" s="1279"/>
      <c r="R60" s="610">
        <v>1</v>
      </c>
      <c r="S60" s="284">
        <v>46.5</v>
      </c>
      <c r="T60" s="611">
        <v>25.6</v>
      </c>
    </row>
    <row r="61" spans="1:20">
      <c r="B61" s="1279" t="s">
        <v>2144</v>
      </c>
      <c r="C61" s="1279"/>
      <c r="D61" s="1279"/>
      <c r="E61" s="1279"/>
      <c r="F61" s="1279"/>
      <c r="G61" s="1279"/>
      <c r="H61" s="1279"/>
      <c r="R61" s="610">
        <v>1</v>
      </c>
      <c r="S61" s="284">
        <v>47</v>
      </c>
      <c r="T61" s="611">
        <v>27.1</v>
      </c>
    </row>
    <row r="62" spans="1:20">
      <c r="B62" s="1279"/>
      <c r="C62" s="1279"/>
      <c r="D62" s="1279"/>
      <c r="E62" s="1279"/>
      <c r="F62" s="1279"/>
      <c r="G62" s="1279"/>
      <c r="H62" s="1279"/>
      <c r="R62" s="610">
        <v>1</v>
      </c>
      <c r="S62" s="284">
        <v>47.5</v>
      </c>
      <c r="T62" s="611">
        <v>29.3</v>
      </c>
    </row>
    <row r="63" spans="1:20">
      <c r="B63" s="1280"/>
      <c r="C63" s="1280" t="s">
        <v>1165</v>
      </c>
      <c r="D63" s="1280"/>
      <c r="E63" s="1280" t="s">
        <v>2136</v>
      </c>
      <c r="F63" s="1280" t="s">
        <v>2140</v>
      </c>
      <c r="G63" s="1279"/>
      <c r="H63" s="1279"/>
      <c r="R63" s="610">
        <v>1</v>
      </c>
      <c r="S63" s="284">
        <v>48</v>
      </c>
      <c r="T63" s="611">
        <v>31</v>
      </c>
    </row>
    <row r="64" spans="1:20" ht="15.75">
      <c r="B64" s="1279" t="s">
        <v>2145</v>
      </c>
      <c r="C64" s="1279" t="s">
        <v>2146</v>
      </c>
      <c r="D64" s="1279" t="s">
        <v>2147</v>
      </c>
      <c r="E64" s="1281">
        <v>1.35</v>
      </c>
      <c r="F64" s="1281">
        <v>1</v>
      </c>
      <c r="G64" s="1279"/>
      <c r="H64" s="1279"/>
      <c r="R64" s="610">
        <v>1</v>
      </c>
      <c r="S64" s="284">
        <v>48.5</v>
      </c>
      <c r="T64" s="611">
        <v>33.4</v>
      </c>
    </row>
    <row r="65" spans="1:20" ht="15.75">
      <c r="B65" s="1279"/>
      <c r="C65" s="1279" t="s">
        <v>2148</v>
      </c>
      <c r="D65" s="1279" t="s">
        <v>2149</v>
      </c>
      <c r="E65" s="1281">
        <v>1</v>
      </c>
      <c r="F65" s="1281">
        <v>1</v>
      </c>
      <c r="G65" s="1279"/>
      <c r="H65" s="1279"/>
      <c r="R65" s="610">
        <v>1</v>
      </c>
      <c r="S65" s="284">
        <v>49</v>
      </c>
      <c r="T65" s="611">
        <v>35.4</v>
      </c>
    </row>
    <row r="66" spans="1:20" ht="15.75">
      <c r="B66" s="1279" t="s">
        <v>2150</v>
      </c>
      <c r="C66" s="1279" t="s">
        <v>2151</v>
      </c>
      <c r="D66" s="1279" t="s">
        <v>2147</v>
      </c>
      <c r="E66" s="1281">
        <v>1.5</v>
      </c>
      <c r="F66" s="1281">
        <v>1.3</v>
      </c>
      <c r="G66" s="1279"/>
      <c r="H66" s="1279"/>
      <c r="R66" s="610">
        <v>1</v>
      </c>
      <c r="S66" s="284">
        <v>49.5</v>
      </c>
      <c r="T66" s="611">
        <v>38</v>
      </c>
    </row>
    <row r="67" spans="1:20" ht="15.75">
      <c r="B67" s="1279"/>
      <c r="C67" s="1279" t="s">
        <v>2152</v>
      </c>
      <c r="D67" s="1279" t="s">
        <v>2149</v>
      </c>
      <c r="E67" s="1281">
        <v>0</v>
      </c>
      <c r="F67" s="1281">
        <v>0</v>
      </c>
      <c r="G67" s="1279"/>
      <c r="H67" s="1279"/>
      <c r="R67" s="610">
        <v>1</v>
      </c>
      <c r="S67" s="284">
        <v>50</v>
      </c>
      <c r="T67" s="611">
        <v>40</v>
      </c>
    </row>
    <row r="68" spans="1:20">
      <c r="B68" s="1279"/>
      <c r="C68" s="1279"/>
      <c r="D68" s="1279"/>
      <c r="E68" s="1279"/>
      <c r="F68" s="1279"/>
      <c r="G68" s="1279"/>
      <c r="H68" s="1279"/>
      <c r="R68" s="610">
        <v>0.4</v>
      </c>
      <c r="S68" s="284">
        <v>20</v>
      </c>
      <c r="T68" s="611">
        <v>2.4</v>
      </c>
    </row>
    <row r="69" spans="1:20" ht="15">
      <c r="A69" s="1278" t="s">
        <v>2153</v>
      </c>
      <c r="C69" s="1279"/>
      <c r="D69" s="1279"/>
      <c r="E69" s="1279"/>
      <c r="F69" s="1279"/>
      <c r="G69" s="1279"/>
      <c r="H69" s="1279"/>
      <c r="R69" s="610">
        <v>0.4</v>
      </c>
      <c r="S69" s="284">
        <v>20.5</v>
      </c>
      <c r="T69" s="611">
        <v>2.4</v>
      </c>
    </row>
    <row r="70" spans="1:20" ht="15.75">
      <c r="B70" s="1279" t="s">
        <v>2154</v>
      </c>
      <c r="C70" s="1279"/>
      <c r="D70" s="1279"/>
      <c r="E70" s="1279"/>
      <c r="F70" s="1279"/>
      <c r="G70" s="1279"/>
      <c r="H70" s="1279"/>
      <c r="R70" s="610">
        <v>0.4</v>
      </c>
      <c r="S70" s="284">
        <v>21</v>
      </c>
      <c r="T70" s="611">
        <v>2.5</v>
      </c>
    </row>
    <row r="71" spans="1:20">
      <c r="B71" s="1279"/>
      <c r="C71" s="1279"/>
      <c r="D71" s="1279"/>
      <c r="E71" s="1279"/>
      <c r="F71" s="1279"/>
      <c r="G71" s="1279"/>
      <c r="H71" s="1279"/>
      <c r="R71" s="610">
        <v>0.4</v>
      </c>
      <c r="S71" s="284">
        <v>21.5</v>
      </c>
      <c r="T71" s="611">
        <v>2.5</v>
      </c>
    </row>
    <row r="72" spans="1:20">
      <c r="B72" s="1280"/>
      <c r="C72" s="1280"/>
      <c r="D72" s="1280"/>
      <c r="E72" s="1280" t="s">
        <v>1165</v>
      </c>
      <c r="F72" s="1280" t="s">
        <v>2137</v>
      </c>
      <c r="G72" s="1280" t="s">
        <v>2141</v>
      </c>
      <c r="H72" s="1279"/>
      <c r="R72" s="610">
        <v>0.4</v>
      </c>
      <c r="S72" s="284">
        <v>22</v>
      </c>
      <c r="T72" s="611">
        <v>2.6</v>
      </c>
    </row>
    <row r="73" spans="1:20" ht="15.75">
      <c r="B73" s="1279" t="s">
        <v>2097</v>
      </c>
      <c r="C73" s="1279"/>
      <c r="D73" s="1279"/>
      <c r="E73" s="1279" t="s">
        <v>2155</v>
      </c>
      <c r="F73" s="1282">
        <v>1</v>
      </c>
      <c r="G73" s="1281">
        <v>1.25</v>
      </c>
      <c r="H73" s="1279"/>
      <c r="R73" s="610">
        <v>0.4</v>
      </c>
      <c r="S73" s="284">
        <v>22.5</v>
      </c>
      <c r="T73" s="611">
        <v>2.6</v>
      </c>
    </row>
    <row r="74" spans="1:20" ht="15.75">
      <c r="B74" s="1279" t="s">
        <v>2156</v>
      </c>
      <c r="C74" s="1279"/>
      <c r="D74" s="1279"/>
      <c r="E74" s="1279" t="s">
        <v>2157</v>
      </c>
      <c r="F74" s="1282">
        <v>1</v>
      </c>
      <c r="G74" s="1281">
        <v>1.25</v>
      </c>
      <c r="H74" s="1279"/>
      <c r="R74" s="610">
        <v>0.4</v>
      </c>
      <c r="S74" s="284">
        <v>23</v>
      </c>
      <c r="T74" s="611">
        <v>2.7</v>
      </c>
    </row>
    <row r="75" spans="1:20" ht="15.75">
      <c r="B75" s="1279" t="s">
        <v>2158</v>
      </c>
      <c r="C75" s="1279"/>
      <c r="D75" s="1279"/>
      <c r="E75" s="1279" t="s">
        <v>2159</v>
      </c>
      <c r="F75" s="1282">
        <v>1</v>
      </c>
      <c r="G75" s="1281">
        <v>1.4</v>
      </c>
      <c r="H75" s="1279"/>
      <c r="R75" s="610">
        <v>0.4</v>
      </c>
      <c r="S75" s="284">
        <v>23.5</v>
      </c>
      <c r="T75" s="611">
        <v>2.7</v>
      </c>
    </row>
    <row r="76" spans="1:20" ht="15.75">
      <c r="B76" s="1279" t="s">
        <v>2160</v>
      </c>
      <c r="C76" s="1279"/>
      <c r="D76" s="1279"/>
      <c r="E76" s="1279" t="s">
        <v>2161</v>
      </c>
      <c r="F76" s="1282">
        <v>1</v>
      </c>
      <c r="G76" s="1281">
        <v>1.4</v>
      </c>
      <c r="H76" s="1279"/>
      <c r="R76" s="610">
        <v>0.4</v>
      </c>
      <c r="S76" s="284">
        <v>24</v>
      </c>
      <c r="T76" s="611">
        <v>2.8</v>
      </c>
    </row>
    <row r="77" spans="1:20" ht="15.75">
      <c r="B77" s="1279" t="s">
        <v>2162</v>
      </c>
      <c r="C77" s="1279"/>
      <c r="D77" s="1279"/>
      <c r="E77" s="1279" t="s">
        <v>2163</v>
      </c>
      <c r="F77" s="1282">
        <v>1</v>
      </c>
      <c r="G77" s="1282">
        <v>1</v>
      </c>
      <c r="H77" s="1279"/>
      <c r="R77" s="610">
        <v>0.4</v>
      </c>
      <c r="S77" s="284">
        <v>24.5</v>
      </c>
      <c r="T77" s="611">
        <v>2.8</v>
      </c>
    </row>
    <row r="78" spans="1:20">
      <c r="B78" s="1279"/>
      <c r="C78" s="1279"/>
      <c r="D78" s="1279"/>
      <c r="E78" s="1279"/>
      <c r="F78" s="1279"/>
      <c r="G78" s="1279"/>
      <c r="H78" s="1279"/>
      <c r="R78" s="610">
        <v>0.4</v>
      </c>
      <c r="S78" s="284">
        <v>25</v>
      </c>
      <c r="T78" s="611">
        <v>2.9</v>
      </c>
    </row>
    <row r="79" spans="1:20" ht="15">
      <c r="A79" s="1278" t="s">
        <v>2164</v>
      </c>
      <c r="C79" s="1279"/>
      <c r="D79" s="1279"/>
      <c r="E79" s="1279"/>
      <c r="F79" s="1279"/>
      <c r="G79" s="1279"/>
      <c r="H79" s="1279"/>
      <c r="R79" s="610">
        <v>0.4</v>
      </c>
      <c r="S79" s="284">
        <v>25.5</v>
      </c>
      <c r="T79" s="611">
        <v>3</v>
      </c>
    </row>
    <row r="80" spans="1:20">
      <c r="B80" s="1279" t="s">
        <v>2165</v>
      </c>
      <c r="C80" s="1279"/>
      <c r="D80" s="1279"/>
      <c r="E80" s="1279"/>
      <c r="F80" s="1279"/>
      <c r="G80" s="1279"/>
      <c r="H80" s="1279"/>
      <c r="R80" s="610">
        <v>0.4</v>
      </c>
      <c r="S80" s="284">
        <v>26</v>
      </c>
      <c r="T80" s="611">
        <v>3</v>
      </c>
    </row>
    <row r="81" spans="2:20">
      <c r="B81" s="1279"/>
      <c r="C81" s="1279"/>
      <c r="D81" s="1279"/>
      <c r="E81" s="1279"/>
      <c r="F81" s="1279"/>
      <c r="G81" s="1279"/>
      <c r="H81" s="1279"/>
      <c r="R81" s="610">
        <v>0.4</v>
      </c>
      <c r="S81" s="284">
        <v>26.5</v>
      </c>
      <c r="T81" s="611">
        <v>3.1</v>
      </c>
    </row>
    <row r="82" spans="2:20">
      <c r="B82" s="1280" t="s">
        <v>2134</v>
      </c>
      <c r="C82" s="1280"/>
      <c r="D82" s="1280" t="s">
        <v>1165</v>
      </c>
      <c r="E82" s="1280" t="s">
        <v>2138</v>
      </c>
      <c r="F82" s="1280" t="s">
        <v>2166</v>
      </c>
      <c r="G82" s="1280" t="s">
        <v>2167</v>
      </c>
      <c r="H82" s="1279"/>
      <c r="R82" s="610">
        <v>0.4</v>
      </c>
      <c r="S82" s="284">
        <v>27</v>
      </c>
      <c r="T82" s="611">
        <v>3.2</v>
      </c>
    </row>
    <row r="83" spans="2:20" ht="15.75">
      <c r="B83" s="1279" t="s">
        <v>2168</v>
      </c>
      <c r="C83" s="1279"/>
      <c r="D83" s="1279" t="s">
        <v>2169</v>
      </c>
      <c r="E83" s="1282">
        <v>1</v>
      </c>
      <c r="F83" s="1279">
        <v>1.4</v>
      </c>
      <c r="G83" s="1279">
        <v>1</v>
      </c>
      <c r="H83" s="1279"/>
      <c r="R83" s="610">
        <v>0.4</v>
      </c>
      <c r="S83" s="284">
        <v>27.5</v>
      </c>
      <c r="T83" s="611">
        <v>3.2</v>
      </c>
    </row>
    <row r="84" spans="2:20" ht="15.75">
      <c r="B84" s="1279" t="s">
        <v>2170</v>
      </c>
      <c r="C84" s="1279"/>
      <c r="D84" s="1279" t="s">
        <v>2171</v>
      </c>
      <c r="E84" s="1282">
        <v>1</v>
      </c>
      <c r="F84" s="1279">
        <v>1.1000000000000001</v>
      </c>
      <c r="G84" s="1279">
        <v>1</v>
      </c>
      <c r="H84" s="1279"/>
      <c r="R84" s="610">
        <v>0.4</v>
      </c>
      <c r="S84" s="284">
        <v>28</v>
      </c>
      <c r="T84" s="611">
        <v>3.3</v>
      </c>
    </row>
    <row r="85" spans="2:20">
      <c r="R85" s="610">
        <v>0.4</v>
      </c>
      <c r="S85" s="284">
        <v>28.5</v>
      </c>
      <c r="T85" s="611">
        <v>3.4</v>
      </c>
    </row>
    <row r="86" spans="2:20">
      <c r="R86" s="610">
        <v>0.4</v>
      </c>
      <c r="S86" s="284">
        <v>29</v>
      </c>
      <c r="T86" s="611">
        <v>3.4</v>
      </c>
    </row>
    <row r="87" spans="2:20">
      <c r="R87" s="610">
        <v>0.4</v>
      </c>
      <c r="S87" s="284">
        <v>29.5</v>
      </c>
      <c r="T87" s="611">
        <v>3.5</v>
      </c>
    </row>
    <row r="88" spans="2:20">
      <c r="R88" s="610">
        <v>0.4</v>
      </c>
      <c r="S88" s="284">
        <v>30</v>
      </c>
      <c r="T88" s="611">
        <v>3.6</v>
      </c>
    </row>
    <row r="89" spans="2:20">
      <c r="R89" s="610">
        <v>0.4</v>
      </c>
      <c r="S89" s="284">
        <v>30.5</v>
      </c>
      <c r="T89" s="611">
        <v>3.7</v>
      </c>
    </row>
    <row r="90" spans="2:20">
      <c r="R90" s="610">
        <v>0.4</v>
      </c>
      <c r="S90" s="284">
        <v>31</v>
      </c>
      <c r="T90" s="611">
        <v>3.8</v>
      </c>
    </row>
    <row r="91" spans="2:20">
      <c r="R91" s="610">
        <v>0.4</v>
      </c>
      <c r="S91" s="284">
        <v>31.5</v>
      </c>
      <c r="T91" s="611">
        <v>3.9</v>
      </c>
    </row>
    <row r="92" spans="2:20">
      <c r="R92" s="610">
        <v>0.4</v>
      </c>
      <c r="S92" s="284">
        <v>32</v>
      </c>
      <c r="T92" s="611">
        <v>4</v>
      </c>
    </row>
    <row r="93" spans="2:20">
      <c r="R93" s="610">
        <v>0.4</v>
      </c>
      <c r="S93" s="284">
        <v>32.5</v>
      </c>
      <c r="T93" s="611">
        <v>4.0999999999999996</v>
      </c>
    </row>
    <row r="94" spans="2:20">
      <c r="R94" s="610">
        <v>0.4</v>
      </c>
      <c r="S94" s="284">
        <v>33</v>
      </c>
      <c r="T94" s="611">
        <v>4.2</v>
      </c>
    </row>
    <row r="95" spans="2:20">
      <c r="R95" s="610">
        <v>0.4</v>
      </c>
      <c r="S95" s="284">
        <v>33.5</v>
      </c>
      <c r="T95" s="611">
        <v>4.3</v>
      </c>
    </row>
    <row r="96" spans="2:20">
      <c r="R96" s="610">
        <v>0.4</v>
      </c>
      <c r="S96" s="284">
        <v>34</v>
      </c>
      <c r="T96" s="611">
        <v>4.4000000000000004</v>
      </c>
    </row>
    <row r="97" spans="18:20">
      <c r="R97" s="610">
        <v>0.4</v>
      </c>
      <c r="S97" s="284">
        <v>34.5</v>
      </c>
      <c r="T97" s="611">
        <v>4.5999999999999996</v>
      </c>
    </row>
    <row r="98" spans="18:20">
      <c r="R98" s="610">
        <v>0.4</v>
      </c>
      <c r="S98" s="284">
        <v>35</v>
      </c>
      <c r="T98" s="611">
        <v>4.7</v>
      </c>
    </row>
    <row r="99" spans="18:20">
      <c r="R99" s="610">
        <v>0.4</v>
      </c>
      <c r="S99" s="284">
        <v>35.5</v>
      </c>
      <c r="T99" s="611">
        <v>4.8</v>
      </c>
    </row>
    <row r="100" spans="18:20">
      <c r="R100" s="610">
        <v>0.4</v>
      </c>
      <c r="S100" s="284">
        <v>36</v>
      </c>
      <c r="T100" s="611">
        <v>5.0999999999999996</v>
      </c>
    </row>
    <row r="101" spans="18:20">
      <c r="R101" s="610">
        <v>0.4</v>
      </c>
      <c r="S101" s="284">
        <v>36.5</v>
      </c>
      <c r="T101" s="611">
        <v>5.2</v>
      </c>
    </row>
    <row r="102" spans="18:20">
      <c r="R102" s="610">
        <v>0.4</v>
      </c>
      <c r="S102" s="284">
        <v>37</v>
      </c>
      <c r="T102" s="611">
        <v>5.4</v>
      </c>
    </row>
    <row r="103" spans="18:20">
      <c r="R103" s="610">
        <v>0.4</v>
      </c>
      <c r="S103" s="284">
        <v>37.5</v>
      </c>
      <c r="T103" s="611">
        <v>5.6</v>
      </c>
    </row>
    <row r="104" spans="18:20">
      <c r="R104" s="610">
        <v>0.4</v>
      </c>
      <c r="S104" s="284">
        <v>38</v>
      </c>
      <c r="T104" s="611">
        <v>5.8</v>
      </c>
    </row>
    <row r="105" spans="18:20">
      <c r="R105" s="610">
        <v>0.4</v>
      </c>
      <c r="S105" s="284">
        <v>38.5</v>
      </c>
      <c r="T105" s="611">
        <v>6.1</v>
      </c>
    </row>
    <row r="106" spans="18:20">
      <c r="R106" s="610">
        <v>0.4</v>
      </c>
      <c r="S106" s="284">
        <v>39</v>
      </c>
      <c r="T106" s="611">
        <v>6.4</v>
      </c>
    </row>
    <row r="107" spans="18:20">
      <c r="R107" s="610">
        <v>0.4</v>
      </c>
      <c r="S107" s="284">
        <v>39.5</v>
      </c>
      <c r="T107" s="611">
        <v>6.6</v>
      </c>
    </row>
    <row r="108" spans="18:20">
      <c r="R108" s="610">
        <v>0.4</v>
      </c>
      <c r="S108" s="284">
        <v>40</v>
      </c>
      <c r="T108" s="611">
        <v>6.9</v>
      </c>
    </row>
    <row r="109" spans="18:20">
      <c r="R109" s="610">
        <v>0.4</v>
      </c>
      <c r="S109" s="284">
        <v>40.5</v>
      </c>
      <c r="T109" s="611">
        <v>7.2</v>
      </c>
    </row>
    <row r="110" spans="18:20">
      <c r="R110" s="610">
        <v>0.4</v>
      </c>
      <c r="S110" s="284">
        <v>41</v>
      </c>
      <c r="T110" s="611">
        <v>7.6</v>
      </c>
    </row>
    <row r="111" spans="18:20">
      <c r="R111" s="610">
        <v>0.4</v>
      </c>
      <c r="S111" s="284">
        <v>41.5</v>
      </c>
      <c r="T111" s="611">
        <v>7.9</v>
      </c>
    </row>
    <row r="112" spans="18:20">
      <c r="R112" s="610">
        <v>0.4</v>
      </c>
      <c r="S112" s="284">
        <v>42</v>
      </c>
      <c r="T112" s="611">
        <v>8.3000000000000007</v>
      </c>
    </row>
    <row r="113" spans="18:20">
      <c r="R113" s="610">
        <v>0.4</v>
      </c>
      <c r="S113" s="284">
        <v>42.5</v>
      </c>
      <c r="T113" s="611">
        <v>8.6999999999999993</v>
      </c>
    </row>
    <row r="114" spans="18:20">
      <c r="R114" s="610">
        <v>0.4</v>
      </c>
      <c r="S114" s="284">
        <v>43</v>
      </c>
      <c r="T114" s="611">
        <v>9.1999999999999993</v>
      </c>
    </row>
    <row r="115" spans="18:20">
      <c r="R115" s="610">
        <v>0.4</v>
      </c>
      <c r="S115" s="284">
        <v>43.5</v>
      </c>
      <c r="T115" s="611">
        <v>9.6</v>
      </c>
    </row>
    <row r="116" spans="18:20">
      <c r="R116" s="610">
        <v>0.4</v>
      </c>
      <c r="S116" s="284">
        <v>44</v>
      </c>
      <c r="T116" s="611">
        <v>10.1</v>
      </c>
    </row>
    <row r="117" spans="18:20">
      <c r="R117" s="610">
        <v>0.4</v>
      </c>
      <c r="S117" s="284">
        <v>44.5</v>
      </c>
      <c r="T117" s="611">
        <v>10.6</v>
      </c>
    </row>
    <row r="118" spans="18:20">
      <c r="R118" s="610">
        <v>0.4</v>
      </c>
      <c r="S118" s="284">
        <v>45</v>
      </c>
      <c r="T118" s="611">
        <v>11.1</v>
      </c>
    </row>
    <row r="119" spans="18:20">
      <c r="R119" s="610">
        <v>0.4</v>
      </c>
      <c r="S119" s="284">
        <v>45.5</v>
      </c>
      <c r="T119" s="611">
        <v>11.8</v>
      </c>
    </row>
    <row r="120" spans="18:20">
      <c r="R120" s="610">
        <v>0.4</v>
      </c>
      <c r="S120" s="284">
        <v>46</v>
      </c>
      <c r="T120" s="611">
        <v>12.4</v>
      </c>
    </row>
    <row r="121" spans="18:20">
      <c r="R121" s="610">
        <v>0.4</v>
      </c>
      <c r="S121" s="284">
        <v>46.5</v>
      </c>
      <c r="T121" s="611">
        <v>13.1</v>
      </c>
    </row>
    <row r="122" spans="18:20">
      <c r="R122" s="610">
        <v>0.4</v>
      </c>
      <c r="S122" s="284">
        <v>47</v>
      </c>
      <c r="T122" s="611">
        <v>13.7</v>
      </c>
    </row>
    <row r="123" spans="18:20">
      <c r="R123" s="610">
        <v>0.4</v>
      </c>
      <c r="S123" s="284">
        <v>47.5</v>
      </c>
      <c r="T123" s="611">
        <v>14.5</v>
      </c>
    </row>
    <row r="124" spans="18:20">
      <c r="R124" s="610">
        <v>0.4</v>
      </c>
      <c r="S124" s="284">
        <v>48</v>
      </c>
      <c r="T124" s="611">
        <v>15.1</v>
      </c>
    </row>
    <row r="125" spans="18:20">
      <c r="R125" s="610">
        <v>0.4</v>
      </c>
      <c r="S125" s="284">
        <v>48.5</v>
      </c>
      <c r="T125" s="611">
        <v>16.100000000000001</v>
      </c>
    </row>
    <row r="126" spans="18:20">
      <c r="R126" s="610">
        <v>0.4</v>
      </c>
      <c r="S126" s="284">
        <v>49</v>
      </c>
      <c r="T126" s="611">
        <v>17</v>
      </c>
    </row>
    <row r="127" spans="18:20">
      <c r="R127" s="610">
        <v>0.4</v>
      </c>
      <c r="S127" s="284">
        <v>49.5</v>
      </c>
      <c r="T127" s="611">
        <v>17.899999999999999</v>
      </c>
    </row>
    <row r="128" spans="18:20">
      <c r="R128" s="610">
        <v>0.4</v>
      </c>
      <c r="S128" s="284">
        <v>50</v>
      </c>
      <c r="T128" s="611">
        <v>18.7</v>
      </c>
    </row>
    <row r="129" spans="18:20">
      <c r="R129" s="610">
        <v>0.2</v>
      </c>
      <c r="S129" s="284">
        <v>20</v>
      </c>
      <c r="T129" s="611">
        <v>1.7</v>
      </c>
    </row>
    <row r="130" spans="18:20">
      <c r="R130" s="610">
        <v>0.2</v>
      </c>
      <c r="S130" s="284">
        <v>20.5</v>
      </c>
      <c r="T130" s="611">
        <v>1.7</v>
      </c>
    </row>
    <row r="131" spans="18:20">
      <c r="R131" s="610">
        <v>0.2</v>
      </c>
      <c r="S131" s="284">
        <v>21</v>
      </c>
      <c r="T131" s="611">
        <v>1.7</v>
      </c>
    </row>
    <row r="132" spans="18:20">
      <c r="R132" s="610">
        <v>0.2</v>
      </c>
      <c r="S132" s="284">
        <v>21.5</v>
      </c>
      <c r="T132" s="611">
        <v>1.8</v>
      </c>
    </row>
    <row r="133" spans="18:20">
      <c r="R133" s="610">
        <v>0.2</v>
      </c>
      <c r="S133" s="284">
        <v>22</v>
      </c>
      <c r="T133" s="611">
        <v>1.8</v>
      </c>
    </row>
    <row r="134" spans="18:20">
      <c r="R134" s="610">
        <v>0.2</v>
      </c>
      <c r="S134" s="284">
        <v>22.5</v>
      </c>
      <c r="T134" s="611">
        <v>1.8</v>
      </c>
    </row>
    <row r="135" spans="18:20">
      <c r="R135" s="610">
        <v>0.2</v>
      </c>
      <c r="S135" s="284">
        <v>23</v>
      </c>
      <c r="T135" s="611">
        <v>1.8</v>
      </c>
    </row>
    <row r="136" spans="18:20">
      <c r="R136" s="610">
        <v>0.2</v>
      </c>
      <c r="S136" s="284">
        <v>23.5</v>
      </c>
      <c r="T136" s="611">
        <v>1.9</v>
      </c>
    </row>
    <row r="137" spans="18:20">
      <c r="R137" s="610">
        <v>0.2</v>
      </c>
      <c r="S137" s="284">
        <v>24</v>
      </c>
      <c r="T137" s="611">
        <v>1.9</v>
      </c>
    </row>
    <row r="138" spans="18:20">
      <c r="R138" s="610">
        <v>0.2</v>
      </c>
      <c r="S138" s="284">
        <v>24.5</v>
      </c>
      <c r="T138" s="611">
        <v>1.9</v>
      </c>
    </row>
    <row r="139" spans="18:20">
      <c r="R139" s="610">
        <v>0.2</v>
      </c>
      <c r="S139" s="284">
        <v>25</v>
      </c>
      <c r="T139" s="611">
        <v>2</v>
      </c>
    </row>
    <row r="140" spans="18:20">
      <c r="R140" s="610">
        <v>0.2</v>
      </c>
      <c r="S140" s="284">
        <v>25.5</v>
      </c>
      <c r="T140" s="611">
        <v>2</v>
      </c>
    </row>
    <row r="141" spans="18:20">
      <c r="R141" s="610">
        <v>0.2</v>
      </c>
      <c r="S141" s="284">
        <v>26</v>
      </c>
      <c r="T141" s="611">
        <v>2</v>
      </c>
    </row>
    <row r="142" spans="18:20">
      <c r="R142" s="610">
        <v>0.2</v>
      </c>
      <c r="S142" s="284">
        <v>26.5</v>
      </c>
      <c r="T142" s="611">
        <v>2.1</v>
      </c>
    </row>
    <row r="143" spans="18:20">
      <c r="R143" s="610">
        <v>0.2</v>
      </c>
      <c r="S143" s="284">
        <v>27</v>
      </c>
      <c r="T143" s="611">
        <v>2.1</v>
      </c>
    </row>
    <row r="144" spans="18:20">
      <c r="R144" s="610">
        <v>0.2</v>
      </c>
      <c r="S144" s="284">
        <v>27.5</v>
      </c>
      <c r="T144" s="611">
        <v>2.2000000000000002</v>
      </c>
    </row>
    <row r="145" spans="18:20">
      <c r="R145" s="610">
        <v>0.2</v>
      </c>
      <c r="S145" s="284">
        <v>28</v>
      </c>
      <c r="T145" s="611">
        <v>2.2000000000000002</v>
      </c>
    </row>
    <row r="146" spans="18:20">
      <c r="R146" s="610">
        <v>0.2</v>
      </c>
      <c r="S146" s="284">
        <v>28.5</v>
      </c>
      <c r="T146" s="611">
        <v>2.2999999999999998</v>
      </c>
    </row>
    <row r="147" spans="18:20">
      <c r="R147" s="610">
        <v>0.2</v>
      </c>
      <c r="S147" s="284">
        <v>29</v>
      </c>
      <c r="T147" s="611">
        <v>2.2999999999999998</v>
      </c>
    </row>
    <row r="148" spans="18:20">
      <c r="R148" s="610">
        <v>0.2</v>
      </c>
      <c r="S148" s="284">
        <v>29.5</v>
      </c>
      <c r="T148" s="611">
        <v>2.4</v>
      </c>
    </row>
    <row r="149" spans="18:20">
      <c r="R149" s="610">
        <v>0.2</v>
      </c>
      <c r="S149" s="284">
        <v>30</v>
      </c>
      <c r="T149" s="611">
        <v>2.4</v>
      </c>
    </row>
    <row r="150" spans="18:20">
      <c r="R150" s="610">
        <v>0.2</v>
      </c>
      <c r="S150" s="284">
        <v>30.5</v>
      </c>
      <c r="T150" s="611">
        <v>2.5</v>
      </c>
    </row>
    <row r="151" spans="18:20">
      <c r="R151" s="610">
        <v>0.2</v>
      </c>
      <c r="S151" s="284">
        <v>31</v>
      </c>
      <c r="T151" s="611">
        <v>2.5</v>
      </c>
    </row>
    <row r="152" spans="18:20">
      <c r="R152" s="610">
        <v>0.2</v>
      </c>
      <c r="S152" s="284">
        <v>31.5</v>
      </c>
      <c r="T152" s="611">
        <v>2.6</v>
      </c>
    </row>
    <row r="153" spans="18:20">
      <c r="R153" s="610">
        <v>0.2</v>
      </c>
      <c r="S153" s="284">
        <v>32</v>
      </c>
      <c r="T153" s="611">
        <v>2.6</v>
      </c>
    </row>
    <row r="154" spans="18:20">
      <c r="R154" s="610">
        <v>0.2</v>
      </c>
      <c r="S154" s="284">
        <v>32.5</v>
      </c>
      <c r="T154" s="611">
        <v>2.7</v>
      </c>
    </row>
    <row r="155" spans="18:20">
      <c r="R155" s="610">
        <v>0.2</v>
      </c>
      <c r="S155" s="284">
        <v>33</v>
      </c>
      <c r="T155" s="611">
        <v>2.8</v>
      </c>
    </row>
    <row r="156" spans="18:20">
      <c r="R156" s="610">
        <v>0.2</v>
      </c>
      <c r="S156" s="284">
        <v>33.5</v>
      </c>
      <c r="T156" s="611">
        <v>2.9</v>
      </c>
    </row>
    <row r="157" spans="18:20">
      <c r="R157" s="610">
        <v>0.2</v>
      </c>
      <c r="S157" s="284">
        <v>34</v>
      </c>
      <c r="T157" s="611">
        <v>3</v>
      </c>
    </row>
    <row r="158" spans="18:20">
      <c r="R158" s="610">
        <v>0.2</v>
      </c>
      <c r="S158" s="284">
        <v>34.5</v>
      </c>
      <c r="T158" s="611">
        <v>3.1</v>
      </c>
    </row>
    <row r="159" spans="18:20">
      <c r="R159" s="610">
        <v>0.2</v>
      </c>
      <c r="S159" s="284">
        <v>35</v>
      </c>
      <c r="T159" s="611">
        <v>3.1</v>
      </c>
    </row>
    <row r="160" spans="18:20">
      <c r="R160" s="610">
        <v>0.2</v>
      </c>
      <c r="S160" s="284">
        <v>35.5</v>
      </c>
      <c r="T160" s="611">
        <v>3.2</v>
      </c>
    </row>
    <row r="161" spans="18:20">
      <c r="R161" s="610">
        <v>0.2</v>
      </c>
      <c r="S161" s="284">
        <v>36</v>
      </c>
      <c r="T161" s="611">
        <v>3.3</v>
      </c>
    </row>
    <row r="162" spans="18:20">
      <c r="R162" s="610">
        <v>0.2</v>
      </c>
      <c r="S162" s="284">
        <v>36.5</v>
      </c>
      <c r="T162" s="611">
        <v>3.4</v>
      </c>
    </row>
    <row r="163" spans="18:20">
      <c r="R163" s="610">
        <v>0.2</v>
      </c>
      <c r="S163" s="284">
        <v>37</v>
      </c>
      <c r="T163" s="611">
        <v>3.5</v>
      </c>
    </row>
    <row r="164" spans="18:20">
      <c r="R164" s="610">
        <v>0.2</v>
      </c>
      <c r="S164" s="284">
        <v>37.5</v>
      </c>
      <c r="T164" s="611">
        <v>3.6</v>
      </c>
    </row>
    <row r="165" spans="18:20">
      <c r="R165" s="610">
        <v>0.2</v>
      </c>
      <c r="S165" s="284">
        <v>38</v>
      </c>
      <c r="T165" s="611">
        <v>3.7</v>
      </c>
    </row>
    <row r="166" spans="18:20">
      <c r="R166" s="610">
        <v>0.2</v>
      </c>
      <c r="S166" s="284">
        <v>38.5</v>
      </c>
      <c r="T166" s="611">
        <v>3.8</v>
      </c>
    </row>
    <row r="167" spans="18:20">
      <c r="R167" s="610">
        <v>0.2</v>
      </c>
      <c r="S167" s="284">
        <v>39</v>
      </c>
      <c r="T167" s="611">
        <v>3.9</v>
      </c>
    </row>
    <row r="168" spans="18:20">
      <c r="R168" s="610">
        <v>0.2</v>
      </c>
      <c r="S168" s="284">
        <v>39.5</v>
      </c>
      <c r="T168" s="611">
        <v>4.0999999999999996</v>
      </c>
    </row>
    <row r="169" spans="18:20">
      <c r="R169" s="610">
        <v>0.2</v>
      </c>
      <c r="S169" s="284">
        <v>40</v>
      </c>
      <c r="T169" s="611">
        <v>4.2</v>
      </c>
    </row>
    <row r="170" spans="18:20">
      <c r="R170" s="610">
        <v>0.2</v>
      </c>
      <c r="S170" s="284">
        <v>40.5</v>
      </c>
      <c r="T170" s="611">
        <v>4.4000000000000004</v>
      </c>
    </row>
    <row r="171" spans="18:20">
      <c r="R171" s="610">
        <v>0.2</v>
      </c>
      <c r="S171" s="284">
        <v>41</v>
      </c>
      <c r="T171" s="611">
        <v>4.5</v>
      </c>
    </row>
    <row r="172" spans="18:20">
      <c r="R172" s="610">
        <v>0.2</v>
      </c>
      <c r="S172" s="284">
        <v>41.5</v>
      </c>
      <c r="T172" s="611">
        <v>4.7</v>
      </c>
    </row>
    <row r="173" spans="18:20">
      <c r="R173" s="610">
        <v>0.2</v>
      </c>
      <c r="S173" s="284">
        <v>42</v>
      </c>
      <c r="T173" s="611">
        <v>4.8</v>
      </c>
    </row>
    <row r="174" spans="18:20">
      <c r="R174" s="610">
        <v>0.2</v>
      </c>
      <c r="S174" s="284">
        <v>42.5</v>
      </c>
      <c r="T174" s="611">
        <v>5</v>
      </c>
    </row>
    <row r="175" spans="18:20">
      <c r="R175" s="610">
        <v>0.2</v>
      </c>
      <c r="S175" s="284">
        <v>43</v>
      </c>
      <c r="T175" s="611">
        <v>5.2</v>
      </c>
    </row>
    <row r="176" spans="18:20">
      <c r="R176" s="610">
        <v>0.2</v>
      </c>
      <c r="S176" s="284">
        <v>43.5</v>
      </c>
      <c r="T176" s="611">
        <v>5.3</v>
      </c>
    </row>
    <row r="177" spans="18:20">
      <c r="R177" s="610">
        <v>0.2</v>
      </c>
      <c r="S177" s="284">
        <v>44</v>
      </c>
      <c r="T177" s="611">
        <v>5.5</v>
      </c>
    </row>
    <row r="178" spans="18:20">
      <c r="R178" s="610">
        <v>0.2</v>
      </c>
      <c r="S178" s="284">
        <v>44.5</v>
      </c>
      <c r="T178" s="611">
        <v>5.8</v>
      </c>
    </row>
    <row r="179" spans="18:20">
      <c r="R179" s="610">
        <v>0.2</v>
      </c>
      <c r="S179" s="284">
        <v>45</v>
      </c>
      <c r="T179" s="611">
        <v>6</v>
      </c>
    </row>
    <row r="180" spans="18:20">
      <c r="R180" s="610">
        <v>0.2</v>
      </c>
      <c r="S180" s="284">
        <v>45.5</v>
      </c>
      <c r="T180" s="611">
        <v>6.2</v>
      </c>
    </row>
    <row r="181" spans="18:20">
      <c r="R181" s="610">
        <v>0.2</v>
      </c>
      <c r="S181" s="284">
        <v>46</v>
      </c>
      <c r="T181" s="611">
        <v>6.5</v>
      </c>
    </row>
    <row r="182" spans="18:20">
      <c r="R182" s="610">
        <v>0.2</v>
      </c>
      <c r="S182" s="284">
        <v>46.5</v>
      </c>
      <c r="T182" s="611">
        <v>6.7</v>
      </c>
    </row>
    <row r="183" spans="18:20">
      <c r="R183" s="610">
        <v>0.2</v>
      </c>
      <c r="S183" s="284">
        <v>47</v>
      </c>
      <c r="T183" s="611">
        <v>7</v>
      </c>
    </row>
    <row r="184" spans="18:20">
      <c r="R184" s="610">
        <v>0.2</v>
      </c>
      <c r="S184" s="284">
        <v>47.5</v>
      </c>
      <c r="T184" s="611">
        <v>7.3</v>
      </c>
    </row>
    <row r="185" spans="18:20">
      <c r="R185" s="610">
        <v>0.2</v>
      </c>
      <c r="S185" s="284">
        <v>48</v>
      </c>
      <c r="T185" s="611">
        <v>7.6</v>
      </c>
    </row>
    <row r="186" spans="18:20">
      <c r="R186" s="610">
        <v>0.2</v>
      </c>
      <c r="S186" s="284">
        <v>48.5</v>
      </c>
      <c r="T186" s="611">
        <v>8</v>
      </c>
    </row>
    <row r="187" spans="18:20">
      <c r="R187" s="610">
        <v>0.2</v>
      </c>
      <c r="S187" s="284">
        <v>49</v>
      </c>
      <c r="T187" s="611">
        <v>8.4</v>
      </c>
    </row>
    <row r="188" spans="18:20">
      <c r="R188" s="610">
        <v>0.2</v>
      </c>
      <c r="S188" s="284">
        <v>49.5</v>
      </c>
      <c r="T188" s="611">
        <v>8.8000000000000007</v>
      </c>
    </row>
    <row r="189" spans="18:20">
      <c r="R189" s="610">
        <v>0.2</v>
      </c>
      <c r="S189" s="284">
        <v>50</v>
      </c>
      <c r="T189" s="611">
        <v>9.1999999999999993</v>
      </c>
    </row>
    <row r="190" spans="18:20">
      <c r="R190" s="610">
        <v>0</v>
      </c>
      <c r="S190" s="284">
        <v>20</v>
      </c>
      <c r="T190" s="611">
        <v>0.9</v>
      </c>
    </row>
    <row r="191" spans="18:20">
      <c r="R191" s="610">
        <v>0</v>
      </c>
      <c r="S191" s="284">
        <v>20.5</v>
      </c>
      <c r="T191" s="611">
        <v>1</v>
      </c>
    </row>
    <row r="192" spans="18:20">
      <c r="R192" s="610">
        <v>0</v>
      </c>
      <c r="S192" s="284">
        <v>21</v>
      </c>
      <c r="T192" s="611">
        <v>1</v>
      </c>
    </row>
    <row r="193" spans="18:20">
      <c r="R193" s="610">
        <v>0</v>
      </c>
      <c r="S193" s="284">
        <v>21.5</v>
      </c>
      <c r="T193" s="611">
        <v>1</v>
      </c>
    </row>
    <row r="194" spans="18:20">
      <c r="R194" s="610">
        <v>0</v>
      </c>
      <c r="S194" s="284">
        <v>22</v>
      </c>
      <c r="T194" s="611">
        <v>1</v>
      </c>
    </row>
    <row r="195" spans="18:20">
      <c r="R195" s="610">
        <v>0</v>
      </c>
      <c r="S195" s="284">
        <v>22.5</v>
      </c>
      <c r="T195" s="611">
        <v>1</v>
      </c>
    </row>
    <row r="196" spans="18:20">
      <c r="R196" s="610">
        <v>0</v>
      </c>
      <c r="S196" s="284">
        <v>23</v>
      </c>
      <c r="T196" s="611">
        <v>1</v>
      </c>
    </row>
    <row r="197" spans="18:20">
      <c r="R197" s="610">
        <v>0</v>
      </c>
      <c r="S197" s="284">
        <v>23.5</v>
      </c>
      <c r="T197" s="611">
        <v>1.1000000000000001</v>
      </c>
    </row>
    <row r="198" spans="18:20">
      <c r="R198" s="610">
        <v>0</v>
      </c>
      <c r="S198" s="284">
        <v>24</v>
      </c>
      <c r="T198" s="611">
        <v>1.1000000000000001</v>
      </c>
    </row>
    <row r="199" spans="18:20">
      <c r="R199" s="610">
        <v>0</v>
      </c>
      <c r="S199" s="284">
        <v>24.5</v>
      </c>
      <c r="T199" s="611">
        <v>1.1000000000000001</v>
      </c>
    </row>
    <row r="200" spans="18:20">
      <c r="R200" s="610">
        <v>0</v>
      </c>
      <c r="S200" s="284">
        <v>25</v>
      </c>
      <c r="T200" s="611">
        <v>1.1000000000000001</v>
      </c>
    </row>
    <row r="201" spans="18:20">
      <c r="R201" s="610">
        <v>0</v>
      </c>
      <c r="S201" s="284">
        <v>25.5</v>
      </c>
      <c r="T201" s="611">
        <v>1.1000000000000001</v>
      </c>
    </row>
    <row r="202" spans="18:20">
      <c r="R202" s="610">
        <v>0</v>
      </c>
      <c r="S202" s="284">
        <v>26</v>
      </c>
      <c r="T202" s="611">
        <v>1.1000000000000001</v>
      </c>
    </row>
    <row r="203" spans="18:20">
      <c r="R203" s="610">
        <v>0</v>
      </c>
      <c r="S203" s="284">
        <v>26.5</v>
      </c>
      <c r="T203" s="611">
        <v>1.1000000000000001</v>
      </c>
    </row>
    <row r="204" spans="18:20">
      <c r="R204" s="610">
        <v>0</v>
      </c>
      <c r="S204" s="284">
        <v>27</v>
      </c>
      <c r="T204" s="611">
        <v>1.1000000000000001</v>
      </c>
    </row>
    <row r="205" spans="18:20">
      <c r="R205" s="610">
        <v>0</v>
      </c>
      <c r="S205" s="284">
        <v>27.5</v>
      </c>
      <c r="T205" s="611">
        <v>1.2</v>
      </c>
    </row>
    <row r="206" spans="18:20">
      <c r="R206" s="610">
        <v>0</v>
      </c>
      <c r="S206" s="284">
        <v>28</v>
      </c>
      <c r="T206" s="611">
        <v>1.2</v>
      </c>
    </row>
    <row r="207" spans="18:20">
      <c r="R207" s="610">
        <v>0</v>
      </c>
      <c r="S207" s="284">
        <v>28.5</v>
      </c>
      <c r="T207" s="611">
        <v>1.2</v>
      </c>
    </row>
    <row r="208" spans="18:20">
      <c r="R208" s="610">
        <v>0</v>
      </c>
      <c r="S208" s="284">
        <v>29</v>
      </c>
      <c r="T208" s="611">
        <v>1.2</v>
      </c>
    </row>
    <row r="209" spans="18:20">
      <c r="R209" s="610">
        <v>0</v>
      </c>
      <c r="S209" s="284">
        <v>29.5</v>
      </c>
      <c r="T209" s="611">
        <v>1.2</v>
      </c>
    </row>
    <row r="210" spans="18:20">
      <c r="R210" s="610">
        <v>0</v>
      </c>
      <c r="S210" s="284">
        <v>30</v>
      </c>
      <c r="T210" s="611">
        <v>1.2</v>
      </c>
    </row>
    <row r="211" spans="18:20">
      <c r="R211" s="610">
        <v>0</v>
      </c>
      <c r="S211" s="284">
        <v>30.5</v>
      </c>
      <c r="T211" s="611">
        <v>1.3</v>
      </c>
    </row>
    <row r="212" spans="18:20">
      <c r="R212" s="610">
        <v>0</v>
      </c>
      <c r="S212" s="284">
        <v>31</v>
      </c>
      <c r="T212" s="611">
        <v>1.3</v>
      </c>
    </row>
    <row r="213" spans="18:20">
      <c r="R213" s="610">
        <v>0</v>
      </c>
      <c r="S213" s="284">
        <v>31.5</v>
      </c>
      <c r="T213" s="611">
        <v>1.3</v>
      </c>
    </row>
    <row r="214" spans="18:20">
      <c r="R214" s="610">
        <v>0</v>
      </c>
      <c r="S214" s="284">
        <v>32</v>
      </c>
      <c r="T214" s="611">
        <v>1.3</v>
      </c>
    </row>
    <row r="215" spans="18:20">
      <c r="R215" s="610">
        <v>0</v>
      </c>
      <c r="S215" s="284">
        <v>32.5</v>
      </c>
      <c r="T215" s="611">
        <v>1.4</v>
      </c>
    </row>
    <row r="216" spans="18:20">
      <c r="R216" s="610">
        <v>0</v>
      </c>
      <c r="S216" s="284">
        <v>33</v>
      </c>
      <c r="T216" s="611">
        <v>1.4</v>
      </c>
    </row>
    <row r="217" spans="18:20">
      <c r="R217" s="610">
        <v>0</v>
      </c>
      <c r="S217" s="284">
        <v>33.5</v>
      </c>
      <c r="T217" s="611">
        <v>1.5</v>
      </c>
    </row>
    <row r="218" spans="18:20">
      <c r="R218" s="610">
        <v>0</v>
      </c>
      <c r="S218" s="284">
        <v>34</v>
      </c>
      <c r="T218" s="611">
        <v>1.5</v>
      </c>
    </row>
    <row r="219" spans="18:20">
      <c r="R219" s="610">
        <v>0</v>
      </c>
      <c r="S219" s="284">
        <v>34.5</v>
      </c>
      <c r="T219" s="611">
        <v>1.5</v>
      </c>
    </row>
    <row r="220" spans="18:20">
      <c r="R220" s="610">
        <v>0</v>
      </c>
      <c r="S220" s="284">
        <v>35</v>
      </c>
      <c r="T220" s="611">
        <v>1.6</v>
      </c>
    </row>
    <row r="221" spans="18:20">
      <c r="R221" s="610">
        <v>0</v>
      </c>
      <c r="S221" s="284">
        <v>35.5</v>
      </c>
      <c r="T221" s="611">
        <v>1.7</v>
      </c>
    </row>
    <row r="222" spans="18:20">
      <c r="R222" s="610">
        <v>0</v>
      </c>
      <c r="S222" s="284">
        <v>36</v>
      </c>
      <c r="T222" s="611">
        <v>1.7</v>
      </c>
    </row>
    <row r="223" spans="18:20">
      <c r="R223" s="610">
        <v>0</v>
      </c>
      <c r="S223" s="284">
        <v>36.5</v>
      </c>
      <c r="T223" s="611">
        <v>1.8</v>
      </c>
    </row>
    <row r="224" spans="18:20">
      <c r="R224" s="610">
        <v>0</v>
      </c>
      <c r="S224" s="284">
        <v>37</v>
      </c>
      <c r="T224" s="611">
        <v>1.8</v>
      </c>
    </row>
    <row r="225" spans="18:20">
      <c r="R225" s="610">
        <v>0</v>
      </c>
      <c r="S225" s="284">
        <v>37.5</v>
      </c>
      <c r="T225" s="611">
        <v>1.9</v>
      </c>
    </row>
    <row r="226" spans="18:20">
      <c r="R226" s="610">
        <v>0</v>
      </c>
      <c r="S226" s="284">
        <v>38</v>
      </c>
      <c r="T226" s="611">
        <v>1.9</v>
      </c>
    </row>
    <row r="227" spans="18:20">
      <c r="R227" s="610">
        <v>0</v>
      </c>
      <c r="S227" s="284">
        <v>38.5</v>
      </c>
      <c r="T227" s="611">
        <v>1.9</v>
      </c>
    </row>
    <row r="228" spans="18:20">
      <c r="R228" s="610">
        <v>0</v>
      </c>
      <c r="S228" s="284">
        <v>39</v>
      </c>
      <c r="T228" s="611">
        <v>2</v>
      </c>
    </row>
    <row r="229" spans="18:20">
      <c r="R229" s="610">
        <v>0</v>
      </c>
      <c r="S229" s="284">
        <v>39.5</v>
      </c>
      <c r="T229" s="611">
        <v>2.1</v>
      </c>
    </row>
    <row r="230" spans="18:20">
      <c r="R230" s="610">
        <v>0</v>
      </c>
      <c r="S230" s="284">
        <v>40</v>
      </c>
      <c r="T230" s="611">
        <v>2.2000000000000002</v>
      </c>
    </row>
    <row r="231" spans="18:20">
      <c r="R231" s="610">
        <v>0</v>
      </c>
      <c r="S231" s="284">
        <v>40.5</v>
      </c>
      <c r="T231" s="611">
        <v>2.2000000000000002</v>
      </c>
    </row>
    <row r="232" spans="18:20">
      <c r="R232" s="610">
        <v>0</v>
      </c>
      <c r="S232" s="284">
        <v>41</v>
      </c>
      <c r="T232" s="611">
        <v>2.2999999999999998</v>
      </c>
    </row>
    <row r="233" spans="18:20">
      <c r="R233" s="610">
        <v>0</v>
      </c>
      <c r="S233" s="284">
        <v>41.5</v>
      </c>
      <c r="T233" s="611">
        <v>2.2999999999999998</v>
      </c>
    </row>
    <row r="234" spans="18:20">
      <c r="R234" s="610">
        <v>0</v>
      </c>
      <c r="S234" s="284">
        <v>42</v>
      </c>
      <c r="T234" s="611">
        <v>2.4</v>
      </c>
    </row>
    <row r="235" spans="18:20">
      <c r="R235" s="610">
        <v>0</v>
      </c>
      <c r="S235" s="284">
        <v>42.5</v>
      </c>
      <c r="T235" s="611">
        <v>2.5</v>
      </c>
    </row>
    <row r="236" spans="18:20">
      <c r="R236" s="610">
        <v>0</v>
      </c>
      <c r="S236" s="284">
        <v>43</v>
      </c>
      <c r="T236" s="611">
        <v>2.6</v>
      </c>
    </row>
    <row r="237" spans="18:20">
      <c r="R237" s="610">
        <v>0</v>
      </c>
      <c r="S237" s="284">
        <v>43.5</v>
      </c>
      <c r="T237" s="611">
        <v>2.7</v>
      </c>
    </row>
    <row r="238" spans="18:20">
      <c r="R238" s="610">
        <v>0</v>
      </c>
      <c r="S238" s="284">
        <v>44</v>
      </c>
      <c r="T238" s="611">
        <v>2.8</v>
      </c>
    </row>
    <row r="239" spans="18:20">
      <c r="R239" s="610">
        <v>0</v>
      </c>
      <c r="S239" s="284">
        <v>44.5</v>
      </c>
      <c r="T239" s="611">
        <v>2.9</v>
      </c>
    </row>
    <row r="240" spans="18:20">
      <c r="R240" s="610">
        <v>0</v>
      </c>
      <c r="S240" s="284">
        <v>45</v>
      </c>
      <c r="T240" s="611">
        <v>3</v>
      </c>
    </row>
    <row r="241" spans="18:20">
      <c r="R241" s="610">
        <v>0</v>
      </c>
      <c r="S241" s="284">
        <v>45.5</v>
      </c>
      <c r="T241" s="611">
        <v>3.1</v>
      </c>
    </row>
    <row r="242" spans="18:20">
      <c r="R242" s="610">
        <v>0</v>
      </c>
      <c r="S242" s="284">
        <v>46</v>
      </c>
      <c r="T242" s="611">
        <v>3.3</v>
      </c>
    </row>
    <row r="243" spans="18:20">
      <c r="R243" s="610">
        <v>0</v>
      </c>
      <c r="S243" s="284">
        <v>46.5</v>
      </c>
      <c r="T243" s="611">
        <v>3.4</v>
      </c>
    </row>
    <row r="244" spans="18:20">
      <c r="R244" s="610">
        <v>0</v>
      </c>
      <c r="S244" s="284">
        <v>47</v>
      </c>
      <c r="T244" s="611">
        <v>3.6</v>
      </c>
    </row>
    <row r="245" spans="18:20">
      <c r="R245" s="610">
        <v>0</v>
      </c>
      <c r="S245" s="284">
        <v>47.5</v>
      </c>
      <c r="T245" s="611">
        <v>3.5</v>
      </c>
    </row>
    <row r="246" spans="18:20">
      <c r="R246" s="610">
        <v>0</v>
      </c>
      <c r="S246" s="284">
        <v>48</v>
      </c>
      <c r="T246" s="611">
        <v>3.8</v>
      </c>
    </row>
    <row r="247" spans="18:20">
      <c r="R247" s="610">
        <v>0</v>
      </c>
      <c r="S247" s="284">
        <v>48.5</v>
      </c>
      <c r="T247" s="611">
        <v>4</v>
      </c>
    </row>
    <row r="248" spans="18:20">
      <c r="R248" s="610">
        <v>0</v>
      </c>
      <c r="S248" s="284">
        <v>49</v>
      </c>
      <c r="T248" s="611">
        <v>4.2</v>
      </c>
    </row>
    <row r="249" spans="18:20">
      <c r="R249" s="610">
        <v>0</v>
      </c>
      <c r="S249" s="284">
        <v>49.5</v>
      </c>
      <c r="T249" s="611">
        <v>4.4000000000000004</v>
      </c>
    </row>
    <row r="250" spans="18:20" ht="15" thickBot="1">
      <c r="R250" s="1249">
        <v>0</v>
      </c>
      <c r="S250" s="1283">
        <v>50</v>
      </c>
      <c r="T250" s="1284">
        <v>4.5999999999999996</v>
      </c>
    </row>
  </sheetData>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B1C10-34FF-4732-8E27-A81C23966E4D}">
  <sheetPr codeName="Sheet19">
    <tabColor rgb="FFCCCCFF"/>
  </sheetPr>
  <dimension ref="A1:BU188"/>
  <sheetViews>
    <sheetView workbookViewId="0">
      <selection sqref="A1:XFD1048576"/>
    </sheetView>
  </sheetViews>
  <sheetFormatPr defaultColWidth="9.140625" defaultRowHeight="15"/>
  <cols>
    <col min="1" max="2" width="9.140625" style="308"/>
    <col min="3" max="3" width="19.42578125" style="308" customWidth="1"/>
    <col min="4" max="8" width="9.140625" style="308"/>
    <col min="9" max="9" width="12.140625" style="308" customWidth="1"/>
    <col min="10" max="27" width="9.140625" style="308"/>
    <col min="28" max="28" width="11" style="308" customWidth="1"/>
    <col min="29" max="29" width="9.140625" style="308"/>
    <col min="30" max="30" width="14.42578125" style="308" customWidth="1"/>
    <col min="31" max="31" width="9.140625" style="308"/>
    <col min="32" max="32" width="11" style="308" customWidth="1"/>
    <col min="33" max="33" width="10.5703125" style="308" customWidth="1"/>
    <col min="34" max="16384" width="9.140625" style="308"/>
  </cols>
  <sheetData>
    <row r="1" spans="1:73" ht="61.5">
      <c r="A1" s="307" t="s">
        <v>2172</v>
      </c>
      <c r="B1" s="781"/>
    </row>
    <row r="2" spans="1:73" ht="28.35" customHeight="1">
      <c r="A2" s="307"/>
    </row>
    <row r="3" spans="1:73" ht="26.25">
      <c r="A3" s="782" t="s">
        <v>2173</v>
      </c>
      <c r="B3" s="783"/>
      <c r="C3" s="783"/>
      <c r="D3" s="783"/>
      <c r="E3" s="783"/>
      <c r="F3" s="783"/>
      <c r="G3" s="783"/>
      <c r="H3" s="783"/>
      <c r="I3" s="783"/>
      <c r="J3" s="783"/>
      <c r="K3" s="783"/>
      <c r="L3" s="784"/>
      <c r="M3" s="784"/>
      <c r="N3" s="784"/>
      <c r="O3" s="784"/>
      <c r="P3" s="784"/>
      <c r="Q3" s="784"/>
      <c r="R3" s="784"/>
      <c r="S3" s="784"/>
      <c r="T3" s="784"/>
      <c r="U3" s="784"/>
      <c r="V3" s="784"/>
      <c r="W3" s="784"/>
      <c r="X3" s="784"/>
      <c r="Y3" s="784"/>
      <c r="Z3" s="784"/>
      <c r="AA3" s="784"/>
      <c r="AB3" s="784"/>
      <c r="AC3" s="784"/>
      <c r="AD3" s="784"/>
      <c r="AE3" s="784"/>
      <c r="AF3" s="784"/>
      <c r="AG3" s="784"/>
      <c r="AH3" s="784"/>
      <c r="AI3" s="784"/>
      <c r="AJ3" s="784"/>
      <c r="AK3" s="785"/>
      <c r="AM3" s="782" t="s">
        <v>2174</v>
      </c>
      <c r="AN3" s="783"/>
      <c r="AO3" s="783"/>
      <c r="AP3" s="783"/>
      <c r="AQ3" s="783"/>
      <c r="AR3" s="783"/>
      <c r="AS3" s="783"/>
      <c r="AT3" s="783"/>
      <c r="AU3" s="783"/>
      <c r="AV3" s="783"/>
      <c r="AW3" s="783"/>
      <c r="AX3" s="784"/>
      <c r="AY3" s="784"/>
      <c r="AZ3" s="784"/>
      <c r="BA3" s="784"/>
      <c r="BB3" s="784"/>
      <c r="BC3" s="784"/>
      <c r="BD3" s="784"/>
      <c r="BE3" s="784"/>
      <c r="BF3" s="784"/>
      <c r="BG3" s="784"/>
      <c r="BH3" s="784"/>
      <c r="BI3" s="784"/>
      <c r="BJ3" s="784"/>
      <c r="BK3" s="784"/>
      <c r="BL3" s="784"/>
      <c r="BM3" s="784"/>
      <c r="BN3" s="784"/>
      <c r="BO3" s="784"/>
      <c r="BP3" s="784"/>
      <c r="BQ3" s="784"/>
      <c r="BR3" s="784"/>
      <c r="BS3" s="784"/>
      <c r="BT3" s="784"/>
      <c r="BU3" s="785"/>
    </row>
    <row r="4" spans="1:73" ht="26.25">
      <c r="A4" s="786"/>
      <c r="B4" s="781"/>
      <c r="AK4" s="787"/>
      <c r="AM4" s="786"/>
      <c r="BU4" s="787"/>
    </row>
    <row r="5" spans="1:73">
      <c r="A5" s="786"/>
      <c r="AK5" s="787"/>
      <c r="AM5" s="786"/>
      <c r="BU5" s="787"/>
    </row>
    <row r="6" spans="1:73">
      <c r="A6" s="786"/>
      <c r="AK6" s="787"/>
      <c r="AM6" s="786"/>
      <c r="BU6" s="787"/>
    </row>
    <row r="7" spans="1:73">
      <c r="A7" s="786"/>
      <c r="AK7" s="787"/>
      <c r="AM7" s="786"/>
      <c r="BU7" s="787"/>
    </row>
    <row r="8" spans="1:73">
      <c r="A8" s="786"/>
      <c r="AK8" s="787"/>
      <c r="AM8" s="786"/>
      <c r="BU8" s="787"/>
    </row>
    <row r="9" spans="1:73">
      <c r="A9" s="786"/>
      <c r="AK9" s="787"/>
      <c r="AM9" s="786"/>
      <c r="BU9" s="787"/>
    </row>
    <row r="10" spans="1:73">
      <c r="A10" s="786"/>
      <c r="AK10" s="787"/>
      <c r="AM10" s="786"/>
      <c r="BU10" s="787"/>
    </row>
    <row r="11" spans="1:73">
      <c r="A11" s="786"/>
      <c r="AK11" s="787"/>
      <c r="AM11" s="786"/>
      <c r="BU11" s="787"/>
    </row>
    <row r="12" spans="1:73">
      <c r="A12" s="786"/>
      <c r="AK12" s="787"/>
      <c r="AM12" s="786"/>
      <c r="BU12" s="787"/>
    </row>
    <row r="13" spans="1:73">
      <c r="A13" s="786"/>
      <c r="AK13" s="787"/>
      <c r="AM13" s="786"/>
      <c r="BU13" s="787"/>
    </row>
    <row r="14" spans="1:73">
      <c r="A14" s="786"/>
      <c r="AK14" s="787"/>
      <c r="AM14" s="786"/>
      <c r="BU14" s="787"/>
    </row>
    <row r="15" spans="1:73">
      <c r="A15" s="786"/>
      <c r="AK15" s="787"/>
      <c r="AM15" s="786"/>
      <c r="BU15" s="787"/>
    </row>
    <row r="16" spans="1:73">
      <c r="A16" s="786"/>
      <c r="AK16" s="787"/>
      <c r="AM16" s="786"/>
      <c r="BU16" s="787"/>
    </row>
    <row r="17" spans="1:73">
      <c r="A17" s="786"/>
      <c r="AK17" s="787"/>
      <c r="AM17" s="786"/>
      <c r="BU17" s="787"/>
    </row>
    <row r="18" spans="1:73">
      <c r="A18" s="786"/>
      <c r="AK18" s="787"/>
      <c r="AM18" s="786"/>
      <c r="BU18" s="787"/>
    </row>
    <row r="19" spans="1:73">
      <c r="A19" s="786"/>
      <c r="AK19" s="787"/>
      <c r="AM19" s="786"/>
      <c r="BU19" s="787"/>
    </row>
    <row r="20" spans="1:73">
      <c r="A20" s="786"/>
      <c r="AK20" s="787"/>
      <c r="AM20" s="786"/>
      <c r="BU20" s="787"/>
    </row>
    <row r="21" spans="1:73">
      <c r="A21" s="786"/>
      <c r="AK21" s="787"/>
      <c r="AM21" s="786"/>
      <c r="BU21" s="787"/>
    </row>
    <row r="22" spans="1:73">
      <c r="A22" s="786"/>
      <c r="AK22" s="787"/>
      <c r="AM22" s="786"/>
      <c r="BU22" s="787"/>
    </row>
    <row r="23" spans="1:73">
      <c r="A23" s="786"/>
      <c r="AK23" s="787"/>
      <c r="AM23" s="786"/>
      <c r="BU23" s="787"/>
    </row>
    <row r="24" spans="1:73">
      <c r="A24" s="786"/>
      <c r="Y24" s="308" t="s">
        <v>2175</v>
      </c>
      <c r="AK24" s="787"/>
      <c r="AM24" s="786"/>
      <c r="BU24" s="787"/>
    </row>
    <row r="25" spans="1:73">
      <c r="A25" s="786"/>
      <c r="AK25" s="787"/>
      <c r="AM25" s="786"/>
      <c r="BU25" s="787"/>
    </row>
    <row r="26" spans="1:73">
      <c r="A26" s="786"/>
      <c r="AK26" s="787"/>
      <c r="AM26" s="786"/>
      <c r="BU26" s="787"/>
    </row>
    <row r="27" spans="1:73">
      <c r="A27" s="786"/>
      <c r="AK27" s="787"/>
      <c r="AM27" s="786"/>
      <c r="BU27" s="787"/>
    </row>
    <row r="28" spans="1:73">
      <c r="A28" s="786"/>
      <c r="AK28" s="787"/>
      <c r="AM28" s="786"/>
      <c r="BU28" s="787"/>
    </row>
    <row r="29" spans="1:73">
      <c r="A29" s="786"/>
      <c r="AK29" s="787"/>
      <c r="AM29" s="786"/>
      <c r="BU29" s="787"/>
    </row>
    <row r="30" spans="1:73">
      <c r="A30" s="786"/>
      <c r="AK30" s="787"/>
      <c r="AM30" s="786"/>
      <c r="BU30" s="787"/>
    </row>
    <row r="31" spans="1:73">
      <c r="A31" s="786"/>
      <c r="AK31" s="787"/>
      <c r="AM31" s="786"/>
      <c r="BU31" s="787"/>
    </row>
    <row r="32" spans="1:73">
      <c r="A32" s="786"/>
      <c r="AK32" s="787"/>
      <c r="AM32" s="786"/>
      <c r="BU32" s="787"/>
    </row>
    <row r="33" spans="1:73">
      <c r="A33" s="786"/>
      <c r="AK33" s="787"/>
      <c r="AM33" s="786"/>
      <c r="BU33" s="787"/>
    </row>
    <row r="34" spans="1:73">
      <c r="A34" s="786"/>
      <c r="AK34" s="787"/>
      <c r="AM34" s="786"/>
      <c r="BU34" s="787"/>
    </row>
    <row r="35" spans="1:73">
      <c r="A35" s="786"/>
      <c r="AK35" s="787"/>
      <c r="AM35" s="786"/>
      <c r="BU35" s="787"/>
    </row>
    <row r="36" spans="1:73">
      <c r="A36" s="786"/>
      <c r="AK36" s="787"/>
      <c r="AM36" s="786"/>
      <c r="BU36" s="787"/>
    </row>
    <row r="37" spans="1:73">
      <c r="A37" s="786"/>
      <c r="AK37" s="787"/>
      <c r="AM37" s="786"/>
      <c r="BU37" s="787"/>
    </row>
    <row r="38" spans="1:73">
      <c r="A38" s="788"/>
      <c r="B38" s="789"/>
      <c r="C38" s="789"/>
      <c r="D38" s="789"/>
      <c r="E38" s="789"/>
      <c r="F38" s="789"/>
      <c r="G38" s="789"/>
      <c r="H38" s="789"/>
      <c r="I38" s="789"/>
      <c r="J38" s="789"/>
      <c r="K38" s="789"/>
      <c r="L38" s="789"/>
      <c r="M38" s="789"/>
      <c r="N38" s="789"/>
      <c r="O38" s="789"/>
      <c r="P38" s="789"/>
      <c r="Q38" s="789"/>
      <c r="R38" s="789"/>
      <c r="S38" s="789"/>
      <c r="T38" s="789"/>
      <c r="U38" s="789"/>
      <c r="V38" s="789"/>
      <c r="W38" s="789"/>
      <c r="X38" s="789"/>
      <c r="Y38" s="789"/>
      <c r="Z38" s="789"/>
      <c r="AA38" s="789"/>
      <c r="AB38" s="789"/>
      <c r="AC38" s="789"/>
      <c r="AD38" s="789"/>
      <c r="AE38" s="789"/>
      <c r="AF38" s="789"/>
      <c r="AG38" s="789"/>
      <c r="AH38" s="789"/>
      <c r="AI38" s="789"/>
      <c r="AJ38" s="789"/>
      <c r="AK38" s="790"/>
      <c r="AM38" s="786"/>
      <c r="BU38" s="787"/>
    </row>
    <row r="39" spans="1:73">
      <c r="AM39" s="786"/>
      <c r="BU39" s="787"/>
    </row>
    <row r="40" spans="1:73" ht="26.25">
      <c r="A40" s="782" t="s">
        <v>2176</v>
      </c>
      <c r="B40" s="783"/>
      <c r="C40" s="783"/>
      <c r="D40" s="783"/>
      <c r="E40" s="783"/>
      <c r="F40" s="783"/>
      <c r="G40" s="783"/>
      <c r="H40" s="783"/>
      <c r="I40" s="783"/>
      <c r="J40" s="783"/>
      <c r="K40" s="783"/>
      <c r="L40" s="784"/>
      <c r="M40" s="784"/>
      <c r="N40" s="784"/>
      <c r="O40" s="784"/>
      <c r="P40" s="784"/>
      <c r="Q40" s="784"/>
      <c r="R40" s="784"/>
      <c r="S40" s="784"/>
      <c r="T40" s="784"/>
      <c r="U40" s="784"/>
      <c r="V40" s="784"/>
      <c r="W40" s="784"/>
      <c r="X40" s="784"/>
      <c r="Y40" s="784"/>
      <c r="Z40" s="784"/>
      <c r="AA40" s="784"/>
      <c r="AB40" s="784"/>
      <c r="AC40" s="784"/>
      <c r="AD40" s="784"/>
      <c r="AE40" s="784"/>
      <c r="AF40" s="784"/>
      <c r="AG40" s="784"/>
      <c r="AH40" s="784"/>
      <c r="AI40" s="784"/>
      <c r="AJ40" s="784"/>
      <c r="AK40" s="785"/>
      <c r="AM40" s="786"/>
      <c r="BU40" s="787"/>
    </row>
    <row r="41" spans="1:73" ht="26.25">
      <c r="A41" s="791"/>
      <c r="B41" s="792"/>
      <c r="C41" s="792"/>
      <c r="D41" s="792"/>
      <c r="E41" s="792"/>
      <c r="F41" s="792"/>
      <c r="G41" s="792"/>
      <c r="H41" s="792"/>
      <c r="I41" s="792"/>
      <c r="J41" s="792"/>
      <c r="K41" s="792"/>
      <c r="AK41" s="787"/>
      <c r="AM41" s="786"/>
      <c r="BU41" s="787"/>
    </row>
    <row r="42" spans="1:73">
      <c r="A42" s="786" t="s">
        <v>2177</v>
      </c>
      <c r="Z42" s="793" t="s">
        <v>2178</v>
      </c>
      <c r="AK42" s="787"/>
      <c r="AM42" s="786"/>
      <c r="BU42" s="787"/>
    </row>
    <row r="43" spans="1:73">
      <c r="A43" s="794" t="s">
        <v>2116</v>
      </c>
      <c r="Z43" s="795" t="s">
        <v>2179</v>
      </c>
      <c r="AA43" s="796"/>
      <c r="AB43" s="797"/>
      <c r="AK43" s="787"/>
      <c r="AM43" s="786"/>
      <c r="BU43" s="787"/>
    </row>
    <row r="44" spans="1:73">
      <c r="A44" s="798" t="s">
        <v>2180</v>
      </c>
      <c r="K44" s="308" t="s">
        <v>2181</v>
      </c>
      <c r="Z44" s="799" t="s">
        <v>2182</v>
      </c>
      <c r="AA44" s="800" t="s">
        <v>2183</v>
      </c>
      <c r="AB44" s="801"/>
      <c r="AK44" s="787"/>
      <c r="AM44" s="786"/>
      <c r="BU44" s="787"/>
    </row>
    <row r="45" spans="1:73">
      <c r="A45" s="802" t="s">
        <v>2182</v>
      </c>
      <c r="B45" s="800" t="s">
        <v>2184</v>
      </c>
      <c r="C45" s="801"/>
      <c r="D45" s="803" t="s">
        <v>2185</v>
      </c>
      <c r="E45" s="800" t="s">
        <v>2186</v>
      </c>
      <c r="F45" s="801"/>
      <c r="G45" s="803" t="s">
        <v>2185</v>
      </c>
      <c r="H45" s="800" t="s">
        <v>2187</v>
      </c>
      <c r="I45" s="801"/>
      <c r="K45" s="421" t="s">
        <v>2188</v>
      </c>
      <c r="AK45" s="787"/>
      <c r="AM45" s="786"/>
      <c r="BU45" s="787"/>
    </row>
    <row r="46" spans="1:73">
      <c r="A46" s="786" t="s">
        <v>2189</v>
      </c>
      <c r="B46" s="308" t="s">
        <v>701</v>
      </c>
      <c r="Z46" s="308" t="s">
        <v>2190</v>
      </c>
      <c r="AA46" s="308" t="s">
        <v>701</v>
      </c>
      <c r="AK46" s="787"/>
      <c r="AM46" s="786"/>
      <c r="BU46" s="787"/>
    </row>
    <row r="47" spans="1:73">
      <c r="A47" s="786" t="s">
        <v>2191</v>
      </c>
      <c r="B47" s="308" t="s">
        <v>2192</v>
      </c>
      <c r="D47" s="308" t="s">
        <v>2193</v>
      </c>
      <c r="E47" s="308" t="s">
        <v>2194</v>
      </c>
      <c r="Z47" s="308" t="s">
        <v>2195</v>
      </c>
      <c r="AA47" s="308" t="s">
        <v>2196</v>
      </c>
      <c r="AK47" s="787"/>
      <c r="AM47" s="786"/>
      <c r="BU47" s="787"/>
    </row>
    <row r="48" spans="1:73">
      <c r="A48" s="786" t="s">
        <v>2197</v>
      </c>
      <c r="B48" s="308">
        <v>0</v>
      </c>
      <c r="Z48" s="308" t="s">
        <v>2198</v>
      </c>
      <c r="AA48" s="308" t="s">
        <v>2199</v>
      </c>
      <c r="AC48" s="308" t="s">
        <v>2200</v>
      </c>
      <c r="AK48" s="787"/>
      <c r="AM48" s="786"/>
      <c r="BU48" s="787"/>
    </row>
    <row r="49" spans="1:73">
      <c r="A49" s="786" t="s">
        <v>2201</v>
      </c>
      <c r="B49" s="308" t="s">
        <v>2202</v>
      </c>
      <c r="K49" s="804" t="s">
        <v>2203</v>
      </c>
      <c r="Z49" s="308" t="s">
        <v>2204</v>
      </c>
      <c r="AA49" s="308" t="s">
        <v>2205</v>
      </c>
      <c r="AK49" s="787"/>
      <c r="AM49" s="786"/>
      <c r="BU49" s="787"/>
    </row>
    <row r="50" spans="1:73">
      <c r="A50" s="786"/>
      <c r="K50" s="308" t="s">
        <v>2206</v>
      </c>
      <c r="Z50" s="308" t="s">
        <v>2207</v>
      </c>
      <c r="AA50" s="308" t="s">
        <v>2208</v>
      </c>
      <c r="AK50" s="787"/>
      <c r="AM50" s="786"/>
      <c r="BU50" s="787"/>
    </row>
    <row r="51" spans="1:73">
      <c r="A51" s="798" t="s">
        <v>2209</v>
      </c>
      <c r="B51" s="797"/>
      <c r="C51" s="797"/>
      <c r="K51" s="804" t="s">
        <v>2210</v>
      </c>
      <c r="AK51" s="787"/>
      <c r="AM51" s="786"/>
      <c r="BU51" s="787"/>
    </row>
    <row r="52" spans="1:73">
      <c r="A52" s="786" t="s">
        <v>2211</v>
      </c>
      <c r="B52" s="308" t="s">
        <v>2212</v>
      </c>
      <c r="K52" s="308" t="s">
        <v>2213</v>
      </c>
      <c r="Z52" s="795" t="s">
        <v>2209</v>
      </c>
      <c r="AA52" s="797"/>
      <c r="AB52" s="797"/>
      <c r="AK52" s="787"/>
      <c r="AM52" s="786"/>
      <c r="BU52" s="787"/>
    </row>
    <row r="53" spans="1:73">
      <c r="A53" s="786"/>
      <c r="K53" s="308" t="s">
        <v>2214</v>
      </c>
      <c r="Z53" s="799" t="s">
        <v>2182</v>
      </c>
      <c r="AA53" s="800" t="s">
        <v>2215</v>
      </c>
      <c r="AB53" s="801"/>
      <c r="AK53" s="787"/>
      <c r="AM53" s="786"/>
      <c r="BU53" s="787"/>
    </row>
    <row r="54" spans="1:73">
      <c r="A54" s="786"/>
      <c r="K54" s="308" t="s">
        <v>2216</v>
      </c>
      <c r="Z54" s="400" t="s">
        <v>2217</v>
      </c>
      <c r="AA54" s="800" t="s">
        <v>2218</v>
      </c>
      <c r="AB54" s="805"/>
      <c r="AK54" s="787"/>
      <c r="AM54" s="786"/>
      <c r="BU54" s="787"/>
    </row>
    <row r="55" spans="1:73">
      <c r="A55" s="786"/>
      <c r="K55" s="308" t="s">
        <v>2219</v>
      </c>
      <c r="AK55" s="787"/>
      <c r="AM55" s="786"/>
      <c r="BU55" s="787"/>
    </row>
    <row r="56" spans="1:73">
      <c r="A56" s="786"/>
      <c r="Z56" s="795" t="s">
        <v>2220</v>
      </c>
      <c r="AK56" s="787"/>
      <c r="AM56" s="786"/>
      <c r="BU56" s="787"/>
    </row>
    <row r="57" spans="1:73">
      <c r="A57" s="786"/>
      <c r="Z57" s="799" t="s">
        <v>2182</v>
      </c>
      <c r="AA57" s="800" t="s">
        <v>2221</v>
      </c>
      <c r="AB57" s="801"/>
      <c r="AK57" s="787"/>
      <c r="AM57" s="786"/>
      <c r="BU57" s="787"/>
    </row>
    <row r="58" spans="1:73">
      <c r="A58" s="786" t="s">
        <v>2222</v>
      </c>
      <c r="E58" s="804" t="s">
        <v>2223</v>
      </c>
      <c r="Z58" s="400" t="s">
        <v>2217</v>
      </c>
      <c r="AA58" s="800" t="s">
        <v>2224</v>
      </c>
      <c r="AB58" s="805"/>
      <c r="AK58" s="787"/>
      <c r="AM58" s="786"/>
      <c r="BU58" s="787"/>
    </row>
    <row r="59" spans="1:73">
      <c r="A59" s="786" t="s">
        <v>2225</v>
      </c>
      <c r="AK59" s="787"/>
      <c r="AM59" s="786"/>
      <c r="BU59" s="787"/>
    </row>
    <row r="60" spans="1:73">
      <c r="A60" s="786" t="s">
        <v>2226</v>
      </c>
      <c r="Z60" s="806" t="s">
        <v>2227</v>
      </c>
      <c r="AK60" s="787"/>
      <c r="AM60" s="786"/>
      <c r="BU60" s="787"/>
    </row>
    <row r="61" spans="1:73">
      <c r="A61" s="807" t="s">
        <v>2228</v>
      </c>
      <c r="Z61" s="308" t="s">
        <v>2229</v>
      </c>
      <c r="AK61" s="787"/>
      <c r="AM61" s="786"/>
      <c r="BU61" s="787"/>
    </row>
    <row r="62" spans="1:73">
      <c r="A62" s="786" t="s">
        <v>2230</v>
      </c>
      <c r="Z62" s="808"/>
      <c r="AK62" s="787"/>
      <c r="AM62" s="786"/>
      <c r="BU62" s="787"/>
    </row>
    <row r="63" spans="1:73">
      <c r="A63" s="786" t="s">
        <v>2231</v>
      </c>
      <c r="Z63" s="793" t="s">
        <v>2082</v>
      </c>
      <c r="AK63" s="787"/>
      <c r="AM63" s="786"/>
      <c r="BU63" s="787"/>
    </row>
    <row r="64" spans="1:73">
      <c r="A64" s="786" t="s">
        <v>2232</v>
      </c>
      <c r="Z64" s="804" t="s">
        <v>2233</v>
      </c>
      <c r="AK64" s="787"/>
      <c r="AM64" s="786"/>
      <c r="BU64" s="787"/>
    </row>
    <row r="65" spans="1:73">
      <c r="A65" s="786"/>
      <c r="AK65" s="787"/>
      <c r="AM65" s="786"/>
      <c r="BU65" s="787"/>
    </row>
    <row r="66" spans="1:73">
      <c r="A66" s="798" t="s">
        <v>2220</v>
      </c>
      <c r="Z66" s="793" t="s">
        <v>2078</v>
      </c>
      <c r="AK66" s="787"/>
      <c r="AM66" s="786"/>
      <c r="BU66" s="787"/>
    </row>
    <row r="67" spans="1:73">
      <c r="A67" s="786" t="s">
        <v>2211</v>
      </c>
      <c r="B67" s="308" t="s">
        <v>2212</v>
      </c>
      <c r="Z67" s="806" t="s">
        <v>2234</v>
      </c>
      <c r="AK67" s="787"/>
      <c r="AM67" s="786"/>
      <c r="BU67" s="787"/>
    </row>
    <row r="68" spans="1:73" ht="18.75">
      <c r="A68" s="786" t="s">
        <v>2235</v>
      </c>
      <c r="Z68" s="1406" t="s">
        <v>2236</v>
      </c>
      <c r="AA68" s="1406"/>
      <c r="AB68" s="1406"/>
      <c r="AC68" s="1406"/>
      <c r="AD68" s="1406" t="s">
        <v>2237</v>
      </c>
      <c r="AE68" s="1406"/>
      <c r="AF68" s="1406" t="s">
        <v>2238</v>
      </c>
      <c r="AG68" s="1406"/>
      <c r="AH68" s="1406"/>
      <c r="AI68" s="1406"/>
      <c r="AJ68" s="1406"/>
      <c r="AK68" s="787"/>
      <c r="AM68" s="809" t="s">
        <v>2239</v>
      </c>
      <c r="BU68" s="787"/>
    </row>
    <row r="69" spans="1:73">
      <c r="A69" s="786"/>
      <c r="Z69" s="810" t="s">
        <v>2240</v>
      </c>
      <c r="AA69" s="1406" t="s">
        <v>2241</v>
      </c>
      <c r="AB69" s="1406"/>
      <c r="AC69" s="1406"/>
      <c r="AD69" s="1406">
        <v>250</v>
      </c>
      <c r="AE69" s="1406"/>
      <c r="AF69" s="1406" t="s">
        <v>2242</v>
      </c>
      <c r="AG69" s="1406"/>
      <c r="AH69" s="1406"/>
      <c r="AI69" s="1406"/>
      <c r="AJ69" s="1406"/>
      <c r="AK69" s="787"/>
      <c r="AM69" s="786"/>
      <c r="BU69" s="787"/>
    </row>
    <row r="70" spans="1:73">
      <c r="A70" s="811" t="s">
        <v>2227</v>
      </c>
      <c r="Z70" s="810" t="s">
        <v>2243</v>
      </c>
      <c r="AA70" s="1406" t="s">
        <v>2244</v>
      </c>
      <c r="AB70" s="1406"/>
      <c r="AC70" s="1406"/>
      <c r="AD70" s="1406">
        <v>300</v>
      </c>
      <c r="AE70" s="1406"/>
      <c r="AF70" s="1406" t="s">
        <v>2245</v>
      </c>
      <c r="AG70" s="1406"/>
      <c r="AH70" s="1406"/>
      <c r="AI70" s="1406"/>
      <c r="AJ70" s="1406"/>
      <c r="AK70" s="787"/>
      <c r="AM70" s="794" t="s">
        <v>2246</v>
      </c>
      <c r="AY70" s="793" t="s">
        <v>2247</v>
      </c>
      <c r="BJ70" s="793" t="s">
        <v>2248</v>
      </c>
      <c r="BU70" s="787"/>
    </row>
    <row r="71" spans="1:73">
      <c r="A71" s="786" t="s">
        <v>2229</v>
      </c>
      <c r="Z71" s="810" t="s">
        <v>2249</v>
      </c>
      <c r="AA71" s="1406" t="s">
        <v>2250</v>
      </c>
      <c r="AB71" s="1406"/>
      <c r="AC71" s="1406"/>
      <c r="AD71" s="1406">
        <v>500</v>
      </c>
      <c r="AE71" s="1406"/>
      <c r="AF71" s="1406" t="s">
        <v>2251</v>
      </c>
      <c r="AG71" s="1406"/>
      <c r="AH71" s="1406"/>
      <c r="AI71" s="1406"/>
      <c r="AJ71" s="1406"/>
      <c r="AK71" s="787"/>
      <c r="AM71" s="786" t="s">
        <v>2252</v>
      </c>
      <c r="AY71" s="308" t="s">
        <v>2253</v>
      </c>
      <c r="BJ71" s="308" t="s">
        <v>2254</v>
      </c>
      <c r="BU71" s="787"/>
    </row>
    <row r="72" spans="1:73">
      <c r="A72" s="786"/>
      <c r="AK72" s="787"/>
      <c r="AM72" s="786"/>
      <c r="BU72" s="787"/>
    </row>
    <row r="73" spans="1:73">
      <c r="A73" s="786"/>
      <c r="Z73" s="804" t="s">
        <v>2255</v>
      </c>
      <c r="AK73" s="787"/>
      <c r="AM73" s="794" t="s">
        <v>2256</v>
      </c>
      <c r="BU73" s="787"/>
    </row>
    <row r="74" spans="1:73">
      <c r="A74" s="786"/>
      <c r="AK74" s="787"/>
      <c r="AM74" s="786" t="s">
        <v>2257</v>
      </c>
      <c r="BU74" s="787"/>
    </row>
    <row r="75" spans="1:73">
      <c r="A75" s="811" t="s">
        <v>2258</v>
      </c>
      <c r="AK75" s="787"/>
      <c r="AM75" s="786"/>
      <c r="BU75" s="787"/>
    </row>
    <row r="76" spans="1:73">
      <c r="A76" s="786"/>
      <c r="I76" s="804"/>
      <c r="AK76" s="787"/>
      <c r="AM76" s="786"/>
      <c r="BU76" s="787"/>
    </row>
    <row r="77" spans="1:73">
      <c r="A77" s="786" t="s">
        <v>2259</v>
      </c>
      <c r="B77" s="812"/>
      <c r="C77" s="812"/>
      <c r="D77" s="812"/>
      <c r="AK77" s="787"/>
      <c r="AM77" s="786"/>
      <c r="BJ77" s="308" t="s">
        <v>2260</v>
      </c>
      <c r="BU77" s="787"/>
    </row>
    <row r="78" spans="1:73">
      <c r="A78" s="813" t="s">
        <v>2261</v>
      </c>
      <c r="B78" s="812"/>
      <c r="C78" s="814"/>
      <c r="D78" s="812"/>
      <c r="AK78" s="787"/>
      <c r="AM78" s="786"/>
      <c r="BU78" s="787"/>
    </row>
    <row r="79" spans="1:73">
      <c r="A79" s="786" t="s">
        <v>2262</v>
      </c>
      <c r="B79" s="812"/>
      <c r="C79" s="814"/>
      <c r="D79" s="812"/>
      <c r="AK79" s="787"/>
      <c r="AM79" s="786"/>
      <c r="BJ79" s="793" t="s">
        <v>2263</v>
      </c>
      <c r="BU79" s="787"/>
    </row>
    <row r="80" spans="1:73">
      <c r="A80" s="786" t="s">
        <v>2264</v>
      </c>
      <c r="B80" s="812"/>
      <c r="C80" s="808"/>
      <c r="D80" s="812"/>
      <c r="AK80" s="787"/>
      <c r="AM80" s="786"/>
      <c r="BJ80" s="308" t="s">
        <v>2265</v>
      </c>
      <c r="BU80" s="787"/>
    </row>
    <row r="81" spans="1:73">
      <c r="A81" s="786" t="s">
        <v>2266</v>
      </c>
      <c r="B81" s="812"/>
      <c r="C81" s="812"/>
      <c r="D81" s="812"/>
      <c r="AK81" s="787"/>
      <c r="AM81" s="786"/>
      <c r="BU81" s="787"/>
    </row>
    <row r="82" spans="1:73">
      <c r="A82" s="786" t="s">
        <v>2267</v>
      </c>
      <c r="B82" s="812"/>
      <c r="C82" s="812"/>
      <c r="D82" s="812"/>
      <c r="AK82" s="787"/>
      <c r="AM82" s="786" t="s">
        <v>2268</v>
      </c>
      <c r="BU82" s="787"/>
    </row>
    <row r="83" spans="1:73">
      <c r="A83" s="813"/>
      <c r="B83" s="812"/>
      <c r="C83" s="812"/>
      <c r="D83" s="812"/>
      <c r="AK83" s="787"/>
      <c r="AM83" s="786"/>
      <c r="BU83" s="787"/>
    </row>
    <row r="84" spans="1:73" ht="18">
      <c r="A84" s="815" t="s">
        <v>2269</v>
      </c>
      <c r="B84" s="812"/>
      <c r="AK84" s="787"/>
      <c r="AM84" s="786"/>
      <c r="BU84" s="787"/>
    </row>
    <row r="85" spans="1:73" ht="18">
      <c r="A85" s="815" t="s">
        <v>2270</v>
      </c>
      <c r="B85" s="812"/>
      <c r="AK85" s="787"/>
      <c r="AM85" s="786"/>
      <c r="BU85" s="787"/>
    </row>
    <row r="86" spans="1:73">
      <c r="A86" s="815" t="s">
        <v>2271</v>
      </c>
      <c r="B86" s="812"/>
      <c r="AK86" s="787"/>
      <c r="AM86" s="786"/>
      <c r="BU86" s="787"/>
    </row>
    <row r="87" spans="1:73">
      <c r="A87" s="815" t="s">
        <v>2272</v>
      </c>
      <c r="B87" s="812"/>
      <c r="AK87" s="787"/>
      <c r="AM87" s="786"/>
      <c r="BU87" s="787"/>
    </row>
    <row r="88" spans="1:73" ht="18">
      <c r="A88" s="815" t="s">
        <v>2273</v>
      </c>
      <c r="B88" s="812"/>
      <c r="AK88" s="787"/>
      <c r="AM88" s="786"/>
      <c r="BU88" s="787"/>
    </row>
    <row r="89" spans="1:73" ht="18">
      <c r="A89" s="815" t="s">
        <v>2274</v>
      </c>
      <c r="D89" s="308" t="s">
        <v>2275</v>
      </c>
      <c r="AK89" s="787"/>
      <c r="AM89" s="786"/>
      <c r="BU89" s="787"/>
    </row>
    <row r="90" spans="1:73" ht="18.75">
      <c r="A90" s="815" t="s">
        <v>2276</v>
      </c>
      <c r="D90" s="308" t="s">
        <v>2277</v>
      </c>
      <c r="AK90" s="787"/>
      <c r="AM90" s="786"/>
      <c r="AY90" s="308" t="s">
        <v>2278</v>
      </c>
      <c r="BA90" s="308" t="s">
        <v>2279</v>
      </c>
      <c r="BU90" s="787"/>
    </row>
    <row r="91" spans="1:73" ht="18">
      <c r="A91" s="815" t="s">
        <v>2280</v>
      </c>
      <c r="B91" s="812"/>
      <c r="AK91" s="787"/>
      <c r="AM91" s="786"/>
      <c r="BU91" s="787"/>
    </row>
    <row r="92" spans="1:73">
      <c r="A92" s="786" t="s">
        <v>2281</v>
      </c>
      <c r="B92" s="812"/>
      <c r="AK92" s="787"/>
      <c r="AM92" s="786"/>
      <c r="AY92" s="793" t="s">
        <v>2282</v>
      </c>
      <c r="BU92" s="787"/>
    </row>
    <row r="93" spans="1:73">
      <c r="A93" s="786" t="s">
        <v>2283</v>
      </c>
      <c r="B93" s="812"/>
      <c r="H93" s="804"/>
      <c r="AK93" s="787"/>
      <c r="AM93" s="786"/>
      <c r="AY93" s="308" t="s">
        <v>2284</v>
      </c>
      <c r="BU93" s="787"/>
    </row>
    <row r="94" spans="1:73">
      <c r="A94" s="786"/>
      <c r="C94" s="812"/>
      <c r="AK94" s="787"/>
      <c r="AM94" s="786"/>
      <c r="BU94" s="787"/>
    </row>
    <row r="95" spans="1:73">
      <c r="A95" s="786"/>
      <c r="G95" s="804"/>
      <c r="AK95" s="787"/>
      <c r="AM95" s="786"/>
      <c r="BU95" s="787"/>
    </row>
    <row r="96" spans="1:73">
      <c r="A96" s="786"/>
      <c r="G96" s="804"/>
      <c r="AK96" s="787"/>
      <c r="AM96" s="786"/>
      <c r="AY96" s="308" t="s">
        <v>2285</v>
      </c>
      <c r="BU96" s="787"/>
    </row>
    <row r="97" spans="1:73">
      <c r="A97" s="786"/>
      <c r="AK97" s="787"/>
      <c r="AM97" s="786"/>
      <c r="BU97" s="787"/>
    </row>
    <row r="98" spans="1:73">
      <c r="A98" s="786"/>
      <c r="C98" s="812"/>
      <c r="AK98" s="787"/>
      <c r="AM98" s="786"/>
      <c r="BU98" s="787"/>
    </row>
    <row r="99" spans="1:73">
      <c r="A99" s="786"/>
      <c r="AK99" s="787"/>
      <c r="AM99" s="786"/>
      <c r="BU99" s="787"/>
    </row>
    <row r="100" spans="1:73">
      <c r="A100" s="786"/>
      <c r="AK100" s="787"/>
      <c r="AM100" s="786"/>
      <c r="BU100" s="787"/>
    </row>
    <row r="101" spans="1:73">
      <c r="A101" s="786"/>
      <c r="AK101" s="787"/>
      <c r="AM101" s="786"/>
      <c r="BU101" s="787"/>
    </row>
    <row r="102" spans="1:73">
      <c r="A102" s="786"/>
      <c r="AK102" s="787"/>
      <c r="AM102" s="786"/>
      <c r="BU102" s="787"/>
    </row>
    <row r="103" spans="1:73">
      <c r="A103" s="816"/>
      <c r="B103" s="817"/>
      <c r="AK103" s="787"/>
      <c r="AM103" s="786"/>
      <c r="BJ103" s="308" t="s">
        <v>2286</v>
      </c>
      <c r="BU103" s="787"/>
    </row>
    <row r="104" spans="1:73">
      <c r="A104" s="786"/>
      <c r="AK104" s="787"/>
      <c r="AM104" s="788"/>
      <c r="AN104" s="789"/>
      <c r="AO104" s="789"/>
      <c r="AP104" s="789"/>
      <c r="AQ104" s="789"/>
      <c r="AR104" s="789"/>
      <c r="AS104" s="789"/>
      <c r="AT104" s="789"/>
      <c r="AU104" s="789"/>
      <c r="AV104" s="789"/>
      <c r="AW104" s="789"/>
      <c r="AX104" s="789"/>
      <c r="AY104" s="789"/>
      <c r="AZ104" s="789"/>
      <c r="BA104" s="789"/>
      <c r="BB104" s="789"/>
      <c r="BC104" s="789"/>
      <c r="BD104" s="789"/>
      <c r="BE104" s="789"/>
      <c r="BF104" s="789"/>
      <c r="BG104" s="789"/>
      <c r="BH104" s="789"/>
      <c r="BI104" s="789"/>
      <c r="BJ104" s="789"/>
      <c r="BK104" s="789"/>
      <c r="BL104" s="789"/>
      <c r="BM104" s="789"/>
      <c r="BN104" s="789"/>
      <c r="BO104" s="789"/>
      <c r="BP104" s="789"/>
      <c r="BQ104" s="789"/>
      <c r="BR104" s="789"/>
      <c r="BS104" s="789"/>
      <c r="BT104" s="789"/>
      <c r="BU104" s="790"/>
    </row>
    <row r="105" spans="1:73">
      <c r="A105" s="786"/>
      <c r="AK105" s="787"/>
    </row>
    <row r="106" spans="1:73">
      <c r="A106" s="786"/>
      <c r="AK106" s="787"/>
    </row>
    <row r="107" spans="1:73">
      <c r="A107" s="786"/>
      <c r="AK107" s="787"/>
    </row>
    <row r="108" spans="1:73">
      <c r="A108" s="786"/>
      <c r="AK108" s="787"/>
    </row>
    <row r="109" spans="1:73">
      <c r="A109" s="786"/>
      <c r="AK109" s="787"/>
    </row>
    <row r="110" spans="1:73">
      <c r="A110" s="786"/>
      <c r="AK110" s="787"/>
    </row>
    <row r="111" spans="1:73">
      <c r="A111" s="786"/>
      <c r="AK111" s="787"/>
    </row>
    <row r="112" spans="1:73">
      <c r="A112" s="786"/>
      <c r="AK112" s="787"/>
    </row>
    <row r="113" spans="1:63">
      <c r="A113" s="786"/>
      <c r="AK113" s="787"/>
    </row>
    <row r="114" spans="1:63">
      <c r="A114" s="786"/>
      <c r="AK114" s="787"/>
    </row>
    <row r="115" spans="1:63">
      <c r="A115" s="786"/>
      <c r="AK115" s="787"/>
    </row>
    <row r="116" spans="1:63">
      <c r="A116" s="786"/>
      <c r="AK116" s="787"/>
    </row>
    <row r="117" spans="1:63">
      <c r="A117" s="786"/>
      <c r="AK117" s="787"/>
    </row>
    <row r="118" spans="1:63">
      <c r="A118" s="786"/>
      <c r="AK118" s="787"/>
    </row>
    <row r="119" spans="1:63">
      <c r="A119" s="788"/>
      <c r="B119" s="789"/>
      <c r="C119" s="789"/>
      <c r="D119" s="789"/>
      <c r="E119" s="789"/>
      <c r="F119" s="789"/>
      <c r="G119" s="789"/>
      <c r="H119" s="789"/>
      <c r="I119" s="789"/>
      <c r="J119" s="789"/>
      <c r="K119" s="789"/>
      <c r="L119" s="789"/>
      <c r="M119" s="789"/>
      <c r="N119" s="789"/>
      <c r="O119" s="789"/>
      <c r="P119" s="789"/>
      <c r="Q119" s="789"/>
      <c r="R119" s="789"/>
      <c r="S119" s="789"/>
      <c r="T119" s="789"/>
      <c r="U119" s="789"/>
      <c r="V119" s="789"/>
      <c r="W119" s="789"/>
      <c r="X119" s="789"/>
      <c r="Y119" s="789"/>
      <c r="Z119" s="789"/>
      <c r="AA119" s="789"/>
      <c r="AB119" s="789"/>
      <c r="AC119" s="789"/>
      <c r="AD119" s="789"/>
      <c r="AE119" s="789"/>
      <c r="AF119" s="789"/>
      <c r="AG119" s="789"/>
      <c r="AH119" s="789"/>
      <c r="AI119" s="789"/>
      <c r="AJ119" s="789"/>
      <c r="AK119" s="790"/>
    </row>
    <row r="122" spans="1:63" ht="26.25">
      <c r="A122" s="782" t="s">
        <v>2287</v>
      </c>
      <c r="B122" s="783"/>
      <c r="C122" s="783"/>
      <c r="D122" s="783"/>
      <c r="E122" s="783"/>
      <c r="F122" s="783"/>
      <c r="G122" s="783"/>
      <c r="H122" s="783"/>
      <c r="I122" s="783"/>
      <c r="J122" s="783"/>
      <c r="K122" s="783"/>
      <c r="L122" s="784"/>
      <c r="M122" s="784"/>
      <c r="N122" s="784"/>
      <c r="O122" s="784"/>
      <c r="P122" s="784"/>
      <c r="Q122" s="784"/>
      <c r="R122" s="784"/>
      <c r="S122" s="784"/>
      <c r="T122" s="784"/>
      <c r="U122" s="784"/>
      <c r="V122" s="784"/>
      <c r="W122" s="784"/>
      <c r="X122" s="784"/>
      <c r="Y122" s="784"/>
      <c r="Z122" s="784"/>
      <c r="AA122" s="784"/>
      <c r="AB122" s="784"/>
      <c r="AC122" s="784"/>
      <c r="AD122" s="784"/>
      <c r="AE122" s="784"/>
      <c r="AF122" s="784"/>
      <c r="AG122" s="784"/>
      <c r="AH122" s="784"/>
      <c r="AI122" s="784"/>
      <c r="AJ122" s="784"/>
      <c r="AK122" s="785"/>
      <c r="AM122" s="782" t="s">
        <v>2288</v>
      </c>
      <c r="AN122" s="783"/>
      <c r="AO122" s="783"/>
      <c r="AP122" s="783"/>
      <c r="AQ122" s="783"/>
      <c r="AR122" s="783"/>
      <c r="AS122" s="783"/>
      <c r="AT122" s="783"/>
      <c r="AU122" s="783"/>
      <c r="AV122" s="783"/>
      <c r="AW122" s="783"/>
      <c r="AX122" s="784"/>
      <c r="AY122" s="784"/>
      <c r="AZ122" s="784"/>
      <c r="BA122" s="784"/>
      <c r="BB122" s="784"/>
      <c r="BC122" s="784"/>
      <c r="BD122" s="784"/>
      <c r="BE122" s="784"/>
      <c r="BF122" s="784"/>
      <c r="BG122" s="784"/>
      <c r="BH122" s="784"/>
      <c r="BI122" s="784"/>
      <c r="BJ122" s="784"/>
      <c r="BK122" s="785"/>
    </row>
    <row r="123" spans="1:63" ht="23.25">
      <c r="A123" s="786"/>
      <c r="AK123" s="787"/>
      <c r="AM123" s="818"/>
      <c r="BK123" s="787"/>
    </row>
    <row r="124" spans="1:63">
      <c r="A124" s="819" t="s">
        <v>2289</v>
      </c>
      <c r="K124" s="308" t="s">
        <v>2181</v>
      </c>
      <c r="V124" s="820" t="s">
        <v>2290</v>
      </c>
      <c r="W124" s="308" t="s">
        <v>2291</v>
      </c>
      <c r="AK124" s="787"/>
      <c r="AM124" s="786"/>
      <c r="BK124" s="787"/>
    </row>
    <row r="125" spans="1:63">
      <c r="A125" s="786"/>
      <c r="K125" s="421" t="s">
        <v>2188</v>
      </c>
      <c r="AK125" s="787"/>
      <c r="AM125" s="786"/>
      <c r="BK125" s="787"/>
    </row>
    <row r="126" spans="1:63">
      <c r="A126" s="794" t="s">
        <v>2116</v>
      </c>
      <c r="V126" s="804" t="s">
        <v>2292</v>
      </c>
      <c r="AK126" s="787"/>
      <c r="AM126" s="786"/>
      <c r="BK126" s="787"/>
    </row>
    <row r="127" spans="1:63">
      <c r="A127" s="798" t="s">
        <v>2180</v>
      </c>
      <c r="V127" s="804" t="s">
        <v>2293</v>
      </c>
      <c r="W127" s="804"/>
      <c r="X127" s="804"/>
      <c r="Y127" s="804"/>
      <c r="Z127" s="804"/>
      <c r="AK127" s="787"/>
      <c r="AM127" s="786"/>
      <c r="BK127" s="787"/>
    </row>
    <row r="128" spans="1:63">
      <c r="A128" s="802" t="s">
        <v>2182</v>
      </c>
      <c r="B128" s="800" t="s">
        <v>2184</v>
      </c>
      <c r="C128" s="801"/>
      <c r="D128" s="803" t="s">
        <v>2185</v>
      </c>
      <c r="E128" s="800" t="s">
        <v>2186</v>
      </c>
      <c r="F128" s="801"/>
      <c r="G128" s="803" t="s">
        <v>2185</v>
      </c>
      <c r="H128" s="800" t="s">
        <v>2187</v>
      </c>
      <c r="I128" s="801"/>
      <c r="V128" s="821" t="s">
        <v>2294</v>
      </c>
      <c r="W128" s="821"/>
      <c r="X128" s="821"/>
      <c r="AK128" s="787"/>
      <c r="AM128" s="786"/>
      <c r="BK128" s="787"/>
    </row>
    <row r="129" spans="1:63">
      <c r="A129" s="786" t="s">
        <v>2189</v>
      </c>
      <c r="B129" s="308" t="s">
        <v>701</v>
      </c>
      <c r="K129" s="804" t="s">
        <v>2203</v>
      </c>
      <c r="AK129" s="787"/>
      <c r="AM129" s="786"/>
      <c r="BK129" s="787"/>
    </row>
    <row r="130" spans="1:63">
      <c r="A130" s="786" t="s">
        <v>2191</v>
      </c>
      <c r="B130" s="821" t="s">
        <v>2192</v>
      </c>
      <c r="C130" s="821"/>
      <c r="D130" s="308" t="s">
        <v>2193</v>
      </c>
      <c r="E130" s="308" t="s">
        <v>2194</v>
      </c>
      <c r="K130" s="308" t="s">
        <v>2206</v>
      </c>
      <c r="V130" s="308" t="s">
        <v>2295</v>
      </c>
      <c r="AK130" s="787"/>
      <c r="AM130" s="786"/>
      <c r="BK130" s="787"/>
    </row>
    <row r="131" spans="1:63">
      <c r="A131" s="786" t="s">
        <v>2201</v>
      </c>
      <c r="B131" s="821" t="s">
        <v>2202</v>
      </c>
      <c r="C131" s="821"/>
      <c r="K131" s="804" t="s">
        <v>2210</v>
      </c>
      <c r="V131" s="308" t="s">
        <v>2296</v>
      </c>
      <c r="AK131" s="787"/>
      <c r="AM131" s="786"/>
      <c r="BK131" s="787"/>
    </row>
    <row r="132" spans="1:63">
      <c r="A132" s="786"/>
      <c r="K132" s="308" t="s">
        <v>2213</v>
      </c>
      <c r="V132" s="308" t="s">
        <v>2297</v>
      </c>
      <c r="Y132" s="308">
        <v>1.1000000000000001</v>
      </c>
      <c r="AK132" s="787"/>
      <c r="AM132" s="786"/>
      <c r="BK132" s="787"/>
    </row>
    <row r="133" spans="1:63">
      <c r="A133" s="786"/>
      <c r="K133" s="308" t="s">
        <v>2214</v>
      </c>
      <c r="V133" s="308" t="s">
        <v>2298</v>
      </c>
      <c r="AK133" s="787"/>
      <c r="AM133" s="786"/>
      <c r="BK133" s="787"/>
    </row>
    <row r="134" spans="1:63">
      <c r="A134" s="798" t="s">
        <v>2209</v>
      </c>
      <c r="B134" s="797"/>
      <c r="C134" s="797"/>
      <c r="K134" s="822" t="s">
        <v>2299</v>
      </c>
      <c r="L134" s="823"/>
      <c r="M134" s="823"/>
      <c r="N134" s="823"/>
      <c r="O134" s="823"/>
      <c r="P134" s="804"/>
      <c r="V134" s="308" t="s">
        <v>2300</v>
      </c>
      <c r="Y134" s="308">
        <v>1.5</v>
      </c>
      <c r="AK134" s="787"/>
      <c r="AM134" s="786"/>
      <c r="BK134" s="787"/>
    </row>
    <row r="135" spans="1:63">
      <c r="A135" s="786" t="s">
        <v>2211</v>
      </c>
      <c r="B135" s="308" t="s">
        <v>2301</v>
      </c>
      <c r="K135" s="308" t="s">
        <v>2219</v>
      </c>
      <c r="V135" s="308" t="s">
        <v>2302</v>
      </c>
      <c r="AK135" s="787"/>
      <c r="AM135" s="786"/>
      <c r="BK135" s="787"/>
    </row>
    <row r="136" spans="1:63">
      <c r="A136" s="786"/>
      <c r="V136" s="308" t="s">
        <v>2303</v>
      </c>
      <c r="Y136" s="308">
        <v>0.9</v>
      </c>
      <c r="AK136" s="787"/>
      <c r="AM136" s="786"/>
      <c r="BK136" s="787"/>
    </row>
    <row r="137" spans="1:63">
      <c r="A137" s="786"/>
      <c r="F137" s="804" t="s">
        <v>2304</v>
      </c>
      <c r="V137" s="308" t="s">
        <v>2305</v>
      </c>
      <c r="AK137" s="787"/>
      <c r="AM137" s="786"/>
      <c r="BK137" s="787"/>
    </row>
    <row r="138" spans="1:63">
      <c r="A138" s="786"/>
      <c r="V138" s="308" t="s">
        <v>2306</v>
      </c>
      <c r="AK138" s="787"/>
      <c r="AM138" s="786"/>
      <c r="BK138" s="787"/>
    </row>
    <row r="139" spans="1:63">
      <c r="A139" s="786"/>
      <c r="V139" s="308" t="s">
        <v>2307</v>
      </c>
      <c r="AK139" s="787"/>
      <c r="AM139" s="786"/>
      <c r="BK139" s="787"/>
    </row>
    <row r="140" spans="1:63">
      <c r="A140" s="786"/>
      <c r="V140" s="308" t="s">
        <v>2308</v>
      </c>
      <c r="AK140" s="787"/>
      <c r="AM140" s="786"/>
      <c r="BK140" s="787"/>
    </row>
    <row r="141" spans="1:63">
      <c r="A141" s="786" t="s">
        <v>2309</v>
      </c>
      <c r="E141" s="824" t="s">
        <v>2223</v>
      </c>
      <c r="F141" s="821"/>
      <c r="G141" s="821"/>
      <c r="H141" s="821"/>
      <c r="V141" s="308" t="s">
        <v>2310</v>
      </c>
      <c r="AK141" s="787"/>
      <c r="AM141" s="786"/>
      <c r="BK141" s="787"/>
    </row>
    <row r="142" spans="1:63">
      <c r="A142" s="786" t="s">
        <v>2225</v>
      </c>
      <c r="AK142" s="787"/>
      <c r="AM142" s="786"/>
      <c r="BA142" s="793" t="s">
        <v>2311</v>
      </c>
      <c r="BK142" s="787"/>
    </row>
    <row r="143" spans="1:63">
      <c r="A143" s="786" t="s">
        <v>2312</v>
      </c>
      <c r="V143" s="804" t="s">
        <v>2313</v>
      </c>
      <c r="AK143" s="787"/>
      <c r="AM143" s="786"/>
      <c r="BA143" s="804" t="s">
        <v>2314</v>
      </c>
      <c r="BK143" s="787"/>
    </row>
    <row r="144" spans="1:63">
      <c r="A144" s="807" t="s">
        <v>2228</v>
      </c>
      <c r="AK144" s="787"/>
      <c r="AM144" s="786"/>
      <c r="BA144" s="308" t="s">
        <v>2315</v>
      </c>
      <c r="BK144" s="787"/>
    </row>
    <row r="145" spans="1:63">
      <c r="A145" s="786" t="s">
        <v>2316</v>
      </c>
      <c r="V145" s="822"/>
      <c r="W145" s="822"/>
      <c r="X145" s="822"/>
      <c r="AK145" s="787"/>
      <c r="AM145" s="786"/>
      <c r="BA145" s="308" t="s">
        <v>2317</v>
      </c>
      <c r="BK145" s="787"/>
    </row>
    <row r="146" spans="1:63">
      <c r="A146" s="786" t="s">
        <v>2318</v>
      </c>
      <c r="V146" s="381"/>
      <c r="AK146" s="787"/>
      <c r="AM146" s="786"/>
      <c r="BK146" s="787"/>
    </row>
    <row r="147" spans="1:63">
      <c r="A147" s="786" t="s">
        <v>2319</v>
      </c>
      <c r="AK147" s="787"/>
      <c r="AM147" s="786"/>
      <c r="BK147" s="787"/>
    </row>
    <row r="148" spans="1:63">
      <c r="A148" s="786"/>
      <c r="AK148" s="787"/>
      <c r="AM148" s="786"/>
      <c r="BK148" s="787"/>
    </row>
    <row r="149" spans="1:63">
      <c r="A149" s="798" t="s">
        <v>2220</v>
      </c>
      <c r="AK149" s="787"/>
      <c r="AM149" s="786"/>
      <c r="BK149" s="787"/>
    </row>
    <row r="150" spans="1:63">
      <c r="A150" s="786" t="s">
        <v>2211</v>
      </c>
      <c r="B150" s="308" t="s">
        <v>2301</v>
      </c>
      <c r="AK150" s="787"/>
      <c r="AM150" s="786"/>
      <c r="BK150" s="787"/>
    </row>
    <row r="151" spans="1:63">
      <c r="A151" s="786" t="s">
        <v>2235</v>
      </c>
      <c r="AB151" s="793" t="s">
        <v>2320</v>
      </c>
      <c r="AK151" s="787"/>
      <c r="AM151" s="786"/>
      <c r="BK151" s="787"/>
    </row>
    <row r="152" spans="1:63">
      <c r="A152" s="786"/>
      <c r="AK152" s="787"/>
      <c r="AM152" s="786"/>
      <c r="BK152" s="787"/>
    </row>
    <row r="153" spans="1:63">
      <c r="A153" s="811" t="s">
        <v>2227</v>
      </c>
      <c r="AK153" s="787"/>
      <c r="AM153" s="786"/>
      <c r="BK153" s="787"/>
    </row>
    <row r="154" spans="1:63">
      <c r="A154" s="786" t="s">
        <v>2229</v>
      </c>
      <c r="AK154" s="787"/>
      <c r="AM154" s="786"/>
      <c r="BK154" s="787"/>
    </row>
    <row r="155" spans="1:63">
      <c r="A155" s="786"/>
      <c r="AK155" s="787"/>
      <c r="AM155" s="786"/>
      <c r="BK155" s="787"/>
    </row>
    <row r="156" spans="1:63">
      <c r="A156" s="794" t="s">
        <v>2178</v>
      </c>
      <c r="AK156" s="787"/>
      <c r="AM156" s="786"/>
      <c r="BK156" s="787"/>
    </row>
    <row r="157" spans="1:63">
      <c r="A157" s="798" t="s">
        <v>2179</v>
      </c>
      <c r="B157" s="796"/>
      <c r="C157" s="797"/>
      <c r="AK157" s="787"/>
      <c r="AM157" s="788"/>
      <c r="AN157" s="789"/>
      <c r="AO157" s="789"/>
      <c r="AP157" s="789"/>
      <c r="AQ157" s="789"/>
      <c r="AR157" s="789"/>
      <c r="AS157" s="789"/>
      <c r="AT157" s="789"/>
      <c r="AU157" s="789"/>
      <c r="AV157" s="789"/>
      <c r="AW157" s="789"/>
      <c r="AX157" s="789"/>
      <c r="AY157" s="789"/>
      <c r="AZ157" s="789"/>
      <c r="BA157" s="789"/>
      <c r="BB157" s="789"/>
      <c r="BC157" s="789"/>
      <c r="BD157" s="789"/>
      <c r="BE157" s="789"/>
      <c r="BF157" s="789"/>
      <c r="BG157" s="789"/>
      <c r="BH157" s="789"/>
      <c r="BI157" s="789"/>
      <c r="BJ157" s="789"/>
      <c r="BK157" s="790"/>
    </row>
    <row r="158" spans="1:63">
      <c r="A158" s="802" t="s">
        <v>2182</v>
      </c>
      <c r="B158" s="800" t="s">
        <v>2183</v>
      </c>
      <c r="C158" s="801"/>
      <c r="AK158" s="787"/>
    </row>
    <row r="159" spans="1:63">
      <c r="A159" s="786"/>
      <c r="AK159" s="787"/>
    </row>
    <row r="160" spans="1:63">
      <c r="A160" s="786" t="s">
        <v>2190</v>
      </c>
      <c r="B160" s="308" t="s">
        <v>701</v>
      </c>
      <c r="AK160" s="787"/>
    </row>
    <row r="161" spans="1:37">
      <c r="A161" s="786" t="s">
        <v>2195</v>
      </c>
      <c r="B161" s="821" t="s">
        <v>2196</v>
      </c>
      <c r="C161" s="821"/>
      <c r="AK161" s="787"/>
    </row>
    <row r="162" spans="1:37">
      <c r="A162" s="786" t="s">
        <v>2198</v>
      </c>
      <c r="B162" s="308" t="s">
        <v>2199</v>
      </c>
      <c r="AK162" s="787"/>
    </row>
    <row r="163" spans="1:37">
      <c r="A163" s="786" t="s">
        <v>2204</v>
      </c>
      <c r="B163" s="821" t="s">
        <v>2205</v>
      </c>
      <c r="C163" s="821"/>
      <c r="AK163" s="787"/>
    </row>
    <row r="164" spans="1:37">
      <c r="A164" s="786"/>
      <c r="AK164" s="787"/>
    </row>
    <row r="165" spans="1:37">
      <c r="A165" s="786"/>
      <c r="AK165" s="787"/>
    </row>
    <row r="166" spans="1:37">
      <c r="A166" s="798" t="s">
        <v>2209</v>
      </c>
      <c r="B166" s="797"/>
      <c r="C166" s="797"/>
      <c r="AK166" s="787"/>
    </row>
    <row r="167" spans="1:37">
      <c r="A167" s="802" t="s">
        <v>2182</v>
      </c>
      <c r="B167" s="800" t="s">
        <v>2321</v>
      </c>
      <c r="C167" s="801"/>
      <c r="E167" s="804"/>
      <c r="AK167" s="787"/>
    </row>
    <row r="168" spans="1:37">
      <c r="A168" s="825" t="s">
        <v>2217</v>
      </c>
      <c r="B168" s="800" t="s">
        <v>2322</v>
      </c>
      <c r="C168" s="805"/>
      <c r="AK168" s="787"/>
    </row>
    <row r="169" spans="1:37">
      <c r="A169" s="786"/>
      <c r="AK169" s="787"/>
    </row>
    <row r="170" spans="1:37">
      <c r="A170" s="798" t="s">
        <v>2220</v>
      </c>
      <c r="AK170" s="787"/>
    </row>
    <row r="171" spans="1:37">
      <c r="A171" s="802" t="s">
        <v>2182</v>
      </c>
      <c r="B171" s="800" t="s">
        <v>2323</v>
      </c>
      <c r="C171" s="801"/>
      <c r="AK171" s="787"/>
    </row>
    <row r="172" spans="1:37">
      <c r="A172" s="825" t="s">
        <v>2217</v>
      </c>
      <c r="B172" s="800" t="s">
        <v>2324</v>
      </c>
      <c r="C172" s="805"/>
      <c r="AK172" s="787"/>
    </row>
    <row r="173" spans="1:37">
      <c r="A173" s="786"/>
      <c r="AK173" s="787"/>
    </row>
    <row r="174" spans="1:37">
      <c r="A174" s="811" t="s">
        <v>2227</v>
      </c>
      <c r="AK174" s="787"/>
    </row>
    <row r="175" spans="1:37">
      <c r="A175" s="786" t="s">
        <v>2229</v>
      </c>
      <c r="AK175" s="787"/>
    </row>
    <row r="176" spans="1:37">
      <c r="A176" s="786"/>
      <c r="AK176" s="787"/>
    </row>
    <row r="177" spans="1:37">
      <c r="A177" s="794" t="s">
        <v>2082</v>
      </c>
      <c r="AK177" s="787"/>
    </row>
    <row r="178" spans="1:37">
      <c r="A178" s="807" t="s">
        <v>2325</v>
      </c>
      <c r="AK178" s="787"/>
    </row>
    <row r="179" spans="1:37">
      <c r="A179" s="786"/>
      <c r="AK179" s="787"/>
    </row>
    <row r="180" spans="1:37">
      <c r="A180" s="794" t="s">
        <v>2078</v>
      </c>
      <c r="AK180" s="787"/>
    </row>
    <row r="181" spans="1:37">
      <c r="A181" s="811" t="s">
        <v>2234</v>
      </c>
      <c r="AK181" s="787"/>
    </row>
    <row r="182" spans="1:37">
      <c r="A182" s="1406" t="s">
        <v>2236</v>
      </c>
      <c r="B182" s="1406"/>
      <c r="C182" s="1406"/>
      <c r="D182" s="1406"/>
      <c r="E182" s="1406" t="s">
        <v>2326</v>
      </c>
      <c r="F182" s="1406"/>
      <c r="G182" s="1406" t="s">
        <v>2327</v>
      </c>
      <c r="H182" s="1406"/>
      <c r="I182" s="1406"/>
      <c r="AK182" s="787"/>
    </row>
    <row r="183" spans="1:37">
      <c r="A183" s="1406" t="s">
        <v>2240</v>
      </c>
      <c r="B183" s="1406"/>
      <c r="C183" s="1406" t="s">
        <v>2241</v>
      </c>
      <c r="D183" s="1406"/>
      <c r="E183" s="1406">
        <v>250</v>
      </c>
      <c r="F183" s="1406"/>
      <c r="G183" s="1406" t="s">
        <v>2242</v>
      </c>
      <c r="H183" s="1406"/>
      <c r="I183" s="1406"/>
      <c r="AK183" s="787"/>
    </row>
    <row r="184" spans="1:37">
      <c r="A184" s="1406" t="s">
        <v>2243</v>
      </c>
      <c r="B184" s="1406"/>
      <c r="C184" s="1406" t="s">
        <v>2244</v>
      </c>
      <c r="D184" s="1406"/>
      <c r="E184" s="1406">
        <v>300</v>
      </c>
      <c r="F184" s="1406"/>
      <c r="G184" s="1406" t="s">
        <v>2245</v>
      </c>
      <c r="H184" s="1406"/>
      <c r="I184" s="1406"/>
      <c r="AK184" s="787"/>
    </row>
    <row r="185" spans="1:37">
      <c r="A185" s="1406" t="s">
        <v>2249</v>
      </c>
      <c r="B185" s="1406"/>
      <c r="C185" s="810" t="s">
        <v>2250</v>
      </c>
      <c r="D185" s="826"/>
      <c r="E185" s="1406">
        <v>500</v>
      </c>
      <c r="F185" s="1406"/>
      <c r="G185" s="1406" t="s">
        <v>2251</v>
      </c>
      <c r="H185" s="1406"/>
      <c r="I185" s="1406"/>
      <c r="AK185" s="787"/>
    </row>
    <row r="186" spans="1:37">
      <c r="A186" s="786"/>
      <c r="AK186" s="787"/>
    </row>
    <row r="187" spans="1:37">
      <c r="A187" s="807" t="s">
        <v>2255</v>
      </c>
      <c r="AK187" s="787"/>
    </row>
    <row r="188" spans="1:37">
      <c r="A188" s="788"/>
      <c r="B188" s="827"/>
      <c r="C188" s="789"/>
      <c r="D188" s="827"/>
      <c r="E188" s="789"/>
      <c r="F188" s="789"/>
      <c r="G188" s="789"/>
      <c r="H188" s="789"/>
      <c r="I188" s="789"/>
      <c r="J188" s="789"/>
      <c r="K188" s="789"/>
      <c r="L188" s="789"/>
      <c r="M188" s="789"/>
      <c r="N188" s="789"/>
      <c r="O188" s="789"/>
      <c r="P188" s="789"/>
      <c r="Q188" s="789"/>
      <c r="R188" s="789"/>
      <c r="S188" s="789"/>
      <c r="T188" s="789"/>
      <c r="U188" s="789"/>
      <c r="V188" s="789"/>
      <c r="W188" s="789"/>
      <c r="X188" s="789"/>
      <c r="Y188" s="789"/>
      <c r="Z188" s="789"/>
      <c r="AA188" s="789"/>
      <c r="AB188" s="789"/>
      <c r="AC188" s="789"/>
      <c r="AD188" s="789"/>
      <c r="AE188" s="789"/>
      <c r="AF188" s="789"/>
      <c r="AG188" s="789"/>
      <c r="AH188" s="789"/>
      <c r="AI188" s="789"/>
      <c r="AJ188" s="789"/>
      <c r="AK188" s="790"/>
    </row>
  </sheetData>
  <mergeCells count="26">
    <mergeCell ref="A184:B184"/>
    <mergeCell ref="C184:D184"/>
    <mergeCell ref="E184:F184"/>
    <mergeCell ref="G184:I184"/>
    <mergeCell ref="A185:B185"/>
    <mergeCell ref="E185:F185"/>
    <mergeCell ref="G185:I185"/>
    <mergeCell ref="A182:D182"/>
    <mergeCell ref="E182:F182"/>
    <mergeCell ref="G182:I182"/>
    <mergeCell ref="A183:B183"/>
    <mergeCell ref="C183:D183"/>
    <mergeCell ref="E183:F183"/>
    <mergeCell ref="G183:I183"/>
    <mergeCell ref="AA70:AC70"/>
    <mergeCell ref="AD70:AE70"/>
    <mergeCell ref="AF70:AJ70"/>
    <mergeCell ref="AA71:AC71"/>
    <mergeCell ref="AD71:AE71"/>
    <mergeCell ref="AF71:AJ71"/>
    <mergeCell ref="Z68:AC68"/>
    <mergeCell ref="AD68:AE68"/>
    <mergeCell ref="AF68:AJ68"/>
    <mergeCell ref="AA69:AC69"/>
    <mergeCell ref="AD69:AE69"/>
    <mergeCell ref="AF69:AJ69"/>
  </mergeCells>
  <pageMargins left="0.7" right="0.7" top="0.75" bottom="0.75" header="0.3" footer="0.3"/>
  <pageSetup paperSize="9"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8729633B6F6394CB52AEE6A68ED5BAB" ma:contentTypeVersion="17" ma:contentTypeDescription="Create a new document." ma:contentTypeScope="" ma:versionID="722a099629c24ee3a2d7ab87837c5554">
  <xsd:schema xmlns:xsd="http://www.w3.org/2001/XMLSchema" xmlns:xs="http://www.w3.org/2001/XMLSchema" xmlns:p="http://schemas.microsoft.com/office/2006/metadata/properties" xmlns:ns1="http://schemas.microsoft.com/sharepoint/v3" xmlns:ns2="834f4b92-d359-432e-9761-8a820bfac2c4" xmlns:ns3="4dfb4824-3d8c-4760-8049-03801e337704" targetNamespace="http://schemas.microsoft.com/office/2006/metadata/properties" ma:root="true" ma:fieldsID="8f409ba752f874594cb4fd37facbb370" ns1:_="" ns2:_="" ns3:_="">
    <xsd:import namespace="http://schemas.microsoft.com/sharepoint/v3"/>
    <xsd:import namespace="834f4b92-d359-432e-9761-8a820bfac2c4"/>
    <xsd:import namespace="4dfb4824-3d8c-4760-8049-03801e337704"/>
    <xsd:element name="properties">
      <xsd:complexType>
        <xsd:sequence>
          <xsd:element name="documentManagement">
            <xsd:complexType>
              <xsd:all>
                <xsd:element ref="ns1:URL" minOccurs="0"/>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LengthInSeconds" minOccurs="0"/>
                <xsd:element ref="ns2:MediaServiceDateTaken" minOccurs="0"/>
                <xsd:element ref="ns2:MediaServiceAutoKeyPoints" minOccurs="0"/>
                <xsd:element ref="ns2:MediaServiceKeyPoints" minOccurs="0"/>
                <xsd:element ref="ns3:SharedWithUsers" minOccurs="0"/>
                <xsd:element ref="ns3:SharedWithDetails"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URL" ma:index="8" nillable="true" ma:displayName="URL" ma:internalName="URL">
      <xsd:complexType>
        <xsd:complexContent>
          <xsd:extension base="dms:URL">
            <xsd:sequence>
              <xsd:element name="Url" type="dms:ValidUrl" minOccurs="0" nillable="true"/>
              <xsd:element name="Description" type="xsd:string"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834f4b92-d359-432e-9761-8a820bfac2c4" elementFormDefault="qualified">
    <xsd:import namespace="http://schemas.microsoft.com/office/2006/documentManagement/types"/>
    <xsd:import namespace="http://schemas.microsoft.com/office/infopath/2007/PartnerControls"/>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c166aa50-2606-4bee-b14b-7e98c91f201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fb4824-3d8c-4760-8049-03801e337704"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b9ddd287-563b-4b09-8369-cffb18219852}" ma:internalName="TaxCatchAll" ma:showField="CatchAllData" ma:web="4dfb4824-3d8c-4760-8049-03801e33770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4dfb4824-3d8c-4760-8049-03801e337704">
      <UserInfo>
        <DisplayName>Mounsey, Rosie</DisplayName>
        <AccountId>27</AccountId>
        <AccountType/>
      </UserInfo>
      <UserInfo>
        <DisplayName>Curry, Tia</DisplayName>
        <AccountId>48</AccountId>
        <AccountType/>
      </UserInfo>
      <UserInfo>
        <DisplayName>McCarthy, Gary</DisplayName>
        <AccountId>20</AccountId>
        <AccountType/>
      </UserInfo>
      <UserInfo>
        <DisplayName>Price, Ioana</DisplayName>
        <AccountId>17</AccountId>
        <AccountType/>
      </UserInfo>
    </SharedWithUsers>
    <lcf76f155ced4ddcb4097134ff3c332f xmlns="834f4b92-d359-432e-9761-8a820bfac2c4">
      <Terms xmlns="http://schemas.microsoft.com/office/infopath/2007/PartnerControls"/>
    </lcf76f155ced4ddcb4097134ff3c332f>
    <TaxCatchAll xmlns="4dfb4824-3d8c-4760-8049-03801e337704" xsi:nil="true"/>
    <URL xmlns="http://schemas.microsoft.com/sharepoint/v3">
      <Url xsi:nil="true"/>
      <Description xsi:nil="true"/>
    </URL>
  </documentManagement>
</p:properties>
</file>

<file path=customXml/itemProps1.xml><?xml version="1.0" encoding="utf-8"?>
<ds:datastoreItem xmlns:ds="http://schemas.openxmlformats.org/officeDocument/2006/customXml" ds:itemID="{BBE2AA1C-CA54-4E89-9526-33835451566A}"/>
</file>

<file path=customXml/itemProps2.xml><?xml version="1.0" encoding="utf-8"?>
<ds:datastoreItem xmlns:ds="http://schemas.openxmlformats.org/officeDocument/2006/customXml" ds:itemID="{37DF8B0F-DA6D-4BF5-B0E7-C5A4C5AB4AE7}">
  <ds:schemaRefs>
    <ds:schemaRef ds:uri="http://schemas.microsoft.com/sharepoint/v3/contenttype/forms"/>
  </ds:schemaRefs>
</ds:datastoreItem>
</file>

<file path=customXml/itemProps3.xml><?xml version="1.0" encoding="utf-8"?>
<ds:datastoreItem xmlns:ds="http://schemas.openxmlformats.org/officeDocument/2006/customXml" ds:itemID="{50E48B0B-D40F-47B3-9737-E5F90C0AFA00}">
  <ds:schemaRefs>
    <ds:schemaRef ds:uri="http://schemas.microsoft.com/office/2006/metadata/properties"/>
    <ds:schemaRef ds:uri="http://schemas.microsoft.com/office/infopath/2007/PartnerControls"/>
    <ds:schemaRef ds:uri="2fc892c1-898b-452f-a681-ab496265dea6"/>
    <ds:schemaRef ds:uri="bcf5a7de-81ff-4d8b-b01d-db95f9bd44c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QA</vt:lpstr>
      <vt:lpstr>Summary</vt:lpstr>
      <vt:lpstr>Material Quantities &amp; Embodied </vt:lpstr>
      <vt:lpstr>Element Sizes and Quantities</vt:lpstr>
      <vt:lpstr>Cost</vt:lpstr>
      <vt:lpstr>ECData</vt:lpstr>
      <vt:lpstr>Intumescent</vt:lpstr>
      <vt:lpstr>Benchmark Data</vt:lpstr>
      <vt:lpstr>Basement</vt:lpstr>
      <vt:lpstr>Inputs</vt:lpstr>
      <vt:lpstr>Ground Model Results</vt:lpstr>
      <vt:lpstr>Ground Model Database</vt:lpstr>
      <vt:lpstr>Pile</vt:lpstr>
      <vt:lpstr>ECHarvest</vt:lpstr>
      <vt:lpstr>Database</vt:lpstr>
      <vt:lpstr>Carbon Factors</vt:lpstr>
      <vt:lpstr>Steel Column</vt:lpstr>
      <vt:lpstr>RC Column</vt:lpstr>
      <vt:lpstr>UC - Axial</vt:lpstr>
      <vt:lpstr>Results</vt:lpstr>
      <vt:lpstr>Loading Schedule</vt:lpstr>
      <vt:lpstr>Shear Walls</vt:lpstr>
      <vt:lpstr>Pile Data and Eurocode Factors</vt:lpstr>
      <vt:lpstr>References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Brunton, Jack</dc:creator>
  <cp:keywords/>
  <dc:description/>
  <cp:lastModifiedBy>Burton, Matt</cp:lastModifiedBy>
  <cp:revision/>
  <dcterms:created xsi:type="dcterms:W3CDTF">2020-11-13T20:08:54Z</dcterms:created>
  <dcterms:modified xsi:type="dcterms:W3CDTF">2023-11-02T13:04:29Z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0x0101003A277CDCDDE56A459C9AFF10AA39F623</vt:lpwstr>
  </property>
  <property fmtid="{D5CDD505-2E9C-101B-9397-08002B2CF9AE}" pid="3" name="MediaServiceImageTags">
    <vt:lpwstr/>
  </property>
</Properties>
</file>